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ane\Documents\Projects\Cylinder_Quote_To_HTML\Cylinder_Quote_Web_Milestone_1\"/>
    </mc:Choice>
  </mc:AlternateContent>
  <xr:revisionPtr revIDLastSave="0" documentId="13_ncr:1_{CF0711A0-2838-4597-B66C-A2167A0DC4B9}" xr6:coauthVersionLast="47" xr6:coauthVersionMax="47" xr10:uidLastSave="{00000000-0000-0000-0000-000000000000}"/>
  <bookViews>
    <workbookView xWindow="-110" yWindow="-110" windowWidth="19420" windowHeight="11500" tabRatio="905" activeTab="1" xr2:uid="{00000000-000D-0000-FFFF-FFFF00000000}"/>
  </bookViews>
  <sheets>
    <sheet name="Data" sheetId="7" r:id="rId1"/>
    <sheet name="Quote Form" sheetId="42" r:id="rId2"/>
    <sheet name="Customer" sheetId="25" r:id="rId3"/>
    <sheet name="master_contact_list" sheetId="69" r:id="rId4"/>
    <sheet name="H" sheetId="11" state="hidden" r:id="rId5"/>
    <sheet name="H2" sheetId="12" state="hidden" r:id="rId6"/>
    <sheet name="H3" sheetId="13" state="hidden" r:id="rId7"/>
    <sheet name="H4" sheetId="14" state="hidden" r:id="rId8"/>
    <sheet name="IMH" sheetId="66" r:id="rId9"/>
    <sheet name="MH" sheetId="58" state="hidden" r:id="rId10"/>
    <sheet name="IH" sheetId="62" r:id="rId11"/>
    <sheet name="IH2" sheetId="63" r:id="rId12"/>
    <sheet name="IH3" sheetId="64" r:id="rId13"/>
    <sheet name="IH4" sheetId="65" r:id="rId14"/>
    <sheet name="Acc" sheetId="18" r:id="rId15"/>
    <sheet name="A" sheetId="19" state="hidden" r:id="rId16"/>
    <sheet name="A2" sheetId="20" state="hidden" r:id="rId17"/>
    <sheet name="A3" sheetId="21" state="hidden" r:id="rId18"/>
    <sheet name="A4" sheetId="22" state="hidden" r:id="rId19"/>
    <sheet name="PH" sheetId="59" state="hidden" r:id="rId20"/>
    <sheet name="VA" sheetId="51" state="hidden" r:id="rId21"/>
    <sheet name="Inventory" sheetId="60" r:id="rId22"/>
    <sheet name="ShipVia" sheetId="38" r:id="rId23"/>
    <sheet name="Seal Kit" sheetId="61" r:id="rId24"/>
  </sheets>
  <definedNames>
    <definedName name="_xlnm._FilterDatabase" localSheetId="2" hidden="1">Customer!$B$2:$G$7408</definedName>
    <definedName name="_xleta.NOW" hidden="1" xlm="1">#NAME?</definedName>
    <definedName name="CYLMOUNT">INDEX('Quote Form'!$S$51:$S$75,MATCH('Quote Form'!$H$4,'Quote Form'!$R$51:$R$75,0))</definedName>
    <definedName name="_xlnm.Print_Area" localSheetId="15">A!$A$1:$K$41</definedName>
    <definedName name="_xlnm.Print_Area" localSheetId="16">'A2'!$A$1:$H$43</definedName>
    <definedName name="_xlnm.Print_Area" localSheetId="17">'A3'!$A$1:$H$43</definedName>
    <definedName name="_xlnm.Print_Area" localSheetId="18">'A4'!$A$1:$E$43</definedName>
    <definedName name="_xlnm.Print_Area" localSheetId="14">Acc!$A$1:$K$47</definedName>
    <definedName name="_xlnm.Print_Area" localSheetId="0">Data!$1:$1048576</definedName>
    <definedName name="_xlnm.Print_Area" localSheetId="4">H!$A$1:$K$37</definedName>
    <definedName name="_xlnm.Print_Area" localSheetId="5">'H2'!$A$1:$J$38</definedName>
    <definedName name="_xlnm.Print_Area" localSheetId="6">'H3'!$A$4:$J$38</definedName>
    <definedName name="_xlnm.Print_Area" localSheetId="7">'H4'!$A$4:$I$38</definedName>
    <definedName name="_xlnm.Print_Area" localSheetId="10">IH!$A$1:$K$37</definedName>
    <definedName name="_xlnm.Print_Area" localSheetId="11">'IH2'!$A$1:$J$38</definedName>
    <definedName name="_xlnm.Print_Area" localSheetId="12">'IH3'!$A$4:$J$38</definedName>
    <definedName name="_xlnm.Print_Area" localSheetId="13">'IH4'!$A$4:$I$38</definedName>
    <definedName name="_xlnm.Print_Area" localSheetId="8">IMH!$A$1:$I$26</definedName>
    <definedName name="_xlnm.Print_Area" localSheetId="9">MH!$A$1:$I$37</definedName>
    <definedName name="_xlnm.Print_Area" localSheetId="19">PH!$A$1:$J$86</definedName>
    <definedName name="_xlnm.Print_Area" localSheetId="1">'Quote Form'!$A$1:$G$43</definedName>
    <definedName name="_xlnm.Print_Area" localSheetId="20">VA!$I$2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36" i="42" l="1"/>
  <c r="E36" i="42"/>
  <c r="C36" i="42"/>
  <c r="F35" i="42"/>
  <c r="C35" i="42"/>
  <c r="C34" i="42"/>
  <c r="C33" i="42"/>
  <c r="C32" i="42"/>
  <c r="C31" i="42"/>
  <c r="C30" i="42"/>
  <c r="C29" i="42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C18" i="42"/>
  <c r="F18" i="42" s="1"/>
  <c r="B18" i="42"/>
  <c r="C17" i="42"/>
  <c r="F17" i="42" s="1"/>
  <c r="C16" i="42"/>
  <c r="F16" i="42" s="1"/>
  <c r="B15" i="42"/>
  <c r="B13" i="42"/>
  <c r="E11" i="42"/>
  <c r="C11" i="42"/>
  <c r="A24" i="38"/>
  <c r="L33" i="59"/>
  <c r="Q8" i="14"/>
  <c r="I16" i="7" l="1"/>
  <c r="C21" i="42" l="1"/>
  <c r="C20" i="42"/>
  <c r="M52" i="14" l="1"/>
  <c r="M51" i="14"/>
  <c r="M50" i="14"/>
  <c r="M49" i="14"/>
  <c r="M48" i="14"/>
  <c r="M47" i="14"/>
  <c r="M46" i="14"/>
  <c r="M45" i="14"/>
  <c r="M44" i="14"/>
  <c r="M43" i="14"/>
  <c r="M42" i="14"/>
  <c r="M41" i="14"/>
  <c r="M40" i="14"/>
  <c r="M39" i="14"/>
  <c r="M38" i="14"/>
  <c r="M37" i="14"/>
  <c r="M36" i="14"/>
  <c r="M35" i="14"/>
  <c r="M34" i="14"/>
  <c r="M33" i="14"/>
  <c r="M32" i="14"/>
  <c r="M31" i="14"/>
  <c r="M30" i="14"/>
  <c r="M29" i="14"/>
  <c r="M28" i="14"/>
  <c r="M27" i="14"/>
  <c r="M26" i="14"/>
  <c r="M25" i="14"/>
  <c r="M24" i="14"/>
  <c r="M23" i="14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R19" i="18"/>
  <c r="R18" i="18"/>
  <c r="R17" i="18"/>
  <c r="R16" i="18"/>
  <c r="R15" i="18"/>
  <c r="Q52" i="14" l="1"/>
  <c r="Q51" i="14"/>
  <c r="Q50" i="14"/>
  <c r="Q49" i="14"/>
  <c r="Q48" i="14"/>
  <c r="Q47" i="14"/>
  <c r="Q46" i="14"/>
  <c r="Q45" i="14"/>
  <c r="Q44" i="14"/>
  <c r="Q43" i="14"/>
  <c r="Q42" i="14"/>
  <c r="Q41" i="14"/>
  <c r="Q40" i="14"/>
  <c r="Q39" i="14"/>
  <c r="Q38" i="14"/>
  <c r="Q37" i="14"/>
  <c r="Q36" i="14"/>
  <c r="Q35" i="14"/>
  <c r="Q34" i="14"/>
  <c r="Q33" i="14"/>
  <c r="Q32" i="14"/>
  <c r="Q31" i="14"/>
  <c r="Q30" i="14"/>
  <c r="Q29" i="14"/>
  <c r="Q28" i="14"/>
  <c r="Q27" i="14"/>
  <c r="Q26" i="14"/>
  <c r="Q25" i="14"/>
  <c r="Q24" i="14"/>
  <c r="Q23" i="14"/>
  <c r="Q22" i="14"/>
  <c r="Q21" i="14"/>
  <c r="Q20" i="14"/>
  <c r="Q19" i="14"/>
  <c r="Q18" i="14"/>
  <c r="Q17" i="14"/>
  <c r="Q16" i="14"/>
  <c r="Q15" i="14"/>
  <c r="Q14" i="14"/>
  <c r="Q13" i="14"/>
  <c r="Q12" i="14"/>
  <c r="Q11" i="14"/>
  <c r="Q10" i="14"/>
  <c r="Q9" i="14"/>
  <c r="AF11" i="42" l="1"/>
  <c r="C4" i="42"/>
  <c r="AF13" i="42"/>
  <c r="AF12" i="42"/>
  <c r="Q53" i="14" l="1"/>
  <c r="K54" i="22"/>
  <c r="K53" i="22"/>
  <c r="K52" i="22"/>
  <c r="K51" i="22"/>
  <c r="K50" i="22"/>
  <c r="K49" i="22"/>
  <c r="K48" i="22"/>
  <c r="K47" i="22"/>
  <c r="K46" i="22"/>
  <c r="K45" i="22"/>
  <c r="K44" i="22"/>
  <c r="K43" i="22"/>
  <c r="K42" i="22"/>
  <c r="K41" i="22"/>
  <c r="K40" i="22"/>
  <c r="K39" i="22"/>
  <c r="K38" i="22"/>
  <c r="K37" i="22"/>
  <c r="K36" i="22"/>
  <c r="K35" i="22"/>
  <c r="K34" i="22"/>
  <c r="K33" i="22"/>
  <c r="K32" i="22"/>
  <c r="K31" i="22"/>
  <c r="K30" i="22"/>
  <c r="K29" i="22"/>
  <c r="K28" i="22"/>
  <c r="K27" i="22"/>
  <c r="K26" i="22"/>
  <c r="K25" i="22"/>
  <c r="K24" i="22"/>
  <c r="K23" i="22"/>
  <c r="K22" i="22"/>
  <c r="K21" i="22"/>
  <c r="K20" i="22"/>
  <c r="K19" i="22"/>
  <c r="K18" i="22"/>
  <c r="K17" i="22"/>
  <c r="K16" i="22"/>
  <c r="K15" i="22"/>
  <c r="K14" i="22"/>
  <c r="K13" i="22"/>
  <c r="K12" i="22"/>
  <c r="K11" i="22"/>
  <c r="K10" i="22"/>
  <c r="K9" i="22"/>
  <c r="K8" i="22"/>
  <c r="E496" i="38" l="1"/>
  <c r="E495" i="38"/>
  <c r="E494" i="38"/>
  <c r="E493" i="38"/>
  <c r="E492" i="38"/>
  <c r="E491" i="38"/>
  <c r="E490" i="38"/>
  <c r="E489" i="38"/>
  <c r="E488" i="38"/>
  <c r="E487" i="38"/>
  <c r="E486" i="38"/>
  <c r="E485" i="38"/>
  <c r="E484" i="38"/>
  <c r="E483" i="38"/>
  <c r="E482" i="38"/>
  <c r="E481" i="38"/>
  <c r="E480" i="38"/>
  <c r="E479" i="38"/>
  <c r="E478" i="38"/>
  <c r="E477" i="38"/>
  <c r="E476" i="38"/>
  <c r="E475" i="38"/>
  <c r="E474" i="38"/>
  <c r="E473" i="38"/>
  <c r="E472" i="38"/>
  <c r="E471" i="38"/>
  <c r="E470" i="38"/>
  <c r="E469" i="38"/>
  <c r="E468" i="38"/>
  <c r="E467" i="38"/>
  <c r="E466" i="38"/>
  <c r="E465" i="38"/>
  <c r="E464" i="38"/>
  <c r="E463" i="38"/>
  <c r="E462" i="38"/>
  <c r="E461" i="38"/>
  <c r="E460" i="38"/>
  <c r="E459" i="38"/>
  <c r="E458" i="38"/>
  <c r="E457" i="38"/>
  <c r="E456" i="38"/>
  <c r="E455" i="38"/>
  <c r="E454" i="38"/>
  <c r="E453" i="38"/>
  <c r="E452" i="38"/>
  <c r="E451" i="38"/>
  <c r="E450" i="38"/>
  <c r="E449" i="38"/>
  <c r="E448" i="38"/>
  <c r="E447" i="38"/>
  <c r="E446" i="38"/>
  <c r="E445" i="38"/>
  <c r="E444" i="38"/>
  <c r="E443" i="38"/>
  <c r="E442" i="38"/>
  <c r="E441" i="38"/>
  <c r="E440" i="38"/>
  <c r="E439" i="38"/>
  <c r="E438" i="38"/>
  <c r="E437" i="38"/>
  <c r="E436" i="38"/>
  <c r="E435" i="38"/>
  <c r="E434" i="38"/>
  <c r="E433" i="38"/>
  <c r="E432" i="38"/>
  <c r="E431" i="38"/>
  <c r="E430" i="38"/>
  <c r="E429" i="38"/>
  <c r="E428" i="38"/>
  <c r="E427" i="38"/>
  <c r="E426" i="38"/>
  <c r="E425" i="38"/>
  <c r="E424" i="38"/>
  <c r="E423" i="38"/>
  <c r="E422" i="38"/>
  <c r="E421" i="38"/>
  <c r="E420" i="38"/>
  <c r="E419" i="38"/>
  <c r="E418" i="38"/>
  <c r="E417" i="38"/>
  <c r="E416" i="38"/>
  <c r="C416" i="38"/>
  <c r="E415" i="38"/>
  <c r="C415" i="38"/>
  <c r="E414" i="38"/>
  <c r="C414" i="38"/>
  <c r="E413" i="38"/>
  <c r="C413" i="38"/>
  <c r="E412" i="38"/>
  <c r="C412" i="38"/>
  <c r="E411" i="38"/>
  <c r="C411" i="38"/>
  <c r="E410" i="38"/>
  <c r="C410" i="38"/>
  <c r="E409" i="38"/>
  <c r="C409" i="38"/>
  <c r="E408" i="38"/>
  <c r="C408" i="38"/>
  <c r="E407" i="38"/>
  <c r="C407" i="38"/>
  <c r="E406" i="38"/>
  <c r="C406" i="38"/>
  <c r="D405" i="38"/>
  <c r="E405" i="38" s="1"/>
  <c r="D404" i="38"/>
  <c r="E404" i="38" s="1"/>
  <c r="D403" i="38"/>
  <c r="E403" i="38" s="1"/>
  <c r="D402" i="38"/>
  <c r="E402" i="38" s="1"/>
  <c r="D401" i="38"/>
  <c r="E401" i="38" s="1"/>
  <c r="D400" i="38"/>
  <c r="E400" i="38" s="1"/>
  <c r="D399" i="38"/>
  <c r="E399" i="38" s="1"/>
  <c r="D398" i="38"/>
  <c r="E398" i="38" s="1"/>
  <c r="D397" i="38"/>
  <c r="E397" i="38" s="1"/>
  <c r="D396" i="38"/>
  <c r="E396" i="38" s="1"/>
  <c r="D395" i="38"/>
  <c r="E395" i="38" s="1"/>
  <c r="D394" i="38"/>
  <c r="E394" i="38" s="1"/>
  <c r="D393" i="38"/>
  <c r="E393" i="38" s="1"/>
  <c r="D392" i="38"/>
  <c r="E392" i="38" s="1"/>
  <c r="D391" i="38"/>
  <c r="E391" i="38" s="1"/>
  <c r="D390" i="38"/>
  <c r="E390" i="38" s="1"/>
  <c r="D389" i="38"/>
  <c r="E389" i="38" s="1"/>
  <c r="D388" i="38"/>
  <c r="E388" i="38" s="1"/>
  <c r="D387" i="38"/>
  <c r="E387" i="38" s="1"/>
  <c r="D386" i="38"/>
  <c r="E386" i="38" s="1"/>
  <c r="D385" i="38"/>
  <c r="E385" i="38" s="1"/>
  <c r="D384" i="38"/>
  <c r="E384" i="38" s="1"/>
  <c r="D383" i="38"/>
  <c r="E383" i="38" s="1"/>
  <c r="D382" i="38"/>
  <c r="E382" i="38" s="1"/>
  <c r="D381" i="38"/>
  <c r="E381" i="38" s="1"/>
  <c r="D380" i="38"/>
  <c r="E380" i="38" s="1"/>
  <c r="D379" i="38"/>
  <c r="E379" i="38" s="1"/>
  <c r="D378" i="38"/>
  <c r="E378" i="38" s="1"/>
  <c r="D377" i="38"/>
  <c r="E377" i="38" s="1"/>
  <c r="D376" i="38"/>
  <c r="E376" i="38" s="1"/>
  <c r="D375" i="38"/>
  <c r="E375" i="38" s="1"/>
  <c r="D374" i="38"/>
  <c r="E374" i="38" s="1"/>
  <c r="D373" i="38"/>
  <c r="E373" i="38" s="1"/>
  <c r="D372" i="38"/>
  <c r="E372" i="38" s="1"/>
  <c r="D371" i="38"/>
  <c r="E371" i="38" s="1"/>
  <c r="D370" i="38"/>
  <c r="E370" i="38" s="1"/>
  <c r="D369" i="38"/>
  <c r="E369" i="38" s="1"/>
  <c r="D368" i="38"/>
  <c r="E368" i="38" s="1"/>
  <c r="D367" i="38"/>
  <c r="E367" i="38" s="1"/>
  <c r="D366" i="38"/>
  <c r="E366" i="38" s="1"/>
  <c r="D365" i="38"/>
  <c r="E365" i="38" s="1"/>
  <c r="D364" i="38"/>
  <c r="E364" i="38" s="1"/>
  <c r="D363" i="38"/>
  <c r="E363" i="38" s="1"/>
  <c r="D362" i="38"/>
  <c r="E362" i="38" s="1"/>
  <c r="D361" i="38"/>
  <c r="E361" i="38" s="1"/>
  <c r="D360" i="38"/>
  <c r="E360" i="38" s="1"/>
  <c r="D359" i="38"/>
  <c r="E359" i="38" s="1"/>
  <c r="D358" i="38"/>
  <c r="E358" i="38" s="1"/>
  <c r="D357" i="38"/>
  <c r="E357" i="38" s="1"/>
  <c r="D356" i="38"/>
  <c r="E356" i="38" s="1"/>
  <c r="D355" i="38"/>
  <c r="E355" i="38" s="1"/>
  <c r="D354" i="38"/>
  <c r="E354" i="38" s="1"/>
  <c r="D353" i="38"/>
  <c r="E353" i="38" s="1"/>
  <c r="D352" i="38"/>
  <c r="E352" i="38" s="1"/>
  <c r="D351" i="38"/>
  <c r="E351" i="38" s="1"/>
  <c r="D350" i="38"/>
  <c r="E350" i="38" s="1"/>
  <c r="D349" i="38"/>
  <c r="E349" i="38" s="1"/>
  <c r="D348" i="38"/>
  <c r="E348" i="38" s="1"/>
  <c r="D347" i="38"/>
  <c r="E347" i="38" s="1"/>
  <c r="D346" i="38"/>
  <c r="E346" i="38" s="1"/>
  <c r="D345" i="38"/>
  <c r="E345" i="38" s="1"/>
  <c r="D344" i="38"/>
  <c r="E344" i="38" s="1"/>
  <c r="D343" i="38"/>
  <c r="E343" i="38" s="1"/>
  <c r="D342" i="38"/>
  <c r="E342" i="38" s="1"/>
  <c r="D341" i="38"/>
  <c r="E341" i="38" s="1"/>
  <c r="D340" i="38"/>
  <c r="E340" i="38" s="1"/>
  <c r="D339" i="38"/>
  <c r="E339" i="38" s="1"/>
  <c r="D338" i="38"/>
  <c r="E338" i="38" s="1"/>
  <c r="D337" i="38"/>
  <c r="E337" i="38" s="1"/>
  <c r="D336" i="38"/>
  <c r="E336" i="38" s="1"/>
  <c r="D335" i="38"/>
  <c r="E335" i="38" s="1"/>
  <c r="D334" i="38"/>
  <c r="E334" i="38" s="1"/>
  <c r="D333" i="38"/>
  <c r="E333" i="38" s="1"/>
  <c r="D332" i="38"/>
  <c r="E332" i="38" s="1"/>
  <c r="D331" i="38"/>
  <c r="E331" i="38" s="1"/>
  <c r="D330" i="38"/>
  <c r="E330" i="38" s="1"/>
  <c r="D329" i="38"/>
  <c r="E329" i="38" s="1"/>
  <c r="D328" i="38"/>
  <c r="E328" i="38" s="1"/>
  <c r="D327" i="38"/>
  <c r="E327" i="38" s="1"/>
  <c r="D326" i="38"/>
  <c r="E326" i="38" s="1"/>
  <c r="D325" i="38"/>
  <c r="E325" i="38" s="1"/>
  <c r="D324" i="38"/>
  <c r="E324" i="38" s="1"/>
  <c r="D323" i="38"/>
  <c r="E323" i="38" s="1"/>
  <c r="D322" i="38"/>
  <c r="E322" i="38" s="1"/>
  <c r="D321" i="38"/>
  <c r="E321" i="38" s="1"/>
  <c r="D320" i="38"/>
  <c r="E320" i="38" s="1"/>
  <c r="D319" i="38"/>
  <c r="E319" i="38" s="1"/>
  <c r="D318" i="38"/>
  <c r="E318" i="38" s="1"/>
  <c r="D317" i="38"/>
  <c r="E317" i="38" s="1"/>
  <c r="D316" i="38"/>
  <c r="E316" i="38" s="1"/>
  <c r="D315" i="38"/>
  <c r="E315" i="38" s="1"/>
  <c r="D314" i="38"/>
  <c r="E314" i="38" s="1"/>
  <c r="D313" i="38"/>
  <c r="E313" i="38" s="1"/>
  <c r="D312" i="38"/>
  <c r="E312" i="38" s="1"/>
  <c r="D311" i="38"/>
  <c r="E311" i="38" s="1"/>
  <c r="D310" i="38"/>
  <c r="E310" i="38" s="1"/>
  <c r="D309" i="38"/>
  <c r="E309" i="38" s="1"/>
  <c r="D308" i="38"/>
  <c r="E308" i="38" s="1"/>
  <c r="D307" i="38"/>
  <c r="E307" i="38" s="1"/>
  <c r="D306" i="38"/>
  <c r="E306" i="38" s="1"/>
  <c r="D305" i="38"/>
  <c r="E305" i="38" s="1"/>
  <c r="D304" i="38"/>
  <c r="E304" i="38" s="1"/>
  <c r="D303" i="38"/>
  <c r="E303" i="38" s="1"/>
  <c r="D302" i="38"/>
  <c r="E302" i="38" s="1"/>
  <c r="D301" i="38"/>
  <c r="E301" i="38" s="1"/>
  <c r="D300" i="38"/>
  <c r="E300" i="38" s="1"/>
  <c r="D299" i="38"/>
  <c r="E299" i="38" s="1"/>
  <c r="D298" i="38"/>
  <c r="E298" i="38" s="1"/>
  <c r="D297" i="38"/>
  <c r="E297" i="38" s="1"/>
  <c r="D296" i="38"/>
  <c r="E296" i="38" s="1"/>
  <c r="D295" i="38"/>
  <c r="E295" i="38" s="1"/>
  <c r="D294" i="38"/>
  <c r="E294" i="38" s="1"/>
  <c r="D293" i="38"/>
  <c r="E293" i="38" s="1"/>
  <c r="D292" i="38"/>
  <c r="E292" i="38" s="1"/>
  <c r="D291" i="38"/>
  <c r="E291" i="38" s="1"/>
  <c r="D290" i="38"/>
  <c r="E290" i="38" s="1"/>
  <c r="D289" i="38"/>
  <c r="E289" i="38" s="1"/>
  <c r="D288" i="38"/>
  <c r="E288" i="38" s="1"/>
  <c r="D287" i="38"/>
  <c r="E287" i="38" s="1"/>
  <c r="D286" i="38"/>
  <c r="E286" i="38" s="1"/>
  <c r="D285" i="38"/>
  <c r="E285" i="38" s="1"/>
  <c r="D284" i="38"/>
  <c r="E284" i="38" s="1"/>
  <c r="D283" i="38"/>
  <c r="E283" i="38" s="1"/>
  <c r="D282" i="38"/>
  <c r="E282" i="38" s="1"/>
  <c r="D281" i="38"/>
  <c r="E281" i="38" s="1"/>
  <c r="D280" i="38"/>
  <c r="E280" i="38" s="1"/>
  <c r="D279" i="38"/>
  <c r="E279" i="38" s="1"/>
  <c r="D278" i="38"/>
  <c r="E278" i="38" s="1"/>
  <c r="D277" i="38"/>
  <c r="E277" i="38" s="1"/>
  <c r="D276" i="38"/>
  <c r="E276" i="38" s="1"/>
  <c r="D275" i="38"/>
  <c r="E275" i="38" s="1"/>
  <c r="D274" i="38"/>
  <c r="E274" i="38" s="1"/>
  <c r="D273" i="38"/>
  <c r="E273" i="38" s="1"/>
  <c r="D272" i="38"/>
  <c r="E272" i="38" s="1"/>
  <c r="D271" i="38"/>
  <c r="E271" i="38" s="1"/>
  <c r="D270" i="38"/>
  <c r="E270" i="38" s="1"/>
  <c r="D269" i="38"/>
  <c r="E269" i="38" s="1"/>
  <c r="D268" i="38"/>
  <c r="E268" i="38" s="1"/>
  <c r="D267" i="38"/>
  <c r="E267" i="38" s="1"/>
  <c r="D266" i="38"/>
  <c r="E266" i="38" s="1"/>
  <c r="D265" i="38"/>
  <c r="E265" i="38" s="1"/>
  <c r="D264" i="38"/>
  <c r="E264" i="38" s="1"/>
  <c r="D263" i="38"/>
  <c r="E263" i="38" s="1"/>
  <c r="D262" i="38"/>
  <c r="E262" i="38" s="1"/>
  <c r="D261" i="38"/>
  <c r="E261" i="38" s="1"/>
  <c r="D260" i="38"/>
  <c r="E260" i="38" s="1"/>
  <c r="D259" i="38"/>
  <c r="E259" i="38" s="1"/>
  <c r="D258" i="38"/>
  <c r="E258" i="38" s="1"/>
  <c r="D257" i="38"/>
  <c r="E257" i="38" s="1"/>
  <c r="D256" i="38"/>
  <c r="E256" i="38" s="1"/>
  <c r="D255" i="38"/>
  <c r="E255" i="38" s="1"/>
  <c r="D254" i="38"/>
  <c r="E254" i="38" s="1"/>
  <c r="D253" i="38"/>
  <c r="E253" i="38" s="1"/>
  <c r="D252" i="38"/>
  <c r="E252" i="38" s="1"/>
  <c r="D251" i="38"/>
  <c r="E251" i="38" s="1"/>
  <c r="D250" i="38"/>
  <c r="E250" i="38" s="1"/>
  <c r="D249" i="38"/>
  <c r="E249" i="38" s="1"/>
  <c r="D248" i="38"/>
  <c r="E248" i="38" s="1"/>
  <c r="D247" i="38"/>
  <c r="E247" i="38" s="1"/>
  <c r="D246" i="38"/>
  <c r="E246" i="38" s="1"/>
  <c r="D245" i="38"/>
  <c r="E245" i="38" s="1"/>
  <c r="D244" i="38"/>
  <c r="E244" i="38" s="1"/>
  <c r="D243" i="38"/>
  <c r="E243" i="38" s="1"/>
  <c r="D242" i="38"/>
  <c r="E242" i="38" s="1"/>
  <c r="D241" i="38"/>
  <c r="E241" i="38" s="1"/>
  <c r="D240" i="38"/>
  <c r="E240" i="38" s="1"/>
  <c r="D239" i="38"/>
  <c r="E239" i="38" s="1"/>
  <c r="D238" i="38"/>
  <c r="E238" i="38" s="1"/>
  <c r="D237" i="38"/>
  <c r="E237" i="38" s="1"/>
  <c r="D236" i="38"/>
  <c r="E236" i="38" s="1"/>
  <c r="D235" i="38"/>
  <c r="E235" i="38" s="1"/>
  <c r="D234" i="38"/>
  <c r="E234" i="38" s="1"/>
  <c r="D233" i="38"/>
  <c r="E233" i="38" s="1"/>
  <c r="D232" i="38"/>
  <c r="E232" i="38" s="1"/>
  <c r="D231" i="38"/>
  <c r="E231" i="38" s="1"/>
  <c r="D230" i="38"/>
  <c r="E230" i="38" s="1"/>
  <c r="D229" i="38"/>
  <c r="E229" i="38" s="1"/>
  <c r="D228" i="38"/>
  <c r="E228" i="38" s="1"/>
  <c r="D227" i="38"/>
  <c r="E227" i="38" s="1"/>
  <c r="D226" i="38"/>
  <c r="E226" i="38" s="1"/>
  <c r="D225" i="38"/>
  <c r="E225" i="38" s="1"/>
  <c r="D224" i="38"/>
  <c r="E224" i="38" s="1"/>
  <c r="D223" i="38"/>
  <c r="E223" i="38" s="1"/>
  <c r="D222" i="38"/>
  <c r="E222" i="38" s="1"/>
  <c r="D221" i="38"/>
  <c r="E221" i="38" s="1"/>
  <c r="D220" i="38"/>
  <c r="E220" i="38" s="1"/>
  <c r="D219" i="38"/>
  <c r="E219" i="38" s="1"/>
  <c r="D218" i="38"/>
  <c r="E218" i="38" s="1"/>
  <c r="D217" i="38"/>
  <c r="E217" i="38" s="1"/>
  <c r="D216" i="38"/>
  <c r="E216" i="38" s="1"/>
  <c r="D215" i="38"/>
  <c r="E215" i="38" s="1"/>
  <c r="D214" i="38"/>
  <c r="E214" i="38" s="1"/>
  <c r="D213" i="38"/>
  <c r="E213" i="38" s="1"/>
  <c r="D212" i="38"/>
  <c r="E212" i="38" s="1"/>
  <c r="D211" i="38"/>
  <c r="E211" i="38" s="1"/>
  <c r="D210" i="38"/>
  <c r="E210" i="38" s="1"/>
  <c r="D209" i="38"/>
  <c r="E209" i="38" s="1"/>
  <c r="D208" i="38"/>
  <c r="E208" i="38" s="1"/>
  <c r="D207" i="38"/>
  <c r="E207" i="38" s="1"/>
  <c r="D206" i="38"/>
  <c r="E206" i="38" s="1"/>
  <c r="D205" i="38"/>
  <c r="E205" i="38" s="1"/>
  <c r="D204" i="38"/>
  <c r="E204" i="38" s="1"/>
  <c r="D203" i="38"/>
  <c r="E203" i="38" s="1"/>
  <c r="D202" i="38"/>
  <c r="E202" i="38" s="1"/>
  <c r="D201" i="38"/>
  <c r="E201" i="38" s="1"/>
  <c r="D200" i="38"/>
  <c r="E200" i="38" s="1"/>
  <c r="D199" i="38"/>
  <c r="E199" i="38" s="1"/>
  <c r="D198" i="38"/>
  <c r="E198" i="38" s="1"/>
  <c r="D197" i="38"/>
  <c r="E197" i="38" s="1"/>
  <c r="D196" i="38"/>
  <c r="E196" i="38" s="1"/>
  <c r="D195" i="38"/>
  <c r="E195" i="38" s="1"/>
  <c r="D194" i="38"/>
  <c r="E194" i="38" s="1"/>
  <c r="D193" i="38"/>
  <c r="E193" i="38" s="1"/>
  <c r="D192" i="38"/>
  <c r="E192" i="38" s="1"/>
  <c r="D191" i="38"/>
  <c r="E191" i="38" s="1"/>
  <c r="D190" i="38"/>
  <c r="E190" i="38" s="1"/>
  <c r="D189" i="38"/>
  <c r="E189" i="38" s="1"/>
  <c r="D188" i="38"/>
  <c r="E188" i="38" s="1"/>
  <c r="D187" i="38"/>
  <c r="E187" i="38" s="1"/>
  <c r="D186" i="38"/>
  <c r="E186" i="38" s="1"/>
  <c r="D185" i="38"/>
  <c r="E185" i="38" s="1"/>
  <c r="D184" i="38"/>
  <c r="E184" i="38" s="1"/>
  <c r="D183" i="38"/>
  <c r="E183" i="38" s="1"/>
  <c r="D182" i="38"/>
  <c r="E182" i="38" s="1"/>
  <c r="D181" i="38"/>
  <c r="E181" i="38" s="1"/>
  <c r="D180" i="38"/>
  <c r="E180" i="38" s="1"/>
  <c r="D179" i="38"/>
  <c r="E179" i="38" s="1"/>
  <c r="D178" i="38"/>
  <c r="E178" i="38" s="1"/>
  <c r="D177" i="38"/>
  <c r="E177" i="38" s="1"/>
  <c r="D176" i="38"/>
  <c r="E176" i="38" s="1"/>
  <c r="D175" i="38"/>
  <c r="E175" i="38" s="1"/>
  <c r="D174" i="38"/>
  <c r="E174" i="38" s="1"/>
  <c r="D173" i="38"/>
  <c r="E173" i="38" s="1"/>
  <c r="D172" i="38"/>
  <c r="E172" i="38" s="1"/>
  <c r="D171" i="38"/>
  <c r="E171" i="38" s="1"/>
  <c r="D170" i="38"/>
  <c r="E170" i="38" s="1"/>
  <c r="D169" i="38"/>
  <c r="E169" i="38" s="1"/>
  <c r="N168" i="38"/>
  <c r="D168" i="38"/>
  <c r="E168" i="38" s="1"/>
  <c r="M167" i="38"/>
  <c r="D167" i="38"/>
  <c r="E167" i="38" s="1"/>
  <c r="N166" i="38"/>
  <c r="D166" i="38"/>
  <c r="E166" i="38" s="1"/>
  <c r="M165" i="38"/>
  <c r="D165" i="38"/>
  <c r="E165" i="38" s="1"/>
  <c r="N164" i="38"/>
  <c r="D164" i="38"/>
  <c r="E164" i="38" s="1"/>
  <c r="M163" i="38"/>
  <c r="D163" i="38"/>
  <c r="E163" i="38" s="1"/>
  <c r="N162" i="38"/>
  <c r="D162" i="38"/>
  <c r="E162" i="38" s="1"/>
  <c r="M161" i="38"/>
  <c r="D161" i="38"/>
  <c r="E161" i="38" s="1"/>
  <c r="N160" i="38"/>
  <c r="D160" i="38"/>
  <c r="E160" i="38" s="1"/>
  <c r="M159" i="38"/>
  <c r="D159" i="38"/>
  <c r="E159" i="38" s="1"/>
  <c r="N158" i="38"/>
  <c r="D158" i="38"/>
  <c r="E158" i="38" s="1"/>
  <c r="M157" i="38"/>
  <c r="D157" i="38"/>
  <c r="E157" i="38" s="1"/>
  <c r="N156" i="38"/>
  <c r="D156" i="38"/>
  <c r="E156" i="38" s="1"/>
  <c r="M155" i="38"/>
  <c r="D155" i="38"/>
  <c r="E155" i="38" s="1"/>
  <c r="N154" i="38"/>
  <c r="D154" i="38"/>
  <c r="E154" i="38" s="1"/>
  <c r="M153" i="38"/>
  <c r="D153" i="38"/>
  <c r="E153" i="38" s="1"/>
  <c r="N152" i="38"/>
  <c r="D152" i="38"/>
  <c r="E152" i="38" s="1"/>
  <c r="M151" i="38"/>
  <c r="D151" i="38"/>
  <c r="E151" i="38" s="1"/>
  <c r="N150" i="38"/>
  <c r="D150" i="38"/>
  <c r="E150" i="38" s="1"/>
  <c r="M149" i="38"/>
  <c r="D149" i="38"/>
  <c r="E149" i="38" s="1"/>
  <c r="O148" i="38"/>
  <c r="D148" i="38"/>
  <c r="E148" i="38" s="1"/>
  <c r="N147" i="38"/>
  <c r="D147" i="38"/>
  <c r="E147" i="38" s="1"/>
  <c r="M146" i="38"/>
  <c r="D146" i="38"/>
  <c r="E146" i="38" s="1"/>
  <c r="O145" i="38"/>
  <c r="D145" i="38"/>
  <c r="E145" i="38" s="1"/>
  <c r="N144" i="38"/>
  <c r="D144" i="38"/>
  <c r="E144" i="38" s="1"/>
  <c r="M143" i="38"/>
  <c r="D143" i="38"/>
  <c r="E143" i="38" s="1"/>
  <c r="O142" i="38"/>
  <c r="D142" i="38"/>
  <c r="E142" i="38" s="1"/>
  <c r="N141" i="38"/>
  <c r="D141" i="38"/>
  <c r="E141" i="38" s="1"/>
  <c r="M140" i="38"/>
  <c r="D140" i="38"/>
  <c r="E140" i="38" s="1"/>
  <c r="O139" i="38"/>
  <c r="D139" i="38"/>
  <c r="E139" i="38" s="1"/>
  <c r="N138" i="38"/>
  <c r="D138" i="38"/>
  <c r="E138" i="38" s="1"/>
  <c r="M137" i="38"/>
  <c r="D137" i="38"/>
  <c r="E137" i="38" s="1"/>
  <c r="O136" i="38"/>
  <c r="D136" i="38"/>
  <c r="E136" i="38" s="1"/>
  <c r="N135" i="38"/>
  <c r="D135" i="38"/>
  <c r="E135" i="38" s="1"/>
  <c r="M134" i="38"/>
  <c r="D134" i="38"/>
  <c r="E134" i="38" s="1"/>
  <c r="O133" i="38"/>
  <c r="D133" i="38"/>
  <c r="E133" i="38" s="1"/>
  <c r="N132" i="38"/>
  <c r="D132" i="38"/>
  <c r="E132" i="38" s="1"/>
  <c r="M131" i="38"/>
  <c r="D131" i="38"/>
  <c r="E131" i="38" s="1"/>
  <c r="O130" i="38"/>
  <c r="D130" i="38"/>
  <c r="E130" i="38" s="1"/>
  <c r="N129" i="38"/>
  <c r="D129" i="38"/>
  <c r="E129" i="38" s="1"/>
  <c r="M128" i="38"/>
  <c r="D128" i="38"/>
  <c r="E128" i="38" s="1"/>
  <c r="O127" i="38"/>
  <c r="D127" i="38"/>
  <c r="E127" i="38" s="1"/>
  <c r="N126" i="38"/>
  <c r="D126" i="38"/>
  <c r="E126" i="38" s="1"/>
  <c r="M125" i="38"/>
  <c r="D125" i="38"/>
  <c r="E125" i="38" s="1"/>
  <c r="O124" i="38"/>
  <c r="D124" i="38"/>
  <c r="E124" i="38" s="1"/>
  <c r="N123" i="38"/>
  <c r="D123" i="38"/>
  <c r="E123" i="38" s="1"/>
  <c r="M122" i="38"/>
  <c r="D122" i="38"/>
  <c r="E122" i="38" s="1"/>
  <c r="N121" i="38"/>
  <c r="D121" i="38"/>
  <c r="E121" i="38" s="1"/>
  <c r="M120" i="38"/>
  <c r="D120" i="38"/>
  <c r="E120" i="38" s="1"/>
  <c r="P119" i="38"/>
  <c r="D119" i="38"/>
  <c r="E119" i="38" s="1"/>
  <c r="O118" i="38"/>
  <c r="D118" i="38"/>
  <c r="E118" i="38" s="1"/>
  <c r="N117" i="38"/>
  <c r="D117" i="38"/>
  <c r="E117" i="38" s="1"/>
  <c r="M116" i="38"/>
  <c r="D116" i="38"/>
  <c r="E116" i="38" s="1"/>
  <c r="P115" i="38"/>
  <c r="D115" i="38"/>
  <c r="E115" i="38" s="1"/>
  <c r="O114" i="38"/>
  <c r="D114" i="38"/>
  <c r="E114" i="38" s="1"/>
  <c r="N113" i="38"/>
  <c r="D113" i="38"/>
  <c r="E113" i="38" s="1"/>
  <c r="M112" i="38"/>
  <c r="D112" i="38"/>
  <c r="E112" i="38" s="1"/>
  <c r="Q111" i="38"/>
  <c r="D111" i="38"/>
  <c r="E111" i="38" s="1"/>
  <c r="O110" i="38"/>
  <c r="D110" i="38"/>
  <c r="E110" i="38" s="1"/>
  <c r="N109" i="38"/>
  <c r="D109" i="38"/>
  <c r="E109" i="38" s="1"/>
  <c r="M108" i="38"/>
  <c r="C108" i="38"/>
  <c r="Q107" i="38"/>
  <c r="C107" i="38"/>
  <c r="P106" i="38"/>
  <c r="I106" i="38"/>
  <c r="C106" i="38"/>
  <c r="O105" i="38"/>
  <c r="I105" i="38"/>
  <c r="C105" i="38"/>
  <c r="N104" i="38"/>
  <c r="I104" i="38"/>
  <c r="C104" i="38"/>
  <c r="M103" i="38"/>
  <c r="I103" i="38"/>
  <c r="C103" i="38"/>
  <c r="M102" i="38"/>
  <c r="I102" i="38"/>
  <c r="C102" i="38"/>
  <c r="N101" i="38"/>
  <c r="I101" i="38"/>
  <c r="C101" i="38"/>
  <c r="M100" i="38"/>
  <c r="I100" i="38"/>
  <c r="C100" i="38"/>
  <c r="N99" i="38"/>
  <c r="I99" i="38"/>
  <c r="C99" i="38"/>
  <c r="M98" i="38"/>
  <c r="C98" i="38"/>
  <c r="N97" i="38"/>
  <c r="C97" i="38"/>
  <c r="M96" i="38"/>
  <c r="C96" i="38"/>
  <c r="O95" i="38"/>
  <c r="C95" i="38"/>
  <c r="N94" i="38"/>
  <c r="C94" i="38"/>
  <c r="M93" i="38"/>
  <c r="C93" i="38"/>
  <c r="P92" i="38"/>
  <c r="C92" i="38"/>
  <c r="O91" i="38"/>
  <c r="C91" i="38"/>
  <c r="N90" i="38"/>
  <c r="C90" i="38"/>
  <c r="M89" i="38"/>
  <c r="C89" i="38"/>
  <c r="M88" i="38"/>
  <c r="C88" i="38"/>
  <c r="M87" i="38"/>
  <c r="C87" i="38"/>
  <c r="M86" i="38"/>
  <c r="C86" i="38"/>
  <c r="M85" i="38"/>
  <c r="C85" i="38"/>
  <c r="M84" i="38"/>
  <c r="C84" i="38"/>
  <c r="M83" i="38"/>
  <c r="C83" i="38"/>
  <c r="M82" i="38"/>
  <c r="C82" i="38"/>
  <c r="M81" i="38"/>
  <c r="C81" i="38"/>
  <c r="M80" i="38"/>
  <c r="C80" i="38"/>
  <c r="M79" i="38"/>
  <c r="C79" i="38"/>
  <c r="M78" i="38"/>
  <c r="C78" i="38"/>
  <c r="M77" i="38"/>
  <c r="C77" i="38"/>
  <c r="M76" i="38"/>
  <c r="C76" i="38"/>
  <c r="M75" i="38"/>
  <c r="C75" i="38"/>
  <c r="Q74" i="38"/>
  <c r="C74" i="38"/>
  <c r="P73" i="38"/>
  <c r="C73" i="38"/>
  <c r="O72" i="38"/>
  <c r="C72" i="38"/>
  <c r="N71" i="38"/>
  <c r="C71" i="38"/>
  <c r="M70" i="38"/>
  <c r="C70" i="38"/>
  <c r="Q69" i="38"/>
  <c r="C69" i="38"/>
  <c r="P68" i="38"/>
  <c r="C68" i="38"/>
  <c r="O67" i="38"/>
  <c r="C67" i="38"/>
  <c r="N66" i="38"/>
  <c r="C66" i="38"/>
  <c r="M65" i="38"/>
  <c r="C65" i="38"/>
  <c r="P64" i="38"/>
  <c r="C64" i="38"/>
  <c r="O63" i="38"/>
  <c r="C63" i="38"/>
  <c r="N62" i="38"/>
  <c r="C62" i="38"/>
  <c r="M61" i="38"/>
  <c r="C61" i="38"/>
  <c r="P60" i="38"/>
  <c r="C60" i="38"/>
  <c r="O59" i="38"/>
  <c r="C59" i="38"/>
  <c r="N58" i="38"/>
  <c r="C58" i="38"/>
  <c r="M57" i="38"/>
  <c r="C57" i="38"/>
  <c r="O56" i="38"/>
  <c r="C56" i="38"/>
  <c r="N55" i="38"/>
  <c r="C55" i="38"/>
  <c r="M54" i="38"/>
  <c r="C54" i="38"/>
  <c r="O53" i="38"/>
  <c r="C53" i="38"/>
  <c r="N52" i="38"/>
  <c r="C52" i="38"/>
  <c r="M51" i="38"/>
  <c r="A51" i="38"/>
  <c r="O50" i="38"/>
  <c r="A50" i="38"/>
  <c r="N49" i="38"/>
  <c r="A49" i="38"/>
  <c r="M48" i="38"/>
  <c r="A48" i="38"/>
  <c r="N47" i="38"/>
  <c r="A47" i="38"/>
  <c r="M46" i="38"/>
  <c r="A46" i="38"/>
  <c r="N45" i="38"/>
  <c r="A45" i="38"/>
  <c r="M44" i="38"/>
  <c r="A44" i="38"/>
  <c r="R43" i="38"/>
  <c r="A43" i="38"/>
  <c r="Q42" i="38"/>
  <c r="A42" i="38"/>
  <c r="P41" i="38"/>
  <c r="A41" i="38"/>
  <c r="O40" i="38"/>
  <c r="A40" i="38"/>
  <c r="N39" i="38"/>
  <c r="M38" i="38"/>
  <c r="R37" i="38"/>
  <c r="Q36" i="38"/>
  <c r="D36" i="38"/>
  <c r="P35" i="38"/>
  <c r="D35" i="38"/>
  <c r="O34" i="38"/>
  <c r="D34" i="38"/>
  <c r="N33" i="38"/>
  <c r="D33" i="38"/>
  <c r="M32" i="38"/>
  <c r="D32" i="38"/>
  <c r="R31" i="38"/>
  <c r="D31" i="38"/>
  <c r="Q30" i="38"/>
  <c r="D30" i="38"/>
  <c r="A30" i="38"/>
  <c r="C30" i="38" s="1"/>
  <c r="P29" i="38"/>
  <c r="D29" i="38"/>
  <c r="A29" i="38"/>
  <c r="C29" i="38" s="1"/>
  <c r="O28" i="38"/>
  <c r="D28" i="38"/>
  <c r="A28" i="38"/>
  <c r="C28" i="38" s="1"/>
  <c r="N27" i="38"/>
  <c r="E27" i="38"/>
  <c r="D27" i="38"/>
  <c r="A27" i="38"/>
  <c r="C27" i="38" s="1"/>
  <c r="M26" i="38"/>
  <c r="E26" i="38"/>
  <c r="D26" i="38"/>
  <c r="A26" i="38"/>
  <c r="C26" i="38" s="1"/>
  <c r="Q25" i="38"/>
  <c r="D25" i="38"/>
  <c r="A25" i="38"/>
  <c r="C25" i="38" s="1"/>
  <c r="P24" i="38"/>
  <c r="F24" i="38"/>
  <c r="D24" i="38"/>
  <c r="O23" i="38"/>
  <c r="F23" i="38"/>
  <c r="D23" i="38"/>
  <c r="N22" i="38"/>
  <c r="D22" i="38"/>
  <c r="M21" i="38"/>
  <c r="D21" i="38"/>
  <c r="P20" i="38"/>
  <c r="O19" i="38"/>
  <c r="N18" i="38"/>
  <c r="M17" i="38"/>
  <c r="P16" i="38"/>
  <c r="F16" i="38"/>
  <c r="D16" i="38"/>
  <c r="O15" i="38"/>
  <c r="D15" i="38"/>
  <c r="N14" i="38"/>
  <c r="D14" i="38"/>
  <c r="M13" i="38"/>
  <c r="D13" i="38"/>
  <c r="O12" i="38"/>
  <c r="D12" i="38"/>
  <c r="N11" i="38"/>
  <c r="F11" i="38"/>
  <c r="M10" i="38"/>
  <c r="N9" i="38"/>
  <c r="F9" i="38"/>
  <c r="M8" i="38"/>
  <c r="D8" i="38"/>
  <c r="F7" i="38"/>
  <c r="D7" i="38"/>
  <c r="D6" i="38"/>
  <c r="F5" i="38"/>
  <c r="F4" i="38"/>
  <c r="F2" i="38"/>
  <c r="D854" i="60"/>
  <c r="E854" i="60" s="1"/>
  <c r="D853" i="60"/>
  <c r="E853" i="60" s="1"/>
  <c r="D852" i="60"/>
  <c r="E852" i="60" s="1"/>
  <c r="D851" i="60"/>
  <c r="E851" i="60" s="1"/>
  <c r="D850" i="60"/>
  <c r="E850" i="60" s="1"/>
  <c r="D849" i="60"/>
  <c r="E849" i="60" s="1"/>
  <c r="D848" i="60"/>
  <c r="E848" i="60" s="1"/>
  <c r="D847" i="60"/>
  <c r="E847" i="60" s="1"/>
  <c r="D846" i="60"/>
  <c r="E846" i="60" s="1"/>
  <c r="D845" i="60"/>
  <c r="E845" i="60" s="1"/>
  <c r="D844" i="60"/>
  <c r="E844" i="60" s="1"/>
  <c r="D843" i="60"/>
  <c r="E843" i="60" s="1"/>
  <c r="D842" i="60"/>
  <c r="E842" i="60" s="1"/>
  <c r="D841" i="60"/>
  <c r="E841" i="60" s="1"/>
  <c r="D840" i="60"/>
  <c r="E840" i="60" s="1"/>
  <c r="D839" i="60"/>
  <c r="E839" i="60" s="1"/>
  <c r="D838" i="60"/>
  <c r="E838" i="60" s="1"/>
  <c r="D837" i="60"/>
  <c r="E837" i="60" s="1"/>
  <c r="D836" i="60"/>
  <c r="E836" i="60" s="1"/>
  <c r="D835" i="60"/>
  <c r="E835" i="60" s="1"/>
  <c r="D834" i="60"/>
  <c r="E834" i="60" s="1"/>
  <c r="D833" i="60"/>
  <c r="E833" i="60" s="1"/>
  <c r="D832" i="60"/>
  <c r="E832" i="60" s="1"/>
  <c r="D831" i="60"/>
  <c r="E831" i="60" s="1"/>
  <c r="D830" i="60"/>
  <c r="E830" i="60" s="1"/>
  <c r="D829" i="60"/>
  <c r="E829" i="60" s="1"/>
  <c r="D828" i="60"/>
  <c r="E828" i="60" s="1"/>
  <c r="D827" i="60"/>
  <c r="E827" i="60" s="1"/>
  <c r="D826" i="60"/>
  <c r="E826" i="60" s="1"/>
  <c r="D825" i="60"/>
  <c r="E825" i="60" s="1"/>
  <c r="D824" i="60"/>
  <c r="E824" i="60" s="1"/>
  <c r="D823" i="60"/>
  <c r="E823" i="60" s="1"/>
  <c r="D822" i="60"/>
  <c r="E822" i="60" s="1"/>
  <c r="D821" i="60"/>
  <c r="E821" i="60" s="1"/>
  <c r="D820" i="60"/>
  <c r="E820" i="60" s="1"/>
  <c r="D819" i="60"/>
  <c r="E819" i="60" s="1"/>
  <c r="D818" i="60"/>
  <c r="E818" i="60" s="1"/>
  <c r="D817" i="60"/>
  <c r="E817" i="60" s="1"/>
  <c r="D816" i="60"/>
  <c r="E816" i="60" s="1"/>
  <c r="E815" i="60"/>
  <c r="D814" i="60"/>
  <c r="E814" i="60" s="1"/>
  <c r="D813" i="60"/>
  <c r="E813" i="60" s="1"/>
  <c r="D812" i="60"/>
  <c r="E812" i="60" s="1"/>
  <c r="D811" i="60"/>
  <c r="E811" i="60" s="1"/>
  <c r="D810" i="60"/>
  <c r="E810" i="60" s="1"/>
  <c r="D809" i="60"/>
  <c r="E809" i="60" s="1"/>
  <c r="D808" i="60"/>
  <c r="E808" i="60" s="1"/>
  <c r="E807" i="60"/>
  <c r="D806" i="60"/>
  <c r="E806" i="60" s="1"/>
  <c r="D805" i="60"/>
  <c r="E805" i="60" s="1"/>
  <c r="D804" i="60"/>
  <c r="E804" i="60" s="1"/>
  <c r="D803" i="60"/>
  <c r="E803" i="60" s="1"/>
  <c r="D802" i="60"/>
  <c r="E802" i="60" s="1"/>
  <c r="D801" i="60"/>
  <c r="E801" i="60" s="1"/>
  <c r="D800" i="60"/>
  <c r="E800" i="60" s="1"/>
  <c r="E799" i="60"/>
  <c r="D798" i="60"/>
  <c r="E798" i="60" s="1"/>
  <c r="D797" i="60"/>
  <c r="E797" i="60" s="1"/>
  <c r="D796" i="60"/>
  <c r="E796" i="60" s="1"/>
  <c r="D795" i="60"/>
  <c r="E795" i="60" s="1"/>
  <c r="D794" i="60"/>
  <c r="E794" i="60" s="1"/>
  <c r="D793" i="60"/>
  <c r="E793" i="60" s="1"/>
  <c r="D792" i="60"/>
  <c r="E792" i="60" s="1"/>
  <c r="E791" i="60"/>
  <c r="D790" i="60"/>
  <c r="E790" i="60" s="1"/>
  <c r="D789" i="60"/>
  <c r="E789" i="60" s="1"/>
  <c r="D788" i="60"/>
  <c r="E788" i="60" s="1"/>
  <c r="D787" i="60"/>
  <c r="E787" i="60" s="1"/>
  <c r="D786" i="60"/>
  <c r="E786" i="60" s="1"/>
  <c r="D785" i="60"/>
  <c r="E785" i="60" s="1"/>
  <c r="D784" i="60"/>
  <c r="E784" i="60" s="1"/>
  <c r="D783" i="60"/>
  <c r="E783" i="60" s="1"/>
  <c r="D782" i="60"/>
  <c r="E782" i="60" s="1"/>
  <c r="D781" i="60"/>
  <c r="E781" i="60" s="1"/>
  <c r="D780" i="60"/>
  <c r="E780" i="60" s="1"/>
  <c r="D779" i="60"/>
  <c r="E779" i="60" s="1"/>
  <c r="D778" i="60"/>
  <c r="E778" i="60" s="1"/>
  <c r="D777" i="60"/>
  <c r="E777" i="60" s="1"/>
  <c r="D776" i="60"/>
  <c r="E776" i="60" s="1"/>
  <c r="D775" i="60"/>
  <c r="E775" i="60" s="1"/>
  <c r="D774" i="60"/>
  <c r="E774" i="60" s="1"/>
  <c r="D773" i="60"/>
  <c r="E773" i="60" s="1"/>
  <c r="D772" i="60"/>
  <c r="E772" i="60" s="1"/>
  <c r="D771" i="60"/>
  <c r="E771" i="60" s="1"/>
  <c r="D770" i="60"/>
  <c r="E770" i="60" s="1"/>
  <c r="D769" i="60"/>
  <c r="E769" i="60" s="1"/>
  <c r="D768" i="60"/>
  <c r="E768" i="60" s="1"/>
  <c r="D767" i="60"/>
  <c r="E767" i="60" s="1"/>
  <c r="D766" i="60"/>
  <c r="E766" i="60" s="1"/>
  <c r="D765" i="60"/>
  <c r="E765" i="60" s="1"/>
  <c r="D764" i="60"/>
  <c r="E764" i="60" s="1"/>
  <c r="D763" i="60"/>
  <c r="E763" i="60" s="1"/>
  <c r="D762" i="60"/>
  <c r="E762" i="60" s="1"/>
  <c r="D761" i="60"/>
  <c r="E761" i="60" s="1"/>
  <c r="D760" i="60"/>
  <c r="E760" i="60" s="1"/>
  <c r="D759" i="60"/>
  <c r="E759" i="60" s="1"/>
  <c r="D758" i="60"/>
  <c r="E758" i="60" s="1"/>
  <c r="D757" i="60"/>
  <c r="E757" i="60" s="1"/>
  <c r="D756" i="60"/>
  <c r="E756" i="60" s="1"/>
  <c r="D755" i="60"/>
  <c r="E755" i="60" s="1"/>
  <c r="D754" i="60"/>
  <c r="E754" i="60" s="1"/>
  <c r="D753" i="60"/>
  <c r="E753" i="60" s="1"/>
  <c r="D752" i="60"/>
  <c r="E752" i="60" s="1"/>
  <c r="D751" i="60"/>
  <c r="E751" i="60" s="1"/>
  <c r="D750" i="60"/>
  <c r="E750" i="60" s="1"/>
  <c r="D749" i="60"/>
  <c r="E749" i="60" s="1"/>
  <c r="D748" i="60"/>
  <c r="E748" i="60" s="1"/>
  <c r="D747" i="60"/>
  <c r="E747" i="60" s="1"/>
  <c r="D746" i="60"/>
  <c r="E746" i="60" s="1"/>
  <c r="D745" i="60"/>
  <c r="E745" i="60" s="1"/>
  <c r="D744" i="60"/>
  <c r="E744" i="60" s="1"/>
  <c r="D743" i="60"/>
  <c r="E743" i="60" s="1"/>
  <c r="D742" i="60"/>
  <c r="E742" i="60" s="1"/>
  <c r="D741" i="60"/>
  <c r="E741" i="60" s="1"/>
  <c r="D740" i="60"/>
  <c r="E740" i="60" s="1"/>
  <c r="D739" i="60"/>
  <c r="E739" i="60" s="1"/>
  <c r="D738" i="60"/>
  <c r="E738" i="60" s="1"/>
  <c r="D737" i="60"/>
  <c r="E737" i="60" s="1"/>
  <c r="D736" i="60"/>
  <c r="E736" i="60" s="1"/>
  <c r="D735" i="60"/>
  <c r="E735" i="60" s="1"/>
  <c r="D734" i="60"/>
  <c r="E734" i="60" s="1"/>
  <c r="D733" i="60"/>
  <c r="E733" i="60" s="1"/>
  <c r="D732" i="60"/>
  <c r="E732" i="60" s="1"/>
  <c r="D731" i="60"/>
  <c r="E731" i="60" s="1"/>
  <c r="D730" i="60"/>
  <c r="E730" i="60" s="1"/>
  <c r="D729" i="60"/>
  <c r="E729" i="60" s="1"/>
  <c r="D728" i="60"/>
  <c r="E728" i="60" s="1"/>
  <c r="D727" i="60"/>
  <c r="E727" i="60" s="1"/>
  <c r="D726" i="60"/>
  <c r="E726" i="60" s="1"/>
  <c r="D725" i="60"/>
  <c r="E725" i="60" s="1"/>
  <c r="D724" i="60"/>
  <c r="E724" i="60" s="1"/>
  <c r="D723" i="60"/>
  <c r="E723" i="60" s="1"/>
  <c r="D722" i="60"/>
  <c r="E722" i="60" s="1"/>
  <c r="D721" i="60"/>
  <c r="E721" i="60" s="1"/>
  <c r="D720" i="60"/>
  <c r="E720" i="60" s="1"/>
  <c r="D719" i="60"/>
  <c r="E719" i="60" s="1"/>
  <c r="D718" i="60"/>
  <c r="E718" i="60" s="1"/>
  <c r="D717" i="60"/>
  <c r="E717" i="60" s="1"/>
  <c r="D716" i="60"/>
  <c r="E716" i="60" s="1"/>
  <c r="D715" i="60"/>
  <c r="E715" i="60" s="1"/>
  <c r="D714" i="60"/>
  <c r="E714" i="60" s="1"/>
  <c r="D713" i="60"/>
  <c r="E713" i="60" s="1"/>
  <c r="D712" i="60"/>
  <c r="E712" i="60" s="1"/>
  <c r="D711" i="60"/>
  <c r="E711" i="60" s="1"/>
  <c r="D710" i="60"/>
  <c r="E710" i="60" s="1"/>
  <c r="D709" i="60"/>
  <c r="E709" i="60" s="1"/>
  <c r="D708" i="60"/>
  <c r="E708" i="60" s="1"/>
  <c r="D707" i="60"/>
  <c r="E707" i="60" s="1"/>
  <c r="D706" i="60"/>
  <c r="E706" i="60" s="1"/>
  <c r="D705" i="60"/>
  <c r="E705" i="60" s="1"/>
  <c r="D704" i="60"/>
  <c r="E704" i="60" s="1"/>
  <c r="D703" i="60"/>
  <c r="E703" i="60" s="1"/>
  <c r="D702" i="60"/>
  <c r="E702" i="60" s="1"/>
  <c r="D701" i="60"/>
  <c r="E701" i="60" s="1"/>
  <c r="D700" i="60"/>
  <c r="E700" i="60" s="1"/>
  <c r="D699" i="60"/>
  <c r="E699" i="60" s="1"/>
  <c r="D698" i="60"/>
  <c r="E698" i="60" s="1"/>
  <c r="D697" i="60"/>
  <c r="E697" i="60" s="1"/>
  <c r="D696" i="60"/>
  <c r="E696" i="60" s="1"/>
  <c r="D695" i="60"/>
  <c r="E695" i="60" s="1"/>
  <c r="D694" i="60"/>
  <c r="E694" i="60" s="1"/>
  <c r="D693" i="60"/>
  <c r="E693" i="60" s="1"/>
  <c r="D692" i="60"/>
  <c r="E692" i="60" s="1"/>
  <c r="D691" i="60"/>
  <c r="E691" i="60" s="1"/>
  <c r="D690" i="60"/>
  <c r="E690" i="60" s="1"/>
  <c r="D689" i="60"/>
  <c r="E689" i="60" s="1"/>
  <c r="D688" i="60"/>
  <c r="E688" i="60" s="1"/>
  <c r="D687" i="60"/>
  <c r="E687" i="60" s="1"/>
  <c r="D686" i="60"/>
  <c r="E686" i="60" s="1"/>
  <c r="D685" i="60"/>
  <c r="E685" i="60" s="1"/>
  <c r="D684" i="60"/>
  <c r="E684" i="60" s="1"/>
  <c r="D683" i="60"/>
  <c r="E683" i="60" s="1"/>
  <c r="D682" i="60"/>
  <c r="E682" i="60" s="1"/>
  <c r="D681" i="60"/>
  <c r="E681" i="60" s="1"/>
  <c r="D680" i="60"/>
  <c r="E680" i="60" s="1"/>
  <c r="D679" i="60"/>
  <c r="E679" i="60" s="1"/>
  <c r="D678" i="60"/>
  <c r="E678" i="60" s="1"/>
  <c r="D677" i="60"/>
  <c r="E677" i="60" s="1"/>
  <c r="D676" i="60"/>
  <c r="E676" i="60" s="1"/>
  <c r="D675" i="60"/>
  <c r="E675" i="60" s="1"/>
  <c r="D674" i="60"/>
  <c r="E674" i="60" s="1"/>
  <c r="D673" i="60"/>
  <c r="E673" i="60" s="1"/>
  <c r="D672" i="60"/>
  <c r="E672" i="60" s="1"/>
  <c r="D671" i="60"/>
  <c r="E671" i="60" s="1"/>
  <c r="D670" i="60"/>
  <c r="E670" i="60" s="1"/>
  <c r="D669" i="60"/>
  <c r="E669" i="60" s="1"/>
  <c r="D668" i="60"/>
  <c r="E668" i="60" s="1"/>
  <c r="D667" i="60"/>
  <c r="E667" i="60" s="1"/>
  <c r="D666" i="60"/>
  <c r="E666" i="60" s="1"/>
  <c r="D665" i="60"/>
  <c r="E665" i="60" s="1"/>
  <c r="D664" i="60"/>
  <c r="E664" i="60" s="1"/>
  <c r="D663" i="60"/>
  <c r="E663" i="60" s="1"/>
  <c r="D662" i="60"/>
  <c r="E662" i="60" s="1"/>
  <c r="D661" i="60"/>
  <c r="E661" i="60" s="1"/>
  <c r="D660" i="60"/>
  <c r="E660" i="60" s="1"/>
  <c r="D659" i="60"/>
  <c r="E659" i="60" s="1"/>
  <c r="D658" i="60"/>
  <c r="E658" i="60" s="1"/>
  <c r="D657" i="60"/>
  <c r="E657" i="60" s="1"/>
  <c r="D656" i="60"/>
  <c r="E656" i="60" s="1"/>
  <c r="D655" i="60"/>
  <c r="E655" i="60" s="1"/>
  <c r="D654" i="60"/>
  <c r="E654" i="60" s="1"/>
  <c r="D653" i="60"/>
  <c r="E653" i="60" s="1"/>
  <c r="D652" i="60"/>
  <c r="E652" i="60" s="1"/>
  <c r="D651" i="60"/>
  <c r="E651" i="60" s="1"/>
  <c r="D650" i="60"/>
  <c r="E650" i="60" s="1"/>
  <c r="D649" i="60"/>
  <c r="E649" i="60" s="1"/>
  <c r="D648" i="60"/>
  <c r="E648" i="60" s="1"/>
  <c r="D647" i="60"/>
  <c r="E647" i="60" s="1"/>
  <c r="D646" i="60"/>
  <c r="E646" i="60" s="1"/>
  <c r="D645" i="60"/>
  <c r="E645" i="60" s="1"/>
  <c r="D644" i="60"/>
  <c r="E644" i="60" s="1"/>
  <c r="D643" i="60"/>
  <c r="E643" i="60" s="1"/>
  <c r="D642" i="60"/>
  <c r="E642" i="60" s="1"/>
  <c r="D641" i="60"/>
  <c r="E641" i="60" s="1"/>
  <c r="D640" i="60"/>
  <c r="E640" i="60" s="1"/>
  <c r="D639" i="60"/>
  <c r="E639" i="60" s="1"/>
  <c r="D638" i="60"/>
  <c r="E638" i="60" s="1"/>
  <c r="D637" i="60"/>
  <c r="E637" i="60" s="1"/>
  <c r="D636" i="60"/>
  <c r="E636" i="60" s="1"/>
  <c r="D635" i="60"/>
  <c r="E635" i="60" s="1"/>
  <c r="D634" i="60"/>
  <c r="E634" i="60" s="1"/>
  <c r="D633" i="60"/>
  <c r="E633" i="60" s="1"/>
  <c r="D632" i="60"/>
  <c r="E632" i="60" s="1"/>
  <c r="D631" i="60"/>
  <c r="E631" i="60" s="1"/>
  <c r="D630" i="60"/>
  <c r="E630" i="60" s="1"/>
  <c r="D629" i="60"/>
  <c r="E629" i="60" s="1"/>
  <c r="D628" i="60"/>
  <c r="E628" i="60" s="1"/>
  <c r="D627" i="60"/>
  <c r="E627" i="60" s="1"/>
  <c r="D618" i="60"/>
  <c r="E618" i="60" s="1"/>
  <c r="D617" i="60"/>
  <c r="E617" i="60" s="1"/>
  <c r="D616" i="60"/>
  <c r="E616" i="60" s="1"/>
  <c r="D615" i="60"/>
  <c r="E615" i="60" s="1"/>
  <c r="D614" i="60"/>
  <c r="E614" i="60" s="1"/>
  <c r="D613" i="60"/>
  <c r="E613" i="60" s="1"/>
  <c r="D612" i="60"/>
  <c r="E612" i="60" s="1"/>
  <c r="D611" i="60"/>
  <c r="E611" i="60" s="1"/>
  <c r="D610" i="60"/>
  <c r="E610" i="60" s="1"/>
  <c r="D609" i="60"/>
  <c r="E609" i="60" s="1"/>
  <c r="D608" i="60"/>
  <c r="E608" i="60" s="1"/>
  <c r="D607" i="60"/>
  <c r="E607" i="60" s="1"/>
  <c r="D606" i="60"/>
  <c r="E606" i="60" s="1"/>
  <c r="D605" i="60"/>
  <c r="E605" i="60" s="1"/>
  <c r="D604" i="60"/>
  <c r="E604" i="60" s="1"/>
  <c r="D603" i="60"/>
  <c r="E603" i="60" s="1"/>
  <c r="D602" i="60"/>
  <c r="E602" i="60" s="1"/>
  <c r="D601" i="60"/>
  <c r="E601" i="60" s="1"/>
  <c r="D591" i="60"/>
  <c r="E591" i="60" s="1"/>
  <c r="D590" i="60"/>
  <c r="E590" i="60" s="1"/>
  <c r="D589" i="60"/>
  <c r="E589" i="60" s="1"/>
  <c r="D576" i="60"/>
  <c r="E576" i="60" s="1"/>
  <c r="D575" i="60"/>
  <c r="E575" i="60" s="1"/>
  <c r="D565" i="60"/>
  <c r="E565" i="60" s="1"/>
  <c r="D564" i="60"/>
  <c r="E564" i="60" s="1"/>
  <c r="D563" i="60"/>
  <c r="E563" i="60" s="1"/>
  <c r="D521" i="60"/>
  <c r="E521" i="60" s="1"/>
  <c r="D520" i="60"/>
  <c r="E520" i="60" s="1"/>
  <c r="D519" i="60"/>
  <c r="E519" i="60" s="1"/>
  <c r="D518" i="60"/>
  <c r="E518" i="60" s="1"/>
  <c r="D517" i="60"/>
  <c r="E517" i="60" s="1"/>
  <c r="D516" i="60"/>
  <c r="E516" i="60" s="1"/>
  <c r="D515" i="60"/>
  <c r="E515" i="60" s="1"/>
  <c r="D514" i="60"/>
  <c r="E514" i="60" s="1"/>
  <c r="D513" i="60"/>
  <c r="E513" i="60" s="1"/>
  <c r="D512" i="60"/>
  <c r="E512" i="60" s="1"/>
  <c r="D511" i="60"/>
  <c r="E511" i="60" s="1"/>
  <c r="D510" i="60"/>
  <c r="E510" i="60" s="1"/>
  <c r="D509" i="60"/>
  <c r="E509" i="60" s="1"/>
  <c r="D508" i="60"/>
  <c r="E508" i="60" s="1"/>
  <c r="D507" i="60"/>
  <c r="E507" i="60" s="1"/>
  <c r="D506" i="60"/>
  <c r="E506" i="60" s="1"/>
  <c r="D505" i="60"/>
  <c r="E505" i="60" s="1"/>
  <c r="D504" i="60"/>
  <c r="E504" i="60" s="1"/>
  <c r="D503" i="60"/>
  <c r="E503" i="60" s="1"/>
  <c r="D502" i="60"/>
  <c r="E502" i="60" s="1"/>
  <c r="D501" i="60"/>
  <c r="E501" i="60" s="1"/>
  <c r="D500" i="60"/>
  <c r="E500" i="60" s="1"/>
  <c r="D499" i="60"/>
  <c r="E499" i="60" s="1"/>
  <c r="D498" i="60"/>
  <c r="E498" i="60" s="1"/>
  <c r="D497" i="60"/>
  <c r="E497" i="60" s="1"/>
  <c r="D496" i="60"/>
  <c r="E496" i="60" s="1"/>
  <c r="D495" i="60"/>
  <c r="E495" i="60" s="1"/>
  <c r="D494" i="60"/>
  <c r="E494" i="60" s="1"/>
  <c r="D493" i="60"/>
  <c r="E493" i="60" s="1"/>
  <c r="D492" i="60"/>
  <c r="E492" i="60" s="1"/>
  <c r="D491" i="60"/>
  <c r="E491" i="60" s="1"/>
  <c r="D490" i="60"/>
  <c r="E490" i="60" s="1"/>
  <c r="D489" i="60"/>
  <c r="E489" i="60" s="1"/>
  <c r="D488" i="60"/>
  <c r="E488" i="60" s="1"/>
  <c r="D487" i="60"/>
  <c r="E487" i="60" s="1"/>
  <c r="D486" i="60"/>
  <c r="E486" i="60" s="1"/>
  <c r="D485" i="60"/>
  <c r="E485" i="60" s="1"/>
  <c r="D484" i="60"/>
  <c r="E484" i="60" s="1"/>
  <c r="D483" i="60"/>
  <c r="E483" i="60" s="1"/>
  <c r="D482" i="60"/>
  <c r="E482" i="60" s="1"/>
  <c r="D481" i="60"/>
  <c r="E481" i="60" s="1"/>
  <c r="D480" i="60"/>
  <c r="E480" i="60" s="1"/>
  <c r="D479" i="60"/>
  <c r="E479" i="60" s="1"/>
  <c r="D478" i="60"/>
  <c r="E478" i="60" s="1"/>
  <c r="D477" i="60"/>
  <c r="E477" i="60" s="1"/>
  <c r="D476" i="60"/>
  <c r="E476" i="60" s="1"/>
  <c r="D475" i="60"/>
  <c r="E475" i="60" s="1"/>
  <c r="D474" i="60"/>
  <c r="E474" i="60" s="1"/>
  <c r="D473" i="60"/>
  <c r="E473" i="60" s="1"/>
  <c r="D472" i="60"/>
  <c r="E472" i="60" s="1"/>
  <c r="D471" i="60"/>
  <c r="E471" i="60" s="1"/>
  <c r="D470" i="60"/>
  <c r="E470" i="60" s="1"/>
  <c r="D469" i="60"/>
  <c r="E469" i="60" s="1"/>
  <c r="D468" i="60"/>
  <c r="E468" i="60" s="1"/>
  <c r="D467" i="60"/>
  <c r="E467" i="60" s="1"/>
  <c r="D466" i="60"/>
  <c r="E466" i="60" s="1"/>
  <c r="D465" i="60"/>
  <c r="E465" i="60" s="1"/>
  <c r="D464" i="60"/>
  <c r="E464" i="60" s="1"/>
  <c r="D463" i="60"/>
  <c r="E463" i="60" s="1"/>
  <c r="D462" i="60"/>
  <c r="E462" i="60" s="1"/>
  <c r="D461" i="60"/>
  <c r="E461" i="60" s="1"/>
  <c r="D460" i="60"/>
  <c r="E460" i="60" s="1"/>
  <c r="D459" i="60"/>
  <c r="E459" i="60" s="1"/>
  <c r="D458" i="60"/>
  <c r="E458" i="60" s="1"/>
  <c r="D457" i="60"/>
  <c r="E457" i="60" s="1"/>
  <c r="D456" i="60"/>
  <c r="E456" i="60" s="1"/>
  <c r="D455" i="60"/>
  <c r="E455" i="60" s="1"/>
  <c r="D454" i="60"/>
  <c r="E454" i="60" s="1"/>
  <c r="D453" i="60"/>
  <c r="E453" i="60" s="1"/>
  <c r="D452" i="60"/>
  <c r="E452" i="60" s="1"/>
  <c r="D451" i="60"/>
  <c r="E451" i="60" s="1"/>
  <c r="D450" i="60"/>
  <c r="E450" i="60" s="1"/>
  <c r="D449" i="60"/>
  <c r="E449" i="60" s="1"/>
  <c r="D448" i="60"/>
  <c r="E448" i="60" s="1"/>
  <c r="D447" i="60"/>
  <c r="E447" i="60" s="1"/>
  <c r="D446" i="60"/>
  <c r="E446" i="60" s="1"/>
  <c r="D445" i="60"/>
  <c r="E445" i="60" s="1"/>
  <c r="D444" i="60"/>
  <c r="E444" i="60" s="1"/>
  <c r="D443" i="60"/>
  <c r="E443" i="60" s="1"/>
  <c r="D442" i="60"/>
  <c r="E442" i="60" s="1"/>
  <c r="D441" i="60"/>
  <c r="E441" i="60" s="1"/>
  <c r="D440" i="60"/>
  <c r="E440" i="60" s="1"/>
  <c r="D439" i="60"/>
  <c r="E439" i="60" s="1"/>
  <c r="D438" i="60"/>
  <c r="E438" i="60" s="1"/>
  <c r="D437" i="60"/>
  <c r="E437" i="60" s="1"/>
  <c r="D436" i="60"/>
  <c r="E436" i="60" s="1"/>
  <c r="D435" i="60"/>
  <c r="E435" i="60" s="1"/>
  <c r="D434" i="60"/>
  <c r="E434" i="60" s="1"/>
  <c r="D433" i="60"/>
  <c r="E433" i="60" s="1"/>
  <c r="D432" i="60"/>
  <c r="E432" i="60" s="1"/>
  <c r="D431" i="60"/>
  <c r="E431" i="60" s="1"/>
  <c r="D430" i="60"/>
  <c r="E430" i="60" s="1"/>
  <c r="D429" i="60"/>
  <c r="E429" i="60" s="1"/>
  <c r="D428" i="60"/>
  <c r="E428" i="60" s="1"/>
  <c r="D427" i="60"/>
  <c r="E427" i="60" s="1"/>
  <c r="D426" i="60"/>
  <c r="E426" i="60" s="1"/>
  <c r="D425" i="60"/>
  <c r="E425" i="60" s="1"/>
  <c r="D424" i="60"/>
  <c r="E424" i="60" s="1"/>
  <c r="D423" i="60"/>
  <c r="E423" i="60" s="1"/>
  <c r="D422" i="60"/>
  <c r="E422" i="60" s="1"/>
  <c r="D421" i="60"/>
  <c r="E421" i="60" s="1"/>
  <c r="D420" i="60"/>
  <c r="E420" i="60" s="1"/>
  <c r="D419" i="60"/>
  <c r="E419" i="60" s="1"/>
  <c r="D418" i="60"/>
  <c r="E418" i="60" s="1"/>
  <c r="D417" i="60"/>
  <c r="E417" i="60" s="1"/>
  <c r="D416" i="60"/>
  <c r="E416" i="60" s="1"/>
  <c r="D415" i="60"/>
  <c r="E415" i="60" s="1"/>
  <c r="D414" i="60"/>
  <c r="E414" i="60" s="1"/>
  <c r="D413" i="60"/>
  <c r="E413" i="60" s="1"/>
  <c r="D412" i="60"/>
  <c r="E412" i="60" s="1"/>
  <c r="D411" i="60"/>
  <c r="E411" i="60" s="1"/>
  <c r="D410" i="60"/>
  <c r="E410" i="60" s="1"/>
  <c r="D409" i="60"/>
  <c r="E409" i="60" s="1"/>
  <c r="D408" i="60"/>
  <c r="E408" i="60" s="1"/>
  <c r="D407" i="60"/>
  <c r="E407" i="60" s="1"/>
  <c r="D406" i="60"/>
  <c r="E406" i="60" s="1"/>
  <c r="D405" i="60"/>
  <c r="E405" i="60" s="1"/>
  <c r="D404" i="60"/>
  <c r="E404" i="60" s="1"/>
  <c r="D403" i="60"/>
  <c r="E403" i="60" s="1"/>
  <c r="D402" i="60"/>
  <c r="E402" i="60" s="1"/>
  <c r="D401" i="60"/>
  <c r="E401" i="60" s="1"/>
  <c r="D400" i="60"/>
  <c r="E400" i="60" s="1"/>
  <c r="D399" i="60"/>
  <c r="E399" i="60" s="1"/>
  <c r="D398" i="60"/>
  <c r="E398" i="60" s="1"/>
  <c r="D397" i="60"/>
  <c r="E397" i="60" s="1"/>
  <c r="D396" i="60"/>
  <c r="E396" i="60" s="1"/>
  <c r="D395" i="60"/>
  <c r="E395" i="60" s="1"/>
  <c r="D394" i="60"/>
  <c r="E394" i="60" s="1"/>
  <c r="D393" i="60"/>
  <c r="E393" i="60" s="1"/>
  <c r="D392" i="60"/>
  <c r="E392" i="60" s="1"/>
  <c r="D391" i="60"/>
  <c r="E391" i="60" s="1"/>
  <c r="D390" i="60"/>
  <c r="E390" i="60" s="1"/>
  <c r="D389" i="60"/>
  <c r="E389" i="60" s="1"/>
  <c r="D388" i="60"/>
  <c r="E388" i="60" s="1"/>
  <c r="D387" i="60"/>
  <c r="E387" i="60" s="1"/>
  <c r="D386" i="60"/>
  <c r="E386" i="60" s="1"/>
  <c r="D385" i="60"/>
  <c r="E385" i="60" s="1"/>
  <c r="D384" i="60"/>
  <c r="E384" i="60" s="1"/>
  <c r="D383" i="60"/>
  <c r="E383" i="60" s="1"/>
  <c r="D382" i="60"/>
  <c r="E382" i="60" s="1"/>
  <c r="D381" i="60"/>
  <c r="E381" i="60" s="1"/>
  <c r="D380" i="60"/>
  <c r="E380" i="60" s="1"/>
  <c r="D379" i="60"/>
  <c r="E379" i="60" s="1"/>
  <c r="D378" i="60"/>
  <c r="E378" i="60" s="1"/>
  <c r="D377" i="60"/>
  <c r="E377" i="60" s="1"/>
  <c r="D376" i="60"/>
  <c r="E376" i="60" s="1"/>
  <c r="D375" i="60"/>
  <c r="E375" i="60" s="1"/>
  <c r="D374" i="60"/>
  <c r="E374" i="60" s="1"/>
  <c r="E373" i="60"/>
  <c r="D372" i="60"/>
  <c r="E372" i="60" s="1"/>
  <c r="D371" i="60"/>
  <c r="E371" i="60" s="1"/>
  <c r="D370" i="60"/>
  <c r="E370" i="60" s="1"/>
  <c r="D369" i="60"/>
  <c r="E369" i="60" s="1"/>
  <c r="D368" i="60"/>
  <c r="E368" i="60" s="1"/>
  <c r="D367" i="60"/>
  <c r="E367" i="60" s="1"/>
  <c r="D366" i="60"/>
  <c r="E366" i="60" s="1"/>
  <c r="D365" i="60"/>
  <c r="E365" i="60" s="1"/>
  <c r="E364" i="60"/>
  <c r="D363" i="60"/>
  <c r="E363" i="60" s="1"/>
  <c r="D362" i="60"/>
  <c r="E362" i="60" s="1"/>
  <c r="D361" i="60"/>
  <c r="E361" i="60" s="1"/>
  <c r="D360" i="60"/>
  <c r="E360" i="60" s="1"/>
  <c r="D359" i="60"/>
  <c r="E359" i="60" s="1"/>
  <c r="D358" i="60"/>
  <c r="E358" i="60" s="1"/>
  <c r="D357" i="60"/>
  <c r="E357" i="60" s="1"/>
  <c r="E356" i="60"/>
  <c r="D355" i="60"/>
  <c r="E355" i="60" s="1"/>
  <c r="D354" i="60"/>
  <c r="E354" i="60" s="1"/>
  <c r="D353" i="60"/>
  <c r="E353" i="60" s="1"/>
  <c r="D352" i="60"/>
  <c r="E352" i="60" s="1"/>
  <c r="D351" i="60"/>
  <c r="E351" i="60" s="1"/>
  <c r="D350" i="60"/>
  <c r="E350" i="60" s="1"/>
  <c r="D349" i="60"/>
  <c r="E349" i="60" s="1"/>
  <c r="E348" i="60"/>
  <c r="D347" i="60"/>
  <c r="E347" i="60" s="1"/>
  <c r="D346" i="60"/>
  <c r="E346" i="60" s="1"/>
  <c r="D345" i="60"/>
  <c r="E345" i="60" s="1"/>
  <c r="D344" i="60"/>
  <c r="E344" i="60" s="1"/>
  <c r="D343" i="60"/>
  <c r="E343" i="60" s="1"/>
  <c r="D342" i="60"/>
  <c r="E342" i="60" s="1"/>
  <c r="D341" i="60"/>
  <c r="E341" i="60" s="1"/>
  <c r="D340" i="60"/>
  <c r="E340" i="60" s="1"/>
  <c r="E339" i="60"/>
  <c r="D338" i="60"/>
  <c r="E338" i="60" s="1"/>
  <c r="D337" i="60"/>
  <c r="E337" i="60" s="1"/>
  <c r="D336" i="60"/>
  <c r="E336" i="60" s="1"/>
  <c r="D335" i="60"/>
  <c r="E335" i="60" s="1"/>
  <c r="D334" i="60"/>
  <c r="E334" i="60" s="1"/>
  <c r="D333" i="60"/>
  <c r="E333" i="60" s="1"/>
  <c r="D332" i="60"/>
  <c r="E332" i="60" s="1"/>
  <c r="D331" i="60"/>
  <c r="E331" i="60" s="1"/>
  <c r="E330" i="60"/>
  <c r="D329" i="60"/>
  <c r="E329" i="60" s="1"/>
  <c r="D328" i="60"/>
  <c r="E328" i="60" s="1"/>
  <c r="D327" i="60"/>
  <c r="E327" i="60" s="1"/>
  <c r="D326" i="60"/>
  <c r="E326" i="60" s="1"/>
  <c r="D325" i="60"/>
  <c r="E325" i="60" s="1"/>
  <c r="D324" i="60"/>
  <c r="E324" i="60" s="1"/>
  <c r="D323" i="60"/>
  <c r="E323" i="60" s="1"/>
  <c r="D322" i="60"/>
  <c r="E322" i="60" s="1"/>
  <c r="E321" i="60"/>
  <c r="D320" i="60"/>
  <c r="E320" i="60" s="1"/>
  <c r="D319" i="60"/>
  <c r="E319" i="60" s="1"/>
  <c r="D318" i="60"/>
  <c r="E318" i="60" s="1"/>
  <c r="D317" i="60"/>
  <c r="E317" i="60" s="1"/>
  <c r="D316" i="60"/>
  <c r="E316" i="60" s="1"/>
  <c r="D315" i="60"/>
  <c r="E315" i="60" s="1"/>
  <c r="D314" i="60"/>
  <c r="E314" i="60" s="1"/>
  <c r="D313" i="60"/>
  <c r="E313" i="60" s="1"/>
  <c r="E312" i="60"/>
  <c r="D311" i="60"/>
  <c r="E311" i="60" s="1"/>
  <c r="D310" i="60"/>
  <c r="E310" i="60" s="1"/>
  <c r="D309" i="60"/>
  <c r="E309" i="60" s="1"/>
  <c r="D308" i="60"/>
  <c r="E308" i="60" s="1"/>
  <c r="D307" i="60"/>
  <c r="E307" i="60" s="1"/>
  <c r="D306" i="60"/>
  <c r="E306" i="60" s="1"/>
  <c r="D305" i="60"/>
  <c r="E305" i="60" s="1"/>
  <c r="D304" i="60"/>
  <c r="E304" i="60" s="1"/>
  <c r="E303" i="60"/>
  <c r="D302" i="60"/>
  <c r="E302" i="60" s="1"/>
  <c r="D301" i="60"/>
  <c r="E301" i="60" s="1"/>
  <c r="D300" i="60"/>
  <c r="E300" i="60" s="1"/>
  <c r="D299" i="60"/>
  <c r="E299" i="60" s="1"/>
  <c r="D298" i="60"/>
  <c r="E298" i="60" s="1"/>
  <c r="D297" i="60"/>
  <c r="E297" i="60" s="1"/>
  <c r="D296" i="60"/>
  <c r="E296" i="60" s="1"/>
  <c r="D295" i="60"/>
  <c r="E295" i="60" s="1"/>
  <c r="D294" i="60"/>
  <c r="E294" i="60" s="1"/>
  <c r="D293" i="60"/>
  <c r="E293" i="60" s="1"/>
  <c r="D292" i="60"/>
  <c r="E292" i="60" s="1"/>
  <c r="D291" i="60"/>
  <c r="E291" i="60" s="1"/>
  <c r="D290" i="60"/>
  <c r="E290" i="60" s="1"/>
  <c r="D289" i="60"/>
  <c r="E289" i="60" s="1"/>
  <c r="D288" i="60"/>
  <c r="E288" i="60" s="1"/>
  <c r="D287" i="60"/>
  <c r="E287" i="60" s="1"/>
  <c r="D286" i="60"/>
  <c r="E286" i="60" s="1"/>
  <c r="D285" i="60"/>
  <c r="E285" i="60" s="1"/>
  <c r="D284" i="60"/>
  <c r="E284" i="60" s="1"/>
  <c r="D283" i="60"/>
  <c r="E283" i="60" s="1"/>
  <c r="D282" i="60"/>
  <c r="E282" i="60" s="1"/>
  <c r="D281" i="60"/>
  <c r="E281" i="60" s="1"/>
  <c r="D280" i="60"/>
  <c r="E280" i="60" s="1"/>
  <c r="D279" i="60"/>
  <c r="E279" i="60" s="1"/>
  <c r="D278" i="60"/>
  <c r="E278" i="60" s="1"/>
  <c r="D277" i="60"/>
  <c r="E277" i="60" s="1"/>
  <c r="D276" i="60"/>
  <c r="E276" i="60" s="1"/>
  <c r="D275" i="60"/>
  <c r="E275" i="60" s="1"/>
  <c r="D274" i="60"/>
  <c r="E274" i="60" s="1"/>
  <c r="D273" i="60"/>
  <c r="E273" i="60" s="1"/>
  <c r="D272" i="60"/>
  <c r="E272" i="60" s="1"/>
  <c r="D271" i="60"/>
  <c r="E271" i="60" s="1"/>
  <c r="D270" i="60"/>
  <c r="E270" i="60" s="1"/>
  <c r="D269" i="60"/>
  <c r="E269" i="60" s="1"/>
  <c r="D268" i="60"/>
  <c r="E268" i="60" s="1"/>
  <c r="D267" i="60"/>
  <c r="E267" i="60" s="1"/>
  <c r="D266" i="60"/>
  <c r="E266" i="60" s="1"/>
  <c r="D265" i="60"/>
  <c r="E265" i="60" s="1"/>
  <c r="D264" i="60"/>
  <c r="E264" i="60" s="1"/>
  <c r="D263" i="60"/>
  <c r="E263" i="60" s="1"/>
  <c r="D262" i="60"/>
  <c r="E262" i="60" s="1"/>
  <c r="D261" i="60"/>
  <c r="E261" i="60" s="1"/>
  <c r="D260" i="60"/>
  <c r="E260" i="60" s="1"/>
  <c r="D259" i="60"/>
  <c r="E259" i="60" s="1"/>
  <c r="D258" i="60"/>
  <c r="E258" i="60" s="1"/>
  <c r="D257" i="60"/>
  <c r="E257" i="60" s="1"/>
  <c r="D256" i="60"/>
  <c r="E256" i="60" s="1"/>
  <c r="D255" i="60"/>
  <c r="E255" i="60" s="1"/>
  <c r="D254" i="60"/>
  <c r="E254" i="60" s="1"/>
  <c r="D253" i="60"/>
  <c r="E253" i="60" s="1"/>
  <c r="D252" i="60"/>
  <c r="E252" i="60" s="1"/>
  <c r="D251" i="60"/>
  <c r="E251" i="60" s="1"/>
  <c r="D250" i="60"/>
  <c r="E250" i="60" s="1"/>
  <c r="D249" i="60"/>
  <c r="E249" i="60" s="1"/>
  <c r="D248" i="60"/>
  <c r="E248" i="60" s="1"/>
  <c r="D247" i="60"/>
  <c r="E247" i="60" s="1"/>
  <c r="D246" i="60"/>
  <c r="E246" i="60" s="1"/>
  <c r="D245" i="60"/>
  <c r="E245" i="60" s="1"/>
  <c r="D244" i="60"/>
  <c r="E244" i="60" s="1"/>
  <c r="D243" i="60"/>
  <c r="E243" i="60" s="1"/>
  <c r="D242" i="60"/>
  <c r="E242" i="60" s="1"/>
  <c r="D241" i="60"/>
  <c r="E241" i="60" s="1"/>
  <c r="D240" i="60"/>
  <c r="E240" i="60" s="1"/>
  <c r="D239" i="60"/>
  <c r="E239" i="60" s="1"/>
  <c r="D238" i="60"/>
  <c r="E238" i="60" s="1"/>
  <c r="D237" i="60"/>
  <c r="E237" i="60" s="1"/>
  <c r="D236" i="60"/>
  <c r="E236" i="60" s="1"/>
  <c r="D235" i="60"/>
  <c r="E235" i="60" s="1"/>
  <c r="D234" i="60"/>
  <c r="E234" i="60" s="1"/>
  <c r="D233" i="60"/>
  <c r="E233" i="60" s="1"/>
  <c r="D232" i="60"/>
  <c r="E232" i="60" s="1"/>
  <c r="D231" i="60"/>
  <c r="E231" i="60" s="1"/>
  <c r="D214" i="60"/>
  <c r="E214" i="60" s="1"/>
  <c r="D213" i="60"/>
  <c r="E213" i="60" s="1"/>
  <c r="D212" i="60"/>
  <c r="E212" i="60" s="1"/>
  <c r="D211" i="60"/>
  <c r="E211" i="60" s="1"/>
  <c r="D210" i="60"/>
  <c r="E210" i="60" s="1"/>
  <c r="D209" i="60"/>
  <c r="E209" i="60" s="1"/>
  <c r="D208" i="60"/>
  <c r="E208" i="60" s="1"/>
  <c r="D207" i="60"/>
  <c r="E207" i="60" s="1"/>
  <c r="D206" i="60"/>
  <c r="E206" i="60" s="1"/>
  <c r="D205" i="60"/>
  <c r="E205" i="60" s="1"/>
  <c r="D204" i="60"/>
  <c r="E204" i="60" s="1"/>
  <c r="D203" i="60"/>
  <c r="E203" i="60" s="1"/>
  <c r="D202" i="60"/>
  <c r="E202" i="60" s="1"/>
  <c r="D201" i="60"/>
  <c r="E201" i="60" s="1"/>
  <c r="D200" i="60"/>
  <c r="E200" i="60" s="1"/>
  <c r="D199" i="60"/>
  <c r="E199" i="60" s="1"/>
  <c r="D198" i="60"/>
  <c r="E198" i="60" s="1"/>
  <c r="D197" i="60"/>
  <c r="E197" i="60" s="1"/>
  <c r="D196" i="60"/>
  <c r="E196" i="60" s="1"/>
  <c r="D195" i="60"/>
  <c r="E195" i="60" s="1"/>
  <c r="D194" i="60"/>
  <c r="E194" i="60" s="1"/>
  <c r="D193" i="60"/>
  <c r="E193" i="60" s="1"/>
  <c r="D192" i="60"/>
  <c r="E192" i="60" s="1"/>
  <c r="D191" i="60"/>
  <c r="E191" i="60" s="1"/>
  <c r="D182" i="60"/>
  <c r="E182" i="60" s="1"/>
  <c r="D181" i="60"/>
  <c r="E181" i="60" s="1"/>
  <c r="D180" i="60"/>
  <c r="E180" i="60" s="1"/>
  <c r="D179" i="60"/>
  <c r="E179" i="60" s="1"/>
  <c r="D178" i="60"/>
  <c r="E178" i="60" s="1"/>
  <c r="D177" i="60"/>
  <c r="E177" i="60" s="1"/>
  <c r="D176" i="60"/>
  <c r="E176" i="60" s="1"/>
  <c r="D175" i="60"/>
  <c r="E175" i="60" s="1"/>
  <c r="D174" i="60"/>
  <c r="E174" i="60" s="1"/>
  <c r="D173" i="60"/>
  <c r="E173" i="60" s="1"/>
  <c r="D172" i="60"/>
  <c r="E172" i="60" s="1"/>
  <c r="D171" i="60"/>
  <c r="E171" i="60" s="1"/>
  <c r="D170" i="60"/>
  <c r="E170" i="60" s="1"/>
  <c r="D169" i="60"/>
  <c r="E169" i="60" s="1"/>
  <c r="D168" i="60"/>
  <c r="E168" i="60" s="1"/>
  <c r="D167" i="60"/>
  <c r="E167" i="60" s="1"/>
  <c r="D166" i="60"/>
  <c r="E166" i="60" s="1"/>
  <c r="D165" i="60"/>
  <c r="E165" i="60" s="1"/>
  <c r="D164" i="60"/>
  <c r="E164" i="60" s="1"/>
  <c r="D163" i="60"/>
  <c r="E163" i="60" s="1"/>
  <c r="D162" i="60"/>
  <c r="E162" i="60" s="1"/>
  <c r="D161" i="60"/>
  <c r="E161" i="60" s="1"/>
  <c r="D160" i="60"/>
  <c r="E160" i="60" s="1"/>
  <c r="D159" i="60"/>
  <c r="E159" i="60" s="1"/>
  <c r="J158" i="60"/>
  <c r="I158" i="60"/>
  <c r="D158" i="60"/>
  <c r="E158" i="60" s="1"/>
  <c r="J157" i="60"/>
  <c r="I157" i="60"/>
  <c r="D157" i="60"/>
  <c r="E157" i="60" s="1"/>
  <c r="J156" i="60"/>
  <c r="I156" i="60"/>
  <c r="D156" i="60"/>
  <c r="E156" i="60" s="1"/>
  <c r="J155" i="60"/>
  <c r="I155" i="60"/>
  <c r="D155" i="60"/>
  <c r="E155" i="60" s="1"/>
  <c r="J154" i="60"/>
  <c r="I154" i="60"/>
  <c r="D154" i="60"/>
  <c r="E154" i="60" s="1"/>
  <c r="J153" i="60"/>
  <c r="I153" i="60"/>
  <c r="D153" i="60"/>
  <c r="E153" i="60" s="1"/>
  <c r="J152" i="60"/>
  <c r="I152" i="60"/>
  <c r="D152" i="60"/>
  <c r="E152" i="60" s="1"/>
  <c r="J151" i="60"/>
  <c r="I151" i="60"/>
  <c r="J150" i="60"/>
  <c r="I150" i="60"/>
  <c r="J149" i="60"/>
  <c r="I149" i="60"/>
  <c r="J148" i="60"/>
  <c r="I148" i="60"/>
  <c r="J147" i="60"/>
  <c r="I147" i="60"/>
  <c r="D99" i="60"/>
  <c r="E99" i="60" s="1"/>
  <c r="D98" i="60"/>
  <c r="E98" i="60" s="1"/>
  <c r="D97" i="60"/>
  <c r="E97" i="60" s="1"/>
  <c r="D96" i="60"/>
  <c r="E96" i="60" s="1"/>
  <c r="D95" i="60"/>
  <c r="E95" i="60" s="1"/>
  <c r="D94" i="60"/>
  <c r="E94" i="60" s="1"/>
  <c r="D93" i="60"/>
  <c r="E93" i="60" s="1"/>
  <c r="D92" i="60"/>
  <c r="E92" i="60" s="1"/>
  <c r="D91" i="60"/>
  <c r="E91" i="60" s="1"/>
  <c r="D90" i="60"/>
  <c r="E90" i="60" s="1"/>
  <c r="D89" i="60"/>
  <c r="E89" i="60" s="1"/>
  <c r="D88" i="60"/>
  <c r="E88" i="60" s="1"/>
  <c r="D87" i="60"/>
  <c r="E87" i="60" s="1"/>
  <c r="D86" i="60"/>
  <c r="E86" i="60" s="1"/>
  <c r="D85" i="60"/>
  <c r="E85" i="60" s="1"/>
  <c r="D84" i="60"/>
  <c r="E84" i="60" s="1"/>
  <c r="D83" i="60"/>
  <c r="E83" i="60" s="1"/>
  <c r="D82" i="60"/>
  <c r="E82" i="60" s="1"/>
  <c r="D80" i="60"/>
  <c r="E80" i="60" s="1"/>
  <c r="D79" i="60"/>
  <c r="E79" i="60" s="1"/>
  <c r="D78" i="60"/>
  <c r="E78" i="60" s="1"/>
  <c r="D77" i="60"/>
  <c r="E77" i="60" s="1"/>
  <c r="D76" i="60"/>
  <c r="E76" i="60" s="1"/>
  <c r="D75" i="60"/>
  <c r="E75" i="60" s="1"/>
  <c r="D73" i="60"/>
  <c r="E73" i="60" s="1"/>
  <c r="D72" i="60"/>
  <c r="E72" i="60" s="1"/>
  <c r="D71" i="60"/>
  <c r="E71" i="60" s="1"/>
  <c r="D70" i="60"/>
  <c r="E70" i="60" s="1"/>
  <c r="D69" i="60"/>
  <c r="E69" i="60" s="1"/>
  <c r="D68" i="60"/>
  <c r="E68" i="60" s="1"/>
  <c r="D67" i="60"/>
  <c r="E67" i="60" s="1"/>
  <c r="D66" i="60"/>
  <c r="E66" i="60" s="1"/>
  <c r="D65" i="60"/>
  <c r="E65" i="60" s="1"/>
  <c r="D64" i="60"/>
  <c r="E64" i="60" s="1"/>
  <c r="D63" i="60"/>
  <c r="E63" i="60" s="1"/>
  <c r="D62" i="60"/>
  <c r="E62" i="60" s="1"/>
  <c r="D61" i="60"/>
  <c r="E61" i="60" s="1"/>
  <c r="D60" i="60"/>
  <c r="E60" i="60" s="1"/>
  <c r="D59" i="60"/>
  <c r="E59" i="60" s="1"/>
  <c r="D58" i="60"/>
  <c r="E58" i="60" s="1"/>
  <c r="D57" i="60"/>
  <c r="E57" i="60" s="1"/>
  <c r="D56" i="60"/>
  <c r="E56" i="60" s="1"/>
  <c r="D55" i="60"/>
  <c r="E55" i="60" s="1"/>
  <c r="D54" i="60"/>
  <c r="E54" i="60" s="1"/>
  <c r="D53" i="60"/>
  <c r="E53" i="60" s="1"/>
  <c r="D51" i="60"/>
  <c r="E51" i="60" s="1"/>
  <c r="D49" i="60"/>
  <c r="E49" i="60" s="1"/>
  <c r="D48" i="60"/>
  <c r="E48" i="60" s="1"/>
  <c r="D47" i="60"/>
  <c r="E47" i="60" s="1"/>
  <c r="D46" i="60"/>
  <c r="E46" i="60" s="1"/>
  <c r="D45" i="60"/>
  <c r="E45" i="60" s="1"/>
  <c r="D44" i="60"/>
  <c r="E44" i="60" s="1"/>
  <c r="D43" i="60"/>
  <c r="E43" i="60" s="1"/>
  <c r="D42" i="60"/>
  <c r="E42" i="60" s="1"/>
  <c r="D41" i="60"/>
  <c r="E41" i="60" s="1"/>
  <c r="D40" i="60"/>
  <c r="E40" i="60" s="1"/>
  <c r="D39" i="60"/>
  <c r="E39" i="60" s="1"/>
  <c r="D37" i="60"/>
  <c r="E37" i="60" s="1"/>
  <c r="D36" i="60"/>
  <c r="E36" i="60" s="1"/>
  <c r="D35" i="60"/>
  <c r="E35" i="60" s="1"/>
  <c r="D34" i="60"/>
  <c r="E34" i="60" s="1"/>
  <c r="D33" i="60"/>
  <c r="E33" i="60" s="1"/>
  <c r="D32" i="60"/>
  <c r="E32" i="60" s="1"/>
  <c r="D31" i="60"/>
  <c r="E31" i="60" s="1"/>
  <c r="D30" i="60"/>
  <c r="E30" i="60" s="1"/>
  <c r="D29" i="60"/>
  <c r="E29" i="60" s="1"/>
  <c r="D28" i="60"/>
  <c r="E28" i="60" s="1"/>
  <c r="D27" i="60"/>
  <c r="E27" i="60" s="1"/>
  <c r="D26" i="60"/>
  <c r="E26" i="60" s="1"/>
  <c r="D25" i="60"/>
  <c r="E25" i="60" s="1"/>
  <c r="D24" i="60"/>
  <c r="E24" i="60" s="1"/>
  <c r="D23" i="60"/>
  <c r="E23" i="60" s="1"/>
  <c r="D22" i="60"/>
  <c r="E22" i="60" s="1"/>
  <c r="D21" i="60"/>
  <c r="E21" i="60" s="1"/>
  <c r="D20" i="60"/>
  <c r="E20" i="60" s="1"/>
  <c r="D19" i="60"/>
  <c r="E19" i="60" s="1"/>
  <c r="D18" i="60"/>
  <c r="E18" i="60" s="1"/>
  <c r="D17" i="60"/>
  <c r="E17" i="60" s="1"/>
  <c r="D16" i="60"/>
  <c r="E16" i="60" s="1"/>
  <c r="D15" i="60"/>
  <c r="E15" i="60" s="1"/>
  <c r="D14" i="60"/>
  <c r="E14" i="60" s="1"/>
  <c r="D13" i="60"/>
  <c r="E13" i="60" s="1"/>
  <c r="D12" i="60"/>
  <c r="E12" i="60" s="1"/>
  <c r="D11" i="60"/>
  <c r="E11" i="60" s="1"/>
  <c r="D10" i="60"/>
  <c r="E10" i="60" s="1"/>
  <c r="D9" i="60"/>
  <c r="E9" i="60" s="1"/>
  <c r="D8" i="60"/>
  <c r="E8" i="60" s="1"/>
  <c r="D7" i="60"/>
  <c r="E7" i="60" s="1"/>
  <c r="D6" i="60"/>
  <c r="E6" i="60" s="1"/>
  <c r="D5" i="60"/>
  <c r="E5" i="60" s="1"/>
  <c r="D4" i="60"/>
  <c r="E4" i="60" s="1"/>
  <c r="D3" i="60"/>
  <c r="E3" i="60" s="1"/>
  <c r="D2" i="60"/>
  <c r="E2" i="60" s="1"/>
  <c r="N36" i="51"/>
  <c r="M36" i="51"/>
  <c r="L36" i="51"/>
  <c r="K36" i="51"/>
  <c r="J36" i="51"/>
  <c r="N35" i="51"/>
  <c r="M35" i="51"/>
  <c r="L35" i="51"/>
  <c r="K35" i="51"/>
  <c r="J35" i="51"/>
  <c r="N34" i="51"/>
  <c r="M34" i="51"/>
  <c r="L34" i="51"/>
  <c r="K34" i="51"/>
  <c r="J34" i="51"/>
  <c r="N33" i="51"/>
  <c r="M33" i="51"/>
  <c r="L33" i="51"/>
  <c r="K33" i="51"/>
  <c r="J33" i="51"/>
  <c r="N32" i="51"/>
  <c r="M32" i="51"/>
  <c r="L32" i="51"/>
  <c r="K32" i="51"/>
  <c r="J32" i="51"/>
  <c r="N31" i="51"/>
  <c r="M31" i="51"/>
  <c r="L31" i="51"/>
  <c r="K31" i="51"/>
  <c r="J31" i="51"/>
  <c r="N30" i="51"/>
  <c r="M30" i="51"/>
  <c r="L30" i="51"/>
  <c r="K30" i="51"/>
  <c r="J30" i="51"/>
  <c r="N29" i="51"/>
  <c r="M29" i="51"/>
  <c r="L29" i="51"/>
  <c r="K29" i="51"/>
  <c r="J29" i="51"/>
  <c r="N28" i="51"/>
  <c r="M28" i="51"/>
  <c r="L28" i="51"/>
  <c r="K28" i="51"/>
  <c r="J28" i="51"/>
  <c r="N27" i="51"/>
  <c r="M27" i="51"/>
  <c r="L27" i="51"/>
  <c r="K27" i="51"/>
  <c r="J27" i="51"/>
  <c r="N26" i="51"/>
  <c r="M26" i="51"/>
  <c r="L26" i="51"/>
  <c r="K26" i="51"/>
  <c r="J26" i="51"/>
  <c r="N25" i="51"/>
  <c r="M25" i="51"/>
  <c r="L25" i="51"/>
  <c r="K25" i="51"/>
  <c r="J25" i="51"/>
  <c r="N24" i="51"/>
  <c r="M24" i="51"/>
  <c r="L24" i="51"/>
  <c r="K24" i="51"/>
  <c r="J24" i="51"/>
  <c r="N23" i="51"/>
  <c r="M23" i="51"/>
  <c r="L23" i="51"/>
  <c r="K23" i="51"/>
  <c r="J23" i="51"/>
  <c r="J18" i="51"/>
  <c r="J17" i="51"/>
  <c r="J16" i="51"/>
  <c r="J15" i="51"/>
  <c r="J14" i="51"/>
  <c r="J13" i="51"/>
  <c r="J12" i="51"/>
  <c r="J11" i="51"/>
  <c r="J10" i="51"/>
  <c r="J9" i="51"/>
  <c r="J8" i="51"/>
  <c r="J7" i="51"/>
  <c r="J6" i="51"/>
  <c r="J5" i="51"/>
  <c r="O31" i="59"/>
  <c r="D31" i="59"/>
  <c r="O30" i="59"/>
  <c r="D30" i="59"/>
  <c r="O29" i="59"/>
  <c r="D29" i="59"/>
  <c r="O28" i="59"/>
  <c r="D28" i="59"/>
  <c r="O27" i="59"/>
  <c r="D27" i="59"/>
  <c r="O26" i="59"/>
  <c r="D26" i="59"/>
  <c r="O25" i="59"/>
  <c r="D25" i="59"/>
  <c r="O24" i="59"/>
  <c r="D24" i="59"/>
  <c r="O23" i="59"/>
  <c r="D23" i="59"/>
  <c r="J19" i="59"/>
  <c r="I19" i="59"/>
  <c r="H19" i="59"/>
  <c r="J18" i="59"/>
  <c r="I18" i="59"/>
  <c r="H18" i="59"/>
  <c r="J17" i="59"/>
  <c r="I17" i="59"/>
  <c r="H17" i="59"/>
  <c r="J16" i="59"/>
  <c r="I16" i="59"/>
  <c r="H16" i="59"/>
  <c r="J15" i="59"/>
  <c r="I15" i="59"/>
  <c r="H15" i="59"/>
  <c r="U14" i="59"/>
  <c r="T14" i="59"/>
  <c r="S14" i="59"/>
  <c r="J14" i="59"/>
  <c r="I14" i="59"/>
  <c r="H14" i="59"/>
  <c r="U13" i="59"/>
  <c r="T13" i="59"/>
  <c r="S13" i="59"/>
  <c r="J13" i="59"/>
  <c r="I13" i="59"/>
  <c r="H13" i="59"/>
  <c r="U12" i="59"/>
  <c r="T12" i="59"/>
  <c r="S12" i="59"/>
  <c r="J12" i="59"/>
  <c r="I12" i="59"/>
  <c r="H12" i="59"/>
  <c r="U11" i="59"/>
  <c r="T11" i="59"/>
  <c r="S11" i="59"/>
  <c r="J11" i="59"/>
  <c r="I11" i="59"/>
  <c r="H11" i="59"/>
  <c r="U10" i="59"/>
  <c r="T10" i="59"/>
  <c r="S10" i="59"/>
  <c r="J10" i="59"/>
  <c r="I10" i="59"/>
  <c r="H10" i="59"/>
  <c r="U9" i="59"/>
  <c r="T9" i="59"/>
  <c r="S9" i="59"/>
  <c r="J9" i="59"/>
  <c r="I9" i="59"/>
  <c r="H9" i="59"/>
  <c r="U8" i="59"/>
  <c r="T8" i="59"/>
  <c r="S8" i="59"/>
  <c r="J8" i="59"/>
  <c r="I8" i="59"/>
  <c r="H8" i="59"/>
  <c r="U7" i="59"/>
  <c r="T7" i="59"/>
  <c r="S7" i="59"/>
  <c r="J7" i="59"/>
  <c r="I7" i="59"/>
  <c r="H7" i="59"/>
  <c r="U6" i="59"/>
  <c r="T6" i="59"/>
  <c r="S6" i="59"/>
  <c r="J6" i="59"/>
  <c r="I6" i="59"/>
  <c r="H6" i="59"/>
  <c r="U5" i="59"/>
  <c r="T5" i="59"/>
  <c r="S5" i="59"/>
  <c r="J5" i="59"/>
  <c r="I5" i="59"/>
  <c r="H5" i="59"/>
  <c r="O54" i="22"/>
  <c r="N54" i="22"/>
  <c r="M54" i="22"/>
  <c r="J54" i="22"/>
  <c r="I54" i="22"/>
  <c r="O53" i="22"/>
  <c r="N53" i="22"/>
  <c r="M53" i="22"/>
  <c r="J53" i="22"/>
  <c r="I53" i="22"/>
  <c r="O52" i="22"/>
  <c r="N52" i="22"/>
  <c r="M52" i="22"/>
  <c r="J52" i="22"/>
  <c r="I52" i="22"/>
  <c r="O51" i="22"/>
  <c r="N51" i="22"/>
  <c r="M51" i="22"/>
  <c r="J51" i="22"/>
  <c r="I51" i="22"/>
  <c r="O50" i="22"/>
  <c r="N50" i="22"/>
  <c r="M50" i="22"/>
  <c r="J50" i="22"/>
  <c r="I50" i="22"/>
  <c r="O49" i="22"/>
  <c r="N49" i="22"/>
  <c r="M49" i="22"/>
  <c r="J49" i="22"/>
  <c r="I49" i="22"/>
  <c r="O48" i="22"/>
  <c r="N48" i="22"/>
  <c r="M48" i="22"/>
  <c r="J48" i="22"/>
  <c r="I48" i="22"/>
  <c r="O47" i="22"/>
  <c r="N47" i="22"/>
  <c r="M47" i="22"/>
  <c r="J47" i="22"/>
  <c r="I47" i="22"/>
  <c r="O46" i="22"/>
  <c r="N46" i="22"/>
  <c r="M46" i="22"/>
  <c r="J46" i="22"/>
  <c r="I46" i="22"/>
  <c r="O45" i="22"/>
  <c r="N45" i="22"/>
  <c r="M45" i="22"/>
  <c r="J45" i="22"/>
  <c r="I45" i="22"/>
  <c r="O44" i="22"/>
  <c r="N44" i="22"/>
  <c r="M44" i="22"/>
  <c r="J44" i="22"/>
  <c r="I44" i="22"/>
  <c r="O43" i="22"/>
  <c r="N43" i="22"/>
  <c r="M43" i="22"/>
  <c r="J43" i="22"/>
  <c r="I43" i="22"/>
  <c r="O42" i="22"/>
  <c r="N42" i="22"/>
  <c r="M42" i="22"/>
  <c r="J42" i="22"/>
  <c r="I42" i="22"/>
  <c r="O41" i="22"/>
  <c r="N41" i="22"/>
  <c r="M41" i="22"/>
  <c r="J41" i="22"/>
  <c r="I41" i="22"/>
  <c r="O40" i="22"/>
  <c r="N40" i="22"/>
  <c r="M40" i="22"/>
  <c r="J40" i="22"/>
  <c r="I40" i="22"/>
  <c r="O39" i="22"/>
  <c r="N39" i="22"/>
  <c r="M39" i="22"/>
  <c r="J39" i="22"/>
  <c r="I39" i="22"/>
  <c r="O38" i="22"/>
  <c r="N38" i="22"/>
  <c r="M38" i="22"/>
  <c r="J38" i="22"/>
  <c r="I38" i="22"/>
  <c r="O37" i="22"/>
  <c r="N37" i="22"/>
  <c r="M37" i="22"/>
  <c r="J37" i="22"/>
  <c r="I37" i="22"/>
  <c r="O36" i="22"/>
  <c r="N36" i="22"/>
  <c r="M36" i="22"/>
  <c r="J36" i="22"/>
  <c r="I36" i="22"/>
  <c r="O35" i="22"/>
  <c r="N35" i="22"/>
  <c r="M35" i="22"/>
  <c r="J35" i="22"/>
  <c r="I35" i="22"/>
  <c r="O34" i="22"/>
  <c r="N34" i="22"/>
  <c r="M34" i="22"/>
  <c r="J34" i="22"/>
  <c r="I34" i="22"/>
  <c r="O33" i="22"/>
  <c r="N33" i="22"/>
  <c r="M33" i="22"/>
  <c r="J33" i="22"/>
  <c r="I33" i="22"/>
  <c r="O32" i="22"/>
  <c r="N32" i="22"/>
  <c r="M32" i="22"/>
  <c r="J32" i="22"/>
  <c r="I32" i="22"/>
  <c r="O31" i="22"/>
  <c r="N31" i="22"/>
  <c r="M31" i="22"/>
  <c r="J31" i="22"/>
  <c r="I31" i="22"/>
  <c r="O30" i="22"/>
  <c r="N30" i="22"/>
  <c r="M30" i="22"/>
  <c r="J30" i="22"/>
  <c r="I30" i="22"/>
  <c r="O29" i="22"/>
  <c r="N29" i="22"/>
  <c r="M29" i="22"/>
  <c r="J29" i="22"/>
  <c r="I29" i="22"/>
  <c r="O28" i="22"/>
  <c r="N28" i="22"/>
  <c r="M28" i="22"/>
  <c r="J28" i="22"/>
  <c r="I28" i="22"/>
  <c r="O27" i="22"/>
  <c r="N27" i="22"/>
  <c r="M27" i="22"/>
  <c r="J27" i="22"/>
  <c r="I27" i="22"/>
  <c r="O26" i="22"/>
  <c r="N26" i="22"/>
  <c r="M26" i="22"/>
  <c r="J26" i="22"/>
  <c r="I26" i="22"/>
  <c r="O25" i="22"/>
  <c r="N25" i="22"/>
  <c r="M25" i="22"/>
  <c r="J25" i="22"/>
  <c r="I25" i="22"/>
  <c r="O24" i="22"/>
  <c r="N24" i="22"/>
  <c r="M24" i="22"/>
  <c r="J24" i="22"/>
  <c r="I24" i="22"/>
  <c r="O23" i="22"/>
  <c r="N23" i="22"/>
  <c r="M23" i="22"/>
  <c r="J23" i="22"/>
  <c r="I23" i="22"/>
  <c r="O22" i="22"/>
  <c r="N22" i="22"/>
  <c r="M22" i="22"/>
  <c r="J22" i="22"/>
  <c r="I22" i="22"/>
  <c r="O21" i="22"/>
  <c r="N21" i="22"/>
  <c r="M21" i="22"/>
  <c r="J21" i="22"/>
  <c r="I21" i="22"/>
  <c r="O20" i="22"/>
  <c r="N20" i="22"/>
  <c r="M20" i="22"/>
  <c r="J20" i="22"/>
  <c r="I20" i="22"/>
  <c r="O19" i="22"/>
  <c r="N19" i="22"/>
  <c r="M19" i="22"/>
  <c r="J19" i="22"/>
  <c r="I19" i="22"/>
  <c r="O18" i="22"/>
  <c r="N18" i="22"/>
  <c r="M18" i="22"/>
  <c r="J18" i="22"/>
  <c r="I18" i="22"/>
  <c r="O17" i="22"/>
  <c r="N17" i="22"/>
  <c r="M17" i="22"/>
  <c r="J17" i="22"/>
  <c r="I17" i="22"/>
  <c r="O16" i="22"/>
  <c r="N16" i="22"/>
  <c r="M16" i="22"/>
  <c r="J16" i="22"/>
  <c r="I16" i="22"/>
  <c r="O15" i="22"/>
  <c r="N15" i="22"/>
  <c r="M15" i="22"/>
  <c r="J15" i="22"/>
  <c r="I15" i="22"/>
  <c r="O14" i="22"/>
  <c r="N14" i="22"/>
  <c r="M14" i="22"/>
  <c r="J14" i="22"/>
  <c r="I14" i="22"/>
  <c r="O13" i="22"/>
  <c r="N13" i="22"/>
  <c r="M13" i="22"/>
  <c r="J13" i="22"/>
  <c r="I13" i="22"/>
  <c r="O12" i="22"/>
  <c r="N12" i="22"/>
  <c r="M12" i="22"/>
  <c r="J12" i="22"/>
  <c r="I12" i="22"/>
  <c r="O11" i="22"/>
  <c r="N11" i="22"/>
  <c r="M11" i="22"/>
  <c r="J11" i="22"/>
  <c r="I11" i="22"/>
  <c r="O10" i="22"/>
  <c r="N10" i="22"/>
  <c r="M10" i="22"/>
  <c r="J10" i="22"/>
  <c r="I10" i="22"/>
  <c r="O9" i="22"/>
  <c r="N9" i="22"/>
  <c r="M9" i="22"/>
  <c r="J9" i="22"/>
  <c r="I9" i="22"/>
  <c r="O8" i="22"/>
  <c r="N8" i="22"/>
  <c r="M8" i="22"/>
  <c r="J8" i="22"/>
  <c r="I8" i="22"/>
  <c r="W54" i="21"/>
  <c r="V54" i="21"/>
  <c r="U54" i="21"/>
  <c r="T54" i="21"/>
  <c r="S54" i="21"/>
  <c r="R54" i="21"/>
  <c r="P54" i="21"/>
  <c r="O54" i="21"/>
  <c r="N54" i="21"/>
  <c r="M54" i="21"/>
  <c r="L54" i="21"/>
  <c r="W53" i="21"/>
  <c r="V53" i="21"/>
  <c r="U53" i="21"/>
  <c r="T53" i="21"/>
  <c r="S53" i="21"/>
  <c r="R53" i="21"/>
  <c r="P53" i="21"/>
  <c r="O53" i="21"/>
  <c r="N53" i="21"/>
  <c r="M53" i="21"/>
  <c r="L53" i="21"/>
  <c r="W52" i="21"/>
  <c r="V52" i="21"/>
  <c r="U52" i="21"/>
  <c r="T52" i="21"/>
  <c r="S52" i="21"/>
  <c r="R52" i="21"/>
  <c r="P52" i="21"/>
  <c r="O52" i="21"/>
  <c r="N52" i="21"/>
  <c r="M52" i="21"/>
  <c r="L52" i="21"/>
  <c r="W51" i="21"/>
  <c r="V51" i="21"/>
  <c r="U51" i="21"/>
  <c r="T51" i="21"/>
  <c r="S51" i="21"/>
  <c r="R51" i="21"/>
  <c r="P51" i="21"/>
  <c r="O51" i="21"/>
  <c r="N51" i="21"/>
  <c r="M51" i="21"/>
  <c r="L51" i="21"/>
  <c r="W50" i="21"/>
  <c r="V50" i="21"/>
  <c r="U50" i="21"/>
  <c r="T50" i="21"/>
  <c r="S50" i="21"/>
  <c r="R50" i="21"/>
  <c r="P50" i="21"/>
  <c r="O50" i="21"/>
  <c r="N50" i="21"/>
  <c r="M50" i="21"/>
  <c r="L50" i="21"/>
  <c r="W49" i="21"/>
  <c r="V49" i="21"/>
  <c r="U49" i="21"/>
  <c r="T49" i="21"/>
  <c r="S49" i="21"/>
  <c r="R49" i="21"/>
  <c r="P49" i="21"/>
  <c r="O49" i="21"/>
  <c r="N49" i="21"/>
  <c r="M49" i="21"/>
  <c r="L49" i="21"/>
  <c r="W48" i="21"/>
  <c r="V48" i="21"/>
  <c r="U48" i="21"/>
  <c r="T48" i="21"/>
  <c r="S48" i="21"/>
  <c r="R48" i="21"/>
  <c r="P48" i="21"/>
  <c r="O48" i="21"/>
  <c r="N48" i="21"/>
  <c r="M48" i="21"/>
  <c r="L48" i="21"/>
  <c r="W47" i="21"/>
  <c r="V47" i="21"/>
  <c r="U47" i="21"/>
  <c r="T47" i="21"/>
  <c r="S47" i="21"/>
  <c r="R47" i="21"/>
  <c r="P47" i="21"/>
  <c r="O47" i="21"/>
  <c r="N47" i="21"/>
  <c r="M47" i="21"/>
  <c r="L47" i="21"/>
  <c r="W46" i="21"/>
  <c r="V46" i="21"/>
  <c r="U46" i="21"/>
  <c r="T46" i="21"/>
  <c r="S46" i="21"/>
  <c r="R46" i="21"/>
  <c r="P46" i="21"/>
  <c r="O46" i="21"/>
  <c r="N46" i="21"/>
  <c r="M46" i="21"/>
  <c r="L46" i="21"/>
  <c r="W45" i="21"/>
  <c r="V45" i="21"/>
  <c r="U45" i="21"/>
  <c r="T45" i="21"/>
  <c r="S45" i="21"/>
  <c r="R45" i="21"/>
  <c r="P45" i="21"/>
  <c r="O45" i="21"/>
  <c r="N45" i="21"/>
  <c r="M45" i="21"/>
  <c r="L45" i="21"/>
  <c r="W44" i="21"/>
  <c r="V44" i="21"/>
  <c r="U44" i="21"/>
  <c r="T44" i="21"/>
  <c r="S44" i="21"/>
  <c r="R44" i="21"/>
  <c r="P44" i="21"/>
  <c r="O44" i="21"/>
  <c r="N44" i="21"/>
  <c r="M44" i="21"/>
  <c r="L44" i="21"/>
  <c r="W43" i="21"/>
  <c r="V43" i="21"/>
  <c r="U43" i="21"/>
  <c r="T43" i="21"/>
  <c r="S43" i="21"/>
  <c r="R43" i="21"/>
  <c r="P43" i="21"/>
  <c r="O43" i="21"/>
  <c r="N43" i="21"/>
  <c r="M43" i="21"/>
  <c r="L43" i="21"/>
  <c r="W42" i="21"/>
  <c r="V42" i="21"/>
  <c r="U42" i="21"/>
  <c r="T42" i="21"/>
  <c r="S42" i="21"/>
  <c r="R42" i="21"/>
  <c r="P42" i="21"/>
  <c r="O42" i="21"/>
  <c r="N42" i="21"/>
  <c r="M42" i="21"/>
  <c r="L42" i="21"/>
  <c r="W41" i="21"/>
  <c r="V41" i="21"/>
  <c r="U41" i="21"/>
  <c r="T41" i="21"/>
  <c r="S41" i="21"/>
  <c r="R41" i="21"/>
  <c r="P41" i="21"/>
  <c r="O41" i="21"/>
  <c r="N41" i="21"/>
  <c r="M41" i="21"/>
  <c r="L41" i="21"/>
  <c r="W40" i="21"/>
  <c r="V40" i="21"/>
  <c r="U40" i="21"/>
  <c r="T40" i="21"/>
  <c r="S40" i="21"/>
  <c r="R40" i="21"/>
  <c r="P40" i="21"/>
  <c r="O40" i="21"/>
  <c r="N40" i="21"/>
  <c r="M40" i="21"/>
  <c r="L40" i="21"/>
  <c r="W39" i="21"/>
  <c r="V39" i="21"/>
  <c r="U39" i="21"/>
  <c r="T39" i="21"/>
  <c r="S39" i="21"/>
  <c r="R39" i="21"/>
  <c r="P39" i="21"/>
  <c r="O39" i="21"/>
  <c r="N39" i="21"/>
  <c r="M39" i="21"/>
  <c r="L39" i="21"/>
  <c r="W38" i="21"/>
  <c r="V38" i="21"/>
  <c r="U38" i="21"/>
  <c r="T38" i="21"/>
  <c r="S38" i="21"/>
  <c r="R38" i="21"/>
  <c r="P38" i="21"/>
  <c r="O38" i="21"/>
  <c r="N38" i="21"/>
  <c r="M38" i="21"/>
  <c r="L38" i="21"/>
  <c r="W37" i="21"/>
  <c r="V37" i="21"/>
  <c r="U37" i="21"/>
  <c r="T37" i="21"/>
  <c r="S37" i="21"/>
  <c r="R37" i="21"/>
  <c r="P37" i="21"/>
  <c r="O37" i="21"/>
  <c r="N37" i="21"/>
  <c r="M37" i="21"/>
  <c r="L37" i="21"/>
  <c r="W36" i="21"/>
  <c r="V36" i="21"/>
  <c r="U36" i="21"/>
  <c r="T36" i="21"/>
  <c r="S36" i="21"/>
  <c r="R36" i="21"/>
  <c r="P36" i="21"/>
  <c r="O36" i="21"/>
  <c r="N36" i="21"/>
  <c r="M36" i="21"/>
  <c r="L36" i="21"/>
  <c r="W35" i="21"/>
  <c r="V35" i="21"/>
  <c r="U35" i="21"/>
  <c r="T35" i="21"/>
  <c r="S35" i="21"/>
  <c r="R35" i="21"/>
  <c r="P35" i="21"/>
  <c r="O35" i="21"/>
  <c r="N35" i="21"/>
  <c r="M35" i="21"/>
  <c r="L35" i="21"/>
  <c r="W34" i="21"/>
  <c r="V34" i="21"/>
  <c r="U34" i="21"/>
  <c r="T34" i="21"/>
  <c r="S34" i="21"/>
  <c r="R34" i="21"/>
  <c r="P34" i="21"/>
  <c r="O34" i="21"/>
  <c r="N34" i="21"/>
  <c r="M34" i="21"/>
  <c r="L34" i="21"/>
  <c r="W33" i="21"/>
  <c r="V33" i="21"/>
  <c r="U33" i="21"/>
  <c r="T33" i="21"/>
  <c r="S33" i="21"/>
  <c r="R33" i="21"/>
  <c r="P33" i="21"/>
  <c r="O33" i="21"/>
  <c r="N33" i="21"/>
  <c r="M33" i="21"/>
  <c r="L33" i="21"/>
  <c r="W32" i="21"/>
  <c r="V32" i="21"/>
  <c r="U32" i="21"/>
  <c r="T32" i="21"/>
  <c r="S32" i="21"/>
  <c r="R32" i="21"/>
  <c r="P32" i="21"/>
  <c r="O32" i="21"/>
  <c r="N32" i="21"/>
  <c r="M32" i="21"/>
  <c r="L32" i="21"/>
  <c r="W31" i="21"/>
  <c r="V31" i="21"/>
  <c r="U31" i="21"/>
  <c r="T31" i="21"/>
  <c r="S31" i="21"/>
  <c r="R31" i="21"/>
  <c r="P31" i="21"/>
  <c r="O31" i="21"/>
  <c r="N31" i="21"/>
  <c r="M31" i="21"/>
  <c r="L31" i="21"/>
  <c r="W30" i="21"/>
  <c r="V30" i="21"/>
  <c r="U30" i="21"/>
  <c r="T30" i="21"/>
  <c r="S30" i="21"/>
  <c r="R30" i="21"/>
  <c r="P30" i="21"/>
  <c r="O30" i="21"/>
  <c r="N30" i="21"/>
  <c r="M30" i="21"/>
  <c r="L30" i="21"/>
  <c r="W29" i="21"/>
  <c r="V29" i="21"/>
  <c r="U29" i="21"/>
  <c r="T29" i="21"/>
  <c r="S29" i="21"/>
  <c r="R29" i="21"/>
  <c r="P29" i="21"/>
  <c r="O29" i="21"/>
  <c r="N29" i="21"/>
  <c r="M29" i="21"/>
  <c r="L29" i="21"/>
  <c r="W28" i="21"/>
  <c r="V28" i="21"/>
  <c r="U28" i="21"/>
  <c r="T28" i="21"/>
  <c r="S28" i="21"/>
  <c r="R28" i="21"/>
  <c r="P28" i="21"/>
  <c r="O28" i="21"/>
  <c r="N28" i="21"/>
  <c r="M28" i="21"/>
  <c r="L28" i="21"/>
  <c r="W27" i="21"/>
  <c r="V27" i="21"/>
  <c r="U27" i="21"/>
  <c r="T27" i="21"/>
  <c r="S27" i="21"/>
  <c r="R27" i="21"/>
  <c r="P27" i="21"/>
  <c r="O27" i="21"/>
  <c r="N27" i="21"/>
  <c r="M27" i="21"/>
  <c r="L27" i="21"/>
  <c r="W26" i="21"/>
  <c r="V26" i="21"/>
  <c r="U26" i="21"/>
  <c r="T26" i="21"/>
  <c r="S26" i="21"/>
  <c r="R26" i="21"/>
  <c r="P26" i="21"/>
  <c r="O26" i="21"/>
  <c r="N26" i="21"/>
  <c r="M26" i="21"/>
  <c r="L26" i="21"/>
  <c r="W25" i="21"/>
  <c r="V25" i="21"/>
  <c r="U25" i="21"/>
  <c r="T25" i="21"/>
  <c r="S25" i="21"/>
  <c r="R25" i="21"/>
  <c r="P25" i="21"/>
  <c r="O25" i="21"/>
  <c r="N25" i="21"/>
  <c r="M25" i="21"/>
  <c r="L25" i="21"/>
  <c r="W24" i="21"/>
  <c r="V24" i="21"/>
  <c r="U24" i="21"/>
  <c r="T24" i="21"/>
  <c r="S24" i="21"/>
  <c r="R24" i="21"/>
  <c r="P24" i="21"/>
  <c r="O24" i="21"/>
  <c r="N24" i="21"/>
  <c r="M24" i="21"/>
  <c r="L24" i="21"/>
  <c r="W23" i="21"/>
  <c r="V23" i="21"/>
  <c r="U23" i="21"/>
  <c r="T23" i="21"/>
  <c r="S23" i="21"/>
  <c r="R23" i="21"/>
  <c r="P23" i="21"/>
  <c r="O23" i="21"/>
  <c r="N23" i="21"/>
  <c r="M23" i="21"/>
  <c r="L23" i="21"/>
  <c r="W22" i="21"/>
  <c r="V22" i="21"/>
  <c r="U22" i="21"/>
  <c r="T22" i="21"/>
  <c r="S22" i="21"/>
  <c r="R22" i="21"/>
  <c r="P22" i="21"/>
  <c r="O22" i="21"/>
  <c r="N22" i="21"/>
  <c r="M22" i="21"/>
  <c r="L22" i="21"/>
  <c r="W21" i="21"/>
  <c r="V21" i="21"/>
  <c r="U21" i="21"/>
  <c r="T21" i="21"/>
  <c r="S21" i="21"/>
  <c r="R21" i="21"/>
  <c r="P21" i="21"/>
  <c r="O21" i="21"/>
  <c r="N21" i="21"/>
  <c r="M21" i="21"/>
  <c r="L21" i="21"/>
  <c r="W20" i="21"/>
  <c r="V20" i="21"/>
  <c r="U20" i="21"/>
  <c r="T20" i="21"/>
  <c r="S20" i="21"/>
  <c r="R20" i="21"/>
  <c r="P20" i="21"/>
  <c r="O20" i="21"/>
  <c r="N20" i="21"/>
  <c r="M20" i="21"/>
  <c r="L20" i="21"/>
  <c r="W19" i="21"/>
  <c r="V19" i="21"/>
  <c r="U19" i="21"/>
  <c r="T19" i="21"/>
  <c r="S19" i="21"/>
  <c r="R19" i="21"/>
  <c r="P19" i="21"/>
  <c r="O19" i="21"/>
  <c r="N19" i="21"/>
  <c r="M19" i="21"/>
  <c r="L19" i="21"/>
  <c r="W18" i="21"/>
  <c r="V18" i="21"/>
  <c r="U18" i="21"/>
  <c r="T18" i="21"/>
  <c r="S18" i="21"/>
  <c r="R18" i="21"/>
  <c r="P18" i="21"/>
  <c r="O18" i="21"/>
  <c r="N18" i="21"/>
  <c r="M18" i="21"/>
  <c r="L18" i="21"/>
  <c r="W17" i="21"/>
  <c r="V17" i="21"/>
  <c r="U17" i="21"/>
  <c r="T17" i="21"/>
  <c r="S17" i="21"/>
  <c r="R17" i="21"/>
  <c r="P17" i="21"/>
  <c r="O17" i="21"/>
  <c r="N17" i="21"/>
  <c r="M17" i="21"/>
  <c r="L17" i="21"/>
  <c r="W16" i="21"/>
  <c r="V16" i="21"/>
  <c r="U16" i="21"/>
  <c r="T16" i="21"/>
  <c r="S16" i="21"/>
  <c r="R16" i="21"/>
  <c r="P16" i="21"/>
  <c r="O16" i="21"/>
  <c r="N16" i="21"/>
  <c r="M16" i="21"/>
  <c r="L16" i="21"/>
  <c r="W15" i="21"/>
  <c r="V15" i="21"/>
  <c r="U15" i="21"/>
  <c r="T15" i="21"/>
  <c r="S15" i="21"/>
  <c r="R15" i="21"/>
  <c r="P15" i="21"/>
  <c r="O15" i="21"/>
  <c r="N15" i="21"/>
  <c r="M15" i="21"/>
  <c r="L15" i="21"/>
  <c r="W14" i="21"/>
  <c r="V14" i="21"/>
  <c r="U14" i="21"/>
  <c r="T14" i="21"/>
  <c r="S14" i="21"/>
  <c r="R14" i="21"/>
  <c r="P14" i="21"/>
  <c r="O14" i="21"/>
  <c r="N14" i="21"/>
  <c r="M14" i="21"/>
  <c r="L14" i="21"/>
  <c r="W13" i="21"/>
  <c r="V13" i="21"/>
  <c r="U13" i="21"/>
  <c r="T13" i="21"/>
  <c r="S13" i="21"/>
  <c r="R13" i="21"/>
  <c r="P13" i="21"/>
  <c r="O13" i="21"/>
  <c r="N13" i="21"/>
  <c r="M13" i="21"/>
  <c r="L13" i="21"/>
  <c r="W12" i="21"/>
  <c r="V12" i="21"/>
  <c r="U12" i="21"/>
  <c r="T12" i="21"/>
  <c r="S12" i="21"/>
  <c r="R12" i="21"/>
  <c r="P12" i="21"/>
  <c r="O12" i="21"/>
  <c r="N12" i="21"/>
  <c r="M12" i="21"/>
  <c r="L12" i="21"/>
  <c r="W11" i="21"/>
  <c r="V11" i="21"/>
  <c r="U11" i="21"/>
  <c r="T11" i="21"/>
  <c r="S11" i="21"/>
  <c r="R11" i="21"/>
  <c r="P11" i="21"/>
  <c r="O11" i="21"/>
  <c r="N11" i="21"/>
  <c r="M11" i="21"/>
  <c r="L11" i="21"/>
  <c r="W10" i="21"/>
  <c r="V10" i="21"/>
  <c r="U10" i="21"/>
  <c r="T10" i="21"/>
  <c r="S10" i="21"/>
  <c r="R10" i="21"/>
  <c r="P10" i="21"/>
  <c r="O10" i="21"/>
  <c r="N10" i="21"/>
  <c r="M10" i="21"/>
  <c r="L10" i="21"/>
  <c r="W9" i="21"/>
  <c r="V9" i="21"/>
  <c r="U9" i="21"/>
  <c r="T9" i="21"/>
  <c r="S9" i="21"/>
  <c r="R9" i="21"/>
  <c r="P9" i="21"/>
  <c r="O9" i="21"/>
  <c r="N9" i="21"/>
  <c r="M9" i="21"/>
  <c r="L9" i="21"/>
  <c r="W8" i="21"/>
  <c r="V8" i="21"/>
  <c r="U8" i="21"/>
  <c r="T8" i="21"/>
  <c r="S8" i="21"/>
  <c r="R8" i="21"/>
  <c r="P8" i="21"/>
  <c r="O8" i="21"/>
  <c r="N8" i="21"/>
  <c r="M8" i="21"/>
  <c r="L8" i="21"/>
  <c r="U54" i="20"/>
  <c r="T54" i="20"/>
  <c r="S54" i="20"/>
  <c r="R54" i="20"/>
  <c r="Q54" i="20"/>
  <c r="P54" i="20"/>
  <c r="N54" i="20"/>
  <c r="M54" i="20"/>
  <c r="L54" i="20"/>
  <c r="K54" i="20"/>
  <c r="U53" i="20"/>
  <c r="T53" i="20"/>
  <c r="S53" i="20"/>
  <c r="R53" i="20"/>
  <c r="Q53" i="20"/>
  <c r="P53" i="20"/>
  <c r="N53" i="20"/>
  <c r="M53" i="20"/>
  <c r="L53" i="20"/>
  <c r="K53" i="20"/>
  <c r="U52" i="20"/>
  <c r="T52" i="20"/>
  <c r="S52" i="20"/>
  <c r="R52" i="20"/>
  <c r="Q52" i="20"/>
  <c r="P52" i="20"/>
  <c r="N52" i="20"/>
  <c r="M52" i="20"/>
  <c r="L52" i="20"/>
  <c r="K52" i="20"/>
  <c r="U51" i="20"/>
  <c r="T51" i="20"/>
  <c r="S51" i="20"/>
  <c r="R51" i="20"/>
  <c r="Q51" i="20"/>
  <c r="P51" i="20"/>
  <c r="N51" i="20"/>
  <c r="M51" i="20"/>
  <c r="L51" i="20"/>
  <c r="K51" i="20"/>
  <c r="U50" i="20"/>
  <c r="T50" i="20"/>
  <c r="S50" i="20"/>
  <c r="R50" i="20"/>
  <c r="Q50" i="20"/>
  <c r="P50" i="20"/>
  <c r="N50" i="20"/>
  <c r="M50" i="20"/>
  <c r="L50" i="20"/>
  <c r="K50" i="20"/>
  <c r="U49" i="20"/>
  <c r="T49" i="20"/>
  <c r="S49" i="20"/>
  <c r="R49" i="20"/>
  <c r="Q49" i="20"/>
  <c r="P49" i="20"/>
  <c r="N49" i="20"/>
  <c r="M49" i="20"/>
  <c r="L49" i="20"/>
  <c r="K49" i="20"/>
  <c r="U48" i="20"/>
  <c r="T48" i="20"/>
  <c r="S48" i="20"/>
  <c r="R48" i="20"/>
  <c r="Q48" i="20"/>
  <c r="P48" i="20"/>
  <c r="N48" i="20"/>
  <c r="M48" i="20"/>
  <c r="L48" i="20"/>
  <c r="K48" i="20"/>
  <c r="U47" i="20"/>
  <c r="T47" i="20"/>
  <c r="S47" i="20"/>
  <c r="R47" i="20"/>
  <c r="Q47" i="20"/>
  <c r="P47" i="20"/>
  <c r="N47" i="20"/>
  <c r="M47" i="20"/>
  <c r="L47" i="20"/>
  <c r="K47" i="20"/>
  <c r="U46" i="20"/>
  <c r="T46" i="20"/>
  <c r="S46" i="20"/>
  <c r="R46" i="20"/>
  <c r="Q46" i="20"/>
  <c r="P46" i="20"/>
  <c r="N46" i="20"/>
  <c r="M46" i="20"/>
  <c r="L46" i="20"/>
  <c r="K46" i="20"/>
  <c r="U45" i="20"/>
  <c r="T45" i="20"/>
  <c r="S45" i="20"/>
  <c r="R45" i="20"/>
  <c r="Q45" i="20"/>
  <c r="P45" i="20"/>
  <c r="N45" i="20"/>
  <c r="M45" i="20"/>
  <c r="L45" i="20"/>
  <c r="K45" i="20"/>
  <c r="U44" i="20"/>
  <c r="T44" i="20"/>
  <c r="S44" i="20"/>
  <c r="R44" i="20"/>
  <c r="Q44" i="20"/>
  <c r="P44" i="20"/>
  <c r="N44" i="20"/>
  <c r="M44" i="20"/>
  <c r="L44" i="20"/>
  <c r="K44" i="20"/>
  <c r="U43" i="20"/>
  <c r="T43" i="20"/>
  <c r="S43" i="20"/>
  <c r="R43" i="20"/>
  <c r="Q43" i="20"/>
  <c r="P43" i="20"/>
  <c r="N43" i="20"/>
  <c r="M43" i="20"/>
  <c r="L43" i="20"/>
  <c r="K43" i="20"/>
  <c r="U42" i="20"/>
  <c r="T42" i="20"/>
  <c r="S42" i="20"/>
  <c r="R42" i="20"/>
  <c r="Q42" i="20"/>
  <c r="P42" i="20"/>
  <c r="N42" i="20"/>
  <c r="M42" i="20"/>
  <c r="L42" i="20"/>
  <c r="K42" i="20"/>
  <c r="U41" i="20"/>
  <c r="T41" i="20"/>
  <c r="S41" i="20"/>
  <c r="R41" i="20"/>
  <c r="Q41" i="20"/>
  <c r="P41" i="20"/>
  <c r="N41" i="20"/>
  <c r="M41" i="20"/>
  <c r="L41" i="20"/>
  <c r="K41" i="20"/>
  <c r="U40" i="20"/>
  <c r="T40" i="20"/>
  <c r="S40" i="20"/>
  <c r="R40" i="20"/>
  <c r="Q40" i="20"/>
  <c r="P40" i="20"/>
  <c r="N40" i="20"/>
  <c r="M40" i="20"/>
  <c r="L40" i="20"/>
  <c r="K40" i="20"/>
  <c r="U39" i="20"/>
  <c r="T39" i="20"/>
  <c r="S39" i="20"/>
  <c r="R39" i="20"/>
  <c r="Q39" i="20"/>
  <c r="P39" i="20"/>
  <c r="N39" i="20"/>
  <c r="M39" i="20"/>
  <c r="L39" i="20"/>
  <c r="K39" i="20"/>
  <c r="U38" i="20"/>
  <c r="T38" i="20"/>
  <c r="S38" i="20"/>
  <c r="R38" i="20"/>
  <c r="Q38" i="20"/>
  <c r="P38" i="20"/>
  <c r="N38" i="20"/>
  <c r="M38" i="20"/>
  <c r="L38" i="20"/>
  <c r="K38" i="20"/>
  <c r="U37" i="20"/>
  <c r="T37" i="20"/>
  <c r="S37" i="20"/>
  <c r="R37" i="20"/>
  <c r="Q37" i="20"/>
  <c r="P37" i="20"/>
  <c r="N37" i="20"/>
  <c r="M37" i="20"/>
  <c r="L37" i="20"/>
  <c r="K37" i="20"/>
  <c r="U36" i="20"/>
  <c r="T36" i="20"/>
  <c r="S36" i="20"/>
  <c r="R36" i="20"/>
  <c r="Q36" i="20"/>
  <c r="P36" i="20"/>
  <c r="N36" i="20"/>
  <c r="M36" i="20"/>
  <c r="L36" i="20"/>
  <c r="K36" i="20"/>
  <c r="U35" i="20"/>
  <c r="T35" i="20"/>
  <c r="S35" i="20"/>
  <c r="R35" i="20"/>
  <c r="Q35" i="20"/>
  <c r="P35" i="20"/>
  <c r="N35" i="20"/>
  <c r="M35" i="20"/>
  <c r="L35" i="20"/>
  <c r="K35" i="20"/>
  <c r="U34" i="20"/>
  <c r="T34" i="20"/>
  <c r="S34" i="20"/>
  <c r="R34" i="20"/>
  <c r="Q34" i="20"/>
  <c r="P34" i="20"/>
  <c r="N34" i="20"/>
  <c r="M34" i="20"/>
  <c r="L34" i="20"/>
  <c r="K34" i="20"/>
  <c r="U33" i="20"/>
  <c r="T33" i="20"/>
  <c r="S33" i="20"/>
  <c r="R33" i="20"/>
  <c r="Q33" i="20"/>
  <c r="P33" i="20"/>
  <c r="N33" i="20"/>
  <c r="M33" i="20"/>
  <c r="L33" i="20"/>
  <c r="K33" i="20"/>
  <c r="U32" i="20"/>
  <c r="T32" i="20"/>
  <c r="S32" i="20"/>
  <c r="R32" i="20"/>
  <c r="Q32" i="20"/>
  <c r="P32" i="20"/>
  <c r="N32" i="20"/>
  <c r="M32" i="20"/>
  <c r="L32" i="20"/>
  <c r="K32" i="20"/>
  <c r="U31" i="20"/>
  <c r="T31" i="20"/>
  <c r="S31" i="20"/>
  <c r="R31" i="20"/>
  <c r="Q31" i="20"/>
  <c r="P31" i="20"/>
  <c r="N31" i="20"/>
  <c r="M31" i="20"/>
  <c r="L31" i="20"/>
  <c r="K31" i="20"/>
  <c r="U30" i="20"/>
  <c r="T30" i="20"/>
  <c r="S30" i="20"/>
  <c r="R30" i="20"/>
  <c r="Q30" i="20"/>
  <c r="P30" i="20"/>
  <c r="N30" i="20"/>
  <c r="M30" i="20"/>
  <c r="L30" i="20"/>
  <c r="K30" i="20"/>
  <c r="U29" i="20"/>
  <c r="T29" i="20"/>
  <c r="S29" i="20"/>
  <c r="R29" i="20"/>
  <c r="Q29" i="20"/>
  <c r="P29" i="20"/>
  <c r="N29" i="20"/>
  <c r="M29" i="20"/>
  <c r="L29" i="20"/>
  <c r="K29" i="20"/>
  <c r="U28" i="20"/>
  <c r="T28" i="20"/>
  <c r="S28" i="20"/>
  <c r="R28" i="20"/>
  <c r="Q28" i="20"/>
  <c r="P28" i="20"/>
  <c r="N28" i="20"/>
  <c r="M28" i="20"/>
  <c r="L28" i="20"/>
  <c r="K28" i="20"/>
  <c r="U27" i="20"/>
  <c r="T27" i="20"/>
  <c r="S27" i="20"/>
  <c r="R27" i="20"/>
  <c r="Q27" i="20"/>
  <c r="P27" i="20"/>
  <c r="N27" i="20"/>
  <c r="M27" i="20"/>
  <c r="L27" i="20"/>
  <c r="K27" i="20"/>
  <c r="U26" i="20"/>
  <c r="T26" i="20"/>
  <c r="S26" i="20"/>
  <c r="R26" i="20"/>
  <c r="Q26" i="20"/>
  <c r="P26" i="20"/>
  <c r="N26" i="20"/>
  <c r="M26" i="20"/>
  <c r="L26" i="20"/>
  <c r="K26" i="20"/>
  <c r="U25" i="20"/>
  <c r="T25" i="20"/>
  <c r="S25" i="20"/>
  <c r="R25" i="20"/>
  <c r="Q25" i="20"/>
  <c r="P25" i="20"/>
  <c r="N25" i="20"/>
  <c r="M25" i="20"/>
  <c r="L25" i="20"/>
  <c r="K25" i="20"/>
  <c r="U24" i="20"/>
  <c r="T24" i="20"/>
  <c r="S24" i="20"/>
  <c r="R24" i="20"/>
  <c r="Q24" i="20"/>
  <c r="P24" i="20"/>
  <c r="N24" i="20"/>
  <c r="M24" i="20"/>
  <c r="L24" i="20"/>
  <c r="K24" i="20"/>
  <c r="U23" i="20"/>
  <c r="T23" i="20"/>
  <c r="S23" i="20"/>
  <c r="R23" i="20"/>
  <c r="Q23" i="20"/>
  <c r="P23" i="20"/>
  <c r="N23" i="20"/>
  <c r="M23" i="20"/>
  <c r="L23" i="20"/>
  <c r="K23" i="20"/>
  <c r="U22" i="20"/>
  <c r="T22" i="20"/>
  <c r="S22" i="20"/>
  <c r="R22" i="20"/>
  <c r="Q22" i="20"/>
  <c r="P22" i="20"/>
  <c r="N22" i="20"/>
  <c r="M22" i="20"/>
  <c r="L22" i="20"/>
  <c r="K22" i="20"/>
  <c r="U21" i="20"/>
  <c r="T21" i="20"/>
  <c r="S21" i="20"/>
  <c r="R21" i="20"/>
  <c r="Q21" i="20"/>
  <c r="P21" i="20"/>
  <c r="N21" i="20"/>
  <c r="M21" i="20"/>
  <c r="L21" i="20"/>
  <c r="K21" i="20"/>
  <c r="U20" i="20"/>
  <c r="T20" i="20"/>
  <c r="S20" i="20"/>
  <c r="R20" i="20"/>
  <c r="Q20" i="20"/>
  <c r="P20" i="20"/>
  <c r="N20" i="20"/>
  <c r="M20" i="20"/>
  <c r="L20" i="20"/>
  <c r="K20" i="20"/>
  <c r="U19" i="20"/>
  <c r="T19" i="20"/>
  <c r="S19" i="20"/>
  <c r="R19" i="20"/>
  <c r="Q19" i="20"/>
  <c r="P19" i="20"/>
  <c r="N19" i="20"/>
  <c r="M19" i="20"/>
  <c r="L19" i="20"/>
  <c r="K19" i="20"/>
  <c r="U18" i="20"/>
  <c r="T18" i="20"/>
  <c r="S18" i="20"/>
  <c r="R18" i="20"/>
  <c r="Q18" i="20"/>
  <c r="P18" i="20"/>
  <c r="N18" i="20"/>
  <c r="M18" i="20"/>
  <c r="L18" i="20"/>
  <c r="K18" i="20"/>
  <c r="U17" i="20"/>
  <c r="T17" i="20"/>
  <c r="S17" i="20"/>
  <c r="R17" i="20"/>
  <c r="Q17" i="20"/>
  <c r="P17" i="20"/>
  <c r="N17" i="20"/>
  <c r="M17" i="20"/>
  <c r="L17" i="20"/>
  <c r="K17" i="20"/>
  <c r="U16" i="20"/>
  <c r="T16" i="20"/>
  <c r="S16" i="20"/>
  <c r="R16" i="20"/>
  <c r="Q16" i="20"/>
  <c r="P16" i="20"/>
  <c r="N16" i="20"/>
  <c r="M16" i="20"/>
  <c r="L16" i="20"/>
  <c r="K16" i="20"/>
  <c r="U15" i="20"/>
  <c r="T15" i="20"/>
  <c r="S15" i="20"/>
  <c r="R15" i="20"/>
  <c r="Q15" i="20"/>
  <c r="P15" i="20"/>
  <c r="N15" i="20"/>
  <c r="M15" i="20"/>
  <c r="L15" i="20"/>
  <c r="K15" i="20"/>
  <c r="U14" i="20"/>
  <c r="T14" i="20"/>
  <c r="S14" i="20"/>
  <c r="R14" i="20"/>
  <c r="Q14" i="20"/>
  <c r="P14" i="20"/>
  <c r="N14" i="20"/>
  <c r="M14" i="20"/>
  <c r="L14" i="20"/>
  <c r="K14" i="20"/>
  <c r="U13" i="20"/>
  <c r="T13" i="20"/>
  <c r="S13" i="20"/>
  <c r="R13" i="20"/>
  <c r="Q13" i="20"/>
  <c r="P13" i="20"/>
  <c r="N13" i="20"/>
  <c r="M13" i="20"/>
  <c r="L13" i="20"/>
  <c r="K13" i="20"/>
  <c r="U12" i="20"/>
  <c r="T12" i="20"/>
  <c r="S12" i="20"/>
  <c r="R12" i="20"/>
  <c r="Q12" i="20"/>
  <c r="P12" i="20"/>
  <c r="N12" i="20"/>
  <c r="M12" i="20"/>
  <c r="L12" i="20"/>
  <c r="K12" i="20"/>
  <c r="U11" i="20"/>
  <c r="T11" i="20"/>
  <c r="S11" i="20"/>
  <c r="R11" i="20"/>
  <c r="Q11" i="20"/>
  <c r="P11" i="20"/>
  <c r="N11" i="20"/>
  <c r="M11" i="20"/>
  <c r="L11" i="20"/>
  <c r="K11" i="20"/>
  <c r="U10" i="20"/>
  <c r="T10" i="20"/>
  <c r="S10" i="20"/>
  <c r="R10" i="20"/>
  <c r="Q10" i="20"/>
  <c r="P10" i="20"/>
  <c r="N10" i="20"/>
  <c r="M10" i="20"/>
  <c r="L10" i="20"/>
  <c r="K10" i="20"/>
  <c r="U9" i="20"/>
  <c r="T9" i="20"/>
  <c r="S9" i="20"/>
  <c r="R9" i="20"/>
  <c r="Q9" i="20"/>
  <c r="P9" i="20"/>
  <c r="N9" i="20"/>
  <c r="M9" i="20"/>
  <c r="L9" i="20"/>
  <c r="K9" i="20"/>
  <c r="U8" i="20"/>
  <c r="T8" i="20"/>
  <c r="S8" i="20"/>
  <c r="R8" i="20"/>
  <c r="Q8" i="20"/>
  <c r="P8" i="20"/>
  <c r="N8" i="20"/>
  <c r="M8" i="20"/>
  <c r="L8" i="20"/>
  <c r="K8" i="20"/>
  <c r="AH52" i="19"/>
  <c r="AG52" i="19"/>
  <c r="AF52" i="19"/>
  <c r="Y52" i="19"/>
  <c r="U52" i="19"/>
  <c r="T52" i="19"/>
  <c r="S52" i="19"/>
  <c r="R52" i="19"/>
  <c r="Q52" i="19"/>
  <c r="W52" i="19" s="1"/>
  <c r="AI52" i="19" s="1"/>
  <c r="AH51" i="19"/>
  <c r="AG51" i="19"/>
  <c r="AF51" i="19"/>
  <c r="Y51" i="19"/>
  <c r="U51" i="19"/>
  <c r="T51" i="19"/>
  <c r="S51" i="19"/>
  <c r="R51" i="19"/>
  <c r="Q51" i="19"/>
  <c r="W51" i="19" s="1"/>
  <c r="AI51" i="19" s="1"/>
  <c r="AH50" i="19"/>
  <c r="AG50" i="19"/>
  <c r="AF50" i="19"/>
  <c r="Y50" i="19"/>
  <c r="U50" i="19"/>
  <c r="T50" i="19"/>
  <c r="S50" i="19"/>
  <c r="R50" i="19"/>
  <c r="Q50" i="19"/>
  <c r="W50" i="19" s="1"/>
  <c r="AI50" i="19" s="1"/>
  <c r="AH49" i="19"/>
  <c r="AG49" i="19"/>
  <c r="AF49" i="19"/>
  <c r="Y49" i="19"/>
  <c r="U49" i="19"/>
  <c r="T49" i="19"/>
  <c r="S49" i="19"/>
  <c r="R49" i="19"/>
  <c r="Q49" i="19"/>
  <c r="W49" i="19" s="1"/>
  <c r="AI49" i="19" s="1"/>
  <c r="AH48" i="19"/>
  <c r="AG48" i="19"/>
  <c r="AF48" i="19"/>
  <c r="Y48" i="19"/>
  <c r="U48" i="19"/>
  <c r="T48" i="19"/>
  <c r="S48" i="19"/>
  <c r="R48" i="19"/>
  <c r="Q48" i="19"/>
  <c r="W48" i="19" s="1"/>
  <c r="AI48" i="19" s="1"/>
  <c r="AH47" i="19"/>
  <c r="AG47" i="19"/>
  <c r="AF47" i="19"/>
  <c r="Y47" i="19"/>
  <c r="U47" i="19"/>
  <c r="T47" i="19"/>
  <c r="S47" i="19"/>
  <c r="R47" i="19"/>
  <c r="Q47" i="19"/>
  <c r="W47" i="19" s="1"/>
  <c r="AI47" i="19" s="1"/>
  <c r="AH46" i="19"/>
  <c r="AG46" i="19"/>
  <c r="AF46" i="19"/>
  <c r="Y46" i="19"/>
  <c r="U46" i="19"/>
  <c r="T46" i="19"/>
  <c r="S46" i="19"/>
  <c r="R46" i="19"/>
  <c r="Q46" i="19"/>
  <c r="W46" i="19" s="1"/>
  <c r="AI46" i="19" s="1"/>
  <c r="AH45" i="19"/>
  <c r="AG45" i="19"/>
  <c r="AF45" i="19"/>
  <c r="Y45" i="19"/>
  <c r="U45" i="19"/>
  <c r="T45" i="19"/>
  <c r="S45" i="19"/>
  <c r="R45" i="19"/>
  <c r="Q45" i="19"/>
  <c r="W45" i="19" s="1"/>
  <c r="AI45" i="19" s="1"/>
  <c r="AH44" i="19"/>
  <c r="AG44" i="19"/>
  <c r="AF44" i="19"/>
  <c r="Y44" i="19"/>
  <c r="U44" i="19"/>
  <c r="T44" i="19"/>
  <c r="S44" i="19"/>
  <c r="R44" i="19"/>
  <c r="Q44" i="19"/>
  <c r="W44" i="19" s="1"/>
  <c r="AI44" i="19" s="1"/>
  <c r="AH43" i="19"/>
  <c r="AG43" i="19"/>
  <c r="AF43" i="19"/>
  <c r="Y43" i="19"/>
  <c r="U43" i="19"/>
  <c r="T43" i="19"/>
  <c r="S43" i="19"/>
  <c r="R43" i="19"/>
  <c r="Q43" i="19"/>
  <c r="W43" i="19" s="1"/>
  <c r="AI43" i="19" s="1"/>
  <c r="AH42" i="19"/>
  <c r="AG42" i="19"/>
  <c r="AF42" i="19"/>
  <c r="Y42" i="19"/>
  <c r="U42" i="19"/>
  <c r="T42" i="19"/>
  <c r="S42" i="19"/>
  <c r="R42" i="19"/>
  <c r="Q42" i="19"/>
  <c r="W42" i="19" s="1"/>
  <c r="AI42" i="19" s="1"/>
  <c r="AH41" i="19"/>
  <c r="AG41" i="19"/>
  <c r="AF41" i="19"/>
  <c r="Y41" i="19"/>
  <c r="U41" i="19"/>
  <c r="T41" i="19"/>
  <c r="S41" i="19"/>
  <c r="R41" i="19"/>
  <c r="Q41" i="19"/>
  <c r="W41" i="19" s="1"/>
  <c r="AI41" i="19" s="1"/>
  <c r="AH40" i="19"/>
  <c r="AG40" i="19"/>
  <c r="AF40" i="19"/>
  <c r="Y40" i="19"/>
  <c r="U40" i="19"/>
  <c r="T40" i="19"/>
  <c r="S40" i="19"/>
  <c r="R40" i="19"/>
  <c r="Q40" i="19"/>
  <c r="W40" i="19" s="1"/>
  <c r="AI40" i="19" s="1"/>
  <c r="AH39" i="19"/>
  <c r="AG39" i="19"/>
  <c r="AF39" i="19"/>
  <c r="Y39" i="19"/>
  <c r="U39" i="19"/>
  <c r="T39" i="19"/>
  <c r="S39" i="19"/>
  <c r="R39" i="19"/>
  <c r="Q39" i="19"/>
  <c r="W39" i="19" s="1"/>
  <c r="AI39" i="19" s="1"/>
  <c r="AH38" i="19"/>
  <c r="AG38" i="19"/>
  <c r="AF38" i="19"/>
  <c r="Y38" i="19"/>
  <c r="U38" i="19"/>
  <c r="T38" i="19"/>
  <c r="S38" i="19"/>
  <c r="R38" i="19"/>
  <c r="Q38" i="19"/>
  <c r="W38" i="19" s="1"/>
  <c r="AI38" i="19" s="1"/>
  <c r="AH37" i="19"/>
  <c r="AG37" i="19"/>
  <c r="AF37" i="19"/>
  <c r="Y37" i="19"/>
  <c r="U37" i="19"/>
  <c r="T37" i="19"/>
  <c r="S37" i="19"/>
  <c r="R37" i="19"/>
  <c r="Q37" i="19"/>
  <c r="W37" i="19" s="1"/>
  <c r="AI37" i="19" s="1"/>
  <c r="AH36" i="19"/>
  <c r="AG36" i="19"/>
  <c r="AF36" i="19"/>
  <c r="Y36" i="19"/>
  <c r="U36" i="19"/>
  <c r="T36" i="19"/>
  <c r="S36" i="19"/>
  <c r="R36" i="19"/>
  <c r="Q36" i="19"/>
  <c r="W36" i="19" s="1"/>
  <c r="AI36" i="19" s="1"/>
  <c r="AH35" i="19"/>
  <c r="AG35" i="19"/>
  <c r="AF35" i="19"/>
  <c r="Y35" i="19"/>
  <c r="U35" i="19"/>
  <c r="T35" i="19"/>
  <c r="S35" i="19"/>
  <c r="R35" i="19"/>
  <c r="Q35" i="19"/>
  <c r="W35" i="19" s="1"/>
  <c r="AI35" i="19" s="1"/>
  <c r="AH34" i="19"/>
  <c r="AG34" i="19"/>
  <c r="AF34" i="19"/>
  <c r="Y34" i="19"/>
  <c r="U34" i="19"/>
  <c r="T34" i="19"/>
  <c r="S34" i="19"/>
  <c r="R34" i="19"/>
  <c r="Q34" i="19"/>
  <c r="W34" i="19" s="1"/>
  <c r="AI34" i="19" s="1"/>
  <c r="AH33" i="19"/>
  <c r="AG33" i="19"/>
  <c r="AF33" i="19"/>
  <c r="Y33" i="19"/>
  <c r="U33" i="19"/>
  <c r="T33" i="19"/>
  <c r="S33" i="19"/>
  <c r="R33" i="19"/>
  <c r="Q33" i="19"/>
  <c r="W33" i="19" s="1"/>
  <c r="AI33" i="19" s="1"/>
  <c r="AH32" i="19"/>
  <c r="AG32" i="19"/>
  <c r="AF32" i="19"/>
  <c r="Y32" i="19"/>
  <c r="U32" i="19"/>
  <c r="T32" i="19"/>
  <c r="S32" i="19"/>
  <c r="R32" i="19"/>
  <c r="Q32" i="19"/>
  <c r="W32" i="19" s="1"/>
  <c r="AI32" i="19" s="1"/>
  <c r="AH31" i="19"/>
  <c r="AG31" i="19"/>
  <c r="AF31" i="19"/>
  <c r="Y31" i="19"/>
  <c r="U31" i="19"/>
  <c r="T31" i="19"/>
  <c r="S31" i="19"/>
  <c r="R31" i="19"/>
  <c r="Q31" i="19"/>
  <c r="W31" i="19" s="1"/>
  <c r="AI31" i="19" s="1"/>
  <c r="AH30" i="19"/>
  <c r="AG30" i="19"/>
  <c r="AF30" i="19"/>
  <c r="Y30" i="19"/>
  <c r="U30" i="19"/>
  <c r="T30" i="19"/>
  <c r="S30" i="19"/>
  <c r="R30" i="19"/>
  <c r="Q30" i="19"/>
  <c r="W30" i="19" s="1"/>
  <c r="AI30" i="19" s="1"/>
  <c r="AH29" i="19"/>
  <c r="AG29" i="19"/>
  <c r="AF29" i="19"/>
  <c r="Y29" i="19"/>
  <c r="U29" i="19"/>
  <c r="T29" i="19"/>
  <c r="S29" i="19"/>
  <c r="R29" i="19"/>
  <c r="Q29" i="19"/>
  <c r="W29" i="19" s="1"/>
  <c r="AI29" i="19" s="1"/>
  <c r="AH28" i="19"/>
  <c r="AG28" i="19"/>
  <c r="AF28" i="19"/>
  <c r="Y28" i="19"/>
  <c r="U28" i="19"/>
  <c r="T28" i="19"/>
  <c r="S28" i="19"/>
  <c r="R28" i="19"/>
  <c r="Q28" i="19"/>
  <c r="W28" i="19" s="1"/>
  <c r="AI28" i="19" s="1"/>
  <c r="AH27" i="19"/>
  <c r="AG27" i="19"/>
  <c r="AF27" i="19"/>
  <c r="Y27" i="19"/>
  <c r="U27" i="19"/>
  <c r="T27" i="19"/>
  <c r="S27" i="19"/>
  <c r="R27" i="19"/>
  <c r="Q27" i="19"/>
  <c r="W27" i="19" s="1"/>
  <c r="AI27" i="19" s="1"/>
  <c r="AH26" i="19"/>
  <c r="AG26" i="19"/>
  <c r="AF26" i="19"/>
  <c r="Y26" i="19"/>
  <c r="U26" i="19"/>
  <c r="T26" i="19"/>
  <c r="S26" i="19"/>
  <c r="R26" i="19"/>
  <c r="Q26" i="19"/>
  <c r="W26" i="19" s="1"/>
  <c r="AI26" i="19" s="1"/>
  <c r="AH25" i="19"/>
  <c r="AG25" i="19"/>
  <c r="AF25" i="19"/>
  <c r="Y25" i="19"/>
  <c r="U25" i="19"/>
  <c r="T25" i="19"/>
  <c r="S25" i="19"/>
  <c r="R25" i="19"/>
  <c r="Q25" i="19"/>
  <c r="W25" i="19" s="1"/>
  <c r="AI25" i="19" s="1"/>
  <c r="AH24" i="19"/>
  <c r="AG24" i="19"/>
  <c r="AF24" i="19"/>
  <c r="Y24" i="19"/>
  <c r="U24" i="19"/>
  <c r="T24" i="19"/>
  <c r="S24" i="19"/>
  <c r="R24" i="19"/>
  <c r="Q24" i="19"/>
  <c r="W24" i="19" s="1"/>
  <c r="AI24" i="19" s="1"/>
  <c r="AH23" i="19"/>
  <c r="AG23" i="19"/>
  <c r="AF23" i="19"/>
  <c r="Y23" i="19"/>
  <c r="U23" i="19"/>
  <c r="T23" i="19"/>
  <c r="S23" i="19"/>
  <c r="R23" i="19"/>
  <c r="Q23" i="19"/>
  <c r="W23" i="19" s="1"/>
  <c r="AI23" i="19" s="1"/>
  <c r="AH22" i="19"/>
  <c r="AG22" i="19"/>
  <c r="AF22" i="19"/>
  <c r="Y22" i="19"/>
  <c r="U22" i="19"/>
  <c r="T22" i="19"/>
  <c r="S22" i="19"/>
  <c r="R22" i="19"/>
  <c r="Q22" i="19"/>
  <c r="W22" i="19" s="1"/>
  <c r="AI22" i="19" s="1"/>
  <c r="AH21" i="19"/>
  <c r="AG21" i="19"/>
  <c r="AF21" i="19"/>
  <c r="Y21" i="19"/>
  <c r="U21" i="19"/>
  <c r="T21" i="19"/>
  <c r="S21" i="19"/>
  <c r="R21" i="19"/>
  <c r="Q21" i="19"/>
  <c r="W21" i="19" s="1"/>
  <c r="AI21" i="19" s="1"/>
  <c r="AH20" i="19"/>
  <c r="AG20" i="19"/>
  <c r="AF20" i="19"/>
  <c r="Y20" i="19"/>
  <c r="U20" i="19"/>
  <c r="T20" i="19"/>
  <c r="S20" i="19"/>
  <c r="R20" i="19"/>
  <c r="Q20" i="19"/>
  <c r="W20" i="19" s="1"/>
  <c r="AI20" i="19" s="1"/>
  <c r="AH19" i="19"/>
  <c r="AG19" i="19"/>
  <c r="AF19" i="19"/>
  <c r="Y19" i="19"/>
  <c r="U19" i="19"/>
  <c r="T19" i="19"/>
  <c r="S19" i="19"/>
  <c r="R19" i="19"/>
  <c r="Q19" i="19"/>
  <c r="W19" i="19" s="1"/>
  <c r="AI19" i="19" s="1"/>
  <c r="AH18" i="19"/>
  <c r="AG18" i="19"/>
  <c r="AF18" i="19"/>
  <c r="Y18" i="19"/>
  <c r="U18" i="19"/>
  <c r="T18" i="19"/>
  <c r="S18" i="19"/>
  <c r="R18" i="19"/>
  <c r="Q18" i="19"/>
  <c r="W18" i="19" s="1"/>
  <c r="AI18" i="19" s="1"/>
  <c r="AH17" i="19"/>
  <c r="AG17" i="19"/>
  <c r="AF17" i="19"/>
  <c r="Y17" i="19"/>
  <c r="U17" i="19"/>
  <c r="T17" i="19"/>
  <c r="S17" i="19"/>
  <c r="R17" i="19"/>
  <c r="Q17" i="19"/>
  <c r="W17" i="19" s="1"/>
  <c r="AI17" i="19" s="1"/>
  <c r="AH16" i="19"/>
  <c r="AG16" i="19"/>
  <c r="AF16" i="19"/>
  <c r="Y16" i="19"/>
  <c r="U16" i="19"/>
  <c r="T16" i="19"/>
  <c r="S16" i="19"/>
  <c r="R16" i="19"/>
  <c r="Q16" i="19"/>
  <c r="W16" i="19" s="1"/>
  <c r="AI16" i="19" s="1"/>
  <c r="AH15" i="19"/>
  <c r="AG15" i="19"/>
  <c r="AF15" i="19"/>
  <c r="Y15" i="19"/>
  <c r="U15" i="19"/>
  <c r="T15" i="19"/>
  <c r="S15" i="19"/>
  <c r="R15" i="19"/>
  <c r="Q15" i="19"/>
  <c r="W15" i="19" s="1"/>
  <c r="AI15" i="19" s="1"/>
  <c r="AH14" i="19"/>
  <c r="AG14" i="19"/>
  <c r="AF14" i="19"/>
  <c r="Y14" i="19"/>
  <c r="U14" i="19"/>
  <c r="T14" i="19"/>
  <c r="S14" i="19"/>
  <c r="R14" i="19"/>
  <c r="Q14" i="19"/>
  <c r="W14" i="19" s="1"/>
  <c r="AI14" i="19" s="1"/>
  <c r="AH13" i="19"/>
  <c r="AG13" i="19"/>
  <c r="AF13" i="19"/>
  <c r="Y13" i="19"/>
  <c r="U13" i="19"/>
  <c r="T13" i="19"/>
  <c r="S13" i="19"/>
  <c r="R13" i="19"/>
  <c r="Q13" i="19"/>
  <c r="W13" i="19" s="1"/>
  <c r="AI13" i="19" s="1"/>
  <c r="AH12" i="19"/>
  <c r="AG12" i="19"/>
  <c r="AF12" i="19"/>
  <c r="Y12" i="19"/>
  <c r="U12" i="19"/>
  <c r="T12" i="19"/>
  <c r="S12" i="19"/>
  <c r="R12" i="19"/>
  <c r="Q12" i="19"/>
  <c r="W12" i="19" s="1"/>
  <c r="AI12" i="19" s="1"/>
  <c r="AH11" i="19"/>
  <c r="AG11" i="19"/>
  <c r="AF11" i="19"/>
  <c r="Y11" i="19"/>
  <c r="U11" i="19"/>
  <c r="T11" i="19"/>
  <c r="S11" i="19"/>
  <c r="R11" i="19"/>
  <c r="Q11" i="19"/>
  <c r="W11" i="19" s="1"/>
  <c r="AI11" i="19" s="1"/>
  <c r="AH10" i="19"/>
  <c r="AG10" i="19"/>
  <c r="AF10" i="19"/>
  <c r="Y10" i="19"/>
  <c r="U10" i="19"/>
  <c r="T10" i="19"/>
  <c r="S10" i="19"/>
  <c r="R10" i="19"/>
  <c r="Q10" i="19"/>
  <c r="W10" i="19" s="1"/>
  <c r="AI10" i="19" s="1"/>
  <c r="AH9" i="19"/>
  <c r="AG9" i="19"/>
  <c r="AF9" i="19"/>
  <c r="Y9" i="19"/>
  <c r="U9" i="19"/>
  <c r="T9" i="19"/>
  <c r="S9" i="19"/>
  <c r="R9" i="19"/>
  <c r="Q9" i="19"/>
  <c r="W9" i="19" s="1"/>
  <c r="AH8" i="19"/>
  <c r="AG8" i="19"/>
  <c r="AF8" i="19"/>
  <c r="Y8" i="19"/>
  <c r="U8" i="19"/>
  <c r="T8" i="19"/>
  <c r="S8" i="19"/>
  <c r="R8" i="19"/>
  <c r="Q8" i="19"/>
  <c r="W8" i="19" s="1"/>
  <c r="AI8" i="19" s="1"/>
  <c r="AH7" i="19"/>
  <c r="AG7" i="19"/>
  <c r="AF7" i="19"/>
  <c r="Y7" i="19"/>
  <c r="U7" i="19"/>
  <c r="T7" i="19"/>
  <c r="S7" i="19"/>
  <c r="R7" i="19"/>
  <c r="Q7" i="19"/>
  <c r="W7" i="19" s="1"/>
  <c r="AI7" i="19" s="1"/>
  <c r="AH6" i="19"/>
  <c r="AG6" i="19"/>
  <c r="AF6" i="19"/>
  <c r="Y6" i="19"/>
  <c r="U6" i="19"/>
  <c r="T6" i="19"/>
  <c r="S6" i="19"/>
  <c r="R6" i="19"/>
  <c r="Q6" i="19"/>
  <c r="W6" i="19" s="1"/>
  <c r="AI6" i="19" s="1"/>
  <c r="D68" i="18"/>
  <c r="D67" i="18"/>
  <c r="D66" i="18"/>
  <c r="D65" i="18"/>
  <c r="D64" i="18"/>
  <c r="D63" i="18"/>
  <c r="D62" i="18"/>
  <c r="D61" i="18"/>
  <c r="D60" i="18"/>
  <c r="D59" i="18"/>
  <c r="D58" i="18"/>
  <c r="D57" i="18"/>
  <c r="D56" i="18"/>
  <c r="D55" i="18"/>
  <c r="D54" i="18"/>
  <c r="M47" i="18"/>
  <c r="O47" i="18" s="1"/>
  <c r="M46" i="18"/>
  <c r="O46" i="18" s="1"/>
  <c r="M45" i="18"/>
  <c r="P45" i="18" s="1"/>
  <c r="M44" i="18"/>
  <c r="O44" i="18" s="1"/>
  <c r="M43" i="18"/>
  <c r="D107" i="60" s="1"/>
  <c r="E107" i="60" s="1"/>
  <c r="M42" i="18"/>
  <c r="D106" i="60" s="1"/>
  <c r="E106" i="60" s="1"/>
  <c r="M41" i="18"/>
  <c r="M40" i="18"/>
  <c r="S40" i="18" s="1"/>
  <c r="M39" i="18"/>
  <c r="T39" i="18" s="1"/>
  <c r="M38" i="18"/>
  <c r="O38" i="18" s="1"/>
  <c r="M37" i="18"/>
  <c r="S37" i="18" s="1"/>
  <c r="M36" i="18"/>
  <c r="U12" i="18"/>
  <c r="T12" i="18"/>
  <c r="D567" i="60" s="1"/>
  <c r="E567" i="60" s="1"/>
  <c r="U11" i="18"/>
  <c r="T11" i="18"/>
  <c r="D189" i="60" s="1"/>
  <c r="E189" i="60" s="1"/>
  <c r="U10" i="18"/>
  <c r="T10" i="18"/>
  <c r="Q27" i="18" s="1"/>
  <c r="U9" i="18"/>
  <c r="T9" i="18"/>
  <c r="D572" i="60" s="1"/>
  <c r="E572" i="60" s="1"/>
  <c r="U8" i="18"/>
  <c r="T8" i="18"/>
  <c r="Q25" i="18" s="1"/>
  <c r="U7" i="18"/>
  <c r="T7" i="18"/>
  <c r="U6" i="18"/>
  <c r="T6" i="18"/>
  <c r="D566" i="60" s="1"/>
  <c r="E566" i="60" s="1"/>
  <c r="U5" i="18"/>
  <c r="T5" i="18"/>
  <c r="AI4" i="18"/>
  <c r="AH4" i="18"/>
  <c r="AG4" i="18"/>
  <c r="AF4" i="18"/>
  <c r="AE4" i="18"/>
  <c r="AC4" i="18"/>
  <c r="AB4" i="18"/>
  <c r="Z4" i="18"/>
  <c r="Y4" i="18"/>
  <c r="X4" i="18"/>
  <c r="W4" i="18"/>
  <c r="R36" i="65"/>
  <c r="Q36" i="65"/>
  <c r="P36" i="65"/>
  <c r="O36" i="65"/>
  <c r="N36" i="65"/>
  <c r="M36" i="65"/>
  <c r="R35" i="65"/>
  <c r="Q35" i="65"/>
  <c r="P35" i="65"/>
  <c r="O35" i="65"/>
  <c r="N35" i="65"/>
  <c r="M35" i="65"/>
  <c r="R34" i="65"/>
  <c r="Q34" i="65"/>
  <c r="P34" i="65"/>
  <c r="O34" i="65"/>
  <c r="N34" i="65"/>
  <c r="M34" i="65"/>
  <c r="R33" i="65"/>
  <c r="Q33" i="65"/>
  <c r="P33" i="65"/>
  <c r="O33" i="65"/>
  <c r="N33" i="65"/>
  <c r="M33" i="65"/>
  <c r="R32" i="65"/>
  <c r="Q32" i="65"/>
  <c r="P32" i="65"/>
  <c r="O32" i="65"/>
  <c r="N32" i="65"/>
  <c r="M32" i="65"/>
  <c r="R31" i="65"/>
  <c r="Q31" i="65"/>
  <c r="P31" i="65"/>
  <c r="O31" i="65"/>
  <c r="N31" i="65"/>
  <c r="M31" i="65"/>
  <c r="R30" i="65"/>
  <c r="Q30" i="65"/>
  <c r="P30" i="65"/>
  <c r="O30" i="65"/>
  <c r="N30" i="65"/>
  <c r="M30" i="65"/>
  <c r="R29" i="65"/>
  <c r="Q29" i="65"/>
  <c r="P29" i="65"/>
  <c r="O29" i="65"/>
  <c r="N29" i="65"/>
  <c r="M29" i="65"/>
  <c r="R28" i="65"/>
  <c r="Q28" i="65"/>
  <c r="P28" i="65"/>
  <c r="O28" i="65"/>
  <c r="N28" i="65"/>
  <c r="M28" i="65"/>
  <c r="R27" i="65"/>
  <c r="Q27" i="65"/>
  <c r="P27" i="65"/>
  <c r="O27" i="65"/>
  <c r="N27" i="65"/>
  <c r="M27" i="65"/>
  <c r="R26" i="65"/>
  <c r="Q26" i="65"/>
  <c r="P26" i="65"/>
  <c r="O26" i="65"/>
  <c r="N26" i="65"/>
  <c r="M26" i="65"/>
  <c r="R25" i="65"/>
  <c r="Q25" i="65"/>
  <c r="P25" i="65"/>
  <c r="O25" i="65"/>
  <c r="N25" i="65"/>
  <c r="M25" i="65"/>
  <c r="R24" i="65"/>
  <c r="Q24" i="65"/>
  <c r="P24" i="65"/>
  <c r="O24" i="65"/>
  <c r="N24" i="65"/>
  <c r="M24" i="65"/>
  <c r="R23" i="65"/>
  <c r="Q23" i="65"/>
  <c r="P23" i="65"/>
  <c r="O23" i="65"/>
  <c r="N23" i="65"/>
  <c r="M23" i="65"/>
  <c r="R22" i="65"/>
  <c r="Q22" i="65"/>
  <c r="P22" i="65"/>
  <c r="O22" i="65"/>
  <c r="N22" i="65"/>
  <c r="M22" i="65"/>
  <c r="R21" i="65"/>
  <c r="Q21" i="65"/>
  <c r="P21" i="65"/>
  <c r="O21" i="65"/>
  <c r="N21" i="65"/>
  <c r="M21" i="65"/>
  <c r="R20" i="65"/>
  <c r="Q20" i="65"/>
  <c r="P20" i="65"/>
  <c r="O20" i="65"/>
  <c r="N20" i="65"/>
  <c r="M20" i="65"/>
  <c r="R19" i="65"/>
  <c r="Q19" i="65"/>
  <c r="P19" i="65"/>
  <c r="O19" i="65"/>
  <c r="N19" i="65"/>
  <c r="M19" i="65"/>
  <c r="R18" i="65"/>
  <c r="Q18" i="65"/>
  <c r="P18" i="65"/>
  <c r="O18" i="65"/>
  <c r="N18" i="65"/>
  <c r="M18" i="65"/>
  <c r="R17" i="65"/>
  <c r="Q17" i="65"/>
  <c r="P17" i="65"/>
  <c r="O17" i="65"/>
  <c r="N17" i="65"/>
  <c r="M17" i="65"/>
  <c r="R16" i="65"/>
  <c r="Q16" i="65"/>
  <c r="P16" i="65"/>
  <c r="O16" i="65"/>
  <c r="N16" i="65"/>
  <c r="M16" i="65"/>
  <c r="R15" i="65"/>
  <c r="Q15" i="65"/>
  <c r="P15" i="65"/>
  <c r="O15" i="65"/>
  <c r="N15" i="65"/>
  <c r="M15" i="65"/>
  <c r="R14" i="65"/>
  <c r="Q14" i="65"/>
  <c r="P14" i="65"/>
  <c r="O14" i="65"/>
  <c r="N14" i="65"/>
  <c r="M14" i="65"/>
  <c r="R13" i="65"/>
  <c r="Q13" i="65"/>
  <c r="P13" i="65"/>
  <c r="O13" i="65"/>
  <c r="N13" i="65"/>
  <c r="M13" i="65"/>
  <c r="R12" i="65"/>
  <c r="Q12" i="65"/>
  <c r="P12" i="65"/>
  <c r="O12" i="65"/>
  <c r="N12" i="65"/>
  <c r="M12" i="65"/>
  <c r="R11" i="65"/>
  <c r="Q11" i="65"/>
  <c r="P11" i="65"/>
  <c r="O11" i="65"/>
  <c r="N11" i="65"/>
  <c r="M11" i="65"/>
  <c r="R10" i="65"/>
  <c r="Q10" i="65"/>
  <c r="P10" i="65"/>
  <c r="O10" i="65"/>
  <c r="N10" i="65"/>
  <c r="M10" i="65"/>
  <c r="R9" i="65"/>
  <c r="Q9" i="65"/>
  <c r="P9" i="65"/>
  <c r="O9" i="65"/>
  <c r="N9" i="65"/>
  <c r="M9" i="65"/>
  <c r="R8" i="65"/>
  <c r="Q8" i="65"/>
  <c r="P8" i="65"/>
  <c r="O8" i="65"/>
  <c r="N8" i="65"/>
  <c r="M8" i="65"/>
  <c r="T37" i="64"/>
  <c r="S36" i="64"/>
  <c r="R36" i="64"/>
  <c r="Q36" i="64"/>
  <c r="P36" i="64"/>
  <c r="O36" i="64"/>
  <c r="N36" i="64"/>
  <c r="S35" i="64"/>
  <c r="R35" i="64"/>
  <c r="Q35" i="64"/>
  <c r="P35" i="64"/>
  <c r="O35" i="64"/>
  <c r="N35" i="64"/>
  <c r="S34" i="64"/>
  <c r="R34" i="64"/>
  <c r="Q34" i="64"/>
  <c r="P34" i="64"/>
  <c r="O34" i="64"/>
  <c r="N34" i="64"/>
  <c r="S33" i="64"/>
  <c r="R33" i="64"/>
  <c r="Q33" i="64"/>
  <c r="P33" i="64"/>
  <c r="O33" i="64"/>
  <c r="N33" i="64"/>
  <c r="S32" i="64"/>
  <c r="R32" i="64"/>
  <c r="Q32" i="64"/>
  <c r="P32" i="64"/>
  <c r="O32" i="64"/>
  <c r="N32" i="64"/>
  <c r="S31" i="64"/>
  <c r="R31" i="64"/>
  <c r="Q31" i="64"/>
  <c r="P31" i="64"/>
  <c r="O31" i="64"/>
  <c r="N31" i="64"/>
  <c r="S30" i="64"/>
  <c r="R30" i="64"/>
  <c r="Q30" i="64"/>
  <c r="P30" i="64"/>
  <c r="O30" i="64"/>
  <c r="N30" i="64"/>
  <c r="S29" i="64"/>
  <c r="R29" i="64"/>
  <c r="Q29" i="64"/>
  <c r="P29" i="64"/>
  <c r="O29" i="64"/>
  <c r="N29" i="64"/>
  <c r="S28" i="64"/>
  <c r="R28" i="64"/>
  <c r="Q28" i="64"/>
  <c r="P28" i="64"/>
  <c r="O28" i="64"/>
  <c r="N28" i="64"/>
  <c r="S27" i="64"/>
  <c r="R27" i="64"/>
  <c r="Q27" i="64"/>
  <c r="P27" i="64"/>
  <c r="O27" i="64"/>
  <c r="N27" i="64"/>
  <c r="S26" i="64"/>
  <c r="R26" i="64"/>
  <c r="Q26" i="64"/>
  <c r="P26" i="64"/>
  <c r="O26" i="64"/>
  <c r="N26" i="64"/>
  <c r="S25" i="64"/>
  <c r="R25" i="64"/>
  <c r="Q25" i="64"/>
  <c r="P25" i="64"/>
  <c r="O25" i="64"/>
  <c r="N25" i="64"/>
  <c r="S24" i="64"/>
  <c r="R24" i="64"/>
  <c r="Q24" i="64"/>
  <c r="P24" i="64"/>
  <c r="O24" i="64"/>
  <c r="N24" i="64"/>
  <c r="S23" i="64"/>
  <c r="R23" i="64"/>
  <c r="Q23" i="64"/>
  <c r="P23" i="64"/>
  <c r="O23" i="64"/>
  <c r="N23" i="64"/>
  <c r="S22" i="64"/>
  <c r="R22" i="64"/>
  <c r="Q22" i="64"/>
  <c r="P22" i="64"/>
  <c r="O22" i="64"/>
  <c r="N22" i="64"/>
  <c r="S21" i="64"/>
  <c r="R21" i="64"/>
  <c r="Q21" i="64"/>
  <c r="P21" i="64"/>
  <c r="O21" i="64"/>
  <c r="N21" i="64"/>
  <c r="S20" i="64"/>
  <c r="R20" i="64"/>
  <c r="Q20" i="64"/>
  <c r="P20" i="64"/>
  <c r="O20" i="64"/>
  <c r="N20" i="64"/>
  <c r="S19" i="64"/>
  <c r="R19" i="64"/>
  <c r="Q19" i="64"/>
  <c r="P19" i="64"/>
  <c r="O19" i="64"/>
  <c r="N19" i="64"/>
  <c r="S18" i="64"/>
  <c r="R18" i="64"/>
  <c r="Q18" i="64"/>
  <c r="P18" i="64"/>
  <c r="O18" i="64"/>
  <c r="N18" i="64"/>
  <c r="S17" i="64"/>
  <c r="R17" i="64"/>
  <c r="Q17" i="64"/>
  <c r="P17" i="64"/>
  <c r="O17" i="64"/>
  <c r="N17" i="64"/>
  <c r="S16" i="64"/>
  <c r="R16" i="64"/>
  <c r="Q16" i="64"/>
  <c r="P16" i="64"/>
  <c r="O16" i="64"/>
  <c r="N16" i="64"/>
  <c r="S15" i="64"/>
  <c r="R15" i="64"/>
  <c r="Q15" i="64"/>
  <c r="P15" i="64"/>
  <c r="O15" i="64"/>
  <c r="N15" i="64"/>
  <c r="S14" i="64"/>
  <c r="R14" i="64"/>
  <c r="Q14" i="64"/>
  <c r="P14" i="64"/>
  <c r="O14" i="64"/>
  <c r="N14" i="64"/>
  <c r="S13" i="64"/>
  <c r="R13" i="64"/>
  <c r="Q13" i="64"/>
  <c r="P13" i="64"/>
  <c r="O13" i="64"/>
  <c r="N13" i="64"/>
  <c r="S12" i="64"/>
  <c r="R12" i="64"/>
  <c r="Q12" i="64"/>
  <c r="P12" i="64"/>
  <c r="O12" i="64"/>
  <c r="N12" i="64"/>
  <c r="S11" i="64"/>
  <c r="R11" i="64"/>
  <c r="Q11" i="64"/>
  <c r="P11" i="64"/>
  <c r="O11" i="64"/>
  <c r="N11" i="64"/>
  <c r="S10" i="64"/>
  <c r="R10" i="64"/>
  <c r="Q10" i="64"/>
  <c r="P10" i="64"/>
  <c r="O10" i="64"/>
  <c r="N10" i="64"/>
  <c r="S9" i="64"/>
  <c r="R9" i="64"/>
  <c r="Q9" i="64"/>
  <c r="P9" i="64"/>
  <c r="O9" i="64"/>
  <c r="N9" i="64"/>
  <c r="S8" i="64"/>
  <c r="R8" i="64"/>
  <c r="Q8" i="64"/>
  <c r="P8" i="64"/>
  <c r="O8" i="64"/>
  <c r="N8" i="64"/>
  <c r="Q36" i="63"/>
  <c r="P36" i="63"/>
  <c r="O36" i="63"/>
  <c r="N36" i="63"/>
  <c r="M36" i="63"/>
  <c r="Q35" i="63"/>
  <c r="P35" i="63"/>
  <c r="O35" i="63"/>
  <c r="N35" i="63"/>
  <c r="M35" i="63"/>
  <c r="Q34" i="63"/>
  <c r="P34" i="63"/>
  <c r="O34" i="63"/>
  <c r="N34" i="63"/>
  <c r="M34" i="63"/>
  <c r="Q33" i="63"/>
  <c r="P33" i="63"/>
  <c r="O33" i="63"/>
  <c r="N33" i="63"/>
  <c r="M33" i="63"/>
  <c r="Q32" i="63"/>
  <c r="P32" i="63"/>
  <c r="O32" i="63"/>
  <c r="N32" i="63"/>
  <c r="M32" i="63"/>
  <c r="Q31" i="63"/>
  <c r="P31" i="63"/>
  <c r="O31" i="63"/>
  <c r="N31" i="63"/>
  <c r="M31" i="63"/>
  <c r="Q30" i="63"/>
  <c r="P30" i="63"/>
  <c r="O30" i="63"/>
  <c r="N30" i="63"/>
  <c r="M30" i="63"/>
  <c r="Q29" i="63"/>
  <c r="P29" i="63"/>
  <c r="O29" i="63"/>
  <c r="N29" i="63"/>
  <c r="M29" i="63"/>
  <c r="Q28" i="63"/>
  <c r="P28" i="63"/>
  <c r="O28" i="63"/>
  <c r="N28" i="63"/>
  <c r="M28" i="63"/>
  <c r="Q27" i="63"/>
  <c r="P27" i="63"/>
  <c r="O27" i="63"/>
  <c r="N27" i="63"/>
  <c r="M27" i="63"/>
  <c r="Q26" i="63"/>
  <c r="P26" i="63"/>
  <c r="O26" i="63"/>
  <c r="N26" i="63"/>
  <c r="M26" i="63"/>
  <c r="Q25" i="63"/>
  <c r="P25" i="63"/>
  <c r="O25" i="63"/>
  <c r="N25" i="63"/>
  <c r="M25" i="63"/>
  <c r="Q24" i="63"/>
  <c r="P24" i="63"/>
  <c r="O24" i="63"/>
  <c r="N24" i="63"/>
  <c r="M24" i="63"/>
  <c r="Q23" i="63"/>
  <c r="P23" i="63"/>
  <c r="O23" i="63"/>
  <c r="N23" i="63"/>
  <c r="M23" i="63"/>
  <c r="Q22" i="63"/>
  <c r="P22" i="63"/>
  <c r="O22" i="63"/>
  <c r="N22" i="63"/>
  <c r="M22" i="63"/>
  <c r="Q21" i="63"/>
  <c r="P21" i="63"/>
  <c r="O21" i="63"/>
  <c r="N21" i="63"/>
  <c r="M21" i="63"/>
  <c r="Q20" i="63"/>
  <c r="P20" i="63"/>
  <c r="O20" i="63"/>
  <c r="N20" i="63"/>
  <c r="M20" i="63"/>
  <c r="Q19" i="63"/>
  <c r="P19" i="63"/>
  <c r="O19" i="63"/>
  <c r="N19" i="63"/>
  <c r="M19" i="63"/>
  <c r="Q18" i="63"/>
  <c r="P18" i="63"/>
  <c r="O18" i="63"/>
  <c r="N18" i="63"/>
  <c r="M18" i="63"/>
  <c r="Q17" i="63"/>
  <c r="P17" i="63"/>
  <c r="O17" i="63"/>
  <c r="N17" i="63"/>
  <c r="M17" i="63"/>
  <c r="Q16" i="63"/>
  <c r="P16" i="63"/>
  <c r="O16" i="63"/>
  <c r="N16" i="63"/>
  <c r="M16" i="63"/>
  <c r="Q15" i="63"/>
  <c r="P15" i="63"/>
  <c r="O15" i="63"/>
  <c r="N15" i="63"/>
  <c r="M15" i="63"/>
  <c r="Q14" i="63"/>
  <c r="P14" i="63"/>
  <c r="O14" i="63"/>
  <c r="N14" i="63"/>
  <c r="M14" i="63"/>
  <c r="Q13" i="63"/>
  <c r="P13" i="63"/>
  <c r="O13" i="63"/>
  <c r="N13" i="63"/>
  <c r="M13" i="63"/>
  <c r="Q12" i="63"/>
  <c r="P12" i="63"/>
  <c r="O12" i="63"/>
  <c r="N12" i="63"/>
  <c r="M12" i="63"/>
  <c r="Q11" i="63"/>
  <c r="P11" i="63"/>
  <c r="O11" i="63"/>
  <c r="N11" i="63"/>
  <c r="M11" i="63"/>
  <c r="Q10" i="63"/>
  <c r="P10" i="63"/>
  <c r="O10" i="63"/>
  <c r="N10" i="63"/>
  <c r="M10" i="63"/>
  <c r="Q9" i="63"/>
  <c r="P9" i="63"/>
  <c r="O9" i="63"/>
  <c r="N9" i="63"/>
  <c r="M9" i="63"/>
  <c r="Q8" i="63"/>
  <c r="P8" i="63"/>
  <c r="O8" i="63"/>
  <c r="N8" i="63"/>
  <c r="M8" i="63"/>
  <c r="AR48" i="62"/>
  <c r="AQ48" i="62"/>
  <c r="AP48" i="62"/>
  <c r="AO48" i="62"/>
  <c r="AN48" i="62"/>
  <c r="AM48" i="62"/>
  <c r="AR47" i="62"/>
  <c r="AQ47" i="62"/>
  <c r="AP47" i="62"/>
  <c r="AO47" i="62"/>
  <c r="AN47" i="62"/>
  <c r="AM47" i="62"/>
  <c r="AR46" i="62"/>
  <c r="AQ46" i="62"/>
  <c r="AP46" i="62"/>
  <c r="AO46" i="62"/>
  <c r="AN46" i="62"/>
  <c r="AM46" i="62"/>
  <c r="AR45" i="62"/>
  <c r="AQ45" i="62"/>
  <c r="AP45" i="62"/>
  <c r="AO45" i="62"/>
  <c r="AN45" i="62"/>
  <c r="AM45" i="62"/>
  <c r="AR43" i="62"/>
  <c r="AQ43" i="62"/>
  <c r="AP43" i="62"/>
  <c r="AO43" i="62"/>
  <c r="AN43" i="62"/>
  <c r="AM43" i="62"/>
  <c r="AR42" i="62"/>
  <c r="AQ42" i="62"/>
  <c r="AP42" i="62"/>
  <c r="AO42" i="62"/>
  <c r="AN42" i="62"/>
  <c r="AM42" i="62"/>
  <c r="AR41" i="62"/>
  <c r="AQ41" i="62"/>
  <c r="AP41" i="62"/>
  <c r="AO41" i="62"/>
  <c r="AN41" i="62"/>
  <c r="AM41" i="62"/>
  <c r="AR40" i="62"/>
  <c r="AQ40" i="62"/>
  <c r="AP40" i="62"/>
  <c r="AO40" i="62"/>
  <c r="AN40" i="62"/>
  <c r="AM40" i="62"/>
  <c r="BA38" i="62"/>
  <c r="AZ38" i="62"/>
  <c r="AY38" i="62"/>
  <c r="AX38" i="62"/>
  <c r="AW38" i="62"/>
  <c r="AV38" i="62"/>
  <c r="AR38" i="62"/>
  <c r="AQ38" i="62"/>
  <c r="AP38" i="62"/>
  <c r="AO38" i="62"/>
  <c r="AN38" i="62"/>
  <c r="AM38" i="62"/>
  <c r="BA37" i="62"/>
  <c r="AZ37" i="62"/>
  <c r="AY37" i="62"/>
  <c r="AX37" i="62"/>
  <c r="AW37" i="62"/>
  <c r="AV37" i="62"/>
  <c r="AR37" i="62"/>
  <c r="AQ37" i="62"/>
  <c r="AP37" i="62"/>
  <c r="AO37" i="62"/>
  <c r="AN37" i="62"/>
  <c r="AM37" i="62"/>
  <c r="BA36" i="62"/>
  <c r="AZ36" i="62"/>
  <c r="AY36" i="62"/>
  <c r="AX36" i="62"/>
  <c r="AW36" i="62"/>
  <c r="AV36" i="62"/>
  <c r="AR36" i="62"/>
  <c r="AQ36" i="62"/>
  <c r="AP36" i="62"/>
  <c r="AO36" i="62"/>
  <c r="AN36" i="62"/>
  <c r="AM36" i="62"/>
  <c r="AR35" i="62"/>
  <c r="AQ35" i="62"/>
  <c r="AP35" i="62"/>
  <c r="AO35" i="62"/>
  <c r="AN35" i="62"/>
  <c r="AM35" i="62"/>
  <c r="AB35" i="62"/>
  <c r="AA35" i="62"/>
  <c r="Z35" i="62"/>
  <c r="U35" i="62"/>
  <c r="T35" i="62"/>
  <c r="S35" i="62"/>
  <c r="R35" i="62"/>
  <c r="Q35" i="62"/>
  <c r="W35" i="62" s="1"/>
  <c r="AF35" i="62" s="1"/>
  <c r="H35" i="62"/>
  <c r="G35" i="62"/>
  <c r="E35" i="62"/>
  <c r="BA34" i="62"/>
  <c r="AZ34" i="62"/>
  <c r="AY34" i="62"/>
  <c r="AX34" i="62"/>
  <c r="AW34" i="62"/>
  <c r="AV34" i="62"/>
  <c r="AB34" i="62"/>
  <c r="AA34" i="62"/>
  <c r="Z34" i="62"/>
  <c r="U34" i="62"/>
  <c r="T34" i="62"/>
  <c r="S34" i="62"/>
  <c r="R34" i="62"/>
  <c r="Q34" i="62"/>
  <c r="W34" i="62" s="1"/>
  <c r="AF34" i="62" s="1"/>
  <c r="H34" i="62"/>
  <c r="G34" i="62"/>
  <c r="E34" i="62"/>
  <c r="BA33" i="62"/>
  <c r="AZ33" i="62"/>
  <c r="AY33" i="62"/>
  <c r="AX33" i="62"/>
  <c r="AW33" i="62"/>
  <c r="AV33" i="62"/>
  <c r="AR33" i="62"/>
  <c r="AQ33" i="62"/>
  <c r="AP33" i="62"/>
  <c r="AO33" i="62"/>
  <c r="AN33" i="62"/>
  <c r="AM33" i="62"/>
  <c r="AB33" i="62"/>
  <c r="AA33" i="62"/>
  <c r="Z33" i="62"/>
  <c r="U33" i="62"/>
  <c r="T33" i="62"/>
  <c r="S33" i="62"/>
  <c r="R33" i="62"/>
  <c r="Q33" i="62"/>
  <c r="W33" i="62" s="1"/>
  <c r="AF33" i="62" s="1"/>
  <c r="H33" i="62"/>
  <c r="G33" i="62"/>
  <c r="E33" i="62"/>
  <c r="BA32" i="62"/>
  <c r="AZ32" i="62"/>
  <c r="AY32" i="62"/>
  <c r="AX32" i="62"/>
  <c r="AW32" i="62"/>
  <c r="AV32" i="62"/>
  <c r="AR32" i="62"/>
  <c r="AQ32" i="62"/>
  <c r="AP32" i="62"/>
  <c r="AO32" i="62"/>
  <c r="AN32" i="62"/>
  <c r="AM32" i="62"/>
  <c r="AB32" i="62"/>
  <c r="AA32" i="62"/>
  <c r="Z32" i="62"/>
  <c r="U32" i="62"/>
  <c r="T32" i="62"/>
  <c r="S32" i="62"/>
  <c r="R32" i="62"/>
  <c r="Q32" i="62"/>
  <c r="W32" i="62" s="1"/>
  <c r="AF32" i="62" s="1"/>
  <c r="H32" i="62"/>
  <c r="G32" i="62"/>
  <c r="E32" i="62"/>
  <c r="BA31" i="62"/>
  <c r="AZ31" i="62"/>
  <c r="AY31" i="62"/>
  <c r="AX31" i="62"/>
  <c r="AW31" i="62"/>
  <c r="AV31" i="62"/>
  <c r="AR31" i="62"/>
  <c r="AQ31" i="62"/>
  <c r="AP31" i="62"/>
  <c r="AO31" i="62"/>
  <c r="AN31" i="62"/>
  <c r="AM31" i="62"/>
  <c r="AB31" i="62"/>
  <c r="AA31" i="62"/>
  <c r="Z31" i="62"/>
  <c r="U31" i="62"/>
  <c r="T31" i="62"/>
  <c r="S31" i="62"/>
  <c r="R31" i="62"/>
  <c r="Q31" i="62"/>
  <c r="W31" i="62" s="1"/>
  <c r="AF31" i="62" s="1"/>
  <c r="H31" i="62"/>
  <c r="G31" i="62"/>
  <c r="E31" i="62"/>
  <c r="AR30" i="62"/>
  <c r="AQ30" i="62"/>
  <c r="AP30" i="62"/>
  <c r="AO30" i="62"/>
  <c r="AN30" i="62"/>
  <c r="AM30" i="62"/>
  <c r="AB30" i="62"/>
  <c r="AA30" i="62"/>
  <c r="Z30" i="62"/>
  <c r="U30" i="62"/>
  <c r="T30" i="62"/>
  <c r="S30" i="62"/>
  <c r="R30" i="62"/>
  <c r="Q30" i="62"/>
  <c r="W30" i="62" s="1"/>
  <c r="AF30" i="62" s="1"/>
  <c r="H30" i="62"/>
  <c r="G30" i="62"/>
  <c r="E30" i="62"/>
  <c r="BA29" i="62"/>
  <c r="AZ29" i="62"/>
  <c r="AY29" i="62"/>
  <c r="AX29" i="62"/>
  <c r="AW29" i="62"/>
  <c r="AV29" i="62"/>
  <c r="AB29" i="62"/>
  <c r="AA29" i="62"/>
  <c r="Z29" i="62"/>
  <c r="U29" i="62"/>
  <c r="T29" i="62"/>
  <c r="S29" i="62"/>
  <c r="R29" i="62"/>
  <c r="Q29" i="62"/>
  <c r="W29" i="62" s="1"/>
  <c r="AF29" i="62" s="1"/>
  <c r="H29" i="62"/>
  <c r="G29" i="62"/>
  <c r="E29" i="62"/>
  <c r="BA28" i="62"/>
  <c r="AZ28" i="62"/>
  <c r="AY28" i="62"/>
  <c r="AX28" i="62"/>
  <c r="AW28" i="62"/>
  <c r="AV28" i="62"/>
  <c r="AR28" i="62"/>
  <c r="AQ28" i="62"/>
  <c r="AP28" i="62"/>
  <c r="AO28" i="62"/>
  <c r="AN28" i="62"/>
  <c r="AM28" i="62"/>
  <c r="AB28" i="62"/>
  <c r="AA28" i="62"/>
  <c r="Z28" i="62"/>
  <c r="U28" i="62"/>
  <c r="T28" i="62"/>
  <c r="S28" i="62"/>
  <c r="R28" i="62"/>
  <c r="Q28" i="62"/>
  <c r="W28" i="62" s="1"/>
  <c r="AF28" i="62" s="1"/>
  <c r="H28" i="62"/>
  <c r="G28" i="62"/>
  <c r="E28" i="62"/>
  <c r="BA27" i="62"/>
  <c r="AZ27" i="62"/>
  <c r="AY27" i="62"/>
  <c r="AX27" i="62"/>
  <c r="AW27" i="62"/>
  <c r="AV27" i="62"/>
  <c r="AR27" i="62"/>
  <c r="AQ27" i="62"/>
  <c r="AP27" i="62"/>
  <c r="AO27" i="62"/>
  <c r="AN27" i="62"/>
  <c r="AM27" i="62"/>
  <c r="AB27" i="62"/>
  <c r="AA27" i="62"/>
  <c r="Z27" i="62"/>
  <c r="U27" i="62"/>
  <c r="T27" i="62"/>
  <c r="S27" i="62"/>
  <c r="R27" i="62"/>
  <c r="Q27" i="62"/>
  <c r="W27" i="62" s="1"/>
  <c r="AF27" i="62" s="1"/>
  <c r="H27" i="62"/>
  <c r="G27" i="62"/>
  <c r="E27" i="62"/>
  <c r="BA26" i="62"/>
  <c r="AZ26" i="62"/>
  <c r="AY26" i="62"/>
  <c r="AX26" i="62"/>
  <c r="AW26" i="62"/>
  <c r="AV26" i="62"/>
  <c r="AR26" i="62"/>
  <c r="AQ26" i="62"/>
  <c r="AP26" i="62"/>
  <c r="AO26" i="62"/>
  <c r="AN26" i="62"/>
  <c r="AM26" i="62"/>
  <c r="AB26" i="62"/>
  <c r="AA26" i="62"/>
  <c r="Z26" i="62"/>
  <c r="U26" i="62"/>
  <c r="T26" i="62"/>
  <c r="S26" i="62"/>
  <c r="R26" i="62"/>
  <c r="Q26" i="62"/>
  <c r="W26" i="62" s="1"/>
  <c r="AF26" i="62" s="1"/>
  <c r="H26" i="62"/>
  <c r="G26" i="62"/>
  <c r="E26" i="62"/>
  <c r="AR25" i="62"/>
  <c r="AQ25" i="62"/>
  <c r="AP25" i="62"/>
  <c r="AO25" i="62"/>
  <c r="AN25" i="62"/>
  <c r="AM25" i="62"/>
  <c r="AB25" i="62"/>
  <c r="AA25" i="62"/>
  <c r="Z25" i="62"/>
  <c r="U25" i="62"/>
  <c r="T25" i="62"/>
  <c r="S25" i="62"/>
  <c r="R25" i="62"/>
  <c r="Q25" i="62"/>
  <c r="W25" i="62" s="1"/>
  <c r="AF25" i="62" s="1"/>
  <c r="H25" i="62"/>
  <c r="G25" i="62"/>
  <c r="E25" i="62"/>
  <c r="BA24" i="62"/>
  <c r="AZ24" i="62"/>
  <c r="AY24" i="62"/>
  <c r="AX24" i="62"/>
  <c r="AW24" i="62"/>
  <c r="AV24" i="62"/>
  <c r="AB24" i="62"/>
  <c r="AA24" i="62"/>
  <c r="Z24" i="62"/>
  <c r="U24" i="62"/>
  <c r="T24" i="62"/>
  <c r="S24" i="62"/>
  <c r="R24" i="62"/>
  <c r="Q24" i="62"/>
  <c r="W24" i="62" s="1"/>
  <c r="AF24" i="62" s="1"/>
  <c r="H24" i="62"/>
  <c r="G24" i="62"/>
  <c r="E24" i="62"/>
  <c r="BA23" i="62"/>
  <c r="AZ23" i="62"/>
  <c r="AY23" i="62"/>
  <c r="AX23" i="62"/>
  <c r="AW23" i="62"/>
  <c r="AV23" i="62"/>
  <c r="AR23" i="62"/>
  <c r="AQ23" i="62"/>
  <c r="AP23" i="62"/>
  <c r="AO23" i="62"/>
  <c r="AN23" i="62"/>
  <c r="AM23" i="62"/>
  <c r="AB23" i="62"/>
  <c r="AA23" i="62"/>
  <c r="Z23" i="62"/>
  <c r="U23" i="62"/>
  <c r="T23" i="62"/>
  <c r="S23" i="62"/>
  <c r="R23" i="62"/>
  <c r="Q23" i="62"/>
  <c r="W23" i="62" s="1"/>
  <c r="AF23" i="62" s="1"/>
  <c r="H23" i="62"/>
  <c r="G23" i="62"/>
  <c r="E23" i="62"/>
  <c r="BA22" i="62"/>
  <c r="AZ22" i="62"/>
  <c r="AY22" i="62"/>
  <c r="AX22" i="62"/>
  <c r="AW22" i="62"/>
  <c r="AV22" i="62"/>
  <c r="AR22" i="62"/>
  <c r="AQ22" i="62"/>
  <c r="AP22" i="62"/>
  <c r="AO22" i="62"/>
  <c r="AN22" i="62"/>
  <c r="AM22" i="62"/>
  <c r="AB22" i="62"/>
  <c r="AA22" i="62"/>
  <c r="Z22" i="62"/>
  <c r="U22" i="62"/>
  <c r="T22" i="62"/>
  <c r="S22" i="62"/>
  <c r="R22" i="62"/>
  <c r="Q22" i="62"/>
  <c r="W22" i="62" s="1"/>
  <c r="AF22" i="62" s="1"/>
  <c r="H22" i="62"/>
  <c r="G22" i="62"/>
  <c r="E22" i="62"/>
  <c r="AR21" i="62"/>
  <c r="AQ21" i="62"/>
  <c r="AP21" i="62"/>
  <c r="AO21" i="62"/>
  <c r="AN21" i="62"/>
  <c r="AM21" i="62"/>
  <c r="AB21" i="62"/>
  <c r="AA21" i="62"/>
  <c r="Z21" i="62"/>
  <c r="U21" i="62"/>
  <c r="T21" i="62"/>
  <c r="S21" i="62"/>
  <c r="R21" i="62"/>
  <c r="Q21" i="62"/>
  <c r="W21" i="62" s="1"/>
  <c r="AF21" i="62" s="1"/>
  <c r="H21" i="62"/>
  <c r="G21" i="62"/>
  <c r="E21" i="62"/>
  <c r="BA20" i="62"/>
  <c r="AZ20" i="62"/>
  <c r="AY20" i="62"/>
  <c r="AX20" i="62"/>
  <c r="AW20" i="62"/>
  <c r="AV20" i="62"/>
  <c r="AR20" i="62"/>
  <c r="AQ20" i="62"/>
  <c r="AP20" i="62"/>
  <c r="AO20" i="62"/>
  <c r="AN20" i="62"/>
  <c r="AM20" i="62"/>
  <c r="AB20" i="62"/>
  <c r="AA20" i="62"/>
  <c r="Z20" i="62"/>
  <c r="U20" i="62"/>
  <c r="T20" i="62"/>
  <c r="S20" i="62"/>
  <c r="R20" i="62"/>
  <c r="Q20" i="62"/>
  <c r="W20" i="62" s="1"/>
  <c r="AF20" i="62" s="1"/>
  <c r="H20" i="62"/>
  <c r="G20" i="62"/>
  <c r="E20" i="62"/>
  <c r="BA19" i="62"/>
  <c r="AZ19" i="62"/>
  <c r="AY19" i="62"/>
  <c r="AX19" i="62"/>
  <c r="AW19" i="62"/>
  <c r="AV19" i="62"/>
  <c r="AB19" i="62"/>
  <c r="AA19" i="62"/>
  <c r="Z19" i="62"/>
  <c r="U19" i="62"/>
  <c r="T19" i="62"/>
  <c r="S19" i="62"/>
  <c r="R19" i="62"/>
  <c r="Q19" i="62"/>
  <c r="W19" i="62" s="1"/>
  <c r="AF19" i="62" s="1"/>
  <c r="H19" i="62"/>
  <c r="G19" i="62"/>
  <c r="E19" i="62"/>
  <c r="BA18" i="62"/>
  <c r="AZ18" i="62"/>
  <c r="AY18" i="62"/>
  <c r="AX18" i="62"/>
  <c r="AW18" i="62"/>
  <c r="AV18" i="62"/>
  <c r="AR18" i="62"/>
  <c r="AQ18" i="62"/>
  <c r="AP18" i="62"/>
  <c r="AO18" i="62"/>
  <c r="AN18" i="62"/>
  <c r="AM18" i="62"/>
  <c r="AB18" i="62"/>
  <c r="AA18" i="62"/>
  <c r="Z18" i="62"/>
  <c r="U18" i="62"/>
  <c r="T18" i="62"/>
  <c r="S18" i="62"/>
  <c r="R18" i="62"/>
  <c r="Q18" i="62"/>
  <c r="W18" i="62" s="1"/>
  <c r="AF18" i="62" s="1"/>
  <c r="H18" i="62"/>
  <c r="G18" i="62"/>
  <c r="E18" i="62"/>
  <c r="AR17" i="62"/>
  <c r="AQ17" i="62"/>
  <c r="AP17" i="62"/>
  <c r="AO17" i="62"/>
  <c r="AN17" i="62"/>
  <c r="AM17" i="62"/>
  <c r="AB17" i="62"/>
  <c r="AA17" i="62"/>
  <c r="Z17" i="62"/>
  <c r="U17" i="62"/>
  <c r="T17" i="62"/>
  <c r="S17" i="62"/>
  <c r="R17" i="62"/>
  <c r="Q17" i="62"/>
  <c r="W17" i="62" s="1"/>
  <c r="AF17" i="62" s="1"/>
  <c r="H17" i="62"/>
  <c r="G17" i="62"/>
  <c r="E17" i="62"/>
  <c r="BA16" i="62"/>
  <c r="AZ16" i="62"/>
  <c r="AY16" i="62"/>
  <c r="AX16" i="62"/>
  <c r="AW16" i="62"/>
  <c r="AV16" i="62"/>
  <c r="AR16" i="62"/>
  <c r="AQ16" i="62"/>
  <c r="AP16" i="62"/>
  <c r="AO16" i="62"/>
  <c r="AN16" i="62"/>
  <c r="AM16" i="62"/>
  <c r="AB16" i="62"/>
  <c r="AA16" i="62"/>
  <c r="Z16" i="62"/>
  <c r="U16" i="62"/>
  <c r="T16" i="62"/>
  <c r="S16" i="62"/>
  <c r="R16" i="62"/>
  <c r="Q16" i="62"/>
  <c r="W16" i="62" s="1"/>
  <c r="AF16" i="62" s="1"/>
  <c r="H16" i="62"/>
  <c r="G16" i="62"/>
  <c r="E16" i="62"/>
  <c r="BA15" i="62"/>
  <c r="AZ15" i="62"/>
  <c r="AY15" i="62"/>
  <c r="AX15" i="62"/>
  <c r="AW15" i="62"/>
  <c r="AV15" i="62"/>
  <c r="AR15" i="62"/>
  <c r="AQ15" i="62"/>
  <c r="AP15" i="62"/>
  <c r="AO15" i="62"/>
  <c r="AN15" i="62"/>
  <c r="AM15" i="62"/>
  <c r="AJ15" i="62"/>
  <c r="AB15" i="62"/>
  <c r="AA15" i="62"/>
  <c r="Z15" i="62"/>
  <c r="U15" i="62"/>
  <c r="T15" i="62"/>
  <c r="S15" i="62"/>
  <c r="R15" i="62"/>
  <c r="Q15" i="62"/>
  <c r="W15" i="62" s="1"/>
  <c r="AF15" i="62" s="1"/>
  <c r="H15" i="62"/>
  <c r="G15" i="62"/>
  <c r="E15" i="62"/>
  <c r="BA14" i="62"/>
  <c r="AZ14" i="62"/>
  <c r="AY14" i="62"/>
  <c r="AX14" i="62"/>
  <c r="AW14" i="62"/>
  <c r="AV14" i="62"/>
  <c r="AJ14" i="62"/>
  <c r="AA14" i="62"/>
  <c r="Z14" i="62"/>
  <c r="U14" i="62"/>
  <c r="T14" i="62"/>
  <c r="S14" i="62"/>
  <c r="R14" i="62"/>
  <c r="Q14" i="62"/>
  <c r="W14" i="62" s="1"/>
  <c r="AF14" i="62" s="1"/>
  <c r="H14" i="62"/>
  <c r="G14" i="62"/>
  <c r="E14" i="62"/>
  <c r="AR13" i="62"/>
  <c r="AQ13" i="62"/>
  <c r="AP13" i="62"/>
  <c r="AO13" i="62"/>
  <c r="AN13" i="62"/>
  <c r="AM13" i="62"/>
  <c r="AJ13" i="62"/>
  <c r="AA13" i="62"/>
  <c r="Z13" i="62"/>
  <c r="U13" i="62"/>
  <c r="T13" i="62"/>
  <c r="S13" i="62"/>
  <c r="R13" i="62"/>
  <c r="Q13" i="62"/>
  <c r="W13" i="62" s="1"/>
  <c r="AF13" i="62" s="1"/>
  <c r="H13" i="62"/>
  <c r="G13" i="62"/>
  <c r="E13" i="62"/>
  <c r="BA12" i="62"/>
  <c r="AZ12" i="62"/>
  <c r="AY12" i="62"/>
  <c r="AX12" i="62"/>
  <c r="AW12" i="62"/>
  <c r="AV12" i="62"/>
  <c r="AR12" i="62"/>
  <c r="AQ12" i="62"/>
  <c r="AP12" i="62"/>
  <c r="AO12" i="62"/>
  <c r="AN12" i="62"/>
  <c r="AM12" i="62"/>
  <c r="AJ12" i="62"/>
  <c r="AA12" i="62"/>
  <c r="Z12" i="62"/>
  <c r="U12" i="62"/>
  <c r="T12" i="62"/>
  <c r="S12" i="62"/>
  <c r="R12" i="62"/>
  <c r="Q12" i="62"/>
  <c r="W12" i="62" s="1"/>
  <c r="AF12" i="62" s="1"/>
  <c r="H12" i="62"/>
  <c r="G12" i="62"/>
  <c r="E12" i="62"/>
  <c r="BA11" i="62"/>
  <c r="AZ11" i="62"/>
  <c r="AY11" i="62"/>
  <c r="AX11" i="62"/>
  <c r="AW11" i="62"/>
  <c r="AV11" i="62"/>
  <c r="AR11" i="62"/>
  <c r="AQ11" i="62"/>
  <c r="AP11" i="62"/>
  <c r="AO11" i="62"/>
  <c r="AN11" i="62"/>
  <c r="AM11" i="62"/>
  <c r="AJ11" i="62"/>
  <c r="AA11" i="62"/>
  <c r="Z11" i="62"/>
  <c r="U11" i="62"/>
  <c r="T11" i="62"/>
  <c r="S11" i="62"/>
  <c r="R11" i="62"/>
  <c r="Q11" i="62"/>
  <c r="W11" i="62" s="1"/>
  <c r="AF11" i="62" s="1"/>
  <c r="H11" i="62"/>
  <c r="G11" i="62"/>
  <c r="E11" i="62"/>
  <c r="AJ10" i="62"/>
  <c r="AA10" i="62"/>
  <c r="Z10" i="62"/>
  <c r="U10" i="62"/>
  <c r="T10" i="62"/>
  <c r="S10" i="62"/>
  <c r="R10" i="62"/>
  <c r="Q10" i="62"/>
  <c r="W10" i="62" s="1"/>
  <c r="AF10" i="62" s="1"/>
  <c r="H10" i="62"/>
  <c r="G10" i="62"/>
  <c r="E10" i="62"/>
  <c r="BA9" i="62"/>
  <c r="AZ9" i="62"/>
  <c r="AY9" i="62"/>
  <c r="AX9" i="62"/>
  <c r="AW9" i="62"/>
  <c r="AV9" i="62"/>
  <c r="AR9" i="62"/>
  <c r="AQ9" i="62"/>
  <c r="AP9" i="62"/>
  <c r="AO9" i="62"/>
  <c r="AN9" i="62"/>
  <c r="AM9" i="62"/>
  <c r="AJ9" i="62"/>
  <c r="AA9" i="62"/>
  <c r="Z9" i="62"/>
  <c r="U9" i="62"/>
  <c r="T9" i="62"/>
  <c r="S9" i="62"/>
  <c r="R9" i="62"/>
  <c r="Q9" i="62"/>
  <c r="W9" i="62" s="1"/>
  <c r="AF9" i="62" s="1"/>
  <c r="H9" i="62"/>
  <c r="G9" i="62"/>
  <c r="E9" i="62"/>
  <c r="BA8" i="62"/>
  <c r="AZ8" i="62"/>
  <c r="AY8" i="62"/>
  <c r="AX8" i="62"/>
  <c r="AW8" i="62"/>
  <c r="AV8" i="62"/>
  <c r="AR8" i="62"/>
  <c r="AQ8" i="62"/>
  <c r="AP8" i="62"/>
  <c r="AO8" i="62"/>
  <c r="AN8" i="62"/>
  <c r="AM8" i="62"/>
  <c r="AJ8" i="62"/>
  <c r="AA8" i="62"/>
  <c r="Z8" i="62"/>
  <c r="U8" i="62"/>
  <c r="T8" i="62"/>
  <c r="S8" i="62"/>
  <c r="R8" i="62"/>
  <c r="Q8" i="62"/>
  <c r="W8" i="62" s="1"/>
  <c r="AF8" i="62" s="1"/>
  <c r="AJ7" i="62"/>
  <c r="AE7" i="62"/>
  <c r="AA7" i="62"/>
  <c r="Z7" i="62"/>
  <c r="U7" i="62"/>
  <c r="T7" i="62"/>
  <c r="S7" i="62"/>
  <c r="R7" i="62"/>
  <c r="Q7" i="62"/>
  <c r="Q51" i="58"/>
  <c r="P51" i="58"/>
  <c r="O51" i="58"/>
  <c r="S51" i="58" s="1"/>
  <c r="Q50" i="58"/>
  <c r="P50" i="58"/>
  <c r="O50" i="58"/>
  <c r="S50" i="58" s="1"/>
  <c r="Q49" i="58"/>
  <c r="P49" i="58"/>
  <c r="O49" i="58"/>
  <c r="S49" i="58" s="1"/>
  <c r="Q48" i="58"/>
  <c r="P48" i="58"/>
  <c r="O48" i="58"/>
  <c r="S48" i="58" s="1"/>
  <c r="Q47" i="58"/>
  <c r="P47" i="58"/>
  <c r="O47" i="58"/>
  <c r="S47" i="58" s="1"/>
  <c r="Q46" i="58"/>
  <c r="P46" i="58"/>
  <c r="O46" i="58"/>
  <c r="S46" i="58" s="1"/>
  <c r="Q45" i="58"/>
  <c r="P45" i="58"/>
  <c r="O45" i="58"/>
  <c r="S45" i="58" s="1"/>
  <c r="Q44" i="58"/>
  <c r="P44" i="58"/>
  <c r="O44" i="58"/>
  <c r="S44" i="58" s="1"/>
  <c r="Q43" i="58"/>
  <c r="P43" i="58"/>
  <c r="O43" i="58"/>
  <c r="S43" i="58" s="1"/>
  <c r="Q42" i="58"/>
  <c r="P42" i="58"/>
  <c r="O42" i="58"/>
  <c r="S42" i="58" s="1"/>
  <c r="Q41" i="58"/>
  <c r="P41" i="58"/>
  <c r="O41" i="58"/>
  <c r="S41" i="58" s="1"/>
  <c r="Q40" i="58"/>
  <c r="P40" i="58"/>
  <c r="O40" i="58"/>
  <c r="S40" i="58" s="1"/>
  <c r="Q39" i="58"/>
  <c r="P39" i="58"/>
  <c r="O39" i="58"/>
  <c r="S39" i="58" s="1"/>
  <c r="Q38" i="58"/>
  <c r="P38" i="58"/>
  <c r="O38" i="58"/>
  <c r="S38" i="58" s="1"/>
  <c r="Q37" i="58"/>
  <c r="P37" i="58"/>
  <c r="O37" i="58"/>
  <c r="S37" i="58" s="1"/>
  <c r="Q36" i="58"/>
  <c r="P36" i="58"/>
  <c r="O36" i="58"/>
  <c r="S36" i="58" s="1"/>
  <c r="Q35" i="58"/>
  <c r="P35" i="58"/>
  <c r="O35" i="58"/>
  <c r="S35" i="58" s="1"/>
  <c r="Q34" i="58"/>
  <c r="P34" i="58"/>
  <c r="O34" i="58"/>
  <c r="S34" i="58" s="1"/>
  <c r="Q33" i="58"/>
  <c r="P33" i="58"/>
  <c r="O33" i="58"/>
  <c r="S33" i="58" s="1"/>
  <c r="Q32" i="58"/>
  <c r="P32" i="58"/>
  <c r="O32" i="58"/>
  <c r="S32" i="58" s="1"/>
  <c r="Q31" i="58"/>
  <c r="P31" i="58"/>
  <c r="O31" i="58"/>
  <c r="S31" i="58" s="1"/>
  <c r="Q30" i="58"/>
  <c r="P30" i="58"/>
  <c r="O30" i="58"/>
  <c r="S30" i="58" s="1"/>
  <c r="Q29" i="58"/>
  <c r="P29" i="58"/>
  <c r="O29" i="58"/>
  <c r="S29" i="58" s="1"/>
  <c r="Q28" i="58"/>
  <c r="P28" i="58"/>
  <c r="O28" i="58"/>
  <c r="S28" i="58" s="1"/>
  <c r="Q27" i="58"/>
  <c r="P27" i="58"/>
  <c r="O27" i="58"/>
  <c r="S27" i="58" s="1"/>
  <c r="Q26" i="58"/>
  <c r="P26" i="58"/>
  <c r="O26" i="58"/>
  <c r="S26" i="58" s="1"/>
  <c r="Q25" i="58"/>
  <c r="P25" i="58"/>
  <c r="O25" i="58"/>
  <c r="S25" i="58" s="1"/>
  <c r="Q24" i="58"/>
  <c r="P24" i="58"/>
  <c r="O24" i="58"/>
  <c r="S24" i="58" s="1"/>
  <c r="Q23" i="58"/>
  <c r="P23" i="58"/>
  <c r="O23" i="58"/>
  <c r="S23" i="58" s="1"/>
  <c r="Q22" i="58"/>
  <c r="P22" i="58"/>
  <c r="O22" i="58"/>
  <c r="S22" i="58" s="1"/>
  <c r="Q21" i="58"/>
  <c r="P21" i="58"/>
  <c r="O21" i="58"/>
  <c r="S21" i="58" s="1"/>
  <c r="Q20" i="58"/>
  <c r="P20" i="58"/>
  <c r="O20" i="58"/>
  <c r="S20" i="58" s="1"/>
  <c r="Q19" i="58"/>
  <c r="P19" i="58"/>
  <c r="O19" i="58"/>
  <c r="S19" i="58" s="1"/>
  <c r="Q18" i="58"/>
  <c r="P18" i="58"/>
  <c r="O18" i="58"/>
  <c r="S18" i="58" s="1"/>
  <c r="Q17" i="58"/>
  <c r="P17" i="58"/>
  <c r="O17" i="58"/>
  <c r="S17" i="58" s="1"/>
  <c r="Q16" i="58"/>
  <c r="P16" i="58"/>
  <c r="O16" i="58"/>
  <c r="S16" i="58" s="1"/>
  <c r="Q15" i="58"/>
  <c r="P15" i="58"/>
  <c r="O15" i="58"/>
  <c r="S15" i="58" s="1"/>
  <c r="Q14" i="58"/>
  <c r="P14" i="58"/>
  <c r="O14" i="58"/>
  <c r="S14" i="58" s="1"/>
  <c r="Q13" i="58"/>
  <c r="P13" i="58"/>
  <c r="O13" i="58"/>
  <c r="S13" i="58" s="1"/>
  <c r="Q12" i="58"/>
  <c r="P12" i="58"/>
  <c r="O12" i="58"/>
  <c r="S12" i="58" s="1"/>
  <c r="Q11" i="58"/>
  <c r="P11" i="58"/>
  <c r="O11" i="58"/>
  <c r="S11" i="58" s="1"/>
  <c r="Q10" i="58"/>
  <c r="P10" i="58"/>
  <c r="O10" i="58"/>
  <c r="S10" i="58" s="1"/>
  <c r="Q9" i="58"/>
  <c r="P9" i="58"/>
  <c r="O9" i="58"/>
  <c r="S9" i="58" s="1"/>
  <c r="Q8" i="58"/>
  <c r="P8" i="58"/>
  <c r="O8" i="58"/>
  <c r="S8" i="58" s="1"/>
  <c r="Q7" i="58"/>
  <c r="P7" i="58"/>
  <c r="O7" i="58"/>
  <c r="Q26" i="66"/>
  <c r="P26" i="66"/>
  <c r="O26" i="66"/>
  <c r="S26" i="66" s="1"/>
  <c r="Q25" i="66"/>
  <c r="P25" i="66"/>
  <c r="O25" i="66"/>
  <c r="S25" i="66" s="1"/>
  <c r="Q24" i="66"/>
  <c r="P24" i="66"/>
  <c r="O24" i="66"/>
  <c r="S24" i="66" s="1"/>
  <c r="Q23" i="66"/>
  <c r="P23" i="66"/>
  <c r="O23" i="66"/>
  <c r="S23" i="66" s="1"/>
  <c r="Q22" i="66"/>
  <c r="P22" i="66"/>
  <c r="O22" i="66"/>
  <c r="S22" i="66" s="1"/>
  <c r="Q21" i="66"/>
  <c r="P21" i="66"/>
  <c r="O21" i="66"/>
  <c r="S21" i="66" s="1"/>
  <c r="Q20" i="66"/>
  <c r="P20" i="66"/>
  <c r="O20" i="66"/>
  <c r="S20" i="66" s="1"/>
  <c r="Q19" i="66"/>
  <c r="P19" i="66"/>
  <c r="O19" i="66"/>
  <c r="S19" i="66" s="1"/>
  <c r="Q18" i="66"/>
  <c r="P18" i="66"/>
  <c r="O18" i="66"/>
  <c r="S18" i="66" s="1"/>
  <c r="Q17" i="66"/>
  <c r="P17" i="66"/>
  <c r="O17" i="66"/>
  <c r="S17" i="66" s="1"/>
  <c r="Q16" i="66"/>
  <c r="P16" i="66"/>
  <c r="O16" i="66"/>
  <c r="S16" i="66" s="1"/>
  <c r="Q15" i="66"/>
  <c r="P15" i="66"/>
  <c r="O15" i="66"/>
  <c r="S15" i="66" s="1"/>
  <c r="Q14" i="66"/>
  <c r="P14" i="66"/>
  <c r="O14" i="66"/>
  <c r="S14" i="66" s="1"/>
  <c r="Q13" i="66"/>
  <c r="P13" i="66"/>
  <c r="O13" i="66"/>
  <c r="S13" i="66" s="1"/>
  <c r="Q12" i="66"/>
  <c r="P12" i="66"/>
  <c r="O12" i="66"/>
  <c r="S12" i="66" s="1"/>
  <c r="Q11" i="66"/>
  <c r="P11" i="66"/>
  <c r="O11" i="66"/>
  <c r="S11" i="66" s="1"/>
  <c r="Q10" i="66"/>
  <c r="P10" i="66"/>
  <c r="O10" i="66"/>
  <c r="S10" i="66" s="1"/>
  <c r="Q9" i="66"/>
  <c r="P9" i="66"/>
  <c r="O9" i="66"/>
  <c r="S9" i="66" s="1"/>
  <c r="Q8" i="66"/>
  <c r="P8" i="66"/>
  <c r="O8" i="66"/>
  <c r="S8" i="66" s="1"/>
  <c r="Q7" i="66"/>
  <c r="P7" i="66"/>
  <c r="O7" i="66"/>
  <c r="S7" i="66" s="1"/>
  <c r="R52" i="14"/>
  <c r="P52" i="14"/>
  <c r="O52" i="14"/>
  <c r="N52" i="14"/>
  <c r="R51" i="14"/>
  <c r="P51" i="14"/>
  <c r="O51" i="14"/>
  <c r="N51" i="14"/>
  <c r="R50" i="14"/>
  <c r="P50" i="14"/>
  <c r="O50" i="14"/>
  <c r="N50" i="14"/>
  <c r="R49" i="14"/>
  <c r="P49" i="14"/>
  <c r="O49" i="14"/>
  <c r="N49" i="14"/>
  <c r="R48" i="14"/>
  <c r="P48" i="14"/>
  <c r="O48" i="14"/>
  <c r="N48" i="14"/>
  <c r="R47" i="14"/>
  <c r="P47" i="14"/>
  <c r="O47" i="14"/>
  <c r="N47" i="14"/>
  <c r="R46" i="14"/>
  <c r="P46" i="14"/>
  <c r="O46" i="14"/>
  <c r="N46" i="14"/>
  <c r="R45" i="14"/>
  <c r="P45" i="14"/>
  <c r="O45" i="14"/>
  <c r="N45" i="14"/>
  <c r="R44" i="14"/>
  <c r="P44" i="14"/>
  <c r="O44" i="14"/>
  <c r="N44" i="14"/>
  <c r="R43" i="14"/>
  <c r="P43" i="14"/>
  <c r="O43" i="14"/>
  <c r="N43" i="14"/>
  <c r="R42" i="14"/>
  <c r="P42" i="14"/>
  <c r="O42" i="14"/>
  <c r="N42" i="14"/>
  <c r="R41" i="14"/>
  <c r="P41" i="14"/>
  <c r="O41" i="14"/>
  <c r="N41" i="14"/>
  <c r="R40" i="14"/>
  <c r="P40" i="14"/>
  <c r="O40" i="14"/>
  <c r="N40" i="14"/>
  <c r="R39" i="14"/>
  <c r="P39" i="14"/>
  <c r="O39" i="14"/>
  <c r="N39" i="14"/>
  <c r="R38" i="14"/>
  <c r="P38" i="14"/>
  <c r="O38" i="14"/>
  <c r="N38" i="14"/>
  <c r="R37" i="14"/>
  <c r="P37" i="14"/>
  <c r="O37" i="14"/>
  <c r="N37" i="14"/>
  <c r="R36" i="14"/>
  <c r="P36" i="14"/>
  <c r="O36" i="14"/>
  <c r="N36" i="14"/>
  <c r="R35" i="14"/>
  <c r="P35" i="14"/>
  <c r="O35" i="14"/>
  <c r="N35" i="14"/>
  <c r="R34" i="14"/>
  <c r="P34" i="14"/>
  <c r="O34" i="14"/>
  <c r="N34" i="14"/>
  <c r="R33" i="14"/>
  <c r="P33" i="14"/>
  <c r="O33" i="14"/>
  <c r="N33" i="14"/>
  <c r="R32" i="14"/>
  <c r="P32" i="14"/>
  <c r="O32" i="14"/>
  <c r="N32" i="14"/>
  <c r="R31" i="14"/>
  <c r="P31" i="14"/>
  <c r="O31" i="14"/>
  <c r="N31" i="14"/>
  <c r="R30" i="14"/>
  <c r="P30" i="14"/>
  <c r="O30" i="14"/>
  <c r="N30" i="14"/>
  <c r="R29" i="14"/>
  <c r="P29" i="14"/>
  <c r="O29" i="14"/>
  <c r="N29" i="14"/>
  <c r="R28" i="14"/>
  <c r="P28" i="14"/>
  <c r="O28" i="14"/>
  <c r="N28" i="14"/>
  <c r="R27" i="14"/>
  <c r="P27" i="14"/>
  <c r="O27" i="14"/>
  <c r="N27" i="14"/>
  <c r="R26" i="14"/>
  <c r="P26" i="14"/>
  <c r="O26" i="14"/>
  <c r="N26" i="14"/>
  <c r="R25" i="14"/>
  <c r="P25" i="14"/>
  <c r="O25" i="14"/>
  <c r="N25" i="14"/>
  <c r="R24" i="14"/>
  <c r="P24" i="14"/>
  <c r="O24" i="14"/>
  <c r="N24" i="14"/>
  <c r="R23" i="14"/>
  <c r="P23" i="14"/>
  <c r="O23" i="14"/>
  <c r="N23" i="14"/>
  <c r="R22" i="14"/>
  <c r="P22" i="14"/>
  <c r="O22" i="14"/>
  <c r="N22" i="14"/>
  <c r="R21" i="14"/>
  <c r="P21" i="14"/>
  <c r="O21" i="14"/>
  <c r="N21" i="14"/>
  <c r="R20" i="14"/>
  <c r="P20" i="14"/>
  <c r="O20" i="14"/>
  <c r="N20" i="14"/>
  <c r="R19" i="14"/>
  <c r="P19" i="14"/>
  <c r="O19" i="14"/>
  <c r="N19" i="14"/>
  <c r="R18" i="14"/>
  <c r="P18" i="14"/>
  <c r="O18" i="14"/>
  <c r="N18" i="14"/>
  <c r="R17" i="14"/>
  <c r="P17" i="14"/>
  <c r="O17" i="14"/>
  <c r="N17" i="14"/>
  <c r="R16" i="14"/>
  <c r="P16" i="14"/>
  <c r="O16" i="14"/>
  <c r="N16" i="14"/>
  <c r="R15" i="14"/>
  <c r="P15" i="14"/>
  <c r="O15" i="14"/>
  <c r="N15" i="14"/>
  <c r="R14" i="14"/>
  <c r="P14" i="14"/>
  <c r="O14" i="14"/>
  <c r="N14" i="14"/>
  <c r="R13" i="14"/>
  <c r="P13" i="14"/>
  <c r="O13" i="14"/>
  <c r="N13" i="14"/>
  <c r="R12" i="14"/>
  <c r="P12" i="14"/>
  <c r="O12" i="14"/>
  <c r="N12" i="14"/>
  <c r="R11" i="14"/>
  <c r="P11" i="14"/>
  <c r="O11" i="14"/>
  <c r="N11" i="14"/>
  <c r="R10" i="14"/>
  <c r="P10" i="14"/>
  <c r="O10" i="14"/>
  <c r="N10" i="14"/>
  <c r="R9" i="14"/>
  <c r="P9" i="14"/>
  <c r="O9" i="14"/>
  <c r="N9" i="14"/>
  <c r="R8" i="14"/>
  <c r="P8" i="14"/>
  <c r="O8" i="14"/>
  <c r="N8" i="14"/>
  <c r="T52" i="13"/>
  <c r="S52" i="13"/>
  <c r="R52" i="13"/>
  <c r="Q52" i="13"/>
  <c r="P52" i="13"/>
  <c r="O52" i="13"/>
  <c r="N52" i="13"/>
  <c r="T51" i="13"/>
  <c r="S51" i="13"/>
  <c r="R51" i="13"/>
  <c r="Q51" i="13"/>
  <c r="P51" i="13"/>
  <c r="O51" i="13"/>
  <c r="N51" i="13"/>
  <c r="T50" i="13"/>
  <c r="S50" i="13"/>
  <c r="R50" i="13"/>
  <c r="Q50" i="13"/>
  <c r="P50" i="13"/>
  <c r="O50" i="13"/>
  <c r="N50" i="13"/>
  <c r="T49" i="13"/>
  <c r="S49" i="13"/>
  <c r="R49" i="13"/>
  <c r="Q49" i="13"/>
  <c r="P49" i="13"/>
  <c r="O49" i="13"/>
  <c r="N49" i="13"/>
  <c r="T48" i="13"/>
  <c r="S48" i="13"/>
  <c r="R48" i="13"/>
  <c r="Q48" i="13"/>
  <c r="P48" i="13"/>
  <c r="O48" i="13"/>
  <c r="N48" i="13"/>
  <c r="T47" i="13"/>
  <c r="S47" i="13"/>
  <c r="R47" i="13"/>
  <c r="Q47" i="13"/>
  <c r="P47" i="13"/>
  <c r="O47" i="13"/>
  <c r="N47" i="13"/>
  <c r="T46" i="13"/>
  <c r="S46" i="13"/>
  <c r="R46" i="13"/>
  <c r="Q46" i="13"/>
  <c r="P46" i="13"/>
  <c r="O46" i="13"/>
  <c r="N46" i="13"/>
  <c r="T45" i="13"/>
  <c r="S45" i="13"/>
  <c r="R45" i="13"/>
  <c r="Q45" i="13"/>
  <c r="P45" i="13"/>
  <c r="O45" i="13"/>
  <c r="N45" i="13"/>
  <c r="T44" i="13"/>
  <c r="S44" i="13"/>
  <c r="R44" i="13"/>
  <c r="Q44" i="13"/>
  <c r="P44" i="13"/>
  <c r="O44" i="13"/>
  <c r="N44" i="13"/>
  <c r="T43" i="13"/>
  <c r="S43" i="13"/>
  <c r="R43" i="13"/>
  <c r="Q43" i="13"/>
  <c r="P43" i="13"/>
  <c r="O43" i="13"/>
  <c r="N43" i="13"/>
  <c r="T42" i="13"/>
  <c r="S42" i="13"/>
  <c r="R42" i="13"/>
  <c r="Q42" i="13"/>
  <c r="P42" i="13"/>
  <c r="O42" i="13"/>
  <c r="N42" i="13"/>
  <c r="T41" i="13"/>
  <c r="S41" i="13"/>
  <c r="R41" i="13"/>
  <c r="Q41" i="13"/>
  <c r="P41" i="13"/>
  <c r="O41" i="13"/>
  <c r="N41" i="13"/>
  <c r="T40" i="13"/>
  <c r="S40" i="13"/>
  <c r="R40" i="13"/>
  <c r="Q40" i="13"/>
  <c r="P40" i="13"/>
  <c r="O40" i="13"/>
  <c r="N40" i="13"/>
  <c r="T39" i="13"/>
  <c r="S39" i="13"/>
  <c r="R39" i="13"/>
  <c r="Q39" i="13"/>
  <c r="P39" i="13"/>
  <c r="O39" i="13"/>
  <c r="N39" i="13"/>
  <c r="T38" i="13"/>
  <c r="S38" i="13"/>
  <c r="R38" i="13"/>
  <c r="Q38" i="13"/>
  <c r="P38" i="13"/>
  <c r="O38" i="13"/>
  <c r="N38" i="13"/>
  <c r="T37" i="13"/>
  <c r="S37" i="13"/>
  <c r="R37" i="13"/>
  <c r="Q37" i="13"/>
  <c r="P37" i="13"/>
  <c r="O37" i="13"/>
  <c r="N37" i="13"/>
  <c r="T36" i="13"/>
  <c r="S36" i="13"/>
  <c r="R36" i="13"/>
  <c r="Q36" i="13"/>
  <c r="P36" i="13"/>
  <c r="O36" i="13"/>
  <c r="N36" i="13"/>
  <c r="T35" i="13"/>
  <c r="S35" i="13"/>
  <c r="R35" i="13"/>
  <c r="Q35" i="13"/>
  <c r="P35" i="13"/>
  <c r="O35" i="13"/>
  <c r="N35" i="13"/>
  <c r="T34" i="13"/>
  <c r="S34" i="13"/>
  <c r="R34" i="13"/>
  <c r="Q34" i="13"/>
  <c r="P34" i="13"/>
  <c r="O34" i="13"/>
  <c r="N34" i="13"/>
  <c r="T33" i="13"/>
  <c r="S33" i="13"/>
  <c r="R33" i="13"/>
  <c r="Q33" i="13"/>
  <c r="P33" i="13"/>
  <c r="O33" i="13"/>
  <c r="N33" i="13"/>
  <c r="T32" i="13"/>
  <c r="S32" i="13"/>
  <c r="R32" i="13"/>
  <c r="Q32" i="13"/>
  <c r="P32" i="13"/>
  <c r="O32" i="13"/>
  <c r="N32" i="13"/>
  <c r="T31" i="13"/>
  <c r="S31" i="13"/>
  <c r="R31" i="13"/>
  <c r="Q31" i="13"/>
  <c r="P31" i="13"/>
  <c r="O31" i="13"/>
  <c r="N31" i="13"/>
  <c r="T30" i="13"/>
  <c r="S30" i="13"/>
  <c r="R30" i="13"/>
  <c r="Q30" i="13"/>
  <c r="P30" i="13"/>
  <c r="O30" i="13"/>
  <c r="N30" i="13"/>
  <c r="T29" i="13"/>
  <c r="S29" i="13"/>
  <c r="R29" i="13"/>
  <c r="Q29" i="13"/>
  <c r="P29" i="13"/>
  <c r="O29" i="13"/>
  <c r="N29" i="13"/>
  <c r="T28" i="13"/>
  <c r="S28" i="13"/>
  <c r="R28" i="13"/>
  <c r="Q28" i="13"/>
  <c r="P28" i="13"/>
  <c r="O28" i="13"/>
  <c r="N28" i="13"/>
  <c r="T27" i="13"/>
  <c r="S27" i="13"/>
  <c r="R27" i="13"/>
  <c r="Q27" i="13"/>
  <c r="P27" i="13"/>
  <c r="O27" i="13"/>
  <c r="N27" i="13"/>
  <c r="T26" i="13"/>
  <c r="S26" i="13"/>
  <c r="R26" i="13"/>
  <c r="Q26" i="13"/>
  <c r="P26" i="13"/>
  <c r="O26" i="13"/>
  <c r="N26" i="13"/>
  <c r="T25" i="13"/>
  <c r="S25" i="13"/>
  <c r="R25" i="13"/>
  <c r="Q25" i="13"/>
  <c r="P25" i="13"/>
  <c r="O25" i="13"/>
  <c r="N25" i="13"/>
  <c r="T24" i="13"/>
  <c r="S24" i="13"/>
  <c r="R24" i="13"/>
  <c r="Q24" i="13"/>
  <c r="P24" i="13"/>
  <c r="O24" i="13"/>
  <c r="N24" i="13"/>
  <c r="T23" i="13"/>
  <c r="S23" i="13"/>
  <c r="R23" i="13"/>
  <c r="Q23" i="13"/>
  <c r="P23" i="13"/>
  <c r="O23" i="13"/>
  <c r="N23" i="13"/>
  <c r="T22" i="13"/>
  <c r="S22" i="13"/>
  <c r="R22" i="13"/>
  <c r="Q22" i="13"/>
  <c r="P22" i="13"/>
  <c r="O22" i="13"/>
  <c r="N22" i="13"/>
  <c r="T21" i="13"/>
  <c r="S21" i="13"/>
  <c r="R21" i="13"/>
  <c r="Q21" i="13"/>
  <c r="P21" i="13"/>
  <c r="O21" i="13"/>
  <c r="N21" i="13"/>
  <c r="T20" i="13"/>
  <c r="S20" i="13"/>
  <c r="R20" i="13"/>
  <c r="Q20" i="13"/>
  <c r="P20" i="13"/>
  <c r="O20" i="13"/>
  <c r="N20" i="13"/>
  <c r="T19" i="13"/>
  <c r="S19" i="13"/>
  <c r="R19" i="13"/>
  <c r="Q19" i="13"/>
  <c r="P19" i="13"/>
  <c r="O19" i="13"/>
  <c r="N19" i="13"/>
  <c r="T18" i="13"/>
  <c r="S18" i="13"/>
  <c r="R18" i="13"/>
  <c r="Q18" i="13"/>
  <c r="P18" i="13"/>
  <c r="O18" i="13"/>
  <c r="N18" i="13"/>
  <c r="T17" i="13"/>
  <c r="S17" i="13"/>
  <c r="R17" i="13"/>
  <c r="Q17" i="13"/>
  <c r="P17" i="13"/>
  <c r="O17" i="13"/>
  <c r="N17" i="13"/>
  <c r="T16" i="13"/>
  <c r="S16" i="13"/>
  <c r="R16" i="13"/>
  <c r="Q16" i="13"/>
  <c r="P16" i="13"/>
  <c r="O16" i="13"/>
  <c r="N16" i="13"/>
  <c r="T15" i="13"/>
  <c r="S15" i="13"/>
  <c r="R15" i="13"/>
  <c r="Q15" i="13"/>
  <c r="P15" i="13"/>
  <c r="O15" i="13"/>
  <c r="N15" i="13"/>
  <c r="T14" i="13"/>
  <c r="S14" i="13"/>
  <c r="R14" i="13"/>
  <c r="Q14" i="13"/>
  <c r="P14" i="13"/>
  <c r="O14" i="13"/>
  <c r="N14" i="13"/>
  <c r="T13" i="13"/>
  <c r="S13" i="13"/>
  <c r="R13" i="13"/>
  <c r="Q13" i="13"/>
  <c r="P13" i="13"/>
  <c r="O13" i="13"/>
  <c r="N13" i="13"/>
  <c r="T12" i="13"/>
  <c r="S12" i="13"/>
  <c r="R12" i="13"/>
  <c r="Q12" i="13"/>
  <c r="P12" i="13"/>
  <c r="O12" i="13"/>
  <c r="N12" i="13"/>
  <c r="T11" i="13"/>
  <c r="S11" i="13"/>
  <c r="R11" i="13"/>
  <c r="Q11" i="13"/>
  <c r="P11" i="13"/>
  <c r="O11" i="13"/>
  <c r="N11" i="13"/>
  <c r="T10" i="13"/>
  <c r="S10" i="13"/>
  <c r="R10" i="13"/>
  <c r="Q10" i="13"/>
  <c r="P10" i="13"/>
  <c r="O10" i="13"/>
  <c r="N10" i="13"/>
  <c r="T9" i="13"/>
  <c r="S9" i="13"/>
  <c r="R9" i="13"/>
  <c r="Q9" i="13"/>
  <c r="P9" i="13"/>
  <c r="O9" i="13"/>
  <c r="N9" i="13"/>
  <c r="T8" i="13"/>
  <c r="S8" i="13"/>
  <c r="R8" i="13"/>
  <c r="Q8" i="13"/>
  <c r="P8" i="13"/>
  <c r="O8" i="13"/>
  <c r="N8" i="13"/>
  <c r="Q52" i="12"/>
  <c r="P52" i="12"/>
  <c r="O52" i="12"/>
  <c r="N52" i="12"/>
  <c r="M52" i="12"/>
  <c r="Q51" i="12"/>
  <c r="P51" i="12"/>
  <c r="O51" i="12"/>
  <c r="N51" i="12"/>
  <c r="M51" i="12"/>
  <c r="Q50" i="12"/>
  <c r="P50" i="12"/>
  <c r="O50" i="12"/>
  <c r="N50" i="12"/>
  <c r="M50" i="12"/>
  <c r="Q49" i="12"/>
  <c r="P49" i="12"/>
  <c r="O49" i="12"/>
  <c r="N49" i="12"/>
  <c r="M49" i="12"/>
  <c r="Q48" i="12"/>
  <c r="P48" i="12"/>
  <c r="O48" i="12"/>
  <c r="N48" i="12"/>
  <c r="M48" i="12"/>
  <c r="Q47" i="12"/>
  <c r="P47" i="12"/>
  <c r="O47" i="12"/>
  <c r="N47" i="12"/>
  <c r="M47" i="12"/>
  <c r="Q46" i="12"/>
  <c r="P46" i="12"/>
  <c r="O46" i="12"/>
  <c r="N46" i="12"/>
  <c r="M46" i="12"/>
  <c r="Q45" i="12"/>
  <c r="P45" i="12"/>
  <c r="O45" i="12"/>
  <c r="N45" i="12"/>
  <c r="M45" i="12"/>
  <c r="Q44" i="12"/>
  <c r="P44" i="12"/>
  <c r="O44" i="12"/>
  <c r="N44" i="12"/>
  <c r="M44" i="12"/>
  <c r="Q43" i="12"/>
  <c r="P43" i="12"/>
  <c r="O43" i="12"/>
  <c r="N43" i="12"/>
  <c r="M43" i="12"/>
  <c r="Q42" i="12"/>
  <c r="P42" i="12"/>
  <c r="O42" i="12"/>
  <c r="N42" i="12"/>
  <c r="M42" i="12"/>
  <c r="Q41" i="12"/>
  <c r="P41" i="12"/>
  <c r="O41" i="12"/>
  <c r="N41" i="12"/>
  <c r="M41" i="12"/>
  <c r="Q40" i="12"/>
  <c r="P40" i="12"/>
  <c r="O40" i="12"/>
  <c r="N40" i="12"/>
  <c r="M40" i="12"/>
  <c r="Q39" i="12"/>
  <c r="P39" i="12"/>
  <c r="O39" i="12"/>
  <c r="N39" i="12"/>
  <c r="M39" i="12"/>
  <c r="Q38" i="12"/>
  <c r="P38" i="12"/>
  <c r="O38" i="12"/>
  <c r="N38" i="12"/>
  <c r="M38" i="12"/>
  <c r="Q37" i="12"/>
  <c r="P37" i="12"/>
  <c r="O37" i="12"/>
  <c r="N37" i="12"/>
  <c r="M37" i="12"/>
  <c r="Q36" i="12"/>
  <c r="P36" i="12"/>
  <c r="O36" i="12"/>
  <c r="N36" i="12"/>
  <c r="M36" i="12"/>
  <c r="Q35" i="12"/>
  <c r="P35" i="12"/>
  <c r="O35" i="12"/>
  <c r="N35" i="12"/>
  <c r="M35" i="12"/>
  <c r="Q34" i="12"/>
  <c r="P34" i="12"/>
  <c r="O34" i="12"/>
  <c r="N34" i="12"/>
  <c r="M34" i="12"/>
  <c r="Q33" i="12"/>
  <c r="P33" i="12"/>
  <c r="O33" i="12"/>
  <c r="N33" i="12"/>
  <c r="M33" i="12"/>
  <c r="Q32" i="12"/>
  <c r="P32" i="12"/>
  <c r="O32" i="12"/>
  <c r="N32" i="12"/>
  <c r="M32" i="12"/>
  <c r="Q31" i="12"/>
  <c r="P31" i="12"/>
  <c r="O31" i="12"/>
  <c r="N31" i="12"/>
  <c r="M31" i="12"/>
  <c r="Q30" i="12"/>
  <c r="P30" i="12"/>
  <c r="O30" i="12"/>
  <c r="N30" i="12"/>
  <c r="M30" i="12"/>
  <c r="Q29" i="12"/>
  <c r="P29" i="12"/>
  <c r="O29" i="12"/>
  <c r="N29" i="12"/>
  <c r="M29" i="12"/>
  <c r="Q28" i="12"/>
  <c r="P28" i="12"/>
  <c r="O28" i="12"/>
  <c r="N28" i="12"/>
  <c r="M28" i="12"/>
  <c r="Q27" i="12"/>
  <c r="P27" i="12"/>
  <c r="O27" i="12"/>
  <c r="N27" i="12"/>
  <c r="M27" i="12"/>
  <c r="Q26" i="12"/>
  <c r="P26" i="12"/>
  <c r="O26" i="12"/>
  <c r="N26" i="12"/>
  <c r="M26" i="12"/>
  <c r="Q25" i="12"/>
  <c r="P25" i="12"/>
  <c r="O25" i="12"/>
  <c r="N25" i="12"/>
  <c r="M25" i="12"/>
  <c r="Q24" i="12"/>
  <c r="P24" i="12"/>
  <c r="O24" i="12"/>
  <c r="N24" i="12"/>
  <c r="M24" i="12"/>
  <c r="Q23" i="12"/>
  <c r="P23" i="12"/>
  <c r="O23" i="12"/>
  <c r="N23" i="12"/>
  <c r="M23" i="12"/>
  <c r="Q22" i="12"/>
  <c r="P22" i="12"/>
  <c r="O22" i="12"/>
  <c r="N22" i="12"/>
  <c r="M22" i="12"/>
  <c r="Q21" i="12"/>
  <c r="P21" i="12"/>
  <c r="O21" i="12"/>
  <c r="N21" i="12"/>
  <c r="M21" i="12"/>
  <c r="Q20" i="12"/>
  <c r="P20" i="12"/>
  <c r="O20" i="12"/>
  <c r="N20" i="12"/>
  <c r="M20" i="12"/>
  <c r="Q19" i="12"/>
  <c r="P19" i="12"/>
  <c r="O19" i="12"/>
  <c r="N19" i="12"/>
  <c r="M19" i="12"/>
  <c r="Q18" i="12"/>
  <c r="P18" i="12"/>
  <c r="O18" i="12"/>
  <c r="N18" i="12"/>
  <c r="M18" i="12"/>
  <c r="Q17" i="12"/>
  <c r="P17" i="12"/>
  <c r="O17" i="12"/>
  <c r="N17" i="12"/>
  <c r="M17" i="12"/>
  <c r="Q16" i="12"/>
  <c r="P16" i="12"/>
  <c r="O16" i="12"/>
  <c r="N16" i="12"/>
  <c r="M16" i="12"/>
  <c r="Q15" i="12"/>
  <c r="P15" i="12"/>
  <c r="O15" i="12"/>
  <c r="N15" i="12"/>
  <c r="M15" i="12"/>
  <c r="Q14" i="12"/>
  <c r="P14" i="12"/>
  <c r="O14" i="12"/>
  <c r="N14" i="12"/>
  <c r="M14" i="12"/>
  <c r="Q13" i="12"/>
  <c r="P13" i="12"/>
  <c r="O13" i="12"/>
  <c r="N13" i="12"/>
  <c r="M13" i="12"/>
  <c r="Q12" i="12"/>
  <c r="P12" i="12"/>
  <c r="O12" i="12"/>
  <c r="N12" i="12"/>
  <c r="M12" i="12"/>
  <c r="Q11" i="12"/>
  <c r="P11" i="12"/>
  <c r="O11" i="12"/>
  <c r="N11" i="12"/>
  <c r="M11" i="12"/>
  <c r="Q10" i="12"/>
  <c r="P10" i="12"/>
  <c r="O10" i="12"/>
  <c r="N10" i="12"/>
  <c r="M10" i="12"/>
  <c r="Q9" i="12"/>
  <c r="P9" i="12"/>
  <c r="O9" i="12"/>
  <c r="N9" i="12"/>
  <c r="M9" i="12"/>
  <c r="Q8" i="12"/>
  <c r="P8" i="12"/>
  <c r="O8" i="12"/>
  <c r="N8" i="12"/>
  <c r="M8" i="12"/>
  <c r="AB51" i="11"/>
  <c r="AA51" i="11"/>
  <c r="Z51" i="11"/>
  <c r="U51" i="11"/>
  <c r="T51" i="11"/>
  <c r="S51" i="11"/>
  <c r="R51" i="11"/>
  <c r="Q51" i="11"/>
  <c r="W51" i="11" s="1"/>
  <c r="AF51" i="11" s="1"/>
  <c r="AB50" i="11"/>
  <c r="AA50" i="11"/>
  <c r="Z50" i="11"/>
  <c r="U50" i="11"/>
  <c r="T50" i="11"/>
  <c r="S50" i="11"/>
  <c r="R50" i="11"/>
  <c r="Q50" i="11"/>
  <c r="W50" i="11" s="1"/>
  <c r="AF50" i="11" s="1"/>
  <c r="AB49" i="11"/>
  <c r="AA49" i="11"/>
  <c r="Z49" i="11"/>
  <c r="U49" i="11"/>
  <c r="T49" i="11"/>
  <c r="S49" i="11"/>
  <c r="R49" i="11"/>
  <c r="Q49" i="11"/>
  <c r="W49" i="11" s="1"/>
  <c r="AF49" i="11" s="1"/>
  <c r="AR48" i="11"/>
  <c r="AQ48" i="11"/>
  <c r="AP48" i="11"/>
  <c r="AO48" i="11"/>
  <c r="AN48" i="11"/>
  <c r="AM48" i="11"/>
  <c r="AB48" i="11"/>
  <c r="AA48" i="11"/>
  <c r="Z48" i="11"/>
  <c r="U48" i="11"/>
  <c r="T48" i="11"/>
  <c r="S48" i="11"/>
  <c r="R48" i="11"/>
  <c r="Q48" i="11"/>
  <c r="W48" i="11" s="1"/>
  <c r="AF48" i="11" s="1"/>
  <c r="AR47" i="11"/>
  <c r="AQ47" i="11"/>
  <c r="AP47" i="11"/>
  <c r="AO47" i="11"/>
  <c r="AN47" i="11"/>
  <c r="AM47" i="11"/>
  <c r="AB47" i="11"/>
  <c r="AA47" i="11"/>
  <c r="Z47" i="11"/>
  <c r="U47" i="11"/>
  <c r="T47" i="11"/>
  <c r="S47" i="11"/>
  <c r="R47" i="11"/>
  <c r="Q47" i="11"/>
  <c r="W47" i="11" s="1"/>
  <c r="AF47" i="11" s="1"/>
  <c r="AR46" i="11"/>
  <c r="AQ46" i="11"/>
  <c r="AP46" i="11"/>
  <c r="AO46" i="11"/>
  <c r="AN46" i="11"/>
  <c r="AM46" i="11"/>
  <c r="AB46" i="11"/>
  <c r="AA46" i="11"/>
  <c r="Z46" i="11"/>
  <c r="U46" i="11"/>
  <c r="T46" i="11"/>
  <c r="S46" i="11"/>
  <c r="R46" i="11"/>
  <c r="Q46" i="11"/>
  <c r="W46" i="11" s="1"/>
  <c r="AF46" i="11" s="1"/>
  <c r="AR45" i="11"/>
  <c r="AQ45" i="11"/>
  <c r="AP45" i="11"/>
  <c r="AO45" i="11"/>
  <c r="AN45" i="11"/>
  <c r="AM45" i="11"/>
  <c r="AB45" i="11"/>
  <c r="AA45" i="11"/>
  <c r="Z45" i="11"/>
  <c r="U45" i="11"/>
  <c r="T45" i="11"/>
  <c r="S45" i="11"/>
  <c r="R45" i="11"/>
  <c r="Q45" i="11"/>
  <c r="W45" i="11" s="1"/>
  <c r="AF45" i="11" s="1"/>
  <c r="AB44" i="11"/>
  <c r="AA44" i="11"/>
  <c r="Z44" i="11"/>
  <c r="U44" i="11"/>
  <c r="T44" i="11"/>
  <c r="S44" i="11"/>
  <c r="R44" i="11"/>
  <c r="Q44" i="11"/>
  <c r="W44" i="11" s="1"/>
  <c r="AF44" i="11" s="1"/>
  <c r="AR43" i="11"/>
  <c r="AQ43" i="11"/>
  <c r="AP43" i="11"/>
  <c r="AO43" i="11"/>
  <c r="AN43" i="11"/>
  <c r="AM43" i="11"/>
  <c r="AB43" i="11"/>
  <c r="AA43" i="11"/>
  <c r="Z43" i="11"/>
  <c r="U43" i="11"/>
  <c r="T43" i="11"/>
  <c r="S43" i="11"/>
  <c r="R43" i="11"/>
  <c r="Q43" i="11"/>
  <c r="W43" i="11" s="1"/>
  <c r="AF43" i="11" s="1"/>
  <c r="AR42" i="11"/>
  <c r="AQ42" i="11"/>
  <c r="AP42" i="11"/>
  <c r="AO42" i="11"/>
  <c r="AN42" i="11"/>
  <c r="AM42" i="11"/>
  <c r="AB42" i="11"/>
  <c r="AA42" i="11"/>
  <c r="Z42" i="11"/>
  <c r="U42" i="11"/>
  <c r="T42" i="11"/>
  <c r="S42" i="11"/>
  <c r="R42" i="11"/>
  <c r="Q42" i="11"/>
  <c r="W42" i="11" s="1"/>
  <c r="AF42" i="11" s="1"/>
  <c r="AR41" i="11"/>
  <c r="AQ41" i="11"/>
  <c r="AP41" i="11"/>
  <c r="AO41" i="11"/>
  <c r="AN41" i="11"/>
  <c r="AM41" i="11"/>
  <c r="AB41" i="11"/>
  <c r="AA41" i="11"/>
  <c r="Z41" i="11"/>
  <c r="U41" i="11"/>
  <c r="T41" i="11"/>
  <c r="S41" i="11"/>
  <c r="R41" i="11"/>
  <c r="Q41" i="11"/>
  <c r="W41" i="11" s="1"/>
  <c r="AF41" i="11" s="1"/>
  <c r="AR40" i="11"/>
  <c r="AQ40" i="11"/>
  <c r="AP40" i="11"/>
  <c r="AO40" i="11"/>
  <c r="AN40" i="11"/>
  <c r="AM40" i="11"/>
  <c r="AB40" i="11"/>
  <c r="AA40" i="11"/>
  <c r="Z40" i="11"/>
  <c r="U40" i="11"/>
  <c r="T40" i="11"/>
  <c r="S40" i="11"/>
  <c r="R40" i="11"/>
  <c r="Q40" i="11"/>
  <c r="W40" i="11" s="1"/>
  <c r="AF40" i="11" s="1"/>
  <c r="AB39" i="11"/>
  <c r="AA39" i="11"/>
  <c r="Z39" i="11"/>
  <c r="U39" i="11"/>
  <c r="T39" i="11"/>
  <c r="S39" i="11"/>
  <c r="R39" i="11"/>
  <c r="Q39" i="11"/>
  <c r="W39" i="11" s="1"/>
  <c r="AF39" i="11" s="1"/>
  <c r="BA38" i="11"/>
  <c r="AZ38" i="11"/>
  <c r="AY38" i="11"/>
  <c r="AX38" i="11"/>
  <c r="AW38" i="11"/>
  <c r="AV38" i="11"/>
  <c r="AR38" i="11"/>
  <c r="AQ38" i="11"/>
  <c r="AP38" i="11"/>
  <c r="AO38" i="11"/>
  <c r="AN38" i="11"/>
  <c r="AM38" i="11"/>
  <c r="AB38" i="11"/>
  <c r="AA38" i="11"/>
  <c r="Z38" i="11"/>
  <c r="U38" i="11"/>
  <c r="T38" i="11"/>
  <c r="S38" i="11"/>
  <c r="R38" i="11"/>
  <c r="Q38" i="11"/>
  <c r="W38" i="11" s="1"/>
  <c r="AF38" i="11" s="1"/>
  <c r="BA37" i="11"/>
  <c r="AZ37" i="11"/>
  <c r="AY37" i="11"/>
  <c r="AX37" i="11"/>
  <c r="AW37" i="11"/>
  <c r="AV37" i="11"/>
  <c r="AR37" i="11"/>
  <c r="AQ37" i="11"/>
  <c r="AP37" i="11"/>
  <c r="AO37" i="11"/>
  <c r="AN37" i="11"/>
  <c r="AM37" i="11"/>
  <c r="AB37" i="11"/>
  <c r="AA37" i="11"/>
  <c r="Z37" i="11"/>
  <c r="U37" i="11"/>
  <c r="T37" i="11"/>
  <c r="S37" i="11"/>
  <c r="R37" i="11"/>
  <c r="Q37" i="11"/>
  <c r="W37" i="11" s="1"/>
  <c r="AF37" i="11" s="1"/>
  <c r="BA36" i="11"/>
  <c r="AZ36" i="11"/>
  <c r="AY36" i="11"/>
  <c r="AX36" i="11"/>
  <c r="AW36" i="11"/>
  <c r="AV36" i="11"/>
  <c r="AR36" i="11"/>
  <c r="AQ36" i="11"/>
  <c r="AP36" i="11"/>
  <c r="AO36" i="11"/>
  <c r="AN36" i="11"/>
  <c r="AM36" i="11"/>
  <c r="AB36" i="11"/>
  <c r="AA36" i="11"/>
  <c r="Z36" i="11"/>
  <c r="U36" i="11"/>
  <c r="T36" i="11"/>
  <c r="S36" i="11"/>
  <c r="R36" i="11"/>
  <c r="Q36" i="11"/>
  <c r="W36" i="11" s="1"/>
  <c r="AF36" i="11" s="1"/>
  <c r="AR35" i="11"/>
  <c r="AQ35" i="11"/>
  <c r="AP35" i="11"/>
  <c r="AO35" i="11"/>
  <c r="AN35" i="11"/>
  <c r="AM35" i="11"/>
  <c r="AB35" i="11"/>
  <c r="AA35" i="11"/>
  <c r="Z35" i="11"/>
  <c r="U35" i="11"/>
  <c r="T35" i="11"/>
  <c r="S35" i="11"/>
  <c r="R35" i="11"/>
  <c r="Q35" i="11"/>
  <c r="W35" i="11" s="1"/>
  <c r="AF35" i="11" s="1"/>
  <c r="BA34" i="11"/>
  <c r="AZ34" i="11"/>
  <c r="AY34" i="11"/>
  <c r="AX34" i="11"/>
  <c r="AW34" i="11"/>
  <c r="AV34" i="11"/>
  <c r="AB34" i="11"/>
  <c r="AA34" i="11"/>
  <c r="Z34" i="11"/>
  <c r="U34" i="11"/>
  <c r="T34" i="11"/>
  <c r="S34" i="11"/>
  <c r="R34" i="11"/>
  <c r="Q34" i="11"/>
  <c r="W34" i="11" s="1"/>
  <c r="AF34" i="11" s="1"/>
  <c r="BA33" i="11"/>
  <c r="AZ33" i="11"/>
  <c r="AY33" i="11"/>
  <c r="AX33" i="11"/>
  <c r="AW33" i="11"/>
  <c r="AV33" i="11"/>
  <c r="AR33" i="11"/>
  <c r="AQ33" i="11"/>
  <c r="AP33" i="11"/>
  <c r="AO33" i="11"/>
  <c r="AN33" i="11"/>
  <c r="AM33" i="11"/>
  <c r="AB33" i="11"/>
  <c r="AA33" i="11"/>
  <c r="Z33" i="11"/>
  <c r="U33" i="11"/>
  <c r="T33" i="11"/>
  <c r="S33" i="11"/>
  <c r="R33" i="11"/>
  <c r="Q33" i="11"/>
  <c r="W33" i="11" s="1"/>
  <c r="AF33" i="11" s="1"/>
  <c r="BA32" i="11"/>
  <c r="AZ32" i="11"/>
  <c r="AY32" i="11"/>
  <c r="AX32" i="11"/>
  <c r="AW32" i="11"/>
  <c r="AV32" i="11"/>
  <c r="AR32" i="11"/>
  <c r="AQ32" i="11"/>
  <c r="AP32" i="11"/>
  <c r="AO32" i="11"/>
  <c r="AN32" i="11"/>
  <c r="AM32" i="11"/>
  <c r="AB32" i="11"/>
  <c r="AA32" i="11"/>
  <c r="Z32" i="11"/>
  <c r="U32" i="11"/>
  <c r="T32" i="11"/>
  <c r="S32" i="11"/>
  <c r="R32" i="11"/>
  <c r="Q32" i="11"/>
  <c r="W32" i="11" s="1"/>
  <c r="AF32" i="11" s="1"/>
  <c r="BA31" i="11"/>
  <c r="AZ31" i="11"/>
  <c r="AY31" i="11"/>
  <c r="AX31" i="11"/>
  <c r="AW31" i="11"/>
  <c r="AV31" i="11"/>
  <c r="AR31" i="11"/>
  <c r="AQ31" i="11"/>
  <c r="AP31" i="11"/>
  <c r="AO31" i="11"/>
  <c r="AN31" i="11"/>
  <c r="AM31" i="11"/>
  <c r="AB31" i="11"/>
  <c r="AA31" i="11"/>
  <c r="Z31" i="11"/>
  <c r="U31" i="11"/>
  <c r="T31" i="11"/>
  <c r="S31" i="11"/>
  <c r="R31" i="11"/>
  <c r="Q31" i="11"/>
  <c r="W31" i="11" s="1"/>
  <c r="AF31" i="11" s="1"/>
  <c r="AR30" i="11"/>
  <c r="AQ30" i="11"/>
  <c r="AP30" i="11"/>
  <c r="AO30" i="11"/>
  <c r="AN30" i="11"/>
  <c r="AM30" i="11"/>
  <c r="AB30" i="11"/>
  <c r="AA30" i="11"/>
  <c r="Z30" i="11"/>
  <c r="U30" i="11"/>
  <c r="T30" i="11"/>
  <c r="S30" i="11"/>
  <c r="R30" i="11"/>
  <c r="Q30" i="11"/>
  <c r="W30" i="11" s="1"/>
  <c r="AF30" i="11" s="1"/>
  <c r="BA29" i="11"/>
  <c r="AZ29" i="11"/>
  <c r="AY29" i="11"/>
  <c r="AX29" i="11"/>
  <c r="AW29" i="11"/>
  <c r="AV29" i="11"/>
  <c r="AB29" i="11"/>
  <c r="AA29" i="11"/>
  <c r="Z29" i="11"/>
  <c r="U29" i="11"/>
  <c r="T29" i="11"/>
  <c r="S29" i="11"/>
  <c r="R29" i="11"/>
  <c r="Q29" i="11"/>
  <c r="W29" i="11" s="1"/>
  <c r="AF29" i="11" s="1"/>
  <c r="BA28" i="11"/>
  <c r="AZ28" i="11"/>
  <c r="AY28" i="11"/>
  <c r="AX28" i="11"/>
  <c r="AW28" i="11"/>
  <c r="AV28" i="11"/>
  <c r="AR28" i="11"/>
  <c r="AQ28" i="11"/>
  <c r="AP28" i="11"/>
  <c r="AO28" i="11"/>
  <c r="AN28" i="11"/>
  <c r="AM28" i="11"/>
  <c r="AB28" i="11"/>
  <c r="AA28" i="11"/>
  <c r="Z28" i="11"/>
  <c r="U28" i="11"/>
  <c r="T28" i="11"/>
  <c r="S28" i="11"/>
  <c r="R28" i="11"/>
  <c r="Q28" i="11"/>
  <c r="W28" i="11" s="1"/>
  <c r="AF28" i="11" s="1"/>
  <c r="BA27" i="11"/>
  <c r="AZ27" i="11"/>
  <c r="AY27" i="11"/>
  <c r="AX27" i="11"/>
  <c r="AW27" i="11"/>
  <c r="AV27" i="11"/>
  <c r="AR27" i="11"/>
  <c r="AQ27" i="11"/>
  <c r="AP27" i="11"/>
  <c r="AO27" i="11"/>
  <c r="AN27" i="11"/>
  <c r="AM27" i="11"/>
  <c r="AB27" i="11"/>
  <c r="AA27" i="11"/>
  <c r="Z27" i="11"/>
  <c r="U27" i="11"/>
  <c r="T27" i="11"/>
  <c r="S27" i="11"/>
  <c r="R27" i="11"/>
  <c r="Q27" i="11"/>
  <c r="W27" i="11" s="1"/>
  <c r="AF27" i="11" s="1"/>
  <c r="BA26" i="11"/>
  <c r="AZ26" i="11"/>
  <c r="AY26" i="11"/>
  <c r="AX26" i="11"/>
  <c r="AW26" i="11"/>
  <c r="AV26" i="11"/>
  <c r="AR26" i="11"/>
  <c r="AQ26" i="11"/>
  <c r="AP26" i="11"/>
  <c r="AO26" i="11"/>
  <c r="AN26" i="11"/>
  <c r="AM26" i="11"/>
  <c r="AB26" i="11"/>
  <c r="AA26" i="11"/>
  <c r="Z26" i="11"/>
  <c r="U26" i="11"/>
  <c r="T26" i="11"/>
  <c r="S26" i="11"/>
  <c r="R26" i="11"/>
  <c r="Q26" i="11"/>
  <c r="W26" i="11" s="1"/>
  <c r="AF26" i="11" s="1"/>
  <c r="AR25" i="11"/>
  <c r="AQ25" i="11"/>
  <c r="AP25" i="11"/>
  <c r="AO25" i="11"/>
  <c r="AN25" i="11"/>
  <c r="AM25" i="11"/>
  <c r="AB25" i="11"/>
  <c r="AA25" i="11"/>
  <c r="Z25" i="11"/>
  <c r="U25" i="11"/>
  <c r="T25" i="11"/>
  <c r="S25" i="11"/>
  <c r="R25" i="11"/>
  <c r="Q25" i="11"/>
  <c r="W25" i="11" s="1"/>
  <c r="AF25" i="11" s="1"/>
  <c r="BA24" i="11"/>
  <c r="AZ24" i="11"/>
  <c r="AY24" i="11"/>
  <c r="AX24" i="11"/>
  <c r="AW24" i="11"/>
  <c r="AV24" i="11"/>
  <c r="AB24" i="11"/>
  <c r="AA24" i="11"/>
  <c r="Z24" i="11"/>
  <c r="U24" i="11"/>
  <c r="T24" i="11"/>
  <c r="S24" i="11"/>
  <c r="R24" i="11"/>
  <c r="Q24" i="11"/>
  <c r="W24" i="11" s="1"/>
  <c r="AF24" i="11" s="1"/>
  <c r="BA23" i="11"/>
  <c r="AZ23" i="11"/>
  <c r="AY23" i="11"/>
  <c r="AX23" i="11"/>
  <c r="AW23" i="11"/>
  <c r="AV23" i="11"/>
  <c r="AR23" i="11"/>
  <c r="AQ23" i="11"/>
  <c r="AP23" i="11"/>
  <c r="AO23" i="11"/>
  <c r="AN23" i="11"/>
  <c r="AM23" i="11"/>
  <c r="AB23" i="11"/>
  <c r="AA23" i="11"/>
  <c r="Z23" i="11"/>
  <c r="U23" i="11"/>
  <c r="T23" i="11"/>
  <c r="S23" i="11"/>
  <c r="R23" i="11"/>
  <c r="Q23" i="11"/>
  <c r="W23" i="11" s="1"/>
  <c r="AF23" i="11" s="1"/>
  <c r="BA22" i="11"/>
  <c r="AZ22" i="11"/>
  <c r="AY22" i="11"/>
  <c r="AX22" i="11"/>
  <c r="AW22" i="11"/>
  <c r="AV22" i="11"/>
  <c r="AR22" i="11"/>
  <c r="AQ22" i="11"/>
  <c r="AP22" i="11"/>
  <c r="AO22" i="11"/>
  <c r="AN22" i="11"/>
  <c r="AM22" i="11"/>
  <c r="AB22" i="11"/>
  <c r="AA22" i="11"/>
  <c r="Z22" i="11"/>
  <c r="U22" i="11"/>
  <c r="T22" i="11"/>
  <c r="S22" i="11"/>
  <c r="R22" i="11"/>
  <c r="Q22" i="11"/>
  <c r="W22" i="11" s="1"/>
  <c r="AF22" i="11" s="1"/>
  <c r="AR21" i="11"/>
  <c r="AQ21" i="11"/>
  <c r="AP21" i="11"/>
  <c r="AO21" i="11"/>
  <c r="AN21" i="11"/>
  <c r="AM21" i="11"/>
  <c r="AB21" i="11"/>
  <c r="AA21" i="11"/>
  <c r="Z21" i="11"/>
  <c r="U21" i="11"/>
  <c r="T21" i="11"/>
  <c r="S21" i="11"/>
  <c r="R21" i="11"/>
  <c r="Q21" i="11"/>
  <c r="W21" i="11" s="1"/>
  <c r="AF21" i="11" s="1"/>
  <c r="BA20" i="11"/>
  <c r="AZ20" i="11"/>
  <c r="AY20" i="11"/>
  <c r="AX20" i="11"/>
  <c r="AW20" i="11"/>
  <c r="AV20" i="11"/>
  <c r="AR20" i="11"/>
  <c r="AQ20" i="11"/>
  <c r="AP20" i="11"/>
  <c r="AO20" i="11"/>
  <c r="AN20" i="11"/>
  <c r="AM20" i="11"/>
  <c r="AB20" i="11"/>
  <c r="AA20" i="11"/>
  <c r="Z20" i="11"/>
  <c r="U20" i="11"/>
  <c r="T20" i="11"/>
  <c r="S20" i="11"/>
  <c r="R20" i="11"/>
  <c r="Q20" i="11"/>
  <c r="W20" i="11" s="1"/>
  <c r="AF20" i="11" s="1"/>
  <c r="BA19" i="11"/>
  <c r="AZ19" i="11"/>
  <c r="AY19" i="11"/>
  <c r="AX19" i="11"/>
  <c r="AW19" i="11"/>
  <c r="AV19" i="11"/>
  <c r="AB19" i="11"/>
  <c r="AA19" i="11"/>
  <c r="Z19" i="11"/>
  <c r="U19" i="11"/>
  <c r="T19" i="11"/>
  <c r="S19" i="11"/>
  <c r="R19" i="11"/>
  <c r="Q19" i="11"/>
  <c r="W19" i="11" s="1"/>
  <c r="AF19" i="11" s="1"/>
  <c r="BA18" i="11"/>
  <c r="AZ18" i="11"/>
  <c r="AY18" i="11"/>
  <c r="AX18" i="11"/>
  <c r="AW18" i="11"/>
  <c r="AV18" i="11"/>
  <c r="AR18" i="11"/>
  <c r="AQ18" i="11"/>
  <c r="AP18" i="11"/>
  <c r="AO18" i="11"/>
  <c r="AN18" i="11"/>
  <c r="AM18" i="11"/>
  <c r="AB18" i="11"/>
  <c r="AA18" i="11"/>
  <c r="Z18" i="11"/>
  <c r="U18" i="11"/>
  <c r="T18" i="11"/>
  <c r="S18" i="11"/>
  <c r="R18" i="11"/>
  <c r="Q18" i="11"/>
  <c r="W18" i="11" s="1"/>
  <c r="AF18" i="11" s="1"/>
  <c r="AR17" i="11"/>
  <c r="AQ17" i="11"/>
  <c r="AP17" i="11"/>
  <c r="AO17" i="11"/>
  <c r="AN17" i="11"/>
  <c r="AM17" i="11"/>
  <c r="AB17" i="11"/>
  <c r="AA17" i="11"/>
  <c r="Z17" i="11"/>
  <c r="U17" i="11"/>
  <c r="T17" i="11"/>
  <c r="S17" i="11"/>
  <c r="R17" i="11"/>
  <c r="Q17" i="11"/>
  <c r="W17" i="11" s="1"/>
  <c r="AF17" i="11" s="1"/>
  <c r="BA16" i="11"/>
  <c r="AZ16" i="11"/>
  <c r="AY16" i="11"/>
  <c r="AX16" i="11"/>
  <c r="AW16" i="11"/>
  <c r="AV16" i="11"/>
  <c r="AR16" i="11"/>
  <c r="AQ16" i="11"/>
  <c r="AP16" i="11"/>
  <c r="AO16" i="11"/>
  <c r="AN16" i="11"/>
  <c r="AM16" i="11"/>
  <c r="AB16" i="11"/>
  <c r="AA16" i="11"/>
  <c r="Z16" i="11"/>
  <c r="U16" i="11"/>
  <c r="T16" i="11"/>
  <c r="S16" i="11"/>
  <c r="R16" i="11"/>
  <c r="Q16" i="11"/>
  <c r="W16" i="11" s="1"/>
  <c r="AF16" i="11" s="1"/>
  <c r="BA15" i="11"/>
  <c r="AZ15" i="11"/>
  <c r="AY15" i="11"/>
  <c r="AX15" i="11"/>
  <c r="AW15" i="11"/>
  <c r="AV15" i="11"/>
  <c r="AR15" i="11"/>
  <c r="AQ15" i="11"/>
  <c r="AP15" i="11"/>
  <c r="AO15" i="11"/>
  <c r="AN15" i="11"/>
  <c r="AM15" i="11"/>
  <c r="AJ15" i="11"/>
  <c r="AB15" i="11"/>
  <c r="AA15" i="11"/>
  <c r="Z15" i="11"/>
  <c r="U15" i="11"/>
  <c r="T15" i="11"/>
  <c r="S15" i="11"/>
  <c r="R15" i="11"/>
  <c r="Q15" i="11"/>
  <c r="W15" i="11" s="1"/>
  <c r="AF15" i="11" s="1"/>
  <c r="BA14" i="11"/>
  <c r="AZ14" i="11"/>
  <c r="AY14" i="11"/>
  <c r="AX14" i="11"/>
  <c r="AW14" i="11"/>
  <c r="AV14" i="11"/>
  <c r="AJ14" i="11"/>
  <c r="AB14" i="11"/>
  <c r="AA14" i="11"/>
  <c r="Z14" i="11"/>
  <c r="U14" i="11"/>
  <c r="T14" i="11"/>
  <c r="S14" i="11"/>
  <c r="R14" i="11"/>
  <c r="Q14" i="11" s="1"/>
  <c r="W14" i="11" s="1"/>
  <c r="AF14" i="11" s="1"/>
  <c r="AR13" i="11"/>
  <c r="AQ13" i="11"/>
  <c r="AP13" i="11"/>
  <c r="AO13" i="11"/>
  <c r="AN13" i="11"/>
  <c r="AM13" i="11"/>
  <c r="AJ13" i="11"/>
  <c r="AB13" i="11"/>
  <c r="AA13" i="11"/>
  <c r="Z13" i="11"/>
  <c r="U13" i="11"/>
  <c r="T13" i="11"/>
  <c r="S13" i="11"/>
  <c r="R13" i="11"/>
  <c r="Q13" i="11"/>
  <c r="W13" i="11" s="1"/>
  <c r="AF13" i="11" s="1"/>
  <c r="BA12" i="11"/>
  <c r="AZ12" i="11"/>
  <c r="AY12" i="11"/>
  <c r="AX12" i="11"/>
  <c r="AW12" i="11"/>
  <c r="AV12" i="11"/>
  <c r="AR12" i="11"/>
  <c r="AQ12" i="11"/>
  <c r="AP12" i="11"/>
  <c r="AO12" i="11"/>
  <c r="AN12" i="11"/>
  <c r="AM12" i="11"/>
  <c r="AJ12" i="11"/>
  <c r="AB12" i="11"/>
  <c r="AA12" i="11"/>
  <c r="Z12" i="11"/>
  <c r="U12" i="11"/>
  <c r="T12" i="11"/>
  <c r="S12" i="11"/>
  <c r="R12" i="11"/>
  <c r="Q12" i="11"/>
  <c r="W12" i="11" s="1"/>
  <c r="AF12" i="11" s="1"/>
  <c r="BA11" i="11"/>
  <c r="AZ11" i="11"/>
  <c r="AY11" i="11"/>
  <c r="AX11" i="11"/>
  <c r="AW11" i="11"/>
  <c r="AV11" i="11"/>
  <c r="AR11" i="11"/>
  <c r="AQ11" i="11"/>
  <c r="AP11" i="11"/>
  <c r="AO11" i="11"/>
  <c r="AN11" i="11"/>
  <c r="AM11" i="11"/>
  <c r="AJ11" i="11"/>
  <c r="AB11" i="11"/>
  <c r="AA11" i="11"/>
  <c r="Z11" i="11"/>
  <c r="U11" i="11"/>
  <c r="T11" i="11"/>
  <c r="S11" i="11"/>
  <c r="R11" i="11"/>
  <c r="Q11" i="11"/>
  <c r="W11" i="11" s="1"/>
  <c r="AF11" i="11" s="1"/>
  <c r="AJ10" i="11"/>
  <c r="AB10" i="11"/>
  <c r="AA10" i="11"/>
  <c r="Z10" i="11"/>
  <c r="U10" i="11"/>
  <c r="T10" i="11"/>
  <c r="S10" i="11"/>
  <c r="R10" i="11"/>
  <c r="Q10" i="11"/>
  <c r="W10" i="11" s="1"/>
  <c r="AF10" i="11" s="1"/>
  <c r="BA9" i="11"/>
  <c r="AZ9" i="11"/>
  <c r="AY9" i="11"/>
  <c r="AX9" i="11"/>
  <c r="AW9" i="11"/>
  <c r="AV9" i="11"/>
  <c r="AR9" i="11"/>
  <c r="AQ9" i="11"/>
  <c r="AP9" i="11"/>
  <c r="AO9" i="11"/>
  <c r="AN9" i="11"/>
  <c r="AM9" i="11"/>
  <c r="AJ9" i="11"/>
  <c r="AB9" i="11"/>
  <c r="AA9" i="11"/>
  <c r="Z9" i="11"/>
  <c r="U9" i="11"/>
  <c r="T9" i="11"/>
  <c r="S9" i="11"/>
  <c r="R9" i="11"/>
  <c r="Q9" i="11"/>
  <c r="W9" i="11" s="1"/>
  <c r="AF9" i="11" s="1"/>
  <c r="BA8" i="11"/>
  <c r="AZ8" i="11"/>
  <c r="AY8" i="11"/>
  <c r="AX8" i="11"/>
  <c r="AW8" i="11"/>
  <c r="AV8" i="11"/>
  <c r="AR8" i="11"/>
  <c r="AQ8" i="11"/>
  <c r="AP8" i="11"/>
  <c r="AO8" i="11"/>
  <c r="AN8" i="11"/>
  <c r="AM8" i="11"/>
  <c r="AJ8" i="11"/>
  <c r="AB8" i="11"/>
  <c r="AA8" i="11"/>
  <c r="Z8" i="11"/>
  <c r="U8" i="11"/>
  <c r="T8" i="11"/>
  <c r="S8" i="11"/>
  <c r="R8" i="11"/>
  <c r="Q8" i="11"/>
  <c r="W8" i="11" s="1"/>
  <c r="AF8" i="11" s="1"/>
  <c r="AJ7" i="11"/>
  <c r="AE7" i="11"/>
  <c r="D50" i="60" s="1"/>
  <c r="E50" i="60" s="1"/>
  <c r="AB7" i="11"/>
  <c r="AA7" i="11"/>
  <c r="Z7" i="11"/>
  <c r="U7" i="11"/>
  <c r="T7" i="11"/>
  <c r="S7" i="11"/>
  <c r="R7" i="11"/>
  <c r="Q7" i="11"/>
  <c r="M1" i="25"/>
  <c r="L1" i="25"/>
  <c r="K1" i="25"/>
  <c r="J1" i="25"/>
  <c r="I1" i="25"/>
  <c r="G1" i="25"/>
  <c r="F1" i="25"/>
  <c r="E1" i="25"/>
  <c r="C6" i="42" s="1"/>
  <c r="D1" i="25"/>
  <c r="C5" i="42" s="1"/>
  <c r="C1" i="25"/>
  <c r="CC98" i="42"/>
  <c r="CB98" i="42"/>
  <c r="CA98" i="42"/>
  <c r="BZ98" i="42"/>
  <c r="BY98" i="42"/>
  <c r="BX98" i="42"/>
  <c r="BW98" i="42"/>
  <c r="CC97" i="42"/>
  <c r="CB97" i="42"/>
  <c r="CA97" i="42"/>
  <c r="BZ97" i="42"/>
  <c r="BY97" i="42"/>
  <c r="BX97" i="42"/>
  <c r="BW97" i="42"/>
  <c r="CC96" i="42"/>
  <c r="CB96" i="42"/>
  <c r="CA96" i="42"/>
  <c r="BZ96" i="42"/>
  <c r="BY96" i="42"/>
  <c r="BX96" i="42"/>
  <c r="BW96" i="42"/>
  <c r="CC95" i="42"/>
  <c r="CB95" i="42"/>
  <c r="CA95" i="42"/>
  <c r="BZ95" i="42"/>
  <c r="BY95" i="42"/>
  <c r="BX95" i="42"/>
  <c r="BW95" i="42"/>
  <c r="CC94" i="42"/>
  <c r="CB94" i="42"/>
  <c r="CA94" i="42"/>
  <c r="BZ94" i="42"/>
  <c r="BY94" i="42"/>
  <c r="BX94" i="42"/>
  <c r="BW94" i="42"/>
  <c r="CC93" i="42"/>
  <c r="CB93" i="42"/>
  <c r="CA93" i="42"/>
  <c r="BZ93" i="42"/>
  <c r="BY93" i="42"/>
  <c r="BX93" i="42"/>
  <c r="BW93" i="42"/>
  <c r="CC92" i="42"/>
  <c r="CB92" i="42"/>
  <c r="CA92" i="42"/>
  <c r="BZ92" i="42"/>
  <c r="BY92" i="42"/>
  <c r="BX92" i="42"/>
  <c r="BW92" i="42"/>
  <c r="CC91" i="42"/>
  <c r="CB91" i="42"/>
  <c r="CA91" i="42"/>
  <c r="BZ91" i="42"/>
  <c r="BY91" i="42"/>
  <c r="BX91" i="42"/>
  <c r="BW91" i="42"/>
  <c r="CC90" i="42"/>
  <c r="CB90" i="42"/>
  <c r="CA90" i="42"/>
  <c r="BZ90" i="42"/>
  <c r="BY90" i="42"/>
  <c r="BX90" i="42"/>
  <c r="BW90" i="42"/>
  <c r="CC89" i="42"/>
  <c r="CB89" i="42"/>
  <c r="CA89" i="42"/>
  <c r="BZ89" i="42"/>
  <c r="BY89" i="42"/>
  <c r="BX89" i="42"/>
  <c r="BW89" i="42"/>
  <c r="CC88" i="42"/>
  <c r="CB88" i="42"/>
  <c r="CA88" i="42"/>
  <c r="BZ88" i="42"/>
  <c r="BY88" i="42"/>
  <c r="BX88" i="42"/>
  <c r="BW88" i="42"/>
  <c r="CC87" i="42"/>
  <c r="CB87" i="42"/>
  <c r="CA87" i="42"/>
  <c r="BZ87" i="42"/>
  <c r="BY87" i="42"/>
  <c r="BX87" i="42"/>
  <c r="BW87" i="42"/>
  <c r="CC86" i="42"/>
  <c r="CB86" i="42"/>
  <c r="CA86" i="42"/>
  <c r="BZ86" i="42"/>
  <c r="BY86" i="42"/>
  <c r="BX86" i="42"/>
  <c r="BW86" i="42"/>
  <c r="CC85" i="42"/>
  <c r="CB85" i="42"/>
  <c r="CA85" i="42"/>
  <c r="BZ85" i="42"/>
  <c r="BY85" i="42"/>
  <c r="BX85" i="42"/>
  <c r="BW85" i="42"/>
  <c r="CC84" i="42"/>
  <c r="CB84" i="42"/>
  <c r="CA84" i="42"/>
  <c r="BZ84" i="42"/>
  <c r="BY84" i="42"/>
  <c r="BX84" i="42"/>
  <c r="BW84" i="42"/>
  <c r="CC83" i="42"/>
  <c r="CB83" i="42"/>
  <c r="CA83" i="42"/>
  <c r="BZ83" i="42"/>
  <c r="BY83" i="42"/>
  <c r="BX83" i="42"/>
  <c r="BW83" i="42"/>
  <c r="CC82" i="42"/>
  <c r="CB82" i="42"/>
  <c r="CA82" i="42"/>
  <c r="BZ82" i="42"/>
  <c r="BY82" i="42"/>
  <c r="BX82" i="42"/>
  <c r="BW82" i="42"/>
  <c r="CC81" i="42"/>
  <c r="CB81" i="42"/>
  <c r="CA81" i="42"/>
  <c r="BZ81" i="42"/>
  <c r="BY81" i="42"/>
  <c r="BX81" i="42"/>
  <c r="BW81" i="42"/>
  <c r="CC80" i="42"/>
  <c r="CB80" i="42"/>
  <c r="CA80" i="42"/>
  <c r="BZ80" i="42"/>
  <c r="BY80" i="42"/>
  <c r="BX80" i="42"/>
  <c r="BW80" i="42"/>
  <c r="CC79" i="42"/>
  <c r="CB79" i="42"/>
  <c r="CA79" i="42"/>
  <c r="BZ79" i="42"/>
  <c r="BY79" i="42"/>
  <c r="BX79" i="42"/>
  <c r="BW79" i="42"/>
  <c r="CC78" i="42"/>
  <c r="CB78" i="42"/>
  <c r="CA78" i="42"/>
  <c r="BZ78" i="42"/>
  <c r="BY78" i="42"/>
  <c r="BX78" i="42"/>
  <c r="BW78" i="42"/>
  <c r="CC77" i="42"/>
  <c r="CB77" i="42"/>
  <c r="CA77" i="42"/>
  <c r="BZ77" i="42"/>
  <c r="BY77" i="42"/>
  <c r="BX77" i="42"/>
  <c r="BW77" i="42"/>
  <c r="CC76" i="42"/>
  <c r="CB76" i="42"/>
  <c r="CA76" i="42"/>
  <c r="BZ76" i="42"/>
  <c r="BY76" i="42"/>
  <c r="BX76" i="42"/>
  <c r="BW76" i="42"/>
  <c r="CC75" i="42"/>
  <c r="CB75" i="42"/>
  <c r="CA75" i="42"/>
  <c r="BZ75" i="42"/>
  <c r="BY75" i="42"/>
  <c r="BX75" i="42"/>
  <c r="BW75" i="42"/>
  <c r="CC74" i="42"/>
  <c r="CB74" i="42"/>
  <c r="CA74" i="42"/>
  <c r="BZ74" i="42"/>
  <c r="BY74" i="42"/>
  <c r="BX74" i="42"/>
  <c r="BW74" i="42"/>
  <c r="CC73" i="42"/>
  <c r="CB73" i="42"/>
  <c r="CA73" i="42"/>
  <c r="BZ73" i="42"/>
  <c r="BY73" i="42"/>
  <c r="BX73" i="42"/>
  <c r="BW73" i="42"/>
  <c r="CC72" i="42"/>
  <c r="CB72" i="42"/>
  <c r="CA72" i="42"/>
  <c r="BZ72" i="42"/>
  <c r="BY72" i="42"/>
  <c r="BX72" i="42"/>
  <c r="BW72" i="42"/>
  <c r="CC71" i="42"/>
  <c r="CB71" i="42"/>
  <c r="CA71" i="42"/>
  <c r="BZ71" i="42"/>
  <c r="BY71" i="42"/>
  <c r="BX71" i="42"/>
  <c r="BW71" i="42"/>
  <c r="CC70" i="42"/>
  <c r="CB70" i="42"/>
  <c r="CA70" i="42"/>
  <c r="BZ70" i="42"/>
  <c r="BY70" i="42"/>
  <c r="BX70" i="42"/>
  <c r="BW70" i="42"/>
  <c r="CC69" i="42"/>
  <c r="CB69" i="42"/>
  <c r="CA69" i="42"/>
  <c r="BZ69" i="42"/>
  <c r="BY69" i="42"/>
  <c r="BX69" i="42"/>
  <c r="BW69" i="42"/>
  <c r="CC68" i="42"/>
  <c r="CB68" i="42"/>
  <c r="CA68" i="42"/>
  <c r="BZ68" i="42"/>
  <c r="BY68" i="42"/>
  <c r="BX68" i="42"/>
  <c r="BW68" i="42"/>
  <c r="CC67" i="42"/>
  <c r="CB67" i="42"/>
  <c r="CA67" i="42"/>
  <c r="BZ67" i="42"/>
  <c r="BY67" i="42"/>
  <c r="BX67" i="42"/>
  <c r="BW67" i="42"/>
  <c r="CC66" i="42"/>
  <c r="CB66" i="42"/>
  <c r="CA66" i="42"/>
  <c r="BZ66" i="42"/>
  <c r="BY66" i="42"/>
  <c r="BX66" i="42"/>
  <c r="BW66" i="42"/>
  <c r="CC65" i="42"/>
  <c r="CB65" i="42"/>
  <c r="CA65" i="42"/>
  <c r="BZ65" i="42"/>
  <c r="BY65" i="42"/>
  <c r="BX65" i="42"/>
  <c r="BW65" i="42"/>
  <c r="CC64" i="42"/>
  <c r="CB64" i="42"/>
  <c r="CA64" i="42"/>
  <c r="BZ64" i="42"/>
  <c r="BY64" i="42"/>
  <c r="BX64" i="42"/>
  <c r="BW64" i="42"/>
  <c r="CC63" i="42"/>
  <c r="CB63" i="42"/>
  <c r="CA63" i="42"/>
  <c r="BZ63" i="42"/>
  <c r="BY63" i="42"/>
  <c r="BX63" i="42"/>
  <c r="BW63" i="42"/>
  <c r="CC62" i="42"/>
  <c r="CB62" i="42"/>
  <c r="CA62" i="42"/>
  <c r="BZ62" i="42"/>
  <c r="BY62" i="42"/>
  <c r="BX62" i="42"/>
  <c r="BW62" i="42"/>
  <c r="CC61" i="42"/>
  <c r="CB61" i="42"/>
  <c r="CA61" i="42"/>
  <c r="BZ61" i="42"/>
  <c r="BY61" i="42"/>
  <c r="BX61" i="42"/>
  <c r="BW61" i="42"/>
  <c r="CC60" i="42"/>
  <c r="CB60" i="42"/>
  <c r="CA60" i="42"/>
  <c r="BZ60" i="42"/>
  <c r="BY60" i="42"/>
  <c r="BX60" i="42"/>
  <c r="BW60" i="42"/>
  <c r="CC59" i="42"/>
  <c r="CB59" i="42"/>
  <c r="CA59" i="42"/>
  <c r="BZ59" i="42"/>
  <c r="BY59" i="42"/>
  <c r="BX59" i="42"/>
  <c r="BW59" i="42"/>
  <c r="CC58" i="42"/>
  <c r="CB58" i="42"/>
  <c r="CA58" i="42"/>
  <c r="BZ58" i="42"/>
  <c r="BY58" i="42"/>
  <c r="BX58" i="42"/>
  <c r="BW58" i="42"/>
  <c r="CC57" i="42"/>
  <c r="CB57" i="42"/>
  <c r="CA57" i="42"/>
  <c r="BZ57" i="42"/>
  <c r="BY57" i="42"/>
  <c r="BX57" i="42"/>
  <c r="BW57" i="42"/>
  <c r="CC56" i="42"/>
  <c r="CB56" i="42"/>
  <c r="CA56" i="42"/>
  <c r="BZ56" i="42"/>
  <c r="BY56" i="42"/>
  <c r="BX56" i="42"/>
  <c r="BW56" i="42"/>
  <c r="CC55" i="42"/>
  <c r="CB55" i="42"/>
  <c r="CA55" i="42"/>
  <c r="BZ55" i="42"/>
  <c r="BY55" i="42"/>
  <c r="BX55" i="42"/>
  <c r="BW55" i="42"/>
  <c r="CC54" i="42"/>
  <c r="CB54" i="42"/>
  <c r="CA54" i="42"/>
  <c r="BZ54" i="42"/>
  <c r="BY54" i="42"/>
  <c r="BX54" i="42"/>
  <c r="BW54" i="42"/>
  <c r="CC53" i="42"/>
  <c r="CB53" i="42"/>
  <c r="CA53" i="42"/>
  <c r="BZ53" i="42"/>
  <c r="BY53" i="42"/>
  <c r="BX53" i="42"/>
  <c r="BW53" i="42"/>
  <c r="CC52" i="42"/>
  <c r="CB52" i="42"/>
  <c r="CA52" i="42"/>
  <c r="BZ52" i="42"/>
  <c r="BY52" i="42"/>
  <c r="BX52" i="42"/>
  <c r="BW52" i="42"/>
  <c r="CC48" i="42"/>
  <c r="CB48" i="42"/>
  <c r="CA48" i="42"/>
  <c r="BZ48" i="42"/>
  <c r="BY48" i="42"/>
  <c r="BX48" i="42"/>
  <c r="BW48" i="42"/>
  <c r="CC47" i="42"/>
  <c r="CB47" i="42"/>
  <c r="CA47" i="42"/>
  <c r="BZ47" i="42"/>
  <c r="BY47" i="42"/>
  <c r="BX47" i="42"/>
  <c r="BW47" i="42"/>
  <c r="CC46" i="42"/>
  <c r="CB46" i="42"/>
  <c r="CA46" i="42"/>
  <c r="BZ46" i="42"/>
  <c r="BY46" i="42"/>
  <c r="BX46" i="42"/>
  <c r="BW46" i="42"/>
  <c r="CC45" i="42"/>
  <c r="CB45" i="42"/>
  <c r="CA45" i="42"/>
  <c r="BZ45" i="42"/>
  <c r="BY45" i="42"/>
  <c r="BX45" i="42"/>
  <c r="BW45" i="42"/>
  <c r="CC44" i="42"/>
  <c r="CB44" i="42"/>
  <c r="CA44" i="42"/>
  <c r="BZ44" i="42"/>
  <c r="BY44" i="42"/>
  <c r="BX44" i="42"/>
  <c r="BW44" i="42"/>
  <c r="CC43" i="42"/>
  <c r="CB43" i="42"/>
  <c r="CA43" i="42"/>
  <c r="BZ43" i="42"/>
  <c r="BY43" i="42"/>
  <c r="BX43" i="42"/>
  <c r="BW43" i="42"/>
  <c r="O43" i="42"/>
  <c r="N43" i="42"/>
  <c r="CC42" i="42"/>
  <c r="CB42" i="42"/>
  <c r="CA42" i="42"/>
  <c r="BZ42" i="42"/>
  <c r="BY42" i="42"/>
  <c r="BX42" i="42"/>
  <c r="BW42" i="42"/>
  <c r="O42" i="42"/>
  <c r="N42" i="42"/>
  <c r="CC41" i="42"/>
  <c r="CB41" i="42"/>
  <c r="CA41" i="42"/>
  <c r="BZ41" i="42"/>
  <c r="BY41" i="42"/>
  <c r="BX41" i="42"/>
  <c r="BW41" i="42"/>
  <c r="O41" i="42"/>
  <c r="N41" i="42"/>
  <c r="CC40" i="42"/>
  <c r="CB40" i="42"/>
  <c r="CA40" i="42"/>
  <c r="BZ40" i="42"/>
  <c r="BY40" i="42"/>
  <c r="BX40" i="42"/>
  <c r="BW40" i="42"/>
  <c r="AI40" i="42"/>
  <c r="O40" i="42"/>
  <c r="N40" i="42"/>
  <c r="CC39" i="42"/>
  <c r="CB39" i="42"/>
  <c r="CA39" i="42"/>
  <c r="BZ39" i="42"/>
  <c r="BY39" i="42"/>
  <c r="BX39" i="42"/>
  <c r="BW39" i="42"/>
  <c r="AI39" i="42"/>
  <c r="O39" i="42"/>
  <c r="N39" i="42"/>
  <c r="CC38" i="42"/>
  <c r="CB38" i="42"/>
  <c r="CA38" i="42"/>
  <c r="BZ38" i="42"/>
  <c r="BY38" i="42"/>
  <c r="BX38" i="42"/>
  <c r="BW38" i="42"/>
  <c r="AI38" i="42"/>
  <c r="O38" i="42"/>
  <c r="N38" i="42"/>
  <c r="CC37" i="42"/>
  <c r="CB37" i="42"/>
  <c r="CA37" i="42"/>
  <c r="BZ37" i="42"/>
  <c r="BY37" i="42"/>
  <c r="BX37" i="42"/>
  <c r="BW37" i="42"/>
  <c r="AI37" i="42"/>
  <c r="O37" i="42"/>
  <c r="N37" i="42"/>
  <c r="CC36" i="42"/>
  <c r="CB36" i="42"/>
  <c r="CA36" i="42"/>
  <c r="BZ36" i="42"/>
  <c r="BY36" i="42"/>
  <c r="BX36" i="42"/>
  <c r="BW36" i="42"/>
  <c r="AI36" i="42"/>
  <c r="AE36" i="42"/>
  <c r="AC36" i="42"/>
  <c r="O36" i="42"/>
  <c r="N36" i="42"/>
  <c r="CC35" i="42"/>
  <c r="CB35" i="42"/>
  <c r="CA35" i="42"/>
  <c r="BZ35" i="42"/>
  <c r="BY35" i="42"/>
  <c r="BX35" i="42"/>
  <c r="BW35" i="42"/>
  <c r="AI35" i="42"/>
  <c r="AC35" i="42"/>
  <c r="O35" i="42"/>
  <c r="N35" i="42"/>
  <c r="CC34" i="42"/>
  <c r="CB34" i="42"/>
  <c r="CA34" i="42"/>
  <c r="BZ34" i="42"/>
  <c r="BY34" i="42"/>
  <c r="BX34" i="42"/>
  <c r="BW34" i="42"/>
  <c r="AI34" i="42"/>
  <c r="AC34" i="42"/>
  <c r="O34" i="42"/>
  <c r="N34" i="42"/>
  <c r="CC33" i="42"/>
  <c r="CB33" i="42"/>
  <c r="CA33" i="42"/>
  <c r="BZ33" i="42"/>
  <c r="BY33" i="42"/>
  <c r="BX33" i="42"/>
  <c r="BW33" i="42"/>
  <c r="AI33" i="42"/>
  <c r="AC33" i="42"/>
  <c r="O33" i="42"/>
  <c r="N33" i="42"/>
  <c r="CC32" i="42"/>
  <c r="CB32" i="42"/>
  <c r="CA32" i="42"/>
  <c r="BZ32" i="42"/>
  <c r="BY32" i="42"/>
  <c r="BX32" i="42"/>
  <c r="BW32" i="42"/>
  <c r="AI32" i="42"/>
  <c r="O32" i="42"/>
  <c r="N32" i="42"/>
  <c r="CC31" i="42"/>
  <c r="CB31" i="42"/>
  <c r="CA31" i="42"/>
  <c r="BZ31" i="42"/>
  <c r="BY31" i="42"/>
  <c r="BX31" i="42"/>
  <c r="BW31" i="42"/>
  <c r="AI31" i="42"/>
  <c r="O31" i="42"/>
  <c r="N31" i="42"/>
  <c r="CC30" i="42"/>
  <c r="CB30" i="42"/>
  <c r="CA30" i="42"/>
  <c r="BZ30" i="42"/>
  <c r="BY30" i="42"/>
  <c r="BX30" i="42"/>
  <c r="BW30" i="42"/>
  <c r="AI30" i="42"/>
  <c r="O30" i="42"/>
  <c r="N30" i="42"/>
  <c r="CC29" i="42"/>
  <c r="CB29" i="42"/>
  <c r="CA29" i="42"/>
  <c r="BZ29" i="42"/>
  <c r="BY29" i="42"/>
  <c r="BX29" i="42"/>
  <c r="BW29" i="42"/>
  <c r="AI29" i="42"/>
  <c r="O29" i="42"/>
  <c r="N29" i="42"/>
  <c r="CC28" i="42"/>
  <c r="CB28" i="42"/>
  <c r="CA28" i="42"/>
  <c r="BZ28" i="42"/>
  <c r="BY28" i="42"/>
  <c r="BX28" i="42"/>
  <c r="BW28" i="42"/>
  <c r="O28" i="42"/>
  <c r="N28" i="42"/>
  <c r="CC27" i="42"/>
  <c r="CB27" i="42"/>
  <c r="CA27" i="42"/>
  <c r="BZ27" i="42"/>
  <c r="BY27" i="42"/>
  <c r="BX27" i="42"/>
  <c r="BW27" i="42"/>
  <c r="O27" i="42"/>
  <c r="N27" i="42"/>
  <c r="CC26" i="42"/>
  <c r="CB26" i="42"/>
  <c r="CA26" i="42"/>
  <c r="BZ26" i="42"/>
  <c r="BY26" i="42"/>
  <c r="BX26" i="42"/>
  <c r="BW26" i="42"/>
  <c r="AI26" i="42"/>
  <c r="O26" i="42"/>
  <c r="N26" i="42"/>
  <c r="CC25" i="42"/>
  <c r="CB25" i="42"/>
  <c r="CA25" i="42"/>
  <c r="BZ25" i="42"/>
  <c r="BY25" i="42"/>
  <c r="BX25" i="42"/>
  <c r="BW25" i="42"/>
  <c r="AI25" i="42"/>
  <c r="O25" i="42"/>
  <c r="N25" i="42"/>
  <c r="CC24" i="42"/>
  <c r="CB24" i="42"/>
  <c r="CA24" i="42"/>
  <c r="BZ24" i="42"/>
  <c r="BY24" i="42"/>
  <c r="BX24" i="42"/>
  <c r="BW24" i="42"/>
  <c r="AI24" i="42"/>
  <c r="O24" i="42"/>
  <c r="N24" i="42"/>
  <c r="CC23" i="42"/>
  <c r="CB23" i="42"/>
  <c r="CA23" i="42"/>
  <c r="BZ23" i="42"/>
  <c r="BY23" i="42"/>
  <c r="BX23" i="42"/>
  <c r="BW23" i="42"/>
  <c r="AI23" i="42"/>
  <c r="O23" i="42"/>
  <c r="N23" i="42"/>
  <c r="CC22" i="42"/>
  <c r="CB22" i="42"/>
  <c r="CA22" i="42"/>
  <c r="BZ22" i="42"/>
  <c r="BY22" i="42"/>
  <c r="BX22" i="42"/>
  <c r="BW22" i="42"/>
  <c r="AI22" i="42"/>
  <c r="O22" i="42"/>
  <c r="N22" i="42"/>
  <c r="CC21" i="42"/>
  <c r="CB21" i="42"/>
  <c r="CA21" i="42"/>
  <c r="BZ21" i="42"/>
  <c r="BY21" i="42"/>
  <c r="BX21" i="42"/>
  <c r="BW21" i="42"/>
  <c r="AI21" i="42"/>
  <c r="AC21" i="42"/>
  <c r="O21" i="42"/>
  <c r="N21" i="42"/>
  <c r="CC20" i="42"/>
  <c r="CB20" i="42"/>
  <c r="CA20" i="42"/>
  <c r="BZ20" i="42"/>
  <c r="BY20" i="42"/>
  <c r="BX20" i="42"/>
  <c r="BW20" i="42"/>
  <c r="AI20" i="42"/>
  <c r="AC20" i="42"/>
  <c r="AB20" i="42"/>
  <c r="O20" i="42"/>
  <c r="N20" i="42"/>
  <c r="CC19" i="42"/>
  <c r="CB19" i="42"/>
  <c r="CA19" i="42"/>
  <c r="BZ19" i="42"/>
  <c r="BY19" i="42"/>
  <c r="BX19" i="42"/>
  <c r="BW19" i="42"/>
  <c r="AI19" i="42"/>
  <c r="AF19" i="42"/>
  <c r="AC19" i="42" s="1"/>
  <c r="AB19" i="42"/>
  <c r="O19" i="42"/>
  <c r="N19" i="42"/>
  <c r="CC18" i="42"/>
  <c r="CB18" i="42"/>
  <c r="CA18" i="42"/>
  <c r="BZ18" i="42"/>
  <c r="BY18" i="42"/>
  <c r="BX18" i="42"/>
  <c r="BW18" i="42"/>
  <c r="AI18" i="42"/>
  <c r="AC18" i="42"/>
  <c r="AB18" i="42"/>
  <c r="O18" i="42"/>
  <c r="N18" i="42"/>
  <c r="CC17" i="42"/>
  <c r="CB17" i="42"/>
  <c r="CA17" i="42"/>
  <c r="BZ17" i="42"/>
  <c r="BY17" i="42"/>
  <c r="BX17" i="42"/>
  <c r="BW17" i="42"/>
  <c r="AI17" i="42"/>
  <c r="AC17" i="42"/>
  <c r="AB17" i="42"/>
  <c r="O17" i="42"/>
  <c r="N17" i="42"/>
  <c r="CC16" i="42"/>
  <c r="CB16" i="42"/>
  <c r="CA16" i="42"/>
  <c r="BZ16" i="42"/>
  <c r="BY16" i="42"/>
  <c r="BX16" i="42"/>
  <c r="BW16" i="42"/>
  <c r="AI16" i="42"/>
  <c r="AC16" i="42"/>
  <c r="AB16" i="42"/>
  <c r="O16" i="42"/>
  <c r="N16" i="42"/>
  <c r="CC15" i="42"/>
  <c r="CB15" i="42"/>
  <c r="CA15" i="42"/>
  <c r="BZ15" i="42"/>
  <c r="BY15" i="42"/>
  <c r="BX15" i="42"/>
  <c r="BW15" i="42"/>
  <c r="AI15" i="42"/>
  <c r="AF15" i="42"/>
  <c r="AB15" i="42"/>
  <c r="O15" i="42"/>
  <c r="N15" i="42"/>
  <c r="CC14" i="42"/>
  <c r="CB14" i="42"/>
  <c r="CA14" i="42"/>
  <c r="BZ14" i="42"/>
  <c r="BY14" i="42"/>
  <c r="BX14" i="42"/>
  <c r="BW14" i="42"/>
  <c r="AI14" i="42"/>
  <c r="AB14" i="42"/>
  <c r="O14" i="42"/>
  <c r="N14" i="42"/>
  <c r="CC13" i="42"/>
  <c r="CB13" i="42"/>
  <c r="CA13" i="42"/>
  <c r="BZ13" i="42"/>
  <c r="BY13" i="42"/>
  <c r="BX13" i="42"/>
  <c r="BW13" i="42"/>
  <c r="AI13" i="42"/>
  <c r="AB13" i="42"/>
  <c r="CC12" i="42"/>
  <c r="CB12" i="42"/>
  <c r="CA12" i="42"/>
  <c r="BZ12" i="42"/>
  <c r="BY12" i="42"/>
  <c r="BX12" i="42"/>
  <c r="BW12" i="42"/>
  <c r="AI12" i="42"/>
  <c r="AB12" i="42"/>
  <c r="CC11" i="42"/>
  <c r="CB11" i="42"/>
  <c r="CA11" i="42"/>
  <c r="BZ11" i="42"/>
  <c r="BY11" i="42"/>
  <c r="BX11" i="42"/>
  <c r="BW11" i="42"/>
  <c r="AE11" i="42"/>
  <c r="AD11" i="42"/>
  <c r="AC11" i="42"/>
  <c r="AB11" i="42"/>
  <c r="CC10" i="42"/>
  <c r="CB10" i="42"/>
  <c r="CA10" i="42"/>
  <c r="BZ10" i="42"/>
  <c r="BY10" i="42"/>
  <c r="BX10" i="42"/>
  <c r="BW10" i="42"/>
  <c r="BL10" i="42"/>
  <c r="BL9" i="42" s="1"/>
  <c r="BK10" i="42"/>
  <c r="BK9" i="42" s="1"/>
  <c r="BJ10" i="42"/>
  <c r="BJ9" i="42" s="1"/>
  <c r="BI10" i="42"/>
  <c r="BI9" i="42" s="1"/>
  <c r="BH10" i="42"/>
  <c r="BH9" i="42" s="1"/>
  <c r="BG10" i="42"/>
  <c r="BG9" i="42" s="1"/>
  <c r="BF10" i="42"/>
  <c r="BF9" i="42" s="1"/>
  <c r="BE10" i="42"/>
  <c r="BE9" i="42" s="1"/>
  <c r="BD10" i="42"/>
  <c r="BD9" i="42" s="1"/>
  <c r="BC10" i="42"/>
  <c r="BC9" i="42" s="1"/>
  <c r="BB10" i="42"/>
  <c r="BB9" i="42" s="1"/>
  <c r="BA10" i="42"/>
  <c r="BA9" i="42" s="1"/>
  <c r="AZ10" i="42"/>
  <c r="AZ9" i="42" s="1"/>
  <c r="AY10" i="42"/>
  <c r="AY9" i="42" s="1"/>
  <c r="AX10" i="42"/>
  <c r="AX9" i="42" s="1"/>
  <c r="AW10" i="42"/>
  <c r="AW9" i="42" s="1"/>
  <c r="AV10" i="42"/>
  <c r="AV9" i="42" s="1"/>
  <c r="AU10" i="42"/>
  <c r="AU9" i="42" s="1"/>
  <c r="AT10" i="42"/>
  <c r="AT9" i="42" s="1"/>
  <c r="AS10" i="42"/>
  <c r="AS9" i="42" s="1"/>
  <c r="AR10" i="42"/>
  <c r="AR9" i="42" s="1"/>
  <c r="AQ10" i="42"/>
  <c r="AQ9" i="42" s="1"/>
  <c r="AF10" i="42"/>
  <c r="CC9" i="42"/>
  <c r="CB9" i="42"/>
  <c r="CA9" i="42"/>
  <c r="BZ9" i="42"/>
  <c r="BY9" i="42"/>
  <c r="BX9" i="42"/>
  <c r="BW9" i="42"/>
  <c r="CC8" i="42"/>
  <c r="CB8" i="42"/>
  <c r="CA8" i="42"/>
  <c r="BZ8" i="42"/>
  <c r="BY8" i="42"/>
  <c r="BX8" i="42"/>
  <c r="BW8" i="42"/>
  <c r="CC7" i="42"/>
  <c r="CB7" i="42"/>
  <c r="CA7" i="42"/>
  <c r="BZ7" i="42"/>
  <c r="BY7" i="42"/>
  <c r="BX7" i="42"/>
  <c r="BW7" i="42"/>
  <c r="CC6" i="42"/>
  <c r="CB6" i="42"/>
  <c r="CA6" i="42"/>
  <c r="BZ6" i="42"/>
  <c r="BY6" i="42"/>
  <c r="BX6" i="42"/>
  <c r="BW6" i="42"/>
  <c r="AI6" i="42"/>
  <c r="CC5" i="42"/>
  <c r="CB5" i="42"/>
  <c r="CA5" i="42"/>
  <c r="BZ5" i="42"/>
  <c r="BY5" i="42"/>
  <c r="BX5" i="42"/>
  <c r="BW5" i="42"/>
  <c r="AI5" i="42"/>
  <c r="AF5" i="42"/>
  <c r="CC4" i="42"/>
  <c r="CB4" i="42"/>
  <c r="CA4" i="42"/>
  <c r="BZ4" i="42"/>
  <c r="BY4" i="42"/>
  <c r="BX4" i="42"/>
  <c r="BW4" i="42"/>
  <c r="AI4" i="42"/>
  <c r="AG4" i="42"/>
  <c r="H4" i="42"/>
  <c r="AI3" i="42"/>
  <c r="CE2" i="42"/>
  <c r="CD2" i="42"/>
  <c r="AI2" i="42"/>
  <c r="G2" i="42"/>
  <c r="AI1" i="42"/>
  <c r="W84" i="7"/>
  <c r="V84" i="7"/>
  <c r="W83" i="7"/>
  <c r="V83" i="7"/>
  <c r="W82" i="7"/>
  <c r="V82" i="7"/>
  <c r="W81" i="7"/>
  <c r="V81" i="7"/>
  <c r="W80" i="7"/>
  <c r="V80" i="7"/>
  <c r="W79" i="7"/>
  <c r="V79" i="7"/>
  <c r="W78" i="7"/>
  <c r="V78" i="7"/>
  <c r="W77" i="7"/>
  <c r="V77" i="7"/>
  <c r="W76" i="7"/>
  <c r="V76" i="7"/>
  <c r="W75" i="7"/>
  <c r="V75" i="7"/>
  <c r="D74" i="7"/>
  <c r="N70" i="7"/>
  <c r="N69" i="7"/>
  <c r="N68" i="7"/>
  <c r="N67" i="7"/>
  <c r="N66" i="7"/>
  <c r="N65" i="7"/>
  <c r="N64" i="7"/>
  <c r="N63" i="7"/>
  <c r="N62" i="7"/>
  <c r="N61" i="7"/>
  <c r="N60" i="7"/>
  <c r="X55" i="7"/>
  <c r="X54" i="7"/>
  <c r="X53" i="7"/>
  <c r="X52" i="7"/>
  <c r="X51" i="7"/>
  <c r="X50" i="7"/>
  <c r="N50" i="7"/>
  <c r="X49" i="7"/>
  <c r="N49" i="7"/>
  <c r="AD48" i="7"/>
  <c r="S48" i="7"/>
  <c r="N48" i="7"/>
  <c r="AD47" i="7"/>
  <c r="S47" i="7"/>
  <c r="N47" i="7"/>
  <c r="AD46" i="7"/>
  <c r="S46" i="7"/>
  <c r="N46" i="7"/>
  <c r="AE45" i="7"/>
  <c r="AD45" i="7"/>
  <c r="S45" i="7"/>
  <c r="N45" i="7"/>
  <c r="AE44" i="7"/>
  <c r="AD44" i="7"/>
  <c r="S44" i="7"/>
  <c r="N44" i="7"/>
  <c r="AE43" i="7"/>
  <c r="AD43" i="7"/>
  <c r="S43" i="7"/>
  <c r="N43" i="7"/>
  <c r="AE42" i="7"/>
  <c r="AD42" i="7"/>
  <c r="S42" i="7"/>
  <c r="N42" i="7"/>
  <c r="AE41" i="7"/>
  <c r="AD41" i="7"/>
  <c r="S41" i="7"/>
  <c r="AE40" i="7"/>
  <c r="AD40" i="7"/>
  <c r="S40" i="7"/>
  <c r="AE39" i="7"/>
  <c r="AD39" i="7"/>
  <c r="S39" i="7"/>
  <c r="AE38" i="7"/>
  <c r="AD38" i="7"/>
  <c r="S38" i="7"/>
  <c r="AE37" i="7"/>
  <c r="AD37" i="7"/>
  <c r="S37" i="7"/>
  <c r="AE36" i="7"/>
  <c r="AD36" i="7"/>
  <c r="S36" i="7"/>
  <c r="AE35" i="7"/>
  <c r="AD35" i="7"/>
  <c r="S35" i="7"/>
  <c r="AE34" i="7"/>
  <c r="AD34" i="7"/>
  <c r="S34" i="7"/>
  <c r="AE33" i="7"/>
  <c r="AD33" i="7"/>
  <c r="S33" i="7"/>
  <c r="AE32" i="7"/>
  <c r="AD32" i="7"/>
  <c r="S32" i="7"/>
  <c r="AE31" i="7"/>
  <c r="AD31" i="7"/>
  <c r="S31" i="7"/>
  <c r="M31" i="7"/>
  <c r="H31" i="7"/>
  <c r="M30" i="7"/>
  <c r="H30" i="7"/>
  <c r="D30" i="7"/>
  <c r="B20" i="42" s="1"/>
  <c r="M29" i="7"/>
  <c r="H29" i="7"/>
  <c r="M28" i="7"/>
  <c r="H28" i="7"/>
  <c r="D28" i="7"/>
  <c r="B16" i="42" s="1"/>
  <c r="M27" i="7"/>
  <c r="H27" i="7"/>
  <c r="M26" i="7"/>
  <c r="H26" i="7"/>
  <c r="M25" i="7"/>
  <c r="M24" i="7"/>
  <c r="M23" i="7"/>
  <c r="D23" i="7"/>
  <c r="M22" i="7"/>
  <c r="M21" i="7"/>
  <c r="M20" i="7"/>
  <c r="P19" i="7"/>
  <c r="M19" i="7"/>
  <c r="M18" i="7"/>
  <c r="M17" i="7"/>
  <c r="M16" i="7"/>
  <c r="M15" i="7"/>
  <c r="M14" i="7"/>
  <c r="I14" i="7"/>
  <c r="M13" i="7"/>
  <c r="M12" i="7"/>
  <c r="M11" i="7"/>
  <c r="M10" i="7"/>
  <c r="M9" i="7"/>
  <c r="D9" i="7"/>
  <c r="B19" i="42" s="1"/>
  <c r="M8" i="7"/>
  <c r="M7" i="7"/>
  <c r="E5" i="7"/>
  <c r="A1" i="7" s="1"/>
  <c r="B12" i="42" s="1"/>
  <c r="M2" i="7"/>
  <c r="D230" i="60" s="1"/>
  <c r="E230" i="60" s="1"/>
  <c r="I1" i="7"/>
  <c r="B11" i="42" s="1"/>
  <c r="AF36" i="42" l="1"/>
  <c r="AF35" i="42"/>
  <c r="AC32" i="42"/>
  <c r="AC31" i="42"/>
  <c r="AC30" i="42"/>
  <c r="AC29" i="42"/>
  <c r="AF21" i="42"/>
  <c r="AF20" i="42"/>
  <c r="AF17" i="42"/>
  <c r="AF16" i="42"/>
  <c r="AF18" i="42"/>
  <c r="D52" i="60"/>
  <c r="E52" i="60" s="1"/>
  <c r="AD4" i="18"/>
  <c r="D74" i="60"/>
  <c r="E74" i="60" s="1"/>
  <c r="N41" i="7"/>
  <c r="B28" i="38"/>
  <c r="B25" i="38"/>
  <c r="P42" i="18"/>
  <c r="S42" i="18"/>
  <c r="T42" i="18"/>
  <c r="B30" i="38"/>
  <c r="Q26" i="18"/>
  <c r="B27" i="38"/>
  <c r="I107" i="38"/>
  <c r="D38" i="60" s="1"/>
  <c r="E38" i="60" s="1"/>
  <c r="O42" i="18"/>
  <c r="AS11" i="62"/>
  <c r="O43" i="18"/>
  <c r="P43" i="18"/>
  <c r="S43" i="18"/>
  <c r="T43" i="18"/>
  <c r="T47" i="18"/>
  <c r="BB34" i="11"/>
  <c r="AS36" i="11"/>
  <c r="AS37" i="11"/>
  <c r="AS38" i="11"/>
  <c r="AS47" i="11"/>
  <c r="R37" i="65"/>
  <c r="M53" i="14"/>
  <c r="K55" i="20"/>
  <c r="BB29" i="62"/>
  <c r="BB15" i="62"/>
  <c r="AS26" i="11"/>
  <c r="BB19" i="11"/>
  <c r="R5" i="38"/>
  <c r="K6" i="38" s="1"/>
  <c r="Q22" i="18"/>
  <c r="N9" i="7"/>
  <c r="M55" i="20"/>
  <c r="BB36" i="11"/>
  <c r="BB26" i="62"/>
  <c r="BB33" i="62"/>
  <c r="AS48" i="62"/>
  <c r="AS15" i="11"/>
  <c r="AS40" i="11"/>
  <c r="O53" i="14"/>
  <c r="AS16" i="62"/>
  <c r="Q5" i="38"/>
  <c r="K5" i="38" s="1"/>
  <c r="AS13" i="62"/>
  <c r="AS18" i="62"/>
  <c r="BB9" i="11"/>
  <c r="P5" i="38"/>
  <c r="K4" i="38" s="1"/>
  <c r="BB15" i="11"/>
  <c r="AS22" i="11"/>
  <c r="N55" i="20"/>
  <c r="AS28" i="11"/>
  <c r="AS22" i="62"/>
  <c r="AS11" i="11"/>
  <c r="BB16" i="11"/>
  <c r="S53" i="13"/>
  <c r="BB22" i="62"/>
  <c r="AS30" i="62"/>
  <c r="BB8" i="11"/>
  <c r="BB20" i="11"/>
  <c r="BB29" i="11"/>
  <c r="BB33" i="11"/>
  <c r="Q36" i="62"/>
  <c r="AS15" i="62"/>
  <c r="M37" i="63"/>
  <c r="M37" i="65"/>
  <c r="S38" i="18"/>
  <c r="S45" i="18"/>
  <c r="AS48" i="11"/>
  <c r="N53" i="14"/>
  <c r="AS9" i="62"/>
  <c r="BB14" i="62"/>
  <c r="AS31" i="62"/>
  <c r="AS38" i="62"/>
  <c r="N37" i="65"/>
  <c r="T38" i="18"/>
  <c r="T45" i="18"/>
  <c r="I20" i="59"/>
  <c r="M37" i="51"/>
  <c r="CC3" i="42"/>
  <c r="CC2" i="42" s="1"/>
  <c r="AS42" i="11"/>
  <c r="Q53" i="12"/>
  <c r="BB11" i="62"/>
  <c r="AS28" i="62"/>
  <c r="BB36" i="62"/>
  <c r="O37" i="65"/>
  <c r="O55" i="21"/>
  <c r="N37" i="51"/>
  <c r="M5" i="38"/>
  <c r="K1" i="38" s="1"/>
  <c r="AS16" i="11"/>
  <c r="D184" i="60"/>
  <c r="E184" i="60" s="1"/>
  <c r="D568" i="60"/>
  <c r="E568" i="60" s="1"/>
  <c r="AI10" i="42"/>
  <c r="AH10" i="42" s="1"/>
  <c r="B17" i="42" s="1"/>
  <c r="AC7" i="11"/>
  <c r="D585" i="60" s="1"/>
  <c r="E585" i="60" s="1"/>
  <c r="AS17" i="11"/>
  <c r="BB8" i="62"/>
  <c r="BB12" i="62"/>
  <c r="BB27" i="62"/>
  <c r="S47" i="18"/>
  <c r="BB18" i="11"/>
  <c r="AS25" i="11"/>
  <c r="BB26" i="11"/>
  <c r="BB27" i="11"/>
  <c r="BB28" i="11"/>
  <c r="R54" i="14"/>
  <c r="N37" i="64"/>
  <c r="BB14" i="11"/>
  <c r="AS35" i="11"/>
  <c r="AS41" i="11"/>
  <c r="AS32" i="62"/>
  <c r="N5" i="38"/>
  <c r="K2" i="38" s="1"/>
  <c r="H33" i="7"/>
  <c r="P53" i="13"/>
  <c r="BB28" i="62"/>
  <c r="P37" i="64"/>
  <c r="N8" i="7"/>
  <c r="V85" i="7"/>
  <c r="V67" i="7" s="1"/>
  <c r="W67" i="7" s="1"/>
  <c r="AI7" i="42"/>
  <c r="CB3" i="42"/>
  <c r="CB2" i="42" s="1"/>
  <c r="AS12" i="11"/>
  <c r="BB37" i="11"/>
  <c r="BB38" i="11"/>
  <c r="BB9" i="62"/>
  <c r="AS20" i="62"/>
  <c r="BB31" i="62"/>
  <c r="AS33" i="62"/>
  <c r="AS37" i="62"/>
  <c r="Q37" i="64"/>
  <c r="AS13" i="11"/>
  <c r="AS31" i="11"/>
  <c r="AS32" i="11"/>
  <c r="AS33" i="11"/>
  <c r="R53" i="13"/>
  <c r="Q37" i="63"/>
  <c r="R37" i="64"/>
  <c r="N7" i="7"/>
  <c r="M29" i="18"/>
  <c r="O29" i="18" s="1"/>
  <c r="BY3" i="42"/>
  <c r="BY2" i="42" s="1"/>
  <c r="BB24" i="11"/>
  <c r="AS17" i="62"/>
  <c r="BB19" i="62"/>
  <c r="AS35" i="62"/>
  <c r="AS47" i="62"/>
  <c r="S37" i="64"/>
  <c r="T54" i="13"/>
  <c r="BB32" i="62"/>
  <c r="Q23" i="18"/>
  <c r="D102" i="60"/>
  <c r="E102" i="60" s="1"/>
  <c r="BB11" i="11"/>
  <c r="AS23" i="11"/>
  <c r="BB18" i="62"/>
  <c r="BB34" i="62"/>
  <c r="AS46" i="11"/>
  <c r="M53" i="12"/>
  <c r="N53" i="13"/>
  <c r="BB16" i="62"/>
  <c r="AS23" i="62"/>
  <c r="P37" i="63"/>
  <c r="J37" i="51"/>
  <c r="Q52" i="11"/>
  <c r="AS8" i="11"/>
  <c r="BB12" i="11"/>
  <c r="AS20" i="11"/>
  <c r="O53" i="13"/>
  <c r="AS26" i="62"/>
  <c r="AS40" i="62"/>
  <c r="AS43" i="62"/>
  <c r="BB31" i="11"/>
  <c r="BB32" i="11"/>
  <c r="AS43" i="11"/>
  <c r="Q53" i="13"/>
  <c r="AS25" i="62"/>
  <c r="AS9" i="11"/>
  <c r="AS30" i="11"/>
  <c r="O52" i="58"/>
  <c r="BB37" i="62"/>
  <c r="O37" i="18"/>
  <c r="BB22" i="11"/>
  <c r="BB23" i="11"/>
  <c r="AS21" i="62"/>
  <c r="BB24" i="62"/>
  <c r="AS45" i="62"/>
  <c r="AS18" i="11"/>
  <c r="N10" i="7"/>
  <c r="W85" i="7"/>
  <c r="W7" i="11"/>
  <c r="AF7" i="11" s="1"/>
  <c r="Z5" i="11" s="1"/>
  <c r="AS21" i="11"/>
  <c r="AS27" i="11"/>
  <c r="AS45" i="11"/>
  <c r="N53" i="12"/>
  <c r="S7" i="58"/>
  <c r="S52" i="58" s="1"/>
  <c r="AS8" i="62"/>
  <c r="AS12" i="62"/>
  <c r="AC7" i="62"/>
  <c r="BB20" i="62"/>
  <c r="BB23" i="62"/>
  <c r="AS41" i="62"/>
  <c r="P38" i="18"/>
  <c r="O45" i="18"/>
  <c r="L55" i="20"/>
  <c r="K37" i="51"/>
  <c r="O5" i="38"/>
  <c r="K3" i="38" s="1"/>
  <c r="P53" i="14"/>
  <c r="CA3" i="42"/>
  <c r="CA2" i="42" s="1"/>
  <c r="L37" i="51"/>
  <c r="H20" i="59"/>
  <c r="J19" i="51"/>
  <c r="O32" i="59"/>
  <c r="P37" i="65"/>
  <c r="X56" i="7"/>
  <c r="S49" i="7" s="1"/>
  <c r="D27" i="7" s="1"/>
  <c r="F19" i="42" s="1"/>
  <c r="C19" i="42" s="1"/>
  <c r="BX3" i="42"/>
  <c r="BX2" i="42" s="1"/>
  <c r="O53" i="12"/>
  <c r="BW3" i="42"/>
  <c r="BW2" i="42" s="1"/>
  <c r="P53" i="12"/>
  <c r="BZ3" i="42"/>
  <c r="BZ2" i="42" s="1"/>
  <c r="O37" i="63"/>
  <c r="D69" i="18"/>
  <c r="H25" i="7" s="1"/>
  <c r="S27" i="66"/>
  <c r="AI9" i="19"/>
  <c r="AI5" i="19" s="1"/>
  <c r="W53" i="19"/>
  <c r="M26" i="18"/>
  <c r="M18" i="18"/>
  <c r="Q53" i="19"/>
  <c r="D570" i="60"/>
  <c r="E570" i="60" s="1"/>
  <c r="D183" i="60"/>
  <c r="E183" i="60" s="1"/>
  <c r="M19" i="18"/>
  <c r="P39" i="18"/>
  <c r="T44" i="18"/>
  <c r="D108" i="60"/>
  <c r="E108" i="60" s="1"/>
  <c r="S44" i="18"/>
  <c r="D571" i="60"/>
  <c r="E571" i="60" s="1"/>
  <c r="D186" i="60"/>
  <c r="E186" i="60" s="1"/>
  <c r="O37" i="64"/>
  <c r="T4" i="18"/>
  <c r="AA4" i="18" s="1"/>
  <c r="M9" i="18"/>
  <c r="M32" i="18"/>
  <c r="S39" i="18"/>
  <c r="D32" i="59"/>
  <c r="M6" i="18"/>
  <c r="P44" i="18"/>
  <c r="D190" i="60"/>
  <c r="E190" i="60" s="1"/>
  <c r="O39" i="18"/>
  <c r="D103" i="60"/>
  <c r="E103" i="60" s="1"/>
  <c r="Q24" i="7"/>
  <c r="O40" i="18"/>
  <c r="D104" i="60"/>
  <c r="E104" i="60" s="1"/>
  <c r="W7" i="62"/>
  <c r="M13" i="18"/>
  <c r="M27" i="18"/>
  <c r="P40" i="18"/>
  <c r="Q37" i="65"/>
  <c r="D100" i="60"/>
  <c r="E100" i="60" s="1"/>
  <c r="T36" i="18"/>
  <c r="O36" i="18"/>
  <c r="Q40" i="18"/>
  <c r="Q45" i="18"/>
  <c r="D125" i="60" s="1"/>
  <c r="E125" i="60" s="1"/>
  <c r="M10" i="18"/>
  <c r="P36" i="18"/>
  <c r="Q36" i="18"/>
  <c r="T40" i="18"/>
  <c r="J20" i="59"/>
  <c r="M23" i="18"/>
  <c r="S36" i="18"/>
  <c r="S41" i="18"/>
  <c r="P41" i="18"/>
  <c r="O41" i="18"/>
  <c r="D105" i="60"/>
  <c r="E105" i="60" s="1"/>
  <c r="S20" i="59"/>
  <c r="BB38" i="62"/>
  <c r="AS42" i="62"/>
  <c r="AS46" i="62"/>
  <c r="M14" i="18"/>
  <c r="M28" i="18"/>
  <c r="D101" i="60"/>
  <c r="E101" i="60" s="1"/>
  <c r="T37" i="18"/>
  <c r="T41" i="18"/>
  <c r="S46" i="18"/>
  <c r="T20" i="59"/>
  <c r="D188" i="60"/>
  <c r="E188" i="60" s="1"/>
  <c r="D569" i="60"/>
  <c r="E569" i="60" s="1"/>
  <c r="T46" i="18"/>
  <c r="I55" i="22"/>
  <c r="U20" i="59"/>
  <c r="Q42" i="18"/>
  <c r="M22" i="18"/>
  <c r="M15" i="18"/>
  <c r="M12" i="18"/>
  <c r="M7" i="18"/>
  <c r="Q41" i="18"/>
  <c r="M25" i="18"/>
  <c r="Q44" i="18"/>
  <c r="D128" i="60" s="1"/>
  <c r="E128" i="60" s="1"/>
  <c r="Q43" i="18"/>
  <c r="D129" i="60" s="1"/>
  <c r="E129" i="60" s="1"/>
  <c r="M31" i="18"/>
  <c r="Q39" i="18"/>
  <c r="P37" i="18"/>
  <c r="J55" i="22"/>
  <c r="D573" i="60"/>
  <c r="E573" i="60" s="1"/>
  <c r="D185" i="60"/>
  <c r="E185" i="60" s="1"/>
  <c r="M11" i="18"/>
  <c r="M24" i="18"/>
  <c r="Q37" i="18"/>
  <c r="L55" i="21"/>
  <c r="I18" i="7"/>
  <c r="F20" i="42" s="1"/>
  <c r="O27" i="66"/>
  <c r="AS27" i="62"/>
  <c r="M30" i="18"/>
  <c r="M55" i="21"/>
  <c r="Q25" i="7"/>
  <c r="D624" i="60"/>
  <c r="E624" i="60" s="1"/>
  <c r="D534" i="60"/>
  <c r="E534" i="60" s="1"/>
  <c r="D524" i="60"/>
  <c r="E524" i="60" s="1"/>
  <c r="D229" i="60"/>
  <c r="E229" i="60" s="1"/>
  <c r="D623" i="60"/>
  <c r="E623" i="60" s="1"/>
  <c r="D533" i="60"/>
  <c r="E533" i="60" s="1"/>
  <c r="D523" i="60"/>
  <c r="E523" i="60" s="1"/>
  <c r="D228" i="60"/>
  <c r="E228" i="60" s="1"/>
  <c r="D622" i="60"/>
  <c r="E622" i="60" s="1"/>
  <c r="D532" i="60"/>
  <c r="E532" i="60" s="1"/>
  <c r="D522" i="60"/>
  <c r="E522" i="60" s="1"/>
  <c r="D227" i="60"/>
  <c r="E227" i="60" s="1"/>
  <c r="D621" i="60"/>
  <c r="E621" i="60" s="1"/>
  <c r="D531" i="60"/>
  <c r="E531" i="60" s="1"/>
  <c r="D226" i="60"/>
  <c r="E226" i="60" s="1"/>
  <c r="D620" i="60"/>
  <c r="E620" i="60" s="1"/>
  <c r="D530" i="60"/>
  <c r="E530" i="60" s="1"/>
  <c r="D225" i="60"/>
  <c r="E225" i="60" s="1"/>
  <c r="D619" i="60"/>
  <c r="E619" i="60" s="1"/>
  <c r="D539" i="60"/>
  <c r="E539" i="60" s="1"/>
  <c r="D529" i="60"/>
  <c r="E529" i="60" s="1"/>
  <c r="D224" i="60"/>
  <c r="E224" i="60" s="1"/>
  <c r="D538" i="60"/>
  <c r="E538" i="60" s="1"/>
  <c r="D528" i="60"/>
  <c r="E528" i="60" s="1"/>
  <c r="D223" i="60"/>
  <c r="E223" i="60" s="1"/>
  <c r="D537" i="60"/>
  <c r="E537" i="60" s="1"/>
  <c r="D527" i="60"/>
  <c r="E527" i="60" s="1"/>
  <c r="D222" i="60"/>
  <c r="E222" i="60" s="1"/>
  <c r="D626" i="60"/>
  <c r="E626" i="60" s="1"/>
  <c r="D536" i="60"/>
  <c r="E536" i="60" s="1"/>
  <c r="D526" i="60"/>
  <c r="E526" i="60" s="1"/>
  <c r="D625" i="60"/>
  <c r="E625" i="60" s="1"/>
  <c r="D535" i="60"/>
  <c r="E535" i="60" s="1"/>
  <c r="D525" i="60"/>
  <c r="E525" i="60" s="1"/>
  <c r="I20" i="7"/>
  <c r="F21" i="42" s="1"/>
  <c r="M8" i="18"/>
  <c r="M16" i="18"/>
  <c r="N55" i="21"/>
  <c r="N2" i="7"/>
  <c r="AS36" i="62"/>
  <c r="M5" i="18"/>
  <c r="Q24" i="18"/>
  <c r="P18" i="7"/>
  <c r="N37" i="63"/>
  <c r="M17" i="18"/>
  <c r="Q38" i="18"/>
  <c r="P55" i="21"/>
  <c r="B29" i="38"/>
  <c r="D109" i="60"/>
  <c r="E109" i="60" s="1"/>
  <c r="D187" i="60"/>
  <c r="E187" i="60" s="1"/>
  <c r="B26" i="38"/>
  <c r="A33" i="59" l="1"/>
  <c r="D581" i="60"/>
  <c r="E581" i="60" s="1"/>
  <c r="D584" i="60"/>
  <c r="E584" i="60" s="1"/>
  <c r="D582" i="60"/>
  <c r="E582" i="60" s="1"/>
  <c r="D574" i="60"/>
  <c r="E574" i="60" s="1"/>
  <c r="D586" i="60"/>
  <c r="E586" i="60" s="1"/>
  <c r="D579" i="60"/>
  <c r="E579" i="60" s="1"/>
  <c r="D587" i="60"/>
  <c r="E587" i="60" s="1"/>
  <c r="D577" i="60"/>
  <c r="E577" i="60" s="1"/>
  <c r="D580" i="60"/>
  <c r="E580" i="60" s="1"/>
  <c r="D578" i="60"/>
  <c r="E578" i="60" s="1"/>
  <c r="K55" i="22"/>
  <c r="N6" i="7"/>
  <c r="B14" i="42" s="1"/>
  <c r="D583" i="60"/>
  <c r="E583" i="60" s="1"/>
  <c r="D588" i="60"/>
  <c r="E588" i="60" s="1"/>
  <c r="I11" i="7"/>
  <c r="C5" i="7"/>
  <c r="S29" i="18"/>
  <c r="V65" i="7"/>
  <c r="W65" i="7" s="1"/>
  <c r="V68" i="7"/>
  <c r="W68" i="7" s="1"/>
  <c r="V64" i="7"/>
  <c r="W64" i="7" s="1"/>
  <c r="V66" i="7"/>
  <c r="W66" i="7" s="1"/>
  <c r="V69" i="7"/>
  <c r="W69" i="7" s="1"/>
  <c r="P29" i="18"/>
  <c r="R29" i="18"/>
  <c r="D598" i="60"/>
  <c r="E598" i="60" s="1"/>
  <c r="R53" i="14"/>
  <c r="T53" i="13"/>
  <c r="AS49" i="11"/>
  <c r="S37" i="65"/>
  <c r="R37" i="63"/>
  <c r="O55" i="20"/>
  <c r="K20" i="51"/>
  <c r="BB39" i="62"/>
  <c r="R53" i="12"/>
  <c r="BB39" i="11"/>
  <c r="AS49" i="62"/>
  <c r="Z53" i="19"/>
  <c r="O48" i="18"/>
  <c r="H19" i="7" s="1"/>
  <c r="U37" i="64"/>
  <c r="S28" i="66"/>
  <c r="Q33" i="18"/>
  <c r="H16" i="7" s="1"/>
  <c r="W52" i="11"/>
  <c r="D542" i="60"/>
  <c r="E542" i="60" s="1"/>
  <c r="S14" i="18"/>
  <c r="D134" i="60"/>
  <c r="E134" i="60" s="1"/>
  <c r="Q19" i="18"/>
  <c r="O19" i="18"/>
  <c r="P48" i="18"/>
  <c r="H21" i="7" s="1"/>
  <c r="D550" i="60"/>
  <c r="E550" i="60" s="1"/>
  <c r="D135" i="60"/>
  <c r="E135" i="60" s="1"/>
  <c r="D142" i="60"/>
  <c r="E142" i="60" s="1"/>
  <c r="Q6" i="18"/>
  <c r="O6" i="18"/>
  <c r="D216" i="60"/>
  <c r="E216" i="60" s="1"/>
  <c r="D123" i="60"/>
  <c r="E123" i="60" s="1"/>
  <c r="D217" i="60"/>
  <c r="E217" i="60" s="1"/>
  <c r="D124" i="60"/>
  <c r="E124" i="60" s="1"/>
  <c r="S32" i="18"/>
  <c r="R32" i="18"/>
  <c r="P32" i="18"/>
  <c r="O32" i="18"/>
  <c r="S7" i="18"/>
  <c r="D141" i="60"/>
  <c r="E141" i="60" s="1"/>
  <c r="Q9" i="18"/>
  <c r="O9" i="18"/>
  <c r="D549" i="60"/>
  <c r="E549" i="60" s="1"/>
  <c r="D215" i="60"/>
  <c r="E215" i="60" s="1"/>
  <c r="D122" i="60"/>
  <c r="E122" i="60" s="1"/>
  <c r="D120" i="60"/>
  <c r="E120" i="60" s="1"/>
  <c r="S28" i="18"/>
  <c r="R28" i="18"/>
  <c r="P28" i="18"/>
  <c r="D600" i="60"/>
  <c r="E600" i="60" s="1"/>
  <c r="O28" i="18"/>
  <c r="D115" i="60"/>
  <c r="E115" i="60" s="1"/>
  <c r="D130" i="60"/>
  <c r="E130" i="60" s="1"/>
  <c r="D220" i="60"/>
  <c r="E220" i="60" s="1"/>
  <c r="D544" i="60"/>
  <c r="E544" i="60" s="1"/>
  <c r="D136" i="60"/>
  <c r="E136" i="60" s="1"/>
  <c r="O17" i="18"/>
  <c r="Q17" i="18"/>
  <c r="D139" i="60"/>
  <c r="E139" i="60" s="1"/>
  <c r="Q14" i="18"/>
  <c r="S11" i="18"/>
  <c r="D547" i="60"/>
  <c r="E547" i="60" s="1"/>
  <c r="O14" i="18"/>
  <c r="R31" i="18"/>
  <c r="S31" i="18"/>
  <c r="P31" i="18"/>
  <c r="O31" i="18"/>
  <c r="D121" i="60"/>
  <c r="E121" i="60" s="1"/>
  <c r="D597" i="60"/>
  <c r="E597" i="60" s="1"/>
  <c r="D113" i="60"/>
  <c r="E113" i="60" s="1"/>
  <c r="O30" i="18"/>
  <c r="S30" i="18"/>
  <c r="R30" i="18"/>
  <c r="P30" i="18"/>
  <c r="D554" i="60"/>
  <c r="E554" i="60" s="1"/>
  <c r="D146" i="60"/>
  <c r="E146" i="60" s="1"/>
  <c r="Q11" i="18"/>
  <c r="O11" i="18"/>
  <c r="S9" i="18"/>
  <c r="R25" i="18"/>
  <c r="D592" i="60"/>
  <c r="E592" i="60" s="1"/>
  <c r="P25" i="18"/>
  <c r="O25" i="18"/>
  <c r="S25" i="18"/>
  <c r="D543" i="60"/>
  <c r="E543" i="60" s="1"/>
  <c r="S6" i="18"/>
  <c r="Q7" i="18"/>
  <c r="O7" i="18"/>
  <c r="D551" i="60"/>
  <c r="E551" i="60" s="1"/>
  <c r="Q13" i="18"/>
  <c r="D143" i="60"/>
  <c r="E143" i="60" s="1"/>
  <c r="O13" i="18"/>
  <c r="Q16" i="18"/>
  <c r="D138" i="60"/>
  <c r="E138" i="60" s="1"/>
  <c r="D546" i="60"/>
  <c r="E546" i="60" s="1"/>
  <c r="O16" i="18"/>
  <c r="S13" i="18"/>
  <c r="S12" i="18"/>
  <c r="D140" i="60"/>
  <c r="E140" i="60" s="1"/>
  <c r="Q15" i="18"/>
  <c r="D548" i="60"/>
  <c r="E548" i="60" s="1"/>
  <c r="O15" i="18"/>
  <c r="W36" i="62"/>
  <c r="AF7" i="62"/>
  <c r="Z5" i="62" s="1"/>
  <c r="L2" i="7" s="1"/>
  <c r="F15" i="42" s="1"/>
  <c r="D540" i="60"/>
  <c r="E540" i="60" s="1"/>
  <c r="Q8" i="18"/>
  <c r="O8" i="18"/>
  <c r="D132" i="60"/>
  <c r="E132" i="60" s="1"/>
  <c r="S22" i="18"/>
  <c r="D593" i="60"/>
  <c r="E593" i="60" s="1"/>
  <c r="D110" i="60"/>
  <c r="E110" i="60" s="1"/>
  <c r="P22" i="18"/>
  <c r="D116" i="60"/>
  <c r="E116" i="60" s="1"/>
  <c r="R22" i="18"/>
  <c r="O22" i="18"/>
  <c r="D218" i="60"/>
  <c r="E218" i="60" s="1"/>
  <c r="D126" i="60"/>
  <c r="E126" i="60" s="1"/>
  <c r="D541" i="60"/>
  <c r="E541" i="60" s="1"/>
  <c r="D133" i="60"/>
  <c r="E133" i="60" s="1"/>
  <c r="Q5" i="18"/>
  <c r="O5" i="18"/>
  <c r="S5" i="18"/>
  <c r="R5" i="18" s="1"/>
  <c r="D137" i="60"/>
  <c r="E137" i="60" s="1"/>
  <c r="Q18" i="18"/>
  <c r="D545" i="60"/>
  <c r="E545" i="60" s="1"/>
  <c r="O18" i="18"/>
  <c r="D131" i="60"/>
  <c r="E131" i="60" s="1"/>
  <c r="D221" i="60"/>
  <c r="E221" i="60" s="1"/>
  <c r="O10" i="18"/>
  <c r="D553" i="60"/>
  <c r="E553" i="60" s="1"/>
  <c r="D145" i="60"/>
  <c r="E145" i="60" s="1"/>
  <c r="Q10" i="18"/>
  <c r="S8" i="18"/>
  <c r="T48" i="18"/>
  <c r="H22" i="7" s="1"/>
  <c r="D552" i="60"/>
  <c r="E552" i="60" s="1"/>
  <c r="D144" i="60"/>
  <c r="E144" i="60" s="1"/>
  <c r="O12" i="18"/>
  <c r="S10" i="18"/>
  <c r="Q12" i="18"/>
  <c r="Q55" i="21"/>
  <c r="S48" i="18"/>
  <c r="H20" i="7" s="1"/>
  <c r="O26" i="18"/>
  <c r="D118" i="60"/>
  <c r="E118" i="60" s="1"/>
  <c r="D595" i="60"/>
  <c r="E595" i="60" s="1"/>
  <c r="S26" i="18"/>
  <c r="D112" i="60"/>
  <c r="E112" i="60" s="1"/>
  <c r="R26" i="18"/>
  <c r="P26" i="18"/>
  <c r="D119" i="60"/>
  <c r="E119" i="60" s="1"/>
  <c r="D599" i="60"/>
  <c r="E599" i="60" s="1"/>
  <c r="O27" i="18"/>
  <c r="D114" i="60"/>
  <c r="E114" i="60" s="1"/>
  <c r="S27" i="18"/>
  <c r="R27" i="18"/>
  <c r="P27" i="18"/>
  <c r="D219" i="60"/>
  <c r="E219" i="60" s="1"/>
  <c r="D127" i="60"/>
  <c r="E127" i="60" s="1"/>
  <c r="S23" i="18"/>
  <c r="D596" i="60"/>
  <c r="E596" i="60" s="1"/>
  <c r="O23" i="18"/>
  <c r="R23" i="18"/>
  <c r="P23" i="18"/>
  <c r="D594" i="60"/>
  <c r="E594" i="60" s="1"/>
  <c r="D111" i="60"/>
  <c r="E111" i="60" s="1"/>
  <c r="S24" i="18"/>
  <c r="D117" i="60"/>
  <c r="E117" i="60" s="1"/>
  <c r="R24" i="18"/>
  <c r="P24" i="18"/>
  <c r="O24" i="18"/>
  <c r="P13" i="18" l="1"/>
  <c r="R13" i="18"/>
  <c r="P8" i="18"/>
  <c r="D558" i="60" s="1"/>
  <c r="E558" i="60" s="1"/>
  <c r="R8" i="18"/>
  <c r="P6" i="18"/>
  <c r="D556" i="60" s="1"/>
  <c r="E556" i="60" s="1"/>
  <c r="R6" i="18"/>
  <c r="P11" i="18"/>
  <c r="D561" i="60" s="1"/>
  <c r="E561" i="60" s="1"/>
  <c r="R11" i="18"/>
  <c r="P14" i="18"/>
  <c r="R14" i="18"/>
  <c r="P9" i="18"/>
  <c r="D559" i="60" s="1"/>
  <c r="E559" i="60" s="1"/>
  <c r="R9" i="18"/>
  <c r="P7" i="18"/>
  <c r="D557" i="60" s="1"/>
  <c r="E557" i="60" s="1"/>
  <c r="R7" i="18"/>
  <c r="P10" i="18"/>
  <c r="D560" i="60" s="1"/>
  <c r="E560" i="60" s="1"/>
  <c r="R10" i="18"/>
  <c r="P12" i="18"/>
  <c r="D562" i="60" s="1"/>
  <c r="E562" i="60" s="1"/>
  <c r="R12" i="18"/>
  <c r="W70" i="7"/>
  <c r="V70" i="7"/>
  <c r="AD7" i="62"/>
  <c r="AD7" i="11"/>
  <c r="C8" i="7"/>
  <c r="O20" i="18"/>
  <c r="H9" i="7" s="1"/>
  <c r="S33" i="18"/>
  <c r="H18" i="7" s="1"/>
  <c r="S20" i="18"/>
  <c r="H13" i="7" s="1"/>
  <c r="P5" i="18"/>
  <c r="Q20" i="18"/>
  <c r="H11" i="7" s="1"/>
  <c r="P33" i="18"/>
  <c r="H15" i="7" s="1"/>
  <c r="O33" i="18"/>
  <c r="H14" i="7" s="1"/>
  <c r="R33" i="18"/>
  <c r="H17" i="7" s="1"/>
  <c r="R20" i="18" l="1"/>
  <c r="H12" i="7" s="1"/>
  <c r="D150" i="60"/>
  <c r="E150" i="60" s="1"/>
  <c r="D81" i="60"/>
  <c r="E81" i="60" s="1"/>
  <c r="D149" i="60"/>
  <c r="E149" i="60" s="1"/>
  <c r="D148" i="60"/>
  <c r="E148" i="60" s="1"/>
  <c r="D147" i="60"/>
  <c r="E147" i="60" s="1"/>
  <c r="D151" i="60"/>
  <c r="E151" i="60" s="1"/>
  <c r="D555" i="60"/>
  <c r="E555" i="60" s="1"/>
  <c r="P20" i="18"/>
  <c r="H10" i="7" s="1"/>
  <c r="H23" i="7" l="1"/>
  <c r="D6" i="7" s="1"/>
  <c r="E1" i="60"/>
  <c r="J11" i="42" s="1"/>
  <c r="F13" i="42" l="1"/>
  <c r="F12" i="42"/>
  <c r="F11" i="42"/>
  <c r="I13" i="7"/>
  <c r="D11" i="42" s="1"/>
  <c r="I11" i="42"/>
  <c r="D7" i="7"/>
  <c r="H11" i="42" l="1"/>
  <c r="H12" i="42" s="1"/>
  <c r="C24" i="38" l="1"/>
  <c r="B24" i="3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60E5D06-B484-4A9E-87A1-EC90A838906E}" keepAlive="1" name="Query - MasterContactList" description="Connection to the 'MasterContactList' query in the workbook." type="5" refreshedVersion="8" background="1" refreshOnLoad="1" saveData="1">
    <dbPr connection="Provider=Microsoft.Mashup.OleDb.1;Data Source=$Workbook$;Location=MasterContactList;Extended Properties=&quot;&quot;" command="SELECT * FROM [MasterContactList]"/>
  </connection>
</connections>
</file>

<file path=xl/sharedStrings.xml><?xml version="1.0" encoding="utf-8"?>
<sst xmlns="http://schemas.openxmlformats.org/spreadsheetml/2006/main" count="106235" uniqueCount="39501">
  <si>
    <t>Air Bleed</t>
  </si>
  <si>
    <t>Clevis Bracket 2</t>
  </si>
  <si>
    <t>Hyd Rod Viton Seal Kit</t>
  </si>
  <si>
    <t>AC050</t>
  </si>
  <si>
    <t>KHP40</t>
  </si>
  <si>
    <t>KHPV40</t>
  </si>
  <si>
    <t>KAPV70</t>
  </si>
  <si>
    <t>CB050</t>
  </si>
  <si>
    <t>KHPL120</t>
  </si>
  <si>
    <t>mp2</t>
  </si>
  <si>
    <t>XC</t>
  </si>
  <si>
    <t>XD</t>
  </si>
  <si>
    <t>XG</t>
  </si>
  <si>
    <t>XH</t>
  </si>
  <si>
    <t>XJ</t>
  </si>
  <si>
    <t>XS</t>
  </si>
  <si>
    <t>XT</t>
  </si>
  <si>
    <t>mpu3</t>
  </si>
  <si>
    <t>mt1</t>
  </si>
  <si>
    <t>ms2</t>
  </si>
  <si>
    <t>mt2</t>
  </si>
  <si>
    <t>ms4</t>
  </si>
  <si>
    <t>S</t>
  </si>
  <si>
    <t>N</t>
  </si>
  <si>
    <t>E</t>
  </si>
  <si>
    <t>J</t>
  </si>
  <si>
    <t>LB</t>
  </si>
  <si>
    <t>CD</t>
  </si>
  <si>
    <t>CB</t>
  </si>
  <si>
    <t>UM</t>
  </si>
  <si>
    <t>TM</t>
  </si>
  <si>
    <t>UT</t>
  </si>
  <si>
    <t>TD</t>
  </si>
  <si>
    <t>TL</t>
  </si>
  <si>
    <t>DD</t>
  </si>
  <si>
    <t>BB</t>
  </si>
  <si>
    <t>CK</t>
  </si>
  <si>
    <t>SL</t>
  </si>
  <si>
    <t>SB</t>
  </si>
  <si>
    <t>TS</t>
  </si>
  <si>
    <t>SS*</t>
  </si>
  <si>
    <t>NT</t>
  </si>
  <si>
    <t>TN</t>
  </si>
  <si>
    <t>SN*</t>
  </si>
  <si>
    <t>FB</t>
  </si>
  <si>
    <t>TF</t>
  </si>
  <si>
    <t>3/8-24</t>
  </si>
  <si>
    <t>3/8-16</t>
  </si>
  <si>
    <t>1/2-13</t>
  </si>
  <si>
    <t>5/8-11</t>
  </si>
  <si>
    <t>5/8-18</t>
  </si>
  <si>
    <t>3/4-10</t>
  </si>
  <si>
    <t>1-8</t>
  </si>
  <si>
    <t>1 1/4-7</t>
  </si>
  <si>
    <t>1 1/8-12</t>
  </si>
  <si>
    <t>1 1/2-6</t>
  </si>
  <si>
    <t>NPT</t>
  </si>
  <si>
    <t>SAE</t>
  </si>
  <si>
    <t>f</t>
  </si>
  <si>
    <t>1/4-28</t>
  </si>
  <si>
    <t>1/4-20</t>
  </si>
  <si>
    <t>5/16-24</t>
  </si>
  <si>
    <t>5/16-18</t>
  </si>
  <si>
    <t>mp1 mp3</t>
  </si>
  <si>
    <t>Cylinder Dimensions</t>
  </si>
  <si>
    <t>SS</t>
  </si>
  <si>
    <t>SN</t>
  </si>
  <si>
    <t>Dwg</t>
  </si>
  <si>
    <t>Clevis Bracket 4</t>
  </si>
  <si>
    <t>Jam Nut 3 1/4</t>
  </si>
  <si>
    <t>Jam Nut 3</t>
  </si>
  <si>
    <t>Rod Stud 3 1/4</t>
  </si>
  <si>
    <t>Rod Stud 3-12</t>
  </si>
  <si>
    <t>Thicker</t>
  </si>
  <si>
    <t>Head</t>
  </si>
  <si>
    <t>MP1 MP3 MT1 MT2 MF5 MF6 MS2 ME5 ME6</t>
  </si>
  <si>
    <t>Self-Aligning Male Eye 3/4-16</t>
  </si>
  <si>
    <t>MP1 MP3 MS2 ME5 ME6 MPU3</t>
  </si>
  <si>
    <t>CB044</t>
  </si>
  <si>
    <t>Pivot Pin</t>
  </si>
  <si>
    <t>KHRV06</t>
  </si>
  <si>
    <t>KHRV10</t>
  </si>
  <si>
    <t>KHRV13</t>
  </si>
  <si>
    <t>KHRV17</t>
  </si>
  <si>
    <t>Chrome Plated Stainless Steel Piston Rod</t>
  </si>
  <si>
    <t>Bore Size (")</t>
  </si>
  <si>
    <t>WP500</t>
  </si>
  <si>
    <t>Rod Dia</t>
  </si>
  <si>
    <t>MX1</t>
  </si>
  <si>
    <t>MX3</t>
  </si>
  <si>
    <t>Rod Stud 7/8-14</t>
  </si>
  <si>
    <t>Bore/Stroke</t>
  </si>
  <si>
    <t>KHPV100</t>
  </si>
  <si>
    <t>RC350</t>
  </si>
  <si>
    <t>RC400</t>
  </si>
  <si>
    <t>KHRV80</t>
  </si>
  <si>
    <t>KHRV100</t>
  </si>
  <si>
    <t>MT1 MT2 MT4</t>
  </si>
  <si>
    <t>KAPV120</t>
  </si>
  <si>
    <t>SA - Pivot Pin</t>
  </si>
  <si>
    <t>Size</t>
  </si>
  <si>
    <t>SC450</t>
  </si>
  <si>
    <t>KAPV40</t>
  </si>
  <si>
    <t>"KK" Rod Thread Style 1 or 3</t>
  </si>
  <si>
    <t>Rod Clevis 1 3/4-12</t>
  </si>
  <si>
    <t>KHP60</t>
  </si>
  <si>
    <t>Rod Stud 1 3/4-12</t>
  </si>
  <si>
    <t>KHGV17</t>
  </si>
  <si>
    <t>Rod Clevis 3 1/4-12</t>
  </si>
  <si>
    <t>KHRV55</t>
  </si>
  <si>
    <t>Sensor Cover</t>
  </si>
  <si>
    <t>Prepped</t>
  </si>
  <si>
    <t>CC</t>
  </si>
  <si>
    <t>1 3/4"</t>
  </si>
  <si>
    <t>2"</t>
  </si>
  <si>
    <t>97"-180"</t>
  </si>
  <si>
    <t>JN044</t>
  </si>
  <si>
    <t>JN087</t>
  </si>
  <si>
    <t>KAR10</t>
  </si>
  <si>
    <t>KAR13</t>
  </si>
  <si>
    <t>ME050</t>
  </si>
  <si>
    <t>ME075</t>
  </si>
  <si>
    <t>ME044</t>
  </si>
  <si>
    <t>ME087</t>
  </si>
  <si>
    <t>Extended Cap End</t>
  </si>
  <si>
    <t>KAP120</t>
  </si>
  <si>
    <t>EB044</t>
  </si>
  <si>
    <t>Extended Both Ends</t>
  </si>
  <si>
    <t>Rod Extension</t>
  </si>
  <si>
    <t>Rod Stud 1-14</t>
  </si>
  <si>
    <t>Rod Thread</t>
  </si>
  <si>
    <t>Clevis Bracket 1 3/8</t>
  </si>
  <si>
    <t>Side Tapped</t>
  </si>
  <si>
    <t>Rect Cap Flange</t>
  </si>
  <si>
    <t>MS7</t>
  </si>
  <si>
    <t>Alignment Coupler 7/16-20</t>
  </si>
  <si>
    <t>Center Trunnion</t>
  </si>
  <si>
    <t>EB125</t>
  </si>
  <si>
    <t>EB150</t>
  </si>
  <si>
    <t>Qty</t>
  </si>
  <si>
    <t>SA - Clevis Bracket 1 7/8-12</t>
  </si>
  <si>
    <t>FE087</t>
  </si>
  <si>
    <t>MF5</t>
  </si>
  <si>
    <t>KHP100</t>
  </si>
  <si>
    <t>Full Cap Flange</t>
  </si>
  <si>
    <t>Female/Stub</t>
  </si>
  <si>
    <t>Female Rod Eye</t>
  </si>
  <si>
    <t>Price</t>
  </si>
  <si>
    <t>JN125</t>
  </si>
  <si>
    <t>JN175</t>
  </si>
  <si>
    <t>KHG25</t>
  </si>
  <si>
    <t>KHG30</t>
  </si>
  <si>
    <t>KHG35</t>
  </si>
  <si>
    <t>H Series Cylinder Weight Chart</t>
  </si>
  <si>
    <t>Zero</t>
  </si>
  <si>
    <t>2 1/2"</t>
  </si>
  <si>
    <t>CB075</t>
  </si>
  <si>
    <t>Alignment Coupler 1-14</t>
  </si>
  <si>
    <t>Gun Drilling</t>
  </si>
  <si>
    <t>Series "MH" High Pressure Hydraulic Mill Duty Cylinders</t>
  </si>
  <si>
    <t>Alignment Coupler 7/8-14</t>
  </si>
  <si>
    <t>KHGV35</t>
  </si>
  <si>
    <t>KAGV13</t>
  </si>
  <si>
    <t>RS150</t>
  </si>
  <si>
    <t>RS125</t>
  </si>
  <si>
    <t>NON-CUSH.</t>
  </si>
  <si>
    <t>Stainless Steel Piston Rod</t>
  </si>
  <si>
    <t>Air Piston Viton Seal Kit</t>
  </si>
  <si>
    <t>MS3 MS7 MP2 MT4 MPU3</t>
  </si>
  <si>
    <t>Air Gland Nitrile Seal Kit</t>
  </si>
  <si>
    <t>Oversize "CC" Rod Thread Male</t>
  </si>
  <si>
    <t>Series "H" High Pressure Hydraulic Cylinders</t>
  </si>
  <si>
    <t>Discount</t>
  </si>
  <si>
    <t>Part #</t>
  </si>
  <si>
    <t>5 1/4-12</t>
  </si>
  <si>
    <t>Side Lugs</t>
  </si>
  <si>
    <t>ME4</t>
  </si>
  <si>
    <t>KAP140</t>
  </si>
  <si>
    <t>KAPV100</t>
  </si>
  <si>
    <t>MF1 MF2 MS4</t>
  </si>
  <si>
    <t>CB250</t>
  </si>
  <si>
    <t>Base</t>
  </si>
  <si>
    <t>FE044</t>
  </si>
  <si>
    <t>Male Rod Eye 2 1/2-12</t>
  </si>
  <si>
    <t>Rod Clevis 7/8-14</t>
  </si>
  <si>
    <t>Detachable Cap Clevis</t>
  </si>
  <si>
    <t>"CC" Rod Thread Style 2</t>
  </si>
  <si>
    <t>ME225</t>
  </si>
  <si>
    <t>SAE150</t>
  </si>
  <si>
    <t>1/2-20</t>
  </si>
  <si>
    <t>Per"</t>
  </si>
  <si>
    <t>CB400</t>
  </si>
  <si>
    <t>KHR35</t>
  </si>
  <si>
    <t>KHGV20</t>
  </si>
  <si>
    <t>KHGV25</t>
  </si>
  <si>
    <t>PP400</t>
  </si>
  <si>
    <t>KHPV32</t>
  </si>
  <si>
    <t>KHG06</t>
  </si>
  <si>
    <t>Rod Stud 1 1/4-12</t>
  </si>
  <si>
    <t>SC400</t>
  </si>
  <si>
    <t>WP138</t>
  </si>
  <si>
    <t>RS250</t>
  </si>
  <si>
    <t>RS075</t>
  </si>
  <si>
    <t>PP050SA</t>
  </si>
  <si>
    <t>KHR17</t>
  </si>
  <si>
    <t>RS175</t>
  </si>
  <si>
    <t>RS187</t>
  </si>
  <si>
    <t>RS050</t>
  </si>
  <si>
    <t>JN100</t>
  </si>
  <si>
    <t>KHR06</t>
  </si>
  <si>
    <t>KHR10</t>
  </si>
  <si>
    <t>4-12</t>
  </si>
  <si>
    <t>A</t>
  </si>
  <si>
    <t>CB175</t>
  </si>
  <si>
    <t>Air Rod Viton Seal Kit</t>
  </si>
  <si>
    <t>KHG17</t>
  </si>
  <si>
    <t>1 3/8"</t>
  </si>
  <si>
    <t>SA - Clevis Bracket 3/4-16</t>
  </si>
  <si>
    <t>PP075</t>
  </si>
  <si>
    <t>KHGV13</t>
  </si>
  <si>
    <t>Cover</t>
  </si>
  <si>
    <t>Clevis Bracket 2 1/2</t>
  </si>
  <si>
    <t>DRE</t>
  </si>
  <si>
    <t>Double Rod End</t>
  </si>
  <si>
    <t>MS3</t>
  </si>
  <si>
    <t>Female Rod Eye 1 1/2-12</t>
  </si>
  <si>
    <t>Female Rod Eye 1 1/4-12</t>
  </si>
  <si>
    <t>Rod</t>
  </si>
  <si>
    <t>Mount</t>
  </si>
  <si>
    <t>KHPV25</t>
  </si>
  <si>
    <t>5 3/4-12</t>
  </si>
  <si>
    <t>List</t>
  </si>
  <si>
    <t>KAP32</t>
  </si>
  <si>
    <t>"VA" Valve Actuator Cylinders Series</t>
  </si>
  <si>
    <t>Jam Nut 7/8-14</t>
  </si>
  <si>
    <t>Centerline Lug</t>
  </si>
  <si>
    <t>Rod Clevis 1 1/4-12</t>
  </si>
  <si>
    <t>RC075</t>
  </si>
  <si>
    <t>KARV06</t>
  </si>
  <si>
    <t>KARV10</t>
  </si>
  <si>
    <t>KARV13</t>
  </si>
  <si>
    <t>KARV17</t>
  </si>
  <si>
    <t>Single Rod Add Per Inch</t>
  </si>
  <si>
    <t>CB300</t>
  </si>
  <si>
    <t>KHPV120</t>
  </si>
  <si>
    <t>KHPV140</t>
  </si>
  <si>
    <t>ME150</t>
  </si>
  <si>
    <t>ME175</t>
  </si>
  <si>
    <t>Air Rod Nitrile Seal Kit</t>
  </si>
  <si>
    <t>EB275</t>
  </si>
  <si>
    <t>KHP70</t>
  </si>
  <si>
    <t>1 1.4-12</t>
  </si>
  <si>
    <t>KHP25</t>
  </si>
  <si>
    <t>KHP15</t>
  </si>
  <si>
    <t>Extra Ports</t>
  </si>
  <si>
    <t>RS300</t>
  </si>
  <si>
    <t>RS325</t>
  </si>
  <si>
    <t>SC550</t>
  </si>
  <si>
    <t>Self-Aligning Male Eye 1-14</t>
  </si>
  <si>
    <t>PP200S</t>
  </si>
  <si>
    <t>FE350</t>
  </si>
  <si>
    <t/>
  </si>
  <si>
    <t>RC125</t>
  </si>
  <si>
    <t>RC150</t>
  </si>
  <si>
    <t>RC175</t>
  </si>
  <si>
    <t>Extra Rod Per "</t>
  </si>
  <si>
    <t>AC175</t>
  </si>
  <si>
    <t>KHP200</t>
  </si>
  <si>
    <t>KHP120</t>
  </si>
  <si>
    <t>Thread Extension</t>
  </si>
  <si>
    <t>KHG100</t>
  </si>
  <si>
    <t>KHGV70</t>
  </si>
  <si>
    <t>KHGV80</t>
  </si>
  <si>
    <t>KHGV100</t>
  </si>
  <si>
    <t>KHP140</t>
  </si>
  <si>
    <t>KHP160</t>
  </si>
  <si>
    <t>KHP180</t>
  </si>
  <si>
    <t>MH</t>
  </si>
  <si>
    <t>KK</t>
  </si>
  <si>
    <t>SCB044</t>
  </si>
  <si>
    <t>SA - Clevis Bracket</t>
  </si>
  <si>
    <t>CIPR</t>
  </si>
  <si>
    <t>Female Rod Eye 7/16-20</t>
  </si>
  <si>
    <t>Rod Eye</t>
  </si>
  <si>
    <t>Single Rod Viton Seals</t>
  </si>
  <si>
    <t>KAP40</t>
  </si>
  <si>
    <t>WP550</t>
  </si>
  <si>
    <t>Clevis Bracket 1/2</t>
  </si>
  <si>
    <t>CUSHION</t>
  </si>
  <si>
    <t>PER</t>
  </si>
  <si>
    <t>KARV25</t>
  </si>
  <si>
    <t>SC300</t>
  </si>
  <si>
    <t>AC150</t>
  </si>
  <si>
    <t>PP138S</t>
  </si>
  <si>
    <t>Clevis Bracket 1</t>
  </si>
  <si>
    <t>PP100SA</t>
  </si>
  <si>
    <t>Boss Port</t>
  </si>
  <si>
    <t>AC125</t>
  </si>
  <si>
    <t>Special</t>
  </si>
  <si>
    <t>Clevis Bracket 1 3/4</t>
  </si>
  <si>
    <t>Rod Clevis</t>
  </si>
  <si>
    <t>NC</t>
  </si>
  <si>
    <t>3 1/4-12</t>
  </si>
  <si>
    <t>SA - Clevis Bracket 1 1/2-12</t>
  </si>
  <si>
    <t>Series "A" High Pressure Pneumatic Cylinders</t>
  </si>
  <si>
    <t>air bleed</t>
  </si>
  <si>
    <t>Buna N Seals</t>
  </si>
  <si>
    <t>Prepped for Transducer</t>
  </si>
  <si>
    <t>SCB075</t>
  </si>
  <si>
    <t>MT4</t>
  </si>
  <si>
    <t>Phone</t>
  </si>
  <si>
    <t>-</t>
  </si>
  <si>
    <t>PP250</t>
  </si>
  <si>
    <t>25"-36"</t>
  </si>
  <si>
    <t>37"-48"</t>
  </si>
  <si>
    <t>49"-60"</t>
  </si>
  <si>
    <t>61"-72"</t>
  </si>
  <si>
    <t>CB100</t>
  </si>
  <si>
    <t>KHR70</t>
  </si>
  <si>
    <t>KHR80</t>
  </si>
  <si>
    <t>KHR100</t>
  </si>
  <si>
    <t>MX2</t>
  </si>
  <si>
    <t>9 1/2-12</t>
  </si>
  <si>
    <t>KHR13</t>
  </si>
  <si>
    <t>KAG25</t>
  </si>
  <si>
    <t>KARV20</t>
  </si>
  <si>
    <t>Rod Clevis 2 3/4-12</t>
  </si>
  <si>
    <t>KAPV32</t>
  </si>
  <si>
    <t>CB200</t>
  </si>
  <si>
    <t>Self-Aligning Male Eye 1 1/4-12</t>
  </si>
  <si>
    <t>Special Options</t>
  </si>
  <si>
    <t>MF2</t>
  </si>
  <si>
    <t>MS4</t>
  </si>
  <si>
    <t>MX0</t>
  </si>
  <si>
    <t>MP1</t>
  </si>
  <si>
    <t>KAG06</t>
  </si>
  <si>
    <t>Rod Clevis 1/2-20</t>
  </si>
  <si>
    <t>SA - Clevis Bracket 7/16-20</t>
  </si>
  <si>
    <t>KAR06</t>
  </si>
  <si>
    <t>RC100</t>
  </si>
  <si>
    <t>KHG20</t>
  </si>
  <si>
    <t>Stainless Steel Rod Base</t>
  </si>
  <si>
    <t>KAG17</t>
  </si>
  <si>
    <t>PP175S</t>
  </si>
  <si>
    <t>JN150</t>
  </si>
  <si>
    <t>Recommended Cylinder Repair Components</t>
  </si>
  <si>
    <t>/</t>
  </si>
  <si>
    <t>Alignment Coupler 1 1/2-12</t>
  </si>
  <si>
    <t>Alignment Coupler 1/2-20</t>
  </si>
  <si>
    <t>KAGV06</t>
  </si>
  <si>
    <t>KHR20</t>
  </si>
  <si>
    <t>KAG13</t>
  </si>
  <si>
    <t>MS2</t>
  </si>
  <si>
    <t>PP100S</t>
  </si>
  <si>
    <t>PP175</t>
  </si>
  <si>
    <t>PP200</t>
  </si>
  <si>
    <t>Head Flange</t>
  </si>
  <si>
    <t>ME6</t>
  </si>
  <si>
    <t>Cap Flange</t>
  </si>
  <si>
    <t>Jam Nut 1/2-20</t>
  </si>
  <si>
    <t>Cushion Base</t>
  </si>
  <si>
    <t>PP100</t>
  </si>
  <si>
    <t>Y</t>
  </si>
  <si>
    <t>Weight at Zero Stroke</t>
  </si>
  <si>
    <t>KAP15</t>
  </si>
  <si>
    <t>Male Rod Eye 1 7/8-12</t>
  </si>
  <si>
    <t>EB225</t>
  </si>
  <si>
    <t>KAG30</t>
  </si>
  <si>
    <t>KAP60</t>
  </si>
  <si>
    <t>KAPV60</t>
  </si>
  <si>
    <t>EB400</t>
  </si>
  <si>
    <t>EB200</t>
  </si>
  <si>
    <t>Male Rod Eye 3/4-16</t>
  </si>
  <si>
    <t>3-12</t>
  </si>
  <si>
    <t>FE050</t>
  </si>
  <si>
    <t>FE075</t>
  </si>
  <si>
    <t>Alignment Coupler 3/4-16</t>
  </si>
  <si>
    <t>Fax</t>
  </si>
  <si>
    <t>KAGV40</t>
  </si>
  <si>
    <t>MS1</t>
  </si>
  <si>
    <t>Rect Head Flange</t>
  </si>
  <si>
    <t>Single Rod Add Per "</t>
  </si>
  <si>
    <t>Rod Dia.</t>
  </si>
  <si>
    <t>PISTON &amp; ROD ASSEMBLY</t>
  </si>
  <si>
    <t>Series "H" High Pressure Hydraulic Cylinders Common Modifications</t>
  </si>
  <si>
    <t>Series "A" High Pressure Pneumatic Cylinders Common Modifications</t>
  </si>
  <si>
    <t>KHR45</t>
  </si>
  <si>
    <t>Rod Stud</t>
  </si>
  <si>
    <t>KHPV15</t>
  </si>
  <si>
    <t>Series "H" High Pressure Hydraulic Cylinders Accessories &amp; Mountings</t>
  </si>
  <si>
    <t>Prox Switch</t>
  </si>
  <si>
    <t>Foot Lug</t>
  </si>
  <si>
    <t>7/8-14</t>
  </si>
  <si>
    <t>Retainer</t>
  </si>
  <si>
    <t>Includes:</t>
  </si>
  <si>
    <t>KAPV25</t>
  </si>
  <si>
    <t>Address:</t>
  </si>
  <si>
    <t>Oversize Dim. "CC" Rod Thread Style 2 Male</t>
  </si>
  <si>
    <t>EB325</t>
  </si>
  <si>
    <t>PP050S</t>
  </si>
  <si>
    <t>PP075S</t>
  </si>
  <si>
    <t>KAP20</t>
  </si>
  <si>
    <t>Retract</t>
  </si>
  <si>
    <t>Force</t>
  </si>
  <si>
    <t>Rod Clevis 7/16-20</t>
  </si>
  <si>
    <t>EB100</t>
  </si>
  <si>
    <t>Attn:</t>
  </si>
  <si>
    <t>KHRV30</t>
  </si>
  <si>
    <t>KHRV35</t>
  </si>
  <si>
    <t>KHRV40</t>
  </si>
  <si>
    <t>Stainless Steel Rod Add per "</t>
  </si>
  <si>
    <t>xi</t>
  </si>
  <si>
    <t xml:space="preserve">Bore Size </t>
  </si>
  <si>
    <t>Rod Stud 7/16-20</t>
  </si>
  <si>
    <t>*Orders of $25K + are subject to JIT Progress Payment Terms</t>
  </si>
  <si>
    <t>Barrel Addition</t>
  </si>
  <si>
    <t>Lifting Eye</t>
  </si>
  <si>
    <t>WP062</t>
  </si>
  <si>
    <t>Bore</t>
  </si>
  <si>
    <t>Series</t>
  </si>
  <si>
    <t>Dim. "KK" Rod Thread Style 1 Male or 3 Female</t>
  </si>
  <si>
    <t>Fixed Cap Clevis</t>
  </si>
  <si>
    <t>SAE044</t>
  </si>
  <si>
    <t>Dim. "KK" Std Male-Female</t>
  </si>
  <si>
    <t>Cushions</t>
  </si>
  <si>
    <t>Stop Tube "</t>
  </si>
  <si>
    <t>Rod Clevis 3 1/2-12</t>
  </si>
  <si>
    <t>Per "</t>
  </si>
  <si>
    <t>KAGV20</t>
  </si>
  <si>
    <t>5 1/2-12</t>
  </si>
  <si>
    <t>5-12</t>
  </si>
  <si>
    <t>Female Rod Eye 1-14</t>
  </si>
  <si>
    <t>Jam Nut 1-14</t>
  </si>
  <si>
    <t>KHP32</t>
  </si>
  <si>
    <t>SC250</t>
  </si>
  <si>
    <t>Square Cap Flange</t>
  </si>
  <si>
    <t>MP2</t>
  </si>
  <si>
    <t>WP100</t>
  </si>
  <si>
    <t>KHPV50</t>
  </si>
  <si>
    <t>RC250</t>
  </si>
  <si>
    <t>Bore Size</t>
  </si>
  <si>
    <t>Rod Clevis 2 1/2-12</t>
  </si>
  <si>
    <t>SC062</t>
  </si>
  <si>
    <t>KHPV60</t>
  </si>
  <si>
    <t>Dia.</t>
  </si>
  <si>
    <t>p&amp;a</t>
  </si>
  <si>
    <t>3 3/4-12</t>
  </si>
  <si>
    <t>4 1/4-12</t>
  </si>
  <si>
    <t>Per In.</t>
  </si>
  <si>
    <t>Brass Wiper</t>
  </si>
  <si>
    <t>KHR25</t>
  </si>
  <si>
    <t>KHR30</t>
  </si>
  <si>
    <t>RS100</t>
  </si>
  <si>
    <t>Seals</t>
  </si>
  <si>
    <t>Rod Stud 1 1/2-12</t>
  </si>
  <si>
    <t>Rod Stud 1 7/8-12</t>
  </si>
  <si>
    <t>Light Duty Mill</t>
  </si>
  <si>
    <t>HM</t>
  </si>
  <si>
    <t>PP350</t>
  </si>
  <si>
    <t>KHG10</t>
  </si>
  <si>
    <t>KHG13</t>
  </si>
  <si>
    <t>Clevis Bracket</t>
  </si>
  <si>
    <t>Valve Manifold</t>
  </si>
  <si>
    <t>EB250</t>
  </si>
  <si>
    <t>SC350</t>
  </si>
  <si>
    <t>KHRV70</t>
  </si>
  <si>
    <t>6 1/2-12</t>
  </si>
  <si>
    <t>Flange Port</t>
  </si>
  <si>
    <t>1"-12"</t>
  </si>
  <si>
    <t>Weight per Inch of Stroke</t>
  </si>
  <si>
    <t>Company</t>
  </si>
  <si>
    <t>JN050</t>
  </si>
  <si>
    <t>JIT Cylinders Price List</t>
  </si>
  <si>
    <t>SCB125</t>
  </si>
  <si>
    <t>Female Rod Eye 7/8-14</t>
  </si>
  <si>
    <t>KHP80</t>
  </si>
  <si>
    <t>PP050</t>
  </si>
  <si>
    <t>KAG10</t>
  </si>
  <si>
    <t>Thread Size</t>
  </si>
  <si>
    <t>KARV35</t>
  </si>
  <si>
    <t>SC500</t>
  </si>
  <si>
    <t>MF6</t>
  </si>
  <si>
    <t>Hyd Rod Poly Seal Kit</t>
  </si>
  <si>
    <t>KHRV45</t>
  </si>
  <si>
    <t>EB087</t>
  </si>
  <si>
    <t>Slotted</t>
  </si>
  <si>
    <t>Angle Foot</t>
  </si>
  <si>
    <t>Extended Head End</t>
  </si>
  <si>
    <t>ME5</t>
  </si>
  <si>
    <t>AC100</t>
  </si>
  <si>
    <t>Male Rod Eye 1 3/4-12</t>
  </si>
  <si>
    <t>KHGV30</t>
  </si>
  <si>
    <t>Viton Seal</t>
  </si>
  <si>
    <t>Jam Nut 1 1/4-12</t>
  </si>
  <si>
    <t>Jam Nut 1 3/4-12</t>
  </si>
  <si>
    <t>4 3/4-12</t>
  </si>
  <si>
    <t>KHP20</t>
  </si>
  <si>
    <t>Square Head Flange</t>
  </si>
  <si>
    <t>KAR17</t>
  </si>
  <si>
    <t>13"-24"</t>
  </si>
  <si>
    <t>SC138</t>
  </si>
  <si>
    <t>Charges for Commom Modifications</t>
  </si>
  <si>
    <t>Rod Stud 2 1/2-12</t>
  </si>
  <si>
    <t>Extra Tie Rod per "</t>
  </si>
  <si>
    <t>VA</t>
  </si>
  <si>
    <t>MP3</t>
  </si>
  <si>
    <t>KHPV80</t>
  </si>
  <si>
    <t>MT1</t>
  </si>
  <si>
    <t>73"-84"</t>
  </si>
  <si>
    <t>85"-96"</t>
  </si>
  <si>
    <t>SA - Clevis Bracket 1-14</t>
  </si>
  <si>
    <t>KAGV10</t>
  </si>
  <si>
    <t>RC187</t>
  </si>
  <si>
    <t>RC225</t>
  </si>
  <si>
    <t>RC275</t>
  </si>
  <si>
    <t>RC325</t>
  </si>
  <si>
    <t>B</t>
  </si>
  <si>
    <t>R</t>
  </si>
  <si>
    <t>G</t>
  </si>
  <si>
    <t>Std Rod Boot</t>
  </si>
  <si>
    <t>Female Rod Eye 2 3/4-12</t>
  </si>
  <si>
    <t>1 1/2-12</t>
  </si>
  <si>
    <t>RS044</t>
  </si>
  <si>
    <t>KAG40</t>
  </si>
  <si>
    <t>Stroke</t>
  </si>
  <si>
    <t>H</t>
  </si>
  <si>
    <t>Standard</t>
  </si>
  <si>
    <t>MS3 MP2 ME3  ME4</t>
  </si>
  <si>
    <t>A Series Cylinder Weight Chart</t>
  </si>
  <si>
    <t>MP1 MP3 MT1 MT2 MF5 MF6 MS2 ME3 ME4</t>
  </si>
  <si>
    <t>MX0 MX1 MX2 MX3</t>
  </si>
  <si>
    <t>MF1</t>
  </si>
  <si>
    <t>Hyd Gland Poly Seal Kit</t>
  </si>
  <si>
    <t>Address</t>
  </si>
  <si>
    <t>KHG40</t>
  </si>
  <si>
    <t>KHGV06</t>
  </si>
  <si>
    <t>SAE187</t>
  </si>
  <si>
    <t>Rod Clevis 1-14</t>
  </si>
  <si>
    <t>Must copy and paste value to work.</t>
  </si>
  <si>
    <t>PP138</t>
  </si>
  <si>
    <t>Rod Extension Per "</t>
  </si>
  <si>
    <t>Standard Rod Thread</t>
  </si>
  <si>
    <t>Alignment Coupler 1 7/8-12</t>
  </si>
  <si>
    <t>KAGV17</t>
  </si>
  <si>
    <t>Air Bleed / Non-Adjust Cushion</t>
  </si>
  <si>
    <t>Non-Cush Base</t>
  </si>
  <si>
    <t>RC087</t>
  </si>
  <si>
    <t>Ship Date</t>
  </si>
  <si>
    <t>KAR35</t>
  </si>
  <si>
    <t>KHGV40</t>
  </si>
  <si>
    <t>Hyd Gland Viton Seal Kit</t>
  </si>
  <si>
    <t>Add per Inch of Stroke</t>
  </si>
  <si>
    <t>Gland Drain</t>
  </si>
  <si>
    <t>Comment</t>
  </si>
  <si>
    <t>KHPV20</t>
  </si>
  <si>
    <t>WP175</t>
  </si>
  <si>
    <t>7 1/2-12</t>
  </si>
  <si>
    <t>3 1/2-12</t>
  </si>
  <si>
    <t>C</t>
  </si>
  <si>
    <t>JN300</t>
  </si>
  <si>
    <t>JN325</t>
  </si>
  <si>
    <t>Alignment Coupler 2 1/2</t>
  </si>
  <si>
    <t>BASE</t>
  </si>
  <si>
    <t>INCH</t>
  </si>
  <si>
    <t>AC043</t>
  </si>
  <si>
    <t>AC087</t>
  </si>
  <si>
    <t>Male Rod Eye 1 1/4-12</t>
  </si>
  <si>
    <t>WF</t>
  </si>
  <si>
    <t>Female Rod Eye 2 1/4-12</t>
  </si>
  <si>
    <t>KAPV20</t>
  </si>
  <si>
    <t>Rod Stud 1/2-20</t>
  </si>
  <si>
    <t>Add For Cushion Per End</t>
  </si>
  <si>
    <t>MT2</t>
  </si>
  <si>
    <t>Chromed Bore</t>
  </si>
  <si>
    <t>x</t>
  </si>
  <si>
    <t>KHRV20</t>
  </si>
  <si>
    <t>SCB187</t>
  </si>
  <si>
    <t>KAG35</t>
  </si>
  <si>
    <t>Female</t>
  </si>
  <si>
    <t>Eye Bracket</t>
  </si>
  <si>
    <t>Female Rod Eye 3 1/4-12</t>
  </si>
  <si>
    <t>KHG45</t>
  </si>
  <si>
    <t>KHGV45</t>
  </si>
  <si>
    <t>EB138</t>
  </si>
  <si>
    <t>PP075SA</t>
  </si>
  <si>
    <t>K</t>
  </si>
  <si>
    <t>L</t>
  </si>
  <si>
    <t>U</t>
  </si>
  <si>
    <t>W</t>
  </si>
  <si>
    <t>KAPV140</t>
  </si>
  <si>
    <t>KHG70</t>
  </si>
  <si>
    <t>Jam Nut 3/4-16</t>
  </si>
  <si>
    <t>KARV30</t>
  </si>
  <si>
    <t>Tie Rod Support</t>
  </si>
  <si>
    <t>Pivot Eye</t>
  </si>
  <si>
    <t>CB350</t>
  </si>
  <si>
    <t>All Tie Rod Mounts</t>
  </si>
  <si>
    <t>F</t>
  </si>
  <si>
    <t>Rod Clevis 1 7/8-12</t>
  </si>
  <si>
    <t>CB087</t>
  </si>
  <si>
    <t>Air Piston Nitrile Seal Kit</t>
  </si>
  <si>
    <t>ME125</t>
  </si>
  <si>
    <t>1 3/4-12</t>
  </si>
  <si>
    <t>MPU3</t>
  </si>
  <si>
    <t>Self Aligning Eye</t>
  </si>
  <si>
    <t>AC044</t>
  </si>
  <si>
    <t>Oversize Rod Thread</t>
  </si>
  <si>
    <t>7/16-20</t>
  </si>
  <si>
    <t>EB187</t>
  </si>
  <si>
    <t>KAG20</t>
  </si>
  <si>
    <t>ME187</t>
  </si>
  <si>
    <t>WP400</t>
  </si>
  <si>
    <t>RS087</t>
  </si>
  <si>
    <t>7 1/4-12</t>
  </si>
  <si>
    <t>MS3 MP2 ME3  ME4 MT4 MPU3 MS7</t>
  </si>
  <si>
    <t>Rod Gland Drain</t>
  </si>
  <si>
    <t>Single Rod Add Per " of Stroke</t>
  </si>
  <si>
    <t>Extra Rod Thread per Inch</t>
  </si>
  <si>
    <t>Extra Rod Extension per Inch</t>
  </si>
  <si>
    <t>1 7/8-12</t>
  </si>
  <si>
    <t>Jam Nut 7/16-20</t>
  </si>
  <si>
    <t>KAGV35</t>
  </si>
  <si>
    <t>CB125</t>
  </si>
  <si>
    <t>SA - Clevis Bracket 1 1/4-12</t>
  </si>
  <si>
    <t>KAGV30</t>
  </si>
  <si>
    <t>KHR40</t>
  </si>
  <si>
    <t>Extra Tie Rod</t>
  </si>
  <si>
    <t>Rod Ext Per "</t>
  </si>
  <si>
    <t>CB275</t>
  </si>
  <si>
    <t>CB325</t>
  </si>
  <si>
    <t>Hyd Piston Poly Seal Kit</t>
  </si>
  <si>
    <t>Alignment Coupler</t>
  </si>
  <si>
    <t>Rod Dia.  "</t>
  </si>
  <si>
    <t>Bore Size  "</t>
  </si>
  <si>
    <t>Female Rod Eye 1 3/4-12</t>
  </si>
  <si>
    <t>Model Code</t>
  </si>
  <si>
    <t>Hyd Piston Viton Seal Kit</t>
  </si>
  <si>
    <t>AC225</t>
  </si>
  <si>
    <t>AC250</t>
  </si>
  <si>
    <t>KHGV10</t>
  </si>
  <si>
    <t>5/8"</t>
  </si>
  <si>
    <t>KAPV15</t>
  </si>
  <si>
    <t>KARV40</t>
  </si>
  <si>
    <t>KHG80</t>
  </si>
  <si>
    <t>Air Gland Viton Seal Kit</t>
  </si>
  <si>
    <t>LH</t>
  </si>
  <si>
    <t>Self-Aligning Male Eye</t>
  </si>
  <si>
    <t>KAPV80</t>
  </si>
  <si>
    <t>Cap Trunnion</t>
  </si>
  <si>
    <t>FOB</t>
  </si>
  <si>
    <t>Terms</t>
  </si>
  <si>
    <t>Date</t>
  </si>
  <si>
    <t>EB050</t>
  </si>
  <si>
    <t xml:space="preserve"> </t>
  </si>
  <si>
    <t>Per Inch</t>
  </si>
  <si>
    <t>Cushion</t>
  </si>
  <si>
    <t>T</t>
  </si>
  <si>
    <t>Male Rod Eye 7/8-14</t>
  </si>
  <si>
    <t>Flange Ports</t>
  </si>
  <si>
    <t>CB150</t>
  </si>
  <si>
    <t>Rod Clevis 2 1/4-12</t>
  </si>
  <si>
    <t>Jam Nut 2 1/2</t>
  </si>
  <si>
    <t>SAE100</t>
  </si>
  <si>
    <t>Self-Aligning Male Eye 1 7/8-12</t>
  </si>
  <si>
    <t>CB138</t>
  </si>
  <si>
    <t>EB300</t>
  </si>
  <si>
    <t>EB350</t>
  </si>
  <si>
    <t>Accessories</t>
  </si>
  <si>
    <t>Male Rod Eye 1 1/2-12</t>
  </si>
  <si>
    <t>KHPV70</t>
  </si>
  <si>
    <t>Stop Tube</t>
  </si>
  <si>
    <t>Total</t>
  </si>
  <si>
    <t>Extra Thread</t>
  </si>
  <si>
    <t>KHG50</t>
  </si>
  <si>
    <t>KHG55</t>
  </si>
  <si>
    <t>KHGV50</t>
  </si>
  <si>
    <t>KHGV55</t>
  </si>
  <si>
    <t>ME3</t>
  </si>
  <si>
    <t>Full Head Flange</t>
  </si>
  <si>
    <t>JN187</t>
  </si>
  <si>
    <t>JN075</t>
  </si>
  <si>
    <t>SCB050</t>
  </si>
  <si>
    <t>KAR20</t>
  </si>
  <si>
    <t>KAR25</t>
  </si>
  <si>
    <t>PP175SA</t>
  </si>
  <si>
    <t>PP200SA</t>
  </si>
  <si>
    <t>1"</t>
  </si>
  <si>
    <t>SA - Clevis Bracket 1/2</t>
  </si>
  <si>
    <t>Female Rod Eye 1 7/8-12</t>
  </si>
  <si>
    <t>Female Rod Eye 1/2-20</t>
  </si>
  <si>
    <t>Piston &amp; Rod Assembly</t>
  </si>
  <si>
    <t>Male Rod Eye 2 1/4-12</t>
  </si>
  <si>
    <t>Sensors</t>
  </si>
  <si>
    <t>RC044</t>
  </si>
  <si>
    <t>SC100</t>
  </si>
  <si>
    <t>Weld Plate</t>
  </si>
  <si>
    <t>KAGV25</t>
  </si>
  <si>
    <t>JN250</t>
  </si>
  <si>
    <t>Piston</t>
  </si>
  <si>
    <t>SAE125</t>
  </si>
  <si>
    <t>Jam Nut</t>
  </si>
  <si>
    <t>SS Rod</t>
  </si>
  <si>
    <t>Self-Aligning Male Eye 7/16-20</t>
  </si>
  <si>
    <t>Male Rod Eye 1/2-20</t>
  </si>
  <si>
    <t>Clevis Bracket 3</t>
  </si>
  <si>
    <t>Jam Nut 1 7/8-12</t>
  </si>
  <si>
    <t>KAR30</t>
  </si>
  <si>
    <t>WP200</t>
  </si>
  <si>
    <t>WP250</t>
  </si>
  <si>
    <t>WP300</t>
  </si>
  <si>
    <t>Position Sensing Modifications Options</t>
  </si>
  <si>
    <t>KHPV200</t>
  </si>
  <si>
    <t>WP350</t>
  </si>
  <si>
    <t>FE400</t>
  </si>
  <si>
    <t>KAP70</t>
  </si>
  <si>
    <t>Female Rod Eye 3 1/2-12</t>
  </si>
  <si>
    <t>Head Trunnion</t>
  </si>
  <si>
    <t>Safety Coupler</t>
  </si>
  <si>
    <t>Rod Stud 3/4-16</t>
  </si>
  <si>
    <t>Rod Additon</t>
  </si>
  <si>
    <t>KAP100</t>
  </si>
  <si>
    <t>2 1/4-12</t>
  </si>
  <si>
    <t>2 1/2-12</t>
  </si>
  <si>
    <t>KHPV160</t>
  </si>
  <si>
    <t>KHPV180</t>
  </si>
  <si>
    <t>KHRV50</t>
  </si>
  <si>
    <t>Female Rod Eye 2 1/2-12</t>
  </si>
  <si>
    <t>Female Rod Eye 3/4-16</t>
  </si>
  <si>
    <t>AC187</t>
  </si>
  <si>
    <t>Rod Clevis 3/4-16</t>
  </si>
  <si>
    <t>Self-Aligning Male Eye 1 1/2-12</t>
  </si>
  <si>
    <t>Extra Port per Port</t>
  </si>
  <si>
    <t>Description</t>
  </si>
  <si>
    <t>Rod Clevis 4-12</t>
  </si>
  <si>
    <t>Alignment Coupler 1 3/4-12</t>
  </si>
  <si>
    <t>Clevis Bracket 3/4</t>
  </si>
  <si>
    <t>No Mount</t>
  </si>
  <si>
    <t>AC075</t>
  </si>
  <si>
    <t>M</t>
  </si>
  <si>
    <t>SC175</t>
  </si>
  <si>
    <t>SC200</t>
  </si>
  <si>
    <t>SAE075</t>
  </si>
  <si>
    <t>Extend</t>
  </si>
  <si>
    <t>Rod Style</t>
  </si>
  <si>
    <t>PP138SA</t>
  </si>
  <si>
    <t>Cost</t>
  </si>
  <si>
    <t>KAP25</t>
  </si>
  <si>
    <t>a</t>
  </si>
  <si>
    <t>h</t>
  </si>
  <si>
    <t>ME100</t>
  </si>
  <si>
    <t>ME250</t>
  </si>
  <si>
    <t>Jam Nut 1 1/2-12</t>
  </si>
  <si>
    <t>Male Rod Eye 7/16-20</t>
  </si>
  <si>
    <t>KHR50</t>
  </si>
  <si>
    <t>Female Rod Eye 4-12</t>
  </si>
  <si>
    <t>n/a</t>
  </si>
  <si>
    <t>Tie Rod Addition</t>
  </si>
  <si>
    <t>Alignment Coupler 2 1/4</t>
  </si>
  <si>
    <t>FE250</t>
  </si>
  <si>
    <t>FE275</t>
  </si>
  <si>
    <t>FE325</t>
  </si>
  <si>
    <t>City, State, Zip</t>
  </si>
  <si>
    <t>CB187</t>
  </si>
  <si>
    <t>CB225</t>
  </si>
  <si>
    <t>PP300</t>
  </si>
  <si>
    <t>EB175</t>
  </si>
  <si>
    <t>Rod Size (")</t>
  </si>
  <si>
    <t>Extra Port</t>
  </si>
  <si>
    <t>KHRL70</t>
  </si>
  <si>
    <t>KHRL80</t>
  </si>
  <si>
    <t>KHRL100</t>
  </si>
  <si>
    <t>Hyd Rod Low Friction Seal Kit</t>
  </si>
  <si>
    <t>Hyd Rod HNBR Seal Kit</t>
  </si>
  <si>
    <t>KHRH06</t>
  </si>
  <si>
    <t>KHRH10</t>
  </si>
  <si>
    <t>KHRH13</t>
  </si>
  <si>
    <t>KHRH17</t>
  </si>
  <si>
    <t>KHRH20</t>
  </si>
  <si>
    <t>KHRH25</t>
  </si>
  <si>
    <t>KHRH30</t>
  </si>
  <si>
    <t>KHRH35</t>
  </si>
  <si>
    <t>KHRH40</t>
  </si>
  <si>
    <t>KHRH45</t>
  </si>
  <si>
    <t>KHRH50</t>
  </si>
  <si>
    <t>KHRH55</t>
  </si>
  <si>
    <t>KHRH70</t>
  </si>
  <si>
    <t>KHRH80</t>
  </si>
  <si>
    <t>KHRH100</t>
  </si>
  <si>
    <t>KARL06</t>
  </si>
  <si>
    <t>KARL10</t>
  </si>
  <si>
    <t>KARL13</t>
  </si>
  <si>
    <t>KARL17</t>
  </si>
  <si>
    <t>KARL20</t>
  </si>
  <si>
    <t>KARL25</t>
  </si>
  <si>
    <t>KARL30</t>
  </si>
  <si>
    <t>KARL35</t>
  </si>
  <si>
    <t>KARL40</t>
  </si>
  <si>
    <t>Air Rod Low Friction Seal Kit</t>
  </si>
  <si>
    <t>Air Piston Low Friction Seal Kit</t>
  </si>
  <si>
    <t>KAPL15</t>
  </si>
  <si>
    <t>KAPL20</t>
  </si>
  <si>
    <t>KAPL25</t>
  </si>
  <si>
    <t>KAPL32</t>
  </si>
  <si>
    <t>KAPL40</t>
  </si>
  <si>
    <t>KAPL50</t>
  </si>
  <si>
    <t>KAPL60</t>
  </si>
  <si>
    <t>KAPL70</t>
  </si>
  <si>
    <t>KAPL80</t>
  </si>
  <si>
    <t>KAPL100</t>
  </si>
  <si>
    <t>KAPL120</t>
  </si>
  <si>
    <t>KAPL140</t>
  </si>
  <si>
    <t>KAGH06</t>
  </si>
  <si>
    <t>KAGH10</t>
  </si>
  <si>
    <t>KAGH13</t>
  </si>
  <si>
    <t>KAGH17</t>
  </si>
  <si>
    <t>KAGH20</t>
  </si>
  <si>
    <t>KAGH25</t>
  </si>
  <si>
    <t>KAGH30</t>
  </si>
  <si>
    <t>KAGH35</t>
  </si>
  <si>
    <t>KAGH40</t>
  </si>
  <si>
    <t>Air Gland HNBR Seal Kit</t>
  </si>
  <si>
    <t>Air Piston HNBR Seal Kit</t>
  </si>
  <si>
    <t>KAPH15</t>
  </si>
  <si>
    <t>KAPH20</t>
  </si>
  <si>
    <t>KAPH25</t>
  </si>
  <si>
    <t>KAPH32</t>
  </si>
  <si>
    <t>KAPH40</t>
  </si>
  <si>
    <t>KAPH50</t>
  </si>
  <si>
    <t>KAPH60</t>
  </si>
  <si>
    <t>KAPH70</t>
  </si>
  <si>
    <t>KAPH80</t>
  </si>
  <si>
    <t>KAPH100</t>
  </si>
  <si>
    <t>KAPH120</t>
  </si>
  <si>
    <t>KAPH140</t>
  </si>
  <si>
    <t>Transducer</t>
  </si>
  <si>
    <t>KAPV50</t>
  </si>
  <si>
    <t>KHP50</t>
  </si>
  <si>
    <t>RC050</t>
  </si>
  <si>
    <t>Rod Clevis 1 1/2-12</t>
  </si>
  <si>
    <t>KAP50</t>
  </si>
  <si>
    <t>KAP80</t>
  </si>
  <si>
    <t>Stroke (")</t>
  </si>
  <si>
    <t>EB075</t>
  </si>
  <si>
    <t>SCB150</t>
  </si>
  <si>
    <t>WP450</t>
  </si>
  <si>
    <t>rod boot</t>
  </si>
  <si>
    <t>Rod Size</t>
  </si>
  <si>
    <t>KHR55</t>
  </si>
  <si>
    <t>Ports</t>
  </si>
  <si>
    <t>FE100</t>
  </si>
  <si>
    <t>FE125</t>
  </si>
  <si>
    <t>FE150</t>
  </si>
  <si>
    <t>FE175</t>
  </si>
  <si>
    <t>FE187</t>
  </si>
  <si>
    <t>FE225</t>
  </si>
  <si>
    <t>SCB100</t>
  </si>
  <si>
    <t>3/4-16</t>
  </si>
  <si>
    <t>1-14</t>
  </si>
  <si>
    <t>1 1/4-12</t>
  </si>
  <si>
    <t>KAR40</t>
  </si>
  <si>
    <t>2 3/4-12</t>
  </si>
  <si>
    <t>Male Rod Eye</t>
  </si>
  <si>
    <t>KHRV25</t>
  </si>
  <si>
    <t>Alignment Coupler 1 1/4-12</t>
  </si>
  <si>
    <t>Tie Rod Extension per "</t>
  </si>
  <si>
    <t>Male Rod Eye 1-14</t>
  </si>
  <si>
    <t>Weight</t>
  </si>
  <si>
    <t>Chrome Bore</t>
  </si>
  <si>
    <t>Barrels</t>
  </si>
  <si>
    <t>Air</t>
  </si>
  <si>
    <t>Hydraulic</t>
  </si>
  <si>
    <t>KHGL06</t>
  </si>
  <si>
    <t>KHGL10</t>
  </si>
  <si>
    <t>KHGL13</t>
  </si>
  <si>
    <t>KHGL17</t>
  </si>
  <si>
    <t>KHGL20</t>
  </si>
  <si>
    <t>KHGL25</t>
  </si>
  <si>
    <t>KHGL30</t>
  </si>
  <si>
    <t>KHGL35</t>
  </si>
  <si>
    <t>KHGL40</t>
  </si>
  <si>
    <t>KHGL45</t>
  </si>
  <si>
    <t>KHGL50</t>
  </si>
  <si>
    <t>KHGL55</t>
  </si>
  <si>
    <t>KHGL70</t>
  </si>
  <si>
    <t>KHGL80</t>
  </si>
  <si>
    <t>KHGL100</t>
  </si>
  <si>
    <t>KHGH06</t>
  </si>
  <si>
    <t>KHGH10</t>
  </si>
  <si>
    <t>KHGH13</t>
  </si>
  <si>
    <t>KHGH17</t>
  </si>
  <si>
    <t>KHGH20</t>
  </si>
  <si>
    <t>KHGH25</t>
  </si>
  <si>
    <t>KHGH30</t>
  </si>
  <si>
    <t>KHGH35</t>
  </si>
  <si>
    <t>KHGH40</t>
  </si>
  <si>
    <t>KHGH45</t>
  </si>
  <si>
    <t>KHGH50</t>
  </si>
  <si>
    <t>KHGH55</t>
  </si>
  <si>
    <t>KHGH70</t>
  </si>
  <si>
    <t>KHGH80</t>
  </si>
  <si>
    <t>KHGH100</t>
  </si>
  <si>
    <t>Hyd Gland Low Friction Seal Kit</t>
  </si>
  <si>
    <t>Hyd Gland HNBR Seal Kit</t>
  </si>
  <si>
    <t>Hyd Piston HNBR Seal Kit</t>
  </si>
  <si>
    <t>KHPH15</t>
  </si>
  <si>
    <t>KHPH20</t>
  </si>
  <si>
    <t>KHPH25</t>
  </si>
  <si>
    <t>KHPH32</t>
  </si>
  <si>
    <t>KHPH40</t>
  </si>
  <si>
    <t>KHPH50</t>
  </si>
  <si>
    <t>KHPH60</t>
  </si>
  <si>
    <t>KHPH70</t>
  </si>
  <si>
    <t>KHPH80</t>
  </si>
  <si>
    <t>KHPH100</t>
  </si>
  <si>
    <t>KHPH120</t>
  </si>
  <si>
    <t>KHPH140</t>
  </si>
  <si>
    <t>KHPH160</t>
  </si>
  <si>
    <t>KHPH180</t>
  </si>
  <si>
    <t>KHPH200</t>
  </si>
  <si>
    <t>Hyd Piston Low Friction Seal Kit</t>
  </si>
  <si>
    <t>KHPL15</t>
  </si>
  <si>
    <t>KHPL20</t>
  </si>
  <si>
    <t>KHPL25</t>
  </si>
  <si>
    <t>KHPL32</t>
  </si>
  <si>
    <t>KHPL40</t>
  </si>
  <si>
    <t>KHPL50</t>
  </si>
  <si>
    <t>KHPL60</t>
  </si>
  <si>
    <t>KHPL70</t>
  </si>
  <si>
    <t>KHPL80</t>
  </si>
  <si>
    <t>KHPL100</t>
  </si>
  <si>
    <t>KHPL140</t>
  </si>
  <si>
    <t>KHPL160</t>
  </si>
  <si>
    <t>KHPL180</t>
  </si>
  <si>
    <t>KHPL200</t>
  </si>
  <si>
    <t>Hyd Cast Iron Piston Seal Kit</t>
  </si>
  <si>
    <t>KHPC15</t>
  </si>
  <si>
    <t>KHPC20</t>
  </si>
  <si>
    <t>KHPC25</t>
  </si>
  <si>
    <t>KHPC32</t>
  </si>
  <si>
    <t>KHPC40</t>
  </si>
  <si>
    <t>KHPC50</t>
  </si>
  <si>
    <t>KHPC60</t>
  </si>
  <si>
    <t>KHPC70</t>
  </si>
  <si>
    <t>KHPC80</t>
  </si>
  <si>
    <t>KHPC100</t>
  </si>
  <si>
    <t>KHPC120</t>
  </si>
  <si>
    <t>KHPC140</t>
  </si>
  <si>
    <t>KHPC160</t>
  </si>
  <si>
    <t>KHPC180</t>
  </si>
  <si>
    <t>KHPC200</t>
  </si>
  <si>
    <t>KHRL06</t>
  </si>
  <si>
    <t>KHRL10</t>
  </si>
  <si>
    <t>KHRL13</t>
  </si>
  <si>
    <t>KHRL17</t>
  </si>
  <si>
    <t>KHRL20</t>
  </si>
  <si>
    <t>KHRL25</t>
  </si>
  <si>
    <t>KHRL30</t>
  </si>
  <si>
    <t>KHRL35</t>
  </si>
  <si>
    <t>KHRL40</t>
  </si>
  <si>
    <t>KHRL45</t>
  </si>
  <si>
    <t>KHRL50</t>
  </si>
  <si>
    <t>KHRL55</t>
  </si>
  <si>
    <t xml:space="preserve">Rod Dia. </t>
  </si>
  <si>
    <t>3M - Decatur</t>
  </si>
  <si>
    <t>1400 State Docks Rd</t>
  </si>
  <si>
    <t>Decatur,AL 35609</t>
  </si>
  <si>
    <t>(256) 552-6075</t>
  </si>
  <si>
    <t>(256) 552-6257</t>
  </si>
  <si>
    <t>4-D Inc. - Midland</t>
  </si>
  <si>
    <t>426 River St</t>
  </si>
  <si>
    <t>Midland,MI 48640</t>
  </si>
  <si>
    <t>(517) 631-0400</t>
  </si>
  <si>
    <t>(517) 631-5070</t>
  </si>
  <si>
    <t>126 Lester Doss Rd</t>
  </si>
  <si>
    <t>Warrior, AL 35180</t>
  </si>
  <si>
    <t>205-590-4298</t>
  </si>
  <si>
    <t>205-590-2205</t>
  </si>
  <si>
    <t>POC: Allen Evans  205-862-7793</t>
  </si>
  <si>
    <t>809 E. Market Street</t>
  </si>
  <si>
    <t>Aberdeen, WA 98520</t>
  </si>
  <si>
    <t>405 Loomis Avenue</t>
  </si>
  <si>
    <t>Daytona Beach,FL 32114</t>
  </si>
  <si>
    <t>(386) 248-0501</t>
  </si>
  <si>
    <t>(386) 239-0203</t>
  </si>
  <si>
    <t>707 Schrader Dr #1</t>
  </si>
  <si>
    <t>Evansville,IN 47712</t>
  </si>
  <si>
    <t>(812) 428-3708</t>
  </si>
  <si>
    <t>919 Zelco Drive</t>
  </si>
  <si>
    <t>Burlington, Ontario L7L 4Y2</t>
  </si>
  <si>
    <t>101 Browder Lane</t>
  </si>
  <si>
    <t>Jeff,KY 41751</t>
  </si>
  <si>
    <t>(606) 476-8931</t>
  </si>
  <si>
    <t>A C Contech Group Inc - El Monte</t>
  </si>
  <si>
    <t>9550 Flair Dr #505</t>
  </si>
  <si>
    <t>El Monte,CA 91731</t>
  </si>
  <si>
    <t>(626) 350-3862</t>
  </si>
  <si>
    <t>A C Humko - Denver</t>
  </si>
  <si>
    <t>1485 E 61St Ave</t>
  </si>
  <si>
    <t>Denver,CO 80216</t>
  </si>
  <si>
    <t>(303) 287-3203</t>
  </si>
  <si>
    <t>A C Krebs Co - Louisville</t>
  </si>
  <si>
    <t>4000 Crittenden Dr</t>
  </si>
  <si>
    <t>Louisville,KY 40209</t>
  </si>
  <si>
    <t>(502) 367-6431</t>
  </si>
  <si>
    <t>A Duchini Inc - Erie</t>
  </si>
  <si>
    <t>5614 W Ridge Rd</t>
  </si>
  <si>
    <t>Erie,PA 16506</t>
  </si>
  <si>
    <t>(814) 835-0080</t>
  </si>
  <si>
    <t>2011 N Southport Ave</t>
  </si>
  <si>
    <t>Chicago,IL 60614</t>
  </si>
  <si>
    <t>(773) 975-2510</t>
  </si>
  <si>
    <t>(773) 348-5347</t>
  </si>
  <si>
    <t>A G Russell Co - Hartford</t>
  </si>
  <si>
    <t>140 Huyshope Ave</t>
  </si>
  <si>
    <t>Hartford,CT 06106</t>
  </si>
  <si>
    <t>(860) 247-9093</t>
  </si>
  <si>
    <t>(860) 247-2521</t>
  </si>
  <si>
    <t>300 Centerville Rd #300E</t>
  </si>
  <si>
    <t>Warwick,RI 02886</t>
  </si>
  <si>
    <t>(401) 736-2600</t>
  </si>
  <si>
    <t>A P Parts North American Oem - Toledo</t>
  </si>
  <si>
    <t>543 Matzinger Rd</t>
  </si>
  <si>
    <t>Toledo,OH 43612</t>
  </si>
  <si>
    <t>(419) 259-3362</t>
  </si>
  <si>
    <t>A V Detroit - Novi</t>
  </si>
  <si>
    <t>41144 Vincenti Ct</t>
  </si>
  <si>
    <t>Novi,MI 48375</t>
  </si>
  <si>
    <t>(248) 442-3320</t>
  </si>
  <si>
    <t>(248) 442-2304</t>
  </si>
  <si>
    <t>A&amp;L Hydraulics - Omaha</t>
  </si>
  <si>
    <t>4412 South 87Th Street</t>
  </si>
  <si>
    <t>Omaha,NE 68127</t>
  </si>
  <si>
    <t>(800) 642-8829</t>
  </si>
  <si>
    <t>(402) 339-0830</t>
  </si>
  <si>
    <t>A&amp;L Hydraulics - Souix Falls</t>
  </si>
  <si>
    <t xml:space="preserve">Souix Falls,SD </t>
  </si>
  <si>
    <t>(866) 280-3599</t>
  </si>
  <si>
    <t>(605) 335-1733</t>
  </si>
  <si>
    <t>66 Pleasant View Rd.</t>
  </si>
  <si>
    <t>Falkville, AL 35622</t>
  </si>
  <si>
    <t>256-260-3518</t>
  </si>
  <si>
    <t>Ronald Asherbranner - Home: 256-462-3210</t>
  </si>
  <si>
    <t>A-1 Hydraulics - Fort Worth, TX</t>
  </si>
  <si>
    <t>2327 Handley Ederville, Rd</t>
  </si>
  <si>
    <t>Fort Worth, TX 76118</t>
  </si>
  <si>
    <t>817-589-7101</t>
  </si>
  <si>
    <t>817-590-2823</t>
  </si>
  <si>
    <t>A-1 Hydrualic Sales - Little Canada</t>
  </si>
  <si>
    <t>3136 Country Dr</t>
  </si>
  <si>
    <t>Little Canada,MN 55117</t>
  </si>
  <si>
    <t>(800) 373-1062</t>
  </si>
  <si>
    <t>(651) 481-8007</t>
  </si>
  <si>
    <t>527 Signal Mountain Rd</t>
  </si>
  <si>
    <t>Chattanooga,TN 37405</t>
  </si>
  <si>
    <t>(423) 265-1963</t>
  </si>
  <si>
    <t>AA FLUID POWER SERVICES, INC.</t>
  </si>
  <si>
    <t>120 PARR STREET</t>
  </si>
  <si>
    <t>SUMITON, AL 35148</t>
  </si>
  <si>
    <t>205-648-7272</t>
  </si>
  <si>
    <t>205-648-7205</t>
  </si>
  <si>
    <t>AAA Industrial Supply</t>
  </si>
  <si>
    <t>1506 Nuview St.</t>
  </si>
  <si>
    <t>Lavergne, TN 37086</t>
  </si>
  <si>
    <t>30% off</t>
  </si>
  <si>
    <t>AAA Metal Inc.</t>
  </si>
  <si>
    <t>188 Cottonwood Mill Rd</t>
  </si>
  <si>
    <t>Tunnel Hill, GA 30255</t>
  </si>
  <si>
    <t>AAI Engineering Supply - Fort Mill</t>
  </si>
  <si>
    <t>P.O. Box 1899</t>
  </si>
  <si>
    <t>Fort Mill,SC 29716</t>
  </si>
  <si>
    <t>(610) 524-0500</t>
  </si>
  <si>
    <t>(610) 524-1900</t>
  </si>
  <si>
    <t>Aai/Acl Tech - Santa Ana</t>
  </si>
  <si>
    <t>Santa Ana,CA 92705</t>
  </si>
  <si>
    <t>AAP - St Marys</t>
  </si>
  <si>
    <t>1100 Mckinley Rd</t>
  </si>
  <si>
    <t>St Marys,OH 45885</t>
  </si>
  <si>
    <t>(419) 394-7840</t>
  </si>
  <si>
    <t>(419) 394-4776</t>
  </si>
  <si>
    <t>Aar Cadillac Mfg - Cadillac</t>
  </si>
  <si>
    <t>201 Haynes St</t>
  </si>
  <si>
    <t>Cadillac,MI 49601</t>
  </si>
  <si>
    <t>(231) 779-8800</t>
  </si>
  <si>
    <t>Abb Vetco Gray Inc - Houston</t>
  </si>
  <si>
    <t>12221 N Houston Rosslyn Rd</t>
  </si>
  <si>
    <t>Houston,TX 77086</t>
  </si>
  <si>
    <t>(281) 448-4410</t>
  </si>
  <si>
    <t>Abbeville Forest Products - Abbeville</t>
  </si>
  <si>
    <t>Rr 4 Box 67H</t>
  </si>
  <si>
    <t>Abbeville,AL 36310</t>
  </si>
  <si>
    <t>(334) 585-5566</t>
  </si>
  <si>
    <t>Abbott Inc - Troy</t>
  </si>
  <si>
    <t>3993 Highway 8 E</t>
  </si>
  <si>
    <t>Troy,ID 83871</t>
  </si>
  <si>
    <t>(208) 835-3270</t>
  </si>
  <si>
    <t>Abbott Laboratories - North Chicago</t>
  </si>
  <si>
    <t>100 Abbott Park Rd</t>
  </si>
  <si>
    <t>North Chicago,IL 60064</t>
  </si>
  <si>
    <t>(847) 937-6100</t>
  </si>
  <si>
    <t>Abby Land - Curtis</t>
  </si>
  <si>
    <t>Curtis,WI 54422</t>
  </si>
  <si>
    <t>ABC Coke - Tarrant</t>
  </si>
  <si>
    <t>Tarrant,AL 35217</t>
  </si>
  <si>
    <t>1424 Higgs Rd</t>
  </si>
  <si>
    <t>Lewisburg,TN 37091</t>
  </si>
  <si>
    <t>(931) 359-4287</t>
  </si>
  <si>
    <t>Abel Manufacturing Inc - Appleton</t>
  </si>
  <si>
    <t>1100 N Mayflower Dr</t>
  </si>
  <si>
    <t>Appleton,WI 54913</t>
  </si>
  <si>
    <t>(920) 734-4443</t>
  </si>
  <si>
    <t>Aberdeen Dynamics Supply Inc - Tulsa</t>
  </si>
  <si>
    <t>17717 E Admiral Pl</t>
  </si>
  <si>
    <t>Tulsa,OK 74116</t>
  </si>
  <si>
    <t>(918) 437-8000</t>
  </si>
  <si>
    <t>Aberdeen Machine Tool Inc - Aberdeen</t>
  </si>
  <si>
    <t>405 Commerce St</t>
  </si>
  <si>
    <t>Aberdeen,SD 57401</t>
  </si>
  <si>
    <t>(605) 229-3093</t>
  </si>
  <si>
    <t>Abex Corp - Salisbury</t>
  </si>
  <si>
    <t>3570 S Main St</t>
  </si>
  <si>
    <t>Salisbury,NC 28147</t>
  </si>
  <si>
    <t>(704) 637-2010</t>
  </si>
  <si>
    <t>ABIBOW US INC CALHOUN OPERATIONS</t>
  </si>
  <si>
    <t>5020 HIGHWAY 11 S</t>
  </si>
  <si>
    <t>CALHOUN, TN 37309-5248</t>
  </si>
  <si>
    <t>Abitibi Consolidated - Snowflake</t>
  </si>
  <si>
    <t>Snowflake,AZ 85937</t>
  </si>
  <si>
    <t>Able Machine Hydraulics - Taylors</t>
  </si>
  <si>
    <t>309 McConnell Road</t>
  </si>
  <si>
    <t>Taylors,SC 29687</t>
  </si>
  <si>
    <t>(864) 244-0893</t>
  </si>
  <si>
    <t>(864) 292-8418</t>
  </si>
  <si>
    <t>Able Supply - Montville</t>
  </si>
  <si>
    <t>Po Box 779</t>
  </si>
  <si>
    <t>Montville,NJ 07045</t>
  </si>
  <si>
    <t>(973) 402-6560</t>
  </si>
  <si>
    <t>Abm Intl Inc - Elk Grove Vlg</t>
  </si>
  <si>
    <t>211 Seegers Ave</t>
  </si>
  <si>
    <t>Elk Grove Vlg,IL 60007</t>
  </si>
  <si>
    <t>(847) 690-0011</t>
  </si>
  <si>
    <t>Absolute Machinery</t>
  </si>
  <si>
    <t>92 Gardner Street</t>
  </si>
  <si>
    <t>Worcester, MA 01610</t>
  </si>
  <si>
    <t>508-792-4305</t>
  </si>
  <si>
    <t>508-792-9646</t>
  </si>
  <si>
    <t>Abtco Inc - Middlebury</t>
  </si>
  <si>
    <t>219 Us Highway 20</t>
  </si>
  <si>
    <t>Middlebury,IN 46540</t>
  </si>
  <si>
    <t>(219) 825-5845</t>
  </si>
  <si>
    <t>A-C Valve Inc - Portland</t>
  </si>
  <si>
    <t>Portland,OR 97201</t>
  </si>
  <si>
    <t>(503) 226-2852</t>
  </si>
  <si>
    <t>2726 Toulouse Street</t>
  </si>
  <si>
    <t>New Orleans,LA 70119</t>
  </si>
  <si>
    <t>Accurate Tool Co - Gladwin</t>
  </si>
  <si>
    <t>4950 W M 61</t>
  </si>
  <si>
    <t>Gladwin,MI 48624</t>
  </si>
  <si>
    <t>(517) 426-4006</t>
  </si>
  <si>
    <t>Accurate Tooling - Rochester</t>
  </si>
  <si>
    <t>111 Ling Rd</t>
  </si>
  <si>
    <t>Rochester,NY 14612</t>
  </si>
  <si>
    <t>(716) 663-0940</t>
  </si>
  <si>
    <t>Accuride Corp - Henderson</t>
  </si>
  <si>
    <t>2315 Adams Ln</t>
  </si>
  <si>
    <t>Henderson,KY 42420</t>
  </si>
  <si>
    <t>(270) 826-5000</t>
  </si>
  <si>
    <t>2329 E Date Ave</t>
  </si>
  <si>
    <t>Fresno,CA 93706</t>
  </si>
  <si>
    <t>(559) 233-3248</t>
  </si>
  <si>
    <t>2901 Gibson St</t>
  </si>
  <si>
    <t>Bakersfield,CA 93308</t>
  </si>
  <si>
    <t>(661) 327-0571</t>
  </si>
  <si>
    <t>Ace Products Inc - Newport</t>
  </si>
  <si>
    <t>850 Industrial Rd</t>
  </si>
  <si>
    <t>Newport,TN 37821</t>
  </si>
  <si>
    <t>(423) 623-6025</t>
  </si>
  <si>
    <t>Acm Plastic Products - Sturgis</t>
  </si>
  <si>
    <t>507 Saint Joseph St</t>
  </si>
  <si>
    <t>Sturgis,MI 49091</t>
  </si>
  <si>
    <t>(616) 651-7888</t>
  </si>
  <si>
    <t>Acme Bldg Brands - Lubbock</t>
  </si>
  <si>
    <t>Lubbock,TX 79403</t>
  </si>
  <si>
    <t>130 Mayberry St</t>
  </si>
  <si>
    <t>Harriman,TN 37748</t>
  </si>
  <si>
    <t>(865) 882-9717</t>
  </si>
  <si>
    <t>Baton Rouge,LA 70805</t>
  </si>
  <si>
    <t>202 Trakas Blvd</t>
  </si>
  <si>
    <t>Gastonia,NC 28052</t>
  </si>
  <si>
    <t>(704) 864-8426</t>
  </si>
  <si>
    <t>Acme Machine - Spokane</t>
  </si>
  <si>
    <t>Spokane,WA 99212</t>
  </si>
  <si>
    <t>Old Evadale Hwy</t>
  </si>
  <si>
    <t>Silsbee,TX 77656</t>
  </si>
  <si>
    <t>(409) 386-0399</t>
  </si>
  <si>
    <t>Acme Steel - Chicago</t>
  </si>
  <si>
    <t xml:space="preserve">Chicago,IL </t>
  </si>
  <si>
    <t>Acme Steel - Riverdale</t>
  </si>
  <si>
    <t>13500 S Perry Ave #34</t>
  </si>
  <si>
    <t>Riverdale,IL 60827</t>
  </si>
  <si>
    <t>(708) 849-2500</t>
  </si>
  <si>
    <t>A-Cmi - Fruitport</t>
  </si>
  <si>
    <t>14638 Apple Dr</t>
  </si>
  <si>
    <t>Fruitport,MI 49415</t>
  </si>
  <si>
    <t>(616) 842-3500</t>
  </si>
  <si>
    <t>Acordis Industrial Fibers Inc - Scottsboro</t>
  </si>
  <si>
    <t>7526 Akzo Boulevard</t>
  </si>
  <si>
    <t>Scottsboro,AL 35769</t>
  </si>
  <si>
    <t>(256) 574-7200</t>
  </si>
  <si>
    <t>Acraloc - Oakridge</t>
  </si>
  <si>
    <t>Oakridge,TN 37830</t>
  </si>
  <si>
    <t>Acs Hydraulics - Euless</t>
  </si>
  <si>
    <t>Euless,TX 76040</t>
  </si>
  <si>
    <t>Acs Hydrualics - Eugene</t>
  </si>
  <si>
    <t>Eugene,OR 97402</t>
  </si>
  <si>
    <t>Acs International Sa - Laredo</t>
  </si>
  <si>
    <t>Laredo,TX 78041</t>
  </si>
  <si>
    <t>ACT Inc - Amory</t>
  </si>
  <si>
    <t>311 North Front Street</t>
  </si>
  <si>
    <t>Amory,MS 38821</t>
  </si>
  <si>
    <t>(662) 257-9952</t>
  </si>
  <si>
    <t>(662) 256-2119</t>
  </si>
  <si>
    <t>Action Fluid Power - Little Rock</t>
  </si>
  <si>
    <t>Little Rock,AR 72201</t>
  </si>
  <si>
    <t>(501) 224-5856</t>
  </si>
  <si>
    <t>Action Fluid Power - Memphis</t>
  </si>
  <si>
    <t>5284 East Raines Road</t>
  </si>
  <si>
    <t>Memphis,TN 38118</t>
  </si>
  <si>
    <t>(901) 794-0857</t>
  </si>
  <si>
    <t>Action Hydraulics - Houma</t>
  </si>
  <si>
    <t>Houma,LA 70363</t>
  </si>
  <si>
    <t>Action Hydraulics - St. Louis</t>
  </si>
  <si>
    <t>8420 Vulcan Street</t>
  </si>
  <si>
    <t>St. Louis,MO 63129</t>
  </si>
  <si>
    <t>(314) 631-9998</t>
  </si>
  <si>
    <t>(314) 631-8073</t>
  </si>
  <si>
    <t>Action Hydraulics - West Palm Beach</t>
  </si>
  <si>
    <t>7257 Westport Place</t>
  </si>
  <si>
    <t>West Palm Beach,FL 33413</t>
  </si>
  <si>
    <t>(561) 640-6066</t>
  </si>
  <si>
    <t>(561) 689-1245</t>
  </si>
  <si>
    <t>Action Industrial - Cedar Rapids</t>
  </si>
  <si>
    <t>4115 Thomas Dr Sw</t>
  </si>
  <si>
    <t>Cedar Rapids,IA 52404</t>
  </si>
  <si>
    <t>(319) 363-7822</t>
  </si>
  <si>
    <t>Action Supply Co - Sharon Hill</t>
  </si>
  <si>
    <t>Calcon Hook Rd</t>
  </si>
  <si>
    <t>Sharon Hill,PA 19079</t>
  </si>
  <si>
    <t>(610) 534-3110</t>
  </si>
  <si>
    <t>Active Gear - Seattle</t>
  </si>
  <si>
    <t>Seattle,WA 98108</t>
  </si>
  <si>
    <t>Active Inc. - Plainwell</t>
  </si>
  <si>
    <t>Plainwell,MI 49808</t>
  </si>
  <si>
    <t>ACV INC</t>
  </si>
  <si>
    <t>N90 W14683 Commerce Drive</t>
  </si>
  <si>
    <t>Menomonee Falls,WI 53051</t>
  </si>
  <si>
    <t>262-502-0100</t>
  </si>
  <si>
    <t>262-502-0200</t>
  </si>
  <si>
    <t>Ada Metal Products Inc - Lincolnwood</t>
  </si>
  <si>
    <t>3515 W Touhy Ave</t>
  </si>
  <si>
    <t>Lincolnwood,IL 60712</t>
  </si>
  <si>
    <t>(847) 673-1190</t>
  </si>
  <si>
    <t>Adams Air and Hydraulic - Tampa</t>
  </si>
  <si>
    <t>7209 East Adamo Drive</t>
  </si>
  <si>
    <t>Tampa,FL 33619</t>
  </si>
  <si>
    <t>(800) 282-4165</t>
  </si>
  <si>
    <t>(813) 626-7808</t>
  </si>
  <si>
    <t>Adams Building Materials</t>
  </si>
  <si>
    <t>16090 Flight Path Drive</t>
  </si>
  <si>
    <t>Brooksville,FL 34604</t>
  </si>
  <si>
    <t>201 RAGLAND ROAD</t>
  </si>
  <si>
    <t>COTTONTOWN, TN 37048</t>
  </si>
  <si>
    <t>615-325-5445</t>
  </si>
  <si>
    <t>615-325-5426</t>
  </si>
  <si>
    <t>Adams Products Co. - Morrisville</t>
  </si>
  <si>
    <t>Morrisville,NC 27560</t>
  </si>
  <si>
    <t>Aday Cabinets - Elkhorn</t>
  </si>
  <si>
    <t>Elkhorn,WI 53121</t>
  </si>
  <si>
    <t>Adco Die Cast - Bridgman</t>
  </si>
  <si>
    <t>Bridgman,MI 49106</t>
  </si>
  <si>
    <t>Addison Smith Mechanical</t>
  </si>
  <si>
    <t>110 Kingsbridge Dr.</t>
  </si>
  <si>
    <t>Carrolton, GA. 30117</t>
  </si>
  <si>
    <t>770-832-9006</t>
  </si>
  <si>
    <t>770-832-6165</t>
  </si>
  <si>
    <t>Contact: Randy Bell</t>
  </si>
  <si>
    <t>Adhesive Systems Inc - Auburn</t>
  </si>
  <si>
    <t>11 5Th St #A</t>
  </si>
  <si>
    <t>Auburn,GA 30011</t>
  </si>
  <si>
    <t>(770) 822-0568</t>
  </si>
  <si>
    <t>ADM BIO PRODUCTS</t>
  </si>
  <si>
    <t>4666 Faries Parkway</t>
  </si>
  <si>
    <t>Decatur,IL 62526</t>
  </si>
  <si>
    <t>Adm Cocoa - Glassboro</t>
  </si>
  <si>
    <t>600 Ellis St</t>
  </si>
  <si>
    <t>Glassboro,NJ 08028</t>
  </si>
  <si>
    <t>(856) 881-4000</t>
  </si>
  <si>
    <t>ADM/GROWMARK</t>
  </si>
  <si>
    <t>12710 River Road</t>
  </si>
  <si>
    <t>Destrehan,LA 70047</t>
  </si>
  <si>
    <t>Ads Machinery Corp - Warren</t>
  </si>
  <si>
    <t>1201 Vine Ave Ne</t>
  </si>
  <si>
    <t>Warren,OH 44483</t>
  </si>
  <si>
    <t>(330) 399-3601</t>
  </si>
  <si>
    <t>Advance Hydraulics</t>
  </si>
  <si>
    <t>4630 S Brust Suite 400</t>
  </si>
  <si>
    <t>St Francis,WI 53235</t>
  </si>
  <si>
    <t>(800) 236-1545</t>
  </si>
  <si>
    <t>(414) 744-1667</t>
  </si>
  <si>
    <t>Advanced Air Products - Salt Lake City</t>
  </si>
  <si>
    <t>125 W 2950 S #1</t>
  </si>
  <si>
    <t>Salt Lake City,UT 84115</t>
  </si>
  <si>
    <t>(801) 466-1111</t>
  </si>
  <si>
    <t>Advanced Coil Technology Inc - Owatonna</t>
  </si>
  <si>
    <t>801 N Cedar Ave</t>
  </si>
  <si>
    <t>Owatonna,MN 55060</t>
  </si>
  <si>
    <t>(507) 451-0130</t>
  </si>
  <si>
    <t>Advanced Component Systems Inc - Lafayette</t>
  </si>
  <si>
    <t>1201 E South Boulder Rd</t>
  </si>
  <si>
    <t>Lafayette,CO 80026</t>
  </si>
  <si>
    <t>(303) 666-6800</t>
  </si>
  <si>
    <t>Advanced Cutting Systems Corp - Davidsville</t>
  </si>
  <si>
    <t>200 E Campus Ave</t>
  </si>
  <si>
    <t>Davidsville,PA 15928</t>
  </si>
  <si>
    <t>(814) 479-4644</t>
  </si>
  <si>
    <t>Advanced Drainage Systems Inc - Montezuma</t>
  </si>
  <si>
    <t>Highway 90 S</t>
  </si>
  <si>
    <t>Montezuma,GA 31063</t>
  </si>
  <si>
    <t>(478) 472-7556</t>
  </si>
  <si>
    <t>Advanced Fluid Controls - Santa Ana</t>
  </si>
  <si>
    <t>3857 S Main St</t>
  </si>
  <si>
    <t>Santa Ana,CA 92707</t>
  </si>
  <si>
    <t>(714) 540-8544</t>
  </si>
  <si>
    <t>Advanced Fluid Power Inc - Theodore</t>
  </si>
  <si>
    <t>5780 I 10 Industrial Pkwy</t>
  </si>
  <si>
    <t>Theodore,AL 36582</t>
  </si>
  <si>
    <t>(800) 329-6888</t>
  </si>
  <si>
    <t>(251) 653-6617</t>
  </si>
  <si>
    <t>Advanced Fluid Systems - Glen Burnie</t>
  </si>
  <si>
    <t>899C Airport Park Road</t>
  </si>
  <si>
    <t>Glen Burnie,MD 21061</t>
  </si>
  <si>
    <t>(410) 553-0300</t>
  </si>
  <si>
    <t>(410) 553-0316</t>
  </si>
  <si>
    <t>Advanced Fluid Systems - Lawrenceville</t>
  </si>
  <si>
    <t>751 Hurricane Shoals Rd Ne</t>
  </si>
  <si>
    <t>Lawrenceville,GA 30043</t>
  </si>
  <si>
    <t>(770) 963-6164</t>
  </si>
  <si>
    <t>(770) 995-3477</t>
  </si>
  <si>
    <t>Advanced Fluid Systems - Royersford</t>
  </si>
  <si>
    <t>3rd and Green Street</t>
  </si>
  <si>
    <t>Royersford,PA 19468</t>
  </si>
  <si>
    <t>(610) 948-1000</t>
  </si>
  <si>
    <t>(610) 948-1010</t>
  </si>
  <si>
    <t>Advanced Fluid Systems - York</t>
  </si>
  <si>
    <t>R D # 32, Campbell Road</t>
  </si>
  <si>
    <t>York,PA 17402</t>
  </si>
  <si>
    <t>(717) 757-1068</t>
  </si>
  <si>
    <t>(717) 757-4915</t>
  </si>
  <si>
    <t>Advanced Fluid Systems Inc - Blackwood</t>
  </si>
  <si>
    <t>17 Fairmount Avenue</t>
  </si>
  <si>
    <t>Blackwood,NJ 08012</t>
  </si>
  <si>
    <t>(856) 875-4471</t>
  </si>
  <si>
    <t>Advanced Forming Tech - Longmont</t>
  </si>
  <si>
    <t>7040 County Road 20</t>
  </si>
  <si>
    <t>Longmont,CO 80504</t>
  </si>
  <si>
    <t>(303) 833-6000</t>
  </si>
  <si>
    <t>Advanced Forming Technology - Erie</t>
  </si>
  <si>
    <t>Erie,CO 80516</t>
  </si>
  <si>
    <t>(303) 833-3448</t>
  </si>
  <si>
    <t>1897 N Oil Field Center Rd</t>
  </si>
  <si>
    <t>Casper,WY 82604</t>
  </si>
  <si>
    <t>(307) 235-5086</t>
  </si>
  <si>
    <t>(307) 235-5112</t>
  </si>
  <si>
    <t>1361 F West Wade Hampton #212</t>
  </si>
  <si>
    <t>Greer, SC.  29650</t>
  </si>
  <si>
    <t>864-915-5741</t>
  </si>
  <si>
    <t>**CREDIT HOLD**</t>
  </si>
  <si>
    <t>Advanced Hydraulics - Jacksonville</t>
  </si>
  <si>
    <t>1180 Lane Avenue North</t>
  </si>
  <si>
    <t>Jacksonville,FL 32254</t>
  </si>
  <si>
    <t>(904) 786-9183</t>
  </si>
  <si>
    <t>(904) 781-1002</t>
  </si>
  <si>
    <t>Advanced Hydraulics - Skiatook</t>
  </si>
  <si>
    <t>110 S Osage St</t>
  </si>
  <si>
    <t>Skiatook,OK 74070</t>
  </si>
  <si>
    <t>(918) 396-4366</t>
  </si>
  <si>
    <t>(918) 396-7303</t>
  </si>
  <si>
    <t>Advanced Hydraulics Inc - Chino</t>
  </si>
  <si>
    <t>13568 Vintage Pl</t>
  </si>
  <si>
    <t>Chino,CA 91710</t>
  </si>
  <si>
    <t>(909) 590-7644</t>
  </si>
  <si>
    <t>Advanced Machine</t>
  </si>
  <si>
    <t>Benton, AR 72015</t>
  </si>
  <si>
    <t>IBT Little Rock Customer</t>
  </si>
  <si>
    <t>Advanced Manufacturing Systems - Decatur</t>
  </si>
  <si>
    <t>3110 Sexton Road</t>
  </si>
  <si>
    <t>Decatur,AL 35603</t>
  </si>
  <si>
    <t>(256) 350-8386</t>
  </si>
  <si>
    <t>(256) 350-4338</t>
  </si>
  <si>
    <t>Advanced Motion Cont - Chesire</t>
  </si>
  <si>
    <t>Chesire,CT 6410</t>
  </si>
  <si>
    <t>Advanced Prod For En - Corry</t>
  </si>
  <si>
    <t>Corry,PA 16407</t>
  </si>
  <si>
    <t>Advanced Products Co - North Haven</t>
  </si>
  <si>
    <t>33 Defco Park Rd</t>
  </si>
  <si>
    <t>North Haven,CT 06473</t>
  </si>
  <si>
    <t>(203) 239-3341</t>
  </si>
  <si>
    <t>Advanced Sawmill Machinery - Holt</t>
  </si>
  <si>
    <t>481 Machinery Circle</t>
  </si>
  <si>
    <t>Holt,FL 32564</t>
  </si>
  <si>
    <t>(850) 537-5333</t>
  </si>
  <si>
    <t>(850) 537-5326</t>
  </si>
  <si>
    <t>Advanced Technology - Pendergrass</t>
  </si>
  <si>
    <t>Pendergrass,GA 30567</t>
  </si>
  <si>
    <t>Advanced Technology Services</t>
  </si>
  <si>
    <t>8200 100th Street</t>
  </si>
  <si>
    <t>Pleasant Prairie, WI 53158</t>
  </si>
  <si>
    <t>Advanced Vacuum Systems - Ayer</t>
  </si>
  <si>
    <t>60 Fitchburg Rd</t>
  </si>
  <si>
    <t>Ayer,MA 01432</t>
  </si>
  <si>
    <t>(978) 772-0710</t>
  </si>
  <si>
    <t>Advantage Tool - Wheeling</t>
  </si>
  <si>
    <t>Wheeling,IL 60090</t>
  </si>
  <si>
    <t>Aearo Corp - Southbridge</t>
  </si>
  <si>
    <t>90 Mechanic St</t>
  </si>
  <si>
    <t>Southbridge,MA 01550</t>
  </si>
  <si>
    <t>(508) 764-5500</t>
  </si>
  <si>
    <t>Aei Warehouse - Kent</t>
  </si>
  <si>
    <t>Kent,WA 98031</t>
  </si>
  <si>
    <t>Aem,  Inc - Fort Wayne</t>
  </si>
  <si>
    <t>Fort Wayne,IN 46803</t>
  </si>
  <si>
    <t>Aep Ind Inc - Mountaintop</t>
  </si>
  <si>
    <t>20 Elmwood Rd</t>
  </si>
  <si>
    <t>Mountaintop,PA 18707-2100</t>
  </si>
  <si>
    <t>(570) 474-9700</t>
  </si>
  <si>
    <t>Aero Systems Engineering Inc - St Paul</t>
  </si>
  <si>
    <t>358 Fillmore Ave E</t>
  </si>
  <si>
    <t>St Paul,MN 55107</t>
  </si>
  <si>
    <t>(651) 227-7515</t>
  </si>
  <si>
    <t>Aerodirect Inc - Arlington Heights</t>
  </si>
  <si>
    <t>Arlington Heights,IL 60</t>
  </si>
  <si>
    <t>Aeroelectronics Inc. - Hurst</t>
  </si>
  <si>
    <t>Hurst,TX 76053</t>
  </si>
  <si>
    <t>AEROFRAME AIREPAIRS</t>
  </si>
  <si>
    <t>3914 WILLOW LAKE BLVD</t>
  </si>
  <si>
    <t>MEMPHIS, TN 38118</t>
  </si>
  <si>
    <t>Aero-Go Inc - Seattle</t>
  </si>
  <si>
    <t>Seattle,WA 98188</t>
  </si>
  <si>
    <t>Aeronumerics - Irvine</t>
  </si>
  <si>
    <t>Irvine,CA 92618</t>
  </si>
  <si>
    <t>Aes Engineered Syste - Queensbury</t>
  </si>
  <si>
    <t>Queensbury,NY 12804</t>
  </si>
  <si>
    <t>Aes Shady Point - Panama</t>
  </si>
  <si>
    <t>Panama,OK 74951</t>
  </si>
  <si>
    <t>Afa Corporation - Forest City</t>
  </si>
  <si>
    <t>Forest City,NC 28043</t>
  </si>
  <si>
    <t>Afeco - Algona</t>
  </si>
  <si>
    <t>Algona,IA 50511</t>
  </si>
  <si>
    <t>Affiliated Controls Equipment Co - Wood Dale</t>
  </si>
  <si>
    <t>650 Wheat Lane</t>
  </si>
  <si>
    <t>Wood Dale,IL 60191</t>
  </si>
  <si>
    <t>(630) 595-4680</t>
  </si>
  <si>
    <t>Affordable Hydraulics - Somerset</t>
  </si>
  <si>
    <t>364 Ringgold Road</t>
  </si>
  <si>
    <t>Somerset,KY 42503</t>
  </si>
  <si>
    <t>(606) 679-2328</t>
  </si>
  <si>
    <t>(606) 679-0130</t>
  </si>
  <si>
    <t>Afi Direct Service - Oak Creed</t>
  </si>
  <si>
    <t>Oak Creed,WI 53154</t>
  </si>
  <si>
    <t>AFP - American Fluid Power</t>
  </si>
  <si>
    <t>Dallas, WI</t>
  </si>
  <si>
    <t>414-327-4000</t>
  </si>
  <si>
    <t>414-543-9797</t>
  </si>
  <si>
    <t>30% Discount</t>
  </si>
  <si>
    <t>AFTON CHEMICAL COR</t>
  </si>
  <si>
    <t>501 MONSANTO AVE</t>
  </si>
  <si>
    <t>SAUGET, IL 62201</t>
  </si>
  <si>
    <t>AGCO Corporation</t>
  </si>
  <si>
    <t>420 Lincoln Blvd</t>
  </si>
  <si>
    <t>Hesston, KS 67062</t>
  </si>
  <si>
    <t>Aggregate Ind - Elk River</t>
  </si>
  <si>
    <t>Elk River,MN 55330</t>
  </si>
  <si>
    <t>Aggressive Hydraulic</t>
  </si>
  <si>
    <t>1610 94th Lane NE</t>
  </si>
  <si>
    <t>Blaine, MN 55449</t>
  </si>
  <si>
    <t>Aggressive Hydraulic - Bill to</t>
  </si>
  <si>
    <t>PO Box 490665</t>
  </si>
  <si>
    <t>Blaine, MN 55449-0665</t>
  </si>
  <si>
    <t>AGGRESSIVE HYDRAULICS, INC.</t>
  </si>
  <si>
    <t>18800 ULYSSES ST. NE</t>
  </si>
  <si>
    <t>CEDAR,MN 55011</t>
  </si>
  <si>
    <t>763-452-0909</t>
  </si>
  <si>
    <t>763-792-4400</t>
  </si>
  <si>
    <t>Agito Inc - Dallas</t>
  </si>
  <si>
    <t>Dallas,TX 75223</t>
  </si>
  <si>
    <t>(216) 267-3435</t>
  </si>
  <si>
    <t>(216) 267-2639</t>
  </si>
  <si>
    <t>Agrilink Foods - Bergen</t>
  </si>
  <si>
    <t>Bergen,NY 14416</t>
  </si>
  <si>
    <t>Aichi Forge USA Inc</t>
  </si>
  <si>
    <t>596 Triport Rd</t>
  </si>
  <si>
    <t>Georgetown, KY 40324-9529</t>
  </si>
  <si>
    <t>9600 NW 4th Street</t>
  </si>
  <si>
    <t>Oklahoma City,OK 73217</t>
  </si>
  <si>
    <t>(405) 495-5700</t>
  </si>
  <si>
    <t>(405) 495-6655</t>
  </si>
  <si>
    <t>6848 E. 41st Street</t>
  </si>
  <si>
    <t>Tulsa,OK 74145</t>
  </si>
  <si>
    <t>(918) 663-3661</t>
  </si>
  <si>
    <t>(918) 622-2435</t>
  </si>
  <si>
    <t>3431 Lorma Lane</t>
  </si>
  <si>
    <t>Birmingham,AL 35216</t>
  </si>
  <si>
    <t>(205) 823-7400</t>
  </si>
  <si>
    <t>(205) 979-1075</t>
  </si>
  <si>
    <t>29000 Highway 98 #201A</t>
  </si>
  <si>
    <t>Daphne,AL 36526</t>
  </si>
  <si>
    <t>(251) 626-7269</t>
  </si>
  <si>
    <t>(251) 621-9955</t>
  </si>
  <si>
    <t>3731 Northcrest Rd</t>
  </si>
  <si>
    <t>Doraville,GA 30340-3415</t>
  </si>
  <si>
    <t>(770) 458-3115</t>
  </si>
  <si>
    <t>1433 Redoack Drive</t>
  </si>
  <si>
    <t>Brentwood,TN 33027</t>
  </si>
  <si>
    <t>(615) 332-0448</t>
  </si>
  <si>
    <t>(615) 332-0633</t>
  </si>
  <si>
    <t>105 B Cox Street</t>
  </si>
  <si>
    <t>Bristol,TN 37620</t>
  </si>
  <si>
    <t>(800) 277-6636</t>
  </si>
  <si>
    <t>(423) 968-4818</t>
  </si>
  <si>
    <t>821 E 11th Street</t>
  </si>
  <si>
    <t>Chattanooga,TN 37403</t>
  </si>
  <si>
    <t>(800) 277-4466</t>
  </si>
  <si>
    <t>(423) 756-2084</t>
  </si>
  <si>
    <t>731 E. 22nd Street</t>
  </si>
  <si>
    <t>Cookeville,TN 38501</t>
  </si>
  <si>
    <t>(931) 528-1012</t>
  </si>
  <si>
    <t>(931) 528-3542</t>
  </si>
  <si>
    <t>11157 Outlet Drive</t>
  </si>
  <si>
    <t>Knoxville,TN 37932</t>
  </si>
  <si>
    <t>(800) 277-3399</t>
  </si>
  <si>
    <t>(423) 675-3526</t>
  </si>
  <si>
    <t>5246 Yellow Cove</t>
  </si>
  <si>
    <t>Memphis,TN 38139</t>
  </si>
  <si>
    <t>(901) 380-0450</t>
  </si>
  <si>
    <t>(901) 380-0978</t>
  </si>
  <si>
    <t xml:space="preserve">Nashville,TN </t>
  </si>
  <si>
    <t>615-332-0448</t>
  </si>
  <si>
    <t>615-332-0633</t>
  </si>
  <si>
    <t>834 South Conception St.</t>
  </si>
  <si>
    <t>Mobile, AL 36603</t>
  </si>
  <si>
    <t>251-694-0909</t>
  </si>
  <si>
    <t>251-694-0977</t>
  </si>
  <si>
    <t>airhydmech@aol.com</t>
  </si>
  <si>
    <t>1005 Humble Drive</t>
  </si>
  <si>
    <t>Cookville,TN 38501</t>
  </si>
  <si>
    <t>(931) 526-7258</t>
  </si>
  <si>
    <t>(931) 372-1699</t>
  </si>
  <si>
    <t>4401 Highway 52 East</t>
  </si>
  <si>
    <t>Westmoreland,TN 37186</t>
  </si>
  <si>
    <t>(615) 644-3030</t>
  </si>
  <si>
    <t xml:space="preserve">Florence,AL </t>
  </si>
  <si>
    <t>Pottsville,PA 17901</t>
  </si>
  <si>
    <t>Air Draulics Engineering - Little Rock</t>
  </si>
  <si>
    <t>8110 Scott Hamilton Drive</t>
  </si>
  <si>
    <t>Little Rock,AR 72209</t>
  </si>
  <si>
    <t>(501) 568-7247</t>
  </si>
  <si>
    <t>Air Draulics Engineering Co - Memphis</t>
  </si>
  <si>
    <t>4250 Pilot Drive</t>
  </si>
  <si>
    <t>(800) 238-0204</t>
  </si>
  <si>
    <t>(901) 795-5841</t>
  </si>
  <si>
    <t>Air Filtration</t>
  </si>
  <si>
    <t>1193 First Avenue SE</t>
  </si>
  <si>
    <t>Graysville,AL 35073</t>
  </si>
  <si>
    <t>AIR GAS CARBONIC</t>
  </si>
  <si>
    <t>103 INDUSTRIAL STREET</t>
  </si>
  <si>
    <t>HOPEWELL, VA 23860</t>
  </si>
  <si>
    <t>Air Hydraulic Sales - Hatboro</t>
  </si>
  <si>
    <t>307 Lincoln Ave.</t>
  </si>
  <si>
    <t>Hatboro,PA 19040</t>
  </si>
  <si>
    <t>(215) 674-8488</t>
  </si>
  <si>
    <t>(215) 441-8480</t>
  </si>
  <si>
    <t>Air Hydraulic System - La Vista</t>
  </si>
  <si>
    <t>7004 South 108th Street</t>
  </si>
  <si>
    <t>La Vista,NE 68128</t>
  </si>
  <si>
    <t>(402) 339-6263</t>
  </si>
  <si>
    <t>Air Hydraulics - St. Louis</t>
  </si>
  <si>
    <t>6074 Baumgartner Industrial Drive</t>
  </si>
  <si>
    <t>(800) 486-9109</t>
  </si>
  <si>
    <t>(314) 487-9228</t>
  </si>
  <si>
    <t>Air Hydraulics Systems Inc - Minneapolis</t>
  </si>
  <si>
    <t>1104 Glenwood Ave.</t>
  </si>
  <si>
    <t>Minneapolis,MN 55405-1417</t>
  </si>
  <si>
    <t>(800) 742-0664</t>
  </si>
  <si>
    <t>(612) 377-8143</t>
  </si>
  <si>
    <t>Air Hydraulics&amp; Mechanical Eq., Inc.</t>
  </si>
  <si>
    <t>834 South Conception Street</t>
  </si>
  <si>
    <t>Air Hydro Power - Henderson</t>
  </si>
  <si>
    <t>3033 Ohoi Dr. Suite A</t>
  </si>
  <si>
    <t>Henderson, KY 42420</t>
  </si>
  <si>
    <t>502-451-1000</t>
  </si>
  <si>
    <t>Air Hydro Power - Louisville</t>
  </si>
  <si>
    <t>3405 Robards Court</t>
  </si>
  <si>
    <t>Louisville,KY 40233</t>
  </si>
  <si>
    <t>(270) 827-8008</t>
  </si>
  <si>
    <t>Air Powered Tools Inc - Islip</t>
  </si>
  <si>
    <t>142 Freeman Ave</t>
  </si>
  <si>
    <t>Islip,NY 11751-1429</t>
  </si>
  <si>
    <t>(631) 277-1480</t>
  </si>
  <si>
    <t>Air System Components - Ponca City</t>
  </si>
  <si>
    <t>900 Darr Park #1</t>
  </si>
  <si>
    <t>Ponca City,OK 74601</t>
  </si>
  <si>
    <t>(580) 762-4071</t>
  </si>
  <si>
    <t>Aircon Corporation</t>
  </si>
  <si>
    <t>2873 Chelsea Ave.</t>
  </si>
  <si>
    <t>Memphis, TN 38108</t>
  </si>
  <si>
    <t>901-452-0230</t>
  </si>
  <si>
    <t>901-452-0264</t>
  </si>
  <si>
    <t>Airdraulics - Odessa</t>
  </si>
  <si>
    <t>3351 W Loop 338</t>
  </si>
  <si>
    <t>Odessa,TX 79764</t>
  </si>
  <si>
    <t>(915) 367-0621</t>
  </si>
  <si>
    <t>Air-Dreco - Houston</t>
  </si>
  <si>
    <t>1833 Johanna Dr</t>
  </si>
  <si>
    <t>Houston,Tx 77055</t>
  </si>
  <si>
    <t>(713) 548-5500</t>
  </si>
  <si>
    <t>Air-Drualic Svc Inc - Hammond</t>
  </si>
  <si>
    <t>550 Willow Ct</t>
  </si>
  <si>
    <t>Hammond,IN 46320</t>
  </si>
  <si>
    <t>(219) 932-2473</t>
  </si>
  <si>
    <t>Airgas Dry Ice</t>
  </si>
  <si>
    <t>103 Industrial Street</t>
  </si>
  <si>
    <t>Hopewell, VA 23860</t>
  </si>
  <si>
    <t>804-458-9971</t>
  </si>
  <si>
    <t>804-458-9975</t>
  </si>
  <si>
    <t>AIRGAS DRY ICE-GA</t>
  </si>
  <si>
    <t>727 LANEYWALKER BLVD EXT</t>
  </si>
  <si>
    <t>AUGUSTA, GA 30901</t>
  </si>
  <si>
    <t>Air-Hydraulic Systems Inc - Duluth</t>
  </si>
  <si>
    <t>2922 W Superior St</t>
  </si>
  <si>
    <t>Duluth,MN 55806</t>
  </si>
  <si>
    <t>(218) 628-2805</t>
  </si>
  <si>
    <t>Air-Hydraulics Inc - Jackson</t>
  </si>
  <si>
    <t>545 Hupp Ave</t>
  </si>
  <si>
    <t>Jackson,MI 49203</t>
  </si>
  <si>
    <t>(517) 787-9444</t>
  </si>
  <si>
    <t>Airline Manufacturing Co - Columbus</t>
  </si>
  <si>
    <t>104 Williamson Road</t>
  </si>
  <si>
    <t>Columbus,MS 39702</t>
  </si>
  <si>
    <t>(662) 328-6355</t>
  </si>
  <si>
    <t>Air-Oil Products Corp - Portland</t>
  </si>
  <si>
    <t>2400 E Burnside St</t>
  </si>
  <si>
    <t>Portland,OR 97214</t>
  </si>
  <si>
    <t>(503) 234-0866</t>
  </si>
  <si>
    <t>Air-Oil Products Corp - Redmond</t>
  </si>
  <si>
    <t>14968 Ne 31St Cir</t>
  </si>
  <si>
    <t>Redmond,WA 98052</t>
  </si>
  <si>
    <t>(425) 881-1490</t>
  </si>
  <si>
    <t>Airpro - Lombard</t>
  </si>
  <si>
    <t>1120 N Dupage Ave</t>
  </si>
  <si>
    <t>Lombard,IL 60148</t>
  </si>
  <si>
    <t>(800) 544-8775</t>
  </si>
  <si>
    <t>(630) 691-8817</t>
  </si>
  <si>
    <t>Aisin Usa Mfg Inc - Seymour</t>
  </si>
  <si>
    <t>1700 E 4Th Street Rd</t>
  </si>
  <si>
    <t>Seymour,IN 47274</t>
  </si>
  <si>
    <t>(812) 523-1969</t>
  </si>
  <si>
    <t>Ajax Magnethermic Corp - Warren</t>
  </si>
  <si>
    <t>1745 Overland Ave Ne</t>
  </si>
  <si>
    <t>(330) 372-8511</t>
  </si>
  <si>
    <t>Ajd Forest Products Inc - Grayling</t>
  </si>
  <si>
    <t>4440 E 4 Mile Rd</t>
  </si>
  <si>
    <t>Grayling,MI 49738</t>
  </si>
  <si>
    <t>(517) 348-5412</t>
  </si>
  <si>
    <t>Ak Steel Holding Corp - Middletown</t>
  </si>
  <si>
    <t>703 Curtis St</t>
  </si>
  <si>
    <t>Middletown,OH 45044</t>
  </si>
  <si>
    <t>(513) 425-5000</t>
  </si>
  <si>
    <t>Aker Gulf Marine - Ingleside</t>
  </si>
  <si>
    <t>Fm Rd 1069 S</t>
  </si>
  <si>
    <t>Ingleside,TX 78362</t>
  </si>
  <si>
    <t>(361) 776-7551</t>
  </si>
  <si>
    <t>Akron Hydraulic - Akron</t>
  </si>
  <si>
    <t>151 W Dartmore Ave</t>
  </si>
  <si>
    <t>Akron,OH 44301</t>
  </si>
  <si>
    <t>330-724-6999</t>
  </si>
  <si>
    <t>330-724-3386</t>
  </si>
  <si>
    <t>Akron Special Machin - Akron</t>
  </si>
  <si>
    <t>Akron,OH 44314</t>
  </si>
  <si>
    <t>Akzo Chemie America - Pasadena</t>
  </si>
  <si>
    <t>Pasadena,CA 77507</t>
  </si>
  <si>
    <t>Akzo Nobel Ind Fiber - Scottsboro</t>
  </si>
  <si>
    <t>Paterson,NJ 07503</t>
  </si>
  <si>
    <t>Al Qahtani Pipe Coat - Houston</t>
  </si>
  <si>
    <t>Houston,TX 77043</t>
  </si>
  <si>
    <t>3176 Mulga Loop Road</t>
  </si>
  <si>
    <t>Birmingham,AL 35224</t>
  </si>
  <si>
    <t>(205) 780-0027</t>
  </si>
  <si>
    <t>(205) 780-0240</t>
  </si>
  <si>
    <t>Tuscaloosa, AL</t>
  </si>
  <si>
    <t>205-759-1991</t>
  </si>
  <si>
    <t>205-759-1992</t>
  </si>
  <si>
    <t>630 Airbase Blvd</t>
  </si>
  <si>
    <t>Montgomery, AL 36108</t>
  </si>
  <si>
    <t>334-269-9560</t>
  </si>
  <si>
    <t>334-269-6969</t>
  </si>
  <si>
    <t>Alabama Industrial Components - Remlap</t>
  </si>
  <si>
    <t>557 Ridgewood Drive</t>
  </si>
  <si>
    <t>Remlap,AL 35113</t>
  </si>
  <si>
    <t>(205) 681-3971</t>
  </si>
  <si>
    <t>(205) 680-3734</t>
  </si>
  <si>
    <t>Alabama Industrial Distr Inc - Oxford</t>
  </si>
  <si>
    <t>43 Sherman Dr</t>
  </si>
  <si>
    <t>Oxford,AL 36203</t>
  </si>
  <si>
    <t>(256) 831-5711</t>
  </si>
  <si>
    <t>Alabama Panhandle Fluid Power</t>
  </si>
  <si>
    <t>6608 Post Oak Drive</t>
  </si>
  <si>
    <t>Bessemer, AL 35023</t>
  </si>
  <si>
    <t>205-497-0621</t>
  </si>
  <si>
    <t>205-497-6039</t>
  </si>
  <si>
    <t>Perdue Hill,AL 36470</t>
  </si>
  <si>
    <t>Alamo Hydraulics</t>
  </si>
  <si>
    <t>Houston, TX</t>
  </si>
  <si>
    <t>713-682-9444</t>
  </si>
  <si>
    <t>713-682-9440</t>
  </si>
  <si>
    <t>Alaska Hydraulics - Anchorage</t>
  </si>
  <si>
    <t>500 W. Potter Dr.</t>
  </si>
  <si>
    <t>Anchorage,AK 99518</t>
  </si>
  <si>
    <t>(907) 562-2217</t>
  </si>
  <si>
    <t>(907) 561-1262</t>
  </si>
  <si>
    <t>Alaska Hydraulics - Dutch Harbor</t>
  </si>
  <si>
    <t>2315 Airport Beach Rd</t>
  </si>
  <si>
    <t>Dutch Harbor,AK 99692</t>
  </si>
  <si>
    <t>(907) 581-3988</t>
  </si>
  <si>
    <t>(907) 581-3980</t>
  </si>
  <si>
    <t>Alaska Hydraulics - Kodiak</t>
  </si>
  <si>
    <t>410 Shelikof Street</t>
  </si>
  <si>
    <t>Kodiak,AK 99615</t>
  </si>
  <si>
    <t>(800) 478-5970</t>
  </si>
  <si>
    <t>Alaska Marine Hwy Su - Ketchican</t>
  </si>
  <si>
    <t>Ketchican,AK 99901</t>
  </si>
  <si>
    <t>Ketchikan,AK 99901</t>
  </si>
  <si>
    <t>Alba Manufacturing Inc - Hamilton</t>
  </si>
  <si>
    <t>19 Kiesland Ct</t>
  </si>
  <si>
    <t>Hamilton,OH 45015</t>
  </si>
  <si>
    <t>(513) 874-0551</t>
  </si>
  <si>
    <t>Alban Tractor Co - Baltimore</t>
  </si>
  <si>
    <t>8531 Pulaski Hwy</t>
  </si>
  <si>
    <t>Baltimore,MD 21237</t>
  </si>
  <si>
    <t>(410) 686-7777</t>
  </si>
  <si>
    <t>Albany International - St Stephen</t>
  </si>
  <si>
    <t>300 Albany St</t>
  </si>
  <si>
    <t>St Stephen,SC 29479</t>
  </si>
  <si>
    <t>(843) 567-3243</t>
  </si>
  <si>
    <t>(843) 567-5604</t>
  </si>
  <si>
    <t>Albany-Chicago CO</t>
  </si>
  <si>
    <t>8200 100th St</t>
  </si>
  <si>
    <t>Albex Aluminum - Canton</t>
  </si>
  <si>
    <t>Canton,OH 44705</t>
  </si>
  <si>
    <t>Fernald,OH 45030</t>
  </si>
  <si>
    <t xml:space="preserve">ALCAN CABLE </t>
  </si>
  <si>
    <t>20213 WHITFIELD ROAD</t>
  </si>
  <si>
    <t>SEDALIA, MO 65301-1519</t>
  </si>
  <si>
    <t>Alco Controls - Hazelhurst</t>
  </si>
  <si>
    <t>Hazelhurst,GA 31539</t>
  </si>
  <si>
    <t>Alco Machine Company Inc</t>
  </si>
  <si>
    <t>3201  27th Ave. No</t>
  </si>
  <si>
    <t>Birmingham,AL 35217</t>
  </si>
  <si>
    <t>205-323-4593</t>
  </si>
  <si>
    <t>205-326-0788</t>
  </si>
  <si>
    <t>ALCOA - Alcoa, TN</t>
  </si>
  <si>
    <t>300 N Hall Road</t>
  </si>
  <si>
    <t>Alcoa, TN 37701</t>
  </si>
  <si>
    <t>Alcoa - Goose Creek</t>
  </si>
  <si>
    <t>Goose Creek,SC 29445</t>
  </si>
  <si>
    <t>Alcoa - Lafayette</t>
  </si>
  <si>
    <t>Lafayette,IN 47903</t>
  </si>
  <si>
    <t xml:space="preserve">Point Comfort,TX </t>
  </si>
  <si>
    <t>Alcoa Automotive Cas - Fruitport</t>
  </si>
  <si>
    <t>Alcoa Automotive Str - Northwood</t>
  </si>
  <si>
    <t>Northwood,OH 43619</t>
  </si>
  <si>
    <t>Alcoa Building Products - Gaffney</t>
  </si>
  <si>
    <t>Gaffney,SC 29340</t>
  </si>
  <si>
    <t>ALCOA Corporate Center</t>
  </si>
  <si>
    <t>2827 Hale Avenue</t>
  </si>
  <si>
    <t>Louisville,KY 40211</t>
  </si>
  <si>
    <t>Alcoa Engineered Products - Cressona</t>
  </si>
  <si>
    <t>53 Pottsville St</t>
  </si>
  <si>
    <t>Cressona,PA 17929</t>
  </si>
  <si>
    <t>(570) 385-5000</t>
  </si>
  <si>
    <t>(570) 385-8701</t>
  </si>
  <si>
    <t>Alcoa Mill Products - Bettendorf</t>
  </si>
  <si>
    <t>4879 State St</t>
  </si>
  <si>
    <t>Bettendorf,IA 52722</t>
  </si>
  <si>
    <t>(319) 359-2000</t>
  </si>
  <si>
    <t>Alcoa Packaging Equipment - Englewood</t>
  </si>
  <si>
    <t>6949 S Potomac St</t>
  </si>
  <si>
    <t>Englewood,CO 80112</t>
  </si>
  <si>
    <t>(303) 708-9044</t>
  </si>
  <si>
    <t>One Reynolds Drive</t>
  </si>
  <si>
    <t>Beliot,WI 53511</t>
  </si>
  <si>
    <t>(608) 363-5289</t>
  </si>
  <si>
    <t>(608) 363-5302</t>
  </si>
  <si>
    <t>3040 Carbide Dr</t>
  </si>
  <si>
    <t>Harrisville,MI 48740</t>
  </si>
  <si>
    <t>(517) 736-8151</t>
  </si>
  <si>
    <t>Alcorn Tool - Hobbs</t>
  </si>
  <si>
    <t>207 S Grimes St</t>
  </si>
  <si>
    <t>Hobbs,NM 88240</t>
  </si>
  <si>
    <t>(505) 392-6670</t>
  </si>
  <si>
    <t>Alcotec Wire - Traverse City</t>
  </si>
  <si>
    <t>2750 Aero Park Dr</t>
  </si>
  <si>
    <t>Traverse City,MI 49686</t>
  </si>
  <si>
    <t>(231) 941-4111</t>
  </si>
  <si>
    <t>(231) 941-9154</t>
  </si>
  <si>
    <t>Alenco - Peachtree City</t>
  </si>
  <si>
    <t>319 Dividend Dr</t>
  </si>
  <si>
    <t>Peachtree City,GA 30269</t>
  </si>
  <si>
    <t>(800) 476-8037</t>
  </si>
  <si>
    <t>Alexander's Machine Shop - Jonesboro</t>
  </si>
  <si>
    <t>1201 E Johnson Ave</t>
  </si>
  <si>
    <t>Jonesboro,AR 72401</t>
  </si>
  <si>
    <t>(870) 935-6405</t>
  </si>
  <si>
    <t>Alfab Metals Corp - Evansville</t>
  </si>
  <si>
    <t>14020 Highway 57</t>
  </si>
  <si>
    <t>Evansville,IN 47725</t>
  </si>
  <si>
    <t>(812) 867-7960</t>
  </si>
  <si>
    <t>Algoma Lumber Co.</t>
  </si>
  <si>
    <t>1400 Perry Street</t>
  </si>
  <si>
    <t>Algoma, WI 54201</t>
  </si>
  <si>
    <t>Algoma Steel Inc. - Sault Ste Marie</t>
  </si>
  <si>
    <t>Sault Ste Marie,MI 4</t>
  </si>
  <si>
    <t>All Alaskan Seafoods Inc - Seattle</t>
  </si>
  <si>
    <t>130 Nickerson St #307</t>
  </si>
  <si>
    <t>Seattle,WA 98109</t>
  </si>
  <si>
    <t>(206) 285-8200</t>
  </si>
  <si>
    <t>All American Poly</t>
  </si>
  <si>
    <t>309 Phillips Road</t>
  </si>
  <si>
    <t>North Little Rock, AR 72117</t>
  </si>
  <si>
    <t>Travelers Rest,SC 29690</t>
  </si>
  <si>
    <t>(864) 834-8691</t>
  </si>
  <si>
    <t>(864) 834-5805</t>
  </si>
  <si>
    <t>All Fabrications - York</t>
  </si>
  <si>
    <t>265 N Queen St</t>
  </si>
  <si>
    <t>York,PA 17403</t>
  </si>
  <si>
    <t>(717) 846-4466</t>
  </si>
  <si>
    <t>All Hydraulics Inc - Ogden</t>
  </si>
  <si>
    <t>1255 E 2250 N</t>
  </si>
  <si>
    <t>Ogden,UT 84414</t>
  </si>
  <si>
    <t>(801) 621-1323</t>
  </si>
  <si>
    <t>All In One Supply - Orlando</t>
  </si>
  <si>
    <t>Orlando,FL 32810</t>
  </si>
  <si>
    <t>All Pass</t>
  </si>
  <si>
    <t>440-998-6300</t>
  </si>
  <si>
    <t>440-998-0523</t>
  </si>
  <si>
    <t>All Phase Huydraulic - Marne</t>
  </si>
  <si>
    <t>Marne,MI 49435</t>
  </si>
  <si>
    <t>All Power Inc - Sioux City</t>
  </si>
  <si>
    <t>Sioux City,IA 51103</t>
  </si>
  <si>
    <t>All Star Hydraulics - Blontville</t>
  </si>
  <si>
    <t xml:space="preserve">Blontville,TN </t>
  </si>
  <si>
    <t>(423) 279-0011</t>
  </si>
  <si>
    <t>(423) 279-0031</t>
  </si>
  <si>
    <t>All State Packaging</t>
  </si>
  <si>
    <t>600 Williamson Avenue</t>
  </si>
  <si>
    <t xml:space="preserve">Opelika,AL </t>
  </si>
  <si>
    <t>334-754-6239</t>
  </si>
  <si>
    <t>Allegheny Ludlum Ste - Lockport</t>
  </si>
  <si>
    <t>Lockport,NY 14094</t>
  </si>
  <si>
    <t>Allegheny Wood Produ - Kingwood</t>
  </si>
  <si>
    <t>Kingwood,WV 26537</t>
  </si>
  <si>
    <t>Allegiance Healthcar - Jacksonville</t>
  </si>
  <si>
    <t>Jacksonville,TX 75766</t>
  </si>
  <si>
    <t>Charleston,SC 29415</t>
  </si>
  <si>
    <t>Allen Canning - Hessmer</t>
  </si>
  <si>
    <t>Hessmer,LA 71341</t>
  </si>
  <si>
    <t>Allen Hydraulics - Spartenburg</t>
  </si>
  <si>
    <t>101 Belton Drive PO Box 3364</t>
  </si>
  <si>
    <t>Spartenburg,SC 29304</t>
  </si>
  <si>
    <t>(864) 576-7713</t>
  </si>
  <si>
    <t>Alliant Lake City Small</t>
  </si>
  <si>
    <t>Independence,MO  64057</t>
  </si>
  <si>
    <t>Alliant Tech Systems - Magna</t>
  </si>
  <si>
    <t>Magna,UT 84044</t>
  </si>
  <si>
    <t>Allied Chemical - Columbia</t>
  </si>
  <si>
    <t>Columbia,SC 29210</t>
  </si>
  <si>
    <t>861 S Vermont St</t>
  </si>
  <si>
    <t>Palatine,IL 60067</t>
  </si>
  <si>
    <t>(847) 359-5080</t>
  </si>
  <si>
    <t>Allied Die Casting Corp - Mc Henry</t>
  </si>
  <si>
    <t>3923 W West Ave</t>
  </si>
  <si>
    <t>Mc Henry,IL 60050</t>
  </si>
  <si>
    <t>(815) 385-9330</t>
  </si>
  <si>
    <t>(815) 385-9338</t>
  </si>
  <si>
    <t>Allied Industrial Eq - Hickory</t>
  </si>
  <si>
    <t>Hickory,NC 28603</t>
  </si>
  <si>
    <t>Allied Industrial Supplies</t>
  </si>
  <si>
    <t>2400 Hwy 70 West</t>
  </si>
  <si>
    <t>Marion, NC 28752</t>
  </si>
  <si>
    <t>Allied Machine - Dover</t>
  </si>
  <si>
    <t>Dover,OH 44622</t>
  </si>
  <si>
    <t>Allied Metal Corp. - Miami</t>
  </si>
  <si>
    <t>Miami,FL 33142</t>
  </si>
  <si>
    <t>Allied Signal - Pendleton</t>
  </si>
  <si>
    <t>Pendleton,SC 29670</t>
  </si>
  <si>
    <t>Allied Signal Aerosp - South Bend</t>
  </si>
  <si>
    <t>South Bend,IN 46628</t>
  </si>
  <si>
    <t>Allied Signal Airlin - Anniston</t>
  </si>
  <si>
    <t>Anniston,AL 36201</t>
  </si>
  <si>
    <t>Allied Signal Automo - Huntington</t>
  </si>
  <si>
    <t>Huntington,IN 46750</t>
  </si>
  <si>
    <t>Allied Signal, Inc. - Metropolis</t>
  </si>
  <si>
    <t>Metropolis,IL 62960</t>
  </si>
  <si>
    <t>Allied Systems Co - Sherwood</t>
  </si>
  <si>
    <t>Sherwood,OR 97140</t>
  </si>
  <si>
    <t>Phoenix,AZ 85009</t>
  </si>
  <si>
    <t>4215 Emmett Sanders Road</t>
  </si>
  <si>
    <t>Pine Bluff,AR 71601</t>
  </si>
  <si>
    <t>Allience Forest Products - Coosa Pines</t>
  </si>
  <si>
    <t>Coosa Pines,AL 35044</t>
  </si>
  <si>
    <t>Allison Engine Co - Indianapolis</t>
  </si>
  <si>
    <t>Indianapolis,IN 4624</t>
  </si>
  <si>
    <t>Allotech - Sheboygan</t>
  </si>
  <si>
    <t>Sheboygan,WI 53081</t>
  </si>
  <si>
    <t>Allpass</t>
  </si>
  <si>
    <t>2605 Crane Ave</t>
  </si>
  <si>
    <t>Ashtabula, OH 44004</t>
  </si>
  <si>
    <t>All-Power, Inc. - Sioux City</t>
  </si>
  <si>
    <t>Alltrista Zinc Produ - Greenville</t>
  </si>
  <si>
    <t>Greenville,TN 37743</t>
  </si>
  <si>
    <t>Allvac - Monroe</t>
  </si>
  <si>
    <t>Monroe,NC 28110</t>
  </si>
  <si>
    <t>ALLVAC - RICHBURG C/O BRUCKNER SUPPLY</t>
  </si>
  <si>
    <t>4374 LANCASTER HWY</t>
  </si>
  <si>
    <t>RICHBURG, SC 29729</t>
  </si>
  <si>
    <t>Allvan Corporation - Lavergne</t>
  </si>
  <si>
    <t>Lavergne,TN 37086</t>
  </si>
  <si>
    <t>Alpha Automated Systems</t>
  </si>
  <si>
    <t>4225 Miller Rd  #245</t>
  </si>
  <si>
    <t>Flint,MI 48507</t>
  </si>
  <si>
    <t>810-813-0261</t>
  </si>
  <si>
    <t>810-983-2113</t>
  </si>
  <si>
    <t>Alpha Cellulose - Lumberton</t>
  </si>
  <si>
    <t>Lumberton,NC 28358</t>
  </si>
  <si>
    <t>Alpha Enterprises - South Hackensack</t>
  </si>
  <si>
    <t xml:space="preserve">South Hackensack,NJ </t>
  </si>
  <si>
    <t>Alpha Pro Tech - North Salt Lake</t>
  </si>
  <si>
    <t>North Salt Lake,UT 84</t>
  </si>
  <si>
    <t>Chattanooga,TN 37421</t>
  </si>
  <si>
    <t>Alpine Engineering P - Haines City</t>
  </si>
  <si>
    <t>Haines City,FL 33844</t>
  </si>
  <si>
    <t>Alsop Industrial Services **CREDIT HOLD**</t>
  </si>
  <si>
    <t>1535 E Naomi St.</t>
  </si>
  <si>
    <t>Indianapolis,IN 46203</t>
  </si>
  <si>
    <t>317-783-0885</t>
  </si>
  <si>
    <t>317-783-0891</t>
  </si>
  <si>
    <t>****Absolutely No Orders From This Customer*****</t>
  </si>
  <si>
    <t>Alstom Power Inc</t>
  </si>
  <si>
    <t>1119 Riverfront Pkwy</t>
  </si>
  <si>
    <t>Chattanooga,TN 37402</t>
  </si>
  <si>
    <t>Alstom Pressure Syst - Monroe</t>
  </si>
  <si>
    <t>Altamira Terminal Po - Hidalgo</t>
  </si>
  <si>
    <t>Hidalgo,TX 78557</t>
  </si>
  <si>
    <t>Altek Co - Torrington</t>
  </si>
  <si>
    <t>245 E Elm St</t>
  </si>
  <si>
    <t>Torrington,CT 06790</t>
  </si>
  <si>
    <t>(860) 482-7626</t>
  </si>
  <si>
    <t>Altoona Hydraulics - Altoona</t>
  </si>
  <si>
    <t>42312 State Road 19</t>
  </si>
  <si>
    <t>Altoona,FL 32702</t>
  </si>
  <si>
    <t>(352) 669-5655</t>
  </si>
  <si>
    <t>(352) 669-8884</t>
  </si>
  <si>
    <t>Aluma Form - Memphis</t>
  </si>
  <si>
    <t>Alumax Of Sc Inc. - Goose Creek</t>
  </si>
  <si>
    <t>Goose Creek,SC 29463</t>
  </si>
  <si>
    <t>Aluminum Co. Of Amer - Alcoa</t>
  </si>
  <si>
    <t>Alcoa,TN 37701</t>
  </si>
  <si>
    <t>Aluminum One **CREDIT HOLD**</t>
  </si>
  <si>
    <t>217 Roosevelt Street</t>
  </si>
  <si>
    <t>Minerva, OH 44657</t>
  </si>
  <si>
    <t>330-868-7765</t>
  </si>
  <si>
    <t>330-868-4308</t>
  </si>
  <si>
    <t>Alvey Inc - St Louis</t>
  </si>
  <si>
    <t>9301 Olive Blvd</t>
  </si>
  <si>
    <t>St Louis,MO 63132</t>
  </si>
  <si>
    <t>(314) 993-4700</t>
  </si>
  <si>
    <t>Alyeska Seafoods - Unalaska</t>
  </si>
  <si>
    <t>Unalaska,AK 99685</t>
  </si>
  <si>
    <t>Alyeska Seafoods, In - Seattle</t>
  </si>
  <si>
    <t>Seattle,WA 98105</t>
  </si>
  <si>
    <t>Am Manufacturing - Dolton</t>
  </si>
  <si>
    <t>14151 Irving Avenue</t>
  </si>
  <si>
    <t>Dolton,IL 60419</t>
  </si>
  <si>
    <t>(800) 342-6744</t>
  </si>
  <si>
    <t>(708) 841-0975</t>
  </si>
  <si>
    <t>Amalgamated Sugar Co - Paul</t>
  </si>
  <si>
    <t>Paul,ID 8</t>
  </si>
  <si>
    <t>AMBEC,INC.</t>
  </si>
  <si>
    <t>1320 Wards Ferry Road</t>
  </si>
  <si>
    <t>Lynchburg,VA 24506</t>
  </si>
  <si>
    <t>Amber Plating - Chicago</t>
  </si>
  <si>
    <t>Chicago,IL 60641</t>
  </si>
  <si>
    <t>Ambox Inc - Houston</t>
  </si>
  <si>
    <t>Houston,TX 77087</t>
  </si>
  <si>
    <t xml:space="preserve">Amcan Castings Plant - </t>
  </si>
  <si>
    <t>, L8L 7X3</t>
  </si>
  <si>
    <t>Amcast Automotive - Wapakoneta</t>
  </si>
  <si>
    <t>Wapakoneta,OH 45895</t>
  </si>
  <si>
    <t>Amclyde Engineering - St. Paul</t>
  </si>
  <si>
    <t>240 East Plato Boulevard</t>
  </si>
  <si>
    <t>St. Paul,MN 55107</t>
  </si>
  <si>
    <t>(651) 293-4753</t>
  </si>
  <si>
    <t>(651) 293-4648</t>
  </si>
  <si>
    <t>Amcon Block</t>
  </si>
  <si>
    <t>2211 Hwy. 10 South</t>
  </si>
  <si>
    <t>St. Cloud, MN. 56304</t>
  </si>
  <si>
    <t>320-529-6952</t>
  </si>
  <si>
    <t>320-650-3952</t>
  </si>
  <si>
    <t>Amcor Inc - North Salt Lake</t>
  </si>
  <si>
    <t>Amerex Corp - Trussville</t>
  </si>
  <si>
    <t>Trussville,AL 35173</t>
  </si>
  <si>
    <t>Americ equipment Rental</t>
  </si>
  <si>
    <t>Hwy 31</t>
  </si>
  <si>
    <t>Hartselle,Al 35640</t>
  </si>
  <si>
    <t>American Appliance Prod.</t>
  </si>
  <si>
    <t>345 Chemwood Drive</t>
  </si>
  <si>
    <t>American Auger - West Salem</t>
  </si>
  <si>
    <t>West Salem,OH 44287</t>
  </si>
  <si>
    <t>American Automation - Bluffdale</t>
  </si>
  <si>
    <t>Bluffdale,UT 84065</t>
  </si>
  <si>
    <t>American Baler Co - Bellevue</t>
  </si>
  <si>
    <t>Bellevue,OH 44811</t>
  </si>
  <si>
    <t>American Bearing - Chattanooga</t>
  </si>
  <si>
    <t>Chattanooga,TN 37401</t>
  </si>
  <si>
    <t>American Beef Processing</t>
  </si>
  <si>
    <t>(503) 656-6400</t>
  </si>
  <si>
    <t>American Block Co - Houston</t>
  </si>
  <si>
    <t>American Block Co - Princeton</t>
  </si>
  <si>
    <t>Princeton,WV 24740</t>
  </si>
  <si>
    <t xml:space="preserve">American Camper - </t>
  </si>
  <si>
    <t xml:space="preserve">,AL </t>
  </si>
  <si>
    <t>American Cast Iron Pipe Co - Birmingham</t>
  </si>
  <si>
    <t>1501 31St Avenue No.</t>
  </si>
  <si>
    <t>Birmingham,AL 35202-2727</t>
  </si>
  <si>
    <t>(205) 325-8927</t>
  </si>
  <si>
    <t>(800) 442-2348</t>
  </si>
  <si>
    <t>American Cemwood - Albany</t>
  </si>
  <si>
    <t>Albany,OR 97321</t>
  </si>
  <si>
    <t>American Comp Steel - Cincinnati</t>
  </si>
  <si>
    <t>Cincinnati,OH 45216</t>
  </si>
  <si>
    <t>American Concrete Equipment - Herman</t>
  </si>
  <si>
    <t>Herman,MN 56248</t>
  </si>
  <si>
    <t>American Control Techonlogy</t>
  </si>
  <si>
    <t>PO BOX 153</t>
  </si>
  <si>
    <t>662-257-9952</t>
  </si>
  <si>
    <t>662-256-2119</t>
  </si>
  <si>
    <t>AMERICAN CONTROLS TECHNOLOGY, INC</t>
  </si>
  <si>
    <t>311 FRONT ST., NORTH</t>
  </si>
  <si>
    <t>AMORY, MS 38821</t>
  </si>
  <si>
    <t>American Conveyor System - Levittown</t>
  </si>
  <si>
    <t>Levittown,PA 19057</t>
  </si>
  <si>
    <t>American Crystal Sug - Moorhead</t>
  </si>
  <si>
    <t>Moorhead,MN 56560</t>
  </si>
  <si>
    <t>American Electric Fu - Nashville</t>
  </si>
  <si>
    <t>Nashville,TN 37210</t>
  </si>
  <si>
    <t>American Electric Po - Rockport</t>
  </si>
  <si>
    <t>Rockport,IN 47635</t>
  </si>
  <si>
    <t>American Fluid Power - Alsip</t>
  </si>
  <si>
    <t>12540 South Holiday Drive, Unit D</t>
  </si>
  <si>
    <t>Alsip,IL 60803</t>
  </si>
  <si>
    <t>(708) 388-3300</t>
  </si>
  <si>
    <t>(708) 388-3301</t>
  </si>
  <si>
    <t>American Fluid Power - Cincinnati, OH</t>
  </si>
  <si>
    <t>649 North Wayne Ave</t>
  </si>
  <si>
    <t>Cincinnati, OH 45215</t>
  </si>
  <si>
    <t>513-733-0808</t>
  </si>
  <si>
    <t>513-733-0810</t>
  </si>
  <si>
    <t>American Gypsum Comp - Gypsum</t>
  </si>
  <si>
    <t>Gypsum,CO 81637</t>
  </si>
  <si>
    <t>American Hydraulics Supply, LLC</t>
  </si>
  <si>
    <t>200 Bates Industrial Drive</t>
  </si>
  <si>
    <t>Port Allen, LA 70767</t>
  </si>
  <si>
    <t>225-214-0202</t>
  </si>
  <si>
    <t>225-214-0205</t>
  </si>
  <si>
    <t>American Hydrostatic - Sterling Heights</t>
  </si>
  <si>
    <t>Sterling Heights,MI 48312</t>
  </si>
  <si>
    <t>American Industrial - Albertville</t>
  </si>
  <si>
    <t>Albertville,AL 35950</t>
  </si>
  <si>
    <t>American Insulated Wire</t>
  </si>
  <si>
    <t>2412 Hwy. 169</t>
  </si>
  <si>
    <t>Coffeyville, KS 67337</t>
  </si>
  <si>
    <t>American Laminators - Swisshome</t>
  </si>
  <si>
    <t>Swisshome,OR 9</t>
  </si>
  <si>
    <t>American Lifts - Greensburg</t>
  </si>
  <si>
    <t>Greensburg,IN 47240</t>
  </si>
  <si>
    <t>American Machine Des - Golden</t>
  </si>
  <si>
    <t>Golden,CO 80403</t>
  </si>
  <si>
    <t>American Machine Fab - Hanceville</t>
  </si>
  <si>
    <t>Hanceville,AL 35077</t>
  </si>
  <si>
    <t>American Manufacturi - Chattanooga</t>
  </si>
  <si>
    <t>Chattanooga,TN 37406</t>
  </si>
  <si>
    <t>American Marine Supp - San Diego</t>
  </si>
  <si>
    <t>San Diego,CA 92113</t>
  </si>
  <si>
    <t>American Mechanical - Sulphur</t>
  </si>
  <si>
    <t>Sulphur,LA 70663</t>
  </si>
  <si>
    <t>American Metal Products - Calexico</t>
  </si>
  <si>
    <t>Calexico,CA 92231</t>
  </si>
  <si>
    <t>American National Ca - Shelbyville</t>
  </si>
  <si>
    <t>Shelbyville,TN 37160</t>
  </si>
  <si>
    <t>American Nat'L Can C - Longview</t>
  </si>
  <si>
    <t>Longview,TX 75604</t>
  </si>
  <si>
    <t>American Nutrition - Ogden</t>
  </si>
  <si>
    <t>Ogden,UT 84401</t>
  </si>
  <si>
    <t>American Ordnance - Middlwtown</t>
  </si>
  <si>
    <t>Middlwtown,IA 52638</t>
  </si>
  <si>
    <t>Macon,GA 31208</t>
  </si>
  <si>
    <t>American President L - Dutch Harbor</t>
  </si>
  <si>
    <t>American Proteins, Inc - Hanceville</t>
  </si>
  <si>
    <t>1170 County Road 508 P.O. Box 429</t>
  </si>
  <si>
    <t>(256) 352-9821</t>
  </si>
  <si>
    <t>(256) 352-6627</t>
  </si>
  <si>
    <t>American Racing Cust - Warsaw</t>
  </si>
  <si>
    <t>Warsaw,KY 41095</t>
  </si>
  <si>
    <t>American Ref-Fuel - Preston</t>
  </si>
  <si>
    <t>Preston,CT 06365</t>
  </si>
  <si>
    <t>American Ref-Fuel/Se - West Wareham</t>
  </si>
  <si>
    <t>West Wareham,MA 0257</t>
  </si>
  <si>
    <t>American Seal Cut - South Hackensack</t>
  </si>
  <si>
    <t>American Sheet Extru - Evansville</t>
  </si>
  <si>
    <t>Evansville,IN 47711</t>
  </si>
  <si>
    <t>American Standard Shared Services</t>
  </si>
  <si>
    <t>PO Box 305004</t>
  </si>
  <si>
    <t>Nashville,TN 37230-5004</t>
  </si>
  <si>
    <t>American Steel Foundries - Granite City</t>
  </si>
  <si>
    <t>1700 Walnut Street</t>
  </si>
  <si>
    <t>Granite City,IL 62040</t>
  </si>
  <si>
    <t>(618) 452-2111</t>
  </si>
  <si>
    <t>(618) 876-6354</t>
  </si>
  <si>
    <t>St Joseph,MI 49085</t>
  </si>
  <si>
    <t>American Tower - Sanford</t>
  </si>
  <si>
    <t>Sanford,NC 27330</t>
  </si>
  <si>
    <t>Beaumont,TX 77701</t>
  </si>
  <si>
    <t>American Video Glass - Mt Pleasant</t>
  </si>
  <si>
    <t>Mt Pleasant,PA 15666</t>
  </si>
  <si>
    <t>American West Chrome - Spokane</t>
  </si>
  <si>
    <t>Spokane,WA 99202</t>
  </si>
  <si>
    <t>American Woodmark - Orange</t>
  </si>
  <si>
    <t xml:space="preserve">Orange,VA </t>
  </si>
  <si>
    <t>Ameripol Synpol Co - Port Neches</t>
  </si>
  <si>
    <t>Port Neches,TX 77651</t>
  </si>
  <si>
    <t>Amerisia Engineering - Inglewood</t>
  </si>
  <si>
    <t>Inglewood,CA 90303</t>
  </si>
  <si>
    <t>Mooresville,NC 28115</t>
  </si>
  <si>
    <t>Amertech Ind Inc - Brooklyn</t>
  </si>
  <si>
    <t>Brooklyn,NY 11231</t>
  </si>
  <si>
    <t>Amex/G Rowe - Portland</t>
  </si>
  <si>
    <t>Portland,MI 48875</t>
  </si>
  <si>
    <t>Amfac Sugar - Lihue</t>
  </si>
  <si>
    <t>2970 Kele St</t>
  </si>
  <si>
    <t>Lihue,HI 96766</t>
  </si>
  <si>
    <t>(808) 245-7325</t>
  </si>
  <si>
    <t>(808) 245-6563</t>
  </si>
  <si>
    <t>Amg Resources Corp - Pittsburgh</t>
  </si>
  <si>
    <t>Pittsburgh,PA 15225</t>
  </si>
  <si>
    <t>AMI Company</t>
  </si>
  <si>
    <t>121 Nixon St. SW</t>
  </si>
  <si>
    <t>Cascade, IA 52033</t>
  </si>
  <si>
    <t>Amick Equipment Co. - Lexington</t>
  </si>
  <si>
    <t>Lexington,SC 29072</t>
  </si>
  <si>
    <t>Amoco Chem Co #12434 - Decatur</t>
  </si>
  <si>
    <t>Decatur,AL 35601</t>
  </si>
  <si>
    <t>Amoco Chemical Compa - Naperville</t>
  </si>
  <si>
    <t>Naperville,IL 60563</t>
  </si>
  <si>
    <t>Amoco Oil Co. - Grafton</t>
  </si>
  <si>
    <t>Grafton,VA 23692</t>
  </si>
  <si>
    <t>Amoco Petroleum Prod - Whiting</t>
  </si>
  <si>
    <t>Whiting,IN 46394</t>
  </si>
  <si>
    <t>Amon Inc - Williamsburg</t>
  </si>
  <si>
    <t>Williamsburg,OH 45176</t>
  </si>
  <si>
    <t>Amsco Products - Wytheville</t>
  </si>
  <si>
    <t>Wytheville,VA 24382</t>
  </si>
  <si>
    <t>AMTRAK Pen Coach Yard</t>
  </si>
  <si>
    <t>Philadelphia,pa 19104</t>
  </si>
  <si>
    <t>Anchor Block Company - Brooklyn Park</t>
  </si>
  <si>
    <t>Brooklyn Park,MN 554</t>
  </si>
  <si>
    <t>Anchor Concrete Prod - Brick</t>
  </si>
  <si>
    <t>Brick,NJ 08724</t>
  </si>
  <si>
    <t>Anchor Packaging - Paragould</t>
  </si>
  <si>
    <t>Paragould,AR 72450</t>
  </si>
  <si>
    <t>ANCO ENGINEERS INC</t>
  </si>
  <si>
    <t>1965 A 33RD STREET</t>
  </si>
  <si>
    <t>BOULDER, CO 80301</t>
  </si>
  <si>
    <t>303-443-7580</t>
  </si>
  <si>
    <t>303-443-8034</t>
  </si>
  <si>
    <t>Anco-Eaglin Inc</t>
  </si>
  <si>
    <t>120 N. Chimney Rock Rd.</t>
  </si>
  <si>
    <t>Greensboro,NC 27409</t>
  </si>
  <si>
    <t>336-855-7800</t>
  </si>
  <si>
    <t>336-855-7831</t>
  </si>
  <si>
    <t>Wayne Price - Food Processing</t>
  </si>
  <si>
    <t>ANCO-EAGLIN, INC.</t>
  </si>
  <si>
    <t xml:space="preserve">1420 LORRAINE AVE. </t>
  </si>
  <si>
    <t>HIGH POINT, NC 27263</t>
  </si>
  <si>
    <t>Ancoma Inc - Rochester</t>
  </si>
  <si>
    <t>Rochester,NY 14611</t>
  </si>
  <si>
    <t>Andersen Corp - Bayport</t>
  </si>
  <si>
    <t>Bayport,MN 55003</t>
  </si>
  <si>
    <t>Anderson Hydraulics - Orange</t>
  </si>
  <si>
    <t>Orange,CA 92668</t>
  </si>
  <si>
    <t>Anderson Tool Compan - New Haven</t>
  </si>
  <si>
    <t>New Haven,CT 06511</t>
  </si>
  <si>
    <t>Anderson-Tulley - Vicksburg</t>
  </si>
  <si>
    <t>Vicksburg,MS 39180</t>
  </si>
  <si>
    <t>Andrew Corporation - Denton</t>
  </si>
  <si>
    <t>Denton,TX 76208</t>
  </si>
  <si>
    <t>ANDRITZ INC</t>
  </si>
  <si>
    <t>1115 NORTHMEADOW PARKWAY</t>
  </si>
  <si>
    <t>ROSWELL, GA 30076</t>
  </si>
  <si>
    <t>770-640-2500</t>
  </si>
  <si>
    <t>770-640-9454</t>
  </si>
  <si>
    <t>Andritz Inc.</t>
  </si>
  <si>
    <t>101 Bamberg Drive</t>
  </si>
  <si>
    <t>Pell City,AL 32125</t>
  </si>
  <si>
    <t>205-338-3331</t>
  </si>
  <si>
    <t>205-814-0104</t>
  </si>
  <si>
    <t>Anel Ind Inc - Winona</t>
  </si>
  <si>
    <t>Winona,MS 38967</t>
  </si>
  <si>
    <t>Angelica Corp. - St. Louis</t>
  </si>
  <si>
    <t>St. Louis,MO 63110</t>
  </si>
  <si>
    <t>Angelus Sanitary Can - Los Angeles</t>
  </si>
  <si>
    <t>Los Angeles,CA 90058</t>
  </si>
  <si>
    <t>Anheuser Busch Constr. Field Office</t>
  </si>
  <si>
    <t>750 Schrock Rd.</t>
  </si>
  <si>
    <t>Columbus, OH. 43229</t>
  </si>
  <si>
    <t>Attn: Ron McClain</t>
  </si>
  <si>
    <t>Anheuser Busch/Houston Plant</t>
  </si>
  <si>
    <t>8688 Market Street</t>
  </si>
  <si>
    <t>Houston,TX 77029</t>
  </si>
  <si>
    <t>Anheuser-Busch, Inc. - Jacksonville</t>
  </si>
  <si>
    <t>Jacksonville,FL 32211</t>
  </si>
  <si>
    <t>Annapolis Milling Co - Annapolis</t>
  </si>
  <si>
    <t>Annapolis,CA 95412</t>
  </si>
  <si>
    <t>Annette Hemlock - Metlakatla</t>
  </si>
  <si>
    <t>Metlakatla,AK 999</t>
  </si>
  <si>
    <t>Anodizing, Inc. - Billings</t>
  </si>
  <si>
    <t>Billings,MT 59101</t>
  </si>
  <si>
    <t>Anodizing, Inc. - Portland</t>
  </si>
  <si>
    <t>Portland,OR 97211</t>
  </si>
  <si>
    <t>Anthony Corrado, Inc - Lincoln</t>
  </si>
  <si>
    <t>Lincoln,RI 02865</t>
  </si>
  <si>
    <t>Anthony Forest - Washington</t>
  </si>
  <si>
    <t>Washington,GA 30673</t>
  </si>
  <si>
    <t>Anthony Forest Produ - El Dorado</t>
  </si>
  <si>
    <t>El Dorado,AR 71730</t>
  </si>
  <si>
    <t>Anthony Timberland - Bearden</t>
  </si>
  <si>
    <t>Bearden,AR 71720</t>
  </si>
  <si>
    <t>Anthony Timberland - Malvern</t>
  </si>
  <si>
    <t>Malvern,AR 72104</t>
  </si>
  <si>
    <t>AOC - Valparaiso</t>
  </si>
  <si>
    <t>2552 Industrial Dr</t>
  </si>
  <si>
    <t>Valparaiso,IN 46383</t>
  </si>
  <si>
    <t>(219) 465-1611</t>
  </si>
  <si>
    <t>Apache Stainless Equ - Beaver Dam</t>
  </si>
  <si>
    <t>Beaver Dam,WI 53916</t>
  </si>
  <si>
    <t xml:space="preserve">APAC-Kansas Inc     </t>
  </si>
  <si>
    <t>Shears Division-Wichita Branch</t>
  </si>
  <si>
    <t>3511 S West St</t>
  </si>
  <si>
    <t>Wichita, KS 67217</t>
  </si>
  <si>
    <t>Apalachin Planing Mi - Apalachin</t>
  </si>
  <si>
    <t>Apalachin,NY 13732</t>
  </si>
  <si>
    <t>APC - Forest Products</t>
  </si>
  <si>
    <t>Muscle Shoals,AL 35661</t>
  </si>
  <si>
    <t>256-476-5525</t>
  </si>
  <si>
    <t>256-248-3323</t>
  </si>
  <si>
    <t>APEL Steel Inc - Cullman</t>
  </si>
  <si>
    <t>2345 2nd Avenue Northwest</t>
  </si>
  <si>
    <t>Cullman,AL 35058</t>
  </si>
  <si>
    <t>(256) 739-6280</t>
  </si>
  <si>
    <t>Apex Design Technolo - Anaheim</t>
  </si>
  <si>
    <t>2850 e. Coronado St.</t>
  </si>
  <si>
    <t>Anaheim,CA 92806</t>
  </si>
  <si>
    <t>714-688-7188</t>
  </si>
  <si>
    <t>714-688-7189</t>
  </si>
  <si>
    <t>Apex Design Technology, Inc.</t>
  </si>
  <si>
    <t>256-340-9247</t>
  </si>
  <si>
    <t>256-340-9248</t>
  </si>
  <si>
    <t>Apex Industrial Equi - Salem</t>
  </si>
  <si>
    <t>Salem,VA 24153</t>
  </si>
  <si>
    <t>Api Direct Service - Oak Creek</t>
  </si>
  <si>
    <t>Oak Creek,WI 53154</t>
  </si>
  <si>
    <t>Apllied Ind Tech -Cl - Cloquet</t>
  </si>
  <si>
    <t>Cloquet,MN 55720</t>
  </si>
  <si>
    <t>Apollo Products Inc. - Willoughby</t>
  </si>
  <si>
    <t>Willoughby,OH 44094</t>
  </si>
  <si>
    <t>Apple Etc - Lancaster</t>
  </si>
  <si>
    <t>Lancaster,TX 75146</t>
  </si>
  <si>
    <t>Appleton Electric - Columbus</t>
  </si>
  <si>
    <t>Columbus,NE 68601</t>
  </si>
  <si>
    <t>Appleton Hydraulic C - Appleton</t>
  </si>
  <si>
    <t>2625 S. Lakeland Drive</t>
  </si>
  <si>
    <t>Appleton,WI 54914</t>
  </si>
  <si>
    <t>(920) 749-9136</t>
  </si>
  <si>
    <t xml:space="preserve">(920) 749-9295 </t>
  </si>
  <si>
    <t>Appleton Wire Co. - Montgomery</t>
  </si>
  <si>
    <t>Montgomery,AL 36116</t>
  </si>
  <si>
    <t>Applied Aerospace St - Stockton</t>
  </si>
  <si>
    <t>Stockton,CA 95206</t>
  </si>
  <si>
    <t>Applied Controls - Grand Island</t>
  </si>
  <si>
    <t>3727 Westgate Road</t>
  </si>
  <si>
    <t>Grand Island,NE 68803</t>
  </si>
  <si>
    <t>(800) 323-5749</t>
  </si>
  <si>
    <t>(308) 382-0253</t>
  </si>
  <si>
    <t>Applied Fluid Power - Richmond</t>
  </si>
  <si>
    <t>Richmond,VA 23230</t>
  </si>
  <si>
    <t>Applied Fluid System - Pelham</t>
  </si>
  <si>
    <t>Pelham,AL 35124</t>
  </si>
  <si>
    <t>205-664-0636</t>
  </si>
  <si>
    <t>855 MITCHELL ROAD</t>
  </si>
  <si>
    <t>TUPELO, MS 38801</t>
  </si>
  <si>
    <t>662-844-4640</t>
  </si>
  <si>
    <t>662-841-5144</t>
  </si>
  <si>
    <t>2400 No. Sandra St.</t>
  </si>
  <si>
    <t>920-739-5351</t>
  </si>
  <si>
    <t>920-739-8453</t>
  </si>
  <si>
    <t>1028  35th St. NO</t>
  </si>
  <si>
    <t>Birmingham,AL 35234</t>
  </si>
  <si>
    <t>205-328-1532</t>
  </si>
  <si>
    <t>205-322-9089</t>
  </si>
  <si>
    <t>32189 Hwy 31</t>
  </si>
  <si>
    <t>Brewton,AL 36426</t>
  </si>
  <si>
    <t>251-867-77962</t>
  </si>
  <si>
    <t>251-867-5751</t>
  </si>
  <si>
    <t>536 East 1st St.</t>
  </si>
  <si>
    <t>Craig, CO 81625</t>
  </si>
  <si>
    <t>970-824-8274</t>
  </si>
  <si>
    <t>1812 Highway 80 East</t>
  </si>
  <si>
    <t>Demopolis,AL 36732</t>
  </si>
  <si>
    <t>334-289-4320</t>
  </si>
  <si>
    <t>334-289-4328</t>
  </si>
  <si>
    <t>3525 RIDER TRAIL SOUTH</t>
  </si>
  <si>
    <t>EARTH CITY, MO, 63045</t>
  </si>
  <si>
    <t>314-739-7391</t>
  </si>
  <si>
    <t>2628A North Cullen Ave</t>
  </si>
  <si>
    <t>Evansville, IN 47715</t>
  </si>
  <si>
    <t>812-473-2529</t>
  </si>
  <si>
    <t>812-473-2623</t>
  </si>
  <si>
    <t>120 INDUSTRIAL AVE</t>
  </si>
  <si>
    <t>GREENSBORO, NC, 27406-4505</t>
  </si>
  <si>
    <t>336-274-4686</t>
  </si>
  <si>
    <t>336-274-1633</t>
  </si>
  <si>
    <t>7037-26 Commonwealth Ave</t>
  </si>
  <si>
    <t>Jacksonville, FL 32220</t>
  </si>
  <si>
    <t>904-693-9978</t>
  </si>
  <si>
    <t>904-695-4223</t>
  </si>
  <si>
    <t>4611 Assembly Dr</t>
  </si>
  <si>
    <t>Lanham, MD 20706-4371</t>
  </si>
  <si>
    <t>301-306-0555</t>
  </si>
  <si>
    <t>301-306-0595</t>
  </si>
  <si>
    <t>1050 West Lathrop Ave.</t>
  </si>
  <si>
    <t>Savannah, GA 31415</t>
  </si>
  <si>
    <t>912-234-1371</t>
  </si>
  <si>
    <t>912-236-8379</t>
  </si>
  <si>
    <t>2408 e Willow St</t>
  </si>
  <si>
    <t>Scottsboro,AL 35768</t>
  </si>
  <si>
    <t>256-259-1445</t>
  </si>
  <si>
    <t>256-259-2185</t>
  </si>
  <si>
    <t>281-240-1240</t>
  </si>
  <si>
    <t>281-240-3309</t>
  </si>
  <si>
    <t>909 N Front Street</t>
  </si>
  <si>
    <t>Yakima, WA 98901-2221</t>
  </si>
  <si>
    <t>509-457-1600</t>
  </si>
  <si>
    <t>509-453-8895</t>
  </si>
  <si>
    <t>615-244-6462</t>
  </si>
  <si>
    <t>615-255-4345</t>
  </si>
  <si>
    <t>3601 Vineland Rd, Suite 10</t>
  </si>
  <si>
    <t>Orlando,FL 32811</t>
  </si>
  <si>
    <t xml:space="preserve">407-422-2115 </t>
  </si>
  <si>
    <t>407-422-2270</t>
  </si>
  <si>
    <t>1021 W. Jackson Street</t>
  </si>
  <si>
    <t>Thomasville,GA 31792</t>
  </si>
  <si>
    <t>229-228-0203</t>
  </si>
  <si>
    <t>229-228-5249</t>
  </si>
  <si>
    <t>2253 3rd Ave</t>
  </si>
  <si>
    <t>Dothan,AL 36301-5303</t>
  </si>
  <si>
    <t>334-793-3384</t>
  </si>
  <si>
    <t>334-793-2588</t>
  </si>
  <si>
    <t>270-781-9637</t>
  </si>
  <si>
    <t>Applied Industrial Tech - Camden</t>
  </si>
  <si>
    <t>1284 California Ave. S.W.</t>
  </si>
  <si>
    <t>Camden, AR 71701</t>
  </si>
  <si>
    <t>870-836-8683</t>
  </si>
  <si>
    <t>870-837-2514</t>
  </si>
  <si>
    <t>15504 Industrial Parkway</t>
  </si>
  <si>
    <t>Cleveland, OH 44138</t>
  </si>
  <si>
    <t>216-267-2400</t>
  </si>
  <si>
    <t>216-267-3216</t>
  </si>
  <si>
    <t>Applied Industrial Tech - Cleveland, TN</t>
  </si>
  <si>
    <t>1485 Blythe Ferry Rd NE</t>
  </si>
  <si>
    <t>Cleveland, TN 37312</t>
  </si>
  <si>
    <t>423-476-7853</t>
  </si>
  <si>
    <t>Applied Industrial Tech - Denver</t>
  </si>
  <si>
    <t>5454 Havana St. Unit 714</t>
  </si>
  <si>
    <t>Denver, CO 80239-2001</t>
  </si>
  <si>
    <t>303-375-9696</t>
  </si>
  <si>
    <t>303-576-2525</t>
  </si>
  <si>
    <t>Applied Industrial Tech - Knoxville, TN</t>
  </si>
  <si>
    <t>Power Park 3200 Dresser R.</t>
  </si>
  <si>
    <t>Knoxville, TN 37920-5567</t>
  </si>
  <si>
    <t>865-573-0022</t>
  </si>
  <si>
    <t>865-573-2421</t>
  </si>
  <si>
    <t>1824 TOUBY PIKE SUITE A</t>
  </si>
  <si>
    <t>KOKOMO, IN 46901-2591</t>
  </si>
  <si>
    <t>Applied Industrial Tech - Omaha</t>
  </si>
  <si>
    <t>6150 Grover Street</t>
  </si>
  <si>
    <t>Omaha, NE 68106</t>
  </si>
  <si>
    <t>402-553-2000</t>
  </si>
  <si>
    <t>402-553-2001</t>
  </si>
  <si>
    <t>Applied Industrial Tech - White Hall, AR</t>
  </si>
  <si>
    <t>7209 Sheridan RD</t>
  </si>
  <si>
    <t>White Hall, AR 71602-3214</t>
  </si>
  <si>
    <t>870-247-8500</t>
  </si>
  <si>
    <t>870-247-8501</t>
  </si>
  <si>
    <t>400Hilbig Road</t>
  </si>
  <si>
    <t>Conroe, TX 77301</t>
  </si>
  <si>
    <t>936-756-6464</t>
  </si>
  <si>
    <t>936-756-5728</t>
  </si>
  <si>
    <t>620 Buffington Rd.</t>
  </si>
  <si>
    <t>Spartanburg, SC 29303</t>
  </si>
  <si>
    <t>531 Highway 49 S</t>
  </si>
  <si>
    <t>Richland,MS 39218-9495</t>
  </si>
  <si>
    <t>601-939-1417</t>
  </si>
  <si>
    <t>601-932-4090</t>
  </si>
  <si>
    <t>1001 Maddox Simpson Pkwy.</t>
  </si>
  <si>
    <t>Lebanon, TN 37090</t>
  </si>
  <si>
    <t>Applied Plastics - Portland</t>
  </si>
  <si>
    <t>Portland,OR 97232</t>
  </si>
  <si>
    <t>Applied Tech - Nederland</t>
  </si>
  <si>
    <t>Nederland,TX 77627</t>
  </si>
  <si>
    <t>Apv Baker Inc - Goldsboro</t>
  </si>
  <si>
    <t>1200 W Ash St</t>
  </si>
  <si>
    <t>Goldsboro,NC 27530</t>
  </si>
  <si>
    <t>(919) 735-4570</t>
  </si>
  <si>
    <t>Apv Crepaco, Inc. - Lake Mills</t>
  </si>
  <si>
    <t>Lake Mills,WI 53551</t>
  </si>
  <si>
    <t>Apw Engineered Solutions - Waukesha</t>
  </si>
  <si>
    <t>Waukesha,WI 53188</t>
  </si>
  <si>
    <t>Apw Mclean - Champlin</t>
  </si>
  <si>
    <t>Champlin,MN 55316</t>
  </si>
  <si>
    <t>Aqua Treat, Inc. - Chattanooga</t>
  </si>
  <si>
    <t>Arasmith Manufacturing - Armuchee</t>
  </si>
  <si>
    <t>Armuchee,GA 30105</t>
  </si>
  <si>
    <t>Arbco Ind Inc - Export</t>
  </si>
  <si>
    <t>Export,PA 15632</t>
  </si>
  <si>
    <t>Arbogast Special Eff - Saugus</t>
  </si>
  <si>
    <t>Saugus,CA 91350</t>
  </si>
  <si>
    <t>Arcata Redwood Compa - Orick</t>
  </si>
  <si>
    <t>Orick,CA 95555</t>
  </si>
  <si>
    <t>Arcelormittal Georgetown</t>
  </si>
  <si>
    <t>1219 Front St</t>
  </si>
  <si>
    <t>Georgetown, SC 29440</t>
  </si>
  <si>
    <t>FPC's Customer</t>
  </si>
  <si>
    <t xml:space="preserve">ARCELORMITTAL, VINTON, INC. </t>
  </si>
  <si>
    <t>INTERSTATE 10 AT VINTON RD</t>
  </si>
  <si>
    <t>VINTON, TX 79835-9998</t>
  </si>
  <si>
    <t>915-781-2020</t>
  </si>
  <si>
    <t>915-781-2121</t>
  </si>
  <si>
    <t>IBT - ELPASO</t>
  </si>
  <si>
    <t>Archer Manufacturing - Chicago</t>
  </si>
  <si>
    <t>Chicago,IL 60632</t>
  </si>
  <si>
    <t>Architectural Window - Maywood</t>
  </si>
  <si>
    <t>Maywood,NJ 07607</t>
  </si>
  <si>
    <t>Arcmaster Enterprise - Latrobe</t>
  </si>
  <si>
    <t>Latrobe,PA 15650</t>
  </si>
  <si>
    <t>Arcturus Marine Syst - Rohnert Park</t>
  </si>
  <si>
    <t>Rohnert Park,CA 94928</t>
  </si>
  <si>
    <t>Ardan Engr Corp - Dighton</t>
  </si>
  <si>
    <t>Dighton,MA 02715</t>
  </si>
  <si>
    <t>Ares Corporation - Scottsboro</t>
  </si>
  <si>
    <t>Argonne National Lab - Argonne</t>
  </si>
  <si>
    <t>Argonne,IL 60439</t>
  </si>
  <si>
    <t>Ari, Inc - Jackson</t>
  </si>
  <si>
    <t>Jackson,MO 63755</t>
  </si>
  <si>
    <t>Arizona Contract Ser - Tempe</t>
  </si>
  <si>
    <t>Tempe,AZ 85281</t>
  </si>
  <si>
    <t>Arizona Pallet Excha - Phoenix</t>
  </si>
  <si>
    <t>Phoenix,AZ 85043</t>
  </si>
  <si>
    <t>Arlington Concrete Products - Arlington</t>
  </si>
  <si>
    <t>Arlington,MN 55307</t>
  </si>
  <si>
    <t>Armil Inc - South Holland</t>
  </si>
  <si>
    <t>South Holland,IL 60473</t>
  </si>
  <si>
    <t>Armstrong Hardwood Floor</t>
  </si>
  <si>
    <t>1735 N Washington St.</t>
  </si>
  <si>
    <t>Vicksburg, MS 39183</t>
  </si>
  <si>
    <t>Ruston Ind's Customer</t>
  </si>
  <si>
    <t>Armstrong Hardwood Floring - Warren</t>
  </si>
  <si>
    <t>688 Hwy 278 Bypass</t>
  </si>
  <si>
    <t>Warren, AR, 71671</t>
  </si>
  <si>
    <t>Ruston's Customer</t>
  </si>
  <si>
    <t>ARMSTRONG HYDRAULICS</t>
  </si>
  <si>
    <t>3336 LODGE AVE</t>
  </si>
  <si>
    <t>DAYTON, OH 45414</t>
  </si>
  <si>
    <t>Armstrong World Ind - Mebane</t>
  </si>
  <si>
    <t>Mebane,NC 27302</t>
  </si>
  <si>
    <t>Armtec Defense Products - Coachella</t>
  </si>
  <si>
    <t>Coachella,CA 92236</t>
  </si>
  <si>
    <t>ARMY CORPS OF ENGINEERS PERFORMANCE SPECIALISTS</t>
  </si>
  <si>
    <t>885 ALMOTA FERRY ROAD</t>
  </si>
  <si>
    <t>POMEROY, WA 99347-9758</t>
  </si>
  <si>
    <t>509-527-7220</t>
  </si>
  <si>
    <t>ARMY TACOM LCMC</t>
  </si>
  <si>
    <t>AMSTA-AQ-HAD</t>
  </si>
  <si>
    <t>Warren, MI 48397-5000</t>
  </si>
  <si>
    <t>Arna Machine - Plainville</t>
  </si>
  <si>
    <t>Plainville,CT 06062</t>
  </si>
  <si>
    <t>Arnim Tool Inc - Dallas</t>
  </si>
  <si>
    <t>Dallas,TX 75229</t>
  </si>
  <si>
    <t>Arnold Engr Co - Marengo</t>
  </si>
  <si>
    <t>Marengo,IL 60152</t>
  </si>
  <si>
    <t>Arrington Supply House</t>
  </si>
  <si>
    <t>2919  11th Avenue</t>
  </si>
  <si>
    <t>Tuscaloosa,AL 35403</t>
  </si>
  <si>
    <t>205-349-2270</t>
  </si>
  <si>
    <t>205-752-2066</t>
  </si>
  <si>
    <t>Arrow Acme - Webstercity</t>
  </si>
  <si>
    <t>Webstercity,IA 5059</t>
  </si>
  <si>
    <t>Arrow Steel - Paterson</t>
  </si>
  <si>
    <t>Paterson,NJ 07514</t>
  </si>
  <si>
    <t>Arrow/Rio Bravo Inte - El Paso</t>
  </si>
  <si>
    <t>El Paso,TX 79939</t>
  </si>
  <si>
    <t>Arrowhead Ind Service - Graham</t>
  </si>
  <si>
    <t>Graham,NC 27253</t>
  </si>
  <si>
    <t>Arroyo Optics - Santa Monica</t>
  </si>
  <si>
    <t>Santa Monica,CA 90405</t>
  </si>
  <si>
    <t>Artech - Clarksville</t>
  </si>
  <si>
    <t>Clarksville,AR 72820</t>
  </si>
  <si>
    <t>Arthur Bedford - Escondido</t>
  </si>
  <si>
    <t>Escondido,CA 92026</t>
  </si>
  <si>
    <t>Arthur Corp - Huron</t>
  </si>
  <si>
    <t>Huron,OH 44839</t>
  </si>
  <si>
    <t>Artoff Construction - Gold Hill</t>
  </si>
  <si>
    <t>Gold Hill,OR 97525</t>
  </si>
  <si>
    <t>Arvin Ind Inc. - Dexter</t>
  </si>
  <si>
    <t xml:space="preserve">Dexter,MO </t>
  </si>
  <si>
    <t>As America - Columbia</t>
  </si>
  <si>
    <t>Columbia,SC 29209</t>
  </si>
  <si>
    <t>Asarco Incorporated - Hayden</t>
  </si>
  <si>
    <t>Hayden,AZ 85235</t>
  </si>
  <si>
    <t>Asarco, Inc. - East Helena</t>
  </si>
  <si>
    <t>East Helena,MT 5963</t>
  </si>
  <si>
    <t>Asc Exterior Technol - East Tawas</t>
  </si>
  <si>
    <t>East Tawas,MI 48730</t>
  </si>
  <si>
    <t>518 S Bay</t>
  </si>
  <si>
    <t>Foley, AL 36535</t>
  </si>
  <si>
    <t>Motion Ind - AL02 Mobile's Customer</t>
  </si>
  <si>
    <t>Ash Grove Cement - Chanute</t>
  </si>
  <si>
    <t>1801 North Santa Fe</t>
  </si>
  <si>
    <t>Chanute,KS 66720</t>
  </si>
  <si>
    <t>Ash Grove Cement CO</t>
  </si>
  <si>
    <t>Chanute, KS 66720</t>
  </si>
  <si>
    <t>Ash Grove Cement Co. - Inkom</t>
  </si>
  <si>
    <t>Inkom,ID 83245</t>
  </si>
  <si>
    <t>Ashen Assembly - Blue Island</t>
  </si>
  <si>
    <t>Blue Island,IL 60406</t>
  </si>
  <si>
    <t>Ashland Chemical Com - Ashland</t>
  </si>
  <si>
    <t>Ashland,OH 44805</t>
  </si>
  <si>
    <t>Ashmore Machine - Greenville</t>
  </si>
  <si>
    <t>Greenville,KY 42345</t>
  </si>
  <si>
    <t>Ashton Lewis Lumber - Gatesville</t>
  </si>
  <si>
    <t>Gatesville,NC 27938</t>
  </si>
  <si>
    <t>Asi Tech Inc - Milwaukee</t>
  </si>
  <si>
    <t>Milwaukee,WI 53225</t>
  </si>
  <si>
    <t>Asko Hydraulic Repai - Seattle</t>
  </si>
  <si>
    <t>Seattle,WA 98199</t>
  </si>
  <si>
    <t>Asl Incorporated - San Leandro</t>
  </si>
  <si>
    <t>San Leandro,CA 9457</t>
  </si>
  <si>
    <t>Aspen Consulting Of - Greenville</t>
  </si>
  <si>
    <t>Greenville,SC 29609</t>
  </si>
  <si>
    <t>Assembly Concepts - Rose City</t>
  </si>
  <si>
    <t>Rose City,MI 48654</t>
  </si>
  <si>
    <t>Associated Fabricato - Milwaukee</t>
  </si>
  <si>
    <t>Milwaukee,WI 53207</t>
  </si>
  <si>
    <t>Associated Industria - Ashville</t>
  </si>
  <si>
    <t>Ashville,NC 28804</t>
  </si>
  <si>
    <t>Associated Tooling - Ft. Collins</t>
  </si>
  <si>
    <t>Ft. Collins,CO 80524</t>
  </si>
  <si>
    <t>Tualatin,OR 97062</t>
  </si>
  <si>
    <t>Ast Adhesive Systems - Minneapolis</t>
  </si>
  <si>
    <t>Minneapolis,MN 55406</t>
  </si>
  <si>
    <t>Astec Inc. - Baltimore</t>
  </si>
  <si>
    <t>Baltimore,MD 21224</t>
  </si>
  <si>
    <t>Astec Ind - Chattanooga</t>
  </si>
  <si>
    <t>4101 Jerome Avenue</t>
  </si>
  <si>
    <t>Chattanooga,TN 37407</t>
  </si>
  <si>
    <t>(800) 468-5938</t>
  </si>
  <si>
    <t>(423) 867-1930</t>
  </si>
  <si>
    <t>Astro Model - Eastlake</t>
  </si>
  <si>
    <t>Eastlake,OH 44095</t>
  </si>
  <si>
    <t>ATA</t>
  </si>
  <si>
    <t>1476 Avenue E</t>
  </si>
  <si>
    <t>Arnold AFB, TN 37389</t>
  </si>
  <si>
    <t>931-454-7773</t>
  </si>
  <si>
    <t>931-454-7904</t>
  </si>
  <si>
    <t>peggy.washington@arnold.af.mil</t>
  </si>
  <si>
    <t>Atec Fluid Power - Fort Worth</t>
  </si>
  <si>
    <t>Fort Worth,TX 76116</t>
  </si>
  <si>
    <t>Athens Products - Athens</t>
  </si>
  <si>
    <t>Athens,TN 37303</t>
  </si>
  <si>
    <t>Athey - Clare</t>
  </si>
  <si>
    <t>Clare,MI 48617</t>
  </si>
  <si>
    <t>ATI FIRTH STERLING</t>
  </si>
  <si>
    <t>481 FIRE TOWER ROAD</t>
  </si>
  <si>
    <t>GRANT, AL 35747</t>
  </si>
  <si>
    <t>ATI HUNTSVILLE POWER PRODUCTS</t>
  </si>
  <si>
    <t>7300 HWY 20 W. ATTN: STOREROOM 2</t>
  </si>
  <si>
    <t>HUNTSVILLE, AL 35806</t>
  </si>
  <si>
    <t>BRUCKNER SUPPLY CUSTOMER</t>
  </si>
  <si>
    <t>Atikokan Forest Products - Atikokan</t>
  </si>
  <si>
    <t>Sapawe Road, Highway 623</t>
  </si>
  <si>
    <t>Atikokan,ONT P0T 1C0</t>
  </si>
  <si>
    <t>(807) 929-2253</t>
  </si>
  <si>
    <t>(807) 929-2189</t>
  </si>
  <si>
    <t>ATK Lake City Ammunition PL 24</t>
  </si>
  <si>
    <t>Independence, MO. 64057</t>
  </si>
  <si>
    <t>Atkinson Fluid Power - South Gate</t>
  </si>
  <si>
    <t>South Gate,CA 90280</t>
  </si>
  <si>
    <t>Atkinson Hydraulic - Culver City</t>
  </si>
  <si>
    <t>Culver City,CA 90232</t>
  </si>
  <si>
    <t>Atlanta Thermoplastics - Tucker</t>
  </si>
  <si>
    <t>Tucker,GA 30084</t>
  </si>
  <si>
    <t>Atlantic Baking Corp - Pittsburgh</t>
  </si>
  <si>
    <t>Pittsburgh,PA 1520</t>
  </si>
  <si>
    <t>Charlotte,NC 28209</t>
  </si>
  <si>
    <t>Atlantic Fluid Power - Islandia</t>
  </si>
  <si>
    <t>Islandia,NY 11749</t>
  </si>
  <si>
    <t>Atlantic Fluid Power Inc. - Hauppauge</t>
  </si>
  <si>
    <t>111 Bridge Road</t>
  </si>
  <si>
    <t>Hauppauge,NY 11788</t>
  </si>
  <si>
    <t>(908) 522-0600</t>
  </si>
  <si>
    <t>(631) 234-3283</t>
  </si>
  <si>
    <t>Atlantic Hydraulics - Pittsboro</t>
  </si>
  <si>
    <t>Pittsboro,NC 27312</t>
  </si>
  <si>
    <t>Atlantic Marine Inc. - Jacksonville</t>
  </si>
  <si>
    <t>Jacksonville,FL 32226</t>
  </si>
  <si>
    <t>227 Pacific Ave.</t>
  </si>
  <si>
    <t>Moncton,NB E1E 2G7</t>
  </si>
  <si>
    <t>(506) 388-4868</t>
  </si>
  <si>
    <t>(506) 388-4998</t>
  </si>
  <si>
    <t>Atlas Fluid Components - Cuyahoga Falls</t>
  </si>
  <si>
    <t>135 East Ascot Lane</t>
  </si>
  <si>
    <t>Cuyahoga Falls,OH 44223-4050</t>
  </si>
  <si>
    <t>(330) 923-4853</t>
  </si>
  <si>
    <t>Atlas Group America - Charlotte</t>
  </si>
  <si>
    <t>Charlotte,NC 28273</t>
  </si>
  <si>
    <t>Atlas Pacific Engine - Pueblo</t>
  </si>
  <si>
    <t>Pueblo,CO 81001</t>
  </si>
  <si>
    <t>Atlas Roofing - Ardmore</t>
  </si>
  <si>
    <t>Ardmore,OK 73402</t>
  </si>
  <si>
    <t>Atlas Tube, Inc.</t>
  </si>
  <si>
    <t>1855 East 122nd Street</t>
  </si>
  <si>
    <t>Chicago, IL, 60633</t>
  </si>
  <si>
    <t>Motion Ind - Country Side, IL - Customer</t>
  </si>
  <si>
    <t>Atlast Fluid Power - Dubuque</t>
  </si>
  <si>
    <t>65 Main Street</t>
  </si>
  <si>
    <t>Dubuque,IA 52001</t>
  </si>
  <si>
    <t>563-557-1724</t>
  </si>
  <si>
    <t>563-557-7875</t>
  </si>
  <si>
    <t>Atols Tool Mold - Schiller Park</t>
  </si>
  <si>
    <t xml:space="preserve">Schiller Park,IL </t>
  </si>
  <si>
    <t>ATP - Tucker</t>
  </si>
  <si>
    <t>Ats-Jefferson - Pendergrass</t>
  </si>
  <si>
    <t>Atwood Forest Products</t>
  </si>
  <si>
    <t>1177 17 Mile Rd.</t>
  </si>
  <si>
    <t>Cedar Springs, MI 49319</t>
  </si>
  <si>
    <t>Crosby's Customer</t>
  </si>
  <si>
    <t>Atwood Hunter - Fourchon</t>
  </si>
  <si>
    <t>Fourchon,LA 70357</t>
  </si>
  <si>
    <t>Atwood Mobile Products - Rockford</t>
  </si>
  <si>
    <t>Rockford,IL 61103</t>
  </si>
  <si>
    <t>Audubon Metals</t>
  </si>
  <si>
    <t xml:space="preserve">3055 Ohio Drive </t>
  </si>
  <si>
    <t xml:space="preserve">270-830-6622 </t>
  </si>
  <si>
    <t>270-830-9594</t>
  </si>
  <si>
    <t>Augusta Concrete Blo - North Augusta</t>
  </si>
  <si>
    <t>North Augusta,SC 298</t>
  </si>
  <si>
    <t>North Garden,VA 229</t>
  </si>
  <si>
    <t>Augusta Lumber Co. - Waynesboro</t>
  </si>
  <si>
    <t>Waynesboro,VA 22980</t>
  </si>
  <si>
    <t>Augusta Mill Supply - Augusta</t>
  </si>
  <si>
    <t>Augusta,GA 30903</t>
  </si>
  <si>
    <t>Auroro Casket Co - Aurora</t>
  </si>
  <si>
    <t>Aurora,IN 47001</t>
  </si>
  <si>
    <t>Ausimont, Usa - Orange</t>
  </si>
  <si>
    <t>Orange,TX 77631</t>
  </si>
  <si>
    <t>Austrian Machine Cor - Cranston</t>
  </si>
  <si>
    <t>Cranston,RI 02920</t>
  </si>
  <si>
    <t>Automatan Fabricating - Plover</t>
  </si>
  <si>
    <t>2911 Apache Drive</t>
  </si>
  <si>
    <t>Plover,Wi 54467</t>
  </si>
  <si>
    <t>(715) 341-7663</t>
  </si>
  <si>
    <t>(715) 341-7712</t>
  </si>
  <si>
    <t>Automated Industrial - Coffeyville</t>
  </si>
  <si>
    <t>Coffeyville,KS 67337</t>
  </si>
  <si>
    <t>Automated Lumber Handling - Lenoir</t>
  </si>
  <si>
    <t>723 Virginia Street Southwest</t>
  </si>
  <si>
    <t>Lenoir,NC 28645</t>
  </si>
  <si>
    <t>(800) 562-2799</t>
  </si>
  <si>
    <t>(828) 754-1073</t>
  </si>
  <si>
    <t>Automated Production Solutions, Inc.</t>
  </si>
  <si>
    <t>2000 Brant Street</t>
  </si>
  <si>
    <t>Burlington, ON L7P-3A6</t>
  </si>
  <si>
    <t>905-331-2610</t>
  </si>
  <si>
    <t>905-407-2610</t>
  </si>
  <si>
    <t>Houston,TX 77021</t>
  </si>
  <si>
    <t>Automatic Rolls Of N - Dayville</t>
  </si>
  <si>
    <t>Dayville,CT 06241</t>
  </si>
  <si>
    <t>Automation Associate - Arlington Height</t>
  </si>
  <si>
    <t>Arlington Height,IL 60</t>
  </si>
  <si>
    <t>Automation Engineering Co - Baton Rouge</t>
  </si>
  <si>
    <t>9941 Mammoth Avenue</t>
  </si>
  <si>
    <t>Baton Rouge,LA 70814</t>
  </si>
  <si>
    <t>(800) 844-4433</t>
  </si>
  <si>
    <t>(225) 927-6641</t>
  </si>
  <si>
    <t>Automation Engineering Co - Lafayette</t>
  </si>
  <si>
    <t>104 Row #3</t>
  </si>
  <si>
    <t>Lafayette,LA 70508</t>
  </si>
  <si>
    <t>(337) 593-0809</t>
  </si>
  <si>
    <t>(337) 593-0820</t>
  </si>
  <si>
    <t>Automation Engineering Co-Broussard</t>
  </si>
  <si>
    <t>210 Millstone Rd</t>
  </si>
  <si>
    <t>Broussard,LA 70518</t>
  </si>
  <si>
    <t>337-839-9262</t>
  </si>
  <si>
    <t>337-839-9263</t>
  </si>
  <si>
    <t>Automation Inc - W Hartford</t>
  </si>
  <si>
    <t>W Hartford,CT 06110</t>
  </si>
  <si>
    <t>Automation Plating - Glendale</t>
  </si>
  <si>
    <t>Glendale,CA 91201</t>
  </si>
  <si>
    <t>Automation Services Inc</t>
  </si>
  <si>
    <t>2111 N.Lakeshore Drive</t>
  </si>
  <si>
    <t>Lake City,MN 55041</t>
  </si>
  <si>
    <t>651-345-5753</t>
  </si>
  <si>
    <t>651-345-5835</t>
  </si>
  <si>
    <t>Automation Technique - Grand Rapids</t>
  </si>
  <si>
    <t>3315 3 Mile Road NW</t>
  </si>
  <si>
    <t>Grand Rapids,MI 49544</t>
  </si>
  <si>
    <t>(616) 735-6000</t>
  </si>
  <si>
    <t>(616) 735-6001</t>
  </si>
  <si>
    <t>Automation Technolog - Birmingham</t>
  </si>
  <si>
    <t>Birmingham,AL 35244</t>
  </si>
  <si>
    <t>Averitt Lumber Co - Clarksville</t>
  </si>
  <si>
    <t>Clarksville,TN 37042</t>
  </si>
  <si>
    <t>Avison Lumber - Molalla</t>
  </si>
  <si>
    <t>Molalla,OR 97038</t>
  </si>
  <si>
    <t>Avnet Industrial - Cranston</t>
  </si>
  <si>
    <t>AVS - Ayer</t>
  </si>
  <si>
    <t>Awosco Network Intn' - Windsor Mill</t>
  </si>
  <si>
    <t>Windsor Mill,MD 212</t>
  </si>
  <si>
    <t>Axiom Inc - Sioux Falls</t>
  </si>
  <si>
    <t>Sioux Falls,SD 57103</t>
  </si>
  <si>
    <t>Ayanna Plastics</t>
  </si>
  <si>
    <t>4701 110th Ave. N</t>
  </si>
  <si>
    <t>Clearwater, FL 33762</t>
  </si>
  <si>
    <t>Power Syatems of Florida Customer</t>
  </si>
  <si>
    <t>Azdell Hydraulics - Mexico</t>
  </si>
  <si>
    <t>850 Agricultural Street</t>
  </si>
  <si>
    <t>Mexico,MO 65265</t>
  </si>
  <si>
    <t>(573) 581-8058</t>
  </si>
  <si>
    <t>(573) 581-6952</t>
  </si>
  <si>
    <t>Aziz Wood Working - El Paso</t>
  </si>
  <si>
    <t>El Paso,TX 79801</t>
  </si>
  <si>
    <t>Azteca Milling Co - Edinburg</t>
  </si>
  <si>
    <t>501 W Chapin St</t>
  </si>
  <si>
    <t>Edinburg,TX 78539</t>
  </si>
  <si>
    <t>(956) 383-4911</t>
  </si>
  <si>
    <t>Florence Darlington</t>
  </si>
  <si>
    <t>Darlington,SC 29532</t>
  </si>
  <si>
    <t>(843) 393-8731</t>
  </si>
  <si>
    <t>(843) 393-8732</t>
  </si>
  <si>
    <t>4800 Solvay Rd</t>
  </si>
  <si>
    <t>Jamesville,NY 13078</t>
  </si>
  <si>
    <t>(315) 492-1786</t>
  </si>
  <si>
    <t>Santa Fe Springs,CA 90670</t>
  </si>
  <si>
    <t>Wilmington,NC 28405</t>
  </si>
  <si>
    <t>2601 S Walnut St</t>
  </si>
  <si>
    <t>Muncie,IN 47302</t>
  </si>
  <si>
    <t>(765) 288-7668</t>
  </si>
  <si>
    <t>411 Wolf Ledges Pkwy #104</t>
  </si>
  <si>
    <t>Akron,OH 44311</t>
  </si>
  <si>
    <t>(330) 375-1632</t>
  </si>
  <si>
    <t>Osmond,NE 68765</t>
  </si>
  <si>
    <t>842 Norton Ave</t>
  </si>
  <si>
    <t>Barberton,OH 44203</t>
  </si>
  <si>
    <t>(330) 848-4000</t>
  </si>
  <si>
    <t>New Britain,CT 06051</t>
  </si>
  <si>
    <t>, L1A 3V6</t>
  </si>
  <si>
    <t>158 Old Wagener Rd</t>
  </si>
  <si>
    <t>Aiken,SC 29801</t>
  </si>
  <si>
    <t>(803) 648-1826</t>
  </si>
  <si>
    <t>2324 Del Monte St</t>
  </si>
  <si>
    <t>West Sacramento,CA 95691</t>
  </si>
  <si>
    <t>(916) 372-0660</t>
  </si>
  <si>
    <t>800 Waterman Ave</t>
  </si>
  <si>
    <t>East Providence,RI 02914</t>
  </si>
  <si>
    <t>(401) 438-7000</t>
  </si>
  <si>
    <t>B Equipment</t>
  </si>
  <si>
    <t xml:space="preserve">Laurel,MS </t>
  </si>
  <si>
    <t>601-649-5320</t>
  </si>
  <si>
    <t>601-649-4543</t>
  </si>
  <si>
    <t>B L Fabricators Inc. - Scottsboro</t>
  </si>
  <si>
    <t>B N S F Railway Co. - Minneapolis</t>
  </si>
  <si>
    <t>Minneapolis,MN 55421</t>
  </si>
  <si>
    <t>B P Exploration Inc - Prudhoe Bay</t>
  </si>
  <si>
    <t>Prudhoe Bay,AK 99734</t>
  </si>
  <si>
    <t>(907) 659-3101</t>
  </si>
  <si>
    <t>B W Rogers Co - Macedonia</t>
  </si>
  <si>
    <t>7900 Empire Pkwy</t>
  </si>
  <si>
    <t>Macedonia,OH 44056</t>
  </si>
  <si>
    <t>(216) 468-1811</t>
  </si>
  <si>
    <t>B.W. Rogers Co - Evansville, IN</t>
  </si>
  <si>
    <t>7414 ENTERPRISE PARK CIR</t>
  </si>
  <si>
    <t>EVANSVILLE IN 47715</t>
  </si>
  <si>
    <t>812-842-5960</t>
  </si>
  <si>
    <t>812-842-5965</t>
  </si>
  <si>
    <t>** Credit Card - Until they have some history **</t>
  </si>
  <si>
    <t>Mill Ridge Rd</t>
  </si>
  <si>
    <t>Lynchburg,VA 24502</t>
  </si>
  <si>
    <t>(804) 832-3700</t>
  </si>
  <si>
    <t>Babson Fluid Power</t>
  </si>
  <si>
    <t>35 North Main St.</t>
  </si>
  <si>
    <t>419-433-3232</t>
  </si>
  <si>
    <t>419-433-5629</t>
  </si>
  <si>
    <t>BADGER FLUID POWER LLC</t>
  </si>
  <si>
    <t>3161 CORONET WAY</t>
  </si>
  <si>
    <t>GREEN BAY, WI 54304</t>
  </si>
  <si>
    <t>920-403-7808</t>
  </si>
  <si>
    <t>920-403-7810</t>
  </si>
  <si>
    <t>Badger Paper Mills Inc - Peshtigo</t>
  </si>
  <si>
    <t>200 W Front St</t>
  </si>
  <si>
    <t>Peshtigo,WI 54157</t>
  </si>
  <si>
    <t>(715) 582-4551</t>
  </si>
  <si>
    <t>Baillie Lumber Co - Leitchfield</t>
  </si>
  <si>
    <t>279 Shaw Station Rd</t>
  </si>
  <si>
    <t>Leitchfield,KY 42754</t>
  </si>
  <si>
    <t>(270) 259-3104</t>
  </si>
  <si>
    <t>Baker Enterprises - Alpena</t>
  </si>
  <si>
    <t>Alpena,MI 49707</t>
  </si>
  <si>
    <t>Baker Ind - Hartselle</t>
  </si>
  <si>
    <t>Hartselle,AL 35640</t>
  </si>
  <si>
    <t>Baker Products - Ellington</t>
  </si>
  <si>
    <t>PO Box 128</t>
  </si>
  <si>
    <t>Ellington,MO 63638</t>
  </si>
  <si>
    <t>(800) 548-6914</t>
  </si>
  <si>
    <t>(573) 663-2787</t>
  </si>
  <si>
    <t>Bald Knob Mazama - Creswell</t>
  </si>
  <si>
    <t>Creswell,OR 97426</t>
  </si>
  <si>
    <t>Balemaster - Crown Point</t>
  </si>
  <si>
    <t>980 Crown Court</t>
  </si>
  <si>
    <t>Crown Point,IN 46307</t>
  </si>
  <si>
    <t>(219) 663-4525</t>
  </si>
  <si>
    <t>(219) 663-4591</t>
  </si>
  <si>
    <t>Balfour Lumber - Quality Mill</t>
  </si>
  <si>
    <t>800 W. Clay Street</t>
  </si>
  <si>
    <t>229-226-0611</t>
  </si>
  <si>
    <t>229-226-4297</t>
  </si>
  <si>
    <t>Ball Corp</t>
  </si>
  <si>
    <t>56 Dunsmore Rd</t>
  </si>
  <si>
    <t>Verona, VA 24482</t>
  </si>
  <si>
    <t>Ball Foster Glass - Marion</t>
  </si>
  <si>
    <t>Marion,IN 46952</t>
  </si>
  <si>
    <t>Bally Refrigerated Boxes Inc - Morehead City</t>
  </si>
  <si>
    <t>135 Little 9 Rd</t>
  </si>
  <si>
    <t>Morehead City,NC 28557</t>
  </si>
  <si>
    <t>(252) 240-2829</t>
  </si>
  <si>
    <t>Baltimore Hydraulics Inc - Baltimore</t>
  </si>
  <si>
    <t>708 E 25Th St</t>
  </si>
  <si>
    <t>Baltimore,MD 21218</t>
  </si>
  <si>
    <t>(800) 947-8088</t>
  </si>
  <si>
    <t>410-467-0074</t>
  </si>
  <si>
    <t>Baltimore Marine Ind - Sparrows Point</t>
  </si>
  <si>
    <t>Sparrows Point,MD 212</t>
  </si>
  <si>
    <t>Baltimore Rigging - Baltimore</t>
  </si>
  <si>
    <t>Baltimore,MD 21221</t>
  </si>
  <si>
    <t>Balto Marine Inustri - Baltimore</t>
  </si>
  <si>
    <t>Baltimore,MD 21219</t>
  </si>
  <si>
    <t>Bandag Inc. - Griffin</t>
  </si>
  <si>
    <t>Griffin,GA 30223</t>
  </si>
  <si>
    <t>Bankhead Railway Services</t>
  </si>
  <si>
    <t>1680 Marietta Road, Gate 8</t>
  </si>
  <si>
    <t>Atlanta, ,GA 30318</t>
  </si>
  <si>
    <t>404-894-7990</t>
  </si>
  <si>
    <t>404-894-7937</t>
  </si>
  <si>
    <t>Banks Lumber Co. - Banks</t>
  </si>
  <si>
    <t>Banks,OR 97106</t>
  </si>
  <si>
    <t>Bar Processing - Monroe</t>
  </si>
  <si>
    <t>Monroe,MI 48161</t>
  </si>
  <si>
    <t>Bar Tech Inc - Buffalo</t>
  </si>
  <si>
    <t>Buffalo,NY 14219</t>
  </si>
  <si>
    <t>Barbee Engr.Testing Systems</t>
  </si>
  <si>
    <t>751 Design Court Suite B</t>
  </si>
  <si>
    <t>Chula Vista,CA 91911</t>
  </si>
  <si>
    <t>619-585-8484</t>
  </si>
  <si>
    <t>619-585-9996</t>
  </si>
  <si>
    <t>Bard Manufacturing - Madison</t>
  </si>
  <si>
    <t>1310 Monticello Road</t>
  </si>
  <si>
    <t>Madison,GA 30650</t>
  </si>
  <si>
    <t>(706) 342-8441</t>
  </si>
  <si>
    <t>(706) 342-8363</t>
  </si>
  <si>
    <t>Barden Corporation - Danbury</t>
  </si>
  <si>
    <t>Danbury,CT 06810</t>
  </si>
  <si>
    <t>Bardex Corporation - Goleta</t>
  </si>
  <si>
    <t>6338 Lindmar Drive</t>
  </si>
  <si>
    <t>Goleta,CA 93166</t>
  </si>
  <si>
    <t>(805) 964-7747</t>
  </si>
  <si>
    <t>(805) 683-1763</t>
  </si>
  <si>
    <t>Bardex Corporation - Houston</t>
  </si>
  <si>
    <t>8552 Katy Freeway</t>
  </si>
  <si>
    <t>Houston,TX 77024</t>
  </si>
  <si>
    <t>713) 465-9975</t>
  </si>
  <si>
    <t>BARDONS AND OLIVER</t>
  </si>
  <si>
    <t>5800 HARPER ROAD</t>
  </si>
  <si>
    <t>SOLON, OH 44139</t>
  </si>
  <si>
    <t>800-850-5162</t>
  </si>
  <si>
    <t>Bardusch Rental Unif - Concord</t>
  </si>
  <si>
    <t>Concord,NC 28027</t>
  </si>
  <si>
    <t>Barge Forest Product - Macon</t>
  </si>
  <si>
    <t>Macon,MS 39341</t>
  </si>
  <si>
    <t>1008 Mcclelland Court Atando Industrial Park</t>
  </si>
  <si>
    <t>Charlotte,NC 28206</t>
  </si>
  <si>
    <t>(800) 349-3157</t>
  </si>
  <si>
    <t>(864) 288-2962</t>
  </si>
  <si>
    <t>1308 Miller Road</t>
  </si>
  <si>
    <t>Greenville,SC 29607</t>
  </si>
  <si>
    <t>(800) 922-3324</t>
  </si>
  <si>
    <t>(803) 288-2962</t>
  </si>
  <si>
    <t>Barnes Aerospace - Ogden</t>
  </si>
  <si>
    <t>Barnes Brothers</t>
  </si>
  <si>
    <t>700 Mill Road</t>
  </si>
  <si>
    <t>Hamburg, AR 71646</t>
  </si>
  <si>
    <t>Barnes International Inc - Rockford</t>
  </si>
  <si>
    <t xml:space="preserve">Rockford,IL </t>
  </si>
  <si>
    <t>Barnes Lumber Company</t>
  </si>
  <si>
    <t>10278 Hwy 422</t>
  </si>
  <si>
    <t>Norwood, LA 70761</t>
  </si>
  <si>
    <t>WPS Customer</t>
  </si>
  <si>
    <t>Baron Ind - Dalton</t>
  </si>
  <si>
    <t>Dalton,GA 30720</t>
  </si>
  <si>
    <t>Barrel Reconditioning - Cottage Grove</t>
  </si>
  <si>
    <t>Cottage Grove,MN 5501</t>
  </si>
  <si>
    <t>BARRETT PAVING MATERIALS</t>
  </si>
  <si>
    <t>24 BYRNES LAKE CY</t>
  </si>
  <si>
    <t>CINCINNATI, OH 45216</t>
  </si>
  <si>
    <t>Barry Controls - Brighton</t>
  </si>
  <si>
    <t>Brighton,MA 002135</t>
  </si>
  <si>
    <t>BARTON RIVERFRONT INDUSTRIAL PARK</t>
  </si>
  <si>
    <t>1834 HALEY DRIVE</t>
  </si>
  <si>
    <t>CHEROKEE, AL 35616</t>
  </si>
  <si>
    <t>Basin Industrial Sup - Klamath Falls</t>
  </si>
  <si>
    <t>Klamath Falls,OR 9760</t>
  </si>
  <si>
    <t>Bates Bearing - Blytheville</t>
  </si>
  <si>
    <t>1001 East Main Street</t>
  </si>
  <si>
    <t>Blytheville,AR 72315</t>
  </si>
  <si>
    <t>(870) 763-0003</t>
  </si>
  <si>
    <t>(870) 763-0004</t>
  </si>
  <si>
    <t>Bates Bearing - Hannibal</t>
  </si>
  <si>
    <t>4709 Paris Gravel Road</t>
  </si>
  <si>
    <t>Hannibal,MO 63401</t>
  </si>
  <si>
    <t>(573) 406-0100</t>
  </si>
  <si>
    <t>(573) 406-0111</t>
  </si>
  <si>
    <t>Bates Bearing - Newbern</t>
  </si>
  <si>
    <t>106 Hwy 77 East</t>
  </si>
  <si>
    <t>Newbern,TN 38059</t>
  </si>
  <si>
    <t>(901) 627-0001</t>
  </si>
  <si>
    <t>(901) 627-0999</t>
  </si>
  <si>
    <t>Bates Bearing - Pittsburgh</t>
  </si>
  <si>
    <t>700 East Jefferson Street</t>
  </si>
  <si>
    <t>Pittsburgh,KS 66762</t>
  </si>
  <si>
    <t>(316) 232-2911</t>
  </si>
  <si>
    <t>(316) 232-2912</t>
  </si>
  <si>
    <t>Bates Bearing - Sikeston</t>
  </si>
  <si>
    <t>134 Airport Industrial Drive</t>
  </si>
  <si>
    <t>Sikeston,MO 63801</t>
  </si>
  <si>
    <t>(573) 472-0693</t>
  </si>
  <si>
    <t>(573) 472-0763</t>
  </si>
  <si>
    <t>Bates Bearing - Springfield</t>
  </si>
  <si>
    <t>1837 East Pacific</t>
  </si>
  <si>
    <t>Springfield,MO 65803</t>
  </si>
  <si>
    <t>(417) 869-5629</t>
  </si>
  <si>
    <t>(417) 869-5741</t>
  </si>
  <si>
    <t>Alex is a big man</t>
  </si>
  <si>
    <t>Bates Bearing - St. Louis</t>
  </si>
  <si>
    <t>5211 Northrup Avenue</t>
  </si>
  <si>
    <t>(800) 844-5211</t>
  </si>
  <si>
    <t>417-869-5741</t>
  </si>
  <si>
    <t>Battey Mach Co - Rome</t>
  </si>
  <si>
    <t>Rome,GA 30161</t>
  </si>
  <si>
    <t>Battle Lumber - Wadley</t>
  </si>
  <si>
    <t>Wadley,GA 30477</t>
  </si>
  <si>
    <t>Bauman Sawmill - Lebanon</t>
  </si>
  <si>
    <t>Lebanon,OR 97355</t>
  </si>
  <si>
    <t>Baxter Cox - Granite Falls</t>
  </si>
  <si>
    <t>Granite Falls,NC 28630</t>
  </si>
  <si>
    <t>Baxter Healthcare Co - Mountain Home</t>
  </si>
  <si>
    <t>Mountain Home,AR 7</t>
  </si>
  <si>
    <t>Bay Area Hydraulics - Coos Bay</t>
  </si>
  <si>
    <t>Coos Bay,OR 97420</t>
  </si>
  <si>
    <t>Bay Machinery - Richmond</t>
  </si>
  <si>
    <t>Richmond,CA 94802</t>
  </si>
  <si>
    <t>Bay Manufacturing Co - Alpena</t>
  </si>
  <si>
    <t>Bay Shore Fluid Powe - Mobile</t>
  </si>
  <si>
    <t>Mobile,AL 36693</t>
  </si>
  <si>
    <t>Bay Shore Steel - Bay Shore</t>
  </si>
  <si>
    <t>Bay Shore,MI 49711</t>
  </si>
  <si>
    <t>Bay Valve Service - Seattle</t>
  </si>
  <si>
    <t>Seattle,WA 98107</t>
  </si>
  <si>
    <t>Bay Welding - Williamsburg</t>
  </si>
  <si>
    <t>Williamsburg,VA 23185</t>
  </si>
  <si>
    <t>Newport News,VA 23601</t>
  </si>
  <si>
    <t>Bayer Corporation - Orange</t>
  </si>
  <si>
    <t>Bayou Steel Company - Laplace</t>
  </si>
  <si>
    <t>Laplace,LA 70068</t>
  </si>
  <si>
    <t>Bayshore Fluid Power</t>
  </si>
  <si>
    <t>3701 Government Blvd</t>
  </si>
  <si>
    <t>Mobile, AL  36693</t>
  </si>
  <si>
    <t>(800)666-8620</t>
  </si>
  <si>
    <t>(251)661-2640</t>
  </si>
  <si>
    <t>Bayside Machine - Mattapoisett</t>
  </si>
  <si>
    <t>Mattapoisett,MA 0273</t>
  </si>
  <si>
    <t>Bba Nonwovens - Simpsonville</t>
  </si>
  <si>
    <t>Simpsonville,SC 29681</t>
  </si>
  <si>
    <t>Bbwi - Scoville</t>
  </si>
  <si>
    <t>Scoville,ID 83401</t>
  </si>
  <si>
    <t>BDI</t>
  </si>
  <si>
    <t>1826 BLACKHAWK ST</t>
  </si>
  <si>
    <t>WATERLOO, IA 50702</t>
  </si>
  <si>
    <t>319-234-6845</t>
  </si>
  <si>
    <t>BDI - Bill to</t>
  </si>
  <si>
    <t>PO Box 5931</t>
  </si>
  <si>
    <t>Troy, MI 48007-5931</t>
  </si>
  <si>
    <t>BDI - Kansas City</t>
  </si>
  <si>
    <t>1905 Walnut</t>
  </si>
  <si>
    <t>Kansas City, MO 64108</t>
  </si>
  <si>
    <t>BDI- Stevens Point</t>
  </si>
  <si>
    <t>2916 Borham Ave</t>
  </si>
  <si>
    <t>Stevens Point, WI 54481</t>
  </si>
  <si>
    <t>715-344-8956</t>
  </si>
  <si>
    <t>715-344-8957</t>
  </si>
  <si>
    <t>Bdk Controls - North Vernon</t>
  </si>
  <si>
    <t>North Vernon,IN 4</t>
  </si>
  <si>
    <t>Beach Mfg. - Donnelsville</t>
  </si>
  <si>
    <t>Donnelsville,OH 4531</t>
  </si>
  <si>
    <t>Beadles Lumber - Quality Mill</t>
  </si>
  <si>
    <t>Moultrie,GA 31768</t>
  </si>
  <si>
    <t>Refer to Quality</t>
  </si>
  <si>
    <t>Bean Lumber Co. - Glenwood</t>
  </si>
  <si>
    <t>Glenwood,AR 71943</t>
  </si>
  <si>
    <t>Bearden Lumber Co. - Bearden</t>
  </si>
  <si>
    <t>Chicago,IL 60639</t>
  </si>
  <si>
    <t xml:space="preserve">1926 Central Parkway </t>
  </si>
  <si>
    <t>Decatur, AL 35601</t>
  </si>
  <si>
    <t>256-350-3638</t>
  </si>
  <si>
    <t>702 5th Ave N</t>
  </si>
  <si>
    <t>Birmingham, AL 35203</t>
  </si>
  <si>
    <t>205-252-2260</t>
  </si>
  <si>
    <t>Bearing Agency - San Francisco</t>
  </si>
  <si>
    <t>San Francisco,CA 9410</t>
  </si>
  <si>
    <t>Bearing Distributor - Charlotte</t>
  </si>
  <si>
    <t>Bearing Distributors - Winston Salem</t>
  </si>
  <si>
    <t>Winston Salem,NC 2710</t>
  </si>
  <si>
    <t>Bearing Engineering - Emeryville</t>
  </si>
  <si>
    <t>Emeryville,CA 94608</t>
  </si>
  <si>
    <t>Bearing Headquarters - Morton Grove</t>
  </si>
  <si>
    <t>Morton Grove,IL 60053</t>
  </si>
  <si>
    <t>BEARING HEADQUARTERS COMPANY</t>
  </si>
  <si>
    <t>2601 PARKES DRIVE</t>
  </si>
  <si>
    <t>BROADVIEW, IL, 60155</t>
  </si>
  <si>
    <t>708-681-4400</t>
  </si>
  <si>
    <t>BEARING HEADQUARTERS COMPANY - SPRINGFIELD, MO</t>
  </si>
  <si>
    <t>3045 GE. CHESTNUT EXPRESSWAY</t>
  </si>
  <si>
    <t>SPRINGFIELD, MO 65802</t>
  </si>
  <si>
    <t>417-865-8771</t>
  </si>
  <si>
    <t>417-865-0606</t>
  </si>
  <si>
    <t>Bearing Service - Waterloo</t>
  </si>
  <si>
    <t>Waterloo,IA 50704</t>
  </si>
  <si>
    <t>Bearing Service Company</t>
  </si>
  <si>
    <t>1317 Commerce Drive NW</t>
  </si>
  <si>
    <t>256-350-4141</t>
  </si>
  <si>
    <t>265-350-4220</t>
  </si>
  <si>
    <t>Bearing Services - Shreveport</t>
  </si>
  <si>
    <t>Shreveport,LA 71107</t>
  </si>
  <si>
    <t>Bearing Solution Inc</t>
  </si>
  <si>
    <t>1347 Commerce Drive</t>
  </si>
  <si>
    <t>Debbie is deaf so we need to email her: bearingsolutioninc@linuxmail.org</t>
  </si>
  <si>
    <t>La Grange,GA 30240</t>
  </si>
  <si>
    <t>3541 SW 7th St.</t>
  </si>
  <si>
    <t>Ocala,FL 34474</t>
  </si>
  <si>
    <t>352-732-2166</t>
  </si>
  <si>
    <t>352-732-2179</t>
  </si>
  <si>
    <t>Hapeville,GA 30354</t>
  </si>
  <si>
    <t>PO Box 4325</t>
  </si>
  <si>
    <t>Macon,GA 31208-4325</t>
  </si>
  <si>
    <t>478-746-7623</t>
  </si>
  <si>
    <t>478-742-7836</t>
  </si>
  <si>
    <t>Sandersville,GA 31082</t>
  </si>
  <si>
    <t>Valdosta,GA 31601</t>
  </si>
  <si>
    <t>West Hazelton,PA 1820</t>
  </si>
  <si>
    <t>Idaho Falls,ID 83401</t>
  </si>
  <si>
    <t>Bearings And Drives - Gainesville</t>
  </si>
  <si>
    <t>Gainesville,FL 32606</t>
  </si>
  <si>
    <t>Beaufort Molded Prod - Beaufort</t>
  </si>
  <si>
    <t>Beaufort,SC 29902</t>
  </si>
  <si>
    <t>Beaulieu United - Dalton</t>
  </si>
  <si>
    <t>Dalton,GA 30719</t>
  </si>
  <si>
    <t>Beaver Wood Products - Beaver</t>
  </si>
  <si>
    <t>Beaver,OH 45613</t>
  </si>
  <si>
    <t>Beaverton Block Co. - Pleasant Gap</t>
  </si>
  <si>
    <t>Pleasant Gap,PA 16823</t>
  </si>
  <si>
    <t>Beaverton Block Comp - Middleburg</t>
  </si>
  <si>
    <t>Middleburg,PA 17842</t>
  </si>
  <si>
    <t>Beck Excavating - Wallingford</t>
  </si>
  <si>
    <t>Wallingford,IA 51365</t>
  </si>
  <si>
    <t>Beck Mfg - Aurora</t>
  </si>
  <si>
    <t>Aurora,OH 44202</t>
  </si>
  <si>
    <t>Newtown,PA 18940</t>
  </si>
  <si>
    <t>Beckart Enviromental - Kenosha</t>
  </si>
  <si>
    <t>Kenosha,WI 53142</t>
  </si>
  <si>
    <t>Becker Precision - Elk Grove Village</t>
  </si>
  <si>
    <t>950 Pratt Blvd</t>
  </si>
  <si>
    <t>Elk Grove Village,IL 60007</t>
  </si>
  <si>
    <t>(800) 323-8844</t>
  </si>
  <si>
    <t>(847) 437-2549</t>
  </si>
  <si>
    <t>Bedford,IN 47421</t>
  </si>
  <si>
    <t>Beef America - Norfolk</t>
  </si>
  <si>
    <t>Norfolk,NE 68701</t>
  </si>
  <si>
    <t>Beerman Precisions - New Orleans</t>
  </si>
  <si>
    <t>New Orleans,LA 70125</t>
  </si>
  <si>
    <t>Begley Lumber - London</t>
  </si>
  <si>
    <t>London,KY 40741</t>
  </si>
  <si>
    <t>Behco, Inc. - Farmington Hills</t>
  </si>
  <si>
    <t>32613 Folsom Road</t>
  </si>
  <si>
    <t>Farmington Hills,MI 48336</t>
  </si>
  <si>
    <t>(248) 478-6336</t>
  </si>
  <si>
    <t>(248) 478-3689</t>
  </si>
  <si>
    <t>Behco, Inc. - Toledo</t>
  </si>
  <si>
    <t xml:space="preserve">Toledo,OH </t>
  </si>
  <si>
    <t>(419) 861-3306</t>
  </si>
  <si>
    <t>Bei - Athens</t>
  </si>
  <si>
    <t>259 E Broad St</t>
  </si>
  <si>
    <t>Athens,GA 30601</t>
  </si>
  <si>
    <t>(706) 552-3334</t>
  </si>
  <si>
    <t>Bel Gioioso Cheese, - Pulaski</t>
  </si>
  <si>
    <t>Pulaski,WI 54162</t>
  </si>
  <si>
    <t>Bell Enterprise</t>
  </si>
  <si>
    <t>622 Fertilla St.</t>
  </si>
  <si>
    <t>Carrollton,GA 30117</t>
  </si>
  <si>
    <t>770-834-4033</t>
  </si>
  <si>
    <t>770-834-6493</t>
  </si>
  <si>
    <t>Bell Pipe And Supply - Anaheim</t>
  </si>
  <si>
    <t>Anaheim,CA 92805</t>
  </si>
  <si>
    <t>Bellevue Mfg Co - Bellevue</t>
  </si>
  <si>
    <t>Bellwood Laundry And - La Mirada</t>
  </si>
  <si>
    <t>La Mirada,CA 90638</t>
  </si>
  <si>
    <t>Beloit Corp. - Rockton</t>
  </si>
  <si>
    <t>Rockton,IL 61072</t>
  </si>
  <si>
    <t>Beloit Corporation C - Elk Grove Village</t>
  </si>
  <si>
    <t>Beloit Mill Services - Hattiesburg</t>
  </si>
  <si>
    <t>Hattiesburg,MS 39402</t>
  </si>
  <si>
    <t>Belrick Corp - Swoyersville</t>
  </si>
  <si>
    <t>Swoyersville,PA 18</t>
  </si>
  <si>
    <t>Bemis Mfg. - Sheboygan Falls</t>
  </si>
  <si>
    <t>Mill St.</t>
  </si>
  <si>
    <t xml:space="preserve">Sheboygan Falls,WI </t>
  </si>
  <si>
    <t>Benchmark Foam Inc. - Watertown</t>
  </si>
  <si>
    <t>Watertown,SD 57201</t>
  </si>
  <si>
    <t>Bend Ind Inc - West Bend</t>
  </si>
  <si>
    <t>West Bend,WI 53095</t>
  </si>
  <si>
    <t>Bendall Tool - Ayr</t>
  </si>
  <si>
    <t>Ayr,ONT N0B</t>
  </si>
  <si>
    <t>Ben-Fab - Klamath Falls</t>
  </si>
  <si>
    <t>Ahoskie,NC 27910</t>
  </si>
  <si>
    <t>Bennett Lumber Company - Peidmont</t>
  </si>
  <si>
    <t>Peidmont,AL 35124</t>
  </si>
  <si>
    <t>Bennett Lumber Company - Princeton</t>
  </si>
  <si>
    <t>Princeton,ID 83857</t>
  </si>
  <si>
    <t>Bennett Sawmill - Evart</t>
  </si>
  <si>
    <t>Evart,MI 49631</t>
  </si>
  <si>
    <t>10314 Brecksville Rd.</t>
  </si>
  <si>
    <t>Cleveland,OH 44141</t>
  </si>
  <si>
    <t>(800) 726-0117</t>
  </si>
  <si>
    <t>(440) 526-0333</t>
  </si>
  <si>
    <t>Bennington Paperboar - North Hoosick</t>
  </si>
  <si>
    <t>North Hoosick,NY 121</t>
  </si>
  <si>
    <t>Benteler Ind - Goshen</t>
  </si>
  <si>
    <t>Goshen,IN 46526</t>
  </si>
  <si>
    <t>Benteler Ind - Mt. Carmel</t>
  </si>
  <si>
    <t>Mt. Carmel,IL 62863</t>
  </si>
  <si>
    <t>Berendsen Fluid Power - Boise</t>
  </si>
  <si>
    <t>8783 W. Hackamore Dr._x000D_
Suite 9</t>
  </si>
  <si>
    <t>Boise,ID 83709-1669</t>
  </si>
  <si>
    <t>(208) 377-4822</t>
  </si>
  <si>
    <t>(208) 377-4932</t>
  </si>
  <si>
    <t>Berendsen Fluid Power - Eugene</t>
  </si>
  <si>
    <t>4686 Isabelle St
Suite C</t>
  </si>
  <si>
    <t>Berendsen Fluid Power - Grand Rapids</t>
  </si>
  <si>
    <t>3570 Roger B. Chaffee</t>
  </si>
  <si>
    <t>Grand Rapids,MI 49548</t>
  </si>
  <si>
    <t>(616) 452-4560</t>
  </si>
  <si>
    <t>(616) 452-5768</t>
  </si>
  <si>
    <t>Berendsen Fluid Power - Houston</t>
  </si>
  <si>
    <t>Houston,TX 77032</t>
  </si>
  <si>
    <t>Berendsen Fluid Power - Missoula</t>
  </si>
  <si>
    <t>3723 Grant Creek Road</t>
  </si>
  <si>
    <t>Missoula,MT 59802</t>
  </si>
  <si>
    <t>(406) 549-4181</t>
  </si>
  <si>
    <t>(406) 549-4189</t>
  </si>
  <si>
    <t>Berendsen Fluid Power - Portland</t>
  </si>
  <si>
    <t>7505 Ne Ambassador Place Suite A</t>
  </si>
  <si>
    <t>Portland,OR 97220</t>
  </si>
  <si>
    <t>(503) 288-6061</t>
  </si>
  <si>
    <t>(503) 288-6000</t>
  </si>
  <si>
    <t>Berendsen Fluid Power - Spokane</t>
  </si>
  <si>
    <t>East 3200 Trent Bldg. B,  Suite 6</t>
  </si>
  <si>
    <t>(509) 535-4281</t>
  </si>
  <si>
    <t>(509) 534-2987</t>
  </si>
  <si>
    <t>Berg Steel - Panama City</t>
  </si>
  <si>
    <t>5315 W 19th Street</t>
  </si>
  <si>
    <t>Panama City,FL 32401</t>
  </si>
  <si>
    <t>Bergandi Machine - S. El Monte</t>
  </si>
  <si>
    <t>S. El Monte,CA 91733</t>
  </si>
  <si>
    <t>Berger Bros Company - Southampton</t>
  </si>
  <si>
    <t>Southampton,PA 18966</t>
  </si>
  <si>
    <t>Bergman Spec Product - Jackson</t>
  </si>
  <si>
    <t>Jackson,MI 49201</t>
  </si>
  <si>
    <t>Berkely Forge And Tool - Berkely</t>
  </si>
  <si>
    <t>Berkely,CA 97410</t>
  </si>
  <si>
    <t>Berkner Excavating - Millbank</t>
  </si>
  <si>
    <t>Millbank,SD 57252</t>
  </si>
  <si>
    <t>Berkshire Concrete - Pittsfield</t>
  </si>
  <si>
    <t>Pittsfield,MA 0120</t>
  </si>
  <si>
    <t>Bernell Hydraulics - Rancho Cucamonga</t>
  </si>
  <si>
    <t>8810 Etiwanda Ave</t>
  </si>
  <si>
    <t>Rancho Cucamonga,CA 91739</t>
  </si>
  <si>
    <t>(909) 899-1751</t>
  </si>
  <si>
    <t>(909) 899-3916</t>
  </si>
  <si>
    <t>Berry Bearing - Chicago</t>
  </si>
  <si>
    <t>Chicago,IL 60650</t>
  </si>
  <si>
    <t>Berry Bearing - Montgomery</t>
  </si>
  <si>
    <t>Montgomery,IL 60538</t>
  </si>
  <si>
    <t>Berry Bearing - Rockford</t>
  </si>
  <si>
    <t>Rockford,IL 61125</t>
  </si>
  <si>
    <t>Bertelkamp Automation</t>
  </si>
  <si>
    <t>6321 Baum Drive</t>
  </si>
  <si>
    <t>Knoxville,TN 37939</t>
  </si>
  <si>
    <t>(800) 251-9134</t>
  </si>
  <si>
    <t>(865) 588-9845</t>
  </si>
  <si>
    <t>Bertrem Products Inc - Tulsa</t>
  </si>
  <si>
    <t>Tulsa,OK 74129</t>
  </si>
  <si>
    <t>Besse Forest Products - Waupaca</t>
  </si>
  <si>
    <t>605 Timber Drive</t>
  </si>
  <si>
    <t>Waupaca,WI 54981</t>
  </si>
  <si>
    <t>(906) 428-3113</t>
  </si>
  <si>
    <t>Bessemer Plywood Co. - Bessemer</t>
  </si>
  <si>
    <t>Bessemer,MI 49911</t>
  </si>
  <si>
    <t>Besser Appco - San Antonio</t>
  </si>
  <si>
    <t>San Antonio,TX 78219</t>
  </si>
  <si>
    <t>Besser Co - Alpena</t>
  </si>
  <si>
    <t>801 Johnson Street</t>
  </si>
  <si>
    <t>(989) 354-4508</t>
  </si>
  <si>
    <t>Besser Lithibar - Holland</t>
  </si>
  <si>
    <t>13521 Quality Dr</t>
  </si>
  <si>
    <t>Holland,MI 49422</t>
  </si>
  <si>
    <t>Best Block Co - Littleton</t>
  </si>
  <si>
    <t>Littleton,CO 80125</t>
  </si>
  <si>
    <t>Best Manufacturing Co - Fayette</t>
  </si>
  <si>
    <t>931 2nd Avenue SE</t>
  </si>
  <si>
    <t>Fayette,AL 35555</t>
  </si>
  <si>
    <t>Best Press Corp - Castle Hayne</t>
  </si>
  <si>
    <t>Castle Hayne,NC 2842</t>
  </si>
  <si>
    <t>Bestform Intimates - Johnstown</t>
  </si>
  <si>
    <t>Johnstown,PA 15904</t>
  </si>
  <si>
    <t>Betenbender Mfg. - Coggon</t>
  </si>
  <si>
    <t>Coggon,IA 52218</t>
  </si>
  <si>
    <t>Bethlehem Corp. - Easton</t>
  </si>
  <si>
    <t>Easton,PA 18045</t>
  </si>
  <si>
    <t>Bethlehem Steel Co - Burns Harbor</t>
  </si>
  <si>
    <t xml:space="preserve">Burns Harbor,IN </t>
  </si>
  <si>
    <t>Better Breathing, In - Lawrence</t>
  </si>
  <si>
    <t>Lawrence,MA 01842</t>
  </si>
  <si>
    <t>Betterbilt Aluminum</t>
  </si>
  <si>
    <t>704  12th Avenue</t>
  </si>
  <si>
    <t>Smyrna,TN 37167</t>
  </si>
  <si>
    <t>BF Goodrich Aerospace - Foley</t>
  </si>
  <si>
    <t>1300 W Fern Ave</t>
  </si>
  <si>
    <t>Foley,AL 36535</t>
  </si>
  <si>
    <t>(334) 952-3000</t>
  </si>
  <si>
    <t>BF Goodrich Tire Co.</t>
  </si>
  <si>
    <t>5101 21st. Street</t>
  </si>
  <si>
    <t>Tuscaloosa, AL 35401</t>
  </si>
  <si>
    <t>205-391-6200</t>
  </si>
  <si>
    <t>205-391-6599</t>
  </si>
  <si>
    <t>Bf Goodrich-Kalama Inc - Seattle</t>
  </si>
  <si>
    <t>900 4Th Ave #1725</t>
  </si>
  <si>
    <t>Seattle,WA 98164</t>
  </si>
  <si>
    <t>(206) 682-7890</t>
  </si>
  <si>
    <t>Bfd Corporation - Omaha</t>
  </si>
  <si>
    <t>Omaha,NE 68144</t>
  </si>
  <si>
    <t>Bgf Maui - Paia (Maui)</t>
  </si>
  <si>
    <t>Paia (Maui),HI 96779</t>
  </si>
  <si>
    <t>Bharat Forge America, Inc.</t>
  </si>
  <si>
    <t>2807 S MLK Jr. Blvd.</t>
  </si>
  <si>
    <t>Lansing,MI 48910</t>
  </si>
  <si>
    <t>Bi State Indust Supp - Bowling Green</t>
  </si>
  <si>
    <t>Bowling Green,KY 4210</t>
  </si>
  <si>
    <t>Bibler Brothers - Russellville</t>
  </si>
  <si>
    <t>Russellville,AR 72802</t>
  </si>
  <si>
    <t>Bic White Out - Fountain Inn</t>
  </si>
  <si>
    <t>Fountain Inn,SC 2964</t>
  </si>
  <si>
    <t>Bicc General Cable - Altoona</t>
  </si>
  <si>
    <t>Altoona,PA 16602</t>
  </si>
  <si>
    <t>Biewer Sawmill - Mcbain</t>
  </si>
  <si>
    <t>Mcbain,MI 49657</t>
  </si>
  <si>
    <t>Biewer Wisconsin Saw - Prentice</t>
  </si>
  <si>
    <t>Prentice,WI 54556</t>
  </si>
  <si>
    <t>Big D Hydraulics</t>
  </si>
  <si>
    <t>352-629-8000</t>
  </si>
  <si>
    <t>352-236-1255</t>
  </si>
  <si>
    <t>Big Sun Hydraulics</t>
  </si>
  <si>
    <t xml:space="preserve">Ocala,FL </t>
  </si>
  <si>
    <t>352-629-8004</t>
  </si>
  <si>
    <t>Big Valley Lumber - Bieber</t>
  </si>
  <si>
    <t>Bieber,CA 96009</t>
  </si>
  <si>
    <t>Bill's Hydraulics - Albuquerque</t>
  </si>
  <si>
    <t>Albuquerque,NM 8</t>
  </si>
  <si>
    <t>Bimet Corporation - Morris</t>
  </si>
  <si>
    <t>Morris,IL 60450</t>
  </si>
  <si>
    <t>Bimini Island Air - Ft Lauderdale</t>
  </si>
  <si>
    <t>Ft Lauderdale,FL 333</t>
  </si>
  <si>
    <t>Biolab Inc - Lake Charles</t>
  </si>
  <si>
    <t>Lake Charles,LA 70601</t>
  </si>
  <si>
    <t>Biomet Inc - Warsaw</t>
  </si>
  <si>
    <t>Warsaw,IN 46580</t>
  </si>
  <si>
    <t>Lipscomb,AL 35020</t>
  </si>
  <si>
    <t>Birmingham Steel - Jackson</t>
  </si>
  <si>
    <t>Jackson,MS 39208</t>
  </si>
  <si>
    <t>Birmingham Steel Corp. - Cartersville</t>
  </si>
  <si>
    <t>384 Old Grassdale RD  NE</t>
  </si>
  <si>
    <t>Cartersville,GA 30121</t>
  </si>
  <si>
    <t>Bitrode - Fenton</t>
  </si>
  <si>
    <t>1642 Manufactruers Drive</t>
  </si>
  <si>
    <t>Fenton,MO 63026</t>
  </si>
  <si>
    <t>(314) 343-6112</t>
  </si>
  <si>
    <t>(314) 343-7473</t>
  </si>
  <si>
    <t>Bkb Automation Inc. - Bridgeport</t>
  </si>
  <si>
    <t>Bridgeport,MI 4872</t>
  </si>
  <si>
    <t>Black And Decker - Beloit</t>
  </si>
  <si>
    <t>Beloit,WI 53511</t>
  </si>
  <si>
    <t>Black Brothers Co - Sun Prarie</t>
  </si>
  <si>
    <t>Sun Prarie,WI 53590</t>
  </si>
  <si>
    <t>Black Diamond Equipment - Salt Lake City</t>
  </si>
  <si>
    <t>Salt Lake City,UT 84119</t>
  </si>
  <si>
    <t>Blackhawk Automation - Madison</t>
  </si>
  <si>
    <t>Madison,WI 53704</t>
  </si>
  <si>
    <t>Blackhawk Foundry - Davenport</t>
  </si>
  <si>
    <t>Davenport,IA 52802</t>
  </si>
  <si>
    <t>Blackstone Industrie - Behtel</t>
  </si>
  <si>
    <t>Behtel,CT 06801</t>
  </si>
  <si>
    <t>Blair Strip Steel - New Castle</t>
  </si>
  <si>
    <t>New Castle,PA 16109</t>
  </si>
  <si>
    <t>Blastcrete Equipment</t>
  </si>
  <si>
    <t>2505 Alexandria Road</t>
  </si>
  <si>
    <t>Anniston,AL 36202</t>
  </si>
  <si>
    <t>256-236-9824</t>
  </si>
  <si>
    <t>256 236-9824</t>
  </si>
  <si>
    <t>BLASTCRETE EQUIPMENT COMPANY</t>
  </si>
  <si>
    <t xml:space="preserve">2000 COBB AVE. </t>
  </si>
  <si>
    <t>ANNISTON, AL 36201</t>
  </si>
  <si>
    <t>256-235-2700</t>
  </si>
  <si>
    <t>Blewer Saw Mill - Mcbain</t>
  </si>
  <si>
    <t>B-Line Systems - Highland</t>
  </si>
  <si>
    <t>Highland,IL 62249</t>
  </si>
  <si>
    <t>Blisters Inc. - N. Chicago</t>
  </si>
  <si>
    <t>N. Chicago,IL 60064</t>
  </si>
  <si>
    <t>Block Hydraulic Inc - Springfield</t>
  </si>
  <si>
    <t>Springfield,MA 01105</t>
  </si>
  <si>
    <t>Block Tech Inc</t>
  </si>
  <si>
    <t>12700  208th Ave NW</t>
  </si>
  <si>
    <t>Block Tech Inc-Princeton</t>
  </si>
  <si>
    <t>12536  319th Ave. NW</t>
  </si>
  <si>
    <t>Princeton,MN 55371</t>
  </si>
  <si>
    <t>Blount Springs  Materials Inc</t>
  </si>
  <si>
    <t>624 E. St. Crusher Road</t>
  </si>
  <si>
    <t>Falkville,AL 35632</t>
  </si>
  <si>
    <t>256-784-9560</t>
  </si>
  <si>
    <t>256-784-6091</t>
  </si>
  <si>
    <t>Blount Springs Materials Inc - Cullman</t>
  </si>
  <si>
    <t>3280 County Road 437</t>
  </si>
  <si>
    <t>Cullman,AL 35037</t>
  </si>
  <si>
    <t>256-734-8336</t>
  </si>
  <si>
    <t>256-734-0522</t>
  </si>
  <si>
    <t>Blue Bird Midwest - Mt. Pleasant</t>
  </si>
  <si>
    <t>Mt. Pleasant,IA 52641</t>
  </si>
  <si>
    <t>Blue Circle Inc - Calera</t>
  </si>
  <si>
    <t>Calera,AL 35040</t>
  </si>
  <si>
    <t>Blue Mt. Lumber Products - Pendleton</t>
  </si>
  <si>
    <t>Pendleton,OR 97801</t>
  </si>
  <si>
    <t>Blue Ridge Packaging - Simponsville</t>
  </si>
  <si>
    <t>Simponsville,SC 29681</t>
  </si>
  <si>
    <t>Blue Ridge Paper Pro - Canton</t>
  </si>
  <si>
    <t>Canton,NC 28716</t>
  </si>
  <si>
    <t>Blue Ridge Technical</t>
  </si>
  <si>
    <t>130 Ray Simerly Rd</t>
  </si>
  <si>
    <t>Hampton,TN 37658</t>
  </si>
  <si>
    <t>Blue Star Ind Inc</t>
  </si>
  <si>
    <t>8103  East US Highway 36</t>
  </si>
  <si>
    <t>Avon,IN 46123</t>
  </si>
  <si>
    <t>Pittsburgh,PA 15203</t>
  </si>
  <si>
    <t>Bmh Aki Dryers - Eugene</t>
  </si>
  <si>
    <t>Bnsf Tiemasters - Springfield</t>
  </si>
  <si>
    <t>Springfield,MO 65802</t>
  </si>
  <si>
    <t>Boardman Chip Co - Boardman</t>
  </si>
  <si>
    <t>Boardman,OR 97818</t>
  </si>
  <si>
    <t>Bob Barker Co - Fuquay-Varina</t>
  </si>
  <si>
    <t>Fuquay-Varina,NC 2752</t>
  </si>
  <si>
    <t>Bob Inc. - Toledo</t>
  </si>
  <si>
    <t>Toledo,OH 43602</t>
  </si>
  <si>
    <t>Bob Steele Hydraulic - Springield</t>
  </si>
  <si>
    <t>Springield,OR 97478</t>
  </si>
  <si>
    <t>Bobker Bearings - Scranton</t>
  </si>
  <si>
    <t>Scranton,PA 18509</t>
  </si>
  <si>
    <t>Boboli - Hazelton</t>
  </si>
  <si>
    <t>Hazelton,PA 18201</t>
  </si>
  <si>
    <t>Boc Mechanical - Dalton</t>
  </si>
  <si>
    <t>Boeing - Long Beach</t>
  </si>
  <si>
    <t>Long Beach,CA 90846</t>
  </si>
  <si>
    <t>Boeing Co. - Tukwila</t>
  </si>
  <si>
    <t>Tukwila,WA 98108</t>
  </si>
  <si>
    <t>Boeing Commercial Air - Wichita</t>
  </si>
  <si>
    <t>Wichita,KS 67210</t>
  </si>
  <si>
    <t>Boeing Kent Space Ce - Kent</t>
  </si>
  <si>
    <t>Kent,WA 98032</t>
  </si>
  <si>
    <t>Boeing North America - Mcalester</t>
  </si>
  <si>
    <t>Mcalester,OK 74501</t>
  </si>
  <si>
    <t>BOHN AND DAWSON INC TREE COURT INDDUSTRIAL PK</t>
  </si>
  <si>
    <t>3500 TREECOURT IND. BLV</t>
  </si>
  <si>
    <t>ST LOUIS, MO 63122</t>
  </si>
  <si>
    <t>Boise Cascade - Fisher</t>
  </si>
  <si>
    <t>Fisher,LA 71462</t>
  </si>
  <si>
    <t>Boise Cascade Company</t>
  </si>
  <si>
    <t>Highway 165</t>
  </si>
  <si>
    <t>Oakdale,LA 71463</t>
  </si>
  <si>
    <t>gets special pricing</t>
  </si>
  <si>
    <t>Boise Cascade Company - Florien</t>
  </si>
  <si>
    <t>Highway 171</t>
  </si>
  <si>
    <t>Florien,LA 71429</t>
  </si>
  <si>
    <t>Boise Cascade Corp - De Ridder</t>
  </si>
  <si>
    <t>4200 Highway 190 West</t>
  </si>
  <si>
    <t>De Ridder,LA 70634</t>
  </si>
  <si>
    <t>Boise Cascade Corp. - Lena</t>
  </si>
  <si>
    <t>Lena,LA 71447</t>
  </si>
  <si>
    <t>Boise,ID 83714</t>
  </si>
  <si>
    <t>BOISE PAPER LLC</t>
  </si>
  <si>
    <t>4200 HWY 190 W</t>
  </si>
  <si>
    <t>DERIDDER,LA 70634</t>
  </si>
  <si>
    <t>Bolands/Pace Ind - Laredo</t>
  </si>
  <si>
    <t>Boles Parts Supply - Dahlonega</t>
  </si>
  <si>
    <t>Dahlonega,GA 30533</t>
  </si>
  <si>
    <t>Bolin Hydraulic - Saint Joseph</t>
  </si>
  <si>
    <t>802 South 9th</t>
  </si>
  <si>
    <t>Saint Joseph,MO 64501</t>
  </si>
  <si>
    <t>(816) 232-5116</t>
  </si>
  <si>
    <t>(816) 232-0776</t>
  </si>
  <si>
    <t>Bomarko - Plymouth</t>
  </si>
  <si>
    <t>1955 North Oak Road</t>
  </si>
  <si>
    <t>Plymouth,IN 46563</t>
  </si>
  <si>
    <t>(219) 936-9901</t>
  </si>
  <si>
    <t>Bon L Campo L.P. - El Campo</t>
  </si>
  <si>
    <t>El Campo,TX 77437</t>
  </si>
  <si>
    <t>Bond Equipment - Logan</t>
  </si>
  <si>
    <t>1207 Industrial Drive</t>
  </si>
  <si>
    <t>Logan,IA 51546</t>
  </si>
  <si>
    <t>(712) 644-2016</t>
  </si>
  <si>
    <t>(712) 644-2133</t>
  </si>
  <si>
    <t>Bond Fluidaire - Grand Rapids</t>
  </si>
  <si>
    <t>5506 36Th Street, S.E.</t>
  </si>
  <si>
    <t>Grand Rapids,MI 49512</t>
  </si>
  <si>
    <t>(616) 942-1060</t>
  </si>
  <si>
    <t>(616) 942-5464</t>
  </si>
  <si>
    <t>Bond Fluidaire - St. Joseph</t>
  </si>
  <si>
    <t>1656 Hilltop Road</t>
  </si>
  <si>
    <t>St. Joseph,MI 49085</t>
  </si>
  <si>
    <t>(616) 983-2501</t>
  </si>
  <si>
    <t>(616) 983-2508</t>
  </si>
  <si>
    <t>Bond Fluidaire - Traverse City</t>
  </si>
  <si>
    <t>1420 S. Airport West</t>
  </si>
  <si>
    <t>(616) 933-1107</t>
  </si>
  <si>
    <t>(616) 933-1109</t>
  </si>
  <si>
    <t>Bond Fluidaire, Inc.</t>
  </si>
  <si>
    <t>264 Leonard St. NW</t>
  </si>
  <si>
    <t>Grand Rapids,MI 49504</t>
  </si>
  <si>
    <t>616-776-0008</t>
  </si>
  <si>
    <t>616-776-0819</t>
  </si>
  <si>
    <t>Bonney Forge - Mt Union</t>
  </si>
  <si>
    <t>Mt Union,PA 17066</t>
  </si>
  <si>
    <t>Boomerang Laboratories - Spring Park</t>
  </si>
  <si>
    <t>Spring Park,MN 55384</t>
  </si>
  <si>
    <t>Boone Equipment - Tarboro</t>
  </si>
  <si>
    <t>Tarboro,NC 27886</t>
  </si>
  <si>
    <t>Boral Bricks - Smyrna</t>
  </si>
  <si>
    <t>Smyrna,GA 30082</t>
  </si>
  <si>
    <t>Boral Bricks Inc</t>
  </si>
  <si>
    <t>3895 S. Choctaw Ave</t>
  </si>
  <si>
    <t>Union City, OK 73090</t>
  </si>
  <si>
    <t>Borden Inc - Conroe</t>
  </si>
  <si>
    <t>Conroe,TX 77301</t>
  </si>
  <si>
    <t>Borg Warner - Gallipolis</t>
  </si>
  <si>
    <t>Gallipolis,OH 45631</t>
  </si>
  <si>
    <t>Bosch Braking System - Gallatin</t>
  </si>
  <si>
    <t>Gallatin,TN 37066</t>
  </si>
  <si>
    <t>Boston Edison Co. - Plymouth</t>
  </si>
  <si>
    <t>Plymouth,MA 02360</t>
  </si>
  <si>
    <t>Bowater Carolina - Catawba</t>
  </si>
  <si>
    <t>Catawba,SC 29704</t>
  </si>
  <si>
    <t>Bowater Lumber - Albertville</t>
  </si>
  <si>
    <t>Bowen Tools - Houston</t>
  </si>
  <si>
    <t>Houston,TX 77022</t>
  </si>
  <si>
    <t>Bowers Mfg - Portage</t>
  </si>
  <si>
    <t>Portage,MI 49002</t>
  </si>
  <si>
    <t>Bowlin Co - Shreveport</t>
  </si>
  <si>
    <t>Shreveport,LA 71103</t>
  </si>
  <si>
    <t>Boxley Concrete Prod - Lynchburg</t>
  </si>
  <si>
    <t>Lynchburg,VA 24501</t>
  </si>
  <si>
    <t>Boykin Pearce Associ - Denver</t>
  </si>
  <si>
    <t>Denver,CO 80205</t>
  </si>
  <si>
    <t>Atlanta,GA 30367</t>
  </si>
  <si>
    <t>BP - Decatur</t>
  </si>
  <si>
    <t>1401 Finley Island Road</t>
  </si>
  <si>
    <t>(256) 353-1151</t>
  </si>
  <si>
    <t>Bp Amoco - Texas City</t>
  </si>
  <si>
    <t>Texas City,TX 77590</t>
  </si>
  <si>
    <t>Bp Exploration - Golden Meadows</t>
  </si>
  <si>
    <t>Golden Meadows,LA 703</t>
  </si>
  <si>
    <t>Bpr/Rico Equipment - Medina</t>
  </si>
  <si>
    <t>Medina,OH 44256</t>
  </si>
  <si>
    <t>Middleville,MI 49333</t>
  </si>
  <si>
    <t>Bradley Lumber Company</t>
  </si>
  <si>
    <t>822 Fullerton Street</t>
  </si>
  <si>
    <t>Warren, AR 71671</t>
  </si>
  <si>
    <t>870-226-3082</t>
  </si>
  <si>
    <t>870-226-3704</t>
  </si>
  <si>
    <t>Brajdich Co - Irwin</t>
  </si>
  <si>
    <t>1 Main Street</t>
  </si>
  <si>
    <t>Irwin,PA 15642</t>
  </si>
  <si>
    <t>(724) 864-1170</t>
  </si>
  <si>
    <t>Brake Supply Co. Inc - Evansville</t>
  </si>
  <si>
    <t>Evansville,IN 47708</t>
  </si>
  <si>
    <t>Brance Krachy - Houston</t>
  </si>
  <si>
    <t>Houston,TX 77011</t>
  </si>
  <si>
    <t>Brance-Krachy - Beaumont</t>
  </si>
  <si>
    <t>Brand Rex - Willimantic</t>
  </si>
  <si>
    <t>Willimantic,CT 06226</t>
  </si>
  <si>
    <t>Brandt Ind - Regina</t>
  </si>
  <si>
    <t xml:space="preserve">Regina,SK </t>
  </si>
  <si>
    <t>BRAZEALE LUMBER CO.</t>
  </si>
  <si>
    <t>1858 HWY 128</t>
  </si>
  <si>
    <t>SPARKMAN, AR 71763</t>
  </si>
  <si>
    <t>Bre Manufacturing - Garland</t>
  </si>
  <si>
    <t>Garland,TX 75041</t>
  </si>
  <si>
    <t>Breeze Industrial Pr - Saltsburg</t>
  </si>
  <si>
    <t>Saltsburg,PA 15681</t>
  </si>
  <si>
    <t>Brenco Inc - Petersburg</t>
  </si>
  <si>
    <t>Petersburg,VA 23804</t>
  </si>
  <si>
    <t>Bensalem,PA 19020</t>
  </si>
  <si>
    <t>Brenner Tool And Die - Croydon</t>
  </si>
  <si>
    <t>Croydon,PA 19021</t>
  </si>
  <si>
    <t>Brentwood Ind - Reading</t>
  </si>
  <si>
    <t>Reading,PA 19603</t>
  </si>
  <si>
    <t>Brian Smith/M3 Resources</t>
  </si>
  <si>
    <t>501 Melanie Dr.</t>
  </si>
  <si>
    <t>Pharr, TX 78577</t>
  </si>
  <si>
    <t>AIT Customer</t>
  </si>
  <si>
    <t>Brice Manufacturing - Pacoima</t>
  </si>
  <si>
    <t>Pacoima,CA 91331</t>
  </si>
  <si>
    <t>Bridgestone APM Dickson</t>
  </si>
  <si>
    <t>140 Reliance Road</t>
  </si>
  <si>
    <t>Dickson, TN 37055</t>
  </si>
  <si>
    <t>Bridgestone Firestone - Aiken</t>
  </si>
  <si>
    <t>Aiken,SC 29829</t>
  </si>
  <si>
    <t>Bridgestone Firestone - Graniteville</t>
  </si>
  <si>
    <t>Graniteville,SC 29829</t>
  </si>
  <si>
    <t>Bridgestone Firestone - Lavergne</t>
  </si>
  <si>
    <t>Bridgestone Firestone - Nashville</t>
  </si>
  <si>
    <t>50 Century Blvd.</t>
  </si>
  <si>
    <t>Nashville,TN 37214</t>
  </si>
  <si>
    <t>(615) 872-5000</t>
  </si>
  <si>
    <t>(615) 872-1599</t>
  </si>
  <si>
    <t>Bridgestone Sporting - Covington</t>
  </si>
  <si>
    <t>Covington,GA 30209</t>
  </si>
  <si>
    <t>Bridgestone/Firestone, Inc.</t>
  </si>
  <si>
    <t>Morrison,TN 37357</t>
  </si>
  <si>
    <t>Bridgeview Inc - Morgantown</t>
  </si>
  <si>
    <t>Morgantown,PA 19543</t>
  </si>
  <si>
    <t>Waliwatosa,WI 53222</t>
  </si>
  <si>
    <t>Statesboro,GA 30458</t>
  </si>
  <si>
    <t>Briggs Machine - Spokane</t>
  </si>
  <si>
    <t>Spokane,WA 99220</t>
  </si>
  <si>
    <t>Briggs-Weaver - Tucson</t>
  </si>
  <si>
    <t>Tucson,AZ 85713</t>
  </si>
  <si>
    <t>Brighton,MI 48116</t>
  </si>
  <si>
    <t>Brightwood Corp. - Madris</t>
  </si>
  <si>
    <t>Madris,OR 97741</t>
  </si>
  <si>
    <t>Brillcast, Inc. - Grand Rapids</t>
  </si>
  <si>
    <t>Grand Rapids,IL 49509</t>
  </si>
  <si>
    <t>Brindlee Mountain Fire Apparatus</t>
  </si>
  <si>
    <t>15410 US Hwy 231</t>
  </si>
  <si>
    <t>Union Grove, AL 35175</t>
  </si>
  <si>
    <t>256-498-0188</t>
  </si>
  <si>
    <t>256-498-0924</t>
  </si>
  <si>
    <t>Bristol Compressors - Bristol</t>
  </si>
  <si>
    <t>15185 Industrial Park Road</t>
  </si>
  <si>
    <t>Bristol,VA 24202</t>
  </si>
  <si>
    <t>(276) 466-4121</t>
  </si>
  <si>
    <t>(276) 645-2423</t>
  </si>
  <si>
    <t>Briteline Extrusions - Summerville</t>
  </si>
  <si>
    <t>Summerville,SC 29485</t>
  </si>
  <si>
    <t>Britt Lumber Co. - Arcata</t>
  </si>
  <si>
    <t>Arcata,CA 95521</t>
  </si>
  <si>
    <t>Brittany Farms - Milton Freewater</t>
  </si>
  <si>
    <t>Milton Freewater,OR 97862</t>
  </si>
  <si>
    <t>Brockton Boston Cut - Avon</t>
  </si>
  <si>
    <t>Avon,MA 02322</t>
  </si>
  <si>
    <t>Brodeur Machine Co - New Bedford</t>
  </si>
  <si>
    <t>New Bedford,MA 02741</t>
  </si>
  <si>
    <t>Bromma Inc - Roxboro</t>
  </si>
  <si>
    <t>Highway 501</t>
  </si>
  <si>
    <t>Roxboro,NC 27573</t>
  </si>
  <si>
    <t>(336) 599-3141</t>
  </si>
  <si>
    <t>Brooklyn Products Of - Bremen</t>
  </si>
  <si>
    <t>Bremen,IN 46506</t>
  </si>
  <si>
    <t>Brookville Wood Products - Brookville</t>
  </si>
  <si>
    <t>Brookville,PA 15825</t>
  </si>
  <si>
    <t>1000 Brunswick Avenue</t>
  </si>
  <si>
    <t>Gardiner,ME 04345</t>
  </si>
  <si>
    <t>(207) 582-6232</t>
  </si>
  <si>
    <t>(207) 582-1377</t>
  </si>
  <si>
    <t>Darlington,SC 29540</t>
  </si>
  <si>
    <t>Brown Machine - Beaverton</t>
  </si>
  <si>
    <t>330 North Ross Street</t>
  </si>
  <si>
    <t>Beaverton,MI 48612</t>
  </si>
  <si>
    <t>(989) 435-7741</t>
  </si>
  <si>
    <t>Brown Recycling Mfg.</t>
  </si>
  <si>
    <t>1274 Gravel Ridge Road</t>
  </si>
  <si>
    <t>Somerville,AL 35670</t>
  </si>
  <si>
    <t>778-8756</t>
  </si>
  <si>
    <t>778-7445</t>
  </si>
  <si>
    <t>Brown Wood Preserving</t>
  </si>
  <si>
    <t>16851 Hwy 96 West</t>
  </si>
  <si>
    <t>Kennedy,AL 35574</t>
  </si>
  <si>
    <t>205-596-3529</t>
  </si>
  <si>
    <t>205-596-3528</t>
  </si>
  <si>
    <t>Brown Woodworking - Franklin</t>
  </si>
  <si>
    <t>Franklin,NC 28734</t>
  </si>
  <si>
    <t>Browning Mfg - Morgan</t>
  </si>
  <si>
    <t>Morgan,UT 84050</t>
  </si>
  <si>
    <t>Broyhill Furniture - Summerville</t>
  </si>
  <si>
    <t>Brozene Hydraulics - Burlington</t>
  </si>
  <si>
    <t>1400 Mount Pleasant Street</t>
  </si>
  <si>
    <t>Burlington,IA 52601</t>
  </si>
  <si>
    <t>(319) 752-4017</t>
  </si>
  <si>
    <t>(319) 754-7977</t>
  </si>
  <si>
    <t>Bruce Equip. Corp - Lindenhurst</t>
  </si>
  <si>
    <t>313 Akron Street</t>
  </si>
  <si>
    <t>Lindenhurst,NY 11757</t>
  </si>
  <si>
    <t>(631) 226-2424</t>
  </si>
  <si>
    <t>Bruckner Supply Co - Bloomington</t>
  </si>
  <si>
    <t>Bloomington,IN 474</t>
  </si>
  <si>
    <t>Brunswick Industrial - Cleveland</t>
  </si>
  <si>
    <t>Cleveland,OH 44111</t>
  </si>
  <si>
    <t>Brush Weilman Inc - Elmore</t>
  </si>
  <si>
    <t>Elmore,OH 43416</t>
  </si>
  <si>
    <t>Brydet Development C - Coshocton</t>
  </si>
  <si>
    <t>Coshocton,OH 43812</t>
  </si>
  <si>
    <t>BSB Manufacturing</t>
  </si>
  <si>
    <t>20 Industrial Avenue</t>
  </si>
  <si>
    <t>Wellington, KS 67152</t>
  </si>
  <si>
    <t xml:space="preserve">Jay Neal </t>
  </si>
  <si>
    <t>Btm Consulting - Chicago</t>
  </si>
  <si>
    <t>Chicago,IL 60623</t>
  </si>
  <si>
    <t>Btr Precision - Russellville</t>
  </si>
  <si>
    <t>Russellville,KY 42276</t>
  </si>
  <si>
    <t>Buchanan Ind - Buchanan</t>
  </si>
  <si>
    <t>Buchanan,MI 49107</t>
  </si>
  <si>
    <t>Buchanan Lumber Co. - Mobile</t>
  </si>
  <si>
    <t>Mobile,AL 36601</t>
  </si>
  <si>
    <t>Buchanan Lumber Company - Aliceville</t>
  </si>
  <si>
    <t>501 Baptist Line Rd</t>
  </si>
  <si>
    <t>Aliceville, AL, 35442</t>
  </si>
  <si>
    <t>Motion Ind - Tuscaloosa, AL Customer</t>
  </si>
  <si>
    <t>Buck Enterprises - Columbia</t>
  </si>
  <si>
    <t>Columbia,SC 29203</t>
  </si>
  <si>
    <t>Buckeye Perry - Perry</t>
  </si>
  <si>
    <t>Perry,FL 32347</t>
  </si>
  <si>
    <t>Buckeye Steel Castin - Columbus</t>
  </si>
  <si>
    <t>Columbus,OH 43207</t>
  </si>
  <si>
    <t>Buckley Celluose Cor - Lumberton</t>
  </si>
  <si>
    <t>Lumberton,NC 28359</t>
  </si>
  <si>
    <t>Buddy Bean Lumber Co - Hot Springs</t>
  </si>
  <si>
    <t>Hot Springs,AR 71901</t>
  </si>
  <si>
    <t>Buford Brothers - Nashville</t>
  </si>
  <si>
    <t>Nashville,TN 37203</t>
  </si>
  <si>
    <t>Bulk Molding Compoun - West Chicago</t>
  </si>
  <si>
    <t>West Chicago,IL 60185</t>
  </si>
  <si>
    <t>Bunkie Wood Products - Bunkie</t>
  </si>
  <si>
    <t>Bunkie,LA 71322</t>
  </si>
  <si>
    <t>Bunzl Extrusion, Inc - Tacoma</t>
  </si>
  <si>
    <t>Tacoma,WA 98424</t>
  </si>
  <si>
    <t>Burgess Norton Mfg. - Claremore</t>
  </si>
  <si>
    <t>Claremore,OK 74017</t>
  </si>
  <si>
    <t>Burghof - Prarie View</t>
  </si>
  <si>
    <t>Prarie View,IL 60069</t>
  </si>
  <si>
    <t>Burgin Lumber Co. - Cuthbert</t>
  </si>
  <si>
    <t>Cuthbert,GA 31740</t>
  </si>
  <si>
    <t>Burke Fluid Power - So.San Francisco</t>
  </si>
  <si>
    <t>So.San Francisco,CA 9</t>
  </si>
  <si>
    <t>Burke Industrial Sup - Morganton</t>
  </si>
  <si>
    <t>Morganton,NC 28655</t>
  </si>
  <si>
    <t>Burlington Industrie - Forest City</t>
  </si>
  <si>
    <t>Burnette Electric - Ft Oglethorpe</t>
  </si>
  <si>
    <t>Ft Oglethorpe,GA 30742</t>
  </si>
  <si>
    <t>Burnham Corp. - Lancaster</t>
  </si>
  <si>
    <t>Lancaster,PA 17603</t>
  </si>
  <si>
    <t>Burns Industrial Sup - Whitewater</t>
  </si>
  <si>
    <t>Whitewater,WI 53190</t>
  </si>
  <si>
    <t>Burt Lumber Company - Washington</t>
  </si>
  <si>
    <t>Buse Machine - West Point</t>
  </si>
  <si>
    <t>West Point,NE 68788</t>
  </si>
  <si>
    <t>Bush Hog - Selma</t>
  </si>
  <si>
    <t>P.O. Box 1039</t>
  </si>
  <si>
    <t>Selma,AL 36702</t>
  </si>
  <si>
    <t>(334) 874-2700</t>
  </si>
  <si>
    <t>Bushman Equipment - Menomonee Falls</t>
  </si>
  <si>
    <t>Busters Gin - Ropesville</t>
  </si>
  <si>
    <t>Ropesville,TX 79358</t>
  </si>
  <si>
    <t>Butech, Inc.</t>
  </si>
  <si>
    <t>550 South Ellsworth Ave</t>
  </si>
  <si>
    <t>Salem, OH 44460</t>
  </si>
  <si>
    <t>330-332-9913</t>
  </si>
  <si>
    <t>330-337-0800</t>
  </si>
  <si>
    <t>Butler Mfg Co - Galesburg</t>
  </si>
  <si>
    <t xml:space="preserve">Galesburg,IL </t>
  </si>
  <si>
    <t>Goodland,IN 47948</t>
  </si>
  <si>
    <t>Byers Precision Fabr - Hendersonville</t>
  </si>
  <si>
    <t>Hendersonville,NC 28791</t>
  </si>
  <si>
    <t>Crescent,IA 51526</t>
  </si>
  <si>
    <t>Terryville,CT 06786</t>
  </si>
  <si>
    <t>Leola,PA 17540</t>
  </si>
  <si>
    <t>Plymouth Mtg.,PA 194</t>
  </si>
  <si>
    <t>Bayou La Batre,AL 3650</t>
  </si>
  <si>
    <t>Itasca,IL 60143</t>
  </si>
  <si>
    <t>Temple,TX 76503</t>
  </si>
  <si>
    <t>6151 Rangeline Road</t>
  </si>
  <si>
    <t>251-443-7722</t>
  </si>
  <si>
    <t>Union City,IN 47390</t>
  </si>
  <si>
    <t>62 Wilson Rd.</t>
  </si>
  <si>
    <t>773-3233</t>
  </si>
  <si>
    <t>773-3238</t>
  </si>
  <si>
    <t>703 Geneva Avenue</t>
  </si>
  <si>
    <t>Muscle Shoals, AL 35661</t>
  </si>
  <si>
    <t>256-383-0653</t>
  </si>
  <si>
    <t>256-383-0652</t>
  </si>
  <si>
    <t>1305 S. Cedar Street</t>
  </si>
  <si>
    <t>517-374-8055</t>
  </si>
  <si>
    <t>517-374-6655</t>
  </si>
  <si>
    <t>C L W Lumber - Livingston</t>
  </si>
  <si>
    <t>Livingston,TX 77351</t>
  </si>
  <si>
    <t>C&amp;A Drilling - Fremont</t>
  </si>
  <si>
    <t>Fremont,CA 94539</t>
  </si>
  <si>
    <t>C&amp;L Wood Products</t>
  </si>
  <si>
    <t>62 Wilson Road</t>
  </si>
  <si>
    <t>(256) 773-3233</t>
  </si>
  <si>
    <t>773-3328</t>
  </si>
  <si>
    <t>C. F. Saver Co.</t>
  </si>
  <si>
    <t>728 Main Street</t>
  </si>
  <si>
    <t>Mauldin,SC 29662</t>
  </si>
  <si>
    <t>C. V. C. Services - Sun Valley</t>
  </si>
  <si>
    <t>Sun Valley,CA 91352</t>
  </si>
  <si>
    <t>C.A. Tolling - Lynchburg</t>
  </si>
  <si>
    <t>C.B.P.O. - Highland</t>
  </si>
  <si>
    <t>Highland,CA 92346</t>
  </si>
  <si>
    <t>C.F. Gollott Seafood - D'Iberville</t>
  </si>
  <si>
    <t>D'Iberville,MS 395</t>
  </si>
  <si>
    <t>C.G. Bretting Mfg Co - Ashland</t>
  </si>
  <si>
    <t>3401 East Main Street</t>
  </si>
  <si>
    <t>Ashland,WI 54806</t>
  </si>
  <si>
    <t>C.G. Bretting Mfg Co - Greenwich</t>
  </si>
  <si>
    <t>Greenwich,NY 12834</t>
  </si>
  <si>
    <t>C.I. Hayes Inc. - Cranston</t>
  </si>
  <si>
    <t>C.M.I. Equipment - Augres</t>
  </si>
  <si>
    <t>Augres,MI 48703</t>
  </si>
  <si>
    <t>C.P. Intergrated Ser - Oklahoma</t>
  </si>
  <si>
    <t>Oklahoma,OK 73150</t>
  </si>
  <si>
    <t>C.S. Company - Torrance</t>
  </si>
  <si>
    <t>Torrance,CA 90502</t>
  </si>
  <si>
    <t>C.T.M. - Grand Rapids</t>
  </si>
  <si>
    <t>CA Lawton - Green Bay</t>
  </si>
  <si>
    <t>201 West Walnut Street</t>
  </si>
  <si>
    <t>Green Bay,WI 54303</t>
  </si>
  <si>
    <t>(920) 983-4432</t>
  </si>
  <si>
    <t>(920) 436-7631</t>
  </si>
  <si>
    <t>CABARRUS PLASTICS ATTN: TERRY LEWIS</t>
  </si>
  <si>
    <t>2845 ARMENTROUT DR.</t>
  </si>
  <si>
    <t>CONCORD, NC 28025</t>
  </si>
  <si>
    <t>704-784-2100</t>
  </si>
  <si>
    <t>Cabot Corporation - Ville Platte</t>
  </si>
  <si>
    <t>2066 Cabot Road</t>
  </si>
  <si>
    <t>Ville Platte,LA 70586</t>
  </si>
  <si>
    <t>Cadillac Products - Rogers City</t>
  </si>
  <si>
    <t>Rogers City,MI 49779</t>
  </si>
  <si>
    <t xml:space="preserve">CAE Newnes Inc - </t>
  </si>
  <si>
    <t xml:space="preserve">, </t>
  </si>
  <si>
    <t>(250) 833-3012</t>
  </si>
  <si>
    <t>(250) 804-4012</t>
  </si>
  <si>
    <t>CAE Newnes Inc - Covington</t>
  </si>
  <si>
    <t>14500 Lochridge Boulevard</t>
  </si>
  <si>
    <t>Covington,GA 30014</t>
  </si>
  <si>
    <t>(770) 788-6799</t>
  </si>
  <si>
    <t>Caffal Bros. Forest - Longview</t>
  </si>
  <si>
    <t>Longview,WA 98632</t>
  </si>
  <si>
    <t>Cahaba Valley Timber - Selma</t>
  </si>
  <si>
    <t>Cahaba Veneer</t>
  </si>
  <si>
    <t>324 Mill Street</t>
  </si>
  <si>
    <t>Centreville,AL 35042</t>
  </si>
  <si>
    <t>205-926-9797</t>
  </si>
  <si>
    <t>205-926-5496</t>
  </si>
  <si>
    <t>Cairo Dry Kiln - Cairo</t>
  </si>
  <si>
    <t>Cairo,IL 62914</t>
  </si>
  <si>
    <t>Cajun Forge Co Inc. - Crowley</t>
  </si>
  <si>
    <t>Crowley,LA 70527</t>
  </si>
  <si>
    <t>Calcot Ltd - Bakersfield</t>
  </si>
  <si>
    <t>Bakersfield,CA 93307</t>
  </si>
  <si>
    <t>Caldon Refractories - Enfield</t>
  </si>
  <si>
    <t>Enfield,CT 06082</t>
  </si>
  <si>
    <t>California Composite - Santa Ana</t>
  </si>
  <si>
    <t>California Paper Board - Santa Clara</t>
  </si>
  <si>
    <t>Santa Clara,CA 95050</t>
  </si>
  <si>
    <t>California Steel Ind - Fontana</t>
  </si>
  <si>
    <t>Fontana,CA 92335</t>
  </si>
  <si>
    <t>Caliper Enterprises - Flushing</t>
  </si>
  <si>
    <t>Flushing,NY 11358</t>
  </si>
  <si>
    <t>Calkins Dist. - Spokane</t>
  </si>
  <si>
    <t>Spokane,WA 99214</t>
  </si>
  <si>
    <t>Calkins Fluid Power - Auburn</t>
  </si>
  <si>
    <t>Auburn,WA 98001</t>
  </si>
  <si>
    <t>Callen Mfg Co - North Lake</t>
  </si>
  <si>
    <t>North Lake,IL 60164</t>
  </si>
  <si>
    <t>Callender Constructi - Pittsfield</t>
  </si>
  <si>
    <t>Pittsfield,IL 62363</t>
  </si>
  <si>
    <t>Calsonics - Shelbyville</t>
  </si>
  <si>
    <t>Garden Grove,CA 92843</t>
  </si>
  <si>
    <t>Cal-State Seal San D - Chula Vista</t>
  </si>
  <si>
    <t>Calvert Mfg - Longwood</t>
  </si>
  <si>
    <t>245 North Street</t>
  </si>
  <si>
    <t>Longwood,FL 32750</t>
  </si>
  <si>
    <t>(407) 331-5522</t>
  </si>
  <si>
    <t>(407) 331-0089</t>
  </si>
  <si>
    <t>Cam Pipe - Mokena</t>
  </si>
  <si>
    <t>Mokena,IL 60448</t>
  </si>
  <si>
    <t>5875 Mining Terrace, Suite 108</t>
  </si>
  <si>
    <t>Jacksonville, FL 32257</t>
  </si>
  <si>
    <t>904-292-4200</t>
  </si>
  <si>
    <t>904-292-4199</t>
  </si>
  <si>
    <t>Cambar C/O Cooper To - Sumter</t>
  </si>
  <si>
    <t>Sumter,SC 29154</t>
  </si>
  <si>
    <t>Cambridge Ind - Lenoir</t>
  </si>
  <si>
    <t>Cambridge Tool North - Dover</t>
  </si>
  <si>
    <t>Dover,NH 03820</t>
  </si>
  <si>
    <t>Camcar Textron - Rockford</t>
  </si>
  <si>
    <t>Rockford,IL 61104</t>
  </si>
  <si>
    <t>Camco Fittings - Hamden</t>
  </si>
  <si>
    <t>Hamden,CT 06514</t>
  </si>
  <si>
    <t>Camdell Metals Corp. - Camden</t>
  </si>
  <si>
    <t>Camden,DE 19934</t>
  </si>
  <si>
    <t>Camden Casting Cente - Camden</t>
  </si>
  <si>
    <t>Camden,TN 38320</t>
  </si>
  <si>
    <t>Cameron - Houston</t>
  </si>
  <si>
    <t>Houston,TX 77040</t>
  </si>
  <si>
    <t>Knoxville,TN 37921</t>
  </si>
  <si>
    <t>Waynesboro,GA 3083</t>
  </si>
  <si>
    <t>Cameron And Barkely - Florence</t>
  </si>
  <si>
    <t>Florence,SC 29501</t>
  </si>
  <si>
    <t>Cameron Controls - Houston</t>
  </si>
  <si>
    <t>Houston,TX 77092</t>
  </si>
  <si>
    <t>Cameron-Barkley - Macon</t>
  </si>
  <si>
    <t>Macon,GA 31206</t>
  </si>
  <si>
    <t>Camp Company - St. Petersburg</t>
  </si>
  <si>
    <t>St. Petersburg,FL 337</t>
  </si>
  <si>
    <t>Camp Lejeune - Jacksonville</t>
  </si>
  <si>
    <t>Jacksonville,NC 285</t>
  </si>
  <si>
    <t>Campbell Detachable - Wauconda</t>
  </si>
  <si>
    <t>Wauconda,IL 60084</t>
  </si>
  <si>
    <t>Campbell Hausfeld - Harrison</t>
  </si>
  <si>
    <t>Harrison,OH 45030</t>
  </si>
  <si>
    <t xml:space="preserve">Canadian Forest Prod - </t>
  </si>
  <si>
    <t>, V2N 2K2</t>
  </si>
  <si>
    <t>Canam Steel Corporation</t>
  </si>
  <si>
    <t>140 Ellis Road South</t>
  </si>
  <si>
    <t>904-781-0898</t>
  </si>
  <si>
    <t>904-751-0510</t>
  </si>
  <si>
    <t>Candle Corporation of America - Elkin</t>
  </si>
  <si>
    <t>Highway 268 East</t>
  </si>
  <si>
    <t>Elkin,NC 28621</t>
  </si>
  <si>
    <t>(336) 527-2235</t>
  </si>
  <si>
    <t>Cannon Equipment - Rosemount</t>
  </si>
  <si>
    <t>Rosemount,MN 55068</t>
  </si>
  <si>
    <t>Cannondale Corp - Bedford</t>
  </si>
  <si>
    <t>Bedford,PA 15522</t>
  </si>
  <si>
    <t>Canoak USA Inc - Salem</t>
  </si>
  <si>
    <t>Rr 5</t>
  </si>
  <si>
    <t>Salem,MO 65560</t>
  </si>
  <si>
    <t>(573) 729-3310</t>
  </si>
  <si>
    <t>(573) 729-3809</t>
  </si>
  <si>
    <t>Canton Tech - Sturtevant</t>
  </si>
  <si>
    <t>Sturtevant,WI 53177</t>
  </si>
  <si>
    <t>Canyon Hydraulics - Canyonville</t>
  </si>
  <si>
    <t>Canyonville,OR 9741</t>
  </si>
  <si>
    <t>Capital Bearing - New Braunfels</t>
  </si>
  <si>
    <t>New Braunfels,TX 7813</t>
  </si>
  <si>
    <t>Capital Hydraulics - Raleigh</t>
  </si>
  <si>
    <t>6301 Hillsborough Street</t>
  </si>
  <si>
    <t>Raleigh,NC 27606</t>
  </si>
  <si>
    <t>(919) 851-2739</t>
  </si>
  <si>
    <t>(919) 851-2741</t>
  </si>
  <si>
    <t>Capital Hydraulics - Tallahassee</t>
  </si>
  <si>
    <t>1105 Capital Circle Northwest</t>
  </si>
  <si>
    <t>Tallahassee,FL 32304</t>
  </si>
  <si>
    <t>(850) 576-0195</t>
  </si>
  <si>
    <t>850-576-9356</t>
  </si>
  <si>
    <t>Henderson,NV 89015</t>
  </si>
  <si>
    <t>Capital Wholesale Me - Chicago</t>
  </si>
  <si>
    <t>Chicago,IL 60609</t>
  </si>
  <si>
    <t>Capitol Bearing Serv - Austin</t>
  </si>
  <si>
    <t>Austin,TX 78701</t>
  </si>
  <si>
    <t>Capitol Manufacturin - Crowley</t>
  </si>
  <si>
    <t>Crowley,LA 70526</t>
  </si>
  <si>
    <t>Capri Ind, In - Morganton</t>
  </si>
  <si>
    <t>Captive Fastener - Oakland</t>
  </si>
  <si>
    <t>Oakland,NJ 07436</t>
  </si>
  <si>
    <t>Caradon Mideast Alum - Mountaintop</t>
  </si>
  <si>
    <t>Mountaintop,PA 18707</t>
  </si>
  <si>
    <t>Carbidie - Irwin</t>
  </si>
  <si>
    <t>Card Lock Company, Inc.</t>
  </si>
  <si>
    <t xml:space="preserve">967 Washington Ferry Rd. </t>
  </si>
  <si>
    <t>Prattville, AL 36067</t>
  </si>
  <si>
    <t>334-365-9787</t>
  </si>
  <si>
    <t>334-365-9788</t>
  </si>
  <si>
    <t>Cardinal Ig - Tomah</t>
  </si>
  <si>
    <t>Tomah,WI 54660</t>
  </si>
  <si>
    <t>Cardinal Valve Service - Joliet</t>
  </si>
  <si>
    <t>1014 West Jefferson Street</t>
  </si>
  <si>
    <t>Joliet,IL 60435</t>
  </si>
  <si>
    <t>(815) 730-3180</t>
  </si>
  <si>
    <t>(815) 730-3181</t>
  </si>
  <si>
    <t>Cargill Corn Starch - Cedar Rapids</t>
  </si>
  <si>
    <t>Cedar Rapids,IA 52406</t>
  </si>
  <si>
    <t>Cargill Flour Milling - Ogden</t>
  </si>
  <si>
    <t>Cargill Inc - Reserve</t>
  </si>
  <si>
    <t>Reserve,LA 70084</t>
  </si>
  <si>
    <t>Cargill Inc. - Maynard</t>
  </si>
  <si>
    <t>Maynard,MN 56260</t>
  </si>
  <si>
    <t>Cargill Oilseeds - Chesapeake</t>
  </si>
  <si>
    <t>Chesapeake,VA 23324</t>
  </si>
  <si>
    <t>Cargill Salt Company - Breaux Bridge</t>
  </si>
  <si>
    <t>Breaux Bridge,LA 705</t>
  </si>
  <si>
    <t>Cargo - Milwaukee</t>
  </si>
  <si>
    <t>Caribou Metal Fabric - Caribou</t>
  </si>
  <si>
    <t>Caribou,ME 04736</t>
  </si>
  <si>
    <t>Elkin Wildlife Road</t>
  </si>
  <si>
    <t>(336) 835-4150</t>
  </si>
  <si>
    <t>(336) 835-2501</t>
  </si>
  <si>
    <t>Carley Foundry - Blaine</t>
  </si>
  <si>
    <t>Blaine,MN 55434</t>
  </si>
  <si>
    <t>Carlisle Container M - Green Cove Springs</t>
  </si>
  <si>
    <t>Green Cove Springs,FL 3</t>
  </si>
  <si>
    <t>Carlisle Engineered Products - Tuscaloosa</t>
  </si>
  <si>
    <t>1401 Industrial Park Dr.</t>
  </si>
  <si>
    <t>Tuscaloosa,AL 35401</t>
  </si>
  <si>
    <t>(205) 333-0703</t>
  </si>
  <si>
    <t>(205) 333-0001</t>
  </si>
  <si>
    <t>Carlton Co - Albany</t>
  </si>
  <si>
    <t>Albany,GA 31707</t>
  </si>
  <si>
    <t>Carlton Co - Brunswick</t>
  </si>
  <si>
    <t>Brunswick,GA 31525</t>
  </si>
  <si>
    <t>Carlton-Bates Co - Shreveport</t>
  </si>
  <si>
    <t>Carnegie Mellon - Pittsburgh</t>
  </si>
  <si>
    <t>Pittsburgh,PA 15201</t>
  </si>
  <si>
    <t>Carolina Cabinet Com - Wilson</t>
  </si>
  <si>
    <t>Wilson,NC 27893</t>
  </si>
  <si>
    <t>Carolina Fluid Components - Charlotte</t>
  </si>
  <si>
    <t>9309 Stockport Place</t>
  </si>
  <si>
    <t>(704) 588-6101</t>
  </si>
  <si>
    <t>(704) 588-6115</t>
  </si>
  <si>
    <t>Carolina Fluid Components - Norcross</t>
  </si>
  <si>
    <t>5990 Unity Dr. Suite G.</t>
  </si>
  <si>
    <t>Norcross,GA 30071</t>
  </si>
  <si>
    <t>(770) 447-1010</t>
  </si>
  <si>
    <t>(770) 447-1991</t>
  </si>
  <si>
    <t>Carolina Fluid Components - Roanoke</t>
  </si>
  <si>
    <t>1226 Trapper Circle</t>
  </si>
  <si>
    <t>Roanoke,VA 24012</t>
  </si>
  <si>
    <t>(888) 696-0356</t>
  </si>
  <si>
    <t>Carolina Fluid Technology - Concord</t>
  </si>
  <si>
    <t>2770 Zion Church Road</t>
  </si>
  <si>
    <t>Concord,NC 28025</t>
  </si>
  <si>
    <t>(704) 784-8101</t>
  </si>
  <si>
    <t>(704) 792-2215</t>
  </si>
  <si>
    <t>Carolina Fluidair - Columbia</t>
  </si>
  <si>
    <t>300 Huger Street</t>
  </si>
  <si>
    <t>Columbia,SC 29201</t>
  </si>
  <si>
    <t>(803) 779-5222</t>
  </si>
  <si>
    <t>Carolina Hydraulics - Kernersville</t>
  </si>
  <si>
    <t>1211 E Mountain</t>
  </si>
  <si>
    <t xml:space="preserve">Kernersville,NC </t>
  </si>
  <si>
    <t>(336) 996-4602</t>
  </si>
  <si>
    <t>(336) 996-8091</t>
  </si>
  <si>
    <t>Carolina Lumber</t>
  </si>
  <si>
    <t>201 Mixon Mill Road</t>
  </si>
  <si>
    <t>Orangeburg,Sc 29116</t>
  </si>
  <si>
    <t>Carolina Mold Works - Fletcher</t>
  </si>
  <si>
    <t>Fletcher,NC 28732</t>
  </si>
  <si>
    <t>Carolina Power Trans - Wilson</t>
  </si>
  <si>
    <t>Wilson,NC 27895</t>
  </si>
  <si>
    <t>Carolina Precision Plast</t>
  </si>
  <si>
    <t>405 Commerce Place</t>
  </si>
  <si>
    <t>Asheboro, NC. 27203</t>
  </si>
  <si>
    <t>Carr Concrete - Waverly</t>
  </si>
  <si>
    <t>Waverly,WV 26184</t>
  </si>
  <si>
    <t>2600 Beltline Road SW</t>
  </si>
  <si>
    <t>Decatur, AL 35602</t>
  </si>
  <si>
    <t>256-353-7867</t>
  </si>
  <si>
    <t>256-353-7809</t>
  </si>
  <si>
    <t>Carrier Corp.Div. United Tech</t>
  </si>
  <si>
    <t>97 South Byhalia Road</t>
  </si>
  <si>
    <t>Colliersville,TN 38017</t>
  </si>
  <si>
    <t>Carrollton Hydraulics</t>
  </si>
  <si>
    <t>212 Brumbelow Road</t>
  </si>
  <si>
    <t>770-838-7757</t>
  </si>
  <si>
    <t>770-838-7762</t>
  </si>
  <si>
    <t>Carson Ind</t>
  </si>
  <si>
    <t>1675 Industrial Drive</t>
  </si>
  <si>
    <t>Napoleon, OH 43545</t>
  </si>
  <si>
    <t>Cylinder Source's Customer</t>
  </si>
  <si>
    <t>Carter Ground Fueling - Costa Mesa</t>
  </si>
  <si>
    <t>Costa Mesa,CA 92627</t>
  </si>
  <si>
    <t>Carter Machinery - Salem</t>
  </si>
  <si>
    <t>Carver Inc - Savannah</t>
  </si>
  <si>
    <t>Savannah,GA 31408</t>
  </si>
  <si>
    <t>Cascade Engineering - Grand Rapids</t>
  </si>
  <si>
    <t>Cascade Hardwood - Chehalis</t>
  </si>
  <si>
    <t>Chehalis,WA 98532</t>
  </si>
  <si>
    <t>Cascade Hydraulics</t>
  </si>
  <si>
    <t>360-423-1082</t>
  </si>
  <si>
    <t>360-423-2141</t>
  </si>
  <si>
    <t>Cascade Hydraulics-Longview, WA</t>
  </si>
  <si>
    <t>420 Industrial Way</t>
  </si>
  <si>
    <t>Longview, WA 98632</t>
  </si>
  <si>
    <t>Cascade Industrial S - Klamath Falls</t>
  </si>
  <si>
    <t>Cascade Steel Rolling - Mc Minville</t>
  </si>
  <si>
    <t>Mc Minville,OR 97128</t>
  </si>
  <si>
    <t>Cascade Tissue Group</t>
  </si>
  <si>
    <t>805 Midway Road</t>
  </si>
  <si>
    <t>Rockingham, NC 28379</t>
  </si>
  <si>
    <t>Cascades Sonoco - Richmond</t>
  </si>
  <si>
    <t>Richmond,VA 23222</t>
  </si>
  <si>
    <t>Cascadian Co. - Eugene</t>
  </si>
  <si>
    <t>Case Corp - Burr Ridge</t>
  </si>
  <si>
    <t>Burr Ridge,IL 60521</t>
  </si>
  <si>
    <t>Cash Acme - Cullman</t>
  </si>
  <si>
    <t>2400 7th Avenue Southwest</t>
  </si>
  <si>
    <t>Cullman,AL 35055</t>
  </si>
  <si>
    <t>(256) 775-8200</t>
  </si>
  <si>
    <t>(256) 775-8149</t>
  </si>
  <si>
    <t>Cast Products</t>
  </si>
  <si>
    <t>18676 No. Jefferson St.</t>
  </si>
  <si>
    <t>Athens,AL 35614</t>
  </si>
  <si>
    <t>256-233-1500</t>
  </si>
  <si>
    <t>256-233-6238</t>
  </si>
  <si>
    <t>Caster Cartage - Detroit</t>
  </si>
  <si>
    <t>Detroit,MI 48209</t>
  </si>
  <si>
    <t>Casting Technilogies - Franklin</t>
  </si>
  <si>
    <t>Franklin,IN 46131</t>
  </si>
  <si>
    <t>Catching Fluid Power - Countryside</t>
  </si>
  <si>
    <t>Countryside,IL 60525</t>
  </si>
  <si>
    <t>Catching Fluidpower Inc. - Bolingbrook</t>
  </si>
  <si>
    <t>881 Remington Blvd</t>
  </si>
  <si>
    <t>Bolingbrook,IL 60440-4932</t>
  </si>
  <si>
    <t>(630) 771-3800</t>
  </si>
  <si>
    <t>(630) 771-3801</t>
  </si>
  <si>
    <t>CATCO - Fond Du Lac</t>
  </si>
  <si>
    <t>385 N Pioneer Rd</t>
  </si>
  <si>
    <t>Fond Du Lac, WI 54937</t>
  </si>
  <si>
    <t>920-923-3444</t>
  </si>
  <si>
    <t>920-923-3712</t>
  </si>
  <si>
    <t>Catco Inc - Mankato</t>
  </si>
  <si>
    <t>Mankato,MN 56001</t>
  </si>
  <si>
    <t>Caterpillar Inc - Laredo</t>
  </si>
  <si>
    <t>Caterpillar Inc - Mossville</t>
  </si>
  <si>
    <t xml:space="preserve">Mossville,IL </t>
  </si>
  <si>
    <t>Caterpillar Tractor - Peoria</t>
  </si>
  <si>
    <t>245 East</t>
  </si>
  <si>
    <t xml:space="preserve">Peoria,IL </t>
  </si>
  <si>
    <t>Caterpillar, Inc. - Pontiac</t>
  </si>
  <si>
    <t>Pontiac,IL 61764</t>
  </si>
  <si>
    <t>Catey Controls - Missoula</t>
  </si>
  <si>
    <t>P.O. Box 7496</t>
  </si>
  <si>
    <t>Missoula,MT 59807</t>
  </si>
  <si>
    <t>(406) 728-7860</t>
  </si>
  <si>
    <t>Catey Controls, Inc. - Billings</t>
  </si>
  <si>
    <t>535 Moore Lane</t>
  </si>
  <si>
    <t>(406) 259-3703</t>
  </si>
  <si>
    <t>Catey Controls, Inc. - Salt Lake City</t>
  </si>
  <si>
    <t>80 West Truman Avenue</t>
  </si>
  <si>
    <t>(801) 466-8222</t>
  </si>
  <si>
    <t>(801) 466-8292</t>
  </si>
  <si>
    <t>Cathey Co. - Lansing</t>
  </si>
  <si>
    <t>Lansing,MI 48909</t>
  </si>
  <si>
    <t>Cavalla Inc. - Hackensack</t>
  </si>
  <si>
    <t>Hackensack,NJ 07601</t>
  </si>
  <si>
    <t>Cavco - Seguin</t>
  </si>
  <si>
    <t>Seguin,TX 78156</t>
  </si>
  <si>
    <t>Houston,TX 77064</t>
  </si>
  <si>
    <t>CCD Engineering</t>
  </si>
  <si>
    <t>109 Main St.</t>
  </si>
  <si>
    <t>Mulliken, MI 48861</t>
  </si>
  <si>
    <t>Cct Enterprises, Inc - Schofield</t>
  </si>
  <si>
    <t>Schofield,WI 54476</t>
  </si>
  <si>
    <t>Cdf Inc. - Lebanon</t>
  </si>
  <si>
    <t>Lebanon,TN 37087</t>
  </si>
  <si>
    <t>Cea Compactors - Pompton Lakes</t>
  </si>
  <si>
    <t>Pompton Lakes,NJ 0754</t>
  </si>
  <si>
    <t>Cebaf - Newport News</t>
  </si>
  <si>
    <t>Cedar Brook Inc. - Cashmere</t>
  </si>
  <si>
    <t>Cashmere,WA 98815</t>
  </si>
  <si>
    <t>Cedarapids Inc - Cedar Rapids</t>
  </si>
  <si>
    <t>Cedar Rapids,IA 52402</t>
  </si>
  <si>
    <t>Cedarville Lumber Company</t>
  </si>
  <si>
    <t>495 Sawmill Road</t>
  </si>
  <si>
    <t>Bethlehem, KY 40007</t>
  </si>
  <si>
    <t>502-845-4569</t>
  </si>
  <si>
    <t>Crosby's (WPS) customer</t>
  </si>
  <si>
    <t>CEI ENTERPRISES, INC.</t>
  </si>
  <si>
    <t>245 WOODWARD RD, SE</t>
  </si>
  <si>
    <t>ALBUQUERQUE, NM 87102</t>
  </si>
  <si>
    <t>Ceja Corp. - Hominy</t>
  </si>
  <si>
    <t>Hominy,OK 74035</t>
  </si>
  <si>
    <t>Celotex Corp - Quincy</t>
  </si>
  <si>
    <t>Quincy,IL 62301</t>
  </si>
  <si>
    <t>Celotex Corporation - Marrero</t>
  </si>
  <si>
    <t>Marrero,LA 70072</t>
  </si>
  <si>
    <t>Cemex Usa - Demopolis</t>
  </si>
  <si>
    <t>1617 Arcola Road</t>
  </si>
  <si>
    <t>Demopolis,AL 36372</t>
  </si>
  <si>
    <t>(334) 289-4400 ext270</t>
  </si>
  <si>
    <t>(334) 289-3728</t>
  </si>
  <si>
    <t>Centaur Fluid Power Services - Tullahoma</t>
  </si>
  <si>
    <t>116 Southside Street</t>
  </si>
  <si>
    <t>Tullahoma,TN 37388</t>
  </si>
  <si>
    <t>(931) 461-5118</t>
  </si>
  <si>
    <t>(931) 461-5120</t>
  </si>
  <si>
    <t>Centennial Technolog - Saginaw</t>
  </si>
  <si>
    <t>Saginaw,MI 48604</t>
  </si>
  <si>
    <t>Central Alabama Fluid Power - Montgomery</t>
  </si>
  <si>
    <t>2273 South Forbes Drive</t>
  </si>
  <si>
    <t>Montgomery,AL 36110</t>
  </si>
  <si>
    <t>(334) 265-1990</t>
  </si>
  <si>
    <t>(334) 265-1993</t>
  </si>
  <si>
    <t>Central Arizona Project</t>
  </si>
  <si>
    <t>23636 N. 7th St</t>
  </si>
  <si>
    <t>Phoenix, AZ 85024</t>
  </si>
  <si>
    <t>Central Coil Process - Portage</t>
  </si>
  <si>
    <t>Portage,IN 46368</t>
  </si>
  <si>
    <t>Central Die Casting - Chicago</t>
  </si>
  <si>
    <t>Central Hydraulic Systems - Kearney</t>
  </si>
  <si>
    <t>1841 Avenue H</t>
  </si>
  <si>
    <t>Kearney,NE 68847</t>
  </si>
  <si>
    <t>(308) 237-2625</t>
  </si>
  <si>
    <t>(308) 234-3518</t>
  </si>
  <si>
    <t>Central Hydraulics - Daytona Beach</t>
  </si>
  <si>
    <t>1580 North Nova Road</t>
  </si>
  <si>
    <t>Daytona Beach,FL 32117</t>
  </si>
  <si>
    <t>(800) 264-9571</t>
  </si>
  <si>
    <t>(386) 257-5728</t>
  </si>
  <si>
    <t>Central Hydraulics - Leesburg</t>
  </si>
  <si>
    <t>820 Thomas Avenue</t>
  </si>
  <si>
    <t>Leesburg,FL 34748</t>
  </si>
  <si>
    <t>(352) 323-8008</t>
  </si>
  <si>
    <t>(352) 323-8533</t>
  </si>
  <si>
    <t>Central Hydraulics - St. Cloud</t>
  </si>
  <si>
    <t>St. Cloud,MN 56303</t>
  </si>
  <si>
    <t>Central Manufacturing - Groveland</t>
  </si>
  <si>
    <t>Groveland,IL 61535</t>
  </si>
  <si>
    <t>Central Mfg Co - East Peoria</t>
  </si>
  <si>
    <t>East Peoria,IL 61611</t>
  </si>
  <si>
    <t>Central Plastics - Shawnee</t>
  </si>
  <si>
    <t>Shawnee,OK 74801</t>
  </si>
  <si>
    <t>Central Pneumatics (CPI) - Kitchener</t>
  </si>
  <si>
    <t>500 Trillium Drive Unit 2</t>
  </si>
  <si>
    <t>Kitchener,ONT N2E 2K6</t>
  </si>
  <si>
    <t>(519) 748-0600</t>
  </si>
  <si>
    <t>(519) 748-2212</t>
  </si>
  <si>
    <t>Central Pneumatics (CPI) - Mississauga</t>
  </si>
  <si>
    <t>5155 Timberlea Blvd.</t>
  </si>
  <si>
    <t>Mississauga,ONT L4W 2E3</t>
  </si>
  <si>
    <t>(905) 625-4805</t>
  </si>
  <si>
    <t>(905) 629-8409</t>
  </si>
  <si>
    <t>Central Point Lumber - Central Point</t>
  </si>
  <si>
    <t>Central Point,OR 97502</t>
  </si>
  <si>
    <t>Central Rubber Company - Belvidere</t>
  </si>
  <si>
    <t>844 East Jackson Street</t>
  </si>
  <si>
    <t>Belvidere,IL 61008</t>
  </si>
  <si>
    <t>Centrifugal Casting - Tulsa</t>
  </si>
  <si>
    <t>Tulsa,OK 74101</t>
  </si>
  <si>
    <t>Centro Metal Cut - Rockford</t>
  </si>
  <si>
    <t>Century Aluminum - Ravenswood</t>
  </si>
  <si>
    <t>Route 2 So</t>
  </si>
  <si>
    <t>Ravenswood,WV 26164</t>
  </si>
  <si>
    <t>Century Conveyor Ser - Edison</t>
  </si>
  <si>
    <t>Edison,NJ 08817</t>
  </si>
  <si>
    <t>Century Flooring Com - Melbourne</t>
  </si>
  <si>
    <t>Melbourne,AR 72556</t>
  </si>
  <si>
    <t>Century Specialties - Traverse City</t>
  </si>
  <si>
    <t>Ceradyne, Inc. - Costa Mesa</t>
  </si>
  <si>
    <t>Costa Mesa,CA 92626</t>
  </si>
  <si>
    <t>Ceramic Technology - Rupert</t>
  </si>
  <si>
    <t>Rupert,WV 25984</t>
  </si>
  <si>
    <t>Ceromet - Anaheim</t>
  </si>
  <si>
    <t>Anaheim,CA 92807</t>
  </si>
  <si>
    <t>Cerro-Wire - Hartselle</t>
  </si>
  <si>
    <t>1099 Thompson Road SE</t>
  </si>
  <si>
    <t>(256) 773-2522</t>
  </si>
  <si>
    <t>(256) 773-5190</t>
  </si>
  <si>
    <t>Cersosimo Lumber Co. - Brattleboro</t>
  </si>
  <si>
    <t>Brattleboro,VT 53</t>
  </si>
  <si>
    <t>Certainteed Corp - N Wilkesboro</t>
  </si>
  <si>
    <t>N Wilkesboro,NC 28</t>
  </si>
  <si>
    <t>Certified Fluid Power - Apollo Beach</t>
  </si>
  <si>
    <t>Apollo Beach,FL 33572</t>
  </si>
  <si>
    <t>Houston,TX 77017</t>
  </si>
  <si>
    <t>Certified Power - Bridgeton</t>
  </si>
  <si>
    <t>4035 Fee Fee Road</t>
  </si>
  <si>
    <t>Bridgeton,MO 63044</t>
  </si>
  <si>
    <t>(800) 999-7411</t>
  </si>
  <si>
    <t>(314) 344-8554</t>
  </si>
  <si>
    <t>Certified Power - Burnsville</t>
  </si>
  <si>
    <t>12117 Riverwood Drive</t>
  </si>
  <si>
    <t>Burnsville,MN 55337</t>
  </si>
  <si>
    <t>(800) 289-1330</t>
  </si>
  <si>
    <t>(612) 890-0381</t>
  </si>
  <si>
    <t>Certified Power,Inc.-Fluid Systems</t>
  </si>
  <si>
    <t>2004 Paysphere Circle</t>
  </si>
  <si>
    <t>Chicago,IL 60674</t>
  </si>
  <si>
    <t>920-403-1209</t>
  </si>
  <si>
    <t>Certus</t>
  </si>
  <si>
    <t>1601 Peach Leaf Street</t>
  </si>
  <si>
    <t>Houston, TX 77039</t>
  </si>
  <si>
    <t>281-227-7444</t>
  </si>
  <si>
    <t>281-227-7496</t>
  </si>
  <si>
    <t>Cesco - Meridian</t>
  </si>
  <si>
    <t>Meridian,ID 83642</t>
  </si>
  <si>
    <t>Cessna Aircraft - Witchita</t>
  </si>
  <si>
    <t>Witchita,KS 67217</t>
  </si>
  <si>
    <t>CFC - Charlotte</t>
  </si>
  <si>
    <t>Cfi Warehouse - Beaumont</t>
  </si>
  <si>
    <t>Cfm - Dartmouth</t>
  </si>
  <si>
    <t>Dartmouth,NS B3B 1E3</t>
  </si>
  <si>
    <t>Cfm Fluid Systems - Calais</t>
  </si>
  <si>
    <t>Calais,ME 04619</t>
  </si>
  <si>
    <t>CFM Fluid Systems - Saint John</t>
  </si>
  <si>
    <t>Gifford Road</t>
  </si>
  <si>
    <t>Saint John,NB E2M 4X7</t>
  </si>
  <si>
    <t>(506) 635-7733</t>
  </si>
  <si>
    <t>(506) 648-2016</t>
  </si>
  <si>
    <t>Challenge - Rmf Inc. - Grandview</t>
  </si>
  <si>
    <t>Grandview,MO 64030</t>
  </si>
  <si>
    <t>Challenger Hydraulics, Inc. - Chattanooga</t>
  </si>
  <si>
    <t>2003 Watauga St.</t>
  </si>
  <si>
    <t>Chattanooga,TN 37404</t>
  </si>
  <si>
    <t>(423) 622-5562</t>
  </si>
  <si>
    <t>(423) 622-5548</t>
  </si>
  <si>
    <t>Chalres Ingram Lumber Co.</t>
  </si>
  <si>
    <t xml:space="preserve">4930 Planer Road </t>
  </si>
  <si>
    <t>Effingham, SC 29591</t>
  </si>
  <si>
    <t>843-662-1483</t>
  </si>
  <si>
    <t>843-662-1926</t>
  </si>
  <si>
    <t>Champion Friction - Eugene</t>
  </si>
  <si>
    <t>Champion Furnace Pip - Peoria</t>
  </si>
  <si>
    <t>Peoria,IL 61614</t>
  </si>
  <si>
    <t>Champion International - Camden</t>
  </si>
  <si>
    <t>Camden,TX 75934</t>
  </si>
  <si>
    <t>Mishawaka,IN 46544</t>
  </si>
  <si>
    <t>Chand L.L.C. - Mathews</t>
  </si>
  <si>
    <t>Mathews,LA 70375</t>
  </si>
  <si>
    <t>Chant Engineering</t>
  </si>
  <si>
    <t>59 Industrial Drive</t>
  </si>
  <si>
    <t>New Britain, PA 18901</t>
  </si>
  <si>
    <t>215.230.4260</t>
  </si>
  <si>
    <t>215.230.4261</t>
  </si>
  <si>
    <t>Chapman Lumber - Boykins</t>
  </si>
  <si>
    <t>Boykins,VA 23827</t>
  </si>
  <si>
    <t>P.O. Box 10491</t>
  </si>
  <si>
    <t>Birmingham,AL 35202</t>
  </si>
  <si>
    <t>(800) 848-2326</t>
  </si>
  <si>
    <t>(205) 591-2839</t>
  </si>
  <si>
    <t>Charles Ingram Lumber - Effingham</t>
  </si>
  <si>
    <t>Effingham,SC 29541</t>
  </si>
  <si>
    <t>Charles Ingram Lumber Co.</t>
  </si>
  <si>
    <t xml:space="preserve">4930 Planer Rd. </t>
  </si>
  <si>
    <t>Effingham, SC  29541</t>
  </si>
  <si>
    <t>Charlevoix Mfg - Charlevoix</t>
  </si>
  <si>
    <t>Charlevoix,MI 49720</t>
  </si>
  <si>
    <t>Charter Supply - Houston</t>
  </si>
  <si>
    <t>Houston,TX 77060</t>
  </si>
  <si>
    <t>Charter Supply - New Caney, TX</t>
  </si>
  <si>
    <t>18911 East Industrial Pkwy</t>
  </si>
  <si>
    <t>New Caney, TX 77357</t>
  </si>
  <si>
    <t>281-572-3708</t>
  </si>
  <si>
    <t>Randolph,MA 02368</t>
  </si>
  <si>
    <t>Montpelier,OH 43543</t>
  </si>
  <si>
    <t>Cheboygan Cement - Cheboygan</t>
  </si>
  <si>
    <t>Cheboygan,MI 49721</t>
  </si>
  <si>
    <t>Checker Motors - Kalamazoo</t>
  </si>
  <si>
    <t>Kalamazoo,MI 49007</t>
  </si>
  <si>
    <t>Cheetah Chassis - Berwick</t>
  </si>
  <si>
    <t>Berwick,PA 18603</t>
  </si>
  <si>
    <t>Chef Francisco Of Pa - King Of Prussia</t>
  </si>
  <si>
    <t>King Of Prussia,PA 19</t>
  </si>
  <si>
    <t>Chelsea Building Products - Oakmont</t>
  </si>
  <si>
    <t>Oakmont,PA 15139</t>
  </si>
  <si>
    <t>Chem Metals - New Johnsonville</t>
  </si>
  <si>
    <t>New Johnsonville,TN 3</t>
  </si>
  <si>
    <t>Chemand - San Jose</t>
  </si>
  <si>
    <t>San Jose,CA 95131</t>
  </si>
  <si>
    <t>Chem-Cast</t>
  </si>
  <si>
    <t>1009 Lynch Road</t>
  </si>
  <si>
    <t>Danville,IL 61834</t>
  </si>
  <si>
    <t>Chemical Lime Company</t>
  </si>
  <si>
    <t>7444 Highway 25</t>
  </si>
  <si>
    <t>Calera, AL, 35040-3200</t>
  </si>
  <si>
    <t>Applied Ind Tech-B'ham's Customer</t>
  </si>
  <si>
    <t>Chemical Waste Manag - Port Arthur</t>
  </si>
  <si>
    <t>Port Arthur,TX 77640</t>
  </si>
  <si>
    <t>Chem-Tronics - El Cajon</t>
  </si>
  <si>
    <t>El Cajon,CA 92020</t>
  </si>
  <si>
    <t>Cherokee Air - Woodstock</t>
  </si>
  <si>
    <t>Woodstock,GA 30189</t>
  </si>
  <si>
    <t>Cherokee Hoisery - Fort Payne</t>
  </si>
  <si>
    <t>Fort Payne,AL 35967</t>
  </si>
  <si>
    <t>Cherokee Sanford Gro - Sanford</t>
  </si>
  <si>
    <t>Cherryhill Hardwoods - Richfield</t>
  </si>
  <si>
    <t>Richfield,PA 17086</t>
  </si>
  <si>
    <t>Chesapeake Machine W - Chesapeake</t>
  </si>
  <si>
    <t>Chesapeake,VA 23320</t>
  </si>
  <si>
    <t>Chesapeake Shipbuild - Salisbury</t>
  </si>
  <si>
    <t>Salisbury,MD 21801</t>
  </si>
  <si>
    <t>Chester Wood Products</t>
  </si>
  <si>
    <t>1445 Lancaster Hwy.</t>
  </si>
  <si>
    <t>Chester, SC 29706</t>
  </si>
  <si>
    <t>803-374-3131</t>
  </si>
  <si>
    <t>803-581-0397</t>
  </si>
  <si>
    <t>Chesterfield Lumber - Darlington</t>
  </si>
  <si>
    <t>Chevron Chemical - Orange</t>
  </si>
  <si>
    <t>Orange,TX 77630</t>
  </si>
  <si>
    <t>Chevron Texaco</t>
  </si>
  <si>
    <t xml:space="preserve">Picayune,MS </t>
  </si>
  <si>
    <t>601-749-4064</t>
  </si>
  <si>
    <t>Chicago Block Co - Forest View</t>
  </si>
  <si>
    <t>Forest View,IL 60402</t>
  </si>
  <si>
    <t>Chicago Cold Rolling - Portage</t>
  </si>
  <si>
    <t>Chicago Cutlery - Wauconda</t>
  </si>
  <si>
    <t>Chicago Dryer Co - Chicago</t>
  </si>
  <si>
    <t xml:space="preserve">Chimo Ind, In - </t>
  </si>
  <si>
    <t>, V2C 5P6</t>
  </si>
  <si>
    <t>Chips Machine Components Co - Bessemer City</t>
  </si>
  <si>
    <t>327 Jim Clark Rd</t>
  </si>
  <si>
    <t>Bessemer City,NC 28016</t>
  </si>
  <si>
    <t>(704) 629-5621</t>
  </si>
  <si>
    <t>Chips, Inc - Troy</t>
  </si>
  <si>
    <t>Troy,VA 22974</t>
  </si>
  <si>
    <t>Chipsco Inc - Meadville</t>
  </si>
  <si>
    <t>Meadville,PA 16335</t>
  </si>
  <si>
    <t>CHL c/o Nucor Cold Mill</t>
  </si>
  <si>
    <t>Redhat Road</t>
  </si>
  <si>
    <t>256-560-4685</t>
  </si>
  <si>
    <t>256-560-4885</t>
  </si>
  <si>
    <t>CHL c/o Nucor Steel</t>
  </si>
  <si>
    <t>4301 Iverson Blvd.</t>
  </si>
  <si>
    <t>Trinity,AL 35673</t>
  </si>
  <si>
    <t>256-560-4143</t>
  </si>
  <si>
    <t>256-584-9511</t>
  </si>
  <si>
    <t xml:space="preserve">Choice Fab, Inc. </t>
  </si>
  <si>
    <t>3155 Steel Station Rd</t>
  </si>
  <si>
    <t>Rainbow City, AL, 35906</t>
  </si>
  <si>
    <t>256-413-1530</t>
  </si>
  <si>
    <t>256-442-2283</t>
  </si>
  <si>
    <t>Chore Time - Decatur</t>
  </si>
  <si>
    <t>1303 Shoal Creek Rd</t>
  </si>
  <si>
    <t>Decatur, AL 35603</t>
  </si>
  <si>
    <t>256-260-1740</t>
  </si>
  <si>
    <t>256-353-1026</t>
  </si>
  <si>
    <t>Chore Time Bill to</t>
  </si>
  <si>
    <t>P.O. Box 2000</t>
  </si>
  <si>
    <t>Milford, IN 46542-2000</t>
  </si>
  <si>
    <t>Christensen Shipyard - Van Couver</t>
  </si>
  <si>
    <t>Van Couver,WA 98661</t>
  </si>
  <si>
    <t>Christy Minerals Company</t>
  </si>
  <si>
    <t>833 Booneslick Road</t>
  </si>
  <si>
    <t>High Hill,MO 63350</t>
  </si>
  <si>
    <t>Chromium Corp - Lufkin</t>
  </si>
  <si>
    <t>Lufkin,TX 75901</t>
  </si>
  <si>
    <t>Chromolox - Vernon</t>
  </si>
  <si>
    <t xml:space="preserve">Vernon,AL </t>
  </si>
  <si>
    <t>(205) 695-1567</t>
  </si>
  <si>
    <t>Chrysler Corp. - Kokomo</t>
  </si>
  <si>
    <t>Kokomo,IN 46902</t>
  </si>
  <si>
    <t>Chucks Welding - Corvallis</t>
  </si>
  <si>
    <t>Corvallis,MT 59828</t>
  </si>
  <si>
    <t>1607 Anaconda Road</t>
  </si>
  <si>
    <t>Harrisonville,MO 64701</t>
  </si>
  <si>
    <t>Churney Company - Waupaca</t>
  </si>
  <si>
    <t>Cic-Fred Shaw - Roanoke Rapids</t>
  </si>
  <si>
    <t>Roanoke Rapids,NC 27</t>
  </si>
  <si>
    <t>Cimpl Meats - Yankton</t>
  </si>
  <si>
    <t>Yankton,SD 57078</t>
  </si>
  <si>
    <t>Cincinnati Hydraulic Service</t>
  </si>
  <si>
    <t>9431 Sutton Place</t>
  </si>
  <si>
    <t>Hamilton, OH 45011</t>
  </si>
  <si>
    <t>513-874-9911 / 513-874-2561</t>
  </si>
  <si>
    <t>Cincinnati Milacron - Cincinnati</t>
  </si>
  <si>
    <t>Cincinnati,OH 45209</t>
  </si>
  <si>
    <t>Cincinnati, Inc. - Harrison</t>
  </si>
  <si>
    <t>Cind-R-Lite Block Co - N. Las Vagas</t>
  </si>
  <si>
    <t>N. Las Vagas,NV 89031</t>
  </si>
  <si>
    <t>Circleville Stockroo - Circleville</t>
  </si>
  <si>
    <t>Circleville,OH 43113</t>
  </si>
  <si>
    <t>Circuit Services Cor - Jacksonville</t>
  </si>
  <si>
    <t>Jacksonville,FL 3225</t>
  </si>
  <si>
    <t>Citation - Marion</t>
  </si>
  <si>
    <t>Rt 45 South</t>
  </si>
  <si>
    <t>Marion, AL 36756</t>
  </si>
  <si>
    <t>Motion Ind - Tuscaloosa's Customer</t>
  </si>
  <si>
    <t>Citgo Petroleum Corp - Lake Charles</t>
  </si>
  <si>
    <t>Cives Steel Co - Thomasville</t>
  </si>
  <si>
    <t>CL Thompson - Germantown</t>
  </si>
  <si>
    <t>N118 W18251 Bunsen Drive</t>
  </si>
  <si>
    <t>Germantown,WI 53022</t>
  </si>
  <si>
    <t>Clackamus County Roa - Oregon City</t>
  </si>
  <si>
    <t>Oregon City,OR 9704</t>
  </si>
  <si>
    <t>Clalite, Inc. - Denver</t>
  </si>
  <si>
    <t>Turbeville,SC 2</t>
  </si>
  <si>
    <t>Clariant Corp. - Portsmouth</t>
  </si>
  <si>
    <t>Portsmouth,VA 23703</t>
  </si>
  <si>
    <t>Clariant Reedspectru - Minneapolis</t>
  </si>
  <si>
    <t>Minneapolis,MN 55428</t>
  </si>
  <si>
    <t>Clarion Tech - Anderson</t>
  </si>
  <si>
    <t>Anderson,SC 29622</t>
  </si>
  <si>
    <t>Port Arthur,TX 77641</t>
  </si>
  <si>
    <t>Clark Service Company</t>
  </si>
  <si>
    <t>PO Box  1791</t>
  </si>
  <si>
    <t>Madison,AL 35758</t>
  </si>
  <si>
    <t>256-233-3640</t>
  </si>
  <si>
    <t>256-233-3641</t>
  </si>
  <si>
    <t>Clarke's Allied Inc - Shreveport</t>
  </si>
  <si>
    <t>Shreveport,LA 71106</t>
  </si>
  <si>
    <t>Clarke's Sheet Metal - Eugene</t>
  </si>
  <si>
    <t>Class Ten Ind</t>
  </si>
  <si>
    <t>4996 S 50th St - MAIP</t>
  </si>
  <si>
    <t>Pryor, OK 74361</t>
  </si>
  <si>
    <t>Classic American Hardware, Inc.</t>
  </si>
  <si>
    <t>1245 North 7th Street</t>
  </si>
  <si>
    <t>Memphis, TN 38107</t>
  </si>
  <si>
    <t>Hydraulic Automated customer</t>
  </si>
  <si>
    <t>Claude Howard Lumber - Statesboro</t>
  </si>
  <si>
    <t>Clayton Block Compan - Edison</t>
  </si>
  <si>
    <t>Clayton H.Landis Co.Inc</t>
  </si>
  <si>
    <t>476 Meetinghouse Road</t>
  </si>
  <si>
    <t>Souderton,PA 18964</t>
  </si>
  <si>
    <t>215-723-7284</t>
  </si>
  <si>
    <t>215-721-6347</t>
  </si>
  <si>
    <t xml:space="preserve">Clean Earth - </t>
  </si>
  <si>
    <t>(205) 841-7718</t>
  </si>
  <si>
    <t>Clean Harbor Technol - Kimball</t>
  </si>
  <si>
    <t>Kimball,NE 69145</t>
  </si>
  <si>
    <t>Clean The Uniform Co - Highland</t>
  </si>
  <si>
    <t>Clear Lam Packaging - Elk Grove Village</t>
  </si>
  <si>
    <t>Clear Pac Company - Franklin Park</t>
  </si>
  <si>
    <t>Franklin Park,IL 60131</t>
  </si>
  <si>
    <t>Clearlake Lumber Co. - Spartansburg</t>
  </si>
  <si>
    <t>Spartansburg,PA 1643</t>
  </si>
  <si>
    <t>Clearwater Ind</t>
  </si>
  <si>
    <t>9446 North 107th Street</t>
  </si>
  <si>
    <t>Milwaukee, WI 53224</t>
  </si>
  <si>
    <t>Fluid System Components, Inc's Customer</t>
  </si>
  <si>
    <t>Cleary Machine Co - W. Alexandria</t>
  </si>
  <si>
    <t>W. Alexandria,OH 4538</t>
  </si>
  <si>
    <t>Cleco-Mansfield Power Plant</t>
  </si>
  <si>
    <t>Hwy. 3248, 963 Power Plant Rd.</t>
  </si>
  <si>
    <t>Mansfield, LA 71052</t>
  </si>
  <si>
    <t>Cleerman Ind - Newald</t>
  </si>
  <si>
    <t>Newald,WI 54551</t>
  </si>
  <si>
    <t>Clemmons Corporation - Wilmington</t>
  </si>
  <si>
    <t>Wilmington,NC 28401</t>
  </si>
  <si>
    <t>Clemsa Lumber Compan - Pollok</t>
  </si>
  <si>
    <t>Pollok,TX 75969</t>
  </si>
  <si>
    <t>Clendenin Lumber Co - Greenwood</t>
  </si>
  <si>
    <t>Greenwood,SC 29638</t>
  </si>
  <si>
    <t>Cleveland Hydraulics - Cleveland</t>
  </si>
  <si>
    <t>3917 Highway 61 North</t>
  </si>
  <si>
    <t>Cleveland,MS 38732</t>
  </si>
  <si>
    <t>(662) 846-6688</t>
  </si>
  <si>
    <t>(662) 846-6689</t>
  </si>
  <si>
    <t>Climax Production Gr - Hamilton</t>
  </si>
  <si>
    <t>Clinch-On Products I - New Brighton</t>
  </si>
  <si>
    <t>New Brighton,MN 55112</t>
  </si>
  <si>
    <t>Cline Company - Charleston</t>
  </si>
  <si>
    <t>148 Williman Street</t>
  </si>
  <si>
    <t>Charleston,SC 29403</t>
  </si>
  <si>
    <t>(843) 577-0724</t>
  </si>
  <si>
    <t>(843) 577-3756</t>
  </si>
  <si>
    <t>Greenville,SC 29602</t>
  </si>
  <si>
    <t>Clm - Vibe Tec - Kalamazoo</t>
  </si>
  <si>
    <t>Kalamazoo,MI 49001</t>
  </si>
  <si>
    <t>CLM VIBETEC</t>
  </si>
  <si>
    <t>7025 East K Avenue</t>
  </si>
  <si>
    <t>Kalamazoo,MI 49048</t>
  </si>
  <si>
    <t>Clopay Corporation - Nashville</t>
  </si>
  <si>
    <t>Nashville,TN 37211</t>
  </si>
  <si>
    <t>Clorox - Fairfield</t>
  </si>
  <si>
    <t>Fairfield,CA 94533</t>
  </si>
  <si>
    <t>Clorox Co - Forrestview</t>
  </si>
  <si>
    <t>Forrestview,IL 60638</t>
  </si>
  <si>
    <t>Clorox Inc - Forest Park</t>
  </si>
  <si>
    <t>Forest Park,GA 30050</t>
  </si>
  <si>
    <t>Clorox Products Mfg - Tampa</t>
  </si>
  <si>
    <t>Tampa,FL 33605</t>
  </si>
  <si>
    <t>Cloverdale Lumber Co - Sutherlin</t>
  </si>
  <si>
    <t>Sutherlin,VA 24594</t>
  </si>
  <si>
    <t>Rochester,MN 55902</t>
  </si>
  <si>
    <t>CMD Corp</t>
  </si>
  <si>
    <t>2901East Pershing Street</t>
  </si>
  <si>
    <t>Appleton, WI 54911</t>
  </si>
  <si>
    <t>920-730-6888</t>
  </si>
  <si>
    <t>920-380-8417</t>
  </si>
  <si>
    <t>Fluid Sys Components' Customer</t>
  </si>
  <si>
    <t>Cme Industrial Const - Green River</t>
  </si>
  <si>
    <t>Green River,WY 82935</t>
  </si>
  <si>
    <t>Cmi Of Texas - Laredo</t>
  </si>
  <si>
    <t>Cmi Perma Mold - Bristol</t>
  </si>
  <si>
    <t>Bristol,IN 46507</t>
  </si>
  <si>
    <t>Cms Hartzell - Turtle Lake</t>
  </si>
  <si>
    <t>Turtle Lake,WI 54889</t>
  </si>
  <si>
    <t>CNH Global NV</t>
  </si>
  <si>
    <t>3301 South Hoover Road</t>
  </si>
  <si>
    <t>Wichita, KS 67215</t>
  </si>
  <si>
    <t>IBT - Shawnee, KS Customer</t>
  </si>
  <si>
    <t>CO2 Air Equipment - Cumming</t>
  </si>
  <si>
    <t>1445 Ventura Drive</t>
  </si>
  <si>
    <t>Cumming,GA 30040</t>
  </si>
  <si>
    <t>(800) 391-9868</t>
  </si>
  <si>
    <t>(770) 889-2379</t>
  </si>
  <si>
    <t>No JIT Label - Paint Blue -  SHIP Southeast FRT. PREPAID</t>
  </si>
  <si>
    <t>Coast Line Equipment - Bellingham</t>
  </si>
  <si>
    <t>Bellingham,WA 98226</t>
  </si>
  <si>
    <t>Coast Mountain Hardw - Delta</t>
  </si>
  <si>
    <t>Delta,BC V3M 6S5</t>
  </si>
  <si>
    <t>Coastal Automated Pr - Portsmouth</t>
  </si>
  <si>
    <t>Portsmouth,NH 03801</t>
  </si>
  <si>
    <t>Coastal Hydraulics - Charleston</t>
  </si>
  <si>
    <t>2251 Technical Parkway</t>
  </si>
  <si>
    <t>Charleston,SC 29406</t>
  </si>
  <si>
    <t>(843) 572-5714</t>
  </si>
  <si>
    <t>(843) 572-7615</t>
  </si>
  <si>
    <t>Coastal Hydraulics - Deer Park, TX</t>
  </si>
  <si>
    <t>114 Palm Terrace</t>
  </si>
  <si>
    <t>Deer Park, TX 77536</t>
  </si>
  <si>
    <t>Coastal Laundry - Mobile</t>
  </si>
  <si>
    <t>Mobile,AL 36607</t>
  </si>
  <si>
    <t>Coastal Lumber - Havana</t>
  </si>
  <si>
    <t>Highway 27 North</t>
  </si>
  <si>
    <t>Havana,FL 32333</t>
  </si>
  <si>
    <t>850-539-6432</t>
  </si>
  <si>
    <t>850-539-0859</t>
  </si>
  <si>
    <t>Coastal Lumber - New Bern</t>
  </si>
  <si>
    <t>New Bern,NC 28563</t>
  </si>
  <si>
    <t>Coastal Lumber Co - Frametown</t>
  </si>
  <si>
    <t>Frametown,WV 26623</t>
  </si>
  <si>
    <t>Coastal Lumber Compa - Cayuta</t>
  </si>
  <si>
    <t>Cayuta,NY 14824</t>
  </si>
  <si>
    <t>Coastal Machinery - Portland</t>
  </si>
  <si>
    <t>Portland,OR 97212</t>
  </si>
  <si>
    <t>Coastal Plywood Company</t>
  </si>
  <si>
    <t>8007  FL-GA HWY</t>
  </si>
  <si>
    <t>Coastland Wood Indus - Nanaimo</t>
  </si>
  <si>
    <t>Nanaimo,BC V9R 5K1</t>
  </si>
  <si>
    <t>Coca Cola - Corinth</t>
  </si>
  <si>
    <t>Corinth,MS 38834</t>
  </si>
  <si>
    <t>Coca Cola - Denver</t>
  </si>
  <si>
    <t>Coca Cola - Lenexa</t>
  </si>
  <si>
    <t>Lenexa,KS 66215</t>
  </si>
  <si>
    <t>Coe Manufacturing - Painesville</t>
  </si>
  <si>
    <t>609 Bank Street_x000D_
P.O. Box 250</t>
  </si>
  <si>
    <t>Painesville,OH 44077</t>
  </si>
  <si>
    <t>(440) 352-9381</t>
  </si>
  <si>
    <t>(440) 352-1487</t>
  </si>
  <si>
    <t>Coe Manufacturing - Portland</t>
  </si>
  <si>
    <t>7930 SW Hunziker Road  PO Box 23366</t>
  </si>
  <si>
    <t>Portland,OR 97223</t>
  </si>
  <si>
    <t>(503) 639-3121</t>
  </si>
  <si>
    <t>(503) 639-0996</t>
  </si>
  <si>
    <t>Coe Manufacturing - Stone Mountain</t>
  </si>
  <si>
    <t>1625 Rock Mountain Boulevard</t>
  </si>
  <si>
    <t>Stone Mountain,GA 30083</t>
  </si>
  <si>
    <t>(770) 938-0192</t>
  </si>
  <si>
    <t>(770) 938-5482</t>
  </si>
  <si>
    <t>Cohone Technology - Phoenix</t>
  </si>
  <si>
    <t>Phoenix,AZ 85040</t>
  </si>
  <si>
    <t>Cold Extrusion</t>
  </si>
  <si>
    <t>1920 n Redmond</t>
  </si>
  <si>
    <t>Jacksonville,AR 72078</t>
  </si>
  <si>
    <t>1227 Mulberry</t>
  </si>
  <si>
    <t>Terre Haute,IN 47807</t>
  </si>
  <si>
    <t>Cole Fabricating - Michigan City</t>
  </si>
  <si>
    <t>Michigan City,IN 46</t>
  </si>
  <si>
    <t>Colemen Hydraulics - Greenville</t>
  </si>
  <si>
    <t>753 South Raceway Road</t>
  </si>
  <si>
    <t>Greenville,MS 38703</t>
  </si>
  <si>
    <t>(662) 332-4504</t>
  </si>
  <si>
    <t>(662) 334-3555</t>
  </si>
  <si>
    <t>Coleville Indian Pre - Omak</t>
  </si>
  <si>
    <t>Omak,WA 98841</t>
  </si>
  <si>
    <t>Colfax Creosote - Pineville</t>
  </si>
  <si>
    <t>Pineville,LA 71360</t>
  </si>
  <si>
    <t>Colgate Palmolive Co - Piscataway</t>
  </si>
  <si>
    <t>Piscataway,NJ 8854</t>
  </si>
  <si>
    <t>Collins Pine - Chester</t>
  </si>
  <si>
    <t>Chester,CA 96020</t>
  </si>
  <si>
    <t>Collins Products, In - Klamath Falls</t>
  </si>
  <si>
    <t>Collum Lumber Co - Allendale</t>
  </si>
  <si>
    <t>Allendale,SC 29810</t>
  </si>
  <si>
    <t>1723 BARNWELL HWY</t>
  </si>
  <si>
    <t>ALLENDALE, SC 29810</t>
  </si>
  <si>
    <t>256-706-724-7401</t>
  </si>
  <si>
    <t>Collum's Lumber Products</t>
  </si>
  <si>
    <t>1723 Barnwell Highway</t>
  </si>
  <si>
    <t>Allendale, SC, 29810</t>
  </si>
  <si>
    <t>803-584-4623</t>
  </si>
  <si>
    <t>803-584-2783</t>
  </si>
  <si>
    <t>Colonial Machine Co - Kent</t>
  </si>
  <si>
    <t>Kent,OH 44240</t>
  </si>
  <si>
    <t>Colonial Machinery S - Elizabethton</t>
  </si>
  <si>
    <t>Elizabethton,TN 3764</t>
  </si>
  <si>
    <t>Colonial Pipeline - Spartanburg</t>
  </si>
  <si>
    <t>Spartanburg,SC 29304</t>
  </si>
  <si>
    <t>Colonial Pipeline Co - Woodbury</t>
  </si>
  <si>
    <t>Woodbury,NJ 08096</t>
  </si>
  <si>
    <t>Calredonia,OH 43314</t>
  </si>
  <si>
    <t>Coloplast Corp - Marietta</t>
  </si>
  <si>
    <t>Marietta,GA 30062</t>
  </si>
  <si>
    <t>Colorado West Hydraulics - Clifton</t>
  </si>
  <si>
    <t>539 32 Road</t>
  </si>
  <si>
    <t>Clifton,CO 81520</t>
  </si>
  <si>
    <t>(970) 434-6941</t>
  </si>
  <si>
    <t>(970) 434-3901</t>
  </si>
  <si>
    <t>Coltene Whaledent In - Mahwah</t>
  </si>
  <si>
    <t>Mahwah,NJ 07430</t>
  </si>
  <si>
    <t>Columbia,MS 39429</t>
  </si>
  <si>
    <t>Columbia Carolina</t>
  </si>
  <si>
    <t>369 Columbia Carolina Rd</t>
  </si>
  <si>
    <t>Old Fort, NC 28762</t>
  </si>
  <si>
    <t>Columbia Cedar Inc. - Kettle Falls</t>
  </si>
  <si>
    <t>Kettle Falls,WA 9914</t>
  </si>
  <si>
    <t>Columbia Falls Alumi - Columbia Falls</t>
  </si>
  <si>
    <t>Columbia Falls,MT 599</t>
  </si>
  <si>
    <t>Columbia Hydraulic Service - Portland</t>
  </si>
  <si>
    <t>Columbia Machine - Vancouver</t>
  </si>
  <si>
    <t>Vancouver,WA 98661</t>
  </si>
  <si>
    <t>Columbia Pacific - City Of Industry</t>
  </si>
  <si>
    <t>City Of Industry,CA 9</t>
  </si>
  <si>
    <t>Columbia Steel Casting - Portland</t>
  </si>
  <si>
    <t>Portland,OR 97203</t>
  </si>
  <si>
    <t>Columbia Vista - Vancouver</t>
  </si>
  <si>
    <t>Vancouver,WA 98607</t>
  </si>
  <si>
    <t>Columbia Vista Corp. - Camas</t>
  </si>
  <si>
    <t>Camas,WA 98607</t>
  </si>
  <si>
    <t>Columbia-Wv Corp. - Craigsville</t>
  </si>
  <si>
    <t>Craigsville,WV 26205</t>
  </si>
  <si>
    <t>Columbus Brick Co - Columbus</t>
  </si>
  <si>
    <t>Military Road</t>
  </si>
  <si>
    <t>Columbus,MS 39701</t>
  </si>
  <si>
    <t>(662) 328-4931</t>
  </si>
  <si>
    <t>Columbus Lumber Co - Brookhaven</t>
  </si>
  <si>
    <t>West L Behan Road</t>
  </si>
  <si>
    <t>Brookhaven,MS 39601</t>
  </si>
  <si>
    <t>(601) 833-1911</t>
  </si>
  <si>
    <t>Columbus Mckinnon - Tonawanda</t>
  </si>
  <si>
    <t>Tonawanda,NY 14150</t>
  </si>
  <si>
    <t>Columbus Woodworking - Sherburne</t>
  </si>
  <si>
    <t>Sherburne,NY 13460</t>
  </si>
  <si>
    <t>Colville Indian Prec - Omak</t>
  </si>
  <si>
    <t>Combeau Ind - Hickory</t>
  </si>
  <si>
    <t>Hickory,NC 28602</t>
  </si>
  <si>
    <t>, N0P 1J0</t>
  </si>
  <si>
    <t>Comet Industrial Sup - Fords</t>
  </si>
  <si>
    <t>Fords,NJ 08863</t>
  </si>
  <si>
    <t>Cominco Alaska/Red D - Anchorage</t>
  </si>
  <si>
    <t>Anchorage,AK 99502</t>
  </si>
  <si>
    <t>Commencement Bay Mil - Tacoma</t>
  </si>
  <si>
    <t>Tacoma,WA 98421</t>
  </si>
  <si>
    <t>Commercial Honing of Georgia Inc - Rome</t>
  </si>
  <si>
    <t>2143 Technology Parkway Northwest</t>
  </si>
  <si>
    <t>Rome,GA 30165</t>
  </si>
  <si>
    <t>(706) 291-3791</t>
  </si>
  <si>
    <t>Commercial Metals Co - Beaumont</t>
  </si>
  <si>
    <t>Beaumont,TX 77707</t>
  </si>
  <si>
    <t>Commercial Sewing</t>
  </si>
  <si>
    <t>65 Grant Street</t>
  </si>
  <si>
    <t>Torrington, CT, 06790</t>
  </si>
  <si>
    <t>860-482-5509</t>
  </si>
  <si>
    <t>860-482-7964</t>
  </si>
  <si>
    <t>Commonwealth Aluminum - Uhrichsville</t>
  </si>
  <si>
    <t>Uhrichsville,OH 44683</t>
  </si>
  <si>
    <t>Commonwealth Edison - Bolingbrook</t>
  </si>
  <si>
    <t>Bolingbrook,IL 60440</t>
  </si>
  <si>
    <t>Commonwealth Enginee - Colonial Beach</t>
  </si>
  <si>
    <t>Colonial Beach,VA 224</t>
  </si>
  <si>
    <t>Commonwealth Wood Pr - Hampton</t>
  </si>
  <si>
    <t>Hampton,VA 23661</t>
  </si>
  <si>
    <t>Commscope Co - Catawba</t>
  </si>
  <si>
    <t>Catawba,NC 28609</t>
  </si>
  <si>
    <t>Complete Drives - Auburn</t>
  </si>
  <si>
    <t>Auburn,IN 46706</t>
  </si>
  <si>
    <t>Complete Drives - Ft Wayne</t>
  </si>
  <si>
    <t>6419 Discount Drive</t>
  </si>
  <si>
    <t>Ft Wayne,IN 46818</t>
  </si>
  <si>
    <t>Complete Hydraulics - Plymouth</t>
  </si>
  <si>
    <t>Plymouth,ME 04969</t>
  </si>
  <si>
    <t>Complete Packaging S - South El Monte</t>
  </si>
  <si>
    <t>South El Monte,CA 917</t>
  </si>
  <si>
    <t>Remlap,AL 35133</t>
  </si>
  <si>
    <t>Component Technology - Mundelein</t>
  </si>
  <si>
    <t>970 Campus Drive</t>
  </si>
  <si>
    <t>Mundelein,IL 60060</t>
  </si>
  <si>
    <t>(847) 573-3818</t>
  </si>
  <si>
    <t>(847) 573-3836</t>
  </si>
  <si>
    <t>Compositech - Pearland</t>
  </si>
  <si>
    <t>Pearland,TX 77581</t>
  </si>
  <si>
    <t>Comstock Canada - Delta</t>
  </si>
  <si>
    <t>5000 Township Parkway</t>
  </si>
  <si>
    <t>St. Paul,MN 55110-5852</t>
  </si>
  <si>
    <t>Comtech - Waupun</t>
  </si>
  <si>
    <t>Waupun,WI 53963</t>
  </si>
  <si>
    <t>Conagra</t>
  </si>
  <si>
    <t>1401 Harris Avenue</t>
  </si>
  <si>
    <t xml:space="preserve">Trenton,MO </t>
  </si>
  <si>
    <t>4851 Jones Sausage Rd.</t>
  </si>
  <si>
    <t>Garner, NC 27529</t>
  </si>
  <si>
    <t>Customer of Motion Inc.- Raleigh NC17</t>
  </si>
  <si>
    <t>ConAgra Foods</t>
  </si>
  <si>
    <t>1050 Market St. NE</t>
  </si>
  <si>
    <t>552-4733</t>
  </si>
  <si>
    <t>552-4765</t>
  </si>
  <si>
    <t>Conagra International Fer</t>
  </si>
  <si>
    <t>461 Haining Road</t>
  </si>
  <si>
    <t>Conagra International Fertilizer</t>
  </si>
  <si>
    <t>Vicksburg, MS 39180</t>
  </si>
  <si>
    <t>Hydro Power - MS' Customer</t>
  </si>
  <si>
    <t>ConAgra Shared Purchasing Inc</t>
  </si>
  <si>
    <t>2050 Market St. SE</t>
  </si>
  <si>
    <t>552-4703</t>
  </si>
  <si>
    <t>552-4709</t>
  </si>
  <si>
    <t>Conagra, Inc</t>
  </si>
  <si>
    <t>4600 E 64th AVE</t>
  </si>
  <si>
    <t>Commerce City, CO 80022-3108</t>
  </si>
  <si>
    <t>AIT-Denver's Customer</t>
  </si>
  <si>
    <t>Conair Franklin - Franklin</t>
  </si>
  <si>
    <t>Franklin,PA 16323</t>
  </si>
  <si>
    <t>Concord Beverage - Concordeville</t>
  </si>
  <si>
    <t>Concordeville,PA 1</t>
  </si>
  <si>
    <t>Concord Casting - East Lake</t>
  </si>
  <si>
    <t>East Lake,OH 44095</t>
  </si>
  <si>
    <t>Concorp, Inc.</t>
  </si>
  <si>
    <t>8100 N.W. 97th Terrace</t>
  </si>
  <si>
    <t>Kansas City, MO 64153</t>
  </si>
  <si>
    <t>Concrete Massonry Inc - Medford</t>
  </si>
  <si>
    <t>Medford,MN 55049</t>
  </si>
  <si>
    <t>Concrete Pipe Machin - Sioux City</t>
  </si>
  <si>
    <t>Sioux City,IA 51102</t>
  </si>
  <si>
    <t>Concrete Products - New London</t>
  </si>
  <si>
    <t>New London,MN 56273</t>
  </si>
  <si>
    <t>Concrete Services In - Traverse City</t>
  </si>
  <si>
    <t>Cone Machinery - Thomasville</t>
  </si>
  <si>
    <t>3263 Dillon Road</t>
  </si>
  <si>
    <t>Thomasville,GA 31757</t>
  </si>
  <si>
    <t>(229) 228-9213</t>
  </si>
  <si>
    <t>(229) 228-9643</t>
  </si>
  <si>
    <t>Conkln Equipment Co. - Fallbrook</t>
  </si>
  <si>
    <t>Fallbrook,CA 92028</t>
  </si>
  <si>
    <t>Connecticut Ind Gaug - Beacon Falls</t>
  </si>
  <si>
    <t>Beacon Falls,CT 06403</t>
  </si>
  <si>
    <t>Farmington,CT 06032</t>
  </si>
  <si>
    <t>Conoco - Carlyss</t>
  </si>
  <si>
    <t>Carlyss,LA 70663</t>
  </si>
  <si>
    <t>Conoco - Westlake</t>
  </si>
  <si>
    <t>Westlake,LA 70669</t>
  </si>
  <si>
    <t>Consolidated Engineering Co.</t>
  </si>
  <si>
    <t>1971 McCollum Parkway NW</t>
  </si>
  <si>
    <t>Kennesaw, GA 30144</t>
  </si>
  <si>
    <t>Consolidated Metal - Cincinnati</t>
  </si>
  <si>
    <t>Cincinnati,OH 45204</t>
  </si>
  <si>
    <t>Consolidated Systems - Columbia</t>
  </si>
  <si>
    <t>Columbia,SC 29202</t>
  </si>
  <si>
    <t>Construction Forms I - Port Washington</t>
  </si>
  <si>
    <t>Port Washington,WI 53</t>
  </si>
  <si>
    <t>Consumers Concrete C - Holland</t>
  </si>
  <si>
    <t>Holland,MI 49424</t>
  </si>
  <si>
    <t>Consumers Power - West Olive</t>
  </si>
  <si>
    <t>West Olive,MI 49460</t>
  </si>
  <si>
    <t>Contech - Anderson</t>
  </si>
  <si>
    <t>Anderson,SC 29625</t>
  </si>
  <si>
    <t>Contech Construction Pro</t>
  </si>
  <si>
    <t>2700 Gunter Park Drive W.</t>
  </si>
  <si>
    <t>Montgomery, AL 36109</t>
  </si>
  <si>
    <t>Kaman Ind - Montgomery, AL's Customer</t>
  </si>
  <si>
    <t>Con-Tek - St. Paul</t>
  </si>
  <si>
    <t>3575 Hoffman Rd East</t>
  </si>
  <si>
    <t>St. Paul,MN 55110</t>
  </si>
  <si>
    <t>(651) 779-6058</t>
  </si>
  <si>
    <t>(651) 779-6571</t>
  </si>
  <si>
    <t>551 Roberts Road</t>
  </si>
  <si>
    <t>Flagler Beach, FL. 32136</t>
  </si>
  <si>
    <t>Continental Baking C - Hodgkins</t>
  </si>
  <si>
    <t>Hodgkins,IL 60525</t>
  </si>
  <si>
    <t>Continental Carbonic Products</t>
  </si>
  <si>
    <t xml:space="preserve">140 Distillery Road </t>
  </si>
  <si>
    <t>Peking, IL 61554</t>
  </si>
  <si>
    <t>438 Industrial Dr</t>
  </si>
  <si>
    <t>Winfield,AL 35594-4503</t>
  </si>
  <si>
    <t>(205) 487-6492</t>
  </si>
  <si>
    <t>(205) 487-4233</t>
  </si>
  <si>
    <t>Continental Deli - Cherokee</t>
  </si>
  <si>
    <t>Cherokee,IA 51012</t>
  </si>
  <si>
    <t>Continental Forge - Compton</t>
  </si>
  <si>
    <t>Compton,CA 90222</t>
  </si>
  <si>
    <t>Continental General - Charlotte</t>
  </si>
  <si>
    <t>Continental Grain - Beaumont</t>
  </si>
  <si>
    <t>Beaumont,TX 77704</t>
  </si>
  <si>
    <t>Continental Hydraulics - Houston</t>
  </si>
  <si>
    <t>713-934-2105</t>
  </si>
  <si>
    <t>713-460-1639</t>
  </si>
  <si>
    <t>Continental Hydraulics - Salina</t>
  </si>
  <si>
    <t>614 East Pacific Avenue</t>
  </si>
  <si>
    <t>Salina,KS 67401</t>
  </si>
  <si>
    <t>(785) 827-1515</t>
  </si>
  <si>
    <t>(785) 827-3080</t>
  </si>
  <si>
    <t>Continental Machine - Kansas City</t>
  </si>
  <si>
    <t>Kansas City,KS 66105</t>
  </si>
  <si>
    <t>Continental White Ca - Hazelton.</t>
  </si>
  <si>
    <t>Hazelton.,PA 18201</t>
  </si>
  <si>
    <t>Continential Carbonic Products</t>
  </si>
  <si>
    <t>1084 Fender Trail NE</t>
  </si>
  <si>
    <t>Brookhaven, MS 39601</t>
  </si>
  <si>
    <t>770-889-2489</t>
  </si>
  <si>
    <t>Allen Wood w/ CO2 contact person awod@co2airinc.com</t>
  </si>
  <si>
    <t>Continentl Industrie - Benzonia</t>
  </si>
  <si>
    <t>Benzonia,MI 49616</t>
  </si>
  <si>
    <t>Contractors Machiner - Grand Rapids</t>
  </si>
  <si>
    <t>(877) 835-5274</t>
  </si>
  <si>
    <t>5821 Range Line Road  Ste. 203-A</t>
  </si>
  <si>
    <t>(251) 401-5354</t>
  </si>
  <si>
    <t>(205) 868-0811</t>
  </si>
  <si>
    <t>2720 7th Avenue So.</t>
  </si>
  <si>
    <t>Birmingham,AL 35233</t>
  </si>
  <si>
    <t>110 Leggett Drive</t>
  </si>
  <si>
    <t>Jackson,MS 39209</t>
  </si>
  <si>
    <t>Control Associates - Manheim</t>
  </si>
  <si>
    <t>Manheim,PA 17545</t>
  </si>
  <si>
    <t>Control Equipment Sa - Lakeland</t>
  </si>
  <si>
    <t>Lakeland,FL 33813</t>
  </si>
  <si>
    <t>Control General Corp - Schriever</t>
  </si>
  <si>
    <t>2845 Highway 311</t>
  </si>
  <si>
    <t>Schriever,LA 70395</t>
  </si>
  <si>
    <t>(985) 872-9002</t>
  </si>
  <si>
    <t>Control System Innovation, Inc.</t>
  </si>
  <si>
    <t>5510 Mainway</t>
  </si>
  <si>
    <t>Burlington, Ontario  L7L6C4</t>
  </si>
  <si>
    <t>905-681-1580</t>
  </si>
  <si>
    <t>905-681-1146</t>
  </si>
  <si>
    <t>Control Systems - Toledo</t>
  </si>
  <si>
    <t>Toledo,OH 43614</t>
  </si>
  <si>
    <t>Controlled Fluids - Beaumont</t>
  </si>
  <si>
    <t>2220 Calder St. / Suite C</t>
  </si>
  <si>
    <t>(800) 722-2630</t>
  </si>
  <si>
    <t>(409) 833-7722</t>
  </si>
  <si>
    <t>Ship UPS Collect-Acct. 779476 unless noted otherwise</t>
  </si>
  <si>
    <t>Controlled Fluids - Bill to</t>
  </si>
  <si>
    <t>PO Drawer 1914</t>
  </si>
  <si>
    <t>Beaumont, TX 77704</t>
  </si>
  <si>
    <t>409-833-2630</t>
  </si>
  <si>
    <t>409-833-7722</t>
  </si>
  <si>
    <t>Controlled Fluids - Houston</t>
  </si>
  <si>
    <t>5829 West Sam Houston Pkwy North Suite 708</t>
  </si>
  <si>
    <t>Houston,TX 77041</t>
  </si>
  <si>
    <t>(832) 467-1951</t>
  </si>
  <si>
    <t>(832) 681-7559</t>
  </si>
  <si>
    <t>Controlled Motion - Delta</t>
  </si>
  <si>
    <t>101-7562 Progress Way</t>
  </si>
  <si>
    <t>Delta,BC V4G 1E9</t>
  </si>
  <si>
    <t>(604) 940-8770</t>
  </si>
  <si>
    <t>(604) 940-8733</t>
  </si>
  <si>
    <t>Controlled Motion Solutions</t>
  </si>
  <si>
    <t>1824 W Broadway</t>
  </si>
  <si>
    <t>Phoenix,AZ 85041</t>
  </si>
  <si>
    <t>480-460-8589</t>
  </si>
  <si>
    <t>602-532-7460</t>
  </si>
  <si>
    <t>Controlled Motion Solutions - Bakersfield</t>
  </si>
  <si>
    <t>3946 East Brunsdage Lane</t>
  </si>
  <si>
    <t>Bakersfiled,CA 93307</t>
  </si>
  <si>
    <t>661-324-2260</t>
  </si>
  <si>
    <t>661-324-9124</t>
  </si>
  <si>
    <t>Controlled Motion Solutions - N. Hollywood</t>
  </si>
  <si>
    <t>1022 W. Burbank Blvd</t>
  </si>
  <si>
    <t>Burbank, CA 91605</t>
  </si>
  <si>
    <t>818-238-9273</t>
  </si>
  <si>
    <t>818-238-9283</t>
  </si>
  <si>
    <t>Controlled Motion Solutions-Santa Ana</t>
  </si>
  <si>
    <t>911 N. Poinsettia St.</t>
  </si>
  <si>
    <t>Santa Ana,CA 92701</t>
  </si>
  <si>
    <t>714-541-2244</t>
  </si>
  <si>
    <t>714-541-2266</t>
  </si>
  <si>
    <t>Controls And Drives - Dalton</t>
  </si>
  <si>
    <t>Dalton,GA 30722</t>
  </si>
  <si>
    <t>Converting Machines - Portland</t>
  </si>
  <si>
    <t>Portland,OR 97217</t>
  </si>
  <si>
    <t>Con-Vey Keystone,Inc</t>
  </si>
  <si>
    <t>526 NE Chestnut St</t>
  </si>
  <si>
    <t>Roseburg,OR 97470</t>
  </si>
  <si>
    <t>541-672-5506</t>
  </si>
  <si>
    <t>541-672-2513</t>
  </si>
  <si>
    <t>Conveying Ind - Denver</t>
  </si>
  <si>
    <t>Denver,CO 80239</t>
  </si>
  <si>
    <t>Cook Inlet Processin - Kenal</t>
  </si>
  <si>
    <t>Kenal,AK 99611</t>
  </si>
  <si>
    <t>Coombs Manufacturing - Spokane</t>
  </si>
  <si>
    <t>Spokane,WA 99224</t>
  </si>
  <si>
    <t>Cooper Cameron Valves - Little Rock</t>
  </si>
  <si>
    <t>7200 Interstate 30 Dr.</t>
  </si>
  <si>
    <t>(501) 794-2650</t>
  </si>
  <si>
    <t>(501) 570-5700</t>
  </si>
  <si>
    <t>Highway 17 South</t>
  </si>
  <si>
    <t>Aliceville,AL 35442</t>
  </si>
  <si>
    <t>(205) 373-6872</t>
  </si>
  <si>
    <t>2202 Alliance Road</t>
  </si>
  <si>
    <t>Quinton,AL 35130</t>
  </si>
  <si>
    <t>(205) 436-3331</t>
  </si>
  <si>
    <t>COOPER NATURAL RESOURCES - OZARK DIVISION</t>
  </si>
  <si>
    <t>FM 1066 CEDAR LAKE</t>
  </si>
  <si>
    <t>LOOP TX 79342</t>
  </si>
  <si>
    <t>Cooper Standard Auto - Surgoinsville</t>
  </si>
  <si>
    <t>Surgoinsville,TN 3787</t>
  </si>
  <si>
    <t>Cooper Std Auto - Luzerne</t>
  </si>
  <si>
    <t>Luzerne,MI 48636</t>
  </si>
  <si>
    <t>Cooper Std. Automoti - Surgoinsville</t>
  </si>
  <si>
    <t>Cooper Std.Auto - Mi - Mio</t>
  </si>
  <si>
    <t>Mio,MI 48647</t>
  </si>
  <si>
    <t>Cooper T. Smith - Darrow</t>
  </si>
  <si>
    <t>Darrow,LA 70725</t>
  </si>
  <si>
    <t>10725 Harrison Road, Suite 300</t>
  </si>
  <si>
    <t>Romulus, MI 48174</t>
  </si>
  <si>
    <t>734-857-7290</t>
  </si>
  <si>
    <t>1804 S Green St.</t>
  </si>
  <si>
    <t>Tupelo,MS 38804</t>
  </si>
  <si>
    <t>(662) 842-2200</t>
  </si>
  <si>
    <t>662-680-3614</t>
  </si>
  <si>
    <t>3300 Sylvester Road</t>
  </si>
  <si>
    <t>Albany, GA 31705</t>
  </si>
  <si>
    <t>Cooper Tools - N Charleston</t>
  </si>
  <si>
    <t>N Charleston,SC 29418</t>
  </si>
  <si>
    <t>Cooper Tools Sumter - Sumter</t>
  </si>
  <si>
    <t>Cooper Wholesale - Pryor</t>
  </si>
  <si>
    <t>Pryor,OK 74361</t>
  </si>
  <si>
    <t>Cooperative Elevator</t>
  </si>
  <si>
    <t>989-453-4536</t>
  </si>
  <si>
    <t>Cooperative Elevator Co.</t>
  </si>
  <si>
    <t>7211 East Michigan Avenue</t>
  </si>
  <si>
    <t>Pigeon, MI 48755</t>
  </si>
  <si>
    <t>989-453-4500</t>
  </si>
  <si>
    <t>989-453-3942</t>
  </si>
  <si>
    <t>Cooper-Cameron Iron - Ville Platte</t>
  </si>
  <si>
    <t>Ville Platte,LA 7058</t>
  </si>
  <si>
    <t>Copeland Corp - Hartselle</t>
  </si>
  <si>
    <t>1641 Thompson Road</t>
  </si>
  <si>
    <t>(256) 773-0137</t>
  </si>
  <si>
    <t>(256) 773-3736</t>
  </si>
  <si>
    <t>Copeland Corp - Sidney</t>
  </si>
  <si>
    <t>Sidney,OH 45365</t>
  </si>
  <si>
    <t>Copenhagen Utilities - Clackamas</t>
  </si>
  <si>
    <t>Clackamas,OR 97015</t>
  </si>
  <si>
    <t>229-438-6800</t>
  </si>
  <si>
    <t>Corbin Supply Co - Macon</t>
  </si>
  <si>
    <t>Macon,GA 31201</t>
  </si>
  <si>
    <t>Corinth Mill - Corinth</t>
  </si>
  <si>
    <t>Corley Mfg Co - Chattanooga</t>
  </si>
  <si>
    <t>Cornell Manufacturin - Laceyville</t>
  </si>
  <si>
    <t>Laceyville,PA 18623</t>
  </si>
  <si>
    <t>Corning - Wilmington</t>
  </si>
  <si>
    <t>Corning Glass Works - Greenville</t>
  </si>
  <si>
    <t>Greenville,OH 45331</t>
  </si>
  <si>
    <t>Coronet Carpetindust - Dalton</t>
  </si>
  <si>
    <t>Dalton,GA 30721</t>
  </si>
  <si>
    <t>Corrugated Services - Forney</t>
  </si>
  <si>
    <t>Forney,TX 75126</t>
  </si>
  <si>
    <t>Cortland Wood Products - Cortland</t>
  </si>
  <si>
    <t>Cortland,NY 13045</t>
  </si>
  <si>
    <t>Corvallis Tool Co (CTC) - Philomath</t>
  </si>
  <si>
    <t>3178 West Hills Road</t>
  </si>
  <si>
    <t>Philomath,OR 97370</t>
  </si>
  <si>
    <t>541-929-2234</t>
  </si>
  <si>
    <t>541-929-2235</t>
  </si>
  <si>
    <t>Corver Engineering - Detroit</t>
  </si>
  <si>
    <t>Detroit,MI 48213</t>
  </si>
  <si>
    <t>Cosco - Cartersville</t>
  </si>
  <si>
    <t>Cartersville,GA 30120</t>
  </si>
  <si>
    <t>Cottage Gardens Inc.</t>
  </si>
  <si>
    <t>4992 Middle Ridge Road</t>
  </si>
  <si>
    <t>Perry,OH 44081</t>
  </si>
  <si>
    <t>Country Home Bakery - Atlanta</t>
  </si>
  <si>
    <t>Atlanta,GA 30310</t>
  </si>
  <si>
    <t>County Line Technology - Edinburgh</t>
  </si>
  <si>
    <t>Edinburgh,IN 46124</t>
  </si>
  <si>
    <t>Cover-It - West Haven</t>
  </si>
  <si>
    <t>West Haven,CT 06516</t>
  </si>
  <si>
    <t>Cowlitz Stud Corp. - Randell</t>
  </si>
  <si>
    <t>Randell,WA 98377</t>
  </si>
  <si>
    <t>Coyne Textile - York</t>
  </si>
  <si>
    <t>York,PA 17404</t>
  </si>
  <si>
    <t>Cpc East Coast Div - Fitchburg</t>
  </si>
  <si>
    <t>Fitchburg,MA 01420</t>
  </si>
  <si>
    <t>CPI Automation - Kitchener</t>
  </si>
  <si>
    <t>500 Trillium Drive, Unit 2</t>
  </si>
  <si>
    <t>Kitchener,ONT N2R-1A7</t>
  </si>
  <si>
    <t>CPI Automation - Mississauga</t>
  </si>
  <si>
    <t>5155 Timberlea Blvd</t>
  </si>
  <si>
    <t>CPI Automation Ltd. C/O M&amp;M Forwarding</t>
  </si>
  <si>
    <t>600 Main Street</t>
  </si>
  <si>
    <t>Tonawanda, NY 14150</t>
  </si>
  <si>
    <t>CPP Global - Carolina Precision Plastic</t>
  </si>
  <si>
    <t>Asheboro, NC 27203</t>
  </si>
  <si>
    <t>336-498-2654</t>
  </si>
  <si>
    <t>336-498-3035</t>
  </si>
  <si>
    <t>CPS Trailer Company - Oran</t>
  </si>
  <si>
    <t>8593 Highway 77</t>
  </si>
  <si>
    <t>Oran,MO 63771</t>
  </si>
  <si>
    <t>(800) 545-5086</t>
  </si>
  <si>
    <t>(573) 262-3480</t>
  </si>
  <si>
    <t>Craig Hydraulic</t>
  </si>
  <si>
    <t>Columbus, MS</t>
  </si>
  <si>
    <t>Craig Lumber Company - Collierville</t>
  </si>
  <si>
    <t>Collierville,TN 38027</t>
  </si>
  <si>
    <t>Craigsville Electric - Craigville</t>
  </si>
  <si>
    <t>Craigville,WV 26205</t>
  </si>
  <si>
    <t>Crain Cutter Co. Inc - Milpitas</t>
  </si>
  <si>
    <t>Milpitas,CA 95035</t>
  </si>
  <si>
    <t>Cramer Lumber Co - Hildebran</t>
  </si>
  <si>
    <t>Hildebran,NC 28637</t>
  </si>
  <si>
    <t>Cranberry Lumber Company</t>
  </si>
  <si>
    <t>263 White Oak Drive</t>
  </si>
  <si>
    <t>Beckley,WV 25801</t>
  </si>
  <si>
    <t>Dalton,MA 01226</t>
  </si>
  <si>
    <t>Crane Carrier - Tulsa</t>
  </si>
  <si>
    <t>Tulsa,OK 74115</t>
  </si>
  <si>
    <t>Crane Defense - Conroe</t>
  </si>
  <si>
    <t>Crane Masters - Hammond</t>
  </si>
  <si>
    <t>Hammond,IN 46323</t>
  </si>
  <si>
    <t>Craters, Inc. - Leetsdale</t>
  </si>
  <si>
    <t>Leetsdale,PA 15056</t>
  </si>
  <si>
    <t>Crawler Supply Co.Inc</t>
  </si>
  <si>
    <t>6413 Airline Highway</t>
  </si>
  <si>
    <t>888-772-9505</t>
  </si>
  <si>
    <t>225-357-6888</t>
  </si>
  <si>
    <t>Crc/Evans Pipeline - Tulsa</t>
  </si>
  <si>
    <t>Createc Corp. - Tullahoma</t>
  </si>
  <si>
    <t>Creation Housing - Elkhart</t>
  </si>
  <si>
    <t>Elkhart,IN 46514</t>
  </si>
  <si>
    <t>Creative Design - Elk Mound</t>
  </si>
  <si>
    <t>Elk Mound,WI 54739</t>
  </si>
  <si>
    <t>Creative Fabrication - Covington</t>
  </si>
  <si>
    <t>Covington,VA 24426</t>
  </si>
  <si>
    <t>Creative Ind - Bridgeview</t>
  </si>
  <si>
    <t>Bridgeview,IL 60455</t>
  </si>
  <si>
    <t>Creative Plastic Mol - Lexington</t>
  </si>
  <si>
    <t>Lexington,NC 27293</t>
  </si>
  <si>
    <t>Creative Solutions - Warren</t>
  </si>
  <si>
    <t>Warren,MI 48089</t>
  </si>
  <si>
    <t>Creekstone Farms Premium Beef LLC</t>
  </si>
  <si>
    <t>604 Goff Industrial Park Road</t>
  </si>
  <si>
    <t>Arkansas City, KS 67005</t>
  </si>
  <si>
    <t>Cresco Products - Sherman</t>
  </si>
  <si>
    <t>Sherman,TX 75090</t>
  </si>
  <si>
    <t>Cresline Plastic - Council Bluffs</t>
  </si>
  <si>
    <t>Council Bluffs,IA 5150</t>
  </si>
  <si>
    <t>Crestland Cooperative - Creston</t>
  </si>
  <si>
    <t>Creston,IA 50801</t>
  </si>
  <si>
    <t>Creswell Industrial - Chattanooga</t>
  </si>
  <si>
    <t>Cretex Concrete Products North</t>
  </si>
  <si>
    <t>7070 Cretex Ave.</t>
  </si>
  <si>
    <t>Shakopee,MN 55379</t>
  </si>
  <si>
    <t>Crosby Sawmill Machines</t>
  </si>
  <si>
    <t>2700 McDonald Ave</t>
  </si>
  <si>
    <t>Ruston,LA 71270</t>
  </si>
  <si>
    <t>318-254-8350</t>
  </si>
  <si>
    <t>318-251-8970</t>
  </si>
  <si>
    <t>Crosby Sawmill Machines - Simsboro</t>
  </si>
  <si>
    <t>167 Duraflake Rd.</t>
  </si>
  <si>
    <t>Simsboro,LA 71275</t>
  </si>
  <si>
    <t>318-247-8094</t>
  </si>
  <si>
    <t>Crosby Sawmill Machines - West Monroe</t>
  </si>
  <si>
    <t>228 Industrial St</t>
  </si>
  <si>
    <t>West Monroe, LA 71292</t>
  </si>
  <si>
    <t>318-254-2951</t>
  </si>
  <si>
    <t>POC: Darwin Gates</t>
  </si>
  <si>
    <t>Cross Company - Anderson</t>
  </si>
  <si>
    <t xml:space="preserve">Anderson,SC </t>
  </si>
  <si>
    <t>(864) 617-5123</t>
  </si>
  <si>
    <t>(864) 261-3761</t>
  </si>
  <si>
    <t>Cross Company - Columbia</t>
  </si>
  <si>
    <t xml:space="preserve">Columbia,SC </t>
  </si>
  <si>
    <t>(803) 892-6282</t>
  </si>
  <si>
    <t>Cross Company - Greensboro</t>
  </si>
  <si>
    <t>4400 Pidmont Parkway</t>
  </si>
  <si>
    <t>Greensboro,NC 27419</t>
  </si>
  <si>
    <t>(336) 856-6000</t>
  </si>
  <si>
    <t>(336) 856-6975</t>
  </si>
  <si>
    <t>Cross Fluid Power - Birmingham</t>
  </si>
  <si>
    <t>223 West Oxmoor Road</t>
  </si>
  <si>
    <t>Birmingham,AL 35209</t>
  </si>
  <si>
    <t>(205) 942-5990</t>
  </si>
  <si>
    <t>(205) 942-2980</t>
  </si>
  <si>
    <t>Cross Fluid Power - Norcross</t>
  </si>
  <si>
    <t>6665-D Corners IndCT</t>
  </si>
  <si>
    <t>Norcross,GA 30092</t>
  </si>
  <si>
    <t>Cross Machine - Berlin</t>
  </si>
  <si>
    <t>Berlin,NH 03570</t>
  </si>
  <si>
    <t>Cross Rentals, Inc.</t>
  </si>
  <si>
    <t>1950-A South Van Ave.</t>
  </si>
  <si>
    <t>Houma, LA 70363</t>
  </si>
  <si>
    <t>Cross Sales - Chattanooga</t>
  </si>
  <si>
    <t>Cross Services Inc</t>
  </si>
  <si>
    <t>1962 S Van Ave</t>
  </si>
  <si>
    <t>Motion Ind -LA63 - Morgan City's Customer</t>
  </si>
  <si>
    <t>CROSSVILLE HYDRAULICS</t>
  </si>
  <si>
    <t>586 WOODLAWN RD.</t>
  </si>
  <si>
    <t>CROSSVILLE, TN 38555</t>
  </si>
  <si>
    <t>931-707-9110</t>
  </si>
  <si>
    <t>Crouse Hinds - Syracuse</t>
  </si>
  <si>
    <t>Syracuse,NY 13211</t>
  </si>
  <si>
    <t>Crouse Hinds Aviation - Windsor</t>
  </si>
  <si>
    <t>Windsor,CT 06095</t>
  </si>
  <si>
    <t>Crouse-Hinds/Thepitt - Meadow Lands</t>
  </si>
  <si>
    <t>Meadow Lands,PA 15347</t>
  </si>
  <si>
    <t>Crowley American Tra - Lake Charles</t>
  </si>
  <si>
    <t>Crown Metro Chemical - Greenville</t>
  </si>
  <si>
    <t>Greenville,SC 29636</t>
  </si>
  <si>
    <t>Crown Pacific - Gilchrist</t>
  </si>
  <si>
    <t>Gilchrist,OR 97737</t>
  </si>
  <si>
    <t>Crown Pacific Corp. - Coeur D'Alene</t>
  </si>
  <si>
    <t>Coeur D'Alene,ID 8381</t>
  </si>
  <si>
    <t>Crown Products - Jacksonville</t>
  </si>
  <si>
    <t>Jacksonville,FL 32210</t>
  </si>
  <si>
    <t>Crown Simplimatic - Lynchburg</t>
  </si>
  <si>
    <t>Crs Service Inc. - Morgantown</t>
  </si>
  <si>
    <t>Morgantown,WV 20505</t>
  </si>
  <si>
    <t>Crusader Tool - Benton Harbor</t>
  </si>
  <si>
    <t>Benton Harbor,MI 4902</t>
  </si>
  <si>
    <t>Cryogenic Systems Eq - Blue Island</t>
  </si>
  <si>
    <t>Cryovac Corp - Simpsonville</t>
  </si>
  <si>
    <t>Simpsonville,SC 29680</t>
  </si>
  <si>
    <t>CSC Sugar</t>
  </si>
  <si>
    <t>4656 Ripley</t>
  </si>
  <si>
    <t>El Paso, TX 79922</t>
  </si>
  <si>
    <t>IBT-El Paso's Customer</t>
  </si>
  <si>
    <t>CSF Automation Plus - Stoughton</t>
  </si>
  <si>
    <t>Stoughton,WI 53589</t>
  </si>
  <si>
    <t>CSI - Fontana</t>
  </si>
  <si>
    <t>Csms Ksarng - Topeka</t>
  </si>
  <si>
    <t>Topeka,KS 66611</t>
  </si>
  <si>
    <t>Csr Masolite - Ft Wayne</t>
  </si>
  <si>
    <t>Ft Wayne,IN 46804</t>
  </si>
  <si>
    <t>601 South 10th</t>
  </si>
  <si>
    <t>Mt Vernon, IL 62864</t>
  </si>
  <si>
    <t>Cta Inc - Madison</t>
  </si>
  <si>
    <t>127 Jetplex Cir</t>
  </si>
  <si>
    <t>(256) 772-0282</t>
  </si>
  <si>
    <t>Ctek - Santa Ana</t>
  </si>
  <si>
    <t>Santa Ana,CA 92704</t>
  </si>
  <si>
    <t>Ctm Corp. - Grand Rapids</t>
  </si>
  <si>
    <t>251 County Rd 490</t>
  </si>
  <si>
    <t>Cullman, AL 35055</t>
  </si>
  <si>
    <t>Culp Lumber Co - New London</t>
  </si>
  <si>
    <t>New London,NC 28127</t>
  </si>
  <si>
    <t>Cumberland Eingineer - Attleboro</t>
  </si>
  <si>
    <t>Attleboro,MA 02703</t>
  </si>
  <si>
    <t>Mcminnville,TN 37111</t>
  </si>
  <si>
    <t>Cumberland Machine - Nashville</t>
  </si>
  <si>
    <t>Nashville,TN 37208</t>
  </si>
  <si>
    <t>Cumming Engine Co - Columbus</t>
  </si>
  <si>
    <t>Columbus,IN 47201</t>
  </si>
  <si>
    <t>Cumming Fluid Power</t>
  </si>
  <si>
    <t>Ocala, FL</t>
  </si>
  <si>
    <t>352-624-9333</t>
  </si>
  <si>
    <t>352-624-3755</t>
  </si>
  <si>
    <t>Garden City,KS 67846</t>
  </si>
  <si>
    <t>Cunningham Fluid Power - Ocala</t>
  </si>
  <si>
    <t>4020 45th Court SE</t>
  </si>
  <si>
    <t>Ocala,FL 34480</t>
  </si>
  <si>
    <t>(352) 624-9333</t>
  </si>
  <si>
    <t>(352) 624-3755</t>
  </si>
  <si>
    <t>**Credit Card - New Customer w. No History**</t>
  </si>
  <si>
    <t>Curt Bean Lumber Co. - Glenwood</t>
  </si>
  <si>
    <t>Custom Cast Corp - Tualatin</t>
  </si>
  <si>
    <t>Custom Conveyor Inc. - Greensburg</t>
  </si>
  <si>
    <t>Custom Cuts, Inc. - Milwaukee</t>
  </si>
  <si>
    <t>140 Harrisburg Drive</t>
  </si>
  <si>
    <t>Englewood, OH 45322</t>
  </si>
  <si>
    <t>Custom Equipment - Omaha</t>
  </si>
  <si>
    <t>P O Box 3038 Station B
Gifford Road</t>
  </si>
  <si>
    <t>St. John,NB E2M  4X7</t>
  </si>
  <si>
    <t>Custom Fab Inc. - Rockwall</t>
  </si>
  <si>
    <t>Rockwall,TX 75087</t>
  </si>
  <si>
    <t>Custom Forests Products - Grayling</t>
  </si>
  <si>
    <t>Custom Machine - Milford</t>
  </si>
  <si>
    <t>Milford,OH 45150</t>
  </si>
  <si>
    <t>Lincoln,NE 68507</t>
  </si>
  <si>
    <t>Custom Manufacturers - Gladwin</t>
  </si>
  <si>
    <t>Custom Manufacturing - Burlington</t>
  </si>
  <si>
    <t>Burlington,NJ 08016</t>
  </si>
  <si>
    <t>Custom Rollform - Saint Louis</t>
  </si>
  <si>
    <t>3991 Green Park Road</t>
  </si>
  <si>
    <t>Saint Louis,MO 63125</t>
  </si>
  <si>
    <t>(314) 894-3903</t>
  </si>
  <si>
    <t>(314) 631-3003</t>
  </si>
  <si>
    <t>Stevensville,MI 49127</t>
  </si>
  <si>
    <t>Custom Window Extrus - Delmont</t>
  </si>
  <si>
    <t>Delmont,PA 15626</t>
  </si>
  <si>
    <t>Custom Window System - Ocala</t>
  </si>
  <si>
    <t>Ocala,FL 34471</t>
  </si>
  <si>
    <t>Custom-Pak - Clinton</t>
  </si>
  <si>
    <t>86-16th Avenue North</t>
  </si>
  <si>
    <t>Clinton,IA 52732</t>
  </si>
  <si>
    <t>(563) 242-1801</t>
  </si>
  <si>
    <t>Cutler Hammer - Beaver</t>
  </si>
  <si>
    <t>Beaver,PA 15009</t>
  </si>
  <si>
    <t>Cutter Sales - Brookyln Center</t>
  </si>
  <si>
    <t xml:space="preserve">Brookyln Center,MN </t>
  </si>
  <si>
    <t>Solon,OH 44139</t>
  </si>
  <si>
    <t>Cyberplast Ind - Beaverton</t>
  </si>
  <si>
    <t>Cycle Shack - So. San Francisco</t>
  </si>
  <si>
    <t>So. San Francisco,CA 9</t>
  </si>
  <si>
    <t>Cycle-Tex</t>
  </si>
  <si>
    <t>109 E. Hermitage Rd</t>
  </si>
  <si>
    <t>Shannon,GA 30161</t>
  </si>
  <si>
    <t>706-295-5165</t>
  </si>
  <si>
    <t>706-238-9254</t>
  </si>
  <si>
    <t>Cylinder Plus Inc - Grovetown</t>
  </si>
  <si>
    <t>309 Old Wrightsboro Road</t>
  </si>
  <si>
    <t>Grovetown,GA 30813</t>
  </si>
  <si>
    <t>(706) 868-7325</t>
  </si>
  <si>
    <t>(706) 868-7112</t>
  </si>
  <si>
    <t>Cylinder Repair Components - Robertsdale</t>
  </si>
  <si>
    <t>Po Box 249</t>
  </si>
  <si>
    <t>Robertsdale,AL 36567</t>
  </si>
  <si>
    <t>(251) 580-3600</t>
  </si>
  <si>
    <t>Cylinder Source</t>
  </si>
  <si>
    <t>44250 NORTH AVE., SUITE 1</t>
  </si>
  <si>
    <t>Clinton Township, MI 48036</t>
  </si>
  <si>
    <t>(586) 791-9001</t>
  </si>
  <si>
    <t>(586) 791-9033</t>
  </si>
  <si>
    <t>Cylinders Inc. - Naperville</t>
  </si>
  <si>
    <t>Naperville,IL 60540</t>
  </si>
  <si>
    <t>Cylinders Plus - Augusta</t>
  </si>
  <si>
    <t>Augusta,GA 30909</t>
  </si>
  <si>
    <t>Cyprus Miami Mining - Claypool</t>
  </si>
  <si>
    <t>Claypool,AZ 85532</t>
  </si>
  <si>
    <t>Cyril Bath</t>
  </si>
  <si>
    <t>1610 Airport Road</t>
  </si>
  <si>
    <t>Monroe,NC 28110-7393</t>
  </si>
  <si>
    <t>704-289-8531</t>
  </si>
  <si>
    <t>704-289-3932</t>
  </si>
  <si>
    <t>Cytech Hardwood - Fort Hunter</t>
  </si>
  <si>
    <t>Fort Hunter,NY 12069</t>
  </si>
  <si>
    <t>Cytech Hardwoods - Amsterdam</t>
  </si>
  <si>
    <t>Amsterdam,NY 12010</t>
  </si>
  <si>
    <t>Cytex Plastics, Inc. - Houston</t>
  </si>
  <si>
    <t>Milton,WV 25541</t>
  </si>
  <si>
    <t>Birmingham,AL 35215</t>
  </si>
  <si>
    <t>Three Forks,MT 59752</t>
  </si>
  <si>
    <t>Waipahu,HI 96797</t>
  </si>
  <si>
    <t>Bend,OR 97708</t>
  </si>
  <si>
    <t>1717 Renaud RD</t>
  </si>
  <si>
    <t>Scott, LA 70583</t>
  </si>
  <si>
    <t>337-234-1665</t>
  </si>
  <si>
    <t>337-234-3395</t>
  </si>
  <si>
    <t>Motion Ind - LA18 Lafayette, LA's Customer</t>
  </si>
  <si>
    <t>D D Machine Shop - Pueblo</t>
  </si>
  <si>
    <t>Pueblo,CO 81006</t>
  </si>
  <si>
    <t>D M I Inc - Goodfield</t>
  </si>
  <si>
    <t>Goodfield,IL 61742</t>
  </si>
  <si>
    <t>D.C.L. Inc. - Charlevoix</t>
  </si>
  <si>
    <t>112 North Grant</t>
  </si>
  <si>
    <t>North Aurora,IL 60542</t>
  </si>
  <si>
    <t>D.W. Boyd Corp - Norfolk</t>
  </si>
  <si>
    <t>Norfolk,VA 23508</t>
  </si>
  <si>
    <t>Daam Galvanizing - Edmonton</t>
  </si>
  <si>
    <t>Edmonton,AB T6B 2R3</t>
  </si>
  <si>
    <t>Daco Technical Sales Inc. - Charleston</t>
  </si>
  <si>
    <t>1647 Oakhurst Drive</t>
  </si>
  <si>
    <t>Charleston,WV 25314</t>
  </si>
  <si>
    <t>(304) 744-1389</t>
  </si>
  <si>
    <t>(304) 744-0510</t>
  </si>
  <si>
    <t>211 South Skylane Drive</t>
  </si>
  <si>
    <t>Durango,CO 81303</t>
  </si>
  <si>
    <t>(970) 385-0588</t>
  </si>
  <si>
    <t>(970) 375-9264</t>
  </si>
  <si>
    <t>Daikin - Decatur</t>
  </si>
  <si>
    <t>905 State Docks Road</t>
  </si>
  <si>
    <t>(256) 306-0374</t>
  </si>
  <si>
    <t>(256) 306-9843</t>
  </si>
  <si>
    <t>Dailys Juice Product - Verona</t>
  </si>
  <si>
    <t>Verona,PA 15147</t>
  </si>
  <si>
    <t>Daimler Chrysler Cor - Kokomo</t>
  </si>
  <si>
    <t>Dairy Farmers Of Ame - New Wilmington</t>
  </si>
  <si>
    <t>New Wilmington,PA 16</t>
  </si>
  <si>
    <t>Dairy Systems Co., I - Smithfield</t>
  </si>
  <si>
    <t>Smithfield,UT 84335</t>
  </si>
  <si>
    <t>Daishowa America - Port Angeles</t>
  </si>
  <si>
    <t>Port Angeles,WA 983</t>
  </si>
  <si>
    <t>Dakota Premium Foods - South St Paul</t>
  </si>
  <si>
    <t>South St Paul,MN 5507</t>
  </si>
  <si>
    <t>Daley Inc - Rockford</t>
  </si>
  <si>
    <t>Dallas Ft Worth Ind' - Irving</t>
  </si>
  <si>
    <t>Irving,TX 75061</t>
  </si>
  <si>
    <t>Dallas Water Utiliti - Dallas</t>
  </si>
  <si>
    <t>Dallas,TX 75228</t>
  </si>
  <si>
    <t>Dallas Woodcraft - Dallas</t>
  </si>
  <si>
    <t>Dallas,TX 75212</t>
  </si>
  <si>
    <t>Dalny Travaglio - San Pablo</t>
  </si>
  <si>
    <t>San Pablo,CA 94806</t>
  </si>
  <si>
    <t>Dalsin Ind In - Bloomington</t>
  </si>
  <si>
    <t>Bloomington,MN 55420</t>
  </si>
  <si>
    <t>Dal-Tile Corp.</t>
  </si>
  <si>
    <t>1470 County Road 21 South</t>
  </si>
  <si>
    <t>205-932-8892</t>
  </si>
  <si>
    <t>Dalton Corp - Kendallville</t>
  </si>
  <si>
    <t>Kendallville,IN 4675</t>
  </si>
  <si>
    <t>Dalton Hydraulics</t>
  </si>
  <si>
    <t>2633 Rutledge Pike</t>
  </si>
  <si>
    <t>Blaine, TN, 37709</t>
  </si>
  <si>
    <t>865-933-5031</t>
  </si>
  <si>
    <t>865-933-5377</t>
  </si>
  <si>
    <t>Jarrett w. Seal Source Refered him - They use Yates</t>
  </si>
  <si>
    <t>Daly's Juice Prod. - Verona</t>
  </si>
  <si>
    <t>Dan River Inc - Greenville</t>
  </si>
  <si>
    <t>Greenville,SC 29611</t>
  </si>
  <si>
    <t>Dana Corp - Reading</t>
  </si>
  <si>
    <t>Reading,PA 19601</t>
  </si>
  <si>
    <t>DANA CORP.</t>
  </si>
  <si>
    <t>899 DANA DRIVE</t>
  </si>
  <si>
    <t>HUMBOLDT, TN 38343-5101</t>
  </si>
  <si>
    <t>73-423-4941</t>
  </si>
  <si>
    <t>Dana Corp. - Hohenwald</t>
  </si>
  <si>
    <t>Hohenwald,TN 38462</t>
  </si>
  <si>
    <t>Dana Corporation - Lugoff</t>
  </si>
  <si>
    <t>Lugoff,SC 29078</t>
  </si>
  <si>
    <t>Dana-Perfect Circle - Richmond</t>
  </si>
  <si>
    <t>Richmond,IN 47375</t>
  </si>
  <si>
    <t>Daniels Lumber Co. - Lake City</t>
  </si>
  <si>
    <t>Lake City,FL 32055</t>
  </si>
  <si>
    <t>Dar Machine - Summerville</t>
  </si>
  <si>
    <t>Summerville,SC 29483</t>
  </si>
  <si>
    <t>Darby Lumber - Darby</t>
  </si>
  <si>
    <t>Darby,MT 59829</t>
  </si>
  <si>
    <t>Darling National, LLC</t>
  </si>
  <si>
    <t>4115 South 33rd Street</t>
  </si>
  <si>
    <t>Omaha, NE 68107</t>
  </si>
  <si>
    <t>Dart Container Corp - Corona</t>
  </si>
  <si>
    <t>Corona,CA 91720</t>
  </si>
  <si>
    <t>Dave Lawrence Inc. - Haggerman</t>
  </si>
  <si>
    <t>Haggerman,ID 83332</t>
  </si>
  <si>
    <t>Dave Martinson - Springfield</t>
  </si>
  <si>
    <t>Springfield,OR 97478</t>
  </si>
  <si>
    <t>Daveco Hydraulics - Eureka</t>
  </si>
  <si>
    <t>Eureka,CA 95503</t>
  </si>
  <si>
    <t>David R. Webb Co - Edinburgh</t>
  </si>
  <si>
    <t>Davidson Ind - Mapleton</t>
  </si>
  <si>
    <t>Mapleton,OR 97453</t>
  </si>
  <si>
    <t>Davidson Plastics Co - Tacoma</t>
  </si>
  <si>
    <t>West Valley City,UT 8</t>
  </si>
  <si>
    <t>Davis Boat Works - Newport News</t>
  </si>
  <si>
    <t xml:space="preserve">Davis Repair </t>
  </si>
  <si>
    <t>2146 B Hwy. 25 S.</t>
  </si>
  <si>
    <t>Iuka, MS. 38852</t>
  </si>
  <si>
    <t>Davis Valve</t>
  </si>
  <si>
    <t>2165 Latham Street</t>
  </si>
  <si>
    <t>Memphis, TN 38109</t>
  </si>
  <si>
    <t>901-312-7187</t>
  </si>
  <si>
    <t>90-946-9208</t>
  </si>
  <si>
    <t>Davis-Monthan AFB</t>
  </si>
  <si>
    <t>5020 E Arizola St</t>
  </si>
  <si>
    <t>Davis-Monthan AFB, AZ 85707-3108</t>
  </si>
  <si>
    <t>520-228-5284</t>
  </si>
  <si>
    <t>Dawn Food Products - Denver</t>
  </si>
  <si>
    <t>Denver,CO 80211</t>
  </si>
  <si>
    <t>Dawn Ind - Denver</t>
  </si>
  <si>
    <t>Nash,TX 75569</t>
  </si>
  <si>
    <t>Dayco Corp - Walterboro</t>
  </si>
  <si>
    <t>Walterboro,SC 29488</t>
  </si>
  <si>
    <t>Dayco Eastman - Manitowoc</t>
  </si>
  <si>
    <t>Manitowoc,WI 54221</t>
  </si>
  <si>
    <t>Dayton Tire - Oklahoma City</t>
  </si>
  <si>
    <t>Oklahoma City,OK 73129</t>
  </si>
  <si>
    <t>Daytran - Elyria</t>
  </si>
  <si>
    <t>Elyria,OH 44036</t>
  </si>
  <si>
    <t>DC Hydraulics - Canton</t>
  </si>
  <si>
    <t>42010 Koppernick Road Suite 118</t>
  </si>
  <si>
    <t>Canton,MI 48187</t>
  </si>
  <si>
    <t>(734) 416-8999</t>
  </si>
  <si>
    <t>(734) 416-8985</t>
  </si>
  <si>
    <t>DC Hydraulics - Grand Rapids</t>
  </si>
  <si>
    <t xml:space="preserve">Grand Rapids,MI </t>
  </si>
  <si>
    <t>(616) 984-5520</t>
  </si>
  <si>
    <t>(616) 984-2737</t>
  </si>
  <si>
    <t>DCA Ready Mix</t>
  </si>
  <si>
    <t>1101 4th Avenue SE</t>
  </si>
  <si>
    <t>256-734-4414</t>
  </si>
  <si>
    <t>256-734-4250</t>
  </si>
  <si>
    <t>DCL - Charlevoix</t>
  </si>
  <si>
    <t>DCMA Huntsville</t>
  </si>
  <si>
    <t>BLDG 4505 Suite 301</t>
  </si>
  <si>
    <t>Redstone Arsenal, AL 35898-0001</t>
  </si>
  <si>
    <t>DCS-FUEL FEEDER</t>
  </si>
  <si>
    <t>2000 MCFARLAND 400 BLVD</t>
  </si>
  <si>
    <t>ALPHARETTA, GA 30004</t>
  </si>
  <si>
    <t>DDSP New Cumberland Facility</t>
  </si>
  <si>
    <t>2001 Normandy Drive Door 113 134</t>
  </si>
  <si>
    <t>New Cumberland, PA, 17070-5001</t>
  </si>
  <si>
    <t>De Groot Inc - Coloma</t>
  </si>
  <si>
    <t>Coloma,MI 49038</t>
  </si>
  <si>
    <t>Dean Lumber Company - Gilmer</t>
  </si>
  <si>
    <t>Gilmer,TX 75644</t>
  </si>
  <si>
    <t>Decatur Maintenance - Decatur</t>
  </si>
  <si>
    <t>(256) 552-3076</t>
  </si>
  <si>
    <t>(256) 552-4289</t>
  </si>
  <si>
    <t>Decor Precast Michig - Holt</t>
  </si>
  <si>
    <t>Holt,MI 48842</t>
  </si>
  <si>
    <t>Deeprock</t>
  </si>
  <si>
    <t>2209 Anderson Road</t>
  </si>
  <si>
    <t>Opelika, AL 36802</t>
  </si>
  <si>
    <t>Dees Fluid Power - Baltimore</t>
  </si>
  <si>
    <t>9311-F Philadelphia Road</t>
  </si>
  <si>
    <t>Dees Fluid Power - Joppa</t>
  </si>
  <si>
    <t>1809 Fashion Court Suite 110</t>
  </si>
  <si>
    <t>Joppa,MD 21085</t>
  </si>
  <si>
    <t>(410) 679-1666</t>
  </si>
  <si>
    <t>(410) 679-1162</t>
  </si>
  <si>
    <t>Dees Fluid Power - Richmond</t>
  </si>
  <si>
    <t>7611 Whitepine Road</t>
  </si>
  <si>
    <t>Richmond,VA 23237</t>
  </si>
  <si>
    <t>Dees Fluid Power - Roanoke</t>
  </si>
  <si>
    <t>Dees Fluid Power - Warcester</t>
  </si>
  <si>
    <t>10 New Bond Street Suite 300 B</t>
  </si>
  <si>
    <t>Warcester,MA 1606</t>
  </si>
  <si>
    <t>DEF DIST DEPOT RED RIVER</t>
  </si>
  <si>
    <t>10TH STREET AND K AVE</t>
  </si>
  <si>
    <t>TEXARKANA, TX 75507-5000</t>
  </si>
  <si>
    <t>DEF DIST DEPOT SAN JOAQUN</t>
  </si>
  <si>
    <t>25600 S Chrisman Road</t>
  </si>
  <si>
    <t>Tracy, CA 95304-5000</t>
  </si>
  <si>
    <t>DEFENSE COMPONENTS OF DETROIT</t>
  </si>
  <si>
    <t>1597 ATLANTIC BLVD.</t>
  </si>
  <si>
    <t>AUBURN HILLS, MI 48326</t>
  </si>
  <si>
    <t>248-393-2304</t>
  </si>
  <si>
    <t>Defense Distribution - French Camp</t>
  </si>
  <si>
    <t>French Camp,CA 95231</t>
  </si>
  <si>
    <t>Defense Supply Center Columbus</t>
  </si>
  <si>
    <t>PO Box 3990</t>
  </si>
  <si>
    <t>Columbus, OH 43218-3990</t>
  </si>
  <si>
    <t>DEFENSE SUPPLY CENTER PHILADELPHIA</t>
  </si>
  <si>
    <t>700 ROBBINS AVENUE</t>
  </si>
  <si>
    <t>PHILADELPHIA, PA 1911-5096</t>
  </si>
  <si>
    <t>DEFENSE SUPPLY CENTER RICHMOND</t>
  </si>
  <si>
    <t>8000 JEFFERSON DAVIS HWY</t>
  </si>
  <si>
    <t>RICHMON, VA, 23297-5770</t>
  </si>
  <si>
    <t>Dehyco Power Unit Di - Baltimore</t>
  </si>
  <si>
    <t>Del Cook Lumber Co - Adel</t>
  </si>
  <si>
    <t>Adel,GA 31620</t>
  </si>
  <si>
    <t>Del Monte Corp - Mendota</t>
  </si>
  <si>
    <t>347 N 43Rd Rd</t>
  </si>
  <si>
    <t>Mendota,IL 61342</t>
  </si>
  <si>
    <t>(815) 539-9361</t>
  </si>
  <si>
    <t>Del Monte Corp - San Jose</t>
  </si>
  <si>
    <t>801 Auzerais Ave</t>
  </si>
  <si>
    <t>San Jose,CA 95126</t>
  </si>
  <si>
    <t>(408) 291-2400</t>
  </si>
  <si>
    <t>Del Monte Foods - Pittsbur, PA</t>
  </si>
  <si>
    <t>P.O. Box 80</t>
  </si>
  <si>
    <t>Pittsburg, PA 15230</t>
  </si>
  <si>
    <t>Delafield Corp - Duarte</t>
  </si>
  <si>
    <t>1520 Flower Street</t>
  </si>
  <si>
    <t>Duarte,CA 91010</t>
  </si>
  <si>
    <t>(626) 303-0740</t>
  </si>
  <si>
    <t>(626) 359-7109</t>
  </si>
  <si>
    <t>Delafield Corp. - Foothill Ranch</t>
  </si>
  <si>
    <t>Foothill Ranch,CA 9</t>
  </si>
  <si>
    <t>Delco Products Division - Dayton</t>
  </si>
  <si>
    <t>Dayton,OH 45417</t>
  </si>
  <si>
    <t>Delisi Corp. - Copiague</t>
  </si>
  <si>
    <t>Copiague,NY 11726</t>
  </si>
  <si>
    <t>Delkab Ozark Hatcher - Neosho</t>
  </si>
  <si>
    <t>Neosho,MO 64850</t>
  </si>
  <si>
    <t>Delmarva Fluid Power - Fruitland</t>
  </si>
  <si>
    <t>Fruitland,MD 21826</t>
  </si>
  <si>
    <t>Delmonte Foods Attn: Priority Processing</t>
  </si>
  <si>
    <t>P.O. Box 150</t>
  </si>
  <si>
    <t>Pittsburg, PA 15230-0150</t>
  </si>
  <si>
    <t>Billing Address for Meow Mix</t>
  </si>
  <si>
    <t>Delphi Chassis - Dayton</t>
  </si>
  <si>
    <t>Delphi Harrison Automotive - Tuscaloosa</t>
  </si>
  <si>
    <t>3440 Kauloosa Avenue</t>
  </si>
  <si>
    <t>(205) 391-5800</t>
  </si>
  <si>
    <t>(205) 391-5894</t>
  </si>
  <si>
    <t>Delphi Interior Ligh - Anderson</t>
  </si>
  <si>
    <t>Anderson,IN 46016</t>
  </si>
  <si>
    <t>Delphi Thermal and Interior - Gadson, AL</t>
  </si>
  <si>
    <t>4605 Airport Road</t>
  </si>
  <si>
    <t>Gadsden, AL 35904</t>
  </si>
  <si>
    <t>256-413-4022</t>
  </si>
  <si>
    <t>256-413-4053</t>
  </si>
  <si>
    <t>Delri Ind Supplies I - Crum Lynne</t>
  </si>
  <si>
    <t>Crum Lynne,PA 19022</t>
  </si>
  <si>
    <t>Delta Brands, Inc. - Irving</t>
  </si>
  <si>
    <t>2204 Century Center Blvd.</t>
  </si>
  <si>
    <t>Irving,TX 75062</t>
  </si>
  <si>
    <t>972-438-7150</t>
  </si>
  <si>
    <t>972-554-1140</t>
  </si>
  <si>
    <t>Delta Faucet - Chickasha</t>
  </si>
  <si>
    <t>Chickasha,OK 73018</t>
  </si>
  <si>
    <t>Delta Industrial Val - Niles</t>
  </si>
  <si>
    <t>Niles,MI 49120</t>
  </si>
  <si>
    <t>Daingerfield,TX 7563</t>
  </si>
  <si>
    <t>Cleveland,OH 44125</t>
  </si>
  <si>
    <t>Delta Marine Ind</t>
  </si>
  <si>
    <t>1608 South 96th St.</t>
  </si>
  <si>
    <t>206-763-2383</t>
  </si>
  <si>
    <t>206-764-9809</t>
  </si>
  <si>
    <t>Delta Mold Inc.</t>
  </si>
  <si>
    <t>9415 Stockport Place</t>
  </si>
  <si>
    <t>Charlotte, NC 28273</t>
  </si>
  <si>
    <t>704 588 6600</t>
  </si>
  <si>
    <t>704 588 5237</t>
  </si>
  <si>
    <t>Delta T Products - Dover</t>
  </si>
  <si>
    <t>Dover,NJ 07801</t>
  </si>
  <si>
    <t>Delta V Tech - Tucson</t>
  </si>
  <si>
    <t>Tucson,AZ 85743</t>
  </si>
  <si>
    <t>Ola,AR 72853</t>
  </si>
  <si>
    <t>Waldo,AR 71770</t>
  </si>
  <si>
    <t>Deltrol Fluid Product - Bellwood</t>
  </si>
  <si>
    <t>Bellwood,IL 60104</t>
  </si>
  <si>
    <t>Deluxe Plastics - Clintonville</t>
  </si>
  <si>
    <t>Clintonville,WI 54929</t>
  </si>
  <si>
    <t>Demarco Max Vac - Mchenry</t>
  </si>
  <si>
    <t>Mchenry,IL 60050</t>
  </si>
  <si>
    <t>Demarini - Hillsboro</t>
  </si>
  <si>
    <t>Hillsboro,OR 97124</t>
  </si>
  <si>
    <t>Demco Mfg. Inc - Diboll</t>
  </si>
  <si>
    <t>Diboll,TX 75941</t>
  </si>
  <si>
    <t>Dement Construction Co.</t>
  </si>
  <si>
    <t>300 Patton St.</t>
  </si>
  <si>
    <t>Humboldt,TN 38343</t>
  </si>
  <si>
    <t>Dempsey Forest Product</t>
  </si>
  <si>
    <t>Hwy. 21 South</t>
  </si>
  <si>
    <t>Orangeburg,SC 29115</t>
  </si>
  <si>
    <t>Denbo - Decatur</t>
  </si>
  <si>
    <t>Hwy 20</t>
  </si>
  <si>
    <t>(256) 353-6351</t>
  </si>
  <si>
    <t>(256) 351-9275</t>
  </si>
  <si>
    <t>DENBURY RESOURCES INC</t>
  </si>
  <si>
    <t>265 TINSLEY ROAD</t>
  </si>
  <si>
    <t>BENTONIA MS 39040</t>
  </si>
  <si>
    <t>Denver Fluid Power</t>
  </si>
  <si>
    <t>6708 East 47th Ave.</t>
  </si>
  <si>
    <t>Denver, CO 80216</t>
  </si>
  <si>
    <t>303-399-1646</t>
  </si>
  <si>
    <t>303-399-1659</t>
  </si>
  <si>
    <t>Division of Motion Ind</t>
  </si>
  <si>
    <t>Denville Line Painti - Rockaway</t>
  </si>
  <si>
    <t>Rockaway,NJ 07866</t>
  </si>
  <si>
    <t>Depatie Fluid Power Co - Holland</t>
  </si>
  <si>
    <t>11274 Lakewood Boulevard</t>
  </si>
  <si>
    <t>(616) 392-8600</t>
  </si>
  <si>
    <t>Depatie Fluid Power Co - Kalamazoo</t>
  </si>
  <si>
    <t>6256 American Avenue</t>
  </si>
  <si>
    <t>(616) 324-2850</t>
  </si>
  <si>
    <t>Dependable Foundry - Tualatin</t>
  </si>
  <si>
    <t>Derid Main</t>
  </si>
  <si>
    <t>4200 Hwy 190 West</t>
  </si>
  <si>
    <t>Deridder, LA 70634-9201</t>
  </si>
  <si>
    <t>Medley,FL 33178</t>
  </si>
  <si>
    <t>Design Components - Elkhart</t>
  </si>
  <si>
    <t>Elkhart,IN 46516</t>
  </si>
  <si>
    <t>Design Corrugating - Taylorville</t>
  </si>
  <si>
    <t>Taylorville,IL 62568</t>
  </si>
  <si>
    <t>Design Plastics - Omaha</t>
  </si>
  <si>
    <t>Omaha,NE 68134</t>
  </si>
  <si>
    <t>Designed Automation - Arkadelphia</t>
  </si>
  <si>
    <t>Arkadelphia,AR 71923</t>
  </si>
  <si>
    <t>Designs Unlimited - New Carlisle</t>
  </si>
  <si>
    <t>New Carlisle,OH 45</t>
  </si>
  <si>
    <t>Desoto</t>
  </si>
  <si>
    <t>941 Magnolia Drive South</t>
  </si>
  <si>
    <t>Wiggins, MS 39577</t>
  </si>
  <si>
    <t>601-928-4133</t>
  </si>
  <si>
    <t>601-928-5091</t>
  </si>
  <si>
    <t>POC: Albert Kirkland</t>
  </si>
  <si>
    <t>De-Spa-Co - Central Lake</t>
  </si>
  <si>
    <t>Central Lake,MI 49622</t>
  </si>
  <si>
    <t>Despatch Ind - Lakeville</t>
  </si>
  <si>
    <t>Lakeville,MN 55044</t>
  </si>
  <si>
    <t>Detail Design, Inc. - Houston</t>
  </si>
  <si>
    <t>Detroit Edison - Monroe</t>
  </si>
  <si>
    <t>DFAS BVDP (SL4701)</t>
  </si>
  <si>
    <t>P.O. BOX 369031</t>
  </si>
  <si>
    <t>COLUMBUS, OH 43236-9031</t>
  </si>
  <si>
    <t>DFAS Charleston Operating Location</t>
  </si>
  <si>
    <t>PO Box 118054</t>
  </si>
  <si>
    <t>Charleston, SC 29423-8054</t>
  </si>
  <si>
    <t>Accounting Location</t>
  </si>
  <si>
    <t>DFAS-COLUMBUS CENTER  SOUTH ENTITLEMENT OPERATIONS</t>
  </si>
  <si>
    <t>P.O. BOX 182264</t>
  </si>
  <si>
    <t>COLUMBUS, OH 43218-2264</t>
  </si>
  <si>
    <t>Dg Trim Products - Alpena</t>
  </si>
  <si>
    <t>DHI Repair Specialists</t>
  </si>
  <si>
    <t>242 West Main Street PMB 209</t>
  </si>
  <si>
    <t>Hendersonville, TN 37075</t>
  </si>
  <si>
    <t>615-826-1582</t>
  </si>
  <si>
    <t>615-537-1121</t>
  </si>
  <si>
    <t>dennis@dhirepair.com</t>
  </si>
  <si>
    <t>Dial Corporation - Ft. Madison</t>
  </si>
  <si>
    <t>Ft. Madison,IA 52627</t>
  </si>
  <si>
    <t>Diam-Cut Tool - Somerset</t>
  </si>
  <si>
    <t>Somerset,MA 02726</t>
  </si>
  <si>
    <t>Diamond Fruit Grower - Hood River</t>
  </si>
  <si>
    <t>Hood River,OR 97031</t>
  </si>
  <si>
    <t>Diamond Ocean Star - Golden Meadow</t>
  </si>
  <si>
    <t>Golden Meadow,LA 703</t>
  </si>
  <si>
    <t>Diamond Productions - Wayne</t>
  </si>
  <si>
    <t>Wayne,NJ 07470</t>
  </si>
  <si>
    <t>Eton.,GA 30724</t>
  </si>
  <si>
    <t>Dayton,OH 42403</t>
  </si>
  <si>
    <t>Dianes Foods - Mcminnville</t>
  </si>
  <si>
    <t>Mcminnville,OR 97128</t>
  </si>
  <si>
    <t>Dicks Concrete - Port Jervis</t>
  </si>
  <si>
    <t>Port Jervis,NY 12771</t>
  </si>
  <si>
    <t>Die Stampco - Bay City</t>
  </si>
  <si>
    <t>Bay City,MI 48708</t>
  </si>
  <si>
    <t>Die-A-Matic - York</t>
  </si>
  <si>
    <t>DIEFFENBACHER USA, INC.</t>
  </si>
  <si>
    <t>770-226-6394</t>
  </si>
  <si>
    <t>770-226-6397</t>
  </si>
  <si>
    <t>Diehl Clayton Equipm - Gatesville</t>
  </si>
  <si>
    <t>90 Lewis Mill Road</t>
  </si>
  <si>
    <t>(252) 357-0102</t>
  </si>
  <si>
    <t>(252) 357-1014</t>
  </si>
  <si>
    <t>Dieter Bryce Inc - Gaston</t>
  </si>
  <si>
    <t>Gaston,SC 29053</t>
  </si>
  <si>
    <t>Dietrich Ind - Hammond</t>
  </si>
  <si>
    <t>Dill Engineering</t>
  </si>
  <si>
    <t>511 Staplesd Drive/Ind Park</t>
  </si>
  <si>
    <t>Florence,AL 35630</t>
  </si>
  <si>
    <t>256-766-6602</t>
  </si>
  <si>
    <t>256-764-9537</t>
  </si>
  <si>
    <t>Dillman Equipment - Praire Du Chien</t>
  </si>
  <si>
    <t>Praire Du Chien,WI 538</t>
  </si>
  <si>
    <t>Dillon Supply - Charlotte</t>
  </si>
  <si>
    <t>Charlotte,NC 28208</t>
  </si>
  <si>
    <t>Dimension Machinery - Lenoir</t>
  </si>
  <si>
    <t>Discount Hydraulic</t>
  </si>
  <si>
    <t>210 Route 47 South</t>
  </si>
  <si>
    <t>Cape May Court House, NJ 08210</t>
  </si>
  <si>
    <t>Dis-Tran Products Inc - Pineville</t>
  </si>
  <si>
    <t>529 Cenla Dr.</t>
  </si>
  <si>
    <t>Distributor's Group - Mt. Pleasant</t>
  </si>
  <si>
    <t>Mt. Pleasant,MI 48</t>
  </si>
  <si>
    <t>Di-Tec International - Simi Valley</t>
  </si>
  <si>
    <t>Simi Valley,CA 96063</t>
  </si>
  <si>
    <t>Diversatech Plastics Group</t>
  </si>
  <si>
    <t>3830 Cowan  Highway</t>
  </si>
  <si>
    <t>Winchester,TN 37398</t>
  </si>
  <si>
    <t>Diversified Automotive - El Paso</t>
  </si>
  <si>
    <t>1050 Eastside Road</t>
  </si>
  <si>
    <t>El Paso, TX 79915</t>
  </si>
  <si>
    <t>915-771-6311 / 915-771-8731</t>
  </si>
  <si>
    <t>Diversified Systems - Greenville</t>
  </si>
  <si>
    <t>Division Of Aquacult - Apalachicola</t>
  </si>
  <si>
    <t>Apalachicola,FL 3232</t>
  </si>
  <si>
    <t>Dixie Carbonic - Beatrice</t>
  </si>
  <si>
    <t>Beatrice,NE 68310</t>
  </si>
  <si>
    <t>Dixie Glass - Opelousas</t>
  </si>
  <si>
    <t>Opelousas,LA 70570</t>
  </si>
  <si>
    <t>Dixie Hydrostatics - Pontotoc</t>
  </si>
  <si>
    <t>105 N Liberty St</t>
  </si>
  <si>
    <t xml:space="preserve">Pontotoc,MS </t>
  </si>
  <si>
    <t>(800) 884-0075</t>
  </si>
  <si>
    <t>(662) 509-9830</t>
  </si>
  <si>
    <t>Dixie Ind</t>
  </si>
  <si>
    <t>3510 N. Orchard Knob</t>
  </si>
  <si>
    <t>Dixie Ind Lexington - Lexington</t>
  </si>
  <si>
    <t>Lexington,NC 27292</t>
  </si>
  <si>
    <t>Dixie Ind Sales - Thomasville</t>
  </si>
  <si>
    <t>Dixie Indusrial Supply - Arden</t>
  </si>
  <si>
    <t>Arden,NC 28704</t>
  </si>
  <si>
    <t>Dixie Industrial Supply - Belmont</t>
  </si>
  <si>
    <t>Belmont,NC 28012</t>
  </si>
  <si>
    <t>PO Box 20646</t>
  </si>
  <si>
    <t>Tuscaloosa,AL 35402</t>
  </si>
  <si>
    <t>(205) 333-0111</t>
  </si>
  <si>
    <t>(205) 333-0123</t>
  </si>
  <si>
    <t>Dixie-Narco Willisto - Williston</t>
  </si>
  <si>
    <t>Williston,SC 29853</t>
  </si>
  <si>
    <t>Dixon Ind</t>
  </si>
  <si>
    <t>Airport Industrial Park</t>
  </si>
  <si>
    <t>620-251-2000</t>
  </si>
  <si>
    <t>620-252-6574</t>
  </si>
  <si>
    <t>Dixon Lumber Co - Eufaula</t>
  </si>
  <si>
    <t>605 W Washington St</t>
  </si>
  <si>
    <t>Eufaula,AL 36027</t>
  </si>
  <si>
    <t>(334) 687-8204</t>
  </si>
  <si>
    <t>Benny Smith</t>
  </si>
  <si>
    <t>DIY GROUP, INC.</t>
  </si>
  <si>
    <t>2401 West 26th Street</t>
  </si>
  <si>
    <t xml:space="preserve">DLA LAND - WARREN </t>
  </si>
  <si>
    <t>ZGA ARTHUR AIGELTINGER</t>
  </si>
  <si>
    <t>WARREN, MI 48397-5000</t>
  </si>
  <si>
    <t>586-282-3167</t>
  </si>
  <si>
    <t>Indianapolis,IN 46247</t>
  </si>
  <si>
    <t>Dmc 2 L.P. - S Plainfield</t>
  </si>
  <si>
    <t>S Plainfield,NJ 07080</t>
  </si>
  <si>
    <t>DMC Corportation</t>
  </si>
  <si>
    <t>19151 Highland Rd</t>
  </si>
  <si>
    <t>Baton Rouge, LA 70809</t>
  </si>
  <si>
    <t>225-906-9162</t>
  </si>
  <si>
    <t>225-751-5545</t>
  </si>
  <si>
    <t>Dmh Ship Repair Service - Alameda</t>
  </si>
  <si>
    <t>Alameda,CA 94501</t>
  </si>
  <si>
    <t>DNC Hydraulics</t>
  </si>
  <si>
    <t>2515 Township Road 36</t>
  </si>
  <si>
    <t>Mount Cory, Ohio 45868</t>
  </si>
  <si>
    <t>419-477-5332</t>
  </si>
  <si>
    <t>419-477-5331</t>
  </si>
  <si>
    <t>Dobson Bros Const Co - Lincoln</t>
  </si>
  <si>
    <t>Dodge-Regupol - Lancaster</t>
  </si>
  <si>
    <t>Lancaster,PA 17601</t>
  </si>
  <si>
    <t>Doerfer Engineering - Cedar Falls</t>
  </si>
  <si>
    <t>201 Washington Street</t>
  </si>
  <si>
    <t>Cedar Falls,IA 50613</t>
  </si>
  <si>
    <t>Dominion Pallet - Mineral</t>
  </si>
  <si>
    <t>Mineral,VA 23117</t>
  </si>
  <si>
    <t>Domtar Wood Products - White River</t>
  </si>
  <si>
    <t>Po Box 2000, Hwy 17</t>
  </si>
  <si>
    <t>White River,ONT P0M 3G0</t>
  </si>
  <si>
    <t>Don E Williams Co. - Rock Island</t>
  </si>
  <si>
    <t>7920-14Th Street West</t>
  </si>
  <si>
    <t>Rock Island,IL 61201</t>
  </si>
  <si>
    <t>Donaldson Co Liquic - Minneapolis</t>
  </si>
  <si>
    <t xml:space="preserve">Minneapolis,MN </t>
  </si>
  <si>
    <t>Donlyn MFG Corp</t>
  </si>
  <si>
    <t>1490 94th Lane NE</t>
  </si>
  <si>
    <t>Innovative Fluid Power's Customer</t>
  </si>
  <si>
    <t>Donlyn Mfg. Corporation</t>
  </si>
  <si>
    <t>1490   94th Lane NE</t>
  </si>
  <si>
    <t>Blaine,MN 55449</t>
  </si>
  <si>
    <t>Doorcraft of Alabama - Hartselle</t>
  </si>
  <si>
    <t>Youngs Street</t>
  </si>
  <si>
    <t>(256) 773-5466</t>
  </si>
  <si>
    <t>Doorcraft Of Iowa - Grinnel</t>
  </si>
  <si>
    <t>Grinnel,LA 50112</t>
  </si>
  <si>
    <t>(515) 236-9000</t>
  </si>
  <si>
    <t>Dopaco - Dowington</t>
  </si>
  <si>
    <t>Dowington,PA 19335</t>
  </si>
  <si>
    <t>Dordan Mfg. - Woodstock</t>
  </si>
  <si>
    <t>Woodstock,IL 60098</t>
  </si>
  <si>
    <t>Double Press Mfg. - Madras</t>
  </si>
  <si>
    <t>Madras,OR 97741</t>
  </si>
  <si>
    <t>Douglas Co. Forest P - Winchester</t>
  </si>
  <si>
    <t>Winchester,OR 97495</t>
  </si>
  <si>
    <t>Douglass Machines Co - Clearwater</t>
  </si>
  <si>
    <t>Clearwater,FL 3</t>
  </si>
  <si>
    <t>Douglas-Stephen Plas - Paterson</t>
  </si>
  <si>
    <t>Paterson,NJ 07509</t>
  </si>
  <si>
    <t>Dover Hydraulics - Dover</t>
  </si>
  <si>
    <t>2996 Progress Street</t>
  </si>
  <si>
    <t>(800) 394-1617</t>
  </si>
  <si>
    <t>(330) 343-4994</t>
  </si>
  <si>
    <t>Dow Chemicals - Plaquemine</t>
  </si>
  <si>
    <t>Plaquemine,LA 70764</t>
  </si>
  <si>
    <t>Dowell Schlumberger - Prudhoebay</t>
  </si>
  <si>
    <t>Prudhoebay,AK 99734</t>
  </si>
  <si>
    <t>Mechanic Falls,ME 04</t>
  </si>
  <si>
    <t>Downey Studios</t>
  </si>
  <si>
    <t>12214 Lakewood Blvd.</t>
  </si>
  <si>
    <t>Downey, CA 90242</t>
  </si>
  <si>
    <t>COMOSO - Santa Ana, CA</t>
  </si>
  <si>
    <t>Downey Valve Company - Yorba Linda</t>
  </si>
  <si>
    <t>Yorba Linda,CA 92886</t>
  </si>
  <si>
    <t>Downhole Assemblies - Broussard</t>
  </si>
  <si>
    <t>Phillipsburg,MO 6572</t>
  </si>
  <si>
    <t>Dowty Aerospace - Duarte</t>
  </si>
  <si>
    <t>Drago Supply Co - Little Rock</t>
  </si>
  <si>
    <t>Drake Products Corp - Anderson</t>
  </si>
  <si>
    <t>Dravo Lime (Fam Usa) - Maysville</t>
  </si>
  <si>
    <t>Maysville,KY 41056</t>
  </si>
  <si>
    <t>113 Long Drive</t>
  </si>
  <si>
    <t>Millersville, TN 37072</t>
  </si>
  <si>
    <t>Dredgemasters International, Inc. - Hendersonville</t>
  </si>
  <si>
    <t>200 Center Point Road South</t>
  </si>
  <si>
    <t>Hendersonville,TN 37075</t>
  </si>
  <si>
    <t>(615) 822-3500</t>
  </si>
  <si>
    <t>(615) 822-0002</t>
  </si>
  <si>
    <t>Dresser-Rand - Painted Post</t>
  </si>
  <si>
    <t>Painted Post,NY 1487</t>
  </si>
  <si>
    <t>Drive Systems - Decatur</t>
  </si>
  <si>
    <t>412 8th Avenue NE</t>
  </si>
  <si>
    <t>Decatur,AL 35602</t>
  </si>
  <si>
    <t>(256) 350-7912</t>
  </si>
  <si>
    <t>(256) 350-7964</t>
  </si>
  <si>
    <t>DRM Corp - Lake Delton</t>
  </si>
  <si>
    <t>Lake Delton,WI 53940</t>
  </si>
  <si>
    <t>Drywall Supply, Inc.-St.</t>
  </si>
  <si>
    <t>5421 Quam Avenue NE</t>
  </si>
  <si>
    <t>St. Michael,MN  55376</t>
  </si>
  <si>
    <t>800-322-4176</t>
  </si>
  <si>
    <t>763-428-4665</t>
  </si>
  <si>
    <t>Drywall Supply,Inc.-Little</t>
  </si>
  <si>
    <t>3225 Country Drive</t>
  </si>
  <si>
    <t>651-766-5226</t>
  </si>
  <si>
    <t>651-766-8943</t>
  </si>
  <si>
    <t>DSC - Richmond</t>
  </si>
  <si>
    <t>8000 Jefferson Davis Highway</t>
  </si>
  <si>
    <t>Richmond, VA 23297</t>
  </si>
  <si>
    <t>804-279-5864</t>
  </si>
  <si>
    <t>804-279-4864</t>
  </si>
  <si>
    <t>DSCC - Defense Supply Center Columbus</t>
  </si>
  <si>
    <t>614-692-7655</t>
  </si>
  <si>
    <t>614-693-1551</t>
  </si>
  <si>
    <t>DSC-Columbus - SPM7MB-09-M-0845</t>
  </si>
  <si>
    <t>Columbus, OH, 43218-3990</t>
  </si>
  <si>
    <t>Dsm Copolymer - Addis</t>
  </si>
  <si>
    <t>Addis,LA 70710</t>
  </si>
  <si>
    <t>Dsm Inc - Reading</t>
  </si>
  <si>
    <t>Reading,PA 19612</t>
  </si>
  <si>
    <t>D-Tek - Pineville</t>
  </si>
  <si>
    <t>Pineville,NC 28234</t>
  </si>
  <si>
    <t>DTS Fluid Power - Elk Grove Village</t>
  </si>
  <si>
    <t>2240 Landmeier Road</t>
  </si>
  <si>
    <t>(847) 758-1705</t>
  </si>
  <si>
    <t>(847) 758-1710</t>
  </si>
  <si>
    <t>DTS Fluid Power - Grandville</t>
  </si>
  <si>
    <t>3560 Busch Drive</t>
  </si>
  <si>
    <t>Grandville,MI 49418</t>
  </si>
  <si>
    <t>(616) 538-3759</t>
  </si>
  <si>
    <t>(616) 538-3798</t>
  </si>
  <si>
    <t>DTS Fluid Power - Livionia</t>
  </si>
  <si>
    <t>11873 Belden Court</t>
  </si>
  <si>
    <t>Livionia,MI 48150</t>
  </si>
  <si>
    <t>(313) 513-7400</t>
  </si>
  <si>
    <t>(313) 513-7810</t>
  </si>
  <si>
    <t>DTS Fluid Power Inc - Delta</t>
  </si>
  <si>
    <t>1820 1600 Road</t>
  </si>
  <si>
    <t>Delta,CO 81416</t>
  </si>
  <si>
    <t>(970) 323-5642</t>
  </si>
  <si>
    <t>(970) 323-5643</t>
  </si>
  <si>
    <t>Dudley Lumber Co. - Salem</t>
  </si>
  <si>
    <t>Salem,AL 36874</t>
  </si>
  <si>
    <t>Dugree Trucking - Kingsford</t>
  </si>
  <si>
    <t>Kingsford,MI 49802</t>
  </si>
  <si>
    <t>Duke Hospital North - Durham</t>
  </si>
  <si>
    <t>Durham,NC 27710</t>
  </si>
  <si>
    <t>Du-Mont Co - Mackinaw</t>
  </si>
  <si>
    <t>Mackinaw,IL 61755</t>
  </si>
  <si>
    <t>Dunaway, Inc. - Canfield</t>
  </si>
  <si>
    <t>Canfield,OH 44406</t>
  </si>
  <si>
    <t>Dunbarton Quarry - Fremont</t>
  </si>
  <si>
    <t>Fremont,CA 94537</t>
  </si>
  <si>
    <t>Dunham Price - Westlake</t>
  </si>
  <si>
    <t>Dunn Construction Company</t>
  </si>
  <si>
    <t>2201 Pinson Valley Pkwy.</t>
  </si>
  <si>
    <t>Tarrant, AL 35217</t>
  </si>
  <si>
    <t>Dunn Sales - Anaheim</t>
  </si>
  <si>
    <t>Duplin Hydraulics - Rose Hill</t>
  </si>
  <si>
    <t>1112 West Charity Road</t>
  </si>
  <si>
    <t>Rose Hill,NC 28458</t>
  </si>
  <si>
    <t>(910) 289-2011</t>
  </si>
  <si>
    <t>(910) 289-7221</t>
  </si>
  <si>
    <t>Dupont - Richmond</t>
  </si>
  <si>
    <t>Richmond,VA 23234</t>
  </si>
  <si>
    <t>Dupont Beaumont Work - Beaumont</t>
  </si>
  <si>
    <t>Dupont-Bayport - Pasadena</t>
  </si>
  <si>
    <t>Pasadena,TX 77507</t>
  </si>
  <si>
    <t>Dupont-Orange Sabine - Orange</t>
  </si>
  <si>
    <t>Dupps Company - Germantown</t>
  </si>
  <si>
    <t>Germantown,OH 45327</t>
  </si>
  <si>
    <t>Dura Metal - Tualatin</t>
  </si>
  <si>
    <t>Duracell Usa - La Grange</t>
  </si>
  <si>
    <t>Duraflake - Albany</t>
  </si>
  <si>
    <t>New London,NH 03257</t>
  </si>
  <si>
    <t>Dusan Equipment Corp - Henderson</t>
  </si>
  <si>
    <t>Henderson,NV 89014</t>
  </si>
  <si>
    <t>Dutch Oven Bakery</t>
  </si>
  <si>
    <t>1205 Evergreen Road</t>
  </si>
  <si>
    <t>Falkville,AL 35622</t>
  </si>
  <si>
    <t>256-462-3988</t>
  </si>
  <si>
    <t>Dutch Quality House - Decatur</t>
  </si>
  <si>
    <t>DXP ENTERPRISES, INC. - DES MOINES</t>
  </si>
  <si>
    <t>2050 DELAWARE AVE.</t>
  </si>
  <si>
    <t>DES MOINES, IA 50317</t>
  </si>
  <si>
    <t>515-265-9811</t>
  </si>
  <si>
    <t>515-262-5765</t>
  </si>
  <si>
    <t>DXP ENTERPRISES, INC. BILL TO</t>
  </si>
  <si>
    <t>PO BOX 1697</t>
  </si>
  <si>
    <t>HOUSTON, TX 77251</t>
  </si>
  <si>
    <t>Dyna Cast Corp - New Braunfels</t>
  </si>
  <si>
    <t>Dynacast - Spartanburg</t>
  </si>
  <si>
    <t>Dynacast Inc. - Lake Center</t>
  </si>
  <si>
    <t>Lake Center,CA 92630</t>
  </si>
  <si>
    <t>Dynacon Inc. - Bryan</t>
  </si>
  <si>
    <t>831 Ind Blvd.</t>
  </si>
  <si>
    <t>Bryan,TX 77803</t>
  </si>
  <si>
    <t>(979) 823-2690</t>
  </si>
  <si>
    <t>Dynamex Corporation - Carson</t>
  </si>
  <si>
    <t>Carson,CA 90746</t>
  </si>
  <si>
    <t>Dynamic Airdraulics - Visalia</t>
  </si>
  <si>
    <t>Visalia,CA 93291</t>
  </si>
  <si>
    <t>Dynamic Technolgy - Louisville</t>
  </si>
  <si>
    <t>4018 Bishop Lane</t>
  </si>
  <si>
    <t>Louisville,KY 40218</t>
  </si>
  <si>
    <t>(502) 968-3603</t>
  </si>
  <si>
    <t>502)964-1504</t>
  </si>
  <si>
    <t>Dynamic Technology - Dayton</t>
  </si>
  <si>
    <t>2608 Nordic Road</t>
  </si>
  <si>
    <t>Dayton,OH 45141</t>
  </si>
  <si>
    <t>Dynamic Technology - Lexington</t>
  </si>
  <si>
    <t>2416-A Over Drive</t>
  </si>
  <si>
    <t>Lexington,KY 40510</t>
  </si>
  <si>
    <t>(606) 281-0045</t>
  </si>
  <si>
    <t>: (606)255-9701</t>
  </si>
  <si>
    <t>Dynamic Technology Inc - Cincinnati</t>
  </si>
  <si>
    <t>2323 Crowne Point Drive</t>
  </si>
  <si>
    <t>Cincinnati,OH 45241</t>
  </si>
  <si>
    <t>(513) 793-4990</t>
  </si>
  <si>
    <t>St. James,MN 56081</t>
  </si>
  <si>
    <t>Dyna-Power Engineers Inc - Blue Island</t>
  </si>
  <si>
    <t>12809 South Homan Avenue</t>
  </si>
  <si>
    <t>Dynatech - Elk Grove Village</t>
  </si>
  <si>
    <t>1320 Stylemaster Dr.</t>
  </si>
  <si>
    <t>Union,MO  63084</t>
  </si>
  <si>
    <t>636-583-8818</t>
  </si>
  <si>
    <t>636-583-8835</t>
  </si>
  <si>
    <t>E H Wachs - Wheeling</t>
  </si>
  <si>
    <t xml:space="preserve">Wheeling,IL </t>
  </si>
  <si>
    <t>E&amp;E Hydraulic - Union</t>
  </si>
  <si>
    <t>Highway A</t>
  </si>
  <si>
    <t>Union,MO 63084</t>
  </si>
  <si>
    <t>(636) 583-8818</t>
  </si>
  <si>
    <t>(636) 583-8835</t>
  </si>
  <si>
    <t>Ship all Orders UPS Ground Collect Acct. #38Y0V0</t>
  </si>
  <si>
    <t>E&amp;S Hydraulic Repair Services - Memphis</t>
  </si>
  <si>
    <t>7087 Texel Cove</t>
  </si>
  <si>
    <t>Memphis,TN 38133</t>
  </si>
  <si>
    <t>(901) 381-4226</t>
  </si>
  <si>
    <t>Swords Creek,VA 24649</t>
  </si>
  <si>
    <t>E. I. Dupont De Nemo - Richmond</t>
  </si>
  <si>
    <t>Cincinnati,OH 45225</t>
  </si>
  <si>
    <t>E. Weit Machinery Co - Hillside</t>
  </si>
  <si>
    <t>Hillside,NJ 07205</t>
  </si>
  <si>
    <t>E.A. Wood, Inc. - Oscode</t>
  </si>
  <si>
    <t>Oscode,MI 48750</t>
  </si>
  <si>
    <t>E.D. Etnyre - Oregon</t>
  </si>
  <si>
    <t>1333 South Daysville Road</t>
  </si>
  <si>
    <t>Oregon,IL 61061</t>
  </si>
  <si>
    <t>(815) 732-2116</t>
  </si>
  <si>
    <t>(815) 732-4277</t>
  </si>
  <si>
    <t>E.I. Du Pont - Clinton</t>
  </si>
  <si>
    <t>E.I. Dupont - Chattanooga</t>
  </si>
  <si>
    <t>E.I. Dupont - Leland</t>
  </si>
  <si>
    <t>Leland,NC 28451</t>
  </si>
  <si>
    <t>E.I. Dupont - Waynesboro</t>
  </si>
  <si>
    <t>152 H Blades Lane</t>
  </si>
  <si>
    <t>Glen Burnie, MD 21060</t>
  </si>
  <si>
    <t>410-760-3344</t>
  </si>
  <si>
    <t>FPC Customer</t>
  </si>
  <si>
    <t>953 East 12</t>
  </si>
  <si>
    <t>Erie, PA, 16503</t>
  </si>
  <si>
    <t>814-454-1581</t>
  </si>
  <si>
    <t>814-454-7913</t>
  </si>
  <si>
    <t>E.P. Henry Corp - Vineland</t>
  </si>
  <si>
    <t>Vineland,NJ 08360</t>
  </si>
  <si>
    <t>E.P. Henry Corp - Woodburg</t>
  </si>
  <si>
    <t>Woodburg,NJ 08096</t>
  </si>
  <si>
    <t>E.S.I. Power Hydraulics - Gurnee</t>
  </si>
  <si>
    <t>101 Ambrogio Drive Unit I</t>
  </si>
  <si>
    <t>Gurnee,IL 60031</t>
  </si>
  <si>
    <t>(847) 662-0710</t>
  </si>
  <si>
    <t>(847) 662-0883</t>
  </si>
  <si>
    <t>E.Z. Pipeline Padding - Green River</t>
  </si>
  <si>
    <t>Eagle Bend Manufacturing</t>
  </si>
  <si>
    <t>1000 J.D. Yarnell Ind Pkwy</t>
  </si>
  <si>
    <t>Clinton,TN 37716</t>
  </si>
  <si>
    <t>Eagle Controls - Tulsa</t>
  </si>
  <si>
    <t>5700 South 107Th East Ave</t>
  </si>
  <si>
    <t>Tulsa,OK 74146</t>
  </si>
  <si>
    <t>Eagle Engineering - New Richmond</t>
  </si>
  <si>
    <t>555 Saint Croix Ave</t>
  </si>
  <si>
    <t>New Richmond,WI 54017</t>
  </si>
  <si>
    <t>(715) 246-5961</t>
  </si>
  <si>
    <t>Eagle Equipment Corp - Westerville</t>
  </si>
  <si>
    <t>Westerville,OH 43081</t>
  </si>
  <si>
    <t>Eagle Fluid Power Inc</t>
  </si>
  <si>
    <t>11 SW Industrial Drive</t>
  </si>
  <si>
    <t>Lee's Summit,MO 64081</t>
  </si>
  <si>
    <t>816-554-9200</t>
  </si>
  <si>
    <t>816-554-9222</t>
  </si>
  <si>
    <t>Eagle Group Ltd - Greenville</t>
  </si>
  <si>
    <t>8384 Peck Rd</t>
  </si>
  <si>
    <t>Greenville,MI 48838</t>
  </si>
  <si>
    <t>(616) 754-7777</t>
  </si>
  <si>
    <t>Eagle Hydraulics - Auburn</t>
  </si>
  <si>
    <t>Eagle Hydraulics Inc - Nunica</t>
  </si>
  <si>
    <t>Nunica,MI 49448</t>
  </si>
  <si>
    <t>Eagle Thermo Plastic - Hodgenville</t>
  </si>
  <si>
    <t>Hodgenville,KY 427</t>
  </si>
  <si>
    <t>Eagle-Cordell Concre - Eagle Lake</t>
  </si>
  <si>
    <t>Eagle Lake,TX 77434</t>
  </si>
  <si>
    <t>Eagle-Picher Automot - Kalkaska</t>
  </si>
  <si>
    <t>Kalkaska,MI 49646</t>
  </si>
  <si>
    <t>Easco Aluminum - Burlington</t>
  </si>
  <si>
    <t>Burlington,NC 27215</t>
  </si>
  <si>
    <t>East Alabama Lumber - Lafayette</t>
  </si>
  <si>
    <t>910  9th Avenue SE</t>
  </si>
  <si>
    <t>Lafayette,AL 36862</t>
  </si>
  <si>
    <t>334-864-7120</t>
  </si>
  <si>
    <t>334-864-0346</t>
  </si>
  <si>
    <t>East Bay Machine - Eureka</t>
  </si>
  <si>
    <t>Eureka,CA 95501</t>
  </si>
  <si>
    <t>East Brainard Lumber - Chatanooga</t>
  </si>
  <si>
    <t>Chatanooga,TN 37421</t>
  </si>
  <si>
    <t>East Chicago Machine - Crown Point</t>
  </si>
  <si>
    <t xml:space="preserve">Crown Point,IN </t>
  </si>
  <si>
    <t>East Jordan Plastics - East Jordan</t>
  </si>
  <si>
    <t>East Jordan,MI 49727</t>
  </si>
  <si>
    <t>East Penn Mfg. Co., - Lyon Station</t>
  </si>
  <si>
    <t>Lyon Station,PA 19536</t>
  </si>
  <si>
    <t>Eastern Butcher Bloc - Providence</t>
  </si>
  <si>
    <t>Providence,RI 02904</t>
  </si>
  <si>
    <t>600 S Washington Street</t>
  </si>
  <si>
    <t>Rocky Mount,NC 27801</t>
  </si>
  <si>
    <t>(800) 237-8832</t>
  </si>
  <si>
    <t>(919) 985-2184</t>
  </si>
  <si>
    <t>Eastern Shipbuilding - Panama City</t>
  </si>
  <si>
    <t>Eastern Wire Product - Providence</t>
  </si>
  <si>
    <t>Providence,RI 02909</t>
  </si>
  <si>
    <t>Eastham Forge - Beaumont</t>
  </si>
  <si>
    <t>Eastman Kodak Co - Rochester</t>
  </si>
  <si>
    <t>Rochester,NY 14652</t>
  </si>
  <si>
    <t>Easton Sports - Van Nuys</t>
  </si>
  <si>
    <t>Van Nuys,CA 91406</t>
  </si>
  <si>
    <t>Eaton Corporation</t>
  </si>
  <si>
    <t>8701 W. Harrison</t>
  </si>
  <si>
    <t>Shawnee,OK 74804</t>
  </si>
  <si>
    <t>Eaton Corporation- Southfield</t>
  </si>
  <si>
    <t>26201 Northwestern Highway</t>
  </si>
  <si>
    <t>Southfield, MI 48076</t>
  </si>
  <si>
    <t>Eaton Leonard Corp. - Carlsbad</t>
  </si>
  <si>
    <t>Carlsbad,CA 92009</t>
  </si>
  <si>
    <t>Eaton-Inoac</t>
  </si>
  <si>
    <t>132 Industrial Park Cr</t>
  </si>
  <si>
    <t>Livingston, TN 38570</t>
  </si>
  <si>
    <t>10 Adams Street</t>
  </si>
  <si>
    <t>Lynchburg, VA 24504</t>
  </si>
  <si>
    <t>Ecc International - Sylacauga</t>
  </si>
  <si>
    <t>Sylacauga,AL 35150</t>
  </si>
  <si>
    <t>Ecklund Ind - Eugene</t>
  </si>
  <si>
    <t>Ecm Motor Co - Elkhorn</t>
  </si>
  <si>
    <t>Econocraft Worldwide - Bronx</t>
  </si>
  <si>
    <t>Bronx,NY 10454</t>
  </si>
  <si>
    <t>Economy Block - St. Albans</t>
  </si>
  <si>
    <t>St. Albans,WV 25177</t>
  </si>
  <si>
    <t>ECOWATER</t>
  </si>
  <si>
    <t>17471 HWY. 15 N</t>
  </si>
  <si>
    <t>RIPLEY, MS 38663</t>
  </si>
  <si>
    <t>662-837-5500</t>
  </si>
  <si>
    <t>Edco - Mt. Vernon</t>
  </si>
  <si>
    <t>Mt. Vernon,WA 98273</t>
  </si>
  <si>
    <t>Edelbrock Corp. - Torance</t>
  </si>
  <si>
    <t>Torance,CA 90503</t>
  </si>
  <si>
    <t>Ederer Inc. - Seattle</t>
  </si>
  <si>
    <t>Seattle,WA 98134</t>
  </si>
  <si>
    <t>EDGEMIN AUTOMATION</t>
  </si>
  <si>
    <t>11818 James St.</t>
  </si>
  <si>
    <t>Holland ,MI 49424</t>
  </si>
  <si>
    <t>Edmac Compressor - Greenville</t>
  </si>
  <si>
    <t>Edmeyer, Inc. - West St, Paul</t>
  </si>
  <si>
    <t>1760 Kivingston Avenue</t>
  </si>
  <si>
    <t>West St, Paul,MN 55118</t>
  </si>
  <si>
    <t>Edmiston Hydraulic Sawmill Equipment - Boomer</t>
  </si>
  <si>
    <t>8540 West NC Hwy 268</t>
  </si>
  <si>
    <t>Boomer,NC 28606</t>
  </si>
  <si>
    <t>(336) 921-2304</t>
  </si>
  <si>
    <t>(336) 921-3424</t>
  </si>
  <si>
    <t>Edstrom Ind I - Waterford</t>
  </si>
  <si>
    <t>Waterford,WI 53185</t>
  </si>
  <si>
    <t>Edwards Wood Product - Marshville</t>
  </si>
  <si>
    <t>Marshville,NC 28103</t>
  </si>
  <si>
    <t>Eee Zzz Way Drain Co - St Augustine</t>
  </si>
  <si>
    <t>St Augustine,FL 3208</t>
  </si>
  <si>
    <t>Independence,OH 441</t>
  </si>
  <si>
    <t>EFP - Decatur</t>
  </si>
  <si>
    <t>1102 Brooks Street</t>
  </si>
  <si>
    <t>Efp Corp. - Elkhart</t>
  </si>
  <si>
    <t>Tooele,UT 84074</t>
  </si>
  <si>
    <t>Egemin Automation</t>
  </si>
  <si>
    <t>Holland, MI 49424</t>
  </si>
  <si>
    <t>Ei Dupont - Moncks Corner</t>
  </si>
  <si>
    <t>Moncks Corner,SC 2946</t>
  </si>
  <si>
    <t>EI Dupont Cape Fear</t>
  </si>
  <si>
    <t>3500 Daniels NE</t>
  </si>
  <si>
    <t>Leland, NC. 28451</t>
  </si>
  <si>
    <t>Lexington,NE 68850</t>
  </si>
  <si>
    <t>El Paso Industrial S - El Paso</t>
  </si>
  <si>
    <t>El Paso,TX 79901</t>
  </si>
  <si>
    <t>El Toro Exporter - El Centro</t>
  </si>
  <si>
    <t>El Centro,CA 92243</t>
  </si>
  <si>
    <t>El Yunque Engineering - Jacksonville</t>
  </si>
  <si>
    <t>Jacksonville,FL 32206</t>
  </si>
  <si>
    <t>Elatech Technology C - Willmington</t>
  </si>
  <si>
    <t>Willmington,MA 01887</t>
  </si>
  <si>
    <t>Elect Air Tool - Ontario</t>
  </si>
  <si>
    <t>Ontario,CA 91760</t>
  </si>
  <si>
    <t>Electra Products Co. - Telford</t>
  </si>
  <si>
    <t>Telford,PA 18969</t>
  </si>
  <si>
    <t>Electric Motor Servi - Westfield</t>
  </si>
  <si>
    <t>Westfield,MA 01085</t>
  </si>
  <si>
    <t>Electric Steel Casting - Indianapolis</t>
  </si>
  <si>
    <t>Indianapolis,IN 46219</t>
  </si>
  <si>
    <t>Electrical Mech. Tec - Cleveland</t>
  </si>
  <si>
    <t>Cleveland,TN 37312</t>
  </si>
  <si>
    <t>Electro Hydraulic Automation - Cedar Rapids</t>
  </si>
  <si>
    <t>1620 Blairs Ferry Road Northeast</t>
  </si>
  <si>
    <t>(800) 342-1699</t>
  </si>
  <si>
    <t>(319) 395-0200</t>
  </si>
  <si>
    <t>Electro Impact, Inc. - Mukilteo</t>
  </si>
  <si>
    <t>Mukilteo,WA 98275</t>
  </si>
  <si>
    <t>Electro Mechanical Supply - Florence</t>
  </si>
  <si>
    <t>Electro Motion Supply - Eldorado</t>
  </si>
  <si>
    <t>Eldorado,AR 71731</t>
  </si>
  <si>
    <t>Electro Optical Indu - Santa Barbara</t>
  </si>
  <si>
    <t>Santa Barbara,CA 931</t>
  </si>
  <si>
    <t>Electro Tech - Hammond</t>
  </si>
  <si>
    <t>Electrolux Home Pro</t>
  </si>
  <si>
    <t>4850 W Vernon Ave</t>
  </si>
  <si>
    <t>Kinston, NC 28504</t>
  </si>
  <si>
    <t>Motion Greenville Customer</t>
  </si>
  <si>
    <t>Electron Corp - Littleton</t>
  </si>
  <si>
    <t>Littleton,CO 80121</t>
  </si>
  <si>
    <t>El-Hy-Mec - Minneapolis</t>
  </si>
  <si>
    <t>Minneapolis,MN 55427</t>
  </si>
  <si>
    <t>Elixir Ind - Tuscumib</t>
  </si>
  <si>
    <t>Hwy 20 East</t>
  </si>
  <si>
    <t>Tuscumib,AL 35674</t>
  </si>
  <si>
    <t>Elizabeth-Hata Int. - Irwin</t>
  </si>
  <si>
    <t>Eljer Plumbingware - Verona</t>
  </si>
  <si>
    <t>Verona,MS 38879</t>
  </si>
  <si>
    <t>Elk River Concrete Products - Shokapee</t>
  </si>
  <si>
    <t>Shokapee,MN 55379</t>
  </si>
  <si>
    <t>Elk River Machine Co.</t>
  </si>
  <si>
    <t>828 4th St.</t>
  </si>
  <si>
    <t>Elkin Furniture Company - Elkin</t>
  </si>
  <si>
    <t>(336) 835-1711</t>
  </si>
  <si>
    <t>(336) 835-8819</t>
  </si>
  <si>
    <t>Elliot Machine Corp - Baltimore</t>
  </si>
  <si>
    <t>Baltimore,MD 21230</t>
  </si>
  <si>
    <t>Elliots Sawmill</t>
  </si>
  <si>
    <t>Hwy 321 South</t>
  </si>
  <si>
    <t>Estill, SC, 29918</t>
  </si>
  <si>
    <t>Motion Ind - Savannah, GA Customer</t>
  </si>
  <si>
    <t>Elliott Saw Milling - Estill</t>
  </si>
  <si>
    <t>Estill,SC 29918</t>
  </si>
  <si>
    <t>Elliott's Precision - Flintstone</t>
  </si>
  <si>
    <t>Flintstone,GA 30725</t>
  </si>
  <si>
    <t>Ellwood Texas Forge - Houston</t>
  </si>
  <si>
    <t>Houston,TX 77045</t>
  </si>
  <si>
    <t>195 West Ryan Road</t>
  </si>
  <si>
    <t>Embers Charcoal - Conway</t>
  </si>
  <si>
    <t>Conway,SC 29526</t>
  </si>
  <si>
    <t>Emco Ltd - Campbell - Campbell River</t>
  </si>
  <si>
    <t>Campbell River,BC V9</t>
  </si>
  <si>
    <t>Emerald Forest Produ - Eugene</t>
  </si>
  <si>
    <t>Emerald Steel Fabric - Eugene</t>
  </si>
  <si>
    <t>Emerson</t>
  </si>
  <si>
    <t>162 Valley Park Rd</t>
  </si>
  <si>
    <t>Emmi Corp - Somerville</t>
  </si>
  <si>
    <t>Somerville,NJ 08876</t>
  </si>
  <si>
    <t>Emo Transport - Portland</t>
  </si>
  <si>
    <t>Portland,OR 97218</t>
  </si>
  <si>
    <t>Empire Die Cast - Cleveland</t>
  </si>
  <si>
    <t>Cleveland,OH 44128</t>
  </si>
  <si>
    <t>Empire Fluid Power - Colorado Springs</t>
  </si>
  <si>
    <t>3471 Astrozon Court</t>
  </si>
  <si>
    <t>Colorado Springs,CO 80910</t>
  </si>
  <si>
    <t>(719) 392-1052</t>
  </si>
  <si>
    <t>(719) 392-0962</t>
  </si>
  <si>
    <t>Empire Iron Warehous - Palmer</t>
  </si>
  <si>
    <t>Palmer,MI 49871</t>
  </si>
  <si>
    <t>Empire Level Mfg Cor - Milwaukee</t>
  </si>
  <si>
    <t>Milwaukee,WI 53226</t>
  </si>
  <si>
    <t>Empire Lift - Meza</t>
  </si>
  <si>
    <t>Meza,AZ 85202</t>
  </si>
  <si>
    <t>Empire Lumber/Dba Ka - Kamiah</t>
  </si>
  <si>
    <t>Kamiah,ID 83536</t>
  </si>
  <si>
    <t>Empire Machine - Hampton</t>
  </si>
  <si>
    <t>Norfolk,VA 23502</t>
  </si>
  <si>
    <t>Empire Machinery - Mesa</t>
  </si>
  <si>
    <t>Mesa,AZ 85210</t>
  </si>
  <si>
    <t>Hampton,VA 23670</t>
  </si>
  <si>
    <t>Endurance Eqipment, LLC</t>
  </si>
  <si>
    <t>251-957-2113</t>
  </si>
  <si>
    <t>251-957-2119</t>
  </si>
  <si>
    <t>Energy Controls, Inc - Fletcher</t>
  </si>
  <si>
    <t>5 Rutledge Circle</t>
  </si>
  <si>
    <t>(704) 684-2313</t>
  </si>
  <si>
    <t>(704) 684-2470</t>
  </si>
  <si>
    <t>Enersys, Inc.</t>
  </si>
  <si>
    <t>617 N. Ridgeview Drive</t>
  </si>
  <si>
    <t>Warrenburg, MO 64093</t>
  </si>
  <si>
    <t>Enertech - Brea</t>
  </si>
  <si>
    <t>Brea,CA 92621</t>
  </si>
  <si>
    <t>Engel Ind - St Louis</t>
  </si>
  <si>
    <t>St Louis,MO 63111</t>
  </si>
  <si>
    <t>Engelhard Corporation</t>
  </si>
  <si>
    <t>1444 Dedrick Road</t>
  </si>
  <si>
    <t>McIntyre,GA 31054</t>
  </si>
  <si>
    <t>Engine Monitor,Inc. - Harahan</t>
  </si>
  <si>
    <t>170 Hickory Ave</t>
  </si>
  <si>
    <t>Harahan,LA 70123</t>
  </si>
  <si>
    <t>(504) 737-3172</t>
  </si>
  <si>
    <t>Engineered Sales - Maryland Heights</t>
  </si>
  <si>
    <t>18 Progress Parkway</t>
  </si>
  <si>
    <t>Maryland Heights,MO 63043</t>
  </si>
  <si>
    <t>(314) 878-4500</t>
  </si>
  <si>
    <t>(314) 878-7022</t>
  </si>
  <si>
    <t>Engineered Sales - N. Kansas City</t>
  </si>
  <si>
    <t>1824 Linn Street</t>
  </si>
  <si>
    <t>N. Kansas City,MO 64116</t>
  </si>
  <si>
    <t>(816) 421-1240</t>
  </si>
  <si>
    <t>(816) 421-4153</t>
  </si>
  <si>
    <t>Engineering Machining FAB</t>
  </si>
  <si>
    <t>1018  13th Avenue No</t>
  </si>
  <si>
    <t>Sauk Rapids,MN 56379</t>
  </si>
  <si>
    <t>Engineering Solution - Butler</t>
  </si>
  <si>
    <t>Butler,WI 53007</t>
  </si>
  <si>
    <t>Engineering Technology - Salt Lake City</t>
  </si>
  <si>
    <t>Entergy - Russellville</t>
  </si>
  <si>
    <t>Entergy Corp. - Killona</t>
  </si>
  <si>
    <t>Killona,LA 70066</t>
  </si>
  <si>
    <t>Entergy Corp-Nelson - Westlake</t>
  </si>
  <si>
    <t>Enterprise Lumber - Arlington</t>
  </si>
  <si>
    <t>Arlington,WA 98233</t>
  </si>
  <si>
    <t>Epic Inc - Lake In The Hills</t>
  </si>
  <si>
    <t xml:space="preserve">Lake In The Hills,IL </t>
  </si>
  <si>
    <t>Epson Portland, Inc - Hillsborough</t>
  </si>
  <si>
    <t>Hillsborough,OR 97124</t>
  </si>
  <si>
    <t>Epw, Inc. - Elkhart</t>
  </si>
  <si>
    <t>Elkhart,IN 46517</t>
  </si>
  <si>
    <t>E-Quip Manufacturing - Frankfort</t>
  </si>
  <si>
    <t>Frankfort,IL 60423</t>
  </si>
  <si>
    <t>Equipment For Indust - Miami</t>
  </si>
  <si>
    <t>Miami,FL 33155</t>
  </si>
  <si>
    <t>Er Lewin Inc - Walpole</t>
  </si>
  <si>
    <t>Walpole,MA 02081</t>
  </si>
  <si>
    <t xml:space="preserve">ERB EQUIPMENT </t>
  </si>
  <si>
    <t>1421 SOUTH WEST END BLVD</t>
  </si>
  <si>
    <t>CAPE GIRARDEAU, MO 63703</t>
  </si>
  <si>
    <t>KNIGHT HAWK SUPPLY'S CUSTOMER</t>
  </si>
  <si>
    <t>Erico, Inc. - Aberdeen</t>
  </si>
  <si>
    <t>Aberdeen,NC 28315</t>
  </si>
  <si>
    <t>New Windsor,IL 61465</t>
  </si>
  <si>
    <t>Erie Bearings Compan - Hazelton</t>
  </si>
  <si>
    <t>Erie Mill and Press Co. (EMPCO)</t>
  </si>
  <si>
    <t>953 East 12th Street</t>
  </si>
  <si>
    <t>Erie, PA 16503-1441</t>
  </si>
  <si>
    <t>Erlanger Tubular Wor - Catoosa</t>
  </si>
  <si>
    <t>Catoosa,OK 74015</t>
  </si>
  <si>
    <t>Ernest Maler, Inc. - Bladensburg</t>
  </si>
  <si>
    <t>Bladensburg,MD 20710</t>
  </si>
  <si>
    <t>Esco Corporation - Portland</t>
  </si>
  <si>
    <t>Portland,OR 97210</t>
  </si>
  <si>
    <t>Esco Engineering Sys - Aston</t>
  </si>
  <si>
    <t>Aston,PA 19014</t>
  </si>
  <si>
    <t>ESI Eastern Sales</t>
  </si>
  <si>
    <t>76 South Main Street</t>
  </si>
  <si>
    <t>Graysville, AL, 35073</t>
  </si>
  <si>
    <t>205-674-0170</t>
  </si>
  <si>
    <t>205-674-1439</t>
  </si>
  <si>
    <t>Essex - Columbia City</t>
  </si>
  <si>
    <t xml:space="preserve">Columbia City,IN </t>
  </si>
  <si>
    <t>Essex Group - Kendallville</t>
  </si>
  <si>
    <t>Essex Wire - Vincennes</t>
  </si>
  <si>
    <t>Vincennes,IN 47591</t>
  </si>
  <si>
    <t>Estacada Lumber - Estacada</t>
  </si>
  <si>
    <t>Estacada,OR 97023</t>
  </si>
  <si>
    <t>Estec Corp - Chester</t>
  </si>
  <si>
    <t>Chester,CT 06412</t>
  </si>
  <si>
    <t>Estes Machine Co - Mt Airy</t>
  </si>
  <si>
    <t>Mt Airy,NC 27030</t>
  </si>
  <si>
    <t>Ethan Allen Inc. - Beecher Falls</t>
  </si>
  <si>
    <t xml:space="preserve">Beecher Falls,VT </t>
  </si>
  <si>
    <t>Euclid Hydraulics Inc</t>
  </si>
  <si>
    <t>4540 Beidler Road</t>
  </si>
  <si>
    <t>440-946-0003</t>
  </si>
  <si>
    <t>440-946-0952</t>
  </si>
  <si>
    <t>Eugene Burrell Lumber - White City</t>
  </si>
  <si>
    <t>White City,OR 97503</t>
  </si>
  <si>
    <t>Eugene,OR 97401</t>
  </si>
  <si>
    <t>Eustis Wastewater Tr - Eustis</t>
  </si>
  <si>
    <t>Eustis,FL 32726</t>
  </si>
  <si>
    <t>Evans Findings Compa - East Providence</t>
  </si>
  <si>
    <t>Evans Lumber Co. - Lewiston</t>
  </si>
  <si>
    <t>Lewiston,NC 27849</t>
  </si>
  <si>
    <t>Evans Lumber Company - Waverly</t>
  </si>
  <si>
    <t>Waverly,VA 23890</t>
  </si>
  <si>
    <t>Everburn - Lexington</t>
  </si>
  <si>
    <t>Lexington,KY 40511</t>
  </si>
  <si>
    <t>Everest Valve Compan - Houston</t>
  </si>
  <si>
    <t>Houston,TX 77229</t>
  </si>
  <si>
    <t>Evergreen Forest Products - Riceboro</t>
  </si>
  <si>
    <t>Riceboro,GA 31323</t>
  </si>
  <si>
    <t>Evergreen Forests - New Meadows</t>
  </si>
  <si>
    <t>New Meadows,ID 83654</t>
  </si>
  <si>
    <t>Evergreen Juices</t>
  </si>
  <si>
    <t>1052 Longwoods Rd RR3</t>
  </si>
  <si>
    <t>Newbury, Ontario, N0L1Z0</t>
  </si>
  <si>
    <t>Hydro Power B'ham customer drop ship</t>
  </si>
  <si>
    <t>Evergreen Packaging Equipment - Cedar Rapids</t>
  </si>
  <si>
    <t>2400 6Th Street Sw
Po Box 3000</t>
  </si>
  <si>
    <t>(319) 399-3200</t>
  </si>
  <si>
    <t>(319) 399-3539</t>
  </si>
  <si>
    <t>Evraz-Rocky Mountain Steel Mill</t>
  </si>
  <si>
    <t>2100 S. Freeway</t>
  </si>
  <si>
    <t>Pueblo, CO 81004</t>
  </si>
  <si>
    <t>Ewell Ind, Inc - Largo</t>
  </si>
  <si>
    <t>Largo,FL 33771</t>
  </si>
  <si>
    <t>Exact Stroke Inc - Warminster</t>
  </si>
  <si>
    <t>Warminster,PA 18974</t>
  </si>
  <si>
    <t>Exact Tool Company - Wheeling</t>
  </si>
  <si>
    <t>Excel Corp. - Friona</t>
  </si>
  <si>
    <t>Friona,TX 79035</t>
  </si>
  <si>
    <t>Greenock,PA 15047</t>
  </si>
  <si>
    <t>Excel Tool - Seymour</t>
  </si>
  <si>
    <t>Exco Engineering Co. - Buffalo</t>
  </si>
  <si>
    <t>Buffalo,NY 14206</t>
  </si>
  <si>
    <t>Exide Corp. - Bristol</t>
  </si>
  <si>
    <t>Exide Corporation - Corydon</t>
  </si>
  <si>
    <t>Corydon,IN 47112</t>
  </si>
  <si>
    <t>EXIDE TECHNOLOGY CANON HOLLOW BRANCH</t>
  </si>
  <si>
    <t>25102 HOLT 250</t>
  </si>
  <si>
    <t>FOREST CITY, MO 64451</t>
  </si>
  <si>
    <t>Exon - Baytown - Baytown</t>
  </si>
  <si>
    <t>Baytown,TX 77520</t>
  </si>
  <si>
    <t>Expert Hydraulics - Fort Lauderdale</t>
  </si>
  <si>
    <t>2950 Northwest 17th Terrace</t>
  </si>
  <si>
    <t>Fort Lauderdale,FL 33311</t>
  </si>
  <si>
    <t>(954) 486-2944</t>
  </si>
  <si>
    <t>(954) 486-1859</t>
  </si>
  <si>
    <t>Exterior Wood Products - Washougal</t>
  </si>
  <si>
    <t>Washougal,WA 98671</t>
  </si>
  <si>
    <t>Extrusion Dies Inc - Chippewa</t>
  </si>
  <si>
    <t>Chippewa,WI 54729</t>
  </si>
  <si>
    <t>Extrusion Inc. - Fort Scott</t>
  </si>
  <si>
    <t>Fort Scott,KS 66701</t>
  </si>
  <si>
    <t>Exxon Company Usa - Baton Rouge</t>
  </si>
  <si>
    <t>Ez Pipeline Padding - Odessa</t>
  </si>
  <si>
    <t>Odessa,TX 79766</t>
  </si>
  <si>
    <t>Camp Hill,PA 17011</t>
  </si>
  <si>
    <t>F L G, LLC</t>
  </si>
  <si>
    <t>13855 Court Street</t>
  </si>
  <si>
    <t>Moulton, AL 35650</t>
  </si>
  <si>
    <t>974-4639</t>
  </si>
  <si>
    <t>F.A.S.T. Warehouse - Winter Park</t>
  </si>
  <si>
    <t>Winter Park,FL 327</t>
  </si>
  <si>
    <t>F.B. Wright - Dearborn</t>
  </si>
  <si>
    <t>9999 Mercier</t>
  </si>
  <si>
    <t>Dearborn,MI 48121</t>
  </si>
  <si>
    <t>(313) 843-8250</t>
  </si>
  <si>
    <t>(313) 843-8450</t>
  </si>
  <si>
    <t>F.B. Wright Co. - Kentwood</t>
  </si>
  <si>
    <t>Kentwood,MI 49512</t>
  </si>
  <si>
    <t>F.P.C. - Greeneville</t>
  </si>
  <si>
    <t>Greeneville,SC 29607</t>
  </si>
  <si>
    <t>F.W. Webb - Lowell</t>
  </si>
  <si>
    <t>Lowell,MA 01851</t>
  </si>
  <si>
    <t>F/V Clipper Surprise - Dutch Harbor</t>
  </si>
  <si>
    <t>F/V West Ling - Ketchikan</t>
  </si>
  <si>
    <t>Fabco - Albertville</t>
  </si>
  <si>
    <t>PO Box 385_x000D_
1009 Portwood Drive</t>
  </si>
  <si>
    <t>(256) 878-7911</t>
  </si>
  <si>
    <t>(256) 878-7879</t>
  </si>
  <si>
    <t>Fabtek Inc - Menominee</t>
  </si>
  <si>
    <t>Menominee,MI 49858</t>
  </si>
  <si>
    <t>Fac - Portland</t>
  </si>
  <si>
    <t>Facemeyer Lumber - Middleport</t>
  </si>
  <si>
    <t>Middleport,OH 45760</t>
  </si>
  <si>
    <t>Fairbanks International - Kearney</t>
  </si>
  <si>
    <t>Fairbanks Irrigation - Wood River</t>
  </si>
  <si>
    <t>Wood River,NE 68883</t>
  </si>
  <si>
    <t>Fairfax County - Herndon</t>
  </si>
  <si>
    <t>Herndon,VA 20170</t>
  </si>
  <si>
    <t>Fairmont Supply - Chattanooga</t>
  </si>
  <si>
    <t>Fairmont Supply - Gillette</t>
  </si>
  <si>
    <t>610 Metz Drive</t>
  </si>
  <si>
    <t>Gillette,WY 82716</t>
  </si>
  <si>
    <t>Fairmont Tamper Corp - Cayce-West Columbia</t>
  </si>
  <si>
    <t>2401 Edmund Road, Box 20</t>
  </si>
  <si>
    <t>Cayce-West Columbia,SC 29171</t>
  </si>
  <si>
    <t>(803) 822-9160</t>
  </si>
  <si>
    <t>(803) 822-8710</t>
  </si>
  <si>
    <t>Fair-Rite Products, - Wallkill</t>
  </si>
  <si>
    <t>Wallkill,NY 12589</t>
  </si>
  <si>
    <t>FAIRVIEW WOOD YARD</t>
  </si>
  <si>
    <t>763 EAST MILLER ROAD</t>
  </si>
  <si>
    <t>FAIRVIEW, MI 48621</t>
  </si>
  <si>
    <t>Falcon Ind</t>
  </si>
  <si>
    <t>6353 Norwalk Road</t>
  </si>
  <si>
    <t>Falkville Wood Treating</t>
  </si>
  <si>
    <t>40384 Hwy. 31</t>
  </si>
  <si>
    <t>256-784-6284</t>
  </si>
  <si>
    <t>256-784-6287</t>
  </si>
  <si>
    <t>Fall River Foundry - Fall River</t>
  </si>
  <si>
    <t>Fall River,WI 53932</t>
  </si>
  <si>
    <t>Falling Creek Logyar - Ashland</t>
  </si>
  <si>
    <t>Ashland,VA 23005</t>
  </si>
  <si>
    <t>Falling Springs Quar - Dupo</t>
  </si>
  <si>
    <t>Dupo,IL 62239</t>
  </si>
  <si>
    <t>Fansteel Wellman Dynamics</t>
  </si>
  <si>
    <t>1746 Commerce Rd.</t>
  </si>
  <si>
    <t>Creston, IA 50801</t>
  </si>
  <si>
    <t>Fapco - Bucannon</t>
  </si>
  <si>
    <t>Bucannon,MI 49107</t>
  </si>
  <si>
    <t>Farmland Foods - Dubuque</t>
  </si>
  <si>
    <t>Farmland Foods Inc. - Albert Lea</t>
  </si>
  <si>
    <t>Albert Lea,MN 56007</t>
  </si>
  <si>
    <t>Farr Trucking</t>
  </si>
  <si>
    <t>P.O. Box 137</t>
  </si>
  <si>
    <t>Eva, AL. 35621</t>
  </si>
  <si>
    <t>Farren Equipment Co. - N Charleston</t>
  </si>
  <si>
    <t>Farwest Hydraulics - Indio</t>
  </si>
  <si>
    <t>Indio,CA 92201</t>
  </si>
  <si>
    <t>Fasco Controls Corp. - Shelby</t>
  </si>
  <si>
    <t>Shelby,NC 28150</t>
  </si>
  <si>
    <t>Fasson - Riverside</t>
  </si>
  <si>
    <t>Riverside,MO 64150</t>
  </si>
  <si>
    <t>Fastenal - Winona</t>
  </si>
  <si>
    <t xml:space="preserve">Winona,MN </t>
  </si>
  <si>
    <t>Fat Boy's Hyd. Repair - Johnson City</t>
  </si>
  <si>
    <t>216 Hopper Road</t>
  </si>
  <si>
    <t>Johnson City,TN 37604</t>
  </si>
  <si>
    <t>(423) 928-3886</t>
  </si>
  <si>
    <t>(423) 928-1156</t>
  </si>
  <si>
    <t>Faurecia Interiors Systems</t>
  </si>
  <si>
    <t>17801 East 14 Mile Road</t>
  </si>
  <si>
    <t>Fraser, MI 48026</t>
  </si>
  <si>
    <t>586-415-8967</t>
  </si>
  <si>
    <t xml:space="preserve">Faurecia Interiors Systems - Bill </t>
  </si>
  <si>
    <t>PO Box 214617</t>
  </si>
  <si>
    <t>Auburn Hills, MI 48321</t>
  </si>
  <si>
    <t>Fauver J. N. - Grand Rapids</t>
  </si>
  <si>
    <t>Fauver Service Center - Granite Falls</t>
  </si>
  <si>
    <t>Granite Falls,MN 5624</t>
  </si>
  <si>
    <t>Fca-Farmers Co-Op - Jackson</t>
  </si>
  <si>
    <t>Jackson,MN 56143</t>
  </si>
  <si>
    <t>FCS DePERE</t>
  </si>
  <si>
    <t>1700 SUBURBAN DR</t>
  </si>
  <si>
    <t>De Pere, WI 54114-1849</t>
  </si>
  <si>
    <t>Featherlite Bldg. Products - Port Neches</t>
  </si>
  <si>
    <t>Febco - Ukiah</t>
  </si>
  <si>
    <t>3080 North State Street
P O Box 724</t>
  </si>
  <si>
    <t>Ukiah,CA 95482</t>
  </si>
  <si>
    <t>Federal Block Corp. - New Windsor</t>
  </si>
  <si>
    <t>New Windsor,NY 12553</t>
  </si>
  <si>
    <t>Federal Fluid Power - Plymouth</t>
  </si>
  <si>
    <t>1145 Starkweather</t>
  </si>
  <si>
    <t>Plymouth,MI 48170</t>
  </si>
  <si>
    <t>(734) 455-1722</t>
  </si>
  <si>
    <t>(734) 455-0222</t>
  </si>
  <si>
    <t>Federal Mogul - Salisbury</t>
  </si>
  <si>
    <t>Federal Mogul Corp - Summerton</t>
  </si>
  <si>
    <t>Summerton,SC 29148</t>
  </si>
  <si>
    <t>Federal Mogul Corp. - Malden</t>
  </si>
  <si>
    <t>Malden,MO 63863</t>
  </si>
  <si>
    <t>Federal Mogul Ctrd. - Waupun</t>
  </si>
  <si>
    <t>Federal Mogul, Frict - New Castle</t>
  </si>
  <si>
    <t>New Castle,IN 47362</t>
  </si>
  <si>
    <t>FEECO Incorporated</t>
  </si>
  <si>
    <t>3913 Algoma Road</t>
  </si>
  <si>
    <t>Green Bay,WI 54301</t>
  </si>
  <si>
    <t>920-469-5100</t>
  </si>
  <si>
    <t>920-469-5110</t>
  </si>
  <si>
    <t>Fel-Pro Chemical - Commerce City</t>
  </si>
  <si>
    <t>Commerce City,CO 8002</t>
  </si>
  <si>
    <t>FEMCO INC.</t>
  </si>
  <si>
    <t>500 N  81 Bypass</t>
  </si>
  <si>
    <t>McPherson,KS 67460</t>
  </si>
  <si>
    <t>Fenwall Safety System - Marlborough</t>
  </si>
  <si>
    <t>Marlborough,MA 017</t>
  </si>
  <si>
    <t>Feralloy - Decatur, AL</t>
  </si>
  <si>
    <t>1435 Red Hat Road</t>
  </si>
  <si>
    <t>Decatur, AL,, 35601</t>
  </si>
  <si>
    <t>256-301-0500</t>
  </si>
  <si>
    <t>256-301-0525</t>
  </si>
  <si>
    <t>Ferguson Enterprises - Asheville</t>
  </si>
  <si>
    <t>Asheville,NC 28803</t>
  </si>
  <si>
    <t>Ferguson Entprises - Spring</t>
  </si>
  <si>
    <t>Spring,TX 77388</t>
  </si>
  <si>
    <t>Rocky Mount,VA 24151</t>
  </si>
  <si>
    <t>Ferm Hydraulics - Yuba City</t>
  </si>
  <si>
    <t>Yuba City,CA 95991</t>
  </si>
  <si>
    <t>Fermil National Acce - Batavia</t>
  </si>
  <si>
    <t>Batavia,IL 60510</t>
  </si>
  <si>
    <t>Ferranti Sciaky Inc. - Chicago</t>
  </si>
  <si>
    <t>FEV</t>
  </si>
  <si>
    <t>4554 Glenmeade Lane</t>
  </si>
  <si>
    <t>Auburn Hills, MI 48326</t>
  </si>
  <si>
    <t>1200 WHITE ST. SW</t>
  </si>
  <si>
    <t>ATLANTA, GA 30310</t>
  </si>
  <si>
    <t>805-630-2210</t>
  </si>
  <si>
    <t>FFM Inc - Amory</t>
  </si>
  <si>
    <t>1113 Hatley Road</t>
  </si>
  <si>
    <t>(662) 256-9665</t>
  </si>
  <si>
    <t>Fiber Glass Systems</t>
  </si>
  <si>
    <t>2501 S West St</t>
  </si>
  <si>
    <t>IBT - Wichita's Customer</t>
  </si>
  <si>
    <t>Fiber Glass Systems L.P.</t>
  </si>
  <si>
    <t>2700 West 65 St</t>
  </si>
  <si>
    <t>Little Rock, AR 72209</t>
  </si>
  <si>
    <t>Fibermark, Inc. - Brattleboro</t>
  </si>
  <si>
    <t>Brattleboro,VT 5302</t>
  </si>
  <si>
    <t>Fibervisions - Covington</t>
  </si>
  <si>
    <t>Fibervisions Inc.</t>
  </si>
  <si>
    <t>1885 Olympic Drive</t>
  </si>
  <si>
    <t>Athens, GA 30014</t>
  </si>
  <si>
    <t>770-475-1680</t>
  </si>
  <si>
    <t>770-442-5522</t>
  </si>
  <si>
    <t>Fibredyne Inc - Dover</t>
  </si>
  <si>
    <t>Fike Corp Fps - Blue Springs</t>
  </si>
  <si>
    <t>Blue Springs,MO 64015</t>
  </si>
  <si>
    <t>147 East Becher Street</t>
  </si>
  <si>
    <t>(414) 933-7000</t>
  </si>
  <si>
    <t>Prineville,OR 97754</t>
  </si>
  <si>
    <t>Filter Specialists - Michigan City</t>
  </si>
  <si>
    <t>Michigan City,IN 4636</t>
  </si>
  <si>
    <t>Filtration Systems Duriron - Angola</t>
  </si>
  <si>
    <t>9542 Hardpan Rd</t>
  </si>
  <si>
    <t>Angola,NY 14006</t>
  </si>
  <si>
    <t>(800) 937-1456</t>
  </si>
  <si>
    <t>(716) 549-3950</t>
  </si>
  <si>
    <t>518-747-2890</t>
  </si>
  <si>
    <t>518-747-3810</t>
  </si>
  <si>
    <t>Final Controls, Inc.</t>
  </si>
  <si>
    <t>65 Casey Road</t>
  </si>
  <si>
    <t>Quennsbury, NY, 12804</t>
  </si>
  <si>
    <t>Wey Valve Customer</t>
  </si>
  <si>
    <t>Finch Air Controls - Indianapolis</t>
  </si>
  <si>
    <t>Findlay Ind - Dublin</t>
  </si>
  <si>
    <t>Dublin,VA 24084</t>
  </si>
  <si>
    <t>Finkla Sons Co. - Chicago</t>
  </si>
  <si>
    <t>Fircrest Farms - Creswell</t>
  </si>
  <si>
    <t>Firestone - Sulphur</t>
  </si>
  <si>
    <t>Firestone Industrial - Noblesville</t>
  </si>
  <si>
    <t>Noblesville,IN 46060</t>
  </si>
  <si>
    <t>Firestone Synethetic - Orange</t>
  </si>
  <si>
    <t>First Coast Hydraulic Repair Inc.</t>
  </si>
  <si>
    <t>455 Roberts St.</t>
  </si>
  <si>
    <t>904-781-9064</t>
  </si>
  <si>
    <t>904-781-9041</t>
  </si>
  <si>
    <t>Fischer Services - Theodore</t>
  </si>
  <si>
    <t>Temperence,MI 48182</t>
  </si>
  <si>
    <t>766 Squirrel Hollow Drive</t>
  </si>
  <si>
    <t>Linden,TN 37096</t>
  </si>
  <si>
    <t>Fisher Plastics - Erie</t>
  </si>
  <si>
    <t>Fisher Rosemont Petr - Statesboro</t>
  </si>
  <si>
    <t>Statesboro,GA 30459</t>
  </si>
  <si>
    <t>Fitz Pak - Cranbury</t>
  </si>
  <si>
    <t>Cranbury,NJ 08512</t>
  </si>
  <si>
    <t>Fitzsimmons Hydraulics - Clarence</t>
  </si>
  <si>
    <t>Clarence,NY 14031</t>
  </si>
  <si>
    <t>Five Rivers Hydraulics - New Market</t>
  </si>
  <si>
    <t>1006 West Old Andrew Johnson # H</t>
  </si>
  <si>
    <t>New Market,TN 37820</t>
  </si>
  <si>
    <t>(865) 475-4731</t>
  </si>
  <si>
    <t>(865) 475-0904</t>
  </si>
  <si>
    <t>Fizzano Brothers Con - Malvern</t>
  </si>
  <si>
    <t>Malvern,PA 19355</t>
  </si>
  <si>
    <t>Flambeau Airmold - Weldon</t>
  </si>
  <si>
    <t>Weldon,NC 27890</t>
  </si>
  <si>
    <t>Flambeau Plastics - Baraboo</t>
  </si>
  <si>
    <t>Baraboo,WI 53913</t>
  </si>
  <si>
    <t>Flannery Machine - Mancelona</t>
  </si>
  <si>
    <t>Mancelona,MI 49659</t>
  </si>
  <si>
    <t>FLECK BEARING COMPANY</t>
  </si>
  <si>
    <t xml:space="preserve">3902 A KELLEY ST. </t>
  </si>
  <si>
    <t>SPRINGDALE, AR 72762</t>
  </si>
  <si>
    <t>479-751-2844</t>
  </si>
  <si>
    <t>Fleischer's Bagels - Macedon</t>
  </si>
  <si>
    <t>Macedon,NY 14502</t>
  </si>
  <si>
    <t>Flexcon Co Inc - Spencer</t>
  </si>
  <si>
    <t>1 Flexcon Industrial Park</t>
  </si>
  <si>
    <t>Spencer,MA 01562</t>
  </si>
  <si>
    <t>(508) 885-8200</t>
  </si>
  <si>
    <t>Flexicon Inc - Cary</t>
  </si>
  <si>
    <t>165 Chicago St</t>
  </si>
  <si>
    <t>Cary,IL 60013</t>
  </si>
  <si>
    <t>(847) 639-3530</t>
  </si>
  <si>
    <t>Flight Director, Inc.</t>
  </si>
  <si>
    <t>100 Michael Angelo Way</t>
  </si>
  <si>
    <t>Austin, TX 78728</t>
  </si>
  <si>
    <t>512-834-2000</t>
  </si>
  <si>
    <t>512-833-6997</t>
  </si>
  <si>
    <t>Flinn Dreffein - Northbrook</t>
  </si>
  <si>
    <t xml:space="preserve">Northbrook,IL </t>
  </si>
  <si>
    <t>Flint Hydraulics - Memphis</t>
  </si>
  <si>
    <t>4099 Bf Goodrich Boulevard</t>
  </si>
  <si>
    <t>(901) 794-4884</t>
  </si>
  <si>
    <t>Flippo Lumber Corp. - Doswell</t>
  </si>
  <si>
    <t>Doswell,VA 23047</t>
  </si>
  <si>
    <t>Flo Trend Systems, Inc.</t>
  </si>
  <si>
    <t>707 Lehman</t>
  </si>
  <si>
    <t>Houston, TX 77018</t>
  </si>
  <si>
    <t>1790 Corporate Drive</t>
  </si>
  <si>
    <t>Norcross, GA 30093</t>
  </si>
  <si>
    <t>(770) 925-8935</t>
  </si>
  <si>
    <t>3539 North 700 West</t>
  </si>
  <si>
    <t>Greenfield, IN 46140</t>
  </si>
  <si>
    <t>770-925-8935</t>
  </si>
  <si>
    <t>770-925-4207</t>
  </si>
  <si>
    <t>Flodyne - Hydradyne - Hanover Park</t>
  </si>
  <si>
    <t>1000 Muirfield Drive</t>
  </si>
  <si>
    <t>Hanover Park,IL 60103</t>
  </si>
  <si>
    <t>(630) 563-3600</t>
  </si>
  <si>
    <t>(630) 563-3850</t>
  </si>
  <si>
    <t>Flomatic Valve Corp - Glen Falls</t>
  </si>
  <si>
    <t>Glen Falls,NY 12801</t>
  </si>
  <si>
    <t>Flo-Products - Maryland Heights</t>
  </si>
  <si>
    <t>2305 Millpark Drive</t>
  </si>
  <si>
    <t>(314) 428-4000</t>
  </si>
  <si>
    <t>(314) 428-4097</t>
  </si>
  <si>
    <t>Flo-Products - Olathe</t>
  </si>
  <si>
    <t>14802 W. 117th Street</t>
  </si>
  <si>
    <t>Olathe,KS 66062</t>
  </si>
  <si>
    <t>(913) 829-5900</t>
  </si>
  <si>
    <t>(913) 829-0815</t>
  </si>
  <si>
    <t>Floragon Forest Products - Molalla</t>
  </si>
  <si>
    <t>Florance Hydraulics - Florance</t>
  </si>
  <si>
    <t>4400 South Irby Street</t>
  </si>
  <si>
    <t>Florance,SC 29505</t>
  </si>
  <si>
    <t>(843) 662-7536</t>
  </si>
  <si>
    <t>(843) 664-0876</t>
  </si>
  <si>
    <t>Florida Crushed Stone - Bushnell</t>
  </si>
  <si>
    <t>Bushnell,FL 33513</t>
  </si>
  <si>
    <t>Florida Express Shavings - Mill Yard</t>
  </si>
  <si>
    <t>1836 NW 21ST Street</t>
  </si>
  <si>
    <t>Florida Hydraulic Specialists Inc - Lakeland</t>
  </si>
  <si>
    <t>2827 Parkway Street #6</t>
  </si>
  <si>
    <t>Lakeland,FL 33811</t>
  </si>
  <si>
    <t>(863) 648-4935</t>
  </si>
  <si>
    <t>(863) 648-4813</t>
  </si>
  <si>
    <t>Palm Beach, FL</t>
  </si>
  <si>
    <t>561-845-7686</t>
  </si>
  <si>
    <t>561-845-0816</t>
  </si>
  <si>
    <t>Florida Power Corp - Bartow</t>
  </si>
  <si>
    <t>Bartow,FL 33810</t>
  </si>
  <si>
    <t>Riviera Beach,FL 3340</t>
  </si>
  <si>
    <t>Jacksonville,FL 32205</t>
  </si>
  <si>
    <t>Flotation Tech</t>
  </si>
  <si>
    <t>20 Morin Street</t>
  </si>
  <si>
    <t>Biddeford,ME 04005</t>
  </si>
  <si>
    <t>207-282-7749</t>
  </si>
  <si>
    <t>207-284-8098</t>
  </si>
  <si>
    <t>Flow Dynamics And Automation, Inc. - Birmingham</t>
  </si>
  <si>
    <t>1024 11th Court West</t>
  </si>
  <si>
    <t>Birmingham,AL 35204</t>
  </si>
  <si>
    <t>(205) 581-1200</t>
  </si>
  <si>
    <t>(205) 581-1222</t>
  </si>
  <si>
    <t>Flow Dynamics And Automation, Inc. - Fairhope</t>
  </si>
  <si>
    <t>19222 Fairfax Drive</t>
  </si>
  <si>
    <t>Fairhope,AL 36532</t>
  </si>
  <si>
    <t>(877) 532-3569</t>
  </si>
  <si>
    <t>(251) 929-2179</t>
  </si>
  <si>
    <t>Flow Products - Chicago</t>
  </si>
  <si>
    <t>2626 W. Addison St.</t>
  </si>
  <si>
    <t>Chicago,IL 60618</t>
  </si>
  <si>
    <t>(800) 897-1943</t>
  </si>
  <si>
    <t>(773) 528-6474</t>
  </si>
  <si>
    <t>Ship UPS Collect - Acct.# 612895 or Con-Way Transportation</t>
  </si>
  <si>
    <t>Flow Tech - Spokane</t>
  </si>
  <si>
    <t>Flowline Alaska - Fairbanks</t>
  </si>
  <si>
    <t>Fairbanks,AK 99701</t>
  </si>
  <si>
    <t>Flu-Con</t>
  </si>
  <si>
    <t>2101 NW Brickyard Road</t>
  </si>
  <si>
    <t>Topeka,KS 66618</t>
  </si>
  <si>
    <t>Fluid Air Components - Portland</t>
  </si>
  <si>
    <t>Fluid Air Tech - Cullman</t>
  </si>
  <si>
    <t xml:space="preserve">Cullman,AL </t>
  </si>
  <si>
    <t>(256) 737-1998</t>
  </si>
  <si>
    <t>Fluid Concepts Inc. - Toledo</t>
  </si>
  <si>
    <t>444 W Laskey  Suite F</t>
  </si>
  <si>
    <t>419-478-1234</t>
  </si>
  <si>
    <t>419-478-5178</t>
  </si>
  <si>
    <t>Fluid Connector - Phoenix</t>
  </si>
  <si>
    <t>Fluid Connector Products - Portland</t>
  </si>
  <si>
    <t>Fluid Control Method - Duluth</t>
  </si>
  <si>
    <t>Fluid Control Services</t>
  </si>
  <si>
    <t>849 Pickens Ind Dr., Suite 7</t>
  </si>
  <si>
    <t>Marietta,Ga 30062</t>
  </si>
  <si>
    <t>770-499-9434</t>
  </si>
  <si>
    <t>770-499-0064</t>
  </si>
  <si>
    <t>Fluid Energy Control - Commerce</t>
  </si>
  <si>
    <t>Commerce,CA 90040</t>
  </si>
  <si>
    <t>Fluid Motion Sales</t>
  </si>
  <si>
    <t>2920 Congressman Lane</t>
  </si>
  <si>
    <t>Dallas, TX 75220</t>
  </si>
  <si>
    <t>972-437-1333</t>
  </si>
  <si>
    <t>972-437-6288</t>
  </si>
  <si>
    <t>POC: Frank</t>
  </si>
  <si>
    <t>Fluid Motion, Inc. - Atkinson</t>
  </si>
  <si>
    <t>50 Meditation Lane</t>
  </si>
  <si>
    <t>Atkinson,NH 03811</t>
  </si>
  <si>
    <t>(603) 362-5609</t>
  </si>
  <si>
    <t>Fluid Power - Sumter</t>
  </si>
  <si>
    <t>1320 South Guignard Drive</t>
  </si>
  <si>
    <t>Sumter,SC 29150</t>
  </si>
  <si>
    <t>(803) 773-1825</t>
  </si>
  <si>
    <t>(803) 775-0124</t>
  </si>
  <si>
    <t>Fluid Power Engineering - Schoolcraft</t>
  </si>
  <si>
    <t>3159 Hager Road</t>
  </si>
  <si>
    <t>Schoolcraft,MI 49087</t>
  </si>
  <si>
    <t>(269) 679-2626</t>
  </si>
  <si>
    <t>(269) 679-2727</t>
  </si>
  <si>
    <t>Fluid Power Products</t>
  </si>
  <si>
    <t>302 Turnpike Road</t>
  </si>
  <si>
    <t>Southborough,MA 01772</t>
  </si>
  <si>
    <t>(508) 481-8881</t>
  </si>
  <si>
    <t>(508) 485-4346</t>
  </si>
  <si>
    <t>Fluid Power Products - Evansville</t>
  </si>
  <si>
    <t>Evansville,IN 47715</t>
  </si>
  <si>
    <t>Fluid Power Products - Lexington</t>
  </si>
  <si>
    <t>1251 Georgetown Road</t>
  </si>
  <si>
    <t>(859) 231-8882</t>
  </si>
  <si>
    <t>(859) 231-8880</t>
  </si>
  <si>
    <t>Fluid Power Products - Sarasota</t>
  </si>
  <si>
    <t>Unit A5 / 1777 Northgate Blvd.</t>
  </si>
  <si>
    <t>Sarasota,FL 34234</t>
  </si>
  <si>
    <t>(941) 360-3311</t>
  </si>
  <si>
    <t>Fluid Power Service - Morton</t>
  </si>
  <si>
    <t>Morton,WA 98356</t>
  </si>
  <si>
    <t>Fluid Power Services Inc - Leesville</t>
  </si>
  <si>
    <t>5217 Augusta Highway</t>
  </si>
  <si>
    <t>Leesville,SC 29070</t>
  </si>
  <si>
    <t>Fluid Power Systems - Foley</t>
  </si>
  <si>
    <t>805A North McKenzie St.</t>
  </si>
  <si>
    <t>(334) 970-1200</t>
  </si>
  <si>
    <t>(205) 798-3532</t>
  </si>
  <si>
    <t>Fluid Power Systems - Jackson</t>
  </si>
  <si>
    <t>P.O. Box 16552</t>
  </si>
  <si>
    <t>Jackson,MS 39236-6552</t>
  </si>
  <si>
    <t>(601) 856-5999</t>
  </si>
  <si>
    <t>133 Fouct Road</t>
  </si>
  <si>
    <t>337-234-2855</t>
  </si>
  <si>
    <t>337-234-2865</t>
  </si>
  <si>
    <t>Fluid Power Tech - Denver</t>
  </si>
  <si>
    <t>Denver,CO 80229</t>
  </si>
  <si>
    <t>Fluid Power Tech - Salt Lake City</t>
  </si>
  <si>
    <t>Fluid Power Technologist - Memphis</t>
  </si>
  <si>
    <t>3801 Watman Avenue</t>
  </si>
  <si>
    <t>(901) 365-8767</t>
  </si>
  <si>
    <t>Fluid Services - El Dorado Hills</t>
  </si>
  <si>
    <t>El Dorado Hills,CA 9</t>
  </si>
  <si>
    <t>Fluid Solutions Inc. - Evansville</t>
  </si>
  <si>
    <t>Fluid System Component-Depere</t>
  </si>
  <si>
    <t>1700 Suburban Drive</t>
  </si>
  <si>
    <t>Depere,WI 54115</t>
  </si>
  <si>
    <t xml:space="preserve">920-403-1223 </t>
  </si>
  <si>
    <t>920-337-0577</t>
  </si>
  <si>
    <t>Fluid System Component-Green Bay</t>
  </si>
  <si>
    <t>P.O. Box 11037</t>
  </si>
  <si>
    <t>Green Bay,WI 54307-1037</t>
  </si>
  <si>
    <t>920-403-1206</t>
  </si>
  <si>
    <t>Fluid System Components</t>
  </si>
  <si>
    <t>1811 Blue Ridge Trail</t>
  </si>
  <si>
    <t>Waunakee,WI 53597</t>
  </si>
  <si>
    <t>608-850-6641</t>
  </si>
  <si>
    <t>608-850-6642</t>
  </si>
  <si>
    <t>Fluid System Components Inc - New Berlin</t>
  </si>
  <si>
    <t>2315 South 170Th Street</t>
  </si>
  <si>
    <t>New Berlin,WI 53151</t>
  </si>
  <si>
    <t>(262) 827-2700</t>
  </si>
  <si>
    <t>(262) 827-2711</t>
  </si>
  <si>
    <t>7819 Conser Place PO Box 4713</t>
  </si>
  <si>
    <t>Overland Park,KS 66204</t>
  </si>
  <si>
    <t>(800) 747-2552</t>
  </si>
  <si>
    <t>(913) 642-0500</t>
  </si>
  <si>
    <t>Fluid Systems Components - Madison</t>
  </si>
  <si>
    <t xml:space="preserve">Madison,WI </t>
  </si>
  <si>
    <t>Fluid Systems Engine - Cinton Twp.</t>
  </si>
  <si>
    <t>Cinton Twp.,MI 48035</t>
  </si>
  <si>
    <t>Fluid Tech Inc - Louisville</t>
  </si>
  <si>
    <t>Louisville,KY 40213</t>
  </si>
  <si>
    <t>Fluid-Air Components - Eugene</t>
  </si>
  <si>
    <t>520 S Bertelsen Road</t>
  </si>
  <si>
    <t>Eugene,OR 97404</t>
  </si>
  <si>
    <t>(800) 628-0745</t>
  </si>
  <si>
    <t>(541) 345-8651</t>
  </si>
  <si>
    <t>Fluid-Air Components - Portland</t>
  </si>
  <si>
    <t>8430 N.E. Killingsworth</t>
  </si>
  <si>
    <t>(800) 322-3478</t>
  </si>
  <si>
    <t>(503) 972-1505</t>
  </si>
  <si>
    <t xml:space="preserve">Fluid-Tech - </t>
  </si>
  <si>
    <t>(800) 876-1616</t>
  </si>
  <si>
    <t>(704) 588-9284</t>
  </si>
  <si>
    <t>Fluidtech - Lenexa</t>
  </si>
  <si>
    <t>10940 Eicher Drive</t>
  </si>
  <si>
    <t>Lenexa,KS 66219</t>
  </si>
  <si>
    <t>(913) 492-3300</t>
  </si>
  <si>
    <t>(913) 894-4218</t>
  </si>
  <si>
    <t>Fm Group Inc. - Sloatsburg</t>
  </si>
  <si>
    <t>Sloatsburg,NY 10974</t>
  </si>
  <si>
    <t>FMEL</t>
  </si>
  <si>
    <t>5599 W. Grand River Ave</t>
  </si>
  <si>
    <t>Lansing, MI 48906</t>
  </si>
  <si>
    <t>517-321-5609</t>
  </si>
  <si>
    <t>Fmg Inc. - Golconda</t>
  </si>
  <si>
    <t>Golconda,NV 89414</t>
  </si>
  <si>
    <t>Foamex L P - Verona</t>
  </si>
  <si>
    <t>Foltz Machine - Canton</t>
  </si>
  <si>
    <t>Canton,OH 44707</t>
  </si>
  <si>
    <t>Fomo Products - Norton</t>
  </si>
  <si>
    <t>Norton,OH 44203</t>
  </si>
  <si>
    <t>Foothills Mechanical - Liberty</t>
  </si>
  <si>
    <t>Liberty,SC 29657</t>
  </si>
  <si>
    <t>Forano Eastern - Jonesboro</t>
  </si>
  <si>
    <t>Jonesboro,GA 30236</t>
  </si>
  <si>
    <t>Forano Eastern Inc - Morrow</t>
  </si>
  <si>
    <t>Morrow,GA 30260</t>
  </si>
  <si>
    <t>Force Hydraulics - Russellville</t>
  </si>
  <si>
    <t>Foreman Hydraulics - Cedar Rapids</t>
  </si>
  <si>
    <t>425 41st Ave Dr SW</t>
  </si>
  <si>
    <t>(800) 362-4099</t>
  </si>
  <si>
    <t>(319) 365-2581</t>
  </si>
  <si>
    <t>Foreproducts Corp. - El Paso</t>
  </si>
  <si>
    <t>El Paso,TX 79905</t>
  </si>
  <si>
    <t>Foresight Products - Commerce City</t>
  </si>
  <si>
    <t>Commerce City,CO 8003</t>
  </si>
  <si>
    <t>Forestex Company - Gaston</t>
  </si>
  <si>
    <t>Gaston,OR 97119</t>
  </si>
  <si>
    <t>Formax Inc - Mokena</t>
  </si>
  <si>
    <t>9150 191st Street</t>
  </si>
  <si>
    <t>(708) 479-3634</t>
  </si>
  <si>
    <t>(708) 479-9847</t>
  </si>
  <si>
    <t>Formica - Cincinnati</t>
  </si>
  <si>
    <t>Fornaciari Co. - Fresno</t>
  </si>
  <si>
    <t>Fort Apache Timber - White River</t>
  </si>
  <si>
    <t>White River,AZ 85941</t>
  </si>
  <si>
    <t>Fort James Corp - Camas</t>
  </si>
  <si>
    <t>Fort James Corp - Halsey</t>
  </si>
  <si>
    <t>Halsey,OR 97348</t>
  </si>
  <si>
    <t>Fort James Corp - Muskogee</t>
  </si>
  <si>
    <t>Muskogee,OK 74403</t>
  </si>
  <si>
    <t>Fort Lock Corp - River Grove</t>
  </si>
  <si>
    <t>River Grove,IL 6017</t>
  </si>
  <si>
    <t>Fort Recovery Ind - Fort Recovery</t>
  </si>
  <si>
    <t>Fort Recovery,OH 4584</t>
  </si>
  <si>
    <t>Fort Recovery Indust - Portland</t>
  </si>
  <si>
    <t>Portland,IN 47371</t>
  </si>
  <si>
    <t>Fortner Hydraulics</t>
  </si>
  <si>
    <t xml:space="preserve">Dahlonega,GA </t>
  </si>
  <si>
    <t>706-864-8757</t>
  </si>
  <si>
    <t>706-864-3411</t>
  </si>
  <si>
    <t>Foster Farms - Demopolis</t>
  </si>
  <si>
    <t>232 Industrial Park Drive North</t>
  </si>
  <si>
    <t>(334) 289-5082</t>
  </si>
  <si>
    <t>Foster Forbes Glass - Marion</t>
  </si>
  <si>
    <t>Fought Co Inc - Tigard</t>
  </si>
  <si>
    <t>Tigard,OR 97223</t>
  </si>
  <si>
    <t>Fougner Engineered S - Bismarck</t>
  </si>
  <si>
    <t>Bismarck,ND 58501</t>
  </si>
  <si>
    <t>Founders Furniture - Appomattox</t>
  </si>
  <si>
    <t>Appomattox,VA 24522</t>
  </si>
  <si>
    <t>Anderson,SC 29624</t>
  </si>
  <si>
    <t>Four O Fluid Power - Houston</t>
  </si>
  <si>
    <t>Four Star Meat Co. - Amite</t>
  </si>
  <si>
    <t>Amite,LA 70422</t>
  </si>
  <si>
    <t>Four-0 Fluid Power - Ft. Worth</t>
  </si>
  <si>
    <t>Ft. Worth,TX 76117</t>
  </si>
  <si>
    <t>Fourman Enterprises - Hope</t>
  </si>
  <si>
    <t>Hope,IN 47246</t>
  </si>
  <si>
    <t>Fox Lumber</t>
  </si>
  <si>
    <t>1 Adolph Road</t>
  </si>
  <si>
    <t>Mill Creek, WV 26280</t>
  </si>
  <si>
    <t>304-335-6108</t>
  </si>
  <si>
    <t>Fox Valley Tool - Kaukana</t>
  </si>
  <si>
    <t>Kaukana,WI 54130</t>
  </si>
  <si>
    <t>FPI / Vulcraft Receiving</t>
  </si>
  <si>
    <t>7205 Gault Ave N</t>
  </si>
  <si>
    <t>256-845-2460</t>
  </si>
  <si>
    <t>256-845-1090</t>
  </si>
  <si>
    <t>Fpl - Jensen Beach</t>
  </si>
  <si>
    <t>Jensen Beach,FL 349</t>
  </si>
  <si>
    <t>FPS Tech - Birmingham</t>
  </si>
  <si>
    <t>1417 Forestdale Boulevard</t>
  </si>
  <si>
    <t>Birmingham,AL 35214</t>
  </si>
  <si>
    <t>(205) 798-9440</t>
  </si>
  <si>
    <t>Fraizer Machine - Winnfield</t>
  </si>
  <si>
    <t>Winnfield,LA 71483</t>
  </si>
  <si>
    <t>Framatome Technologi - Lynchburg</t>
  </si>
  <si>
    <t>5867 W. Grand River Ave</t>
  </si>
  <si>
    <t>Lansing,MI 48906</t>
  </si>
  <si>
    <t>(517) 321-5609</t>
  </si>
  <si>
    <t>Francisco A. Noriega, LLCo.</t>
  </si>
  <si>
    <t xml:space="preserve">Ave. Jose De Fabrega No. 15, Apdo.0819-05230 </t>
  </si>
  <si>
    <t>Panama, Rep. of Panama 8120509</t>
  </si>
  <si>
    <t>507-263-7639</t>
  </si>
  <si>
    <t>Bethlehem,PA 18018</t>
  </si>
  <si>
    <t>Frank Lumber - Mill City</t>
  </si>
  <si>
    <t>Mill City,OR 97360</t>
  </si>
  <si>
    <t>Franklin Electrofluid Co., Inc. - Memphis</t>
  </si>
  <si>
    <t>3854 Watman Avenue</t>
  </si>
  <si>
    <t>(901) 362-7504</t>
  </si>
  <si>
    <t>Franklin Manufacturing - Russellville</t>
  </si>
  <si>
    <t>Hwy 243 Industrial Park</t>
  </si>
  <si>
    <t>Russellville,AL 35653</t>
  </si>
  <si>
    <t>(256) 332-6654</t>
  </si>
  <si>
    <t>(256) 332-1825</t>
  </si>
  <si>
    <t>Franklin Sweed - Independence</t>
  </si>
  <si>
    <t>Independence,OR 97351</t>
  </si>
  <si>
    <t>Franks International, Inc.</t>
  </si>
  <si>
    <t>700 East Verot School Rd</t>
  </si>
  <si>
    <t>Lafayette, LA 70508</t>
  </si>
  <si>
    <t>Motion Ind - Lafayette, LA Customer</t>
  </si>
  <si>
    <t>Frazier Industrial C - Waterloo</t>
  </si>
  <si>
    <t>Waterloo,NY 13165</t>
  </si>
  <si>
    <t>Frazier Machine - Winnfield</t>
  </si>
  <si>
    <t>Frederick Asphalt Co</t>
  </si>
  <si>
    <t>4120 Buckeystown Pike</t>
  </si>
  <si>
    <t>Frederick, MD 21704-7502</t>
  </si>
  <si>
    <t>Freedom Plastics - Janesville</t>
  </si>
  <si>
    <t>Janesville,WI 53545</t>
  </si>
  <si>
    <t>Freeman / Patrick Wood Products LLC</t>
  </si>
  <si>
    <t>1074 Bry Hollow Road</t>
  </si>
  <si>
    <t>888-926-4605</t>
  </si>
  <si>
    <t>205-926-9374</t>
  </si>
  <si>
    <t>Freeman United Coal - Industry</t>
  </si>
  <si>
    <t>Industry,IL 61440</t>
  </si>
  <si>
    <t>Frehner Construction - N. Las Vagas</t>
  </si>
  <si>
    <t>Freight Management A - Seattle</t>
  </si>
  <si>
    <t>Freightline Corp - Mt Holly</t>
  </si>
  <si>
    <t>Mt Holly,NC 28120</t>
  </si>
  <si>
    <t>Freightliner - Portland</t>
  </si>
  <si>
    <t>Freres Lumber - Lyons</t>
  </si>
  <si>
    <t>Lyons,OR 97358</t>
  </si>
  <si>
    <t>Freudenberg-Nok - Scottsburg</t>
  </si>
  <si>
    <t>Scottsburg,IN 47170</t>
  </si>
  <si>
    <t>Freudenburg-Nok - Bristol</t>
  </si>
  <si>
    <t>Bristol,NH 03222</t>
  </si>
  <si>
    <t>Friedman Ind, Inc</t>
  </si>
  <si>
    <t>1468 Northpark Drive</t>
  </si>
  <si>
    <t>256-308-1110</t>
  </si>
  <si>
    <t>256-308-1184</t>
  </si>
  <si>
    <t>Friesen Inc. - Detroit Lakes</t>
  </si>
  <si>
    <t>1035 Hwy. 59 South</t>
  </si>
  <si>
    <t>Detroit Lakes,MN 56502</t>
  </si>
  <si>
    <t>(218) 847-4437</t>
  </si>
  <si>
    <t>(218) 847-0358</t>
  </si>
  <si>
    <t>Friesen Lumber Co - St Helens</t>
  </si>
  <si>
    <t>St Helens,OR 97051</t>
  </si>
  <si>
    <t>Frigidaire - Orangeburg</t>
  </si>
  <si>
    <t>Orangeburg,SC 29116</t>
  </si>
  <si>
    <t>Frigidaire Home Prod - Kinston</t>
  </si>
  <si>
    <t>Kinston,NC 28504</t>
  </si>
  <si>
    <t>Frischkorn Carolina - Covington</t>
  </si>
  <si>
    <t>Frischkorn Company - Richmond</t>
  </si>
  <si>
    <t>Frischkorn Inc</t>
  </si>
  <si>
    <t>Tranters Creek Dr.</t>
  </si>
  <si>
    <t>Washington, NC 27889</t>
  </si>
  <si>
    <t>Motion Ind - NC54's Customer</t>
  </si>
  <si>
    <t>Frischkorn Inc. - Savannah</t>
  </si>
  <si>
    <t>Savannah,GA 31415</t>
  </si>
  <si>
    <t>Frischkorn, Inc. - Hampton</t>
  </si>
  <si>
    <t>Frischkorn-Carolina - Washington</t>
  </si>
  <si>
    <t>Washington,NC 27889</t>
  </si>
  <si>
    <t>Frishchkorn Alabama</t>
  </si>
  <si>
    <t>4172 Halls Mill Road</t>
  </si>
  <si>
    <t>Mobile, AL 36693</t>
  </si>
  <si>
    <t>351-643-1855</t>
  </si>
  <si>
    <t>251-661-3711</t>
  </si>
  <si>
    <t>Frito Lay - Council Bluffs</t>
  </si>
  <si>
    <t>Fritz Culver Inc. - Covington</t>
  </si>
  <si>
    <t>Covington,LA 70434</t>
  </si>
  <si>
    <t>Fritz Gateway - Miami</t>
  </si>
  <si>
    <t>Miami,FL 33122</t>
  </si>
  <si>
    <t>Froedge Machine - Tompkinsville</t>
  </si>
  <si>
    <t>Tompkinsville,KY 421</t>
  </si>
  <si>
    <t>Frontier Fluid Power - Dutch Harbor</t>
  </si>
  <si>
    <t>Dutch Harbor,AK 9969</t>
  </si>
  <si>
    <t>Frost Engineering - Cincinnati</t>
  </si>
  <si>
    <t>Cincinnati,OH 45223</t>
  </si>
  <si>
    <t>Fruit Of The Loom - Rabun</t>
  </si>
  <si>
    <t>Rabun,GA 30568</t>
  </si>
  <si>
    <t>FSC Depere</t>
  </si>
  <si>
    <t>1700 Suburban Dr.</t>
  </si>
  <si>
    <t>De Pere, WI 54115</t>
  </si>
  <si>
    <t>Fuji Photo Film - Greenwood</t>
  </si>
  <si>
    <t>Greenwood,SC 29649</t>
  </si>
  <si>
    <t>Fulghum Ind - Wadley</t>
  </si>
  <si>
    <t>Fuller Co - Catasauqua</t>
  </si>
  <si>
    <t>Catasauqua,PA 18032</t>
  </si>
  <si>
    <t>Fuller Co - Lester</t>
  </si>
  <si>
    <t>Lester,PA 19113</t>
  </si>
  <si>
    <t>Future Industrial Machine</t>
  </si>
  <si>
    <t>121 S. Wichita Street</t>
  </si>
  <si>
    <t>Bentley,KS 67016</t>
  </si>
  <si>
    <t>Future Mold - Farwell</t>
  </si>
  <si>
    <t>Farwell,MI 48622</t>
  </si>
  <si>
    <t>Future Tech - Bay City</t>
  </si>
  <si>
    <t>Bay City,MI 48706</t>
  </si>
  <si>
    <t>Fwm Mechanical Inc - Taylor</t>
  </si>
  <si>
    <t>Taylor,LA 71080</t>
  </si>
  <si>
    <t>179 Lumber Drive</t>
  </si>
  <si>
    <t>Harmony,NC 28634</t>
  </si>
  <si>
    <t>(704) 539-5272</t>
  </si>
  <si>
    <t>PO Box 53</t>
  </si>
  <si>
    <t>Union Grove,NC 28689</t>
  </si>
  <si>
    <t>(704) 539-5100</t>
  </si>
  <si>
    <t>(704) 539-5762</t>
  </si>
  <si>
    <t>Hwy. 243 Industrial Park</t>
  </si>
  <si>
    <t>West Mill Street</t>
  </si>
  <si>
    <t>Donald,OR 97020</t>
  </si>
  <si>
    <t>Green Bay,WI 54307</t>
  </si>
  <si>
    <t>Richland,WA 99352</t>
  </si>
  <si>
    <t>67 Mission Hills Park</t>
  </si>
  <si>
    <t>Alabaster, AL 35007</t>
  </si>
  <si>
    <t>205-685-9003</t>
  </si>
  <si>
    <t>205-663-9718</t>
  </si>
  <si>
    <t>2003 Timber Lane</t>
  </si>
  <si>
    <t>205-682-9003</t>
  </si>
  <si>
    <t>G A F - Minneapolis</t>
  </si>
  <si>
    <t>Minneapolis,MN 55411</t>
  </si>
  <si>
    <t>G C  S Supply Co, In - Foley</t>
  </si>
  <si>
    <t>G M Nameplate - Beaverton</t>
  </si>
  <si>
    <t>Beaverton,OR 97005</t>
  </si>
  <si>
    <t>G P Gypsum Corporation - Tacoma</t>
  </si>
  <si>
    <t>Tacoma,WA 98390</t>
  </si>
  <si>
    <t>G. M. A. Tooling - Huntingdon Valley</t>
  </si>
  <si>
    <t>Huntingdon Valley,PA 1</t>
  </si>
  <si>
    <t>G.A.Braun, Inc. - Syracuse</t>
  </si>
  <si>
    <t>Syracuse,NY 13205</t>
  </si>
  <si>
    <t>G.E. Mathis Co. - Chicago</t>
  </si>
  <si>
    <t>Chicago,IL 60638</t>
  </si>
  <si>
    <t>G.E. Nuclear Energy - San Jose</t>
  </si>
  <si>
    <t>San Jose,CA 95125</t>
  </si>
  <si>
    <t>G.E. Peebles Test Op - Peebles</t>
  </si>
  <si>
    <t>Peebles,OH 45660</t>
  </si>
  <si>
    <t>G.F. Puhl Co - Goodlettsville</t>
  </si>
  <si>
    <t>Goodlettsville,TN 3</t>
  </si>
  <si>
    <t>G.M.T. Corporation - Waverly</t>
  </si>
  <si>
    <t>Waverly,IA 50677</t>
  </si>
  <si>
    <t>Gadsden Ind Distributors</t>
  </si>
  <si>
    <t>192 Wiggins St.</t>
  </si>
  <si>
    <t>Rainbow City,AL 35906</t>
  </si>
  <si>
    <t>256-442-1361</t>
  </si>
  <si>
    <t>256-442-4085</t>
  </si>
  <si>
    <t>Gaf Corporation - Mobile</t>
  </si>
  <si>
    <t>Mobile,AL 36660</t>
  </si>
  <si>
    <t>Gafco Worldwide - Cincinnati</t>
  </si>
  <si>
    <t>Cincinnati,OH 45247</t>
  </si>
  <si>
    <t>Gage Ind - Lake Oswego</t>
  </si>
  <si>
    <t>Lake Oswego,OR 97035</t>
  </si>
  <si>
    <t>Gagnon Lumber - Pittsford</t>
  </si>
  <si>
    <t>Pittsford,VT 5763</t>
  </si>
  <si>
    <t>Galbreath Inc - Ider</t>
  </si>
  <si>
    <t>12273 Al Highway 75</t>
  </si>
  <si>
    <t>Ider,AL 35981</t>
  </si>
  <si>
    <t>(256) 657-6140</t>
  </si>
  <si>
    <t>Galbreath, Inc. - Mansfield</t>
  </si>
  <si>
    <t>Mansfield,TX 76063</t>
  </si>
  <si>
    <t>Galiso - Montrose</t>
  </si>
  <si>
    <t>Montrose,CO 81401</t>
  </si>
  <si>
    <t>Gallo Asphalt - Keasbey</t>
  </si>
  <si>
    <t>Keasbey,NJ 08832</t>
  </si>
  <si>
    <t>Gammill Pneumatics</t>
  </si>
  <si>
    <t>8825 Eastex Freeway</t>
  </si>
  <si>
    <t>Beaumont,TX 77708</t>
  </si>
  <si>
    <t>Ganton Tech - Sturtevant</t>
  </si>
  <si>
    <t>Gap Vax Inc - Johnstown</t>
  </si>
  <si>
    <t>Johnstown,PA 15902</t>
  </si>
  <si>
    <t>Ga-Pacific Softwood Lumber Div.</t>
  </si>
  <si>
    <t>234 Comfort Road</t>
  </si>
  <si>
    <t>Palatka,FL 32077</t>
  </si>
  <si>
    <t>3509 Us Highway 22</t>
  </si>
  <si>
    <t>(908) 534-5444</t>
  </si>
  <si>
    <t>(908) 534-5623</t>
  </si>
  <si>
    <t>Garden State Paper Co - Garfield</t>
  </si>
  <si>
    <t>950 River Dr</t>
  </si>
  <si>
    <t>Garfield,NJ 07026</t>
  </si>
  <si>
    <t>(973) 772-8700</t>
  </si>
  <si>
    <t>(973) 772-9232</t>
  </si>
  <si>
    <t>Garelick Farms Inc - Franklin</t>
  </si>
  <si>
    <t>1199 W Central St</t>
  </si>
  <si>
    <t>Franklin,MA 02038</t>
  </si>
  <si>
    <t>(508) 528-9000</t>
  </si>
  <si>
    <t>(508) 520-4922</t>
  </si>
  <si>
    <t>Garland Gaston Lumber Co Inc - Camden</t>
  </si>
  <si>
    <t>111 Ouachita 301</t>
  </si>
  <si>
    <t>Camden,AR 71701</t>
  </si>
  <si>
    <t>(870) 231-7211</t>
  </si>
  <si>
    <t>Garrett Packing Co - Milton Freewater</t>
  </si>
  <si>
    <t>11 Nw 4th Ave</t>
  </si>
  <si>
    <t>(541) 938-3325</t>
  </si>
  <si>
    <t>Garwood Paperboard D - Garwood</t>
  </si>
  <si>
    <t>Garwood,NJ 07027</t>
  </si>
  <si>
    <t>Gary Kinards Hydraulic - El Dorado</t>
  </si>
  <si>
    <t>Gates Rubber Co - Jefferson</t>
  </si>
  <si>
    <t>101 Gates Ln</t>
  </si>
  <si>
    <t>Jefferson,NC 28640</t>
  </si>
  <si>
    <t>(336) 246-7185</t>
  </si>
  <si>
    <t>(336) 246-6718</t>
  </si>
  <si>
    <t>Gates Rubber Co. - Siloam Springs</t>
  </si>
  <si>
    <t>1801 N Lincoln St</t>
  </si>
  <si>
    <t>Siloam Springs,AR 72761</t>
  </si>
  <si>
    <t>(501) 524-8164</t>
  </si>
  <si>
    <t>Gateway Engineering - South Sioux City</t>
  </si>
  <si>
    <t>715 E 9Th St</t>
  </si>
  <si>
    <t>South Sioux City,NE 68776</t>
  </si>
  <si>
    <t>(402) 494-2530</t>
  </si>
  <si>
    <t>Gateway Feathers - Douglas</t>
  </si>
  <si>
    <t>Douglas,AZ 85607</t>
  </si>
  <si>
    <t>Gateway Forest Pod.- - Seattle</t>
  </si>
  <si>
    <t>Seattle,WA 98106</t>
  </si>
  <si>
    <t>Gatlin Corporation - Brookhaven</t>
  </si>
  <si>
    <t>58 Hwy 84 East</t>
  </si>
  <si>
    <t>(601) 833-9475</t>
  </si>
  <si>
    <t>(601) 833-5507</t>
  </si>
  <si>
    <t>Gauthier Ind - Rochester</t>
  </si>
  <si>
    <t>Rochester,MN 55903</t>
  </si>
  <si>
    <t>Gavilon Fertilizer</t>
  </si>
  <si>
    <t>461 Haining Rd.</t>
  </si>
  <si>
    <t>Vicksburg, MS. 39180</t>
  </si>
  <si>
    <t>Hydro Power Customer</t>
  </si>
  <si>
    <t>Gaylord Container Co - Antioch</t>
  </si>
  <si>
    <t>Antioch,CA 94509</t>
  </si>
  <si>
    <t>GE - Bloomington</t>
  </si>
  <si>
    <t>Bloomington,IL 61704</t>
  </si>
  <si>
    <t>GE - Decatur</t>
  </si>
  <si>
    <t>2328 Point Mallard Drive</t>
  </si>
  <si>
    <t>(256) 552-1305</t>
  </si>
  <si>
    <t>(256) 552-9563</t>
  </si>
  <si>
    <t>GE - Rutland</t>
  </si>
  <si>
    <t>Rutland,VT 5701</t>
  </si>
  <si>
    <t>GE - Selmer</t>
  </si>
  <si>
    <t>Selmer,TN 38375</t>
  </si>
  <si>
    <t>GE Motors - Owensboro</t>
  </si>
  <si>
    <t>Owensboro,KY 42303</t>
  </si>
  <si>
    <t>Gear Products Inc.</t>
  </si>
  <si>
    <t>1111 N. 161st East Avenue</t>
  </si>
  <si>
    <t>Tulsa, OK 74116-4098</t>
  </si>
  <si>
    <t>Geertsen Group Ltd - Springfield</t>
  </si>
  <si>
    <t>Gem Industrial - Elmore</t>
  </si>
  <si>
    <t>Gemcor - Buffalo</t>
  </si>
  <si>
    <t>Buffalo,NY 14207</t>
  </si>
  <si>
    <t>Gemini Plastics - Ubly</t>
  </si>
  <si>
    <t>Ubly,MI 48475</t>
  </si>
  <si>
    <t>Gencorp Automotive - Batesville</t>
  </si>
  <si>
    <t>200 General St</t>
  </si>
  <si>
    <t>Batesville,AR 72501</t>
  </si>
  <si>
    <t>(870) 698-4000</t>
  </si>
  <si>
    <t>(870) 698-4034</t>
  </si>
  <si>
    <t>Gencorp Automotive - Berger</t>
  </si>
  <si>
    <t>7627 Zero Rd</t>
  </si>
  <si>
    <t>Berger,MO 63014</t>
  </si>
  <si>
    <t>(573) 834-5287</t>
  </si>
  <si>
    <t>(573) 834-5306</t>
  </si>
  <si>
    <t>General Binding Corp - Addison</t>
  </si>
  <si>
    <t>Addison,IL 60101</t>
  </si>
  <si>
    <t>General Construction - Edmonds</t>
  </si>
  <si>
    <t>Edmonds,WA 98020</t>
  </si>
  <si>
    <t>General Devices Co - Indianapolis</t>
  </si>
  <si>
    <t>1410 S Post Rd</t>
  </si>
  <si>
    <t>Indianapolis,IN 46239</t>
  </si>
  <si>
    <t>(317) 897-7000</t>
  </si>
  <si>
    <t>General Die Casters - Penisula</t>
  </si>
  <si>
    <t>Penisula,OH 44264</t>
  </si>
  <si>
    <t>General Foam Plastic - Norfolk</t>
  </si>
  <si>
    <t>General Hydraulics - St Louis</t>
  </si>
  <si>
    <t>701 N 20th Street</t>
  </si>
  <si>
    <t>St Louis,MO 63103</t>
  </si>
  <si>
    <t>(314) 241-8985</t>
  </si>
  <si>
    <t>(314) 241-7723</t>
  </si>
  <si>
    <t>General Industrial - Greenville</t>
  </si>
  <si>
    <t>Greenville,SC 29617</t>
  </si>
  <si>
    <t>General Machine Tool - Waverly</t>
  </si>
  <si>
    <t xml:space="preserve">Waverly,IA </t>
  </si>
  <si>
    <t>General Mills - Covington</t>
  </si>
  <si>
    <t>General Motors Corp. - Oklahoma City</t>
  </si>
  <si>
    <t>General Shale Brick - Atkins</t>
  </si>
  <si>
    <t>Atkins,VA 24311</t>
  </si>
  <si>
    <t>General Shale Products</t>
  </si>
  <si>
    <t>300 Brick Plant Road</t>
  </si>
  <si>
    <t>Moncure,NC 27559</t>
  </si>
  <si>
    <t>General Shale Products - Blue Ridge</t>
  </si>
  <si>
    <t>Blue Ridge,VA 24064</t>
  </si>
  <si>
    <t>General Tire And Rubber - Mt Vernon</t>
  </si>
  <si>
    <t>Mt Vernon,IL 62863</t>
  </si>
  <si>
    <t>Genesis Shear - Superior</t>
  </si>
  <si>
    <t>Superior,WI 5</t>
  </si>
  <si>
    <t>Geneva Pipe Company - Orem</t>
  </si>
  <si>
    <t>Orem,UT 94052</t>
  </si>
  <si>
    <t>Geneva Research - Elkhorn</t>
  </si>
  <si>
    <t>Genova-Minnesota Inc - Faribault</t>
  </si>
  <si>
    <t>Faribault,MN 55021</t>
  </si>
  <si>
    <t>Georgetown Steel Cor - Georgetown</t>
  </si>
  <si>
    <t>Georgetown,SC 29440</t>
  </si>
  <si>
    <t>Highway 25 South</t>
  </si>
  <si>
    <t>Aberdeen,MS 39730</t>
  </si>
  <si>
    <t>(662) 369-8111</t>
  </si>
  <si>
    <t>Georgia Institute of Technology</t>
  </si>
  <si>
    <t>801 Ferst Drive</t>
  </si>
  <si>
    <t>Atlanta,GA 30322</t>
  </si>
  <si>
    <t>678-793-7397</t>
  </si>
  <si>
    <t>678-287-3999</t>
  </si>
  <si>
    <t>Georgia Pacific - Belk</t>
  </si>
  <si>
    <t>545 CO Rd #6</t>
  </si>
  <si>
    <t>Belk, AL 35545</t>
  </si>
  <si>
    <t>Georgia Pacific - Camden</t>
  </si>
  <si>
    <t>FM 62</t>
  </si>
  <si>
    <t>Camden, TX 75934</t>
  </si>
  <si>
    <t>Controlled Fluids' Customer</t>
  </si>
  <si>
    <t>Georgia Pacific - Cedar Springs</t>
  </si>
  <si>
    <t>12551 Highway 273 W</t>
  </si>
  <si>
    <t>Cedar Springs, GA 39832</t>
  </si>
  <si>
    <t>Georgia Pacific - Cleveland</t>
  </si>
  <si>
    <t>12936 FM 787W</t>
  </si>
  <si>
    <t>Cleveland,TX 77327</t>
  </si>
  <si>
    <t>Georgia Pacific - Columbia</t>
  </si>
  <si>
    <t>Georgia Pacific - Cross City</t>
  </si>
  <si>
    <t>59 NE 132ND Ave</t>
  </si>
  <si>
    <t>Cross City,FL 32628</t>
  </si>
  <si>
    <t>352-498-7227</t>
  </si>
  <si>
    <t>Georgia Pacific - Crossett</t>
  </si>
  <si>
    <t>100 Supply Road</t>
  </si>
  <si>
    <t>Crossett,AR 71653</t>
  </si>
  <si>
    <t>Georgia Pacific - Dudley</t>
  </si>
  <si>
    <t>2457-B Old Mount Olive Hwy.</t>
  </si>
  <si>
    <t>Dudley,NC 28333</t>
  </si>
  <si>
    <t>Georgia Pacific - El Dorado</t>
  </si>
  <si>
    <t>5482 Junction City Hwy.</t>
  </si>
  <si>
    <t>Georgia Pacific - Gurdon</t>
  </si>
  <si>
    <t>Hwy 67 N. #1 IP Lane</t>
  </si>
  <si>
    <t>Gurdon, AK, 71743</t>
  </si>
  <si>
    <t>Riggs Tractor's Customer</t>
  </si>
  <si>
    <t>Georgia Pacific - Hawthorne</t>
  </si>
  <si>
    <t>223 Gordon Chapel Road</t>
  </si>
  <si>
    <t>Hawthorne,FL 32640</t>
  </si>
  <si>
    <t>352-481-0427</t>
  </si>
  <si>
    <t>Georgia Pacific - Idabel</t>
  </si>
  <si>
    <t>Idabel,OK 74745</t>
  </si>
  <si>
    <t>Georgia Pacific - Lebanon</t>
  </si>
  <si>
    <t>1001 Maddox Simpson Pkwy</t>
  </si>
  <si>
    <t>Georgia Pacific - Louisville</t>
  </si>
  <si>
    <t>Louisville,MS 39339</t>
  </si>
  <si>
    <t>Georgia Pacific - Monticello</t>
  </si>
  <si>
    <t>Monticello,GA 31064</t>
  </si>
  <si>
    <t>Georgia Pacific - Neenah</t>
  </si>
  <si>
    <t>Neenah,WI 54956</t>
  </si>
  <si>
    <t>Georgia Pacific - New Augusta</t>
  </si>
  <si>
    <t>New Augusta,MS 39462</t>
  </si>
  <si>
    <t>Georgia Pacific - Palatka</t>
  </si>
  <si>
    <t>Palatka,FL 32177</t>
  </si>
  <si>
    <t>386-328-7669</t>
  </si>
  <si>
    <t>386-328-6366</t>
  </si>
  <si>
    <t>Georgia Pacific - Prosperity</t>
  </si>
  <si>
    <t>Prosperity,SC 29127</t>
  </si>
  <si>
    <t>Georgia Pacific - Roxie</t>
  </si>
  <si>
    <t>Roxie,MS 39661</t>
  </si>
  <si>
    <t>Georgia Pacific - Taylorsville</t>
  </si>
  <si>
    <t>Highway 28 W</t>
  </si>
  <si>
    <t>Taylorsville,MS 39168</t>
  </si>
  <si>
    <t>(601) 785-4721</t>
  </si>
  <si>
    <t>Georgia Pacific - Wakefield</t>
  </si>
  <si>
    <t>Wakefield,VA 23808</t>
  </si>
  <si>
    <t>Georgia Pacific - Warm Springs</t>
  </si>
  <si>
    <t>5875 Chipley Highway</t>
  </si>
  <si>
    <t>Warm Springs, GA 31830</t>
  </si>
  <si>
    <t xml:space="preserve">Georgia Pacific-Crossett Mill </t>
  </si>
  <si>
    <t>100 Mill Supply Rd</t>
  </si>
  <si>
    <t>Crossett, AR 71635</t>
  </si>
  <si>
    <t>Georgia Paper Tube - Cartersville</t>
  </si>
  <si>
    <t>Georgia Power  Company</t>
  </si>
  <si>
    <t xml:space="preserve">PO Box 3115 </t>
  </si>
  <si>
    <t>Atlanta,Ga 30302</t>
  </si>
  <si>
    <t>770-854-3369</t>
  </si>
  <si>
    <t>770-854-3306</t>
  </si>
  <si>
    <t>Georgia Power Company - Plant Hammond</t>
  </si>
  <si>
    <t>5963 Alabama Hwy. Sw</t>
  </si>
  <si>
    <t>706-290-6252</t>
  </si>
  <si>
    <t>706-290-6404</t>
  </si>
  <si>
    <t>Gerdan Ameristeel</t>
  </si>
  <si>
    <t>1035 Shor-Cal Road</t>
  </si>
  <si>
    <t>Colvert City, KY, 42029</t>
  </si>
  <si>
    <t>Motion Ind - Pudacah, KY's Customer</t>
  </si>
  <si>
    <t>Gerdau Ameristeel US Inc</t>
  </si>
  <si>
    <t>16670 Rebar Road</t>
  </si>
  <si>
    <t>Baldwin, FL 32234</t>
  </si>
  <si>
    <t>Motion Ind - Jacksonville, FL's Customer</t>
  </si>
  <si>
    <t>Getchel Gold - Golconda</t>
  </si>
  <si>
    <t>Gfc Foam Llc - West Hazelton</t>
  </si>
  <si>
    <t>Gibraltar Metals - Buffalo</t>
  </si>
  <si>
    <t>Buffalo,NY 14217</t>
  </si>
  <si>
    <t>Gibraltar Strip Stee - Cuyahoga Heights</t>
  </si>
  <si>
    <t>Cuyahoga Heights,OH 4</t>
  </si>
  <si>
    <t>7084 Hwy 34 West</t>
  </si>
  <si>
    <t>Marmaduke, AR 72443</t>
  </si>
  <si>
    <t>870-597-4317</t>
  </si>
  <si>
    <t>870-597-4569</t>
  </si>
  <si>
    <t>Dallas,NC 28034</t>
  </si>
  <si>
    <t>Gibson Hydraulics - Lutz</t>
  </si>
  <si>
    <t>16209 North Florida Avenue</t>
  </si>
  <si>
    <t>Lutz,FL 33549</t>
  </si>
  <si>
    <t>(813) 961-3504</t>
  </si>
  <si>
    <t>(813) 962-8364</t>
  </si>
  <si>
    <t>Gilardi Foods - Oklahoma City</t>
  </si>
  <si>
    <t>4235 S Eastern Ave</t>
  </si>
  <si>
    <t>(405) 672-2595</t>
  </si>
  <si>
    <t>Gilbert Central</t>
  </si>
  <si>
    <t>10785 Pleasure Heights Rd.</t>
  </si>
  <si>
    <t>Springdale,AR 72764</t>
  </si>
  <si>
    <t>Giles Dairy Services - Provo</t>
  </si>
  <si>
    <t>Provo,UT 84601</t>
  </si>
  <si>
    <t>9550 True Drive</t>
  </si>
  <si>
    <t>Saint Louis,MO 63132</t>
  </si>
  <si>
    <t>(800) 325-7075</t>
  </si>
  <si>
    <t>(314) 428-4431</t>
  </si>
  <si>
    <t>Gillingham-Best - Spokane</t>
  </si>
  <si>
    <t>Spokane,WA 99216</t>
  </si>
  <si>
    <t>Gillman Building Products - Lake Butler</t>
  </si>
  <si>
    <t>Lake Butler,FL 32054</t>
  </si>
  <si>
    <t>Gillman Building Products - Maxville</t>
  </si>
  <si>
    <t>Maxville,FL 32234</t>
  </si>
  <si>
    <t>Gilman Building Products</t>
  </si>
  <si>
    <t>1509 South Byron Butler Pkwy.</t>
  </si>
  <si>
    <t>Perry, FL 32347</t>
  </si>
  <si>
    <t>850-584-3401</t>
  </si>
  <si>
    <t>3780 Hwy 80 West</t>
  </si>
  <si>
    <t>Dudley, GA 31022</t>
  </si>
  <si>
    <t>Highway #80 West</t>
  </si>
  <si>
    <t>478-676-3692</t>
  </si>
  <si>
    <t>Quality Mill Service's Customer</t>
  </si>
  <si>
    <t>GILMAN BUILDING PRODUCTS</t>
  </si>
  <si>
    <t>HWY 100 EAST</t>
  </si>
  <si>
    <t>LAKE BUTLER, FL 32054</t>
  </si>
  <si>
    <t>Gilman Building Products - Blackshear</t>
  </si>
  <si>
    <t>Blackshear,GA 31516</t>
  </si>
  <si>
    <t>Gilman Building Products - Blackshear Plant</t>
  </si>
  <si>
    <t>4804 Gilman Rd</t>
  </si>
  <si>
    <t>Blackshear, GA 31516</t>
  </si>
  <si>
    <t>912-449-6607</t>
  </si>
  <si>
    <t>Gilman Building Products - Perry</t>
  </si>
  <si>
    <t>1509 So. Byron Butler PWY</t>
  </si>
  <si>
    <t>Gilman Co - Janesville</t>
  </si>
  <si>
    <t xml:space="preserve">Janesville,WI </t>
  </si>
  <si>
    <t>Gilman Wood Products - Ashland</t>
  </si>
  <si>
    <t>Gilmore Services - San Francisco</t>
  </si>
  <si>
    <t>San Francisco,CA 9413</t>
  </si>
  <si>
    <t>Gilmour Mfg Co - Somerset</t>
  </si>
  <si>
    <t>Somerset,PA 15501</t>
  </si>
  <si>
    <t>Girard Wood Products - Puyallup</t>
  </si>
  <si>
    <t>Puyallup,WA 98371</t>
  </si>
  <si>
    <t>Giso - Houston</t>
  </si>
  <si>
    <t>Houston,TX 77095</t>
  </si>
  <si>
    <t>GKN</t>
  </si>
  <si>
    <t>1190 Roby Barton Rd</t>
  </si>
  <si>
    <t>Timberlake,NC 27583</t>
  </si>
  <si>
    <t>Gkn Sinter Metals - Van Wert</t>
  </si>
  <si>
    <t>1180 Kear Rd</t>
  </si>
  <si>
    <t>Van Wert,OH 45891</t>
  </si>
  <si>
    <t>(419) 238-8200</t>
  </si>
  <si>
    <t>Gkn Sintered Metals - Romulus</t>
  </si>
  <si>
    <t>Romulus,MI 48174</t>
  </si>
  <si>
    <t>Gkn Westland Aerospa - Carson</t>
  </si>
  <si>
    <t>Carson,CA 90745</t>
  </si>
  <si>
    <t>Hazleton,PA 18201</t>
  </si>
  <si>
    <t>Gl&amp;V/ Beloit Lenox I - Lenox</t>
  </si>
  <si>
    <t>Lenox,MA 01240</t>
  </si>
  <si>
    <t>Glacier Vandervell - Atlantic</t>
  </si>
  <si>
    <t>Atlantic,IA 50022</t>
  </si>
  <si>
    <t>Glacier-Vandervell - Bellefontaine</t>
  </si>
  <si>
    <t>Bellefontaine,OH 433</t>
  </si>
  <si>
    <t>Glad Manufacturing - Amherst</t>
  </si>
  <si>
    <t>Amherst,VA 24521</t>
  </si>
  <si>
    <t>Gladding Mcbean - Lincoln</t>
  </si>
  <si>
    <t>Lincoln,CA 95648</t>
  </si>
  <si>
    <t>Glass Equipment - Twinsburg</t>
  </si>
  <si>
    <t>Twinsburg,OH 44087</t>
  </si>
  <si>
    <t>Gleason Industrial P - Goshen</t>
  </si>
  <si>
    <t>Glenmarc Manufacturing - Mundelein</t>
  </si>
  <si>
    <t>Glenoit Mills - Tarboro</t>
  </si>
  <si>
    <t>Glidden Paint Co - Huron</t>
  </si>
  <si>
    <t>Glidewell Spec Found - Calera</t>
  </si>
  <si>
    <t>Global Aerotech Inc - Palm Bay</t>
  </si>
  <si>
    <t>Palm Bay,FL 32905</t>
  </si>
  <si>
    <t>Global Ground Suppor - Olathe</t>
  </si>
  <si>
    <t>Olathe,KS 66061</t>
  </si>
  <si>
    <t>Global Ind LTD</t>
  </si>
  <si>
    <t>8000 Global Drive</t>
  </si>
  <si>
    <t>Sulphur,LA 70665</t>
  </si>
  <si>
    <t xml:space="preserve">Global Offshore Mexico </t>
  </si>
  <si>
    <t>Sulphur, LA 70665-8203</t>
  </si>
  <si>
    <t>Grainger Customer</t>
  </si>
  <si>
    <t>Global Piling Solutions</t>
  </si>
  <si>
    <t>1203 Ozark</t>
  </si>
  <si>
    <t>Kansas City, MO 64116</t>
  </si>
  <si>
    <t>816-221-4774</t>
  </si>
  <si>
    <t>816-221-4591</t>
  </si>
  <si>
    <t>Globe Building Mater - Whitting</t>
  </si>
  <si>
    <t>Whitting,IN 43940</t>
  </si>
  <si>
    <t>Globe Machine - Bill to</t>
  </si>
  <si>
    <t>PO Box 2274</t>
  </si>
  <si>
    <t>Tacoma, WA 98401</t>
  </si>
  <si>
    <t>Globe Machine Manufacturing</t>
  </si>
  <si>
    <t>701 East D Street</t>
  </si>
  <si>
    <t>Tacoma, WA 98421</t>
  </si>
  <si>
    <t>253-383-2584</t>
  </si>
  <si>
    <t>** COPY THIS TO EVERY ORDER:  Stamp Globe Part Number: **********
Put (2)  "Globe Information Stickers on the cylinders instead of a JIT*
Globe Machine Manufacturing Company
Tacoma, WA 98401
Globe P/N: ***********</t>
  </si>
  <si>
    <t>Globe Metallurgical - Springfield</t>
  </si>
  <si>
    <t>GM Corp./Major Tooling Lab</t>
  </si>
  <si>
    <t>33500 Mound Road</t>
  </si>
  <si>
    <t>Sterling Hgts,MI 48310</t>
  </si>
  <si>
    <t>586-947-1259</t>
  </si>
  <si>
    <t>Gm Machine And Tool - Lansing</t>
  </si>
  <si>
    <t>GM Major Tooling</t>
  </si>
  <si>
    <t xml:space="preserve">Sterling Heights,MI </t>
  </si>
  <si>
    <t>Gm Power Train Divis - Bedford</t>
  </si>
  <si>
    <t>Gm Powertrain Flint - Flint</t>
  </si>
  <si>
    <t>Flint,MI 48550</t>
  </si>
  <si>
    <t>652 Glenbrook Rd #8</t>
  </si>
  <si>
    <t>Stamford,CT 06906</t>
  </si>
  <si>
    <t>(203) 356-1291</t>
  </si>
  <si>
    <t>GMPT Tonawanda Engineering - Tonawanda</t>
  </si>
  <si>
    <t>Gms Metal Works - Auburn</t>
  </si>
  <si>
    <t>GNB - Columbia</t>
  </si>
  <si>
    <t>Columbia,GA 31906</t>
  </si>
  <si>
    <t>Gnb Batteries - Shreveport</t>
  </si>
  <si>
    <t>Gnb Tech - Kansas City</t>
  </si>
  <si>
    <t>Godfrey Lumber Company - Statesville</t>
  </si>
  <si>
    <t>1715 Amity Hill Road</t>
  </si>
  <si>
    <t>Statesville,NC 28677</t>
  </si>
  <si>
    <t>(704) 872-6366</t>
  </si>
  <si>
    <t>Golden State Foods</t>
  </si>
  <si>
    <t>640 South 6th Avenue</t>
  </si>
  <si>
    <t>City of Industry,CA 91746</t>
  </si>
  <si>
    <t>Golden Tech - Old Forge</t>
  </si>
  <si>
    <t>Old Forge,PA 18518</t>
  </si>
  <si>
    <t>Goldendale Aluminum - Goldendale</t>
  </si>
  <si>
    <t>Goldendale,WA 98620</t>
  </si>
  <si>
    <t>Goodall - Winnipeg</t>
  </si>
  <si>
    <t>960 Powell Ave</t>
  </si>
  <si>
    <t>Winnipeg,MB R3H 0H6</t>
  </si>
  <si>
    <t>(204) 697-1225</t>
  </si>
  <si>
    <t>(204) 697-1230</t>
  </si>
  <si>
    <t>Gooder-Henrichsen Co - Chicago Heights</t>
  </si>
  <si>
    <t>Chicago Heights,IL 604</t>
  </si>
  <si>
    <t>Goodman Conveyor - Belton</t>
  </si>
  <si>
    <t>645 Floyd Wright Drive</t>
  </si>
  <si>
    <t>Belton,SC 29627</t>
  </si>
  <si>
    <t>JIT Industrial Solutions' Customer</t>
  </si>
  <si>
    <t>Goodman Equipment - Bedford Park</t>
  </si>
  <si>
    <t xml:space="preserve">Bedford Park,IL </t>
  </si>
  <si>
    <t>Goodrich Aerostructures Rohr Aero Ser., LLC</t>
  </si>
  <si>
    <t>111 Airport Drive</t>
  </si>
  <si>
    <t>251-952-3285</t>
  </si>
  <si>
    <t>251-952-3179</t>
  </si>
  <si>
    <t>Goodyear Dunlop Tire - Tonawanda</t>
  </si>
  <si>
    <t>1144 East Market Street</t>
  </si>
  <si>
    <t>Akron,OH 44316-0001</t>
  </si>
  <si>
    <t>(330) 796-2121</t>
  </si>
  <si>
    <t>Beaumont,TX 77705</t>
  </si>
  <si>
    <t>Goodyear Tire and Rubber - Decatur</t>
  </si>
  <si>
    <t>500 19th Ave SE</t>
  </si>
  <si>
    <t>Decatur,AL 35602-0788</t>
  </si>
  <si>
    <t>(256) 353-7461</t>
  </si>
  <si>
    <t>(256) 340-2224</t>
  </si>
  <si>
    <t>Gordon Aluminum - Schofield</t>
  </si>
  <si>
    <t>Gordon, Inc.</t>
  </si>
  <si>
    <t>5023 Hazel Jones</t>
  </si>
  <si>
    <t>Bossier City, LA 71111</t>
  </si>
  <si>
    <t>Kensington,CT 06037</t>
  </si>
  <si>
    <t>Glenmont,NY 12077</t>
  </si>
  <si>
    <t>Goulds Pumps Inc / Turbine Foundry</t>
  </si>
  <si>
    <t>1470 Industrial Drive</t>
  </si>
  <si>
    <t>Slaton, TX, 79364</t>
  </si>
  <si>
    <t>IBT-Shawnee's Customer</t>
  </si>
  <si>
    <t>G-P Gypsum Corp - San Leandro</t>
  </si>
  <si>
    <t>San Leandro,CA 94577</t>
  </si>
  <si>
    <t>Grace Finishing Plan - Grace</t>
  </si>
  <si>
    <t>Grace,SC 29720</t>
  </si>
  <si>
    <t>Graco Inc - Chattanooga</t>
  </si>
  <si>
    <t>Chattanooga,TN 37422</t>
  </si>
  <si>
    <t>Grain Systems - Elm Creek</t>
  </si>
  <si>
    <t>Elm Creek,NE 68836</t>
  </si>
  <si>
    <t>Grainger Sourcing</t>
  </si>
  <si>
    <t>P.O. Box 48778</t>
  </si>
  <si>
    <t>Niles, IL 60714-0778</t>
  </si>
  <si>
    <t>847-793-6344</t>
  </si>
  <si>
    <t>847-410-5765</t>
  </si>
  <si>
    <t>Accounts Payable</t>
  </si>
  <si>
    <t>Grainger, Inc.</t>
  </si>
  <si>
    <t>455 Knights Bridge Parkway</t>
  </si>
  <si>
    <t>Lincolnshire, IL 60069</t>
  </si>
  <si>
    <t>847-793-6406</t>
  </si>
  <si>
    <t>847-410-5761</t>
  </si>
  <si>
    <t>Grand Blanc Cement P - Grand Blanc</t>
  </si>
  <si>
    <t>Grand Blanc,MI 48439</t>
  </si>
  <si>
    <t>Grand Laundry - N. Las Vagas</t>
  </si>
  <si>
    <t>Grand Rapids Control - Rockford</t>
  </si>
  <si>
    <t>Rockford,MI 49341</t>
  </si>
  <si>
    <t>Granite City Steel Co - Granite</t>
  </si>
  <si>
    <t>Granite,IL 62040</t>
  </si>
  <si>
    <t>Grant Prideco, Inc. - Navasota</t>
  </si>
  <si>
    <t>Navasota,TX 77868</t>
  </si>
  <si>
    <t>Grant Western Lumber - John Day</t>
  </si>
  <si>
    <t>John Day,OR 97845</t>
  </si>
  <si>
    <t>Graphic Packaging Co - Mitchell</t>
  </si>
  <si>
    <t>Mitchell,SD 57301</t>
  </si>
  <si>
    <t>Grayson Lumber Co. - Houston</t>
  </si>
  <si>
    <t>Houston,AL 35572</t>
  </si>
  <si>
    <t>Great Lakes Carbon - Kremlin</t>
  </si>
  <si>
    <t>Kremlin,OK 73753</t>
  </si>
  <si>
    <t>2122 York Road</t>
  </si>
  <si>
    <t>Oak Brook,IL 60523</t>
  </si>
  <si>
    <t>Great Lakes Hydraulics - Grand Rapids</t>
  </si>
  <si>
    <t>Grand Rapids,MI 4950</t>
  </si>
  <si>
    <t>Menominee,MI 49359</t>
  </si>
  <si>
    <t>Great River Marine - Columbus</t>
  </si>
  <si>
    <t>Columbus,KY 42032</t>
  </si>
  <si>
    <t>State Road 100</t>
  </si>
  <si>
    <t>Lake City, FL 32055</t>
  </si>
  <si>
    <t>Greater Omaha Packing - Omaha</t>
  </si>
  <si>
    <t>Omaha,NE 68107</t>
  </si>
  <si>
    <t>Greco - Buchanon</t>
  </si>
  <si>
    <t>Buchanon,MI 49017</t>
  </si>
  <si>
    <t>Grecon Machinery Div - Connelly Springs</t>
  </si>
  <si>
    <t>Connelly Springs,NC 2</t>
  </si>
  <si>
    <t>Grede Foundries - Reedsburg</t>
  </si>
  <si>
    <t xml:space="preserve">Reedsburg,WI </t>
  </si>
  <si>
    <t>Grede Foundry - St. Cloud</t>
  </si>
  <si>
    <t>Grede Foundry Inc - New Castle</t>
  </si>
  <si>
    <t>Green Bay Packaging - Green Bay</t>
  </si>
  <si>
    <t>1601 N Quincy Street</t>
  </si>
  <si>
    <t>Green Bay,WI 54302-1114</t>
  </si>
  <si>
    <t>415 Gerrard</t>
  </si>
  <si>
    <t>256-764-0995</t>
  </si>
  <si>
    <t>256-766-4719</t>
  </si>
  <si>
    <t>Greene Lumber Co - Davenport</t>
  </si>
  <si>
    <t>Davenport,NY 13757</t>
  </si>
  <si>
    <t>Nashua,NH 03060</t>
  </si>
  <si>
    <t>Greenheck TN Plant - Precision Coil Div</t>
  </si>
  <si>
    <t>200 Morgan St</t>
  </si>
  <si>
    <t>Brownsville, TN 38012</t>
  </si>
  <si>
    <t>Greens Creek Mining - Seattle</t>
  </si>
  <si>
    <t>Greensburg Concrete - Greensburg</t>
  </si>
  <si>
    <t>Greensburg,PA 15601</t>
  </si>
  <si>
    <t>Greentree Forest Products</t>
  </si>
  <si>
    <t>746 Muses Mill Road</t>
  </si>
  <si>
    <t>Wallingford,KY 41093</t>
  </si>
  <si>
    <t xml:space="preserve">Greg Johnson - </t>
  </si>
  <si>
    <t xml:space="preserve">,NC </t>
  </si>
  <si>
    <t>(252) 435-4033</t>
  </si>
  <si>
    <t>Gregory Packaging - Newark</t>
  </si>
  <si>
    <t>Newark,NJ 07105</t>
  </si>
  <si>
    <t>Greif Bros. Corp - Delaware</t>
  </si>
  <si>
    <t>Delaware,OH 43015</t>
  </si>
  <si>
    <t>Greif Bros. Corp. - Charlotte</t>
  </si>
  <si>
    <t>Greif Brothers Corp</t>
  </si>
  <si>
    <t>10700 Strang Road</t>
  </si>
  <si>
    <t>Laporte, TX 77571</t>
  </si>
  <si>
    <t>Kaman Ind - Houston, TX Customer</t>
  </si>
  <si>
    <t>Greson Technical Sal - Beaumont</t>
  </si>
  <si>
    <t>Gretag Imaging Group - Chicopee</t>
  </si>
  <si>
    <t>Chicopee,MA 01022</t>
  </si>
  <si>
    <t>Grey Pilgrim, Inc. - Rockville</t>
  </si>
  <si>
    <t>Rockville,MD 20850</t>
  </si>
  <si>
    <t>Grief Bros. Corp. - Hebron</t>
  </si>
  <si>
    <t>Hebron,OH 43025</t>
  </si>
  <si>
    <t>Griffin Ind - Newberry</t>
  </si>
  <si>
    <t>Newberry,IN 47449</t>
  </si>
  <si>
    <t>Griffin Lumber Co - Cordell</t>
  </si>
  <si>
    <t>Cordell,GA 31015</t>
  </si>
  <si>
    <t>Griffin Pipe Product - Lynchburg</t>
  </si>
  <si>
    <t>Lynchburg,VA 24505</t>
  </si>
  <si>
    <t>Griffin Wheel Co - Kansas City</t>
  </si>
  <si>
    <t>7111 Griffin Road</t>
  </si>
  <si>
    <t>Kansas City,KS 66111</t>
  </si>
  <si>
    <t>(913) 596-7407</t>
  </si>
  <si>
    <t>(913) 299-4167</t>
  </si>
  <si>
    <t>Griffith Rubber Mill - Orland</t>
  </si>
  <si>
    <t>Orland,IN 46776</t>
  </si>
  <si>
    <t>Grimco Presses</t>
  </si>
  <si>
    <t>973-345-0660</t>
  </si>
  <si>
    <t>973-345-0686</t>
  </si>
  <si>
    <t>sales@grimcopresses.com</t>
  </si>
  <si>
    <t>Grimm Brothers Plast - Wapello</t>
  </si>
  <si>
    <t>Wapello,IA 52653</t>
  </si>
  <si>
    <t>Grm Corporation - Pigeon</t>
  </si>
  <si>
    <t>Pigeon,MI 48755</t>
  </si>
  <si>
    <t>611  4th Ave So</t>
  </si>
  <si>
    <t>Grosch Irrigation/No - Marion</t>
  </si>
  <si>
    <t>Marion,IA 52302</t>
  </si>
  <si>
    <t>400 East Cotton St.</t>
  </si>
  <si>
    <t>Carthage, TX 75633</t>
  </si>
  <si>
    <t>903-407-5494</t>
  </si>
  <si>
    <t>5 N MARKET ST</t>
  </si>
  <si>
    <t>SAINT LOUIS, MO 63102-1415</t>
  </si>
  <si>
    <t>APPLIED -EARTH CITY, MO CUSTOMER</t>
  </si>
  <si>
    <t>Grote Company - Blacklick</t>
  </si>
  <si>
    <t>Blacklick,OH 43004</t>
  </si>
  <si>
    <t>Grover Machine - Saint Louis</t>
  </si>
  <si>
    <t>207 Prospect Avenue</t>
  </si>
  <si>
    <t>Saint Louis,MO 63122</t>
  </si>
  <si>
    <t>(314) 965-6808</t>
  </si>
  <si>
    <t>(314) 965-7046</t>
  </si>
  <si>
    <t>Groverton Paperboard - Groverton</t>
  </si>
  <si>
    <t>Groverton,NH 03582</t>
  </si>
  <si>
    <t>Groves Industrial Supply</t>
  </si>
  <si>
    <t>7301 Pinemont Dr.</t>
  </si>
  <si>
    <t>Houston, TX 77040</t>
  </si>
  <si>
    <t>Grs Duratek - Oak Ridge</t>
  </si>
  <si>
    <t>Oak Ridge,TN 37831</t>
  </si>
  <si>
    <t>GS Hydraulics - New Berlin</t>
  </si>
  <si>
    <t>5050 S Town Drive</t>
  </si>
  <si>
    <t>(800) 261-8735</t>
  </si>
  <si>
    <t>(262) 901-1061</t>
  </si>
  <si>
    <t>Guam Shipyard - Santa Rita</t>
  </si>
  <si>
    <t>Santa Rita,GU 96915</t>
  </si>
  <si>
    <t>Guild International - Bedford</t>
  </si>
  <si>
    <t>Bedford,OH 44146</t>
  </si>
  <si>
    <t>Gulf Central Hydraulics - New Port Richey</t>
  </si>
  <si>
    <t>6209 Massachusette Ave</t>
  </si>
  <si>
    <t>New Port Richey,FL 34653</t>
  </si>
  <si>
    <t>(727) 848-0548</t>
  </si>
  <si>
    <t>(727) 845-5754</t>
  </si>
  <si>
    <t>3415 Halls Mill Road</t>
  </si>
  <si>
    <t>Mobile,AL 36616</t>
  </si>
  <si>
    <t>(800) 947-1012</t>
  </si>
  <si>
    <t>(251) 666-6684</t>
  </si>
  <si>
    <t>Gulf Coast Bearing - Corpus Christi</t>
  </si>
  <si>
    <t>Corpus Christi,TX 784</t>
  </si>
  <si>
    <t>Gulf Coast Ind Sale - Orange</t>
  </si>
  <si>
    <t>Gulf Coast Marine</t>
  </si>
  <si>
    <t>7608 Hwy 90 West</t>
  </si>
  <si>
    <t>New Iberia, LA, 70562</t>
  </si>
  <si>
    <t>OilQuip's Customer</t>
  </si>
  <si>
    <t>Gulf Coast Oil-Field Products</t>
  </si>
  <si>
    <t>2650 Matilda Drive</t>
  </si>
  <si>
    <t>Houston, TX 77032-3336</t>
  </si>
  <si>
    <t>Gulf Coast Transit - Ruskin</t>
  </si>
  <si>
    <t>Ruskin,FL 33570</t>
  </si>
  <si>
    <t>Gulf Controls Company - Tampa</t>
  </si>
  <si>
    <t>5201 Tampa West Blvd</t>
  </si>
  <si>
    <t>Tampa,FL 33684</t>
  </si>
  <si>
    <t>(800) 282-9125</t>
  </si>
  <si>
    <t>(813) 888-5680</t>
  </si>
  <si>
    <t>10420 Lamey Bridge Road</t>
  </si>
  <si>
    <t>D'Iberville,MS 39540</t>
  </si>
  <si>
    <t>(228) 392-1275</t>
  </si>
  <si>
    <t>(228) 392-5784</t>
  </si>
  <si>
    <t>Gulf Lumber Company - Mobile</t>
  </si>
  <si>
    <t>Mobile,AL 36610</t>
  </si>
  <si>
    <t>Gulf Machine Shop - Lake Charles</t>
  </si>
  <si>
    <t>Gulf Mfg Co - Rocky Hill</t>
  </si>
  <si>
    <t>Rocky Hill,CT 06067</t>
  </si>
  <si>
    <t>Gulf South Machine - Ponchatoula</t>
  </si>
  <si>
    <t>39611 West I 55 Service Road</t>
  </si>
  <si>
    <t>Ponchatoula,LA 70454</t>
  </si>
  <si>
    <t>(985) 386-9401</t>
  </si>
  <si>
    <t>(985) 386-9206</t>
  </si>
  <si>
    <t>Gulf States Hydraulics</t>
  </si>
  <si>
    <t>3111 Jack Brooks Rd. off Hwy. 90 East</t>
  </si>
  <si>
    <t>New Iberia, LA 70560</t>
  </si>
  <si>
    <t>Gulf States Paper Co - Demopolis</t>
  </si>
  <si>
    <t>28270 Us Highway 80 West</t>
  </si>
  <si>
    <t>(334) 289-1242</t>
  </si>
  <si>
    <t>Gulistan Carpet - Wargram</t>
  </si>
  <si>
    <t>Wargram,NC 28396</t>
  </si>
  <si>
    <t>Gunderson Inc - Portland</t>
  </si>
  <si>
    <t>GUNITE DIVISION</t>
  </si>
  <si>
    <t>411 BLACKHAWK PARK AVE</t>
  </si>
  <si>
    <t>ROCKFORD, IL 61104</t>
  </si>
  <si>
    <t>Guntersville Sheet Metal - Guntersville</t>
  </si>
  <si>
    <t>11201 US Hwy 431</t>
  </si>
  <si>
    <t>Guntersville,AL 35976</t>
  </si>
  <si>
    <t>(256) 878-7182</t>
  </si>
  <si>
    <t>(256) 878-7189</t>
  </si>
  <si>
    <t>Gusmer Corp. - Lakewood</t>
  </si>
  <si>
    <t>Lakewood,NJ 08701</t>
  </si>
  <si>
    <t>Guy Bennett Lumber C - Clarkstown</t>
  </si>
  <si>
    <t>Clarkstown,WA 99403</t>
  </si>
  <si>
    <t>Guy Industrial Construction Inc.</t>
  </si>
  <si>
    <t>5508 Jug Factory Rd</t>
  </si>
  <si>
    <t>205-248-0101</t>
  </si>
  <si>
    <t>205-248-0102</t>
  </si>
  <si>
    <t>Guzzler Mfg - Birmingham</t>
  </si>
  <si>
    <t>575 37th Street North</t>
  </si>
  <si>
    <t>Birmingham,AL 35222</t>
  </si>
  <si>
    <t>(205) 699-6790</t>
  </si>
  <si>
    <t>Gvb - Ellington</t>
  </si>
  <si>
    <t>Gy Packaging - Wauconda</t>
  </si>
  <si>
    <t>Stayton,OR 97383</t>
  </si>
  <si>
    <t>912 19 1/2 Road</t>
  </si>
  <si>
    <t>Fruita,CO 81521</t>
  </si>
  <si>
    <t>(970) 858-7442</t>
  </si>
  <si>
    <t>(970) 858-1194</t>
  </si>
  <si>
    <t>Vanderbilt,MI 49795</t>
  </si>
  <si>
    <t>Hillsboro,OR 97123</t>
  </si>
  <si>
    <t>H B Fuller Company - Vancouver</t>
  </si>
  <si>
    <t>Vancouver,WA 98686</t>
  </si>
  <si>
    <t>H C R Hydraulics - Portland</t>
  </si>
  <si>
    <t>H H Machine Tool - Cedar Falls</t>
  </si>
  <si>
    <t xml:space="preserve">Cedar Falls,IA </t>
  </si>
  <si>
    <t>H L Ledeen Associate - Sun Valley</t>
  </si>
  <si>
    <t>H S D Corporation - Spokane</t>
  </si>
  <si>
    <t>H&amp;H Bearing - Hunnington Beach</t>
  </si>
  <si>
    <t>Hunnington Beach,CA 92</t>
  </si>
  <si>
    <t>H&amp;P Technologies, Inc.</t>
  </si>
  <si>
    <t xml:space="preserve">21251 Ryan Road </t>
  </si>
  <si>
    <t>Warren, MI  48091</t>
  </si>
  <si>
    <t xml:space="preserve">(586) 758-0100 x 120 </t>
  </si>
  <si>
    <t xml:space="preserve">(586) 758-2079 </t>
  </si>
  <si>
    <t>H. C. R. - Portland</t>
  </si>
  <si>
    <t>H. Lorimer Corp. - Longview</t>
  </si>
  <si>
    <t>Longview,TX 75603</t>
  </si>
  <si>
    <t>H.C.M. Inc. - Alsip</t>
  </si>
  <si>
    <t>H.E. Services - Saginaw</t>
  </si>
  <si>
    <t>Saginaw,MI 48601</t>
  </si>
  <si>
    <t>H.E. Vannatter - Detroit</t>
  </si>
  <si>
    <t>Leola,AR 72084</t>
  </si>
  <si>
    <t>H.P. Hydraulics - Thomasville</t>
  </si>
  <si>
    <t>1020 National Highway</t>
  </si>
  <si>
    <t>Thomasville,NC 27360</t>
  </si>
  <si>
    <t>(336) 472-3311</t>
  </si>
  <si>
    <t>(336) 472-4329</t>
  </si>
  <si>
    <t>Haasco Inc - Evansville</t>
  </si>
  <si>
    <t>Haasco Inc - Henderson</t>
  </si>
  <si>
    <t>27 US Highway 41 S</t>
  </si>
  <si>
    <t>(800) 737-8808</t>
  </si>
  <si>
    <t>(270) 826-8812</t>
  </si>
  <si>
    <t>Habasit Abt - Middletown</t>
  </si>
  <si>
    <t>Middletown,CT 06457</t>
  </si>
  <si>
    <t>Hagemeyer-Cambar</t>
  </si>
  <si>
    <t>200 General Street</t>
  </si>
  <si>
    <t>Batesville ,AR 72501</t>
  </si>
  <si>
    <t>Hagerstown Block Co. - Hagerstown</t>
  </si>
  <si>
    <t>Hagerstown,MD 21740</t>
  </si>
  <si>
    <t>Hajoca Corporation - Emporia</t>
  </si>
  <si>
    <t>506 Funston St</t>
  </si>
  <si>
    <t>Emporia,KS 66801</t>
  </si>
  <si>
    <t>(316) 342-7121</t>
  </si>
  <si>
    <t>Halliburton Corp - Carrollton, TX</t>
  </si>
  <si>
    <t>2601 Beltline Road</t>
  </si>
  <si>
    <t>Carrollton, TX 75006</t>
  </si>
  <si>
    <t>Motion Ind Dallas Tx - Customer</t>
  </si>
  <si>
    <t>Hallock Hydraulic Inc - Ann Arbor</t>
  </si>
  <si>
    <t>573 State Circle</t>
  </si>
  <si>
    <t>Ann Arbor,MI 48108</t>
  </si>
  <si>
    <t>(734) 663-5100</t>
  </si>
  <si>
    <t>(734) 663-2747</t>
  </si>
  <si>
    <t>Halter Marine Pascag - Pascagoula</t>
  </si>
  <si>
    <t>Pascagoula,MS 39562</t>
  </si>
  <si>
    <t>Halton Co. - The Dalles</t>
  </si>
  <si>
    <t>The Dalles,OR 97058</t>
  </si>
  <si>
    <t>Hamel Forest Product - Vesper</t>
  </si>
  <si>
    <t>Vesper,WI 54489</t>
  </si>
  <si>
    <t>Hamilton Form Co., I - Fort Worth</t>
  </si>
  <si>
    <t>Fort Worth,TX 76101</t>
  </si>
  <si>
    <t>Hamilton Tool Co - Hamilton</t>
  </si>
  <si>
    <t>Hamilton,OH 45014</t>
  </si>
  <si>
    <t>Hamm's Hydraulics - Crossett</t>
  </si>
  <si>
    <t>Crossett,AR 71635</t>
  </si>
  <si>
    <t>Hampton Lumber Mills - Tillamook</t>
  </si>
  <si>
    <t>Tillamook,OR 97141</t>
  </si>
  <si>
    <t>Hampton Rubber Co. - Norfolk</t>
  </si>
  <si>
    <t>Hampton/Nasa Steam P - Hampton</t>
  </si>
  <si>
    <t>Hampton,VA 23666</t>
  </si>
  <si>
    <t>Hancock Lumber Co - Casco</t>
  </si>
  <si>
    <t>Casco,ME 04015</t>
  </si>
  <si>
    <t>Hankins Incorp - Ripley</t>
  </si>
  <si>
    <t>Ripley,MS 38663</t>
  </si>
  <si>
    <t>Hankins Lumber Co - Elliott</t>
  </si>
  <si>
    <t>Elliott,MS 38926</t>
  </si>
  <si>
    <t>Hanks Lumber Co. - Danbury</t>
  </si>
  <si>
    <t>Danbury,NC 27016</t>
  </si>
  <si>
    <t>Hanks Lumber Co. Inc - Lawsonville</t>
  </si>
  <si>
    <t>Lawsonville,NC 27022</t>
  </si>
  <si>
    <t>Hanna Cylinders</t>
  </si>
  <si>
    <t>804E Park Ave.</t>
  </si>
  <si>
    <t>Libertyville, Il 60048</t>
  </si>
  <si>
    <t>Hanna Steel Corp</t>
  </si>
  <si>
    <t>1701 Boone Blvd</t>
  </si>
  <si>
    <t>Northport, AL 35476</t>
  </si>
  <si>
    <t>Motion Ind - Tuscaloosa, AL's Customer</t>
  </si>
  <si>
    <t>Hansen-Sterling Drum - Chicago</t>
  </si>
  <si>
    <t>Chicago,IL 60620</t>
  </si>
  <si>
    <t>Hanson Concrete Pro - Houston</t>
  </si>
  <si>
    <t>Hanson Mold - St. Joseph</t>
  </si>
  <si>
    <t>7970 Waterloo Road</t>
  </si>
  <si>
    <t>Jessup,MD   20794</t>
  </si>
  <si>
    <t>Han-Tek, Inc - Victor</t>
  </si>
  <si>
    <t>Victor,NY 14564</t>
  </si>
  <si>
    <t>Hapeco, Inc. - Irving</t>
  </si>
  <si>
    <t>108 South Nursery Road</t>
  </si>
  <si>
    <t>Irving,TX 75060</t>
  </si>
  <si>
    <t>Phone 972-721-9877</t>
  </si>
  <si>
    <t>(972) 721-9877</t>
  </si>
  <si>
    <t>Harbison-Walker Refr - Fairfield</t>
  </si>
  <si>
    <t>2595 Ensley / Pleasant Grove Rd.</t>
  </si>
  <si>
    <t>Fairfield,AL 35064</t>
  </si>
  <si>
    <t>205-787-2691</t>
  </si>
  <si>
    <t>205-781-7776</t>
  </si>
  <si>
    <t>Harbor Hydraulic - Fairhaven</t>
  </si>
  <si>
    <t>Fairhaven,MA 02719</t>
  </si>
  <si>
    <t>Hard Board Operation - Gaston</t>
  </si>
  <si>
    <t>Hardcore Dupont/Trin - New Castle</t>
  </si>
  <si>
    <t>New Castle,DE 19720</t>
  </si>
  <si>
    <t>Hardigg - Columbus</t>
  </si>
  <si>
    <t>Hardin Farms</t>
  </si>
  <si>
    <t xml:space="preserve">Moulton, AL </t>
  </si>
  <si>
    <t>256-668-1159</t>
  </si>
  <si>
    <t>Hardwood Ind, Inc. - Tualatin</t>
  </si>
  <si>
    <t>Hardwood Od Michigan - Clinton</t>
  </si>
  <si>
    <t>Clinton,MI 49236</t>
  </si>
  <si>
    <t>Harger Farms - Noblesville</t>
  </si>
  <si>
    <t>Broken Arrow,OK 7401</t>
  </si>
  <si>
    <t>Harmon, Inc - Orlando</t>
  </si>
  <si>
    <t>Orlando,FL 32804</t>
  </si>
  <si>
    <t>Harper's - Post Falls</t>
  </si>
  <si>
    <t>Post Falls,ID 83854</t>
  </si>
  <si>
    <t>Harrigan Lumber Co. - Monroeville</t>
  </si>
  <si>
    <t>Monroeville,AL 36461</t>
  </si>
  <si>
    <t>Harris Acoustic Prod - East Walpole</t>
  </si>
  <si>
    <t>East Walpole,MA 0203</t>
  </si>
  <si>
    <t>Harris Corporation - Palm Bay</t>
  </si>
  <si>
    <t>Harris Waste - Baxley - Baxley</t>
  </si>
  <si>
    <t>Jekyll Road</t>
  </si>
  <si>
    <t>Baxley,GA 31513</t>
  </si>
  <si>
    <t>(912) 367-4661</t>
  </si>
  <si>
    <t>Harrison Piping - Midland</t>
  </si>
  <si>
    <t>Harsco Track Technol - West Columbia</t>
  </si>
  <si>
    <t>West Columbia,SC 29169</t>
  </si>
  <si>
    <t>Holland,MI 49423</t>
  </si>
  <si>
    <t>4910 Moores Mill Road NE</t>
  </si>
  <si>
    <t>Huntsville, AL 35811</t>
  </si>
  <si>
    <t>256-859-7224</t>
  </si>
  <si>
    <t>Hartzell Hardwoods - Piqua</t>
  </si>
  <si>
    <t>Piqua,OH 45356</t>
  </si>
  <si>
    <t>Hartzell Propeller, - Piqua</t>
  </si>
  <si>
    <t>Harvey Manufacturing - Beebe</t>
  </si>
  <si>
    <t>Beebe,AR 72012</t>
  </si>
  <si>
    <t>Harvey's Machine - Coeur D'Alene</t>
  </si>
  <si>
    <t>Hasbro Ind - Central Falls</t>
  </si>
  <si>
    <t>Central Falls,RI 28</t>
  </si>
  <si>
    <t>Hasco Ind - Jefferson</t>
  </si>
  <si>
    <t>Jefferson,OH 44047</t>
  </si>
  <si>
    <t>Hastings Filters - Yankton</t>
  </si>
  <si>
    <t>Hastings Machine - Hastings</t>
  </si>
  <si>
    <t>Hastings,PA 16646</t>
  </si>
  <si>
    <t>Hatch Stamping Co - Chelsea</t>
  </si>
  <si>
    <t>Chelsea,MI 48118</t>
  </si>
  <si>
    <t>Hattiesburg Hydraulics - Hattiesburg</t>
  </si>
  <si>
    <t>6967 US Hwy 49</t>
  </si>
  <si>
    <t>(601) 264-6606</t>
  </si>
  <si>
    <t>(601) 261-0936</t>
  </si>
  <si>
    <t>Havco Wood Products - Cape Girardeau</t>
  </si>
  <si>
    <t>Cape Girardeau,MO 63702</t>
  </si>
  <si>
    <t>Haven Manufacturing - Brunswick</t>
  </si>
  <si>
    <t>Hawaiian Fluid Power - Honolulu</t>
  </si>
  <si>
    <t>803 Ahua Street</t>
  </si>
  <si>
    <t>Honolulu,HI 96819</t>
  </si>
  <si>
    <t>Hawaiian Fluid Power - Kahului, Maui</t>
  </si>
  <si>
    <t>400 Dairy Road</t>
  </si>
  <si>
    <t>Kahului, Maui,HI 96732</t>
  </si>
  <si>
    <t>(808) 877-6881</t>
  </si>
  <si>
    <t>(808) 871-7036</t>
  </si>
  <si>
    <t>Hawkeye Concrete Group - Mediapolis</t>
  </si>
  <si>
    <t xml:space="preserve">Mediapolis,IA </t>
  </si>
  <si>
    <t>Hawkeye Forest Products</t>
  </si>
  <si>
    <t>23830 E 4th Street</t>
  </si>
  <si>
    <t>Tremealeau, WI 54661</t>
  </si>
  <si>
    <t>Jesup,IA 50648</t>
  </si>
  <si>
    <t>Hawkeye Woodshavings - Des Moines</t>
  </si>
  <si>
    <t>Des Moines,IA 50317</t>
  </si>
  <si>
    <t>Hayes Albion - Bridgeton</t>
  </si>
  <si>
    <t>Bridgeton,MS 63044</t>
  </si>
  <si>
    <t>Hayes Lemmerz - Gainesville</t>
  </si>
  <si>
    <t>Gainesville,GA 30501</t>
  </si>
  <si>
    <t>Hayes Lemmerz Equipment - Augres</t>
  </si>
  <si>
    <t>Hayes Lemmerz Int'L - Bristol</t>
  </si>
  <si>
    <t>Hayes Lemmerz Pac Di - Montague</t>
  </si>
  <si>
    <t>Montague,MI 49437</t>
  </si>
  <si>
    <t>Hayes Manufacturing - Pineville</t>
  </si>
  <si>
    <t>106 Pelican Drive</t>
  </si>
  <si>
    <t>Hayes Wheels Intl - Sedalia</t>
  </si>
  <si>
    <t xml:space="preserve">Sedalia,MO </t>
  </si>
  <si>
    <t>Haynes International</t>
  </si>
  <si>
    <t>West Diffenbaugh</t>
  </si>
  <si>
    <t>Kokomo, IN 46901</t>
  </si>
  <si>
    <t>Haynes International Inc - Arcadia</t>
  </si>
  <si>
    <t>3786 2Nd St</t>
  </si>
  <si>
    <t>Arcadia,LA 71001</t>
  </si>
  <si>
    <t>(318) 263-2002</t>
  </si>
  <si>
    <t>Haynes International Inc - Kokomo</t>
  </si>
  <si>
    <t>1020 W Park Ave</t>
  </si>
  <si>
    <t>Kokomo,IN 46901</t>
  </si>
  <si>
    <t>(765) 456-6000</t>
  </si>
  <si>
    <t>Haynes International, Inc.</t>
  </si>
  <si>
    <t>2000 West Deffenbaugh</t>
  </si>
  <si>
    <t>Hazelhurst Lumber - Hazelhurst</t>
  </si>
  <si>
    <t>Hazelhurst,MS 39083</t>
  </si>
  <si>
    <t>Hazelwood Farm Baker - St Louis</t>
  </si>
  <si>
    <t>St Louis,MO 63042</t>
  </si>
  <si>
    <t>Hazleton Pumps Inc. - Hazleton</t>
  </si>
  <si>
    <t>Header Products - Rose City</t>
  </si>
  <si>
    <t>Healthier Choice - Dalton</t>
  </si>
  <si>
    <t>800 W. Jefferson Street</t>
  </si>
  <si>
    <t>Heartland Building Products - Booneville</t>
  </si>
  <si>
    <t>300 Park Place</t>
  </si>
  <si>
    <t>Booneville,MS 38829</t>
  </si>
  <si>
    <t>(662) 728-6261</t>
  </si>
  <si>
    <t>Heartland Steel - Terre Haute</t>
  </si>
  <si>
    <t>Terre Haute,IN 47802</t>
  </si>
  <si>
    <t>Heat N Glo - Lake City</t>
  </si>
  <si>
    <t>HeatTek</t>
  </si>
  <si>
    <t>Weimer Bearing Customer-do Not Sale Direct</t>
  </si>
  <si>
    <t>Baton Rouge,LA 70895</t>
  </si>
  <si>
    <t>Hedwin Corp - Baltimore</t>
  </si>
  <si>
    <t>Baltimore,MD 21211</t>
  </si>
  <si>
    <t>Tampa,FL 33634</t>
  </si>
  <si>
    <t>Heeren Company - East Peoria</t>
  </si>
  <si>
    <t>Heick Die Casting Co - Chicago</t>
  </si>
  <si>
    <t>Chicago,IL 60635</t>
  </si>
  <si>
    <t>Heidtman Steel Produ - Baltimore</t>
  </si>
  <si>
    <t>Baltimore,MD 21222</t>
  </si>
  <si>
    <t>Heil Chicago Inc - Mc Cook</t>
  </si>
  <si>
    <t>Mc Cook,IL 60525</t>
  </si>
  <si>
    <t>Heil Parts West - Phoenix</t>
  </si>
  <si>
    <t>Phoenix,AZ 85004</t>
  </si>
  <si>
    <t>Heine Plastic - Freeport</t>
  </si>
  <si>
    <t>Freeport,IL 61032</t>
  </si>
  <si>
    <t>Heinz Frozen Food Co - Ontario</t>
  </si>
  <si>
    <t>Ontario,OR 97914</t>
  </si>
  <si>
    <t>Coeur D Alene,ID 8381</t>
  </si>
  <si>
    <t>Hella Electronics Corp.</t>
  </si>
  <si>
    <t>#5 Industrial Park</t>
  </si>
  <si>
    <t>Flora, IL 62839</t>
  </si>
  <si>
    <t>IBT Customer</t>
  </si>
  <si>
    <t>Hembree Machine Inc</t>
  </si>
  <si>
    <t>533 Trinity Lane</t>
  </si>
  <si>
    <t>355-9568</t>
  </si>
  <si>
    <t>Hendricksen Suspensi - Canton</t>
  </si>
  <si>
    <t>Hendrickson Aux Axle - Hebron</t>
  </si>
  <si>
    <t>Hendrickson Suspensi - Woodridge</t>
  </si>
  <si>
    <t>Woodridge,IL 60517</t>
  </si>
  <si>
    <t>Hendrickson Trailer - Clarksville</t>
  </si>
  <si>
    <t>Hendrix Fabricators - Piedmont</t>
  </si>
  <si>
    <t>Piedmont,SC 29673</t>
  </si>
  <si>
    <t>Henry A. Petter Supply - Mt. Vernon</t>
  </si>
  <si>
    <t>Mt. Vernon,IL 62864</t>
  </si>
  <si>
    <t>Henry M Wood - Louisville</t>
  </si>
  <si>
    <t>2305 Taylorsville Road</t>
  </si>
  <si>
    <t>Louisville,Ky 40205</t>
  </si>
  <si>
    <t>(502) 452-2661</t>
  </si>
  <si>
    <t>(502) 452-2662</t>
  </si>
  <si>
    <t>Henry M. Wood Co. - Cincinnati</t>
  </si>
  <si>
    <t>3151 Eastern Avenue</t>
  </si>
  <si>
    <t>Cincinnati,OH 45226</t>
  </si>
  <si>
    <t>(800) 253-7714</t>
  </si>
  <si>
    <t>(513) 871-6924</t>
  </si>
  <si>
    <t>Henry M. Wood Co. - Dayton</t>
  </si>
  <si>
    <t>135 West Dorothy Lane Suite 105</t>
  </si>
  <si>
    <t>Dayton,OH 45429</t>
  </si>
  <si>
    <t>(937) 298-0157</t>
  </si>
  <si>
    <t>(937) 298-2873</t>
  </si>
  <si>
    <t>Henry M. Wood Co. - Indianapolis</t>
  </si>
  <si>
    <t>5172 E. 65th Street</t>
  </si>
  <si>
    <t>Indianapolis,IN 46220</t>
  </si>
  <si>
    <t>(317) 849-2314</t>
  </si>
  <si>
    <t>(317) 577-9161</t>
  </si>
  <si>
    <t>Henry M. Wood Co. - Lexington</t>
  </si>
  <si>
    <t>312 Crillon Drive</t>
  </si>
  <si>
    <t>Lexington,KY 40523</t>
  </si>
  <si>
    <t>(859) 277-8663</t>
  </si>
  <si>
    <t>(859) 278-0802</t>
  </si>
  <si>
    <t>Henry M. Wood Co. - Worthington</t>
  </si>
  <si>
    <t>808 High Street</t>
  </si>
  <si>
    <t>Worthington,OH 43085</t>
  </si>
  <si>
    <t>(614) 888-3939</t>
  </si>
  <si>
    <t>(614) 888-3943</t>
  </si>
  <si>
    <t>Henry Pratt - North Aurora</t>
  </si>
  <si>
    <t xml:space="preserve">North Aurora,IL </t>
  </si>
  <si>
    <t>(877) 436-7977 ext.4140</t>
  </si>
  <si>
    <t xml:space="preserve">Henry Thompson </t>
  </si>
  <si>
    <t>Local Customer</t>
  </si>
  <si>
    <t>Hercules Hydraulics - Clearwater</t>
  </si>
  <si>
    <t>1016 N. Belcher Road</t>
  </si>
  <si>
    <t>Clearwater,FL 33765</t>
  </si>
  <si>
    <t>(800) 333-5617</t>
  </si>
  <si>
    <t>(800) 759-6391</t>
  </si>
  <si>
    <t>Hercules Inc. - Brunswick</t>
  </si>
  <si>
    <t>Brunswick,GA 31520</t>
  </si>
  <si>
    <t>Heritage Custom Fabr - Princeton</t>
  </si>
  <si>
    <t>Princeton,IN 47670</t>
  </si>
  <si>
    <t>Herman Schwabe Inc - W Hazelton</t>
  </si>
  <si>
    <t>W Hazelton,PA 18201</t>
  </si>
  <si>
    <t>Hermetic Switch Inc - Chickasha</t>
  </si>
  <si>
    <t>Highway 92 S</t>
  </si>
  <si>
    <t>(405) 224-4046</t>
  </si>
  <si>
    <t>Herschal Products Inc - Elyria</t>
  </si>
  <si>
    <t>1201 Taylor Street</t>
  </si>
  <si>
    <t>Elyria,OH 44035</t>
  </si>
  <si>
    <t>(440) 366-5592</t>
  </si>
  <si>
    <t>Hess Construction - American Canyon</t>
  </si>
  <si>
    <t>American Canyon,CA 94</t>
  </si>
  <si>
    <t>Hettinga Equipment - Clive</t>
  </si>
  <si>
    <t>2123 Nw 111St Ct</t>
  </si>
  <si>
    <t>Clive,IA 50325</t>
  </si>
  <si>
    <t>(515) 270-6900</t>
  </si>
  <si>
    <t>Hettinga Equipment Co - Des Moines</t>
  </si>
  <si>
    <t xml:space="preserve">Des Moines,IA </t>
  </si>
  <si>
    <t>Hexcel - Decatur</t>
  </si>
  <si>
    <t>3300 Mallard Fox Drive NW</t>
  </si>
  <si>
    <t>(256) 355-3301</t>
  </si>
  <si>
    <t>Hexcel Schwebel Fibe - Anderson</t>
  </si>
  <si>
    <t>Hg Toler And Son Lumber - Leola</t>
  </si>
  <si>
    <t>HG Webber</t>
  </si>
  <si>
    <t>725 Fremont Street</t>
  </si>
  <si>
    <t>Kiel, WI 53042</t>
  </si>
  <si>
    <t>Motion Ind - Sheboygan's Customer</t>
  </si>
  <si>
    <t>Hgp Ind, Inc. - Albertville</t>
  </si>
  <si>
    <t>Albertville,MN 55301</t>
  </si>
  <si>
    <t>Hi T.E.Q - Miamisburg</t>
  </si>
  <si>
    <t>Miamisburg,OH 45342</t>
  </si>
  <si>
    <t>Hickman Lumber Co. - Emlenton</t>
  </si>
  <si>
    <t>4965 Emlenton - Clintonville Rd.</t>
  </si>
  <si>
    <t>Emlenton,PA 16373</t>
  </si>
  <si>
    <t>WPS' - Customer</t>
  </si>
  <si>
    <t>Hickory Pnuematics - Granite Falls</t>
  </si>
  <si>
    <t>Hi-Cone Div Ill Tool - Zebulon</t>
  </si>
  <si>
    <t>Zebulon,NC 27597</t>
  </si>
  <si>
    <t>Old Macon Rd. off Hwy. 158 West of Vaughn</t>
  </si>
  <si>
    <t>Vaughn,NC 27856</t>
  </si>
  <si>
    <t>252-257-2390</t>
  </si>
  <si>
    <t>985 Old Mason Hwy.</t>
  </si>
  <si>
    <t>Mason, NC 27551</t>
  </si>
  <si>
    <t>High Caliber Mld - Stevensville</t>
  </si>
  <si>
    <t>Highland Hydraulics - Highland</t>
  </si>
  <si>
    <t>Highland,IN 46322</t>
  </si>
  <si>
    <t>Highland Machine - Highland</t>
  </si>
  <si>
    <t>Highland,WI 53543</t>
  </si>
  <si>
    <t>Highland Products Inc</t>
  </si>
  <si>
    <t>43 North  48th Ave</t>
  </si>
  <si>
    <t>HILLCREST LUMBER CO.</t>
  </si>
  <si>
    <t>8389 Zuercher Road</t>
  </si>
  <si>
    <t>Apple Creek,OH 44606</t>
  </si>
  <si>
    <t>Hillshire Farm Co. - New London</t>
  </si>
  <si>
    <t>New London,WI 54961</t>
  </si>
  <si>
    <t>Hilti - Tulsa</t>
  </si>
  <si>
    <t>Hilton Valve - Redmond</t>
  </si>
  <si>
    <t>14520 NE 91st Ct.</t>
  </si>
  <si>
    <t>(425) 883-7000</t>
  </si>
  <si>
    <t>(425) 883-8080</t>
  </si>
  <si>
    <t>Hitchner Mfg - Littleton</t>
  </si>
  <si>
    <t>Littleton,NH 03561</t>
  </si>
  <si>
    <t>Hi-Tech Engineering - Hot Springs National</t>
  </si>
  <si>
    <t>400 Aviation Plaza - Suite C</t>
  </si>
  <si>
    <t>Hot Springs National,AR 71913</t>
  </si>
  <si>
    <t>(501) 760-1100</t>
  </si>
  <si>
    <t>(501) 760-1387</t>
  </si>
  <si>
    <t>Hi-Tech Equipment - Baxley</t>
  </si>
  <si>
    <t>419 Frost Industrial Boulevard</t>
  </si>
  <si>
    <t>(912) 366-9944</t>
  </si>
  <si>
    <t>466 Baxter Lane</t>
  </si>
  <si>
    <t>Winchester, TN 37398</t>
  </si>
  <si>
    <t>931-962-3332</t>
  </si>
  <si>
    <t>931-962-4401</t>
  </si>
  <si>
    <t>Hi-Teck Valve Inc. - Houston</t>
  </si>
  <si>
    <t>Hi-Temp Inc - Tuscumbia</t>
  </si>
  <si>
    <t>820 Mississippi Street</t>
  </si>
  <si>
    <t>Tuscumbia,AL 35674</t>
  </si>
  <si>
    <t>(800) 239-5066</t>
  </si>
  <si>
    <t>(256) 383-5175</t>
  </si>
  <si>
    <t>Hi-Way Concrete Products - Wareham</t>
  </si>
  <si>
    <t>Wareham,MA 02571</t>
  </si>
  <si>
    <t>Hixson Lumber Co - Magnolia</t>
  </si>
  <si>
    <t>Magnolia,AR 71753</t>
  </si>
  <si>
    <t>Hmc Corp - Contoocook</t>
  </si>
  <si>
    <t>Contoocook,NH 03229</t>
  </si>
  <si>
    <t>HMC Machinery - PIEDMONT</t>
  </si>
  <si>
    <t>1000 INDUSTRIAL PARK</t>
  </si>
  <si>
    <t>PIEDMONT,AL 36272</t>
  </si>
  <si>
    <t>(256) 447-6086</t>
  </si>
  <si>
    <t>(256) 447-2640</t>
  </si>
  <si>
    <t>Hms Ind - Blairsville</t>
  </si>
  <si>
    <t>Blairsville,PA 15717</t>
  </si>
  <si>
    <t>Durham,CT 06422</t>
  </si>
  <si>
    <t>Hobson Bros. Mold Work - Shell Rock</t>
  </si>
  <si>
    <t xml:space="preserve">Shell Rock,IA </t>
  </si>
  <si>
    <t>Hoechst Celanese Inc - Salisbury</t>
  </si>
  <si>
    <t>Salisbury,NC 28144</t>
  </si>
  <si>
    <t>Hoffman Ind - Chesapeake</t>
  </si>
  <si>
    <t>Hogges Machine - Bartow</t>
  </si>
  <si>
    <t>Bartow,GA 30413</t>
  </si>
  <si>
    <t>Hohl Industrial - Tonawanda</t>
  </si>
  <si>
    <t>Holiday Trims Inc - Belgium</t>
  </si>
  <si>
    <t>Belgium,WI 53004</t>
  </si>
  <si>
    <t>Holland Co - Chicago Heights</t>
  </si>
  <si>
    <t>Holland Hitch - Holland</t>
  </si>
  <si>
    <t>Holland Hitch Of Texas - Wylie</t>
  </si>
  <si>
    <t>Wylie,TX 75098</t>
  </si>
  <si>
    <t>Holland Supply Co - Henderson</t>
  </si>
  <si>
    <t>Henderson,NC 27536</t>
  </si>
  <si>
    <t>Holley Performance Products - Aberdeen</t>
  </si>
  <si>
    <t>704 Highway 25 South</t>
  </si>
  <si>
    <t>(662) 369-6153</t>
  </si>
  <si>
    <t>West Groton,MA 01472</t>
  </si>
  <si>
    <t>Hollywood Manufacturing - Mandeville</t>
  </si>
  <si>
    <t>PO Box 9066</t>
  </si>
  <si>
    <t>Mandeville,LA 70420</t>
  </si>
  <si>
    <t>(985) 809-0674</t>
  </si>
  <si>
    <t>(985) 893-1432</t>
  </si>
  <si>
    <t>Hollywood Mfg.Company</t>
  </si>
  <si>
    <t>21507 Bayou Court</t>
  </si>
  <si>
    <t>Abita Springs,LA 70420</t>
  </si>
  <si>
    <t>985-893-4303</t>
  </si>
  <si>
    <t>985-893-1432</t>
  </si>
  <si>
    <t>Holnam Inc. - Morgan</t>
  </si>
  <si>
    <t>Homasote Company - W. Trenton</t>
  </si>
  <si>
    <t>W. Trenton,NJ 8628</t>
  </si>
  <si>
    <t>Homeland Vinyl Products, Inc.</t>
  </si>
  <si>
    <t>3300 Pinson Valley Parkway</t>
  </si>
  <si>
    <t>Birmingham, AL 35217</t>
  </si>
  <si>
    <t>Homestead Products - Coleman</t>
  </si>
  <si>
    <t>Coleman,MI 48618</t>
  </si>
  <si>
    <t>Hon Company - Winnsboro</t>
  </si>
  <si>
    <t>Winnsboro,SC 29180</t>
  </si>
  <si>
    <t>Honeymoon Paper Prod - West Chester</t>
  </si>
  <si>
    <t>West Chester,OH 45069</t>
  </si>
  <si>
    <t>Honeywell Aircraft Landing Systems</t>
  </si>
  <si>
    <t>3520 Westmoor St.</t>
  </si>
  <si>
    <t>Honolulu Resource Rc - Kapolei</t>
  </si>
  <si>
    <t>Kapolei,HI 96707</t>
  </si>
  <si>
    <t>Honolulu Shipyard - Honolulu</t>
  </si>
  <si>
    <t>Honolulu,HI 96817</t>
  </si>
  <si>
    <t>Hood Flexible Packaging</t>
  </si>
  <si>
    <t>1961 Rombach Ave</t>
  </si>
  <si>
    <t>Wilmington, OH 45177</t>
  </si>
  <si>
    <t>Motion Ind - OH40's Customer</t>
  </si>
  <si>
    <t>Hood Ind</t>
  </si>
  <si>
    <t>1033 South Reynolds St.</t>
  </si>
  <si>
    <t>Metcalf,GA 31792</t>
  </si>
  <si>
    <t>Hood Ind - Beaumont</t>
  </si>
  <si>
    <t>Beaumont,MS 39423</t>
  </si>
  <si>
    <t>Hood Ind - Wiggins</t>
  </si>
  <si>
    <t>Wiggins,MS 39577</t>
  </si>
  <si>
    <t>Hood Ind,  Inc.</t>
  </si>
  <si>
    <t>306 Wilkerson</t>
  </si>
  <si>
    <t>Coushatta, LA 71019</t>
  </si>
  <si>
    <t>Ruston Ind - Ruston, LA's Customer</t>
  </si>
  <si>
    <t>Hooker Furniture - Maiden</t>
  </si>
  <si>
    <t>Maiden,NC 28650</t>
  </si>
  <si>
    <t>711 Daytona Street</t>
  </si>
  <si>
    <t>La Porte,IN 46350</t>
  </si>
  <si>
    <t>(219) 324-3390</t>
  </si>
  <si>
    <t>(219) 324-0815</t>
  </si>
  <si>
    <t>Hoover Universal - Beatrice</t>
  </si>
  <si>
    <t>Hoppel Plastics - Florence</t>
  </si>
  <si>
    <t>Florence,KY 41042</t>
  </si>
  <si>
    <t>Horizontal Drilling - Houston</t>
  </si>
  <si>
    <t>Houston,TX 77042</t>
  </si>
  <si>
    <t>Hormel - Austin</t>
  </si>
  <si>
    <t xml:space="preserve">Austin,MN </t>
  </si>
  <si>
    <t>(507) 377-1400</t>
  </si>
  <si>
    <t>Hormel Company - Fremont</t>
  </si>
  <si>
    <t>900 South Platte Avenue</t>
  </si>
  <si>
    <t>Fremont,NE 68025</t>
  </si>
  <si>
    <t>Horner Flooring - Dollar Bay</t>
  </si>
  <si>
    <t>Dollar Bay,MI 49922</t>
  </si>
  <si>
    <t>Horner Industrial</t>
  </si>
  <si>
    <t>513-874-8722</t>
  </si>
  <si>
    <t>513-874-0748</t>
  </si>
  <si>
    <t>Horner Industrial - Indiana</t>
  </si>
  <si>
    <t>317-231-2363</t>
  </si>
  <si>
    <t>317-808-1204</t>
  </si>
  <si>
    <t>Hoshizaki America - Peachtree</t>
  </si>
  <si>
    <t>Peachtree,GA 30269</t>
  </si>
  <si>
    <t>Hosokawa Bepex Corp - Santa Rosa</t>
  </si>
  <si>
    <t>Santa Rosa,CA 95402</t>
  </si>
  <si>
    <t>Hospital Laundry Ser - Chicago</t>
  </si>
  <si>
    <t>Hot Mill Third Florr - Fairfield</t>
  </si>
  <si>
    <t>Fairfield,AL 35604</t>
  </si>
  <si>
    <t>Houston Manufactruring Specialty Co</t>
  </si>
  <si>
    <t>9909 Wallisville Rd.</t>
  </si>
  <si>
    <t>Houston, TX 77013</t>
  </si>
  <si>
    <t>713.675.7400</t>
  </si>
  <si>
    <t>713.672.6613</t>
  </si>
  <si>
    <t>Make seals 30% off</t>
  </si>
  <si>
    <t>Howard Lumber - Statesboro</t>
  </si>
  <si>
    <t>Howe Distributing Co - Gastonia</t>
  </si>
  <si>
    <t>Gastonia,NC 28062</t>
  </si>
  <si>
    <t>Howell Metals - New Market</t>
  </si>
  <si>
    <t>New Market,VA 22844</t>
  </si>
  <si>
    <t>Howmet Dover Casting - Dover</t>
  </si>
  <si>
    <t>Howmet Turbine Co - Hampton</t>
  </si>
  <si>
    <t>HP Hydraulics - Thomasville</t>
  </si>
  <si>
    <t>1020 National Hwy</t>
  </si>
  <si>
    <t>HPE Automation - Deerfield Beach</t>
  </si>
  <si>
    <t>1020 N.W. 6Th Street, Building "E"</t>
  </si>
  <si>
    <t>Deerfield Beach,FL 33442</t>
  </si>
  <si>
    <t>(954) 429-9560</t>
  </si>
  <si>
    <t>HPM Corporation - Marion</t>
  </si>
  <si>
    <t>Marion,OH 43302</t>
  </si>
  <si>
    <t>HPS Corp. - Boulder</t>
  </si>
  <si>
    <t>Boulder,CO 80301</t>
  </si>
  <si>
    <t>HPSI - North Kansas City</t>
  </si>
  <si>
    <t>North Kansas City,MO 64116</t>
  </si>
  <si>
    <t>(816) 221-4774</t>
  </si>
  <si>
    <t>(816) 221-4591</t>
  </si>
  <si>
    <t>Hsc Controls - Buffalo</t>
  </si>
  <si>
    <t>Buffalo,NY 14221</t>
  </si>
  <si>
    <t>Hst Inc - Rochester Hills</t>
  </si>
  <si>
    <t>Rochester Hills,MI 4</t>
  </si>
  <si>
    <t>HTS Enterprises Inc</t>
  </si>
  <si>
    <t>4860 Biscayne Avenue</t>
  </si>
  <si>
    <t>Eagan,MN 55123</t>
  </si>
  <si>
    <t>Hubbell-Ohio Brass C - Aiken</t>
  </si>
  <si>
    <t>Huber Inc. - Broussard</t>
  </si>
  <si>
    <t>Huber, Inc. - Jefferson</t>
  </si>
  <si>
    <t>728 Hill Street</t>
  </si>
  <si>
    <t>Jefferson,LA 70121</t>
  </si>
  <si>
    <t>504-733-0900</t>
  </si>
  <si>
    <t>504-733-0965</t>
  </si>
  <si>
    <t>HUDCO Ind Products</t>
  </si>
  <si>
    <t>3100 Morgan Road</t>
  </si>
  <si>
    <t>Bessemer,AL 35022</t>
  </si>
  <si>
    <t>205-424-2772</t>
  </si>
  <si>
    <t>205-425-4011</t>
  </si>
  <si>
    <t>Hudson Machinery - Haverhill</t>
  </si>
  <si>
    <t>Haverhill,MA 01831</t>
  </si>
  <si>
    <t>Huffs Machine Co. - Gastonia</t>
  </si>
  <si>
    <t>Hughes Bros. - Seward</t>
  </si>
  <si>
    <t>Seward,NE 68434</t>
  </si>
  <si>
    <t>Hughes Supply - Jacksonville</t>
  </si>
  <si>
    <t>Humboldt Wedag - Fairfield</t>
  </si>
  <si>
    <t>Humbolt Wedag Inc. - Pelham</t>
  </si>
  <si>
    <t>Hunt Forest Products- NATA</t>
  </si>
  <si>
    <t>48177 Highway 51</t>
  </si>
  <si>
    <t>Natalbany, LA. 70451</t>
  </si>
  <si>
    <t>Hunt Lumber - Castor</t>
  </si>
  <si>
    <t>Castor,LA 71016</t>
  </si>
  <si>
    <t>Hunt Plywood - Natalbany</t>
  </si>
  <si>
    <t>Highway 51 North</t>
  </si>
  <si>
    <t>Natalbany,LA 70451</t>
  </si>
  <si>
    <t>Hunt Plywood - Pollock</t>
  </si>
  <si>
    <t>1860 Hwy. 924</t>
  </si>
  <si>
    <t>Pollock,LA 71467</t>
  </si>
  <si>
    <t>Huntco Steel - Byltheville</t>
  </si>
  <si>
    <t>Byltheville,AR 72315</t>
  </si>
  <si>
    <t xml:space="preserve">Hunter Electric Motor </t>
  </si>
  <si>
    <t>628 South Oakview Ave.</t>
  </si>
  <si>
    <t>Columbus, GA 31901</t>
  </si>
  <si>
    <t>Mason Dynamics' Customer</t>
  </si>
  <si>
    <t>764 County Rd 60 Sand Rd</t>
  </si>
  <si>
    <t>South Point,OH 45680</t>
  </si>
  <si>
    <t>(740) 377-4361</t>
  </si>
  <si>
    <t>(740)377-2499</t>
  </si>
  <si>
    <t>2144 3rd Avenue</t>
  </si>
  <si>
    <t>Huntington,WV 25703</t>
  </si>
  <si>
    <t>(304) 522-8391</t>
  </si>
  <si>
    <t>(304) 522-8392</t>
  </si>
  <si>
    <t>Huntsman Corporation - Port Neches</t>
  </si>
  <si>
    <t>Huron Casting - Pigeon</t>
  </si>
  <si>
    <t>Huron Hydraulics Inc - Port Huron</t>
  </si>
  <si>
    <t>2709 24th Street</t>
  </si>
  <si>
    <t>Port Huron,MI 48060</t>
  </si>
  <si>
    <t>(810) 982-8426</t>
  </si>
  <si>
    <t>Hurrican Hydraulics - Laurie</t>
  </si>
  <si>
    <t>203 South Main</t>
  </si>
  <si>
    <t>Laurie,MO 65037</t>
  </si>
  <si>
    <t>(573) 374-9975</t>
  </si>
  <si>
    <t>(573) 374-9968</t>
  </si>
  <si>
    <t>Husco International</t>
  </si>
  <si>
    <t>2239 Pewaukee Road</t>
  </si>
  <si>
    <t>Waukesha, WI, 53188</t>
  </si>
  <si>
    <t>Fluid System Components' Customer</t>
  </si>
  <si>
    <t>Hussey Copper - Leetsdale</t>
  </si>
  <si>
    <t>Huston Industiral Sa - Warrendale</t>
  </si>
  <si>
    <t>Warrendale,PA 15086</t>
  </si>
  <si>
    <t>Huston Industrial - Wexford</t>
  </si>
  <si>
    <t>Wexford,PA 15090</t>
  </si>
  <si>
    <t>HUTCHENS CONSTRUCTION CO</t>
  </si>
  <si>
    <t>17137 PLEASURE HEIGHTS</t>
  </si>
  <si>
    <t>SPRINGDALE, AR 72764</t>
  </si>
  <si>
    <t>MOTION IND - AR58 's CUSTOMER</t>
  </si>
  <si>
    <t>Huth Manufacturing - Chicago</t>
  </si>
  <si>
    <t>(800) 558-7808</t>
  </si>
  <si>
    <t>Hvide Marine Towing - Tampa</t>
  </si>
  <si>
    <t>6611 Masonic Drive</t>
  </si>
  <si>
    <t>318-442-0228</t>
  </si>
  <si>
    <t>318-619-9156</t>
  </si>
  <si>
    <t>5308 Industrial Drive</t>
  </si>
  <si>
    <t>Bossier City, LA71112</t>
  </si>
  <si>
    <t>318-221-0500</t>
  </si>
  <si>
    <t>318-221-9989</t>
  </si>
  <si>
    <t>Hydra Power Systems</t>
  </si>
  <si>
    <t>Birmingham, AL</t>
  </si>
  <si>
    <t>800-529-0854</t>
  </si>
  <si>
    <t>205-945-1998</t>
  </si>
  <si>
    <t>Hydra Works</t>
  </si>
  <si>
    <t>37505 Browns Villiage Road</t>
  </si>
  <si>
    <t>Slidell,LA 70460</t>
  </si>
  <si>
    <t>985-645-8726</t>
  </si>
  <si>
    <t>985-645-8678</t>
  </si>
  <si>
    <t>Hydradyne Hydraulics - Adamsville</t>
  </si>
  <si>
    <t>4300 Veterans Memorial Drive</t>
  </si>
  <si>
    <t>Adamsville,AL 35005</t>
  </si>
  <si>
    <t>(205) 674-6444</t>
  </si>
  <si>
    <t>(205) 674-6404</t>
  </si>
  <si>
    <t>Hydradyne Hydraulics - Alex</t>
  </si>
  <si>
    <t>Alexandia, LA 71301</t>
  </si>
  <si>
    <t>UPS Collect # 37YY56 / Freight SAIA collect</t>
  </si>
  <si>
    <t>Hydradyne Hydraulics - Arlington</t>
  </si>
  <si>
    <t>1185 West Corporate Drive</t>
  </si>
  <si>
    <t>Arlington,TX 76006</t>
  </si>
  <si>
    <t>(817) 607-9100</t>
  </si>
  <si>
    <t>(817) 640-4395</t>
  </si>
  <si>
    <t>Hydradyne Hydraulics - Charlotte</t>
  </si>
  <si>
    <t>2537 I-85 South</t>
  </si>
  <si>
    <t>(704) 392-6185</t>
  </si>
  <si>
    <t>(704) 393-8949</t>
  </si>
  <si>
    <t>972-602-7844</t>
  </si>
  <si>
    <t>Hydradyne Hydraulics - Harvey</t>
  </si>
  <si>
    <t>2801 Peters Road</t>
  </si>
  <si>
    <t>Harvey,LA 70058</t>
  </si>
  <si>
    <t>(504) 227-0250</t>
  </si>
  <si>
    <t>(504) 227-0851</t>
  </si>
  <si>
    <t>Hydradyne Hydraulics - Houston</t>
  </si>
  <si>
    <t>1019 Rankin Road</t>
  </si>
  <si>
    <t>Houston,TX 77073</t>
  </si>
  <si>
    <t>(281) 821-6900</t>
  </si>
  <si>
    <t>(281) 821-5939</t>
  </si>
  <si>
    <t>Hydradyne Hydraulics - Jacksonville</t>
  </si>
  <si>
    <t>5035 Saint Augustine Road</t>
  </si>
  <si>
    <t>Jacksonville,FL 32207</t>
  </si>
  <si>
    <t>(904) 730-9669</t>
  </si>
  <si>
    <t>(904) 730-8773</t>
  </si>
  <si>
    <t>Hydradyne Hydraulics - Little Rock</t>
  </si>
  <si>
    <t>9514 Interstate 30</t>
  </si>
  <si>
    <t>(501) 568-4390</t>
  </si>
  <si>
    <t>(501) 565-4921</t>
  </si>
  <si>
    <t>Hydradyne Hydraulics - Miami</t>
  </si>
  <si>
    <t>7795 NW 53rd Street</t>
  </si>
  <si>
    <t>Miami,FL 33166</t>
  </si>
  <si>
    <t>(305) 592-8735</t>
  </si>
  <si>
    <t>(305) 593-9487</t>
  </si>
  <si>
    <t>Hydradyne Hydraulics - Oklahoma City</t>
  </si>
  <si>
    <t>2701 SE 15th Street</t>
  </si>
  <si>
    <t>(405) 670-3851</t>
  </si>
  <si>
    <t>(405) 670-5244</t>
  </si>
  <si>
    <t>Hydradyne Hydraulics - Richmond</t>
  </si>
  <si>
    <t>310 Stockton Street</t>
  </si>
  <si>
    <t>Richmond,VA 23224</t>
  </si>
  <si>
    <t>(804) 233-5315</t>
  </si>
  <si>
    <t>(804) 230-0598</t>
  </si>
  <si>
    <t>Hydradyne Hydraulics - Tampa</t>
  </si>
  <si>
    <t>3001 North 50th Street</t>
  </si>
  <si>
    <t>(813) 740-2828</t>
  </si>
  <si>
    <t>(813) 740-2929</t>
  </si>
  <si>
    <t>Hydradyne Hydraulics - Theodore</t>
  </si>
  <si>
    <t>6285 Rangeline Road</t>
  </si>
  <si>
    <t>(251) 408-0242</t>
  </si>
  <si>
    <t>(251) 408-0247</t>
  </si>
  <si>
    <t>Hydradyne Hydraulics - Tucker</t>
  </si>
  <si>
    <t>4840 Hammermill Road</t>
  </si>
  <si>
    <t>(770) 934-4500</t>
  </si>
  <si>
    <t>(770) 934-4504</t>
  </si>
  <si>
    <t>Hydradyne Hydraulics - West Monroe</t>
  </si>
  <si>
    <t>1499 Natchitoches Street</t>
  </si>
  <si>
    <t>950 W. North Carrier Pkwy.</t>
  </si>
  <si>
    <t>Grand Prairie, TX. 75050</t>
  </si>
  <si>
    <t>972-602-9111</t>
  </si>
  <si>
    <t>Hydragear - Shreveport</t>
  </si>
  <si>
    <t>210 Fortson Street</t>
  </si>
  <si>
    <t>(318) 221-2083</t>
  </si>
  <si>
    <t>(318) 221-2084</t>
  </si>
  <si>
    <t>Hydrair Inc - Union Beach</t>
  </si>
  <si>
    <t>Union Beach,NJ 07735</t>
  </si>
  <si>
    <t>Hydralift Amclyde, Inc</t>
  </si>
  <si>
    <t>240 E Plato Blvd</t>
  </si>
  <si>
    <t>St. Paul, MN 55107</t>
  </si>
  <si>
    <t>Hydra-Lube Hydraulics - Fort Meade</t>
  </si>
  <si>
    <t>23 West Broadway Street</t>
  </si>
  <si>
    <t>Fort Meade,FL 33841</t>
  </si>
  <si>
    <t>(863) 285-9454</t>
  </si>
  <si>
    <t>(863) 285-9073</t>
  </si>
  <si>
    <t>Hydra-Motion - Winnipeg</t>
  </si>
  <si>
    <t>111 Bannister Road</t>
  </si>
  <si>
    <t>Winnipeg,MB R3C 381</t>
  </si>
  <si>
    <t>(204) 694-0336</t>
  </si>
  <si>
    <t>(204) 632-0849</t>
  </si>
  <si>
    <t>Hydra-Power Systems - Birmingham</t>
  </si>
  <si>
    <t>285 Lyon Lane</t>
  </si>
  <si>
    <t>Birmingham,AL 35211</t>
  </si>
  <si>
    <t>(205) 945-2929</t>
  </si>
  <si>
    <t>(205) 945-1998</t>
  </si>
  <si>
    <t>Hydra-Power Systems - Eugene</t>
  </si>
  <si>
    <t>Hydra-Power Systems - Milwaukie</t>
  </si>
  <si>
    <t>9301 Se Stanley Ave</t>
  </si>
  <si>
    <t>Milwaukie,OR 97222</t>
  </si>
  <si>
    <t>(503) 777-3361</t>
  </si>
  <si>
    <t>Hydra-Power Systems - Portland</t>
  </si>
  <si>
    <t>5445 Ne 122Nd Avenue</t>
  </si>
  <si>
    <t>Portland,OR 97230-1092</t>
  </si>
  <si>
    <t>Hydraquip - Arlington</t>
  </si>
  <si>
    <t>1119 111th Street</t>
  </si>
  <si>
    <t>Arlington,TX 76011</t>
  </si>
  <si>
    <t>(972) 660-7230</t>
  </si>
  <si>
    <t>(972) 660-1076</t>
  </si>
  <si>
    <t>HYDRAQUIP - GRAND PRAIRIE</t>
  </si>
  <si>
    <t>1122 W. NORTH CARRIER PARKWAY</t>
  </si>
  <si>
    <t>GRAND PRAIRIE, TX 75050</t>
  </si>
  <si>
    <t>972-660-7230</t>
  </si>
  <si>
    <t>Hydraquip - Houston</t>
  </si>
  <si>
    <t>4723 Pinemont</t>
  </si>
  <si>
    <t>(713) 680-1951</t>
  </si>
  <si>
    <t>(713) 680-9799</t>
  </si>
  <si>
    <t>Hydraquip - Kenner</t>
  </si>
  <si>
    <t>947 Industrial Road</t>
  </si>
  <si>
    <t>Kenner,LA 70062</t>
  </si>
  <si>
    <t>(504) 471-0830</t>
  </si>
  <si>
    <t>(504) 471-0369</t>
  </si>
  <si>
    <t>Hydraquip - Longview</t>
  </si>
  <si>
    <t>2802 Gilmar Road Suite 1</t>
  </si>
  <si>
    <t>Longview,TX 76011</t>
  </si>
  <si>
    <t>(903) 297-5812</t>
  </si>
  <si>
    <t>(903) 297-8980</t>
  </si>
  <si>
    <t>Hydraquip - San Antonio</t>
  </si>
  <si>
    <t>618-A Rhapsody Road</t>
  </si>
  <si>
    <t>San Antonio,TX 78216</t>
  </si>
  <si>
    <t>(210) 341-8896</t>
  </si>
  <si>
    <t>(210) 341-0801</t>
  </si>
  <si>
    <t>Hydra-Tech Inc - Eagle Lake</t>
  </si>
  <si>
    <t>Highway 17</t>
  </si>
  <si>
    <t>Eagle Lake,FL 33839</t>
  </si>
  <si>
    <t>(863) 293-9812</t>
  </si>
  <si>
    <t>(863) 299-0085</t>
  </si>
  <si>
    <t>Hydra-Tech Systems - West Monroe</t>
  </si>
  <si>
    <t>West Monroe,LA 71291</t>
  </si>
  <si>
    <t>5820 College Street</t>
  </si>
  <si>
    <t>(409) 860-4880</t>
  </si>
  <si>
    <t>(409) 860-3079</t>
  </si>
  <si>
    <t>485 East South Street</t>
  </si>
  <si>
    <t>(901) 853-7307</t>
  </si>
  <si>
    <t>(901) 853-8212</t>
  </si>
  <si>
    <t>Brawley,CA 92227</t>
  </si>
  <si>
    <t>Mount Kisco,NY 1</t>
  </si>
  <si>
    <t>1528 PELZER HWY</t>
  </si>
  <si>
    <t>EASLEY, SC 29642</t>
  </si>
  <si>
    <t>25 CHROME DR.</t>
  </si>
  <si>
    <t>GREENVILLE, SC 29615</t>
  </si>
  <si>
    <t>1528 Pelzer Hwy</t>
  </si>
  <si>
    <t>Easley, SC, 29642</t>
  </si>
  <si>
    <t>JIT Ind Solutions' Customer Attn: David Nalley</t>
  </si>
  <si>
    <t>Hydraulic and Pneumatic Sales - Charlotte</t>
  </si>
  <si>
    <t>11100 Park Charlotte Blvd</t>
  </si>
  <si>
    <t>Charlotte,NC 28241</t>
  </si>
  <si>
    <t>(704) 588-3234</t>
  </si>
  <si>
    <t>(704) 588-1569</t>
  </si>
  <si>
    <t>Hydraulic Automated Systems</t>
  </si>
  <si>
    <t>485 East South St. Suite 107</t>
  </si>
  <si>
    <t>901-853-7307</t>
  </si>
  <si>
    <t>901-853-8212</t>
  </si>
  <si>
    <t>Hydraulic Component Services - Hammond</t>
  </si>
  <si>
    <t>8010 New Jersey Ave</t>
  </si>
  <si>
    <t>(219) 845-7000</t>
  </si>
  <si>
    <t>(219) 845-7031</t>
  </si>
  <si>
    <t>Get 65% off MH to Match Lynair</t>
  </si>
  <si>
    <t>Hydraulic Component Services - New Berlin</t>
  </si>
  <si>
    <t>1760 S. Springdale Rd</t>
  </si>
  <si>
    <t>New Berlin,WI 53146</t>
  </si>
  <si>
    <t>(262) 549-1760</t>
  </si>
  <si>
    <t>(262) 549-3701</t>
  </si>
  <si>
    <t>Hydraulic Component Specialists - Indianapolis</t>
  </si>
  <si>
    <t>5446 Barker Lane</t>
  </si>
  <si>
    <t>Indianapolis,IN 46236</t>
  </si>
  <si>
    <t>(317) 895-6916</t>
  </si>
  <si>
    <t>(317) 895-6927</t>
  </si>
  <si>
    <t>Hydraulic Connection - Brunswick</t>
  </si>
  <si>
    <t>Brunswick,OH 44212</t>
  </si>
  <si>
    <t>Hydraulic Consulting Service - Petal</t>
  </si>
  <si>
    <t>Po Box 1023</t>
  </si>
  <si>
    <t>Petal,MS 39465</t>
  </si>
  <si>
    <t>(601) 544-3459</t>
  </si>
  <si>
    <t>Hydraulic Controls - Denver</t>
  </si>
  <si>
    <t>303-295-7500</t>
  </si>
  <si>
    <t>303-295-0912</t>
  </si>
  <si>
    <t>Hydraulic Controls - Emeryville</t>
  </si>
  <si>
    <t>4700 San Pablo Ave</t>
  </si>
  <si>
    <t>Emeryville, CA 94608</t>
  </si>
  <si>
    <t>Hydraulic Controls Inc - Chula Vista</t>
  </si>
  <si>
    <t>1596 Jayken Way</t>
  </si>
  <si>
    <t>(619) 575-8700</t>
  </si>
  <si>
    <t>(619) 575-8790</t>
  </si>
  <si>
    <t>Hydraulic Controls Inc - Pomona</t>
  </si>
  <si>
    <t>2857 Pomona Blvd</t>
  </si>
  <si>
    <t>Pomona,CA 91768</t>
  </si>
  <si>
    <t>(909) 869-7600</t>
  </si>
  <si>
    <t>Hydraulic Controls Inc. - Phoenix</t>
  </si>
  <si>
    <t>4221 West Adams Street</t>
  </si>
  <si>
    <t>Phoenix, AZ 85009</t>
  </si>
  <si>
    <t>602-272-5462</t>
  </si>
  <si>
    <t>Hydraulic Controls, Inc.</t>
  </si>
  <si>
    <t>10550 East 54th Avenue</t>
  </si>
  <si>
    <t>Denver, CO 80239</t>
  </si>
  <si>
    <t>POC - Frank Hagey  fhagey@hydraulic-controls.com</t>
  </si>
  <si>
    <t>402 W. 35th St., Suite C</t>
  </si>
  <si>
    <t>National City, CA 91950</t>
  </si>
  <si>
    <t>619-691-0215</t>
  </si>
  <si>
    <t>619-691-5390</t>
  </si>
  <si>
    <t>Hydraulic Cylinder Repair Inc - Pittsboro</t>
  </si>
  <si>
    <t>Po Box 727</t>
  </si>
  <si>
    <t>(919) 542-5442</t>
  </si>
  <si>
    <t>(919) 542-6157</t>
  </si>
  <si>
    <t>Hydraulic Depot - West Monroe</t>
  </si>
  <si>
    <t>900 Independence Drive</t>
  </si>
  <si>
    <t>West Monroe,LA 71292</t>
  </si>
  <si>
    <t>(318) 651-0101</t>
  </si>
  <si>
    <t>(318) 651-0100</t>
  </si>
  <si>
    <t>Hydraulic Drives - San Jose</t>
  </si>
  <si>
    <t>898 Commercial Street</t>
  </si>
  <si>
    <t>San Jose,CA 95112</t>
  </si>
  <si>
    <t>(408) 453-5010</t>
  </si>
  <si>
    <t>Hydraulic Energy Products - Denver</t>
  </si>
  <si>
    <t>Hydraulic Engineering Services-COD</t>
  </si>
  <si>
    <t>4916-B Cal Drive</t>
  </si>
  <si>
    <t>262-335-6656</t>
  </si>
  <si>
    <t>262-335-6676</t>
  </si>
  <si>
    <t>Hydraulic Equipment - Richmond</t>
  </si>
  <si>
    <t>Hydraulic Filter Sup - Fremont</t>
  </si>
  <si>
    <t>Fremont,IN 46737</t>
  </si>
  <si>
    <t>Hydraulic Hose and Cylinder - Plant City</t>
  </si>
  <si>
    <t>617 South Evers Drive</t>
  </si>
  <si>
    <t>Plant City,FL 33566</t>
  </si>
  <si>
    <t>(813) 759-0599</t>
  </si>
  <si>
    <t>(813) 759-2724</t>
  </si>
  <si>
    <t>Hydraulic House - Orlando</t>
  </si>
  <si>
    <t>1342 West Church Street</t>
  </si>
  <si>
    <t>Orlando,FL 32805</t>
  </si>
  <si>
    <t>(407) 422-2317</t>
  </si>
  <si>
    <t>3041 Paseo Boulevard</t>
  </si>
  <si>
    <t>Kansas City,MO 64109</t>
  </si>
  <si>
    <t>(816) 924-5551</t>
  </si>
  <si>
    <t>(816) 924-8037</t>
  </si>
  <si>
    <t>Hydraulic Power Sale - Ranco Cordova</t>
  </si>
  <si>
    <t>Ranco Cordova,CA 9</t>
  </si>
  <si>
    <t>Hydraulic Power Systems, Inc.</t>
  </si>
  <si>
    <t>N. Kansas City, MO 64116</t>
  </si>
  <si>
    <t>701 North Levee Road</t>
  </si>
  <si>
    <t>Puiallup, WA 98371</t>
  </si>
  <si>
    <t>253-604-0400</t>
  </si>
  <si>
    <t>253-848-5273</t>
  </si>
  <si>
    <t>3660 Southwest Us Highway 40</t>
  </si>
  <si>
    <t>(816) 220-9898</t>
  </si>
  <si>
    <t>(816) 220-9797</t>
  </si>
  <si>
    <t>Hydraulic Repair Corporation - Portsmouth</t>
  </si>
  <si>
    <t>2503 Detroit Street</t>
  </si>
  <si>
    <t>Portsmouth,VA 23707</t>
  </si>
  <si>
    <t>757) 397-7789</t>
  </si>
  <si>
    <t>Hydraulic Repairs Inc - Price</t>
  </si>
  <si>
    <t>Price,UT 84501</t>
  </si>
  <si>
    <t>408 Water Street</t>
  </si>
  <si>
    <t>(712) 255-3801</t>
  </si>
  <si>
    <t>(712) 277-4451</t>
  </si>
  <si>
    <t>3700 Northwest South River Dr.</t>
  </si>
  <si>
    <t>4445 Hancock Bridge Parkway</t>
  </si>
  <si>
    <t>North Fort Myers,FL 33903</t>
  </si>
  <si>
    <t>(941) 995-2330</t>
  </si>
  <si>
    <t>(941) 995-3836</t>
  </si>
  <si>
    <t>455 Highway 49 South</t>
  </si>
  <si>
    <t>Richland,MS 39218</t>
  </si>
  <si>
    <t>(601) 932-5003</t>
  </si>
  <si>
    <t>(601) 936-0076</t>
  </si>
  <si>
    <t>Hydraulic Service Company - Colorado Spings</t>
  </si>
  <si>
    <t>3315-B Chelton Loop N</t>
  </si>
  <si>
    <t>Colorado Spings,CO 80909</t>
  </si>
  <si>
    <t>(719) 591-7500</t>
  </si>
  <si>
    <t>Hydraulic Service Inc - Warren</t>
  </si>
  <si>
    <t>21251 Ryan Road</t>
  </si>
  <si>
    <t>Warren,MI 48091</t>
  </si>
  <si>
    <t>(586) 758-0100</t>
  </si>
  <si>
    <t>Hydraulic Services - Lakeland</t>
  </si>
  <si>
    <t>740 Creative Drive</t>
  </si>
  <si>
    <t>(863) 644-7511</t>
  </si>
  <si>
    <t>(863) 646-7685</t>
  </si>
  <si>
    <t>Hydraulic Services Inc - Green Bay</t>
  </si>
  <si>
    <t>3171 Yeager Drive</t>
  </si>
  <si>
    <t>Green Bay,WI 54311</t>
  </si>
  <si>
    <t>(920) 468-3012</t>
  </si>
  <si>
    <t>(920) 468-3024</t>
  </si>
  <si>
    <t>Hydraulic Specialist - Midvale</t>
  </si>
  <si>
    <t>Midvale,OH 44653</t>
  </si>
  <si>
    <t>Hydraulic Specialists Inc - Somerset</t>
  </si>
  <si>
    <t>421 Clifty Road</t>
  </si>
  <si>
    <t>(800) 374-2309</t>
  </si>
  <si>
    <t>(606) 679-9374</t>
  </si>
  <si>
    <t>Hydraulic Specialty - Cedar Rapids</t>
  </si>
  <si>
    <t>5200 18th Ave SW</t>
  </si>
  <si>
    <t>(800) 280-9696</t>
  </si>
  <si>
    <t>(319) 396-6061</t>
  </si>
  <si>
    <t>Hydraulic Specialty - Fridley</t>
  </si>
  <si>
    <t>1131 72nd Avenue NE</t>
  </si>
  <si>
    <t>Fridley,MN 55432</t>
  </si>
  <si>
    <t>(800) 622-0788</t>
  </si>
  <si>
    <t>(763) 571-2330</t>
  </si>
  <si>
    <t>Hydraulic Supply - Concord</t>
  </si>
  <si>
    <t>600 Bower Road Unit 40</t>
  </si>
  <si>
    <t>Concord,ONT L4K 4A3</t>
  </si>
  <si>
    <t>(905) 669-1622</t>
  </si>
  <si>
    <t>(905) 669-4960</t>
  </si>
  <si>
    <t>Hydraulic Supply - Grand Island</t>
  </si>
  <si>
    <t>Grand Island,NY 1407</t>
  </si>
  <si>
    <t>Hydraulic Supply - Jacksonville</t>
  </si>
  <si>
    <t>30 South Lane Avenue</t>
  </si>
  <si>
    <t>Jacksonville,FL 32208</t>
  </si>
  <si>
    <t>Hydraulic Supply - Sunrise</t>
  </si>
  <si>
    <t>300 International Pkwy</t>
  </si>
  <si>
    <t>Sunrise,FL 33325</t>
  </si>
  <si>
    <t>(954) 453-8158</t>
  </si>
  <si>
    <t>(954) 845-9113</t>
  </si>
  <si>
    <t>Hydraulic Supply Co.</t>
  </si>
  <si>
    <t>954-914-8851</t>
  </si>
  <si>
    <t>305-863-9847</t>
  </si>
  <si>
    <t>Hydraulic Supply LLC</t>
  </si>
  <si>
    <t>1416 Sportsman Lake Road</t>
  </si>
  <si>
    <t>800-461-7881</t>
  </si>
  <si>
    <t>256-739-3633</t>
  </si>
  <si>
    <t>Hydraulic Systems - Jackson</t>
  </si>
  <si>
    <t>Hydraulic Technical Services - Edmonton</t>
  </si>
  <si>
    <t>6914 34Th St.</t>
  </si>
  <si>
    <t>Edmonton,AB T6B 2X2</t>
  </si>
  <si>
    <t>(780) 468-2463</t>
  </si>
  <si>
    <t>(780) 468-2184</t>
  </si>
  <si>
    <t>Hydraulic Technique - Canby</t>
  </si>
  <si>
    <t>Canby,OR 97013</t>
  </si>
  <si>
    <t>Holtville,CA 92250</t>
  </si>
  <si>
    <t>Albuquerque,NM 87107</t>
  </si>
  <si>
    <t>Hydraulics of Texas - Houston</t>
  </si>
  <si>
    <t>1729 Brittmore Ste.A</t>
  </si>
  <si>
    <t>(800) 775-4047</t>
  </si>
  <si>
    <t>(713) 722-9355</t>
  </si>
  <si>
    <t>Hydraulics Service Inc - Portsmouth</t>
  </si>
  <si>
    <t>Portsmouth,VA 23702</t>
  </si>
  <si>
    <t>Hydril Rubber Co. - Humble</t>
  </si>
  <si>
    <t>Humble,TX 77396</t>
  </si>
  <si>
    <t>Hydro Air Inc. - North Haven</t>
  </si>
  <si>
    <t>Hydro Aluminum NA</t>
  </si>
  <si>
    <t>117 Blake Dairy Road</t>
  </si>
  <si>
    <t>Belton, SC 29627</t>
  </si>
  <si>
    <t>JIT Industrial Solutions Customer</t>
  </si>
  <si>
    <t>Hydro Cylinder - Marion</t>
  </si>
  <si>
    <t>Marion,IN 46953</t>
  </si>
  <si>
    <t>Hydro Mechanical Svc - Netcong</t>
  </si>
  <si>
    <t>Netcong,NJ 07857</t>
  </si>
  <si>
    <t>Hydro Power - Birmingham</t>
  </si>
  <si>
    <t>540 Carson Road North</t>
  </si>
  <si>
    <t>(800) 251-2262</t>
  </si>
  <si>
    <t>(205) 520-1176</t>
  </si>
  <si>
    <t>Hydro Power - Cantonment</t>
  </si>
  <si>
    <t>2987 South Highway 29</t>
  </si>
  <si>
    <t>Cantonment,FL 32533</t>
  </si>
  <si>
    <t>(850) 479-1233</t>
  </si>
  <si>
    <t>Hydro Power - Ocala, FL</t>
  </si>
  <si>
    <t>4530 NE 35th Street</t>
  </si>
  <si>
    <t>Ocala, FL, 34479</t>
  </si>
  <si>
    <t>352-236-3466</t>
  </si>
  <si>
    <t>Hydro Power Inc - Pearl, MS</t>
  </si>
  <si>
    <t>318 Airport Blvd</t>
  </si>
  <si>
    <t>Pearl, MS 39208</t>
  </si>
  <si>
    <t>601-939-6970</t>
  </si>
  <si>
    <t>601-932-1933</t>
  </si>
  <si>
    <t>Hydro Power Inc. - Jackson</t>
  </si>
  <si>
    <t>318 Airport Road South</t>
  </si>
  <si>
    <t>(601) 939-6970</t>
  </si>
  <si>
    <t>(601) 932-1933</t>
  </si>
  <si>
    <t>Hydro-Design - Mt. Juliet</t>
  </si>
  <si>
    <t>Mt. Juliet,TN 37122</t>
  </si>
  <si>
    <t>Hydro-Numatics,Inc - Jacksonville</t>
  </si>
  <si>
    <t xml:space="preserve">Hydroreptec, Inc. - </t>
  </si>
  <si>
    <t>, J7R 5C2</t>
  </si>
  <si>
    <t>Hydro-Tech - Cincinnati</t>
  </si>
  <si>
    <t>Hydrotronic</t>
  </si>
  <si>
    <t>1724 Chico Ave.</t>
  </si>
  <si>
    <t>South El Monte, CA 91733</t>
  </si>
  <si>
    <t>Hydrualic Specialty - Cedar Rapids</t>
  </si>
  <si>
    <t>Hye Precision Products - Perry</t>
  </si>
  <si>
    <t>Perry,GA 31069</t>
  </si>
  <si>
    <t>Hygenic Corp - Akron</t>
  </si>
  <si>
    <t>Akron,OH 44310</t>
  </si>
  <si>
    <t>Hylsa, S.A. De C.V. - Laredo</t>
  </si>
  <si>
    <t>Hy-Pressure Systems - Rockford</t>
  </si>
  <si>
    <t>Hyspeco - Lenexa</t>
  </si>
  <si>
    <t>10661 Widmer Rd</t>
  </si>
  <si>
    <t>(913) 469-0880</t>
  </si>
  <si>
    <t>(913) 338-0312</t>
  </si>
  <si>
    <t>Hyspeco - Springfield</t>
  </si>
  <si>
    <t>1959 E. Phelps St.</t>
  </si>
  <si>
    <t>(800) 779-2723</t>
  </si>
  <si>
    <t>(417) 866-3762</t>
  </si>
  <si>
    <t>Hyspeco - WICHITA</t>
  </si>
  <si>
    <t>1367 S. ANNA</t>
  </si>
  <si>
    <t>WICHITA,KS 67209</t>
  </si>
  <si>
    <t>(800) 234-1041</t>
  </si>
  <si>
    <t>(316) 943-2546</t>
  </si>
  <si>
    <t>Hyster Co. - Buchanan</t>
  </si>
  <si>
    <t>Hy-Tec - Ada</t>
  </si>
  <si>
    <t>Ada,OK 74820</t>
  </si>
  <si>
    <t>Hy-Tech Equipment - Phoenix</t>
  </si>
  <si>
    <t>Phoenix,AZ 85029</t>
  </si>
  <si>
    <t>Hytech Tool And Desi - Edinboro</t>
  </si>
  <si>
    <t>Edinboro,PA 16412</t>
  </si>
  <si>
    <t>I C G Castings - Dowagiac</t>
  </si>
  <si>
    <t>Dowagiac,MI 49047</t>
  </si>
  <si>
    <t>I M C Kalium Ltd - Hersey</t>
  </si>
  <si>
    <t>Hersey,MI 49639</t>
  </si>
  <si>
    <t>I Power Distribution - Graniteville</t>
  </si>
  <si>
    <t>I.E.R. - Macedonia</t>
  </si>
  <si>
    <t>I.H.M. - Richland</t>
  </si>
  <si>
    <t>I.I.T. Research - Chicago</t>
  </si>
  <si>
    <t>Chicago,IL 60616</t>
  </si>
  <si>
    <t>I.K.O. Pacific - Sumas</t>
  </si>
  <si>
    <t>Sumas,WA 98295</t>
  </si>
  <si>
    <t>I.T.M. Acqu. Co. - Grand Rapids</t>
  </si>
  <si>
    <t>IBP - Council Bluff</t>
  </si>
  <si>
    <t>Council Bluff,IA 5150</t>
  </si>
  <si>
    <t>IBP - Lexington</t>
  </si>
  <si>
    <t>(605) 235-3488</t>
  </si>
  <si>
    <t>IBP - Logansport</t>
  </si>
  <si>
    <t>Logansport,IN 46947</t>
  </si>
  <si>
    <t>IBT - Amarillo</t>
  </si>
  <si>
    <t>210 Noth Taylor</t>
  </si>
  <si>
    <t>Amarillo,TX 79107</t>
  </si>
  <si>
    <t>806-376-1466</t>
  </si>
  <si>
    <t>806-376-8361</t>
  </si>
  <si>
    <t>IBT - Chanute</t>
  </si>
  <si>
    <t>4291 South Santa Fe</t>
  </si>
  <si>
    <t>(800) 283-3536</t>
  </si>
  <si>
    <t>(620) 431-0986</t>
  </si>
  <si>
    <t>IBT - Coffeyville, KS</t>
  </si>
  <si>
    <t>2311 W. Eighth St.</t>
  </si>
  <si>
    <t>620-251-9300</t>
  </si>
  <si>
    <t>620-251-9559</t>
  </si>
  <si>
    <t>IBT - El Dorado</t>
  </si>
  <si>
    <t>619 Strong Highway</t>
  </si>
  <si>
    <t xml:space="preserve">El Dorado,AR </t>
  </si>
  <si>
    <t>(800) 722-0151</t>
  </si>
  <si>
    <t>IBT - El Paso</t>
  </si>
  <si>
    <t>6915 Industrial Avenue</t>
  </si>
  <si>
    <t>El Paso,TX 79915</t>
  </si>
  <si>
    <t>IBT - Emporia</t>
  </si>
  <si>
    <t>1925 West 6th Street</t>
  </si>
  <si>
    <t>800-950-9983</t>
  </si>
  <si>
    <t>620-342-9201</t>
  </si>
  <si>
    <t>IBT - Florence</t>
  </si>
  <si>
    <t>1360F Donaldson Road</t>
  </si>
  <si>
    <t>Erlanger,KY 41018</t>
  </si>
  <si>
    <t>859-371-7358</t>
  </si>
  <si>
    <t>859-371-7359</t>
  </si>
  <si>
    <t>IBT - Garden City</t>
  </si>
  <si>
    <t>3845 West Jones</t>
  </si>
  <si>
    <t>800-362-2198</t>
  </si>
  <si>
    <t>620-277-2728</t>
  </si>
  <si>
    <t>IBT - Grand Island</t>
  </si>
  <si>
    <t>236 W.roberts St.,Ste B</t>
  </si>
  <si>
    <t>308-384-9942</t>
  </si>
  <si>
    <t>308-384-9952</t>
  </si>
  <si>
    <t>IBT - Great Bend</t>
  </si>
  <si>
    <t>5101 8th Street</t>
  </si>
  <si>
    <t>Great Bend,KS 67530</t>
  </si>
  <si>
    <t>800-333-5916</t>
  </si>
  <si>
    <t>620-792-3139</t>
  </si>
  <si>
    <t>IBT - Hutchinson</t>
  </si>
  <si>
    <t>2503 East 14th Street</t>
  </si>
  <si>
    <t>Hutchinson, KS 67501</t>
  </si>
  <si>
    <t>620-662-4446</t>
  </si>
  <si>
    <t>620-662-4376</t>
  </si>
  <si>
    <t>IBT - Jefferson City</t>
  </si>
  <si>
    <t>2401 Industrial Drive</t>
  </si>
  <si>
    <t>Jefferson City,MO 65109</t>
  </si>
  <si>
    <t>573-635-1042</t>
  </si>
  <si>
    <t>573-635-1227</t>
  </si>
  <si>
    <t>IBT - Joplin</t>
  </si>
  <si>
    <t>2701 West 13th Street</t>
  </si>
  <si>
    <t xml:space="preserve">Joplin,MO </t>
  </si>
  <si>
    <t>417-781-2112</t>
  </si>
  <si>
    <t>417-781-8255</t>
  </si>
  <si>
    <t>IBT - Kansas City</t>
  </si>
  <si>
    <t>1700 Cherry</t>
  </si>
  <si>
    <t>Kansas City,MO 64108</t>
  </si>
  <si>
    <t>816-842-1963</t>
  </si>
  <si>
    <t>816-842-3766</t>
  </si>
  <si>
    <t>IBT - La Vista</t>
  </si>
  <si>
    <t>7029  SO. 107th Street</t>
  </si>
  <si>
    <t>LA Vista,NE 68128</t>
  </si>
  <si>
    <t>402-331-3104</t>
  </si>
  <si>
    <t>402-331-3106</t>
  </si>
  <si>
    <t>IBT - Lawrence</t>
  </si>
  <si>
    <t>516 East 8th Street</t>
  </si>
  <si>
    <t>Lawrece,KS 66044</t>
  </si>
  <si>
    <t>785-841-5771</t>
  </si>
  <si>
    <t>785-841-4889</t>
  </si>
  <si>
    <t>IBT - Lawton</t>
  </si>
  <si>
    <t>1819 South Sheridan Road</t>
  </si>
  <si>
    <t xml:space="preserve">Lawton,Ok </t>
  </si>
  <si>
    <t>(800) 235-0980</t>
  </si>
  <si>
    <t>IBT - Lenexa</t>
  </si>
  <si>
    <t>14805 West 99th St</t>
  </si>
  <si>
    <t>(913) 492-2110</t>
  </si>
  <si>
    <t>(913) 492-6825</t>
  </si>
  <si>
    <t>IBT - Liberal</t>
  </si>
  <si>
    <t>1111 East 2nd Street</t>
  </si>
  <si>
    <t xml:space="preserve"> Liberal,KS  67901</t>
  </si>
  <si>
    <t>800-688-9148</t>
  </si>
  <si>
    <t>620-624-5233</t>
  </si>
  <si>
    <t>IBT - Lincoln</t>
  </si>
  <si>
    <t>5620 Fletcher Avenue</t>
  </si>
  <si>
    <t>Lincoln,NE  68507</t>
  </si>
  <si>
    <t>402-466-1166</t>
  </si>
  <si>
    <t>402-466-9024</t>
  </si>
  <si>
    <t>IBT - Little Rock</t>
  </si>
  <si>
    <t>8203 Distribution Drive</t>
  </si>
  <si>
    <t>501-568-5700</t>
  </si>
  <si>
    <t>501-568-3138</t>
  </si>
  <si>
    <t>IBT - Lubbock</t>
  </si>
  <si>
    <t>1401 Avenue F</t>
  </si>
  <si>
    <t>Lubbock,TX 79401</t>
  </si>
  <si>
    <t>806-747-0090</t>
  </si>
  <si>
    <t>806-747-0094</t>
  </si>
  <si>
    <t>IBT - Merriam</t>
  </si>
  <si>
    <t>9400 West 55th Street</t>
  </si>
  <si>
    <t>Merriam,KS 66203</t>
  </si>
  <si>
    <t>(800) 444-8202</t>
  </si>
  <si>
    <t>913-677-7077</t>
  </si>
  <si>
    <t>IBT - Mt. Vernon</t>
  </si>
  <si>
    <t>618-244-5353</t>
  </si>
  <si>
    <t>618-244-5697</t>
  </si>
  <si>
    <t>IBT - Muskogee</t>
  </si>
  <si>
    <t>1903 North 11th Street</t>
  </si>
  <si>
    <t xml:space="preserve">Muskogee,Ok </t>
  </si>
  <si>
    <t>(918) 683-0900</t>
  </si>
  <si>
    <t>IBT - O'FALLON</t>
  </si>
  <si>
    <t>1225 Tom Ginnever Ave</t>
  </si>
  <si>
    <t>O'Fallon, MO 63366</t>
  </si>
  <si>
    <t>IBT - Oklahoma City</t>
  </si>
  <si>
    <t>512 North Douglas Avenue</t>
  </si>
  <si>
    <t xml:space="preserve">Oklahoma City,Ok </t>
  </si>
  <si>
    <t>(800) 827-0379</t>
  </si>
  <si>
    <t>405-235-4844</t>
  </si>
  <si>
    <t>IBT - OMAHA</t>
  </si>
  <si>
    <t>7029 South 107th street</t>
  </si>
  <si>
    <t>la Vista,NE 68128</t>
  </si>
  <si>
    <t>402-592-2626</t>
  </si>
  <si>
    <t>402-592-5094</t>
  </si>
  <si>
    <t>IBT - Pine Bluff</t>
  </si>
  <si>
    <t>5515 Jefferson Parkway</t>
  </si>
  <si>
    <t>Pine Bluff,AR 71602</t>
  </si>
  <si>
    <t>800-272-2208</t>
  </si>
  <si>
    <t>870-247-5525</t>
  </si>
  <si>
    <t>IBT - Plainview</t>
  </si>
  <si>
    <t>2509 West 5th Street</t>
  </si>
  <si>
    <t>Plainview,TX 79072</t>
  </si>
  <si>
    <t>806-293-0090</t>
  </si>
  <si>
    <t>806-293-3138</t>
  </si>
  <si>
    <t>IBT - Pryor, OK</t>
  </si>
  <si>
    <t>1265 2nd Street</t>
  </si>
  <si>
    <t>IBT - Salina</t>
  </si>
  <si>
    <t>217 East Avenue A</t>
  </si>
  <si>
    <t>Salinia,KS 67401</t>
  </si>
  <si>
    <t>800-423-0264</t>
  </si>
  <si>
    <t>785-825-0445</t>
  </si>
  <si>
    <t>IBT - San Antonio</t>
  </si>
  <si>
    <t>3453 I-35 North</t>
  </si>
  <si>
    <t>San Antonio, TX 78219</t>
  </si>
  <si>
    <t>210-225-0090</t>
  </si>
  <si>
    <t>210-225-8785</t>
  </si>
  <si>
    <t>IBT - Sedalia</t>
  </si>
  <si>
    <t>410 North State Fair Rd.</t>
  </si>
  <si>
    <t>Sedalia,MO 65301</t>
  </si>
  <si>
    <t>660-827-4280</t>
  </si>
  <si>
    <t>660-827-5711</t>
  </si>
  <si>
    <t xml:space="preserve">IBT - Shawnee </t>
  </si>
  <si>
    <t>Shawnee,KS 66201-1382</t>
  </si>
  <si>
    <t>913-677-3151</t>
  </si>
  <si>
    <t>913677-7077</t>
  </si>
  <si>
    <t>IBT - Springdale</t>
  </si>
  <si>
    <t>712 W.Randall Wobbe Ln</t>
  </si>
  <si>
    <t>479-756-9980</t>
  </si>
  <si>
    <t>479-756-9983</t>
  </si>
  <si>
    <t>IBT - Springfield</t>
  </si>
  <si>
    <t>1358 E. Chestnut Expy.</t>
  </si>
  <si>
    <t>Springfield, MO 65802</t>
  </si>
  <si>
    <t>IBT - St. Joseph</t>
  </si>
  <si>
    <t>1226 South 6th Street</t>
  </si>
  <si>
    <t>St.Joseph,MO 64501</t>
  </si>
  <si>
    <t>816-233-0233</t>
  </si>
  <si>
    <t>816-279-1419</t>
  </si>
  <si>
    <t>IBT - St. Louis</t>
  </si>
  <si>
    <t>4323  Woodson Road</t>
  </si>
  <si>
    <t>Woodson Terrace,MO 63134</t>
  </si>
  <si>
    <t>314-428-4284</t>
  </si>
  <si>
    <t>314-428-1048</t>
  </si>
  <si>
    <t>IBT - Tulsa</t>
  </si>
  <si>
    <t>11221 East Pine</t>
  </si>
  <si>
    <t>918-438-8100</t>
  </si>
  <si>
    <t>918-438-7100</t>
  </si>
  <si>
    <t>IBT - Wichita</t>
  </si>
  <si>
    <t>5819 West Harry Street</t>
  </si>
  <si>
    <t>Wichita,KS 67209</t>
  </si>
  <si>
    <t>(316) 943-3434</t>
  </si>
  <si>
    <t>316-943-3490</t>
  </si>
  <si>
    <t>4323 Woodson</t>
  </si>
  <si>
    <t>305 East Crane</t>
  </si>
  <si>
    <t>Topeka,KS 66603</t>
  </si>
  <si>
    <t>785-233-1381</t>
  </si>
  <si>
    <t>785-233-2778</t>
  </si>
  <si>
    <t>Ice Northeast Inc - Springfield</t>
  </si>
  <si>
    <t>337 Oakdale Pl</t>
  </si>
  <si>
    <t>Springfield,PA 19064</t>
  </si>
  <si>
    <t>(610) 328-3508</t>
  </si>
  <si>
    <t>Icg Alum - Dowagiac</t>
  </si>
  <si>
    <t>Icon/Proform Fitness - Smithfield</t>
  </si>
  <si>
    <t>I-Corp, Inc. - Beaumont</t>
  </si>
  <si>
    <t>ICS Container Services</t>
  </si>
  <si>
    <t>2819 Industrial Avenue</t>
  </si>
  <si>
    <t>Charleston Hgts., SC 29405</t>
  </si>
  <si>
    <t>Idabel Sawmill - Idabel</t>
  </si>
  <si>
    <t>Caldwell,ID 83605</t>
  </si>
  <si>
    <t>Idaho Forest Ind - Priest River</t>
  </si>
  <si>
    <t>Priest River,ID 8385</t>
  </si>
  <si>
    <t>Idaho Forest Industry - Coeur D'Alene</t>
  </si>
  <si>
    <t>Idea Display Inc - Crystal Lake</t>
  </si>
  <si>
    <t>Crystal Lake,IL 6001</t>
  </si>
  <si>
    <t>Ideal Builders Suppl - Cleveland</t>
  </si>
  <si>
    <t>Cleveland,OH 44134</t>
  </si>
  <si>
    <t>Ideal Eng. - No.Hollywood</t>
  </si>
  <si>
    <t>No.Hollywood,CA 91505</t>
  </si>
  <si>
    <t>Ideal Ind - Sycamore</t>
  </si>
  <si>
    <t>Sycamore,IL 60178</t>
  </si>
  <si>
    <t>IDG - SOUTHERN DIVISION</t>
  </si>
  <si>
    <t>PO BOX 1127</t>
  </si>
  <si>
    <t>BELMONT, NC 28012</t>
  </si>
  <si>
    <t>423-434-1230</t>
  </si>
  <si>
    <t>423-434-1250</t>
  </si>
  <si>
    <t>Idp/Express Air - Miami</t>
  </si>
  <si>
    <t>Miami,FL 33126</t>
  </si>
  <si>
    <t>Iem Plastics - Reidsville</t>
  </si>
  <si>
    <t>Reidsville,NC 27320</t>
  </si>
  <si>
    <t>Ignacio Industrial Supply</t>
  </si>
  <si>
    <t>2398 Highway 69</t>
  </si>
  <si>
    <t>Columbus, Ms. 39702</t>
  </si>
  <si>
    <t>Iko Production Inc - Wilmington</t>
  </si>
  <si>
    <t>Wilmington,DE 19809</t>
  </si>
  <si>
    <t>Illinois Bearing - Mattoon</t>
  </si>
  <si>
    <t>Mattoon,IL 61938</t>
  </si>
  <si>
    <t>ILN Tech, INC</t>
  </si>
  <si>
    <t>21040 OSBORNE STREET</t>
  </si>
  <si>
    <t>CANOGA PARK, CA 91304</t>
  </si>
  <si>
    <t>818-718-1414</t>
  </si>
  <si>
    <t>818-718-8797</t>
  </si>
  <si>
    <t>Imc Kalium Ltd - Hersey</t>
  </si>
  <si>
    <t>Impeccable T - Agos- - Ocean Springs</t>
  </si>
  <si>
    <t>Ocean Springs,MS 39</t>
  </si>
  <si>
    <t>Imperial Erectors In - Crestwood</t>
  </si>
  <si>
    <t>Crestwood,IL 60445</t>
  </si>
  <si>
    <t>Imperial Fabricating - Portland</t>
  </si>
  <si>
    <t>Portland,TN 37148</t>
  </si>
  <si>
    <t>Incotek, Llc - Nashville</t>
  </si>
  <si>
    <t>Nashville,TN 37204</t>
  </si>
  <si>
    <t>Ind Distribution Group</t>
  </si>
  <si>
    <t>25589 Highway 1</t>
  </si>
  <si>
    <t>McBnee, SC. 29101</t>
  </si>
  <si>
    <t xml:space="preserve">Indalex Solutions - </t>
  </si>
  <si>
    <t>Independance Lumber - Independance</t>
  </si>
  <si>
    <t>407 Lumber Lane</t>
  </si>
  <si>
    <t>Independance,VA 24348</t>
  </si>
  <si>
    <t>(540) 773-3744</t>
  </si>
  <si>
    <t>(540) 773-3723</t>
  </si>
  <si>
    <t>Independence Machine - Independence</t>
  </si>
  <si>
    <t>Independence,OR 9735</t>
  </si>
  <si>
    <t>Independence Tube</t>
  </si>
  <si>
    <t>Independent Can - Belcamp</t>
  </si>
  <si>
    <t>Belcamp,MD 21017</t>
  </si>
  <si>
    <t>1010 Empire Drive</t>
  </si>
  <si>
    <t>Lake Havasu City,AZ 86404</t>
  </si>
  <si>
    <t>(928) 854-1022</t>
  </si>
  <si>
    <t>Independent Stave</t>
  </si>
  <si>
    <t>1078 S Jefferson</t>
  </si>
  <si>
    <t>Lebanon, MO 65536</t>
  </si>
  <si>
    <t>Indian Rubber Co - Arlington</t>
  </si>
  <si>
    <t>Arlington,TX 76012</t>
  </si>
  <si>
    <t>Indiana Limestone - Oolitic</t>
  </si>
  <si>
    <t>Oolitic,IN 47451</t>
  </si>
  <si>
    <t>Indiana Packers - Delphi</t>
  </si>
  <si>
    <t>Delphi,IN 46923</t>
  </si>
  <si>
    <t>Indrill Supply Of Te - Houston</t>
  </si>
  <si>
    <t>Industrial Automation - Valencia</t>
  </si>
  <si>
    <t>Valencia,CA 91355</t>
  </si>
  <si>
    <t>Industrial Bearing - Columbus</t>
  </si>
  <si>
    <t>Columbus,GA 31993</t>
  </si>
  <si>
    <t>Industrial Bearings - La Grange</t>
  </si>
  <si>
    <t>Industrial Components</t>
  </si>
  <si>
    <t>1229 Commerce St SW</t>
  </si>
  <si>
    <t>Canover, NC 28613</t>
  </si>
  <si>
    <t>828-466-2260</t>
  </si>
  <si>
    <t>877-597-5492</t>
  </si>
  <si>
    <t>www.indct.com  New customer 5-13</t>
  </si>
  <si>
    <t>Industrial Construct - Henderson</t>
  </si>
  <si>
    <t>Tukwilla,WA 98186</t>
  </si>
  <si>
    <t>350 Fortner Road</t>
  </si>
  <si>
    <t>McEwen,TN 37101</t>
  </si>
  <si>
    <t>931-582-8844</t>
  </si>
  <si>
    <t>931-582-7818</t>
  </si>
  <si>
    <t>Cleveland,OH 44118</t>
  </si>
  <si>
    <t>29102 Glenwood Rd</t>
  </si>
  <si>
    <t>Perrysburg,OH 43551</t>
  </si>
  <si>
    <t>Elberton,GA 30635</t>
  </si>
  <si>
    <t>1943 West Copans Road</t>
  </si>
  <si>
    <t>Pompano Beach,FL 33064</t>
  </si>
  <si>
    <t>(954) 960-0311</t>
  </si>
  <si>
    <t>(954) 975-7235</t>
  </si>
  <si>
    <t>Industrial Hydraulic - Minneapolis</t>
  </si>
  <si>
    <t>Minneapolis,MN 55431</t>
  </si>
  <si>
    <t>Industrial Hydraulic Services - Pensecola</t>
  </si>
  <si>
    <t xml:space="preserve">Pensecola,FL </t>
  </si>
  <si>
    <t>Industrial Hydraulic Technology</t>
  </si>
  <si>
    <t>P.O. Box 1313</t>
  </si>
  <si>
    <t>Hendersonville, TN. 37072</t>
  </si>
  <si>
    <t>615-727-2270</t>
  </si>
  <si>
    <t>615-826-0026</t>
  </si>
  <si>
    <t>Industrial Hydraulics - Indianapolis</t>
  </si>
  <si>
    <t>1005 Western Drive</t>
  </si>
  <si>
    <t>Indianapolis,IN 46241</t>
  </si>
  <si>
    <t>(800) 722-6792</t>
  </si>
  <si>
    <t>(317) 240-4384</t>
  </si>
  <si>
    <t>Industrial Ind - Columbus</t>
  </si>
  <si>
    <t xml:space="preserve">Talledega,AL </t>
  </si>
  <si>
    <t>256-362-5611</t>
  </si>
  <si>
    <t>256-362-0041</t>
  </si>
  <si>
    <t>Industrial Machining - Woodburn</t>
  </si>
  <si>
    <t>Woodburn,OR 97071</t>
  </si>
  <si>
    <t>Industrial Maintenan - N. Sioux City</t>
  </si>
  <si>
    <t>N. Sioux City,SD 5</t>
  </si>
  <si>
    <t>Industrial Mechanical - Watkinsville</t>
  </si>
  <si>
    <t>Watkinsville,GA 3067</t>
  </si>
  <si>
    <t>Industrial Plant Supply</t>
  </si>
  <si>
    <t>989 Imeson Park Blvd.-Bldg. 100</t>
  </si>
  <si>
    <t>Jacksonville,FL   32218</t>
  </si>
  <si>
    <t>904-714-6950</t>
  </si>
  <si>
    <t>904-714-6903</t>
  </si>
  <si>
    <t>Industrial Power Inc - Fayetteville</t>
  </si>
  <si>
    <t>Fayetteville,NC 28306</t>
  </si>
  <si>
    <t>Industrial Power Inc - Russellville, AR</t>
  </si>
  <si>
    <t>635 Sweeden Road</t>
  </si>
  <si>
    <t>479-498-2001</t>
  </si>
  <si>
    <t>479-498-2197</t>
  </si>
  <si>
    <t>Industrial Power, Inc - Fayetteville, NC</t>
  </si>
  <si>
    <t>703 Whitfield Street</t>
  </si>
  <si>
    <t>Fayetteville, NC 28306</t>
  </si>
  <si>
    <t>910-483-4230</t>
  </si>
  <si>
    <t>910-483-0069</t>
  </si>
  <si>
    <t>Credit Card Customer</t>
  </si>
  <si>
    <t>Industrial Products - Albemarle</t>
  </si>
  <si>
    <t>Albemarle,NC 28001</t>
  </si>
  <si>
    <t>Auburn,WA 98002</t>
  </si>
  <si>
    <t>Industrial Repair Service</t>
  </si>
  <si>
    <t>1217 E. 1500 South</t>
  </si>
  <si>
    <t>Vernal,Utah 84078</t>
  </si>
  <si>
    <t>Industrial Servo Hyd - Fraser</t>
  </si>
  <si>
    <t>Fraser,MI 48026</t>
  </si>
  <si>
    <t>Industrial Steel Fab - Dalton</t>
  </si>
  <si>
    <t>Industrial Supplies - Jackson</t>
  </si>
  <si>
    <t>839 South  Street</t>
  </si>
  <si>
    <t>Jackson,MS 39201</t>
  </si>
  <si>
    <t>(601) 354-4616</t>
  </si>
  <si>
    <t>(601) 354-4621</t>
  </si>
  <si>
    <t>Industrial Supply Co - Norfolk</t>
  </si>
  <si>
    <t xml:space="preserve">Industrial Supply Corp. </t>
  </si>
  <si>
    <t>1905 Westwood Ave.</t>
  </si>
  <si>
    <t>Richmond, VA 23227</t>
  </si>
  <si>
    <t>Industrial Supply Inc - Bellingham</t>
  </si>
  <si>
    <t>Bellingham,WA 98225</t>
  </si>
  <si>
    <t>Industrial Supply So - Charlotte</t>
  </si>
  <si>
    <t>Industrial Systems A - Beaver Dam</t>
  </si>
  <si>
    <t>Beaver Dam,WI 5391</t>
  </si>
  <si>
    <t>Industrial Systems Assoc. Strategic Dist.</t>
  </si>
  <si>
    <t>313 Bethany Rd.</t>
  </si>
  <si>
    <t>Albermarle, NC. 28001</t>
  </si>
  <si>
    <t>Industrial Trans Inc - Greensboro</t>
  </si>
  <si>
    <t>Industrial Transmiss - Lenoir</t>
  </si>
  <si>
    <t>Industrial Valve Service - Bastrop</t>
  </si>
  <si>
    <t>Bastrop,LA 71220</t>
  </si>
  <si>
    <t>Industrial Wire Products - Pomona</t>
  </si>
  <si>
    <t>Pomona,CA 91769</t>
  </si>
  <si>
    <t>Industronics - South Windsor</t>
  </si>
  <si>
    <t>South Windsor,CT 060</t>
  </si>
  <si>
    <t>Inergy Automotive Systems</t>
  </si>
  <si>
    <t>5100 Old Pearman Dairy Road</t>
  </si>
  <si>
    <t>Anderson, SC 29625</t>
  </si>
  <si>
    <t>JIT Industrial Sol's Customer</t>
  </si>
  <si>
    <t>Infiltrator Systems - Ogden</t>
  </si>
  <si>
    <t>Infiltrator Systems - Winchester</t>
  </si>
  <si>
    <t>1315 Enterprise Drive</t>
  </si>
  <si>
    <t>Winchester,KY 40391</t>
  </si>
  <si>
    <t>Ingersoll Milling Machine - Rockford</t>
  </si>
  <si>
    <t>Inland Buildings - Cullman</t>
  </si>
  <si>
    <t>2141 2nd Avenue Southwest</t>
  </si>
  <si>
    <t>(256) 739-6827</t>
  </si>
  <si>
    <t>Inland Die Casting C - Wheeling</t>
  </si>
  <si>
    <t>Inland Empire Paper - Spokane</t>
  </si>
  <si>
    <t>Inland Lakes Mach - Cadillac</t>
  </si>
  <si>
    <t>Orange,TX 77632</t>
  </si>
  <si>
    <t>380 Mayes Bridge Road</t>
  </si>
  <si>
    <t>706-236-5401</t>
  </si>
  <si>
    <t>706-291-2258</t>
  </si>
  <si>
    <t>Innotek - Ep - Maple Grove</t>
  </si>
  <si>
    <t>9140 Zachary LN N</t>
  </si>
  <si>
    <t>Maple Grove,MN 55369</t>
  </si>
  <si>
    <t>763-488-9910</t>
  </si>
  <si>
    <t>763-488-9905</t>
  </si>
  <si>
    <t>Innotek-Engineered P - Plymouth</t>
  </si>
  <si>
    <t>Plymouth,MN 55447</t>
  </si>
  <si>
    <t>Innovare - Bath</t>
  </si>
  <si>
    <t>Bath,PA 18014</t>
  </si>
  <si>
    <t>Innovative Entertain - Valencia</t>
  </si>
  <si>
    <t>Valencia,CA 91365</t>
  </si>
  <si>
    <t>Innovative FAB</t>
  </si>
  <si>
    <t>29160 Middle Crossing</t>
  </si>
  <si>
    <t>Innovative Fluid Power</t>
  </si>
  <si>
    <t>901 Goldenrod Lane</t>
  </si>
  <si>
    <t>(612) 868-4679</t>
  </si>
  <si>
    <t>Coon Rapids, MN</t>
  </si>
  <si>
    <t>763-252-1181</t>
  </si>
  <si>
    <t>763-252-1185</t>
  </si>
  <si>
    <t>Innovative Fluid Power - IA</t>
  </si>
  <si>
    <t>1610 Blairs Ferry Road NE</t>
  </si>
  <si>
    <t>Cedar Rapids,IA 52410</t>
  </si>
  <si>
    <t>319-395-9911</t>
  </si>
  <si>
    <t>319-395-7027</t>
  </si>
  <si>
    <t>Innovative Fluid Power- MN</t>
  </si>
  <si>
    <t>9380 Holly St. NW Suite B</t>
  </si>
  <si>
    <t>Minneapolis, MN 55433</t>
  </si>
  <si>
    <t>Innovative Machine - Winchester</t>
  </si>
  <si>
    <t>Winchester,NH 03470</t>
  </si>
  <si>
    <t>Innovative Plastech - Batavia</t>
  </si>
  <si>
    <t>Innovative Plastics - Canton</t>
  </si>
  <si>
    <t>Canton,OH 44706</t>
  </si>
  <si>
    <t>INNOVATIVE PLASTICS, INC</t>
  </si>
  <si>
    <t>118 CELTIC CIRCLE</t>
  </si>
  <si>
    <t>MADISON AL 35758</t>
  </si>
  <si>
    <t>256-464-3131</t>
  </si>
  <si>
    <t>256-464-3132</t>
  </si>
  <si>
    <t>Inovative Technologi - Batavia</t>
  </si>
  <si>
    <t>Input/Output - Alvin</t>
  </si>
  <si>
    <t>Alvin,TX 77511</t>
  </si>
  <si>
    <t>Input/Output, Inc. - Stafford</t>
  </si>
  <si>
    <t>Stafford,TX 77477</t>
  </si>
  <si>
    <t>Inside Oregon Enterp - Salem</t>
  </si>
  <si>
    <t>Salem,OR 97310</t>
  </si>
  <si>
    <t>Insteel Wire Product - Dayton</t>
  </si>
  <si>
    <t>Dayton,TX 77535</t>
  </si>
  <si>
    <t>Insteel Wire Products</t>
  </si>
  <si>
    <t>1 Wiremil Road</t>
  </si>
  <si>
    <t>Sanderson,FL 32087</t>
  </si>
  <si>
    <t xml:space="preserve">INSTRUMENT AND VALVE SERVICES COMPANY </t>
  </si>
  <si>
    <t>162 VALLEY PARK DRIVE</t>
  </si>
  <si>
    <t>DECATUR, AL 35601</t>
  </si>
  <si>
    <t>Instrumentation Inc - Clute</t>
  </si>
  <si>
    <t>Clute,TX 77531</t>
  </si>
  <si>
    <t>Intalco Aluminum - Ferndale</t>
  </si>
  <si>
    <t>Ferndale,WA 98248</t>
  </si>
  <si>
    <t>Integer Systems - Hunt Valley</t>
  </si>
  <si>
    <t>Hunt Valley,MD 21030</t>
  </si>
  <si>
    <t>Integran Pacific Cor - Pacific</t>
  </si>
  <si>
    <t>Pacific,MO 63069</t>
  </si>
  <si>
    <t>Integrity Attraction - Orlando</t>
  </si>
  <si>
    <t>Inter-American Equipment - Miami</t>
  </si>
  <si>
    <t>Miami,FL 33147</t>
  </si>
  <si>
    <t>Interamericana Products - Miami</t>
  </si>
  <si>
    <t>Miami,FL 33167</t>
  </si>
  <si>
    <t>Interbath - City Of Industry</t>
  </si>
  <si>
    <t>Intercraft-Burnes - Statesville</t>
  </si>
  <si>
    <t>Interforest - Shade Gap</t>
  </si>
  <si>
    <t>Shade Gap,PA 17255</t>
  </si>
  <si>
    <t>Interglobal Logistic - Valley Strea</t>
  </si>
  <si>
    <t>Valley Strea,NY 11581</t>
  </si>
  <si>
    <t>Intergram-St. Louis - Pacific</t>
  </si>
  <si>
    <t>Intergrated Conveyor - Cabot</t>
  </si>
  <si>
    <t>Cabot,AR 72023</t>
  </si>
  <si>
    <t>Intergrated Ind Sys - Yalesville</t>
  </si>
  <si>
    <t>Yalesville,CT 06492</t>
  </si>
  <si>
    <t>Interlink Bt - Minneapolis</t>
  </si>
  <si>
    <t>Minneapolis,MN 55414</t>
  </si>
  <si>
    <t>Interlink Trade Services</t>
  </si>
  <si>
    <t>10601 S. Jackson RD. Ste. 200</t>
  </si>
  <si>
    <t>Pharr , TX. 78577</t>
  </si>
  <si>
    <t>Customer of AIT</t>
  </si>
  <si>
    <t>Intermet-New River C - Radford</t>
  </si>
  <si>
    <t>Radford,VA 24141</t>
  </si>
  <si>
    <t>Intermetro Ind, Cor - Fostoria</t>
  </si>
  <si>
    <t>Fostoria,OH 44830</t>
  </si>
  <si>
    <t>Intermountain Forest - Montrose</t>
  </si>
  <si>
    <t>Montrose,CO 81402</t>
  </si>
  <si>
    <t>International Comfor - Lewisburg</t>
  </si>
  <si>
    <t>International Components - Helotes</t>
  </si>
  <si>
    <t>Helotes,TX 78023</t>
  </si>
  <si>
    <t>International Corint - Corinth</t>
  </si>
  <si>
    <t>Corinth,NY 12822</t>
  </si>
  <si>
    <t>International Cylinders - Katy</t>
  </si>
  <si>
    <t>Katy,TX 77450</t>
  </si>
  <si>
    <t>International Die Ca - Gardena</t>
  </si>
  <si>
    <t>Gardena,CA 90248</t>
  </si>
  <si>
    <t>International Engine - Hope</t>
  </si>
  <si>
    <t>Hope,MI 48628</t>
  </si>
  <si>
    <t>International Extrus - Alhambra</t>
  </si>
  <si>
    <t>Alhambra,CA 91803</t>
  </si>
  <si>
    <t>International Hearth - Richland</t>
  </si>
  <si>
    <t>International Paper</t>
  </si>
  <si>
    <t>20025 Odom Road</t>
  </si>
  <si>
    <t xml:space="preserve"> Citrenelle,AL 36522</t>
  </si>
  <si>
    <t>International Paper - Courtland</t>
  </si>
  <si>
    <t>16504 County Road 150</t>
  </si>
  <si>
    <t>Courtland,AL 35618</t>
  </si>
  <si>
    <t>(256) 637-6733</t>
  </si>
  <si>
    <t>(256) 637-6717</t>
  </si>
  <si>
    <t>*Copy This Info on EVERY ORDER: Stamp PO# ******** and IP Item# ******** in cylinder head.  Write info on a Paper Tag and attache to every cylinder to be shipped!</t>
  </si>
  <si>
    <t>International Paper - Henderson</t>
  </si>
  <si>
    <t>609 Industrial Drive</t>
  </si>
  <si>
    <t>Henderson, TX 75652</t>
  </si>
  <si>
    <t>International Paper - Morristown</t>
  </si>
  <si>
    <t>Morristown,TN 37815</t>
  </si>
  <si>
    <t>International Paper - New Boston</t>
  </si>
  <si>
    <t>New Boston,TX 75570</t>
  </si>
  <si>
    <t>International Paper - Queen City, TX</t>
  </si>
  <si>
    <t>9978 FM Road 3129</t>
  </si>
  <si>
    <t>Queen City, TX 75572</t>
  </si>
  <si>
    <t>Hydraulic Depot's Customer</t>
  </si>
  <si>
    <t>International Paper - Riegelwood</t>
  </si>
  <si>
    <t>Riegelwood,NC 28456</t>
  </si>
  <si>
    <t>International Paper - Riverdale Mill - Selma</t>
  </si>
  <si>
    <t>601 County Road 78</t>
  </si>
  <si>
    <t>Selma,AL 36703</t>
  </si>
  <si>
    <t>(334) 872-3481</t>
  </si>
  <si>
    <t>International Paper - Whitehouse</t>
  </si>
  <si>
    <t>109 Halsema Road South</t>
  </si>
  <si>
    <t>Whitehouse,FL 32220</t>
  </si>
  <si>
    <t>International Paper Co. - Gurdon</t>
  </si>
  <si>
    <t>Hwy. 67 North #1 IP Lane</t>
  </si>
  <si>
    <t>Gurdon,AR 71743</t>
  </si>
  <si>
    <t>International Paper Company</t>
  </si>
  <si>
    <t>Hwy. 67 N  #1 IP Lane</t>
  </si>
  <si>
    <t>Gurdon, AR 71743</t>
  </si>
  <si>
    <t>International Paper-Main Receiveing</t>
  </si>
  <si>
    <t>34040 Union Camp Dr.</t>
  </si>
  <si>
    <t>Franklin, VA 23851</t>
  </si>
  <si>
    <t>International Paper-Memphis</t>
  </si>
  <si>
    <t>PO Box 2259</t>
  </si>
  <si>
    <t>Memphis,TN 38101</t>
  </si>
  <si>
    <t>International Pipe - Sioux City</t>
  </si>
  <si>
    <t>396 Frost Ind DR</t>
  </si>
  <si>
    <t>International Supply - Edelstein</t>
  </si>
  <si>
    <t>Edelstein,IL 61526</t>
  </si>
  <si>
    <t>International Tooling - Mt. Juliet</t>
  </si>
  <si>
    <t>International Truck - Springfield</t>
  </si>
  <si>
    <t>Springfield,OH 45506</t>
  </si>
  <si>
    <t>International Truck Eng. - Waukesha</t>
  </si>
  <si>
    <t xml:space="preserve">Waukesha,WI </t>
  </si>
  <si>
    <t>Intero, Inc - Long Beach</t>
  </si>
  <si>
    <t>Long Beach,CA 90810</t>
  </si>
  <si>
    <t>Interocean Systems Inc - San Diego</t>
  </si>
  <si>
    <t>San Diego,CA 92123</t>
  </si>
  <si>
    <t>Interstate Brand - Cincinnati</t>
  </si>
  <si>
    <t>Cincinnati,OH 45203</t>
  </si>
  <si>
    <t>Interstate Brands - Pomona</t>
  </si>
  <si>
    <t>Pomona,CA 91766</t>
  </si>
  <si>
    <t>Interstate Brands Co - Sacramento</t>
  </si>
  <si>
    <t>Sacramento,CA 95815</t>
  </si>
  <si>
    <t>Interstate Deisel Eq - North Kingstown</t>
  </si>
  <si>
    <t>North Kingstown,RI 28</t>
  </si>
  <si>
    <t>Intier Automotive Interiors de Saltillo, SA de CV- c/o Border Transfer Services</t>
  </si>
  <si>
    <t>13512 Unitec Drive - United Industrial Park</t>
  </si>
  <si>
    <t>Laredo, TX 78045</t>
  </si>
  <si>
    <t>Int'L Pipe Machinery - Sioux City</t>
  </si>
  <si>
    <t>Int'L Surfacing Syst - Chandler</t>
  </si>
  <si>
    <t>Chandler,AZ 85226</t>
  </si>
  <si>
    <t>Springfield,MO 61109</t>
  </si>
  <si>
    <t>In-Touch Products In - North Salt Lake</t>
  </si>
  <si>
    <t>Invensys - Russellville</t>
  </si>
  <si>
    <t>Invensys Appliance C - Hanover</t>
  </si>
  <si>
    <t>Hanover,IL 61041</t>
  </si>
  <si>
    <t>Inverness Casting Gr - Dowagiac</t>
  </si>
  <si>
    <t>Invista S.A.R.L - Orange, TX</t>
  </si>
  <si>
    <t>2739 FM 1006</t>
  </si>
  <si>
    <t>Orange, TX 77630</t>
  </si>
  <si>
    <t>Controlled Fluid's Customer</t>
  </si>
  <si>
    <t>1610 Blairs Ferry Road</t>
  </si>
  <si>
    <t>(800) 333-7004</t>
  </si>
  <si>
    <t>(319) 395-7027</t>
  </si>
  <si>
    <t>2108 E 2nd Street</t>
  </si>
  <si>
    <t>Coal Valley,IL 61240</t>
  </si>
  <si>
    <t>(309) 799-1100</t>
  </si>
  <si>
    <t>(309) 799-1103</t>
  </si>
  <si>
    <t>Iowa Quality Beef</t>
  </si>
  <si>
    <t>3337 "L" Avenue</t>
  </si>
  <si>
    <t>Tama,Iowa 52339</t>
  </si>
  <si>
    <t>Ipaco Incorporated - Miami</t>
  </si>
  <si>
    <t>Miami,FL 33186</t>
  </si>
  <si>
    <t>Ipec - Portland</t>
  </si>
  <si>
    <t>Ipec Planer - Phoenix</t>
  </si>
  <si>
    <t>Phoenix,AZ 85034</t>
  </si>
  <si>
    <t>Ipik Door - Kenner</t>
  </si>
  <si>
    <t>Kenner,LA 70063</t>
  </si>
  <si>
    <t>Ipower - Graniteville</t>
  </si>
  <si>
    <t>Ipower Ist Group - Cranston</t>
  </si>
  <si>
    <t>IPS Industrial Plant Supply</t>
  </si>
  <si>
    <t>989 Imeson Park Blvd, Build 100</t>
  </si>
  <si>
    <t>Jacksonville, FL 32218</t>
  </si>
  <si>
    <t>Ipsco Steel, Inc.</t>
  </si>
  <si>
    <t>12400 Highway 43 North</t>
  </si>
  <si>
    <t>Axis, AL 36505</t>
  </si>
  <si>
    <t>251-662-4400</t>
  </si>
  <si>
    <t>251-662-4360</t>
  </si>
  <si>
    <t>Ipsco Tubelers - Camanche</t>
  </si>
  <si>
    <t>Camanche,IA 52730</t>
  </si>
  <si>
    <t>Ipsen International - Cherry Valley</t>
  </si>
  <si>
    <t>Cherry Valley,IL 61</t>
  </si>
  <si>
    <t>Irc Inc. - Boone</t>
  </si>
  <si>
    <t>Boone,NC 28607</t>
  </si>
  <si>
    <t>Iredell County Solid Waste Facility</t>
  </si>
  <si>
    <t>354 Twin Oaks Rd.</t>
  </si>
  <si>
    <t>Statesville,NC 28625</t>
  </si>
  <si>
    <t>Iri International - Pampa</t>
  </si>
  <si>
    <t>Pampa,TX 79065</t>
  </si>
  <si>
    <t>Iri International Co - Beaumont</t>
  </si>
  <si>
    <t>Ironton Iron - Ironton</t>
  </si>
  <si>
    <t>Ironton,OH 45638</t>
  </si>
  <si>
    <t>Irving Forest Products - Ashland</t>
  </si>
  <si>
    <t>Ashland,ME 04732</t>
  </si>
  <si>
    <t>Irving Mainway - Bangor</t>
  </si>
  <si>
    <t>Bangor,ME 04401</t>
  </si>
  <si>
    <t>IRVING TISSUE</t>
  </si>
  <si>
    <t>1 EDDY STREET</t>
  </si>
  <si>
    <t>FORT EDWARD, NY 12828</t>
  </si>
  <si>
    <t>Irwin Seating Co - Grand Rapids</t>
  </si>
  <si>
    <t>Grand Rapids,MI 4954</t>
  </si>
  <si>
    <t>Isa  C/O  Allied Sig - Sumter</t>
  </si>
  <si>
    <t>Isa, Inc. - Portage</t>
  </si>
  <si>
    <t>Isk Magnetics - Houston</t>
  </si>
  <si>
    <t>Houston,TX 77015</t>
  </si>
  <si>
    <t>Island Engineering</t>
  </si>
  <si>
    <t>16424 Piney Point Rd</t>
  </si>
  <si>
    <t>Piney Point,MD 20674</t>
  </si>
  <si>
    <t>301-994-9800</t>
  </si>
  <si>
    <t>301-994-9803</t>
  </si>
  <si>
    <t>Isola Laminate Systems - Pendleton</t>
  </si>
  <si>
    <t>Isolair - Troutdale</t>
  </si>
  <si>
    <t>Troutdale,OR 97060</t>
  </si>
  <si>
    <t>Ispat Sidbec - Contrecouer</t>
  </si>
  <si>
    <t>3900 Routes Des Acieries</t>
  </si>
  <si>
    <t>Contrecouer,QB J0L 1C0</t>
  </si>
  <si>
    <t>Issco Hydraulics - North Bend</t>
  </si>
  <si>
    <t>North Bend,OR 97459</t>
  </si>
  <si>
    <t>Isthmus Eng. And Mfg - Madison</t>
  </si>
  <si>
    <t>Madison,WI 53716</t>
  </si>
  <si>
    <t>ITT Baxley - Baxley</t>
  </si>
  <si>
    <t>ITT Engineered Valves</t>
  </si>
  <si>
    <t>1110 Bankhead Aveneu</t>
  </si>
  <si>
    <t>662-256-7185</t>
  </si>
  <si>
    <t>662-256-4275</t>
  </si>
  <si>
    <t>ITT Lear Corp - Roscommon</t>
  </si>
  <si>
    <t>Roscommon,MI 48653</t>
  </si>
  <si>
    <t>ITT PROCAST</t>
  </si>
  <si>
    <t>1725 Orphans Home Road</t>
  </si>
  <si>
    <t>CULLMAN,AL 35056</t>
  </si>
  <si>
    <t>256-739-3560</t>
  </si>
  <si>
    <t>256-739-3597</t>
  </si>
  <si>
    <t>Itt Rayonier - Swainsboro</t>
  </si>
  <si>
    <t>Swainsboro,GA 30401</t>
  </si>
  <si>
    <t>ITW Sexton</t>
  </si>
  <si>
    <t>3101 Sexton Road</t>
  </si>
  <si>
    <t>256-355-5850</t>
  </si>
  <si>
    <t>256-351-8730</t>
  </si>
  <si>
    <t>Itw-Philadelphia Res - Montgomeryville</t>
  </si>
  <si>
    <t>Montgomeryville,PA 1</t>
  </si>
  <si>
    <t>Ivex Corp - Visalia</t>
  </si>
  <si>
    <t>Ivex Corporation - Grant Park</t>
  </si>
  <si>
    <t>Grant Park,IL 60940</t>
  </si>
  <si>
    <t>1600 Kinnard Drive</t>
  </si>
  <si>
    <t>Franklin, TN 37064</t>
  </si>
  <si>
    <t>615-791-1884</t>
  </si>
  <si>
    <t>615-794-9486</t>
  </si>
  <si>
    <t>Gadsden,AL 35903</t>
  </si>
  <si>
    <t>Huntsville,AL 35824</t>
  </si>
  <si>
    <t>Pasco,WA 99301</t>
  </si>
  <si>
    <t>Dawsonville,GA 30534</t>
  </si>
  <si>
    <t>Muskegon,MI 49441</t>
  </si>
  <si>
    <t>Hereford,TX 79045</t>
  </si>
  <si>
    <t>Ft. Worth,TX 76136</t>
  </si>
  <si>
    <t>4330 CO. RD. 703</t>
  </si>
  <si>
    <t xml:space="preserve">CULLMAN, AL </t>
  </si>
  <si>
    <t>256-775-0102/256-297-0827</t>
  </si>
  <si>
    <t>J B K Enterprises - Georgetown</t>
  </si>
  <si>
    <t>787 Mount Zion Rd NW</t>
  </si>
  <si>
    <t>Georgetown,TN 37336</t>
  </si>
  <si>
    <t>(423) 476-9900</t>
  </si>
  <si>
    <t>(423) 476-7622</t>
  </si>
  <si>
    <t>J B Webb - New Hudson</t>
  </si>
  <si>
    <t>New Hudson,MI 48165</t>
  </si>
  <si>
    <t>J D Cahill Company</t>
  </si>
  <si>
    <t>1500 Commerce Drive</t>
  </si>
  <si>
    <t>205-339-1610</t>
  </si>
  <si>
    <t>205-339-1621</t>
  </si>
  <si>
    <t>J E Culberton Sawmill - Mill Creek</t>
  </si>
  <si>
    <t>Mill Creek,PA 17060</t>
  </si>
  <si>
    <t>J H Benedict Co Inc - E.Peoria</t>
  </si>
  <si>
    <t xml:space="preserve">E.Peoria,IL </t>
  </si>
  <si>
    <t>J M Huber Corp - Easton</t>
  </si>
  <si>
    <t>Easton,ME 04740</t>
  </si>
  <si>
    <t>J M Miles Construction - Baxley</t>
  </si>
  <si>
    <t>J. Gibson Mcilvain - White Marsh</t>
  </si>
  <si>
    <t>White Marsh,MD 21162</t>
  </si>
  <si>
    <t>J. L. French - Glascow</t>
  </si>
  <si>
    <t>Glascow,KY 42141</t>
  </si>
  <si>
    <t>J. L. French Co. - Sheboygan</t>
  </si>
  <si>
    <t>J. V. Wells Co. - Shaprtown</t>
  </si>
  <si>
    <t>Shaprtown,MD 21861</t>
  </si>
  <si>
    <t>J.A. Kohlhepps Sons - Dubois</t>
  </si>
  <si>
    <t>Dubois,PA 15801</t>
  </si>
  <si>
    <t>J.C.General Engineering - Rio Vista</t>
  </si>
  <si>
    <t>Rio Vista,CA 94571</t>
  </si>
  <si>
    <t>J.D. Cahill Co - Tuscaloosa</t>
  </si>
  <si>
    <t>(205) 339-1610</t>
  </si>
  <si>
    <t>(205) 339-1621</t>
  </si>
  <si>
    <t>J.D. Phillips Corp. - Alpena</t>
  </si>
  <si>
    <t>J.D. Rinaldi Fabrica - Creswell</t>
  </si>
  <si>
    <t>J.E. Grote Co - Black Lick</t>
  </si>
  <si>
    <t>Black Lick,OH 43004</t>
  </si>
  <si>
    <t>J.H Huscroft - Porthill</t>
  </si>
  <si>
    <t>Porthill,ID 83853</t>
  </si>
  <si>
    <t xml:space="preserve">J.H. Bennett &amp;Co Inc - </t>
  </si>
  <si>
    <t>J.H. Bennett &amp;Co Inc - Novi</t>
  </si>
  <si>
    <t>22975 Venture Drive</t>
  </si>
  <si>
    <t>Novi,MI 48376</t>
  </si>
  <si>
    <t>(800) 837-5426</t>
  </si>
  <si>
    <t>J.J. Port Inc. - Cabot</t>
  </si>
  <si>
    <t>Cabot,PA 16023</t>
  </si>
  <si>
    <t>J.L. Sizemore Lumber - Graham</t>
  </si>
  <si>
    <t>J.M. Coconkey Company - Garden Grove</t>
  </si>
  <si>
    <t>Garden Grove,CA 92641</t>
  </si>
  <si>
    <t>J.M. Grimstad - Blue Grass</t>
  </si>
  <si>
    <t>17 Sandpiper Dr</t>
  </si>
  <si>
    <t>Blue Grass,IA 52726</t>
  </si>
  <si>
    <t>(319) 359-6040</t>
  </si>
  <si>
    <t>J.M. Grimstad - Cedar Falls</t>
  </si>
  <si>
    <t>6203 Chancellor Drive</t>
  </si>
  <si>
    <t>(319) 277-8550</t>
  </si>
  <si>
    <t>(319) 277-1691</t>
  </si>
  <si>
    <t>J.M. Grimstad - Green Bay</t>
  </si>
  <si>
    <t>2251 Hutson Road</t>
  </si>
  <si>
    <t>(920) 429-2040</t>
  </si>
  <si>
    <t>(920) 429-2050</t>
  </si>
  <si>
    <t>J.M. Grimstad - Milwaukee</t>
  </si>
  <si>
    <t>1001 South 84th St</t>
  </si>
  <si>
    <t>Milwaukee,WI 53214</t>
  </si>
  <si>
    <t>(414) 258-5200</t>
  </si>
  <si>
    <t>(414) 258-3414</t>
  </si>
  <si>
    <t>J.M. Grimstad - Minneapolis</t>
  </si>
  <si>
    <t>1100 Zane Avenue N</t>
  </si>
  <si>
    <t>Minneapolis,MN 55422</t>
  </si>
  <si>
    <t>(763) 544-6100</t>
  </si>
  <si>
    <t>(763) 544-0282</t>
  </si>
  <si>
    <t>J.M. Grimstad - Muskego</t>
  </si>
  <si>
    <t>S84 W18887 Enterprise Dr.</t>
  </si>
  <si>
    <t>Muskego, WI 53150</t>
  </si>
  <si>
    <t>414-442-2300</t>
  </si>
  <si>
    <t>414-422-2339</t>
  </si>
  <si>
    <t>J.M. Huber</t>
  </si>
  <si>
    <t>530 Beck Blvd.</t>
  </si>
  <si>
    <t>Sandersville, GA 31082</t>
  </si>
  <si>
    <t>J.M. Mold South - Easley</t>
  </si>
  <si>
    <t>Easley,SC 29641</t>
  </si>
  <si>
    <t>J.O. Galloup Co. - Kalamazoo</t>
  </si>
  <si>
    <t>Kalamazoo,MI 49003</t>
  </si>
  <si>
    <t>J.P. Hydraulics - Forest City</t>
  </si>
  <si>
    <t>J.R. Simplot Food Gr - Othello</t>
  </si>
  <si>
    <t>Othello,WA 99344</t>
  </si>
  <si>
    <t>J.S. Brayan - Grand Blanc</t>
  </si>
  <si>
    <t>J.V. Wells Co. - Sharptown</t>
  </si>
  <si>
    <t>Sharptown,MD 21861</t>
  </si>
  <si>
    <t>J.W. Exley Lumber Co - Clyo</t>
  </si>
  <si>
    <t>Clyo,GA 31303</t>
  </si>
  <si>
    <t>J.W. Jones Lumber Co - Elizabeth City</t>
  </si>
  <si>
    <t>Elizabeth City,NC 279</t>
  </si>
  <si>
    <t>(601) 939-3471</t>
  </si>
  <si>
    <t>(601) 936-4808</t>
  </si>
  <si>
    <t>Jackson Kayak</t>
  </si>
  <si>
    <t>325 Iris Drive</t>
  </si>
  <si>
    <t>Sparta, TN 38583</t>
  </si>
  <si>
    <t>931-738-2800</t>
  </si>
  <si>
    <t>931-738-2668</t>
  </si>
  <si>
    <t>Jackson Machine - Portland</t>
  </si>
  <si>
    <t>Portland,OR 97209</t>
  </si>
  <si>
    <t>Jackson Metalworks</t>
  </si>
  <si>
    <t>640 Clolinger RD</t>
  </si>
  <si>
    <t>Jackson,AL 36545-9701</t>
  </si>
  <si>
    <t>JACOBS ESTS GROUP</t>
  </si>
  <si>
    <t>1500 PERIMETER PARKWAY 4TH FLOOR</t>
  </si>
  <si>
    <t>256-716-4649</t>
  </si>
  <si>
    <t>256-716-4720</t>
  </si>
  <si>
    <t>JACOBS ESTS GROUP BUILDING 4656-ATT. BOB MCGREW</t>
  </si>
  <si>
    <t>MARSHALL SPACE FLIGHT CENTER</t>
  </si>
  <si>
    <t>HUNTSVILLE, AL 35812</t>
  </si>
  <si>
    <t>Jacobs Mfg. Company - Bloomfield</t>
  </si>
  <si>
    <t>Bloomfield,CT 06002</t>
  </si>
  <si>
    <t>Jamak Fabrication, I - Weatherford</t>
  </si>
  <si>
    <t>Weatherford,TX 76086</t>
  </si>
  <si>
    <t>Wyoming,PA 18644</t>
  </si>
  <si>
    <t>James Hardie Gypsum - Nashville</t>
  </si>
  <si>
    <t>Nashville,AR 71852</t>
  </si>
  <si>
    <t>James J Port Inc - Cabot</t>
  </si>
  <si>
    <t>James Marine - Paducah</t>
  </si>
  <si>
    <t>Paducah,KY 42003</t>
  </si>
  <si>
    <t>James River - Camas</t>
  </si>
  <si>
    <t>Jantzen Engineering - Charleston</t>
  </si>
  <si>
    <t>Jarvis Penco - Kalamazoo</t>
  </si>
  <si>
    <t>Kalamazoo,MI 49002</t>
  </si>
  <si>
    <t>Jasco Tool - Rochester</t>
  </si>
  <si>
    <t>Rochester,NY 14606</t>
  </si>
  <si>
    <t>Jasper Chair - Jasper</t>
  </si>
  <si>
    <t>Jasper,IN 47546</t>
  </si>
  <si>
    <t>Jasper Industrial Maintenance Supply - Haleyville</t>
  </si>
  <si>
    <t>3124 State Hwy 13</t>
  </si>
  <si>
    <t>Haleyville,AL 35565</t>
  </si>
  <si>
    <t>(205) 486-9999</t>
  </si>
  <si>
    <t>Jasper Lumber Company - Jasper</t>
  </si>
  <si>
    <t>2700 HWY 78 West</t>
  </si>
  <si>
    <t>Jasper,AL 35501</t>
  </si>
  <si>
    <t>Jasper Rubber Products - Jasper</t>
  </si>
  <si>
    <t>Jasper Seating - Jasper</t>
  </si>
  <si>
    <t>Jay Thomossen-Vessel - Seattle</t>
  </si>
  <si>
    <t>JB Enterprises - Reserve</t>
  </si>
  <si>
    <t>Jb Tool Llc - Edgerton</t>
  </si>
  <si>
    <t>Edgerton,WI 53534</t>
  </si>
  <si>
    <t>Jbj Precision Ind - Colorado Springs</t>
  </si>
  <si>
    <t>Colorado Springs,CO 80907</t>
  </si>
  <si>
    <t>JBK Enterprises, Inc.</t>
  </si>
  <si>
    <t>787 Mt.Zion Road</t>
  </si>
  <si>
    <t>423-476-9900</t>
  </si>
  <si>
    <t>423-476-7622</t>
  </si>
  <si>
    <t>J-C General Engineer - Rio Vista</t>
  </si>
  <si>
    <t>JCIM Frenchtown II</t>
  </si>
  <si>
    <t>1833 Frenchtown Center Drive</t>
  </si>
  <si>
    <t>Monroe, MI 48162</t>
  </si>
  <si>
    <t>JCIM LLC</t>
  </si>
  <si>
    <t>9800 Inkster Rd (M000037)</t>
  </si>
  <si>
    <t>Motion- Livonia MI09Customer</t>
  </si>
  <si>
    <t>JDS International, Inc</t>
  </si>
  <si>
    <t>15482 Herriman Blvd.</t>
  </si>
  <si>
    <t>Noblesville, IN 46060</t>
  </si>
  <si>
    <t>317-776-1501</t>
  </si>
  <si>
    <t>317-776-2030</t>
  </si>
  <si>
    <t>Jeanerette Sugar Con - Jeanerette</t>
  </si>
  <si>
    <t>Jeanerette,LA 70544</t>
  </si>
  <si>
    <t>Jedeloh Brothers - Gold Hill</t>
  </si>
  <si>
    <t>Jeff Anderson Medical - Meridan</t>
  </si>
  <si>
    <t>Meridan,MS 39301</t>
  </si>
  <si>
    <t>Jefferson Smurfit - Philadelphia</t>
  </si>
  <si>
    <t>Philadelphia,PA 19127</t>
  </si>
  <si>
    <t>Jefferson Smurfit - Santa Clara</t>
  </si>
  <si>
    <t>Santa Clara,CA 9</t>
  </si>
  <si>
    <t>Jefferson Southern</t>
  </si>
  <si>
    <t>1000 Marquette Road</t>
  </si>
  <si>
    <t>Rockmart,GA 30153</t>
  </si>
  <si>
    <t>770-684-0398</t>
  </si>
  <si>
    <t>770-684-9957</t>
  </si>
  <si>
    <t>JEM Fluid Power - West Branch</t>
  </si>
  <si>
    <t>2182 South Dam Rd</t>
  </si>
  <si>
    <t>West Branch,MI 48661</t>
  </si>
  <si>
    <t>(517) 345-1180</t>
  </si>
  <si>
    <t>(517) 345-1193</t>
  </si>
  <si>
    <t>JEM Machine - Grangeville</t>
  </si>
  <si>
    <t>Grangeville,ID 8</t>
  </si>
  <si>
    <t>JENCAST PRODUCTS DIV</t>
  </si>
  <si>
    <t>500 WEST 4TH ST.</t>
  </si>
  <si>
    <t>SOUTH COFFEYVILLE, OK 74072</t>
  </si>
  <si>
    <t>IBT - MERRIAM, KS</t>
  </si>
  <si>
    <t>Jenkin's Brick Company</t>
  </si>
  <si>
    <t xml:space="preserve">1228 N. McDonough St. </t>
  </si>
  <si>
    <t>Montgomery, AL 36104</t>
  </si>
  <si>
    <t>Kaman Montgomery, AL customer</t>
  </si>
  <si>
    <t>Jenkins Centrifuge Co LLC</t>
  </si>
  <si>
    <t>1123 Swift</t>
  </si>
  <si>
    <t>Jensen Drilling Co - Eugene</t>
  </si>
  <si>
    <t>Jered Ind - Chelsea</t>
  </si>
  <si>
    <t>Chelsea,MA 02150</t>
  </si>
  <si>
    <t>Smithfield,NC 27577</t>
  </si>
  <si>
    <t>Jesco - Calvert City</t>
  </si>
  <si>
    <t>Calvert City,KY 42029</t>
  </si>
  <si>
    <t>Jesse Engineering - Tacoma</t>
  </si>
  <si>
    <t>Jet Products - San Diego</t>
  </si>
  <si>
    <t>Jet Thermoforming - Bloomingdale</t>
  </si>
  <si>
    <t>Bloomingdale,OH 4</t>
  </si>
  <si>
    <t>Jewett Automation - Richmond</t>
  </si>
  <si>
    <t>24295 Gibson Drive</t>
  </si>
  <si>
    <t>Warren, MI 48089</t>
  </si>
  <si>
    <t>586-755-1269</t>
  </si>
  <si>
    <t>586-755-0165</t>
  </si>
  <si>
    <t>* Net 15 Terms - Cylinder Source Customer</t>
  </si>
  <si>
    <t>Norfolk,VA 23518</t>
  </si>
  <si>
    <t>Jim Walter Resources - Brookwood</t>
  </si>
  <si>
    <t>Brookwood,AL 35444</t>
  </si>
  <si>
    <t>JIM WOOD</t>
  </si>
  <si>
    <t>Summerville, AL</t>
  </si>
  <si>
    <t>Bobby's Friend</t>
  </si>
  <si>
    <t>Jimmy Ward Hardwood - Asheboro</t>
  </si>
  <si>
    <t>Asheboro,NC 27203</t>
  </si>
  <si>
    <t>JIT Industrial Solutions</t>
  </si>
  <si>
    <t>1780 Sauer Farm Road</t>
  </si>
  <si>
    <t>Honea Path, SC 29654</t>
  </si>
  <si>
    <t>864-369-9972</t>
  </si>
  <si>
    <t>864-369-9548</t>
  </si>
  <si>
    <t>Used to be with Superior Hydraulic</t>
  </si>
  <si>
    <t>JIT INDUSTRIAL SOLUTIONS-ANDERSON</t>
  </si>
  <si>
    <t>1017-A-WHITEHALL ROAD</t>
  </si>
  <si>
    <t>ANDERSON, SC 29625</t>
  </si>
  <si>
    <t>JJ Ind Inc.</t>
  </si>
  <si>
    <t>19 Macdade Blvd</t>
  </si>
  <si>
    <t>Darby, PA 19023</t>
  </si>
  <si>
    <t>610-590-2333</t>
  </si>
  <si>
    <t>888-492-9782</t>
  </si>
  <si>
    <t>Jm Clipper Corp. - Nacogdoches</t>
  </si>
  <si>
    <t>Nacogdoches,TX 75961</t>
  </si>
  <si>
    <t>Jm Huber Corp - Etowah</t>
  </si>
  <si>
    <t>Etowah,TN 37331</t>
  </si>
  <si>
    <t>JM Manufacturing</t>
  </si>
  <si>
    <t>2894 Marion Monk Rd.</t>
  </si>
  <si>
    <t>Batchelor, LA 70715</t>
  </si>
  <si>
    <t>Hydradyne Hyd - Alexandria's Customer</t>
  </si>
  <si>
    <t>JMI - Jerry's Machin Inc.</t>
  </si>
  <si>
    <t>1702 5th Ave SE</t>
  </si>
  <si>
    <t>Decatur, AL, 35601</t>
  </si>
  <si>
    <t>256-355-7674</t>
  </si>
  <si>
    <t>256-355-7681</t>
  </si>
  <si>
    <t>JMS RUSSEL METALS CORP</t>
  </si>
  <si>
    <t>1312 COMMERCE DR. NW</t>
  </si>
  <si>
    <t>256-308-0580</t>
  </si>
  <si>
    <t>JN. Fauver Company - Eden Prairie</t>
  </si>
  <si>
    <t>Eden Prairie,MN 55344</t>
  </si>
  <si>
    <t>Jng Technical Service - Gadsden</t>
  </si>
  <si>
    <t>Silver Creek,MS 39663</t>
  </si>
  <si>
    <t>Joe N. Miles Lumber - Bogalusa</t>
  </si>
  <si>
    <t>Bogalusa,LA 70427</t>
  </si>
  <si>
    <t>Joe Wheeler - Decatur</t>
  </si>
  <si>
    <t>25700 AL Hwy 24</t>
  </si>
  <si>
    <t>(256) 552-2322</t>
  </si>
  <si>
    <t>John Day Company</t>
  </si>
  <si>
    <t>20805 Eaton Ave.</t>
  </si>
  <si>
    <t>Farmington, MN 55024</t>
  </si>
  <si>
    <t>651-463-9182</t>
  </si>
  <si>
    <t>651-463-9185</t>
  </si>
  <si>
    <t>John Deere - Horicon</t>
  </si>
  <si>
    <t>Horicon,WI 53032</t>
  </si>
  <si>
    <t>John Deere - Waterloo</t>
  </si>
  <si>
    <t>Waterloo,IA 50701</t>
  </si>
  <si>
    <t>John Dusenbery Co - Randolph</t>
  </si>
  <si>
    <t>Randolph,NJ 07869</t>
  </si>
  <si>
    <t>JOHN H BACKUS COMPANY</t>
  </si>
  <si>
    <t>7300 ENGLE ROAD</t>
  </si>
  <si>
    <t>MIDDLEBURG HEIGHTS, OH 44130</t>
  </si>
  <si>
    <t>John H. Carter Co - Metairie</t>
  </si>
  <si>
    <t>2728 N. Arnoult Rd</t>
  </si>
  <si>
    <t>Metairie,LA 70002</t>
  </si>
  <si>
    <t>(504) 887-8550</t>
  </si>
  <si>
    <t>(504) 887-8723</t>
  </si>
  <si>
    <t>John Henry Foster - St. Louis</t>
  </si>
  <si>
    <t>4700 Le Bourget Drive</t>
  </si>
  <si>
    <t>St. Louis,MO 63134</t>
  </si>
  <si>
    <t>(314) 427-0600</t>
  </si>
  <si>
    <t>John Morrel Co - Sioux City</t>
  </si>
  <si>
    <t>Sioux City,IA 51107</t>
  </si>
  <si>
    <t>John Morrel Co - Souix Falls</t>
  </si>
  <si>
    <t>Souix Falls,SD 57117</t>
  </si>
  <si>
    <t>Johns Manville Inter - Willows</t>
  </si>
  <si>
    <t>Willows,CA 95988</t>
  </si>
  <si>
    <t>Johns Manville Sales - Pittsburgh</t>
  </si>
  <si>
    <t>Pittsburgh,CA 94565</t>
  </si>
  <si>
    <t>Johnson Concrete - Raeford</t>
  </si>
  <si>
    <t>Raeford,NC 28376</t>
  </si>
  <si>
    <t>Johnson Concrete - Willow Springs</t>
  </si>
  <si>
    <t>Willow Springs,NC 27590</t>
  </si>
  <si>
    <t>Johnson Controls</t>
  </si>
  <si>
    <t>4722 Pear Street East</t>
  </si>
  <si>
    <t>St. Joseph,MO 64503</t>
  </si>
  <si>
    <t>Johnson Controls - Manchester</t>
  </si>
  <si>
    <t>Manchester,MI 48158</t>
  </si>
  <si>
    <t>JOHNSON CONTROLS INJECTION MOLDING, LLC</t>
  </si>
  <si>
    <t>6900 JEFFERSON METROPOLITIAN PKWY.</t>
  </si>
  <si>
    <t>MCCALLA, AL 35111</t>
  </si>
  <si>
    <t>205-477-4225</t>
  </si>
  <si>
    <t>ATTN: MR. CHUCK CAMPBELL</t>
  </si>
  <si>
    <t>Johnstown Corp - Johnstown</t>
  </si>
  <si>
    <t>Joly Metal Works - New Orleans</t>
  </si>
  <si>
    <t>New Orleans,LA 70189</t>
  </si>
  <si>
    <t>Jones Hardwood - Franklin</t>
  </si>
  <si>
    <t>Jones Logging</t>
  </si>
  <si>
    <t>318 Wilson Mtn.</t>
  </si>
  <si>
    <t>Falkville,AL  35622</t>
  </si>
  <si>
    <t>256-482-8900/256-606-7268</t>
  </si>
  <si>
    <t>Jordan Engineering - West Bridgewater</t>
  </si>
  <si>
    <t>West Bridgewater,MA 0</t>
  </si>
  <si>
    <t>Jordan Forest Products</t>
  </si>
  <si>
    <t>752 Grove Street</t>
  </si>
  <si>
    <t>Barnsville, GA 30204</t>
  </si>
  <si>
    <t>Motion Ind- Kernersville, NC Cust.</t>
  </si>
  <si>
    <t>Jordan Lumber - Mt Gilead</t>
  </si>
  <si>
    <t>Hwy. 109</t>
  </si>
  <si>
    <t>Mt Gilead,NC 27306</t>
  </si>
  <si>
    <t>Jordan Manufacturing Inc.</t>
  </si>
  <si>
    <t>1688 County Rd  192</t>
  </si>
  <si>
    <t>Crossville,AL 35962</t>
  </si>
  <si>
    <t>Jorgensen Conveyors - Mequon</t>
  </si>
  <si>
    <t>Mequon,WI 53092</t>
  </si>
  <si>
    <t>Joseph A Wade, Inc. - Glasgow</t>
  </si>
  <si>
    <t>Glasgow,KY 42141</t>
  </si>
  <si>
    <t>Lyons,IL 60534</t>
  </si>
  <si>
    <t>Joseph Timber Ind - Imbler</t>
  </si>
  <si>
    <t>Imbler,OR 97841</t>
  </si>
  <si>
    <t>Jourdan J C Lumber Co - Iuka</t>
  </si>
  <si>
    <t>Airport Road</t>
  </si>
  <si>
    <t>Iuka,MS 38852</t>
  </si>
  <si>
    <t>(662) 423-5238</t>
  </si>
  <si>
    <t>Joy Cone Co - Hermitage</t>
  </si>
  <si>
    <t>Hermitage,PA 16148</t>
  </si>
  <si>
    <t>Joy Mining Machinery - Franklin</t>
  </si>
  <si>
    <t>Joyce/Dayton - Portland</t>
  </si>
  <si>
    <t>Jps Automotive - Laurens</t>
  </si>
  <si>
    <t>Laurens,SC 29360</t>
  </si>
  <si>
    <t>JRB ATTACHMENTS</t>
  </si>
  <si>
    <t>820 Glaser Pkwy</t>
  </si>
  <si>
    <t>Akron, OH 44306</t>
  </si>
  <si>
    <t>330-734-3000</t>
  </si>
  <si>
    <t>330-734-3019</t>
  </si>
  <si>
    <t xml:space="preserve">JRB ATTACHMENTS  BILL TO </t>
  </si>
  <si>
    <t>503 GAY STREET</t>
  </si>
  <si>
    <t>DELHI, IA 52223</t>
  </si>
  <si>
    <t>319-395-6165</t>
  </si>
  <si>
    <t>563-922-2082</t>
  </si>
  <si>
    <t>J-Star Ind - Ft. Atkinson</t>
  </si>
  <si>
    <t>Ft. Atkinson,WI 53538</t>
  </si>
  <si>
    <t>JSW Steel</t>
  </si>
  <si>
    <t>5200 East Mo Kinney Road</t>
  </si>
  <si>
    <t>Baytown, TX, 77523</t>
  </si>
  <si>
    <t>281-383-2525</t>
  </si>
  <si>
    <t>281-383-1803</t>
  </si>
  <si>
    <t>Judkins Mfg - Sodus</t>
  </si>
  <si>
    <t>Sodus,MI 49111</t>
  </si>
  <si>
    <t>Just-Rite Machine</t>
  </si>
  <si>
    <t>PO Box 1337</t>
  </si>
  <si>
    <t>256-462-3248</t>
  </si>
  <si>
    <t>256-462-3776</t>
  </si>
  <si>
    <t>JW Lassiter Lumber Co, Inc.</t>
  </si>
  <si>
    <t>1472 Highway 17</t>
  </si>
  <si>
    <t>Silas, AL 36919</t>
  </si>
  <si>
    <t>432 State Highway 37 South</t>
  </si>
  <si>
    <t>West Frankfort, IL 62896</t>
  </si>
  <si>
    <t>618-932-2245</t>
  </si>
  <si>
    <t>618-937-3200</t>
  </si>
  <si>
    <t>40% Discount</t>
  </si>
  <si>
    <t>Chesterland,OH 44026</t>
  </si>
  <si>
    <t>K C I Inc - Kansas City</t>
  </si>
  <si>
    <t xml:space="preserve">Kansas City,MO </t>
  </si>
  <si>
    <t>K Products - Hales Corners</t>
  </si>
  <si>
    <t>Hales Corners,WI 531</t>
  </si>
  <si>
    <t>K.R West Company - Kaukauna</t>
  </si>
  <si>
    <t>Kaukauna,WI 54130</t>
  </si>
  <si>
    <t>K-2 Corp - Vashon</t>
  </si>
  <si>
    <t>Vashon,WA 98070</t>
  </si>
  <si>
    <t>Kachemak Gear Shed - Homer</t>
  </si>
  <si>
    <t>Homer,AK 99603</t>
  </si>
  <si>
    <t>Kai Enterprises - San Francisco</t>
  </si>
  <si>
    <t>Kaiser Aluminum - Spokane</t>
  </si>
  <si>
    <t>Spokane,WA 99215</t>
  </si>
  <si>
    <t>Kaiser Aluminum - Tulsa</t>
  </si>
  <si>
    <t>Kajco Tool Company - Dayton</t>
  </si>
  <si>
    <t>Dayton,OH 45414</t>
  </si>
  <si>
    <t>Kalamazoo Plastics - Kalamazoo</t>
  </si>
  <si>
    <t>Kalman Packaging Inc - Graham</t>
  </si>
  <si>
    <t>Kama Corporation - Avenel</t>
  </si>
  <si>
    <t>Avenel,NJ 07001</t>
  </si>
  <si>
    <t>Kaman - Huntsville</t>
  </si>
  <si>
    <t>Kaman - Ogden</t>
  </si>
  <si>
    <t>Sparks,NV 89431</t>
  </si>
  <si>
    <t>Elko,NV 89801</t>
  </si>
  <si>
    <t>9009 North Loop East, Suite 140</t>
  </si>
  <si>
    <t>Houston, TX 77029</t>
  </si>
  <si>
    <t>713-678-8500</t>
  </si>
  <si>
    <t>713-678-8710</t>
  </si>
  <si>
    <t>5551 Parkwest Drive</t>
  </si>
  <si>
    <t>Bessemer, AL 35022</t>
  </si>
  <si>
    <t>205-497-2250</t>
  </si>
  <si>
    <t>205-497-2249</t>
  </si>
  <si>
    <t>9929 N. Alpine Road</t>
  </si>
  <si>
    <t>Machesney Park, IL 61115</t>
  </si>
  <si>
    <t>815-636-5980</t>
  </si>
  <si>
    <t>815-636-5985</t>
  </si>
  <si>
    <t>2337 Paradise Lane</t>
  </si>
  <si>
    <t>662-332-8771</t>
  </si>
  <si>
    <t>662-332-3579</t>
  </si>
  <si>
    <t>2827 Avalon Avenue</t>
  </si>
  <si>
    <t>Muscle Shoals, AL, 35661</t>
  </si>
  <si>
    <t>256-383-4280</t>
  </si>
  <si>
    <t>256-381-3244</t>
  </si>
  <si>
    <t>3300 Hayneville Road</t>
  </si>
  <si>
    <t>Montgomery,AL 36108</t>
  </si>
  <si>
    <t>334-263-2400</t>
  </si>
  <si>
    <t>334-263-2532</t>
  </si>
  <si>
    <t>4370 W 1750 S</t>
  </si>
  <si>
    <t>Salt Lake City,UT 84104</t>
  </si>
  <si>
    <t>(801) 975-2000</t>
  </si>
  <si>
    <t>(801) 973-6701</t>
  </si>
  <si>
    <t>Milford,CT 06460</t>
  </si>
  <si>
    <t>2101 West Ferry Way</t>
  </si>
  <si>
    <t xml:space="preserve">Huntsville, AL. </t>
  </si>
  <si>
    <t>256-883-1019</t>
  </si>
  <si>
    <t>256-883-2219</t>
  </si>
  <si>
    <t>3012 South Elm Eugene St.</t>
  </si>
  <si>
    <t>Greensboro, NC 27406</t>
  </si>
  <si>
    <t>336-333-9992</t>
  </si>
  <si>
    <t>336-333-2217</t>
  </si>
  <si>
    <t>E. 4115 Trent</t>
  </si>
  <si>
    <t>Spokane, WA 99202</t>
  </si>
  <si>
    <t>509-535-1611</t>
  </si>
  <si>
    <t>509-535-8379</t>
  </si>
  <si>
    <t>2313 AVENUE F</t>
  </si>
  <si>
    <t>LUBBOCK, TX 79404</t>
  </si>
  <si>
    <t>806-747-0882</t>
  </si>
  <si>
    <t>806-747-0885</t>
  </si>
  <si>
    <t>205-945-1149</t>
  </si>
  <si>
    <t>10102 No. Palafox St.</t>
  </si>
  <si>
    <t>Pensacola,FL 32534</t>
  </si>
  <si>
    <t>850-484-7000</t>
  </si>
  <si>
    <t>850-484-4305</t>
  </si>
  <si>
    <t>1439 Pettyjohn Road</t>
  </si>
  <si>
    <t>Shannon,AL 35142</t>
  </si>
  <si>
    <t>800-292-4028</t>
  </si>
  <si>
    <t>Kamino International - Portland</t>
  </si>
  <si>
    <t>Portland,OR 97230</t>
  </si>
  <si>
    <t>Kanamak Hydraulics - Garden City</t>
  </si>
  <si>
    <t>Kanawha River Towing - Henderson</t>
  </si>
  <si>
    <t>Henderson,WV 25106</t>
  </si>
  <si>
    <t>Poca,WV 25159</t>
  </si>
  <si>
    <t>Kasunick Welding - Pittsburgh</t>
  </si>
  <si>
    <t>Pittsburgh,PA 15212</t>
  </si>
  <si>
    <t>Katahdin Forest Prod - Oakfield</t>
  </si>
  <si>
    <t>Oakfield,ME 04763</t>
  </si>
  <si>
    <t>Ka'U Agri Business - Hilo</t>
  </si>
  <si>
    <t>Hilo,HI 96720</t>
  </si>
  <si>
    <t>Kawneer Co. Inc. - Franklin</t>
  </si>
  <si>
    <t>Kaydon Bearing - Sumter</t>
  </si>
  <si>
    <t>Kaysun Corp. - Manitowoc</t>
  </si>
  <si>
    <t>Manitowoc,WI 54220</t>
  </si>
  <si>
    <t>KC Hydraulics - Columbia Falls</t>
  </si>
  <si>
    <t>KD Enterprises - Morganville</t>
  </si>
  <si>
    <t>Morganville,NJ 077</t>
  </si>
  <si>
    <t>KD Supply - N. Tonawanda</t>
  </si>
  <si>
    <t>641 Erie Ave</t>
  </si>
  <si>
    <t>N. Tonawanda,NY 14120</t>
  </si>
  <si>
    <t>(716) 693-7600</t>
  </si>
  <si>
    <t>(716) 695-9082</t>
  </si>
  <si>
    <t>KD Supply - Rochester</t>
  </si>
  <si>
    <t>53 Pixley Industrial Pkwy</t>
  </si>
  <si>
    <t>Rochester,NY 14624</t>
  </si>
  <si>
    <t>(716) 426-8260</t>
  </si>
  <si>
    <t>(716) 426-8280</t>
  </si>
  <si>
    <t>KD Supply - Syracuse</t>
  </si>
  <si>
    <t>6700 Thompson Road</t>
  </si>
  <si>
    <t>(315) 437-9424</t>
  </si>
  <si>
    <t>(315) 437-7332</t>
  </si>
  <si>
    <t>Keadle Lumber Enterp - Thomaston</t>
  </si>
  <si>
    <t>Thomaston,GA 30286</t>
  </si>
  <si>
    <t>Kearse Manufacturing - Olar</t>
  </si>
  <si>
    <t>Olar,SC 29843</t>
  </si>
  <si>
    <t>Keener Lumber Co - Smithfield</t>
  </si>
  <si>
    <t>1209 West Market Street</t>
  </si>
  <si>
    <t>(919) 934-1087</t>
  </si>
  <si>
    <t>(919) 934-9999</t>
  </si>
  <si>
    <t>Keller Tech - Tonawanda</t>
  </si>
  <si>
    <t>Kellogs U.S.A. Inc. - Omaha</t>
  </si>
  <si>
    <t>Kelly Plating Co - Cleveland</t>
  </si>
  <si>
    <t>Cleveland,OH 44102</t>
  </si>
  <si>
    <t>Kelly Springfield - Fayetteville</t>
  </si>
  <si>
    <t>Fayetteville,NC 28311</t>
  </si>
  <si>
    <t>Kelly Springfield - Freeport</t>
  </si>
  <si>
    <t xml:space="preserve">Freeport,IL </t>
  </si>
  <si>
    <t>Kelly Supply CO - Fort Collins</t>
  </si>
  <si>
    <t>2135 East Mulberry Street</t>
  </si>
  <si>
    <t>Fort Collins,CO 80524</t>
  </si>
  <si>
    <t>(970) 482-6290</t>
  </si>
  <si>
    <t>Kelly Supply Co. - North Platte</t>
  </si>
  <si>
    <t>North Platte,NE 69101</t>
  </si>
  <si>
    <t>Kelly's Machine Shop - Okeechobee</t>
  </si>
  <si>
    <t>Okeechobee,FL 33472</t>
  </si>
  <si>
    <t>Kelwood Products - Enterprise</t>
  </si>
  <si>
    <t>Enterprise,MS 39330</t>
  </si>
  <si>
    <t>Kemberly Inc - Elkhart</t>
  </si>
  <si>
    <t>Kemet Electronics Co - Brownsville</t>
  </si>
  <si>
    <t>Brownsville,TX 78521</t>
  </si>
  <si>
    <t>Kempsmith Machine Co - Milwaukee</t>
  </si>
  <si>
    <t>Ken-Dec Inc. - Horse Cave</t>
  </si>
  <si>
    <t>Horse Cave,KY 42749</t>
  </si>
  <si>
    <t>Kennametal, Inc.</t>
  </si>
  <si>
    <t>128 Roweland Drive</t>
  </si>
  <si>
    <t>Johnson City, TN 37601-3830</t>
  </si>
  <si>
    <t>Kennedy Hydraulics</t>
  </si>
  <si>
    <t>4830 South 33rd Street</t>
  </si>
  <si>
    <t>(602) 243-4131</t>
  </si>
  <si>
    <t>(602) 276-0126</t>
  </si>
  <si>
    <t>Kenpak Incorporated - Commerce</t>
  </si>
  <si>
    <t>Commerce,CA 90022</t>
  </si>
  <si>
    <t>Kens Auto - Arcata</t>
  </si>
  <si>
    <t>Kentmaster - Omaha</t>
  </si>
  <si>
    <t>Omaha,NE 68137</t>
  </si>
  <si>
    <t>Kentucky-Tenn Clay - Sandersville</t>
  </si>
  <si>
    <t>Kenwal Steel</t>
  </si>
  <si>
    <t>3116 Highway 109 N</t>
  </si>
  <si>
    <t>615-443-5706</t>
  </si>
  <si>
    <t>615-443-5766</t>
  </si>
  <si>
    <t>Kerr Mcgee Forest Pr - Columbus</t>
  </si>
  <si>
    <t>Kerr-Mcgee Chemical - Hamilton</t>
  </si>
  <si>
    <t>Hamilton,MS 39746</t>
  </si>
  <si>
    <t>Kershaw Automation - Oldsmar</t>
  </si>
  <si>
    <t>230 Douglas Road</t>
  </si>
  <si>
    <t>Oldsmar,FL 34677</t>
  </si>
  <si>
    <t>(800) 282-8124</t>
  </si>
  <si>
    <t>(813) 855-4042</t>
  </si>
  <si>
    <t>Kersten-Lee - Gretna</t>
  </si>
  <si>
    <t>Gretna,NE 68028</t>
  </si>
  <si>
    <t>Kerwin Paper - Appleton</t>
  </si>
  <si>
    <t>Appleton,WI 54915</t>
  </si>
  <si>
    <t>Ketchikan Pulp Co - Seattle</t>
  </si>
  <si>
    <t>Ketchikan Pulp Co. - Ketchikan</t>
  </si>
  <si>
    <t>Kewaunee Scientific - Statesville</t>
  </si>
  <si>
    <t>Key Bellevilles - Leechburg</t>
  </si>
  <si>
    <t>Leechburg,PA 15656</t>
  </si>
  <si>
    <t>4751 South Limit Avenue</t>
  </si>
  <si>
    <t>(660) 827-5995</t>
  </si>
  <si>
    <t>(660) 827-7008</t>
  </si>
  <si>
    <t>Key Products</t>
  </si>
  <si>
    <t>10600 West Glenbrook Ct</t>
  </si>
  <si>
    <t>Milwaukee,WI   53224</t>
  </si>
  <si>
    <t>Key West Metal Fabri - Chicago Ridge</t>
  </si>
  <si>
    <t>Chicago Ridge,IL 604</t>
  </si>
  <si>
    <t>Keys Concrete Indust - Spring Hill</t>
  </si>
  <si>
    <t>Spring Hill,FL 34610</t>
  </si>
  <si>
    <t>Keystone - Roseburg</t>
  </si>
  <si>
    <t>Keystone Bolt Co - Cresson</t>
  </si>
  <si>
    <t>Cresson,PA 16630</t>
  </si>
  <si>
    <t>Keystone Fluid Power - Hazelton</t>
  </si>
  <si>
    <t>120 Unico Drive_x000D_
Valmont Industrial Park</t>
  </si>
  <si>
    <t>(570) 454-9759</t>
  </si>
  <si>
    <t>Keystone Machine Wor - Roseburg</t>
  </si>
  <si>
    <t>Keystone Sales, Inc. - Aurora</t>
  </si>
  <si>
    <t>Aurora,CO 80011</t>
  </si>
  <si>
    <t>Keystone Steel Wire - Peoria</t>
  </si>
  <si>
    <t>Keystone Wood Treating - Oxford</t>
  </si>
  <si>
    <t>Oxford,PA 19363</t>
  </si>
  <si>
    <t>Kf Industrial Tech - San Martin</t>
  </si>
  <si>
    <t>San Martin,CA 95046</t>
  </si>
  <si>
    <t>Kf Industrial Tech S - San Diego</t>
  </si>
  <si>
    <t>San Diego,CA 92124</t>
  </si>
  <si>
    <t>Kf-Industrial Techni - Sunnyvale</t>
  </si>
  <si>
    <t>Sunnyvale,CA 94086</t>
  </si>
  <si>
    <t>KFP/Industrial Supplied - Decatur</t>
  </si>
  <si>
    <t>Hwy 20 W</t>
  </si>
  <si>
    <t>(256) 353-3600</t>
  </si>
  <si>
    <t>(256) 353-3737</t>
  </si>
  <si>
    <t>KFP/Industrial Supplied -Pensacola</t>
  </si>
  <si>
    <t>10102 N. Palafox Street</t>
  </si>
  <si>
    <t>(800) 648-4668</t>
  </si>
  <si>
    <t>(850) 484-4305</t>
  </si>
  <si>
    <t>KFP/Industrial Supplied -Shannon</t>
  </si>
  <si>
    <t>(800) 826-2520</t>
  </si>
  <si>
    <t>(205) 945-1149</t>
  </si>
  <si>
    <t>KFP/Industrial Supplies - Mont.</t>
  </si>
  <si>
    <t>(800) 841-7446</t>
  </si>
  <si>
    <t>(334) 263-2532</t>
  </si>
  <si>
    <t>KFP/Industrial Supplies - Mus.</t>
  </si>
  <si>
    <t>2827 East Avalon Avenue</t>
  </si>
  <si>
    <t>(800) 535-2025</t>
  </si>
  <si>
    <t>(256) 381-3244</t>
  </si>
  <si>
    <t>Kgn Mfg. - Warren</t>
  </si>
  <si>
    <t>Kiewit Industrial Co - Boulder City</t>
  </si>
  <si>
    <t>Boulder City,NV 89005</t>
  </si>
  <si>
    <t>Kiewit Pacific - Portland</t>
  </si>
  <si>
    <t>Kilby Manufacturing - Gridley</t>
  </si>
  <si>
    <t>Gridley,CA 95948</t>
  </si>
  <si>
    <t>Kiln Drying Systems - Etowah</t>
  </si>
  <si>
    <t>Etowah,NC 28729</t>
  </si>
  <si>
    <t>Kimberly Clark Corp.</t>
  </si>
  <si>
    <t>5899 Sugarlimb Rd.</t>
  </si>
  <si>
    <t>Louden,TN 37774</t>
  </si>
  <si>
    <t>Kimberly-Clark Corp</t>
  </si>
  <si>
    <t>246 Old Jackson Highway</t>
  </si>
  <si>
    <t>Beech Island, SC 29842</t>
  </si>
  <si>
    <t>Kimwood Corp - Cottage Grove</t>
  </si>
  <si>
    <t>Cottage Grove,OR 97</t>
  </si>
  <si>
    <t>Kinard's Hydraulic Repair Service LLC</t>
  </si>
  <si>
    <t>4905 Junction City Hwy</t>
  </si>
  <si>
    <t>870-862-4640</t>
  </si>
  <si>
    <t>870-862-3682</t>
  </si>
  <si>
    <t>Kinecor Inc - Calgary</t>
  </si>
  <si>
    <t>5711 - 80 Avenue Se</t>
  </si>
  <si>
    <t>Calgary,AB T2C 4S6</t>
  </si>
  <si>
    <t>(403) 259-3588</t>
  </si>
  <si>
    <t>(403) 253-5606</t>
  </si>
  <si>
    <t>Kinecor Inc - Nisku</t>
  </si>
  <si>
    <t>1403 "5" Street</t>
  </si>
  <si>
    <t>Nisku,AB T93 8C7</t>
  </si>
  <si>
    <t>(780) 955-2155</t>
  </si>
  <si>
    <t>(780) 955-2589</t>
  </si>
  <si>
    <t>Kinecor Inc. - Saskatoon</t>
  </si>
  <si>
    <t>3028 Millar Ave</t>
  </si>
  <si>
    <t>Saskatoon,SK 57K 5X9</t>
  </si>
  <si>
    <t>(306) 934-0700</t>
  </si>
  <si>
    <t>(306) 934-4977</t>
  </si>
  <si>
    <t>King Fifth Wheel Comany - Mountaintop</t>
  </si>
  <si>
    <t>King Lumber - Forest</t>
  </si>
  <si>
    <t>PO Box 1479</t>
  </si>
  <si>
    <t>Forest,MS 39074</t>
  </si>
  <si>
    <t>(601) 469-3271</t>
  </si>
  <si>
    <t>(601) 469-3295</t>
  </si>
  <si>
    <t>King Mechanical Spec - Newburgh</t>
  </si>
  <si>
    <t>Newburgh,IN 47630</t>
  </si>
  <si>
    <t>King Tool Co. - Erlanger</t>
  </si>
  <si>
    <t>Kinnear Specialties - Portland</t>
  </si>
  <si>
    <t>Kintetsu - Miami</t>
  </si>
  <si>
    <t>Miami,FL 33172</t>
  </si>
  <si>
    <t>Kinzua Corp - Heppner</t>
  </si>
  <si>
    <t>Heppner,OR 97836</t>
  </si>
  <si>
    <t>Kinzua Resources Llc - Pilot Rock</t>
  </si>
  <si>
    <t>Pilot Rock,OR 97868</t>
  </si>
  <si>
    <t>Kirby - Houston</t>
  </si>
  <si>
    <t>55 Waugh Drive_x000D_
Suite 1000</t>
  </si>
  <si>
    <t>Houston,TX 77007</t>
  </si>
  <si>
    <t>(713) 435-1000</t>
  </si>
  <si>
    <t>Kirsh Foundry Inc. - Beaver Dam</t>
  </si>
  <si>
    <t>Kisatchie Treating</t>
  </si>
  <si>
    <t>10020 Hwy 483D</t>
  </si>
  <si>
    <t>Converse, LA 71419</t>
  </si>
  <si>
    <t>Ruston Ind Customer</t>
  </si>
  <si>
    <t>Kiser Lumber Company - Bowman</t>
  </si>
  <si>
    <t>Bowman,SC 29018</t>
  </si>
  <si>
    <t>Kitchens Brothers Mf - Hazelhurst</t>
  </si>
  <si>
    <t>Kitchens Brothers Mfg. Co.</t>
  </si>
  <si>
    <t>601 Carpenter St.</t>
  </si>
  <si>
    <t>Utica,MS 39175</t>
  </si>
  <si>
    <t>Klamath Machinery Co - Klamath Falls</t>
  </si>
  <si>
    <t>Kleen Air Prod Inc - Clackamas</t>
  </si>
  <si>
    <t>Kleinewefers Textile - Greer</t>
  </si>
  <si>
    <t>Greer,SC 29651</t>
  </si>
  <si>
    <t>Wood River,IL 60209</t>
  </si>
  <si>
    <t>Klotz Equipment Corp - Marrero</t>
  </si>
  <si>
    <t>Kls Hydraulics - Missoula</t>
  </si>
  <si>
    <t>Klug Machine - Salam</t>
  </si>
  <si>
    <t>Salam,UT 84653</t>
  </si>
  <si>
    <t>Kme Fire Apparatus - Roanoke</t>
  </si>
  <si>
    <t>Knapp Container - Beacon Falls</t>
  </si>
  <si>
    <t>Beacon Falls,CT 0640</t>
  </si>
  <si>
    <t>Knight Hawk Supply</t>
  </si>
  <si>
    <t>89 Zips Road</t>
  </si>
  <si>
    <t>Hawk Point,MO 63349</t>
  </si>
  <si>
    <t>(636) 338-4031</t>
  </si>
  <si>
    <t>(636) 338-4434</t>
  </si>
  <si>
    <t>Knight Kraft Inc</t>
  </si>
  <si>
    <t>2709 Hamlin</t>
  </si>
  <si>
    <t>Shelby Township,MI 48217</t>
  </si>
  <si>
    <t>586-726-6821/586-726-2825</t>
  </si>
  <si>
    <t>Knorr Brake Corp - Westminster</t>
  </si>
  <si>
    <t>Westminster,MD 21157</t>
  </si>
  <si>
    <t>Knoxville Cast Stone - Knoxville</t>
  </si>
  <si>
    <t>Knoxville,TN 37919</t>
  </si>
  <si>
    <t>Knudson Manufacturing Inc.</t>
  </si>
  <si>
    <t>10401 W. 120th Avenue</t>
  </si>
  <si>
    <t>Broomfield, CO. 80021</t>
  </si>
  <si>
    <t>Kockum Sonics Inc - Kenner</t>
  </si>
  <si>
    <t>933 Industry Rd #105</t>
  </si>
  <si>
    <t>Kenner,LA 70062-6896</t>
  </si>
  <si>
    <t>(504) 466-9740</t>
  </si>
  <si>
    <t>Kodyn Products - Loyalhanna</t>
  </si>
  <si>
    <t>Loyalhanna,PA 15661</t>
  </si>
  <si>
    <t>Kohler - Huntsville</t>
  </si>
  <si>
    <t>176 Chocran Rd</t>
  </si>
  <si>
    <t>Huntsville, AL 35824</t>
  </si>
  <si>
    <t>256-461-1500</t>
  </si>
  <si>
    <t>don.oden@kohler.com</t>
  </si>
  <si>
    <t>Kohler Co - Kohler</t>
  </si>
  <si>
    <t xml:space="preserve">Kohler,WI </t>
  </si>
  <si>
    <t>Kohler General Corp - Sheboygan Falls</t>
  </si>
  <si>
    <t>Sheboygan Falls,WI 5</t>
  </si>
  <si>
    <t>Kohol Systems Inc. - Dayton</t>
  </si>
  <si>
    <t>Dayton,OH 45459</t>
  </si>
  <si>
    <t>Kolberg-Pioneer, Inc - Yankton</t>
  </si>
  <si>
    <t>Kolemba - Gallatin</t>
  </si>
  <si>
    <t>Kolhs - Wauwatosa</t>
  </si>
  <si>
    <t>11930 Elmhurst Pkwy</t>
  </si>
  <si>
    <t>Wauwatosa,WI 53226</t>
  </si>
  <si>
    <t>Koller-Craft - Fenton</t>
  </si>
  <si>
    <t>Kolstrand Supply - Seattle</t>
  </si>
  <si>
    <t>Kolver Farms - Pasco</t>
  </si>
  <si>
    <t>Komar Ind - Groveport</t>
  </si>
  <si>
    <t>Groveport,OH 43125</t>
  </si>
  <si>
    <t>Komo Machine Inc - Sauk Rapids</t>
  </si>
  <si>
    <t>11 Industrila Blvd.</t>
  </si>
  <si>
    <t xml:space="preserve">Sauk Rapids,MN </t>
  </si>
  <si>
    <t>Kosa - Spartanburg</t>
  </si>
  <si>
    <t>Spartanburg,SC 29302</t>
  </si>
  <si>
    <t>Kovatch Mobile Equip - Nesquehoning</t>
  </si>
  <si>
    <t>Nesquehoning,PA 18240</t>
  </si>
  <si>
    <t>Koyo Corp. Of Usa - Orangeburg</t>
  </si>
  <si>
    <t>Aberdeen,WA 98520</t>
  </si>
  <si>
    <t>Kp Supply - Oklahoma City</t>
  </si>
  <si>
    <t>Kpl/Jeffrey Energy C - St Marys</t>
  </si>
  <si>
    <t>St Marys,KS 66536</t>
  </si>
  <si>
    <t>K-Ply Inc. - Port Angeles</t>
  </si>
  <si>
    <t>Port Angeles,WA 9836</t>
  </si>
  <si>
    <t>Kraft Foods (IBC)</t>
  </si>
  <si>
    <t>2035 East Bennett</t>
  </si>
  <si>
    <t>Springfield, MO 65804</t>
  </si>
  <si>
    <t>IBT - Springfield MO's customer</t>
  </si>
  <si>
    <t>Kraft Foods, Inc - Chicago</t>
  </si>
  <si>
    <t>Chicago,IL 60629</t>
  </si>
  <si>
    <t>Kraus Maffei - Florence</t>
  </si>
  <si>
    <t>Kroger Bakeries - Anderson</t>
  </si>
  <si>
    <t>Ksa America, Inc. - Inglewood</t>
  </si>
  <si>
    <t>Inglewood,CA 90301</t>
  </si>
  <si>
    <t>Kubota - Gainesville</t>
  </si>
  <si>
    <t>Kuhn Hay - El Centro</t>
  </si>
  <si>
    <t>Kupfer Hermanos - Miami</t>
  </si>
  <si>
    <t>Kurt Mfg Abu</t>
  </si>
  <si>
    <t>32500 Excellance Ave.</t>
  </si>
  <si>
    <t>Pueblo, CO 81001</t>
  </si>
  <si>
    <t>Kurz Kasch - New Commerstown</t>
  </si>
  <si>
    <t>New Commerstown,OH 4</t>
  </si>
  <si>
    <t>Kurz Kasch - Wilmington</t>
  </si>
  <si>
    <t>Wilmington,OH 45177</t>
  </si>
  <si>
    <t>Kvaerner Oilfield Products - Houston</t>
  </si>
  <si>
    <t>Houston,TX 77055</t>
  </si>
  <si>
    <t>KyKenKee,Inc.</t>
  </si>
  <si>
    <t>18719 Highway 11 North</t>
  </si>
  <si>
    <t>Vance,AL 35490</t>
  </si>
  <si>
    <t>(205) 553-8593</t>
  </si>
  <si>
    <t>(205) 507-0791</t>
  </si>
  <si>
    <t>1470 INDUSTRIAL DR.</t>
  </si>
  <si>
    <t>SLATON, TX 79364</t>
  </si>
  <si>
    <t>2110 Belgrave Ave</t>
  </si>
  <si>
    <t>Huntington Park,CA 90255</t>
  </si>
  <si>
    <t>(323) 588-2231</t>
  </si>
  <si>
    <t>West Sacremento,CA 95691</t>
  </si>
  <si>
    <t>Blackfoot,ID 83221</t>
  </si>
  <si>
    <t>PO Box 740</t>
  </si>
  <si>
    <t>Schofield ,WI 54476-0740</t>
  </si>
  <si>
    <t>715-241-3452</t>
  </si>
  <si>
    <t>1810 Cty  Hwy  XX</t>
  </si>
  <si>
    <t>Mosinee,WI 54455</t>
  </si>
  <si>
    <t>715-359-3450</t>
  </si>
  <si>
    <t>715-355-5948</t>
  </si>
  <si>
    <t>L A Aluminum Casting - Hayden Lake</t>
  </si>
  <si>
    <t>Hayden Lake,ID 83835</t>
  </si>
  <si>
    <t>L T Tech - Morton Grove</t>
  </si>
  <si>
    <t xml:space="preserve">Morton Grove,IL </t>
  </si>
  <si>
    <t>L&amp;B Industrial Equip - Brea</t>
  </si>
  <si>
    <t>Brea,CA 92821</t>
  </si>
  <si>
    <t>L&amp;L Machine - Gastonia</t>
  </si>
  <si>
    <t>L&amp;L Machinery - Wilkesboro</t>
  </si>
  <si>
    <t>Wilkesboro,NC 28697</t>
  </si>
  <si>
    <t>L&amp;S Electric - Schofield</t>
  </si>
  <si>
    <t>5101 Mesker Street</t>
  </si>
  <si>
    <t>(715) 241-3450</t>
  </si>
  <si>
    <t>(715) 355-5948</t>
  </si>
  <si>
    <t>L. Haberny - Chargrin Falls</t>
  </si>
  <si>
    <t>10115 Queensway</t>
  </si>
  <si>
    <t>Chargrin Falls,OH 44023</t>
  </si>
  <si>
    <t>l. WALLACE CONSTRUCTION CO</t>
  </si>
  <si>
    <t>14220 SOUTH MERIDIAN AVE</t>
  </si>
  <si>
    <t>OKLAHOMA CITY, OK 73173</t>
  </si>
  <si>
    <t>IBT-OKLAHOMA CITY'S CUSTOMER</t>
  </si>
  <si>
    <t>L.A. Rubber Co. - Los Angeles</t>
  </si>
  <si>
    <t>Los Angeles,CA 90023</t>
  </si>
  <si>
    <t>L.B.E. Tech - San Jose</t>
  </si>
  <si>
    <t>Alsip,IL 60658</t>
  </si>
  <si>
    <t>L.R. Equipment - Beaverton</t>
  </si>
  <si>
    <t>L.R. Nelson Corp - Peoria</t>
  </si>
  <si>
    <t>La Pacific - Silebee</t>
  </si>
  <si>
    <t>Silebee,TX 77656</t>
  </si>
  <si>
    <t>La Pacific-New Waver - New Waverly</t>
  </si>
  <si>
    <t xml:space="preserve">New Waverly,TX </t>
  </si>
  <si>
    <t>Green Bay,WI 54309</t>
  </si>
  <si>
    <t>Labralters Plastics - Westland</t>
  </si>
  <si>
    <t>Westland,MI 48185</t>
  </si>
  <si>
    <t>Lacerta Group - Boston</t>
  </si>
  <si>
    <t>Boston,MA 02118</t>
  </si>
  <si>
    <t>Lacey Harmer Supply - Portland</t>
  </si>
  <si>
    <t>Lacey Manufacturing - Bridgeport</t>
  </si>
  <si>
    <t>Bridgeport,CT 06610</t>
  </si>
  <si>
    <t>Lacrosse Fluid Power - Lacrosse</t>
  </si>
  <si>
    <t>Lacrosse,WI 54603</t>
  </si>
  <si>
    <t>Lady Lariat Animal Bedding</t>
  </si>
  <si>
    <t>650 Charcole Plant Rd.</t>
  </si>
  <si>
    <t>Many,LA 71449</t>
  </si>
  <si>
    <t>LaFarge Building Material</t>
  </si>
  <si>
    <t>463 Judge Street</t>
  </si>
  <si>
    <t>Harleyville, SC 29448</t>
  </si>
  <si>
    <t>Lafarge Corp - Demopolis</t>
  </si>
  <si>
    <t>Lake Charles Carbon - Lake Charles</t>
  </si>
  <si>
    <t>Lake City Forge, Inc - Lake City</t>
  </si>
  <si>
    <t>Lake City,MI 49651</t>
  </si>
  <si>
    <t>Lake Company - Eugene</t>
  </si>
  <si>
    <t>Lake County Hydraulics</t>
  </si>
  <si>
    <t>12726 W. Wadsworth Rd.</t>
  </si>
  <si>
    <t>Beach Park, IL 60087</t>
  </si>
  <si>
    <t>847-249-7400</t>
  </si>
  <si>
    <t>847-249-7444</t>
  </si>
  <si>
    <t>2801 E. Napoleon</t>
  </si>
  <si>
    <t>Sulphur,LA  70663</t>
  </si>
  <si>
    <t>337-625-5737</t>
  </si>
  <si>
    <t>337-625-5735</t>
  </si>
  <si>
    <t>2939  6th Avenue North</t>
  </si>
  <si>
    <t>Anoka,MN 55303</t>
  </si>
  <si>
    <t>Lakeshore Works Inc.</t>
  </si>
  <si>
    <t>16952 Woodlane</t>
  </si>
  <si>
    <t>Lakeside Ind - Vancouver</t>
  </si>
  <si>
    <t>Vancouver,WA 98602</t>
  </si>
  <si>
    <t xml:space="preserve">Lakeside Packers - </t>
  </si>
  <si>
    <t>, T1R 1C6</t>
  </si>
  <si>
    <t>Lakeside Packing - Plainview</t>
  </si>
  <si>
    <t>Plainview,MN 55964</t>
  </si>
  <si>
    <t>Lamar Equipment Comp - Addison</t>
  </si>
  <si>
    <t>Lamb Weston - American Falls</t>
  </si>
  <si>
    <t>American Falls,ID 83</t>
  </si>
  <si>
    <t>Lamb Weston - Boardman</t>
  </si>
  <si>
    <t>Lamb Weston - Park Rapids</t>
  </si>
  <si>
    <t>Park Rapids,MN 56470</t>
  </si>
  <si>
    <t>Lamb Weston - Pasco</t>
  </si>
  <si>
    <t>2221 South Wesleyan Blvd</t>
  </si>
  <si>
    <t>Rocky Mountain,NC 27803</t>
  </si>
  <si>
    <t>252-442-9777</t>
  </si>
  <si>
    <t>252-442-8104</t>
  </si>
  <si>
    <t>Lamb-Grays Harbor Co - Hoquiam</t>
  </si>
  <si>
    <t>Hoquiam,WA 98550</t>
  </si>
  <si>
    <t>Lamina Bronze Products - Bellaire</t>
  </si>
  <si>
    <t>Bellaire,MI 49615</t>
  </si>
  <si>
    <t>Laminate Tech, Inc.</t>
  </si>
  <si>
    <t>202 Martin Luther King Blvd</t>
  </si>
  <si>
    <t>Diboll, TX 75941</t>
  </si>
  <si>
    <t>*** GLOBE MACHINE CUSTOMER ***</t>
  </si>
  <si>
    <t>Lam's Lumber Co. - Barboursville</t>
  </si>
  <si>
    <t>Barboursville,VA 2292</t>
  </si>
  <si>
    <t>Lamson Session - Bowling Green</t>
  </si>
  <si>
    <t>Bowling Green,OH 43402</t>
  </si>
  <si>
    <t>Lamson Sessions - Clinton</t>
  </si>
  <si>
    <t>1001 South 2nd Street</t>
  </si>
  <si>
    <t>Clinton,IA 52733</t>
  </si>
  <si>
    <t>(563) 243-5120</t>
  </si>
  <si>
    <t>(563) 243-8050</t>
  </si>
  <si>
    <t>Lancer Dispersions - Akron</t>
  </si>
  <si>
    <t>Akron,OH 44305</t>
  </si>
  <si>
    <t>Land East Machinery - Ogden</t>
  </si>
  <si>
    <t>Landis Block Co. - Souderton</t>
  </si>
  <si>
    <t>Landmark Plastics - Akron</t>
  </si>
  <si>
    <t>Akron,OH 44306</t>
  </si>
  <si>
    <t>Lane Enterprises - Bedford</t>
  </si>
  <si>
    <t>Lane Supply - Brewer</t>
  </si>
  <si>
    <t>Brewer,ME 04412</t>
  </si>
  <si>
    <t>Lang Exploritory Dri - Elko</t>
  </si>
  <si>
    <t>Langboard Inc. - Quitman</t>
  </si>
  <si>
    <t>Quitman,GA 31643</t>
  </si>
  <si>
    <t>Langdale Forest Products - Valdosta</t>
  </si>
  <si>
    <t>1106 Old Clyattville Rd</t>
  </si>
  <si>
    <t>229-333-2530</t>
  </si>
  <si>
    <t>229-333-2555</t>
  </si>
  <si>
    <t>Langston Div. - Cherry Hill</t>
  </si>
  <si>
    <t>Cherry Hill,NJ 08034</t>
  </si>
  <si>
    <t>Lanier Engineering - Roanoke</t>
  </si>
  <si>
    <t>93 North Commerce Street</t>
  </si>
  <si>
    <t>Roanoke,VA 24019</t>
  </si>
  <si>
    <t>(540) 992-6016</t>
  </si>
  <si>
    <t>(540) 992-3232</t>
  </si>
  <si>
    <t>Lanier Engineering Sales - Baltimore</t>
  </si>
  <si>
    <t>4703 Ritchie Highway</t>
  </si>
  <si>
    <t>Baltimore,MD 21225</t>
  </si>
  <si>
    <t>(410) 789-6800</t>
  </si>
  <si>
    <t>(410) 789-6866</t>
  </si>
  <si>
    <t>Lantis Corp. - Salinas</t>
  </si>
  <si>
    <t xml:space="preserve">Salinas, </t>
  </si>
  <si>
    <t>Lanxess Company</t>
  </si>
  <si>
    <t>FM 1006</t>
  </si>
  <si>
    <t>Lanzen Fabricating - Roseville</t>
  </si>
  <si>
    <t>Roseville,MI 48066</t>
  </si>
  <si>
    <t>Laredo,TX 78043</t>
  </si>
  <si>
    <t>3800 W. Hwy 13</t>
  </si>
  <si>
    <t>Burnsville, MN 55337</t>
  </si>
  <si>
    <t>Laron, Inc</t>
  </si>
  <si>
    <t>4255 Santa Fe Dr</t>
  </si>
  <si>
    <t>Kingman, AZ 86401</t>
  </si>
  <si>
    <t>Larson Cement Stone - Omaha</t>
  </si>
  <si>
    <t>Las Vegas Block - Las Vegas</t>
  </si>
  <si>
    <t>Las Vegas,NV 89115</t>
  </si>
  <si>
    <t>Las Vegas Valley Water - Boulder City</t>
  </si>
  <si>
    <t>Lashway Lumber - Williamsburg</t>
  </si>
  <si>
    <t>Williamsburg,MA 01</t>
  </si>
  <si>
    <t>Lau Ind - Rochester</t>
  </si>
  <si>
    <t>Rochester,IN 46975</t>
  </si>
  <si>
    <t>Laurel Asphalt Plant</t>
  </si>
  <si>
    <t>5401 Van Dusen Rd</t>
  </si>
  <si>
    <t>Laurel, MD 20707-3144</t>
  </si>
  <si>
    <t>Applied Ind Tech - Lanham's Customer</t>
  </si>
  <si>
    <t>Lauren Tide Ind - Hanahan</t>
  </si>
  <si>
    <t>Hanahan,SC 29406</t>
  </si>
  <si>
    <t>Lawrence Equipment - South El Monte</t>
  </si>
  <si>
    <t>Lawrence Paper Co - Lawrence</t>
  </si>
  <si>
    <t>Lawrence,KS 66044</t>
  </si>
  <si>
    <t>Layfield CNC Controls</t>
  </si>
  <si>
    <t>1707 West Eighth St.</t>
  </si>
  <si>
    <t>Sheffield,AL 35660</t>
  </si>
  <si>
    <t>Layman Lumber Co - Naches</t>
  </si>
  <si>
    <t>Naches,WA 98937</t>
  </si>
  <si>
    <t>Lbs Inc. - Milan</t>
  </si>
  <si>
    <t>Milan,OH 44846</t>
  </si>
  <si>
    <t>Leach Co. - Oshkosh</t>
  </si>
  <si>
    <t>Oshkosh,WI 54903</t>
  </si>
  <si>
    <t>Leader Engineering F - Napoleon</t>
  </si>
  <si>
    <t>Napoleon,OH 43545</t>
  </si>
  <si>
    <t>Leader Freight Syste - Inglewood</t>
  </si>
  <si>
    <t>Leading Ind - Oxnard</t>
  </si>
  <si>
    <t>Oxnard,CA 93030</t>
  </si>
  <si>
    <t>Lear Corp - Sheboygan</t>
  </si>
  <si>
    <t>Sheboygan,WI 53082</t>
  </si>
  <si>
    <t>Lear Corporation - Bourbon</t>
  </si>
  <si>
    <t>Bourbon,IN 46504</t>
  </si>
  <si>
    <t>Lear Corportaion - Roscommon</t>
  </si>
  <si>
    <t>Lear Corportation - Byron Center</t>
  </si>
  <si>
    <t>Byron Center,MI 4931</t>
  </si>
  <si>
    <t>Lear Seating - Atlanta</t>
  </si>
  <si>
    <t>Atlanta,GA 30354</t>
  </si>
  <si>
    <t>Lear Seating Corp - Morristown</t>
  </si>
  <si>
    <t>Morristown,TN 37814</t>
  </si>
  <si>
    <t>Lebach Company - Lynnwood</t>
  </si>
  <si>
    <t>Lynnwood,WA 98046</t>
  </si>
  <si>
    <t>Lebanon Machine - Lebanon</t>
  </si>
  <si>
    <t>Lebco, Inc - Madisonville</t>
  </si>
  <si>
    <t>3685 Nebo Road</t>
  </si>
  <si>
    <t>Madisonville,KY 42431</t>
  </si>
  <si>
    <t>(270) 821-0450</t>
  </si>
  <si>
    <t>(270) 825-3805</t>
  </si>
  <si>
    <t>Antioch,TN 37217</t>
  </si>
  <si>
    <t>Lee Container - Valdosta</t>
  </si>
  <si>
    <t>Lee Container Corp. - Homerville</t>
  </si>
  <si>
    <t>Homerville,GA 3163</t>
  </si>
  <si>
    <t>Leesville Lumber - Leesville</t>
  </si>
  <si>
    <t>Leesville,LA 71446</t>
  </si>
  <si>
    <t>Lefiell Company - Reno</t>
  </si>
  <si>
    <t>Reno,NV 89506</t>
  </si>
  <si>
    <t>Lefiell Mfg. - Santa Fe Springs</t>
  </si>
  <si>
    <t>Lehi,UT 84043</t>
  </si>
  <si>
    <t>Lehigh Hanson</t>
  </si>
  <si>
    <t>Daniel.Brasfield@LehighHanson.com</t>
  </si>
  <si>
    <t>Lehmann Electronics - Urbana</t>
  </si>
  <si>
    <t>Urbana,OH 43078</t>
  </si>
  <si>
    <t>2908 Claimont Avenue</t>
  </si>
  <si>
    <t>Birmingham,AL 35205</t>
  </si>
  <si>
    <t>(205) 439-6520</t>
  </si>
  <si>
    <t>Leiss Tool And Die - Somerset</t>
  </si>
  <si>
    <t>Lemforder - Hebron</t>
  </si>
  <si>
    <t>Hebron,KY 41048</t>
  </si>
  <si>
    <t>Lemont Scrap Process - Lemont</t>
  </si>
  <si>
    <t>Lemont,IL 60439</t>
  </si>
  <si>
    <t xml:space="preserve">Lennox Drum - </t>
  </si>
  <si>
    <t>, L1S</t>
  </si>
  <si>
    <t>Lenray Sales - Mc Kinney</t>
  </si>
  <si>
    <t>801 N Tennessee Street</t>
  </si>
  <si>
    <t>Mc Kinney,TX 75069</t>
  </si>
  <si>
    <t>(972) 562-1800</t>
  </si>
  <si>
    <t>(972) 562-7336</t>
  </si>
  <si>
    <t>Leon Ferenbach Inc - Johnson City</t>
  </si>
  <si>
    <t>Johnson City,TN 37601</t>
  </si>
  <si>
    <t>Leonard Metal Inc - St. Charles</t>
  </si>
  <si>
    <t>St. Charles,MO 63301</t>
  </si>
  <si>
    <t>Leonard's Metals</t>
  </si>
  <si>
    <t>3030 Hwy 94</t>
  </si>
  <si>
    <t>St. Charles, MO 63301</t>
  </si>
  <si>
    <t>Leo's Foods - Fort Worth</t>
  </si>
  <si>
    <t>Fort Worth,TX 76137</t>
  </si>
  <si>
    <t xml:space="preserve">Les Produits D'Acier - </t>
  </si>
  <si>
    <t>, J6W 4M4</t>
  </si>
  <si>
    <t>Lessco, Inc. - Dalton</t>
  </si>
  <si>
    <t>Lester Precision - Bedford</t>
  </si>
  <si>
    <t>Letourneau, Inc. - Longview</t>
  </si>
  <si>
    <t>Lever Manufacturing - Mahwah</t>
  </si>
  <si>
    <t>Lever Mfg Corp - Paterson</t>
  </si>
  <si>
    <t>Paterson,NJ 07524</t>
  </si>
  <si>
    <t>La Junta,CO 81050</t>
  </si>
  <si>
    <t>Lewis Supply Company</t>
  </si>
  <si>
    <t>One Rockwell Drive</t>
  </si>
  <si>
    <t>Morristown,TN 37813</t>
  </si>
  <si>
    <t>Lewis Supply Div/Set - Mc Minnville</t>
  </si>
  <si>
    <t>Mc Minnville,TN 37110</t>
  </si>
  <si>
    <t>140 Woodside Avenue</t>
  </si>
  <si>
    <t>Lewisburg, TN 37091</t>
  </si>
  <si>
    <t>931-359-8067</t>
  </si>
  <si>
    <t>931-359-8425</t>
  </si>
  <si>
    <t>Lewis-Goetz and Company Inc.</t>
  </si>
  <si>
    <t>5404 Industrial Drive Ext - Bldg A</t>
  </si>
  <si>
    <t xml:space="preserve">Bossier City, LA 71112 </t>
  </si>
  <si>
    <t>318-549-1187</t>
  </si>
  <si>
    <t>318-549-1868</t>
  </si>
  <si>
    <t>Lewiston Forest Prod - Lewiston</t>
  </si>
  <si>
    <t>Lewiston,MI 49756</t>
  </si>
  <si>
    <t>Lexalite International - Dickson</t>
  </si>
  <si>
    <t>Dickson,TN 37055</t>
  </si>
  <si>
    <t>Lexington Furniture - Kingstree</t>
  </si>
  <si>
    <t>Kingstree,SC 29556</t>
  </si>
  <si>
    <t>Libbey Canada - Wallaceburg</t>
  </si>
  <si>
    <t>Wallaceburg,ONT N8A</t>
  </si>
  <si>
    <t>Libbey Glass - Shreveport</t>
  </si>
  <si>
    <t>Shreveport,LA 71109</t>
  </si>
  <si>
    <t>Libby Owens Ford - Shelbyville</t>
  </si>
  <si>
    <t>Shelbyville,IN 46176</t>
  </si>
  <si>
    <t>Liberty Equipment Service</t>
  </si>
  <si>
    <t>554 County Rd. 119</t>
  </si>
  <si>
    <t>Fort Payne,AL 35968</t>
  </si>
  <si>
    <t>877-699-8632</t>
  </si>
  <si>
    <t>256-638-8632</t>
  </si>
  <si>
    <t>Liberty Fluid Power</t>
  </si>
  <si>
    <t>2338 Doreen Street</t>
  </si>
  <si>
    <t>Grand Prairie, TX, 75050</t>
  </si>
  <si>
    <t>972-623-0927</t>
  </si>
  <si>
    <t>972-606-9769</t>
  </si>
  <si>
    <t>Liberty Forge Inc. - Liberty</t>
  </si>
  <si>
    <t>Liberty,TX 77575</t>
  </si>
  <si>
    <t>Liberty Lumber</t>
  </si>
  <si>
    <t>2366-4  Interstate Road</t>
  </si>
  <si>
    <t>Libralter Plastics - Westland</t>
  </si>
  <si>
    <t>Life Tile Corp - Lake Wales</t>
  </si>
  <si>
    <t>Lake Wales,FL 33853</t>
  </si>
  <si>
    <t>LIFT PARTS SERVICE</t>
  </si>
  <si>
    <t>1924 TELEGRAPH ROAD</t>
  </si>
  <si>
    <t>MOBILE, AL 36610</t>
  </si>
  <si>
    <t>251-457-1359</t>
  </si>
  <si>
    <t>251-456-6711</t>
  </si>
  <si>
    <t>LIFT PARTS SERVICE - BILL TO</t>
  </si>
  <si>
    <t>P.O. BOX 176</t>
  </si>
  <si>
    <t>MOBILE, AL 36601</t>
  </si>
  <si>
    <t>Light Metals Corpora - Wyoming</t>
  </si>
  <si>
    <t>Wyoming,MI 49509</t>
  </si>
  <si>
    <t>Lighthouse Marine - Bayou La Batre</t>
  </si>
  <si>
    <t>Lightning Bay Pneudraulics</t>
  </si>
  <si>
    <t>4302 E. 10th Ave, Suite #401</t>
  </si>
  <si>
    <t>Tampa, FL 33605</t>
  </si>
  <si>
    <t>813-655-0806</t>
  </si>
  <si>
    <t>813-661-1935</t>
  </si>
  <si>
    <t>Elk Grove,IL 60007</t>
  </si>
  <si>
    <t>Lightolier, Co. - Fall River</t>
  </si>
  <si>
    <t>Fall River,MA 0272</t>
  </si>
  <si>
    <t>Lightweight Block Co - Lynchburg</t>
  </si>
  <si>
    <t>Ligna Machinery - Burlington</t>
  </si>
  <si>
    <t>315 MacArthur Lane</t>
  </si>
  <si>
    <t>(800) 326-0740</t>
  </si>
  <si>
    <t>(336) 584-5915</t>
  </si>
  <si>
    <t>Lima Cement Products - Lima</t>
  </si>
  <si>
    <t>Lima,OH 45805</t>
  </si>
  <si>
    <t>Lincoln Controls - Cheshire</t>
  </si>
  <si>
    <t>Cheshire,CT 06410</t>
  </si>
  <si>
    <t>Lincoln Controls Div - Cranston</t>
  </si>
  <si>
    <t>Roselle,NJ 07203</t>
  </si>
  <si>
    <t>Lindar Corp. - Baxter.</t>
  </si>
  <si>
    <t>Baxter.,MN 56425</t>
  </si>
  <si>
    <t>Lindberg Heat Treating - Solon</t>
  </si>
  <si>
    <t>Lindberg-Mph - Riverside</t>
  </si>
  <si>
    <t>Riverside,MI 49084</t>
  </si>
  <si>
    <t>Lindsay Mfg. - Lindsay</t>
  </si>
  <si>
    <t>Lindsay,NE 68644</t>
  </si>
  <si>
    <t>Lindwall Engineering - Paramount</t>
  </si>
  <si>
    <t>Paramount,CA 90723</t>
  </si>
  <si>
    <t>LINDY PAVING</t>
  </si>
  <si>
    <t>158 LINDSAY RD</t>
  </si>
  <si>
    <t>ZELENOPLE, PA 16063-2812</t>
  </si>
  <si>
    <t>Linear Dynamics Inc. - Montgomery</t>
  </si>
  <si>
    <t>Montgomery,PA 17752</t>
  </si>
  <si>
    <t>Linear Products Inc. - Vancouver</t>
  </si>
  <si>
    <t>Vancouver,WA 98685</t>
  </si>
  <si>
    <t>Lineco Hydraulics</t>
  </si>
  <si>
    <t>9368 Highway 269</t>
  </si>
  <si>
    <t>Parrish,AL 35580</t>
  </si>
  <si>
    <t>205-686-9233</t>
  </si>
  <si>
    <t>205-686-9244</t>
  </si>
  <si>
    <t>Lined Valve Co.,Inc - WA</t>
  </si>
  <si>
    <t>675 Mitchell Avenue</t>
  </si>
  <si>
    <t>Woodland,WA 98674</t>
  </si>
  <si>
    <t>360-225-1230</t>
  </si>
  <si>
    <t>360-225-1235</t>
  </si>
  <si>
    <t>Lined Valve Company - Ocala</t>
  </si>
  <si>
    <t>10333 SE 110th Ave</t>
  </si>
  <si>
    <t>Ocala,FL 34472</t>
  </si>
  <si>
    <t>352-687-4363</t>
  </si>
  <si>
    <t>Linfor (M) - Plymouth</t>
  </si>
  <si>
    <t>Link Hydraulics - Dubuque</t>
  </si>
  <si>
    <t>180 Westside</t>
  </si>
  <si>
    <t>Dubuque,IA 52003</t>
  </si>
  <si>
    <t>(563) 556-2551</t>
  </si>
  <si>
    <t>(563) 556-8244</t>
  </si>
  <si>
    <t>LINPAC - Orbis</t>
  </si>
  <si>
    <t>705 Wilson Parkway</t>
  </si>
  <si>
    <t>Bardstown, KY 40004</t>
  </si>
  <si>
    <t>800-442-4892</t>
  </si>
  <si>
    <t>Motion Ind - Louisville, KY Customer</t>
  </si>
  <si>
    <t>Linq Industrial Fabr - Summerville</t>
  </si>
  <si>
    <t>Lion Heart Inc.</t>
  </si>
  <si>
    <t>1718 McCain Blvd</t>
  </si>
  <si>
    <t>North Little Rock, AR 72116</t>
  </si>
  <si>
    <t>501-920-6567</t>
  </si>
  <si>
    <t>501-771-1909</t>
  </si>
  <si>
    <t>Grant Vaughan</t>
  </si>
  <si>
    <t>Little Rapids Corp. - Shawano</t>
  </si>
  <si>
    <t>W7575 Poplar Road At Hwy Mm</t>
  </si>
  <si>
    <t>Shawano,WI 54166</t>
  </si>
  <si>
    <t>(715) 526-2181 ext8003</t>
  </si>
  <si>
    <t>(715) 524-5727</t>
  </si>
  <si>
    <t>Littler Die Cast - Albany</t>
  </si>
  <si>
    <t>Albany,IN 47320</t>
  </si>
  <si>
    <t>Littrell A V Lumber Mill Inc - Iuka</t>
  </si>
  <si>
    <t>1818 Highway 25</t>
  </si>
  <si>
    <t>(662) 423-3710</t>
  </si>
  <si>
    <t>Littrell Lumber Mill</t>
  </si>
  <si>
    <t>Old Moulton Road</t>
  </si>
  <si>
    <t>256-355-1468</t>
  </si>
  <si>
    <t>256-353-6034</t>
  </si>
  <si>
    <t>Littrell Lumber Mill - Dectaur</t>
  </si>
  <si>
    <t>Dectaur,AL 35601</t>
  </si>
  <si>
    <t>(256) 355-1468</t>
  </si>
  <si>
    <t>(256) 353-6034</t>
  </si>
  <si>
    <t>11616 Wilmar Blvd</t>
  </si>
  <si>
    <t>(704) 588-3670</t>
  </si>
  <si>
    <t>101 N Harding St</t>
  </si>
  <si>
    <t>Greenville,NC 27858</t>
  </si>
  <si>
    <t>(252) 757-2048</t>
  </si>
  <si>
    <t>219 Fulton Court</t>
  </si>
  <si>
    <t>(404) 915-0866</t>
  </si>
  <si>
    <t xml:space="preserve">LM AERO </t>
  </si>
  <si>
    <t>PALMDALE, CA 93550</t>
  </si>
  <si>
    <t>L-M Equipment Co Inc - Portland</t>
  </si>
  <si>
    <t>Portland,OR 97282</t>
  </si>
  <si>
    <t>Lockformer Co. - Lisle</t>
  </si>
  <si>
    <t>711 Ogden Avenue</t>
  </si>
  <si>
    <t>Lisle,IL 60532</t>
  </si>
  <si>
    <t>(630) 964-8000</t>
  </si>
  <si>
    <t>(630) 964-5685</t>
  </si>
  <si>
    <t>Lockheed Martin - Lakeland</t>
  </si>
  <si>
    <t>PO Box 33082</t>
  </si>
  <si>
    <t>Lakeland, FL, 33807</t>
  </si>
  <si>
    <t>Lockheed Martin - Palmdale</t>
  </si>
  <si>
    <t>Palmdale,CA 93550</t>
  </si>
  <si>
    <t>Lockheed Martin - Richland</t>
  </si>
  <si>
    <t>Lockheed Martin Corp - San Diego</t>
  </si>
  <si>
    <t>San Diego,CA 92110</t>
  </si>
  <si>
    <t>Lodge Manufacturing - South Pittsburg</t>
  </si>
  <si>
    <t>South Pittsburg,TN 3</t>
  </si>
  <si>
    <t>Logan Aluminum - Russellville</t>
  </si>
  <si>
    <t>Logan Machine Company</t>
  </si>
  <si>
    <t>1405 Home Ave</t>
  </si>
  <si>
    <t>Akron, OH 44310</t>
  </si>
  <si>
    <t>Lone Pine Products - Eureka</t>
  </si>
  <si>
    <t>Eureka,MT 59917</t>
  </si>
  <si>
    <t>Lone Star Ind - Cape Girardeau</t>
  </si>
  <si>
    <t>Lone Star Steel Company - Lone Star</t>
  </si>
  <si>
    <t>Lone Star,TX 75668</t>
  </si>
  <si>
    <t>Long Mfg. - Rochester</t>
  </si>
  <si>
    <t>Rochester,MI 48309</t>
  </si>
  <si>
    <t>Longmont Foods - Longmont</t>
  </si>
  <si>
    <t>Longmont,CO 80501</t>
  </si>
  <si>
    <t>Longview Fiber Company - Levenworth</t>
  </si>
  <si>
    <t>Levenworth,WA 98826</t>
  </si>
  <si>
    <t>Longview Fibre Compa - Yakima</t>
  </si>
  <si>
    <t>Yakima,WA 98903</t>
  </si>
  <si>
    <t>Loose Plastics - Beaverton</t>
  </si>
  <si>
    <t>Loparex, Inc.</t>
  </si>
  <si>
    <t>1828 Burgundy Lane NW</t>
  </si>
  <si>
    <t>256-734-1153</t>
  </si>
  <si>
    <t>256-739-6797</t>
  </si>
  <si>
    <t>Loram - Hamel</t>
  </si>
  <si>
    <t>Hamel,MN 55340</t>
  </si>
  <si>
    <t>Lott Tool - Cincinnati</t>
  </si>
  <si>
    <t>Cincinnati,OH 45227</t>
  </si>
  <si>
    <t>Louis Dreyfus Corp - Portland</t>
  </si>
  <si>
    <t>Louis Dreyfus Corp. - Galena Park</t>
  </si>
  <si>
    <t>Galena Park,TX 77547</t>
  </si>
  <si>
    <t>Louisiana Delta - Jonesville</t>
  </si>
  <si>
    <t>Jonesville,LA 70544</t>
  </si>
  <si>
    <t>Louisiana Hydrostatic</t>
  </si>
  <si>
    <t>7549 Hwy 71 South</t>
  </si>
  <si>
    <t>Alexandria, LA 71302</t>
  </si>
  <si>
    <t>318-445-7722</t>
  </si>
  <si>
    <t>318-442-0402</t>
  </si>
  <si>
    <t>Louisiana Hydrostatic - Alexandria</t>
  </si>
  <si>
    <t xml:space="preserve">Alexandria,LA </t>
  </si>
  <si>
    <t>Louisiana Hydrostatic- Eunice</t>
  </si>
  <si>
    <t>143 East Park Dr.</t>
  </si>
  <si>
    <t>Eunice, LA 70535</t>
  </si>
  <si>
    <t>Louisiana Pacific</t>
  </si>
  <si>
    <t>Highway 787 East</t>
  </si>
  <si>
    <t>Louisiana Pacific - Carthage</t>
  </si>
  <si>
    <t>Carthage,TX 75633</t>
  </si>
  <si>
    <t>Louisiana Pacific - Ft Bragg</t>
  </si>
  <si>
    <t>Ft Bragg,CA 95437</t>
  </si>
  <si>
    <t>Louisiana Pacific - Hanceville</t>
  </si>
  <si>
    <t xml:space="preserve">Hanceville,AL </t>
  </si>
  <si>
    <t>Louisiana Pacific - Roaring River</t>
  </si>
  <si>
    <t>Hwy 268 PO Box 98</t>
  </si>
  <si>
    <t>Roaring River,NC 28669</t>
  </si>
  <si>
    <t>(800) 334-3551</t>
  </si>
  <si>
    <t>(336) 696-3412</t>
  </si>
  <si>
    <t>Louisiana Pacific - Urania</t>
  </si>
  <si>
    <t>Urania,LA 71480</t>
  </si>
  <si>
    <t>Louisiana Pacific /OSB Plant</t>
  </si>
  <si>
    <t>Highway 92 North</t>
  </si>
  <si>
    <t>Louisiana Pigment Co - West Lake</t>
  </si>
  <si>
    <t>West Lake,LA 70669</t>
  </si>
  <si>
    <t>Louisiana State Cypress</t>
  </si>
  <si>
    <t>61658 Hwy 51</t>
  </si>
  <si>
    <t>Roseland, LA, 70456</t>
  </si>
  <si>
    <t>Ruston Ind - McComb, MS customer</t>
  </si>
  <si>
    <t>Louisisna Hydrostatic</t>
  </si>
  <si>
    <t>5252 Cane Run Rd Ent #3</t>
  </si>
  <si>
    <t>Louisville,KY 40216</t>
  </si>
  <si>
    <t>121 South Desoto Avenue</t>
  </si>
  <si>
    <t>Arcadia,FL 34266</t>
  </si>
  <si>
    <t>(863) 993-3225</t>
  </si>
  <si>
    <t>(863) 494-6233</t>
  </si>
  <si>
    <t>Lowe Paper Company - Ridgefield</t>
  </si>
  <si>
    <t>Ridgefield,NJ 07657</t>
  </si>
  <si>
    <t>Lowe Parker Corp. - Seattle</t>
  </si>
  <si>
    <t>Seattle,WA 98104</t>
  </si>
  <si>
    <t>LTV Steel Company - Hennepin</t>
  </si>
  <si>
    <t>Hennepin,IL 61327</t>
  </si>
  <si>
    <t>(815) 925-2758</t>
  </si>
  <si>
    <t>(815) 925-2129</t>
  </si>
  <si>
    <t>Lube Power, Inc - Shelby Township</t>
  </si>
  <si>
    <t>50485 Utica Drive</t>
  </si>
  <si>
    <t>Shelby Township,MI 48315</t>
  </si>
  <si>
    <t>Lubromation Of Raleigh - Raleigh</t>
  </si>
  <si>
    <t>Raleigh,NC 27613</t>
  </si>
  <si>
    <t>Lucky Manufacturing</t>
  </si>
  <si>
    <t>103 Winchester Rd. N.E</t>
  </si>
  <si>
    <t>256-651-0541</t>
  </si>
  <si>
    <t>Ludwig Industrial - Monroe</t>
  </si>
  <si>
    <t>Lufkin Ind - Lufkin</t>
  </si>
  <si>
    <t>Lufkin,TX 75902</t>
  </si>
  <si>
    <t>Luk, Inc. - Wooster</t>
  </si>
  <si>
    <t>Wooster,OH 44691</t>
  </si>
  <si>
    <t>Lummus Corp - Savannah</t>
  </si>
  <si>
    <t>Savannah,GA 31422</t>
  </si>
  <si>
    <t>Lummus Corporation - Greenville</t>
  </si>
  <si>
    <t>Greenville,MS 38701</t>
  </si>
  <si>
    <t>Lummus Ind - Columbus</t>
  </si>
  <si>
    <t>Columbus,GA 31994</t>
  </si>
  <si>
    <t>Lunden Ind - Spokane</t>
  </si>
  <si>
    <t>Spokane,WA 99206</t>
  </si>
  <si>
    <t>Lunt Manufacturing C - Schaumburg</t>
  </si>
  <si>
    <t>Schaumburg,IL 60193</t>
  </si>
  <si>
    <t>Luxfer Usa Limited - Graham</t>
  </si>
  <si>
    <t>235 Riverbend Road</t>
  </si>
  <si>
    <t>Fluid Power Carolinas' Customer</t>
  </si>
  <si>
    <t>Luzenac America, Inc - Three Forks</t>
  </si>
  <si>
    <t>Lyle Ind - Beaverton</t>
  </si>
  <si>
    <t>Lynch Fluid Controls - Toronto</t>
  </si>
  <si>
    <t>55 Queens Plate Drive</t>
  </si>
  <si>
    <t>Toronto,ONT M9W 6P2</t>
  </si>
  <si>
    <t>(888) 626-4365</t>
  </si>
  <si>
    <t>(416) 744-8705</t>
  </si>
  <si>
    <t>Lynchburg Block - Lynchburg</t>
  </si>
  <si>
    <t>Lynden International - Houston</t>
  </si>
  <si>
    <t>Lyn-Pac Plastics - Wilson</t>
  </si>
  <si>
    <t>1313 Parkway Dr.</t>
  </si>
  <si>
    <t>Leeds,AL 35094</t>
  </si>
  <si>
    <t>205-699-2171</t>
  </si>
  <si>
    <t>205-699-6194</t>
  </si>
  <si>
    <t>1810 Sherman Street SE</t>
  </si>
  <si>
    <t>256-350-6568</t>
  </si>
  <si>
    <t>256-351-9677</t>
  </si>
  <si>
    <t>Laurel,MS 39440</t>
  </si>
  <si>
    <t>Garrett,IN 46738</t>
  </si>
  <si>
    <t>M 3 Resources/ Brian Smith</t>
  </si>
  <si>
    <t>2128 Sabinal Rd.</t>
  </si>
  <si>
    <t>Mission, TX 78572</t>
  </si>
  <si>
    <t>M A Ind - Peachtree City</t>
  </si>
  <si>
    <t>M C Dixon Lumber Co - Eufaula</t>
  </si>
  <si>
    <t>Eufaula,AL 36072</t>
  </si>
  <si>
    <t>M C Tool Inc. - Greer</t>
  </si>
  <si>
    <t>Greer,SC 29650</t>
  </si>
  <si>
    <t>M I Supply Co. - Altoona</t>
  </si>
  <si>
    <t>Altoona,PA 16603</t>
  </si>
  <si>
    <t>M M W Ind - Hurst</t>
  </si>
  <si>
    <t>Janesville,IA 50647</t>
  </si>
  <si>
    <t>M&amp;M Forwarding - Tonawanda</t>
  </si>
  <si>
    <t>Tonawanda,NY 14151</t>
  </si>
  <si>
    <t>M&amp;M Ind, Inc</t>
  </si>
  <si>
    <t>316 Corporate Place</t>
  </si>
  <si>
    <t>Chattanooga, TN 37419</t>
  </si>
  <si>
    <t>M&amp;W Hydraulics - Tampa</t>
  </si>
  <si>
    <t>2815 Overpass Road</t>
  </si>
  <si>
    <t>(813) 621-8902</t>
  </si>
  <si>
    <t>(813) 623-2276</t>
  </si>
  <si>
    <t>Willmington,DE 19804</t>
  </si>
  <si>
    <t>M.A. East Inc - Cartersville</t>
  </si>
  <si>
    <t>M.A. Engineering - Peachtree City</t>
  </si>
  <si>
    <t>M.A. Patout Company - Jeanerette</t>
  </si>
  <si>
    <t>M.C. Dixon Lumber - Eufaula</t>
  </si>
  <si>
    <t>M.E.A. Inc. - Elk Grove Village</t>
  </si>
  <si>
    <t>2600 American Lane</t>
  </si>
  <si>
    <t>(800) 523-5491</t>
  </si>
  <si>
    <t>(847) 350-1951</t>
  </si>
  <si>
    <t>M.M.C. - Belgrade</t>
  </si>
  <si>
    <t>Belgrade,MT 59714</t>
  </si>
  <si>
    <t>M.T.S. Systems - Eden Prairie</t>
  </si>
  <si>
    <t>14000 Technology Drive</t>
  </si>
  <si>
    <t>(612) 937-4000</t>
  </si>
  <si>
    <t>(612) 937-4515</t>
  </si>
  <si>
    <t>Mabry Lumber Co. - Liberty</t>
  </si>
  <si>
    <t>Liberty,MS 39645</t>
  </si>
  <si>
    <t>Mac Corporation - Grand Prairie</t>
  </si>
  <si>
    <t xml:space="preserve">Grand Prairie,TX </t>
  </si>
  <si>
    <t>Mac Engineering - Benton Harbor</t>
  </si>
  <si>
    <t>Benton Harbor,MI 49022</t>
  </si>
  <si>
    <t>Mac Equipment Company - Montgomery</t>
  </si>
  <si>
    <t>MAC Steel - Fort Smith</t>
  </si>
  <si>
    <t>5225 Planters Road</t>
  </si>
  <si>
    <t>Fort Smith,AR 72916</t>
  </si>
  <si>
    <t>Macbeath Hardwood Co - Edinburgh</t>
  </si>
  <si>
    <t>Mach III</t>
  </si>
  <si>
    <t>6640 County Road 1101</t>
  </si>
  <si>
    <t>Vinemont, AL 35179</t>
  </si>
  <si>
    <t>462-1700</t>
  </si>
  <si>
    <t>462-1701</t>
  </si>
  <si>
    <t>Machine Automation, Inc. - Knoxville</t>
  </si>
  <si>
    <t>5905 Weisbrook Lane, Suite 103</t>
  </si>
  <si>
    <t>Knoxville,TN 37909</t>
  </si>
  <si>
    <t>(800) 492-9647</t>
  </si>
  <si>
    <t>Machine Systems L.L. - Bend</t>
  </si>
  <si>
    <t>Bend,OR 97702</t>
  </si>
  <si>
    <t>Machine Tool Research - Rochester</t>
  </si>
  <si>
    <t>Rochester,NY 14610</t>
  </si>
  <si>
    <t>Machine Way Specialist - Uniontown</t>
  </si>
  <si>
    <t>Uniontown,OH 44685</t>
  </si>
  <si>
    <t>Machine Works Co - Costa Mesa</t>
  </si>
  <si>
    <t>Machinery Sales - Portland</t>
  </si>
  <si>
    <t>Machining Corp. Of A - Barberton</t>
  </si>
  <si>
    <t>Mack Concrete Ind</t>
  </si>
  <si>
    <t>23902 County Road 561</t>
  </si>
  <si>
    <t>Astatula, FL 34705</t>
  </si>
  <si>
    <t>Mackey's Ferry Sawmill - Roper</t>
  </si>
  <si>
    <t>Roper,NC 27970</t>
  </si>
  <si>
    <t>Mackinaw Fluid Power</t>
  </si>
  <si>
    <t>1200 Buckley</t>
  </si>
  <si>
    <t>Petosky,MI 49770</t>
  </si>
  <si>
    <t>Mackinaw Fluid Power1200 Buckley</t>
  </si>
  <si>
    <t>Colbert,GA 30628</t>
  </si>
  <si>
    <t>MacMillan Bloedel - Pine Hill</t>
  </si>
  <si>
    <t>Pine Hill,AL 36769</t>
  </si>
  <si>
    <t>MacMillin Hydraulic Engineering Corp - Skokie</t>
  </si>
  <si>
    <t>7355 N Lawndale Ave</t>
  </si>
  <si>
    <t>Skokie,IL 60076-4021</t>
  </si>
  <si>
    <t>(800) 248-2910</t>
  </si>
  <si>
    <t>(847) 676-0365</t>
  </si>
  <si>
    <t>Maco Bag Corp - Victor</t>
  </si>
  <si>
    <t>MACO Ind</t>
  </si>
  <si>
    <t>19051 HIGHWAY 174</t>
  </si>
  <si>
    <t>PELL CITY, AL 35125</t>
  </si>
  <si>
    <t>Macuch Steel Product - Augusta</t>
  </si>
  <si>
    <t>Augusta,GA 30901</t>
  </si>
  <si>
    <t>Mad Inc. - Greenville</t>
  </si>
  <si>
    <t>Madill - Eugene</t>
  </si>
  <si>
    <t>Madill - Kalama</t>
  </si>
  <si>
    <t>Kalama,WA 98625</t>
  </si>
  <si>
    <t>Madison County Wood - Fredericktown</t>
  </si>
  <si>
    <t>Fredericktown,MD 636</t>
  </si>
  <si>
    <t>Madison Kipp</t>
  </si>
  <si>
    <t>201 Waubesa Street</t>
  </si>
  <si>
    <t>Madison, WI 53704</t>
  </si>
  <si>
    <t>Fluid Power Engineering's Customer</t>
  </si>
  <si>
    <t>Madison Precision - Madison</t>
  </si>
  <si>
    <t>Madison,IN 47250</t>
  </si>
  <si>
    <t>Madison,ME 04950</t>
  </si>
  <si>
    <t>Madison Wood Preserve - Madison</t>
  </si>
  <si>
    <t>Madison,VA 22727</t>
  </si>
  <si>
    <t>Mag Products - Eaton Rapids</t>
  </si>
  <si>
    <t>Eaton Rapids,MI 4882</t>
  </si>
  <si>
    <t>Mag. Aluminum - Cleveland</t>
  </si>
  <si>
    <t>Magee Machine - Mesquite</t>
  </si>
  <si>
    <t>Mesquite,TX 75149</t>
  </si>
  <si>
    <t>Magee Riter Automotive - Bloomsburg</t>
  </si>
  <si>
    <t>Bloomsburg,PA 17815</t>
  </si>
  <si>
    <t>Magline Inc. - Pinconning</t>
  </si>
  <si>
    <t>Pinconning,MI 48650</t>
  </si>
  <si>
    <t>Magna</t>
  </si>
  <si>
    <t>1800 Nathan Street</t>
  </si>
  <si>
    <t>Toledo, OH, 43611</t>
  </si>
  <si>
    <t>Absolute Machinery's Customer</t>
  </si>
  <si>
    <t>Magna Lomason, Inc. - Columbus</t>
  </si>
  <si>
    <t>Columbus,NE 68602</t>
  </si>
  <si>
    <t>Magnaflex Ind, Inc. - Mt.Serling</t>
  </si>
  <si>
    <t>Mt.Serling,KY 40353</t>
  </si>
  <si>
    <t>Magnaquench, Int. - Anderson</t>
  </si>
  <si>
    <t>Anderson,IN 46013</t>
  </si>
  <si>
    <t>Magnesium Elektron Inc - Flemington</t>
  </si>
  <si>
    <t>Flemington,NJ 08822</t>
  </si>
  <si>
    <t>Magnesium Products O - Lansing</t>
  </si>
  <si>
    <t>Lansing,MI 48917</t>
  </si>
  <si>
    <t>Magnetek Century Ele - Mcminnville</t>
  </si>
  <si>
    <t>Magneti Marelli Usa - Sanford</t>
  </si>
  <si>
    <t>Magnetic Analysis - Mt Vernon</t>
  </si>
  <si>
    <t>Mt Vernon,NY 10550</t>
  </si>
  <si>
    <t>Magnif Inc. - Mentor</t>
  </si>
  <si>
    <t>Mentor,OH 44060</t>
  </si>
  <si>
    <t>Magnum Machine - Washington</t>
  </si>
  <si>
    <t>Washington,PA 15301</t>
  </si>
  <si>
    <t>Magnum Manufacturing - Harrisburg</t>
  </si>
  <si>
    <t>Harrisburg,OR 97446</t>
  </si>
  <si>
    <t>Magotteaux Pulaski, Inc.</t>
  </si>
  <si>
    <t>2360 Industrial Park Road</t>
  </si>
  <si>
    <t>Pulaski, TN 38478</t>
  </si>
  <si>
    <t>931-369-7471</t>
  </si>
  <si>
    <t>931-363-6918</t>
  </si>
  <si>
    <t>Magruder Construction</t>
  </si>
  <si>
    <t>131 West Outter Rd</t>
  </si>
  <si>
    <t>Eolia, MO 63344</t>
  </si>
  <si>
    <t>Maguire Bearing Co., - Kahului Maui</t>
  </si>
  <si>
    <t>Kahului Maui,HI 96732</t>
  </si>
  <si>
    <t>Maher Terminals Inc. - Elizabeth</t>
  </si>
  <si>
    <t>Elizabeth,NJ 07201</t>
  </si>
  <si>
    <t>Maine Woods Company - Portage</t>
  </si>
  <si>
    <t>Portage,ME 04768</t>
  </si>
  <si>
    <t>Mainline Hydraulics - Sweetgrass</t>
  </si>
  <si>
    <t>Sweetgrass,MT 59</t>
  </si>
  <si>
    <t xml:space="preserve">Mainline Ind - </t>
  </si>
  <si>
    <t>, T6E 5Y6</t>
  </si>
  <si>
    <t>Mainline Industrial - Iron Mountain</t>
  </si>
  <si>
    <t>Iron Mountain,MI 498</t>
  </si>
  <si>
    <t>4295 Cromwell Rd. Wuite 605</t>
  </si>
  <si>
    <t>423-894-4703</t>
  </si>
  <si>
    <t>423-899-6523</t>
  </si>
  <si>
    <t>Majac Steel</t>
  </si>
  <si>
    <t>81 Hwy 51 East</t>
  </si>
  <si>
    <t>Centerville, TN 37033</t>
  </si>
  <si>
    <t>(931) 729-0300</t>
  </si>
  <si>
    <t>(931) 729-3090</t>
  </si>
  <si>
    <t>Malden Mills - Lawrence</t>
  </si>
  <si>
    <t>Lawrence,MA 01841</t>
  </si>
  <si>
    <t>Malheur Lumber Co - John Day</t>
  </si>
  <si>
    <t>Malnove Inc - Omaha</t>
  </si>
  <si>
    <t>Malone Associates Inc - Evansville</t>
  </si>
  <si>
    <t>Malone Lumber Inc - Merryville</t>
  </si>
  <si>
    <t>Merryville,LA 70653</t>
  </si>
  <si>
    <t>Mama Rosies Ravioli - Charleton</t>
  </si>
  <si>
    <t>Charleton,MA 02129</t>
  </si>
  <si>
    <t>Manan Medical Products - Wheeling</t>
  </si>
  <si>
    <t>Manasha Corp Orbis Div1 Plastic Lane</t>
  </si>
  <si>
    <t>1 Plastic Lane</t>
  </si>
  <si>
    <t>Monticello,IA 52310</t>
  </si>
  <si>
    <t>Manchester Tank</t>
  </si>
  <si>
    <t>1383 Industrial Blvd.</t>
  </si>
  <si>
    <t>Crossville,TN 38555</t>
  </si>
  <si>
    <t>931-456-3419</t>
  </si>
  <si>
    <t>931-456-0841</t>
  </si>
  <si>
    <t>Manchester Tank - Elkhart</t>
  </si>
  <si>
    <t>Elkhart,IN 46515</t>
  </si>
  <si>
    <t>Muscle Shoals,AL 356</t>
  </si>
  <si>
    <t>2721 Avalon Ave</t>
  </si>
  <si>
    <t>256-383-7300</t>
  </si>
  <si>
    <t>256-383-7340</t>
  </si>
  <si>
    <t xml:space="preserve">Manitoba Rolling Mills - </t>
  </si>
  <si>
    <t xml:space="preserve">,MB </t>
  </si>
  <si>
    <t>Manosh Hardwoods - No. Hyde Park</t>
  </si>
  <si>
    <t>No. Hyde Park,VT 56</t>
  </si>
  <si>
    <t>551 Spring Valley Rd</t>
  </si>
  <si>
    <t>Tuscumbia, AL 35674</t>
  </si>
  <si>
    <t>256-366-9325</t>
  </si>
  <si>
    <t>Mansfield Foundry - Mansfield</t>
  </si>
  <si>
    <t>Mansfield,OH 4901</t>
  </si>
  <si>
    <t>Manufacturers Consul - Portland</t>
  </si>
  <si>
    <t>Manufacturers Rubber</t>
  </si>
  <si>
    <t xml:space="preserve">St. Joseph,MI </t>
  </si>
  <si>
    <t>269-983-6361</t>
  </si>
  <si>
    <t>269-983-2973</t>
  </si>
  <si>
    <t>Manufacturing Service - W Hartford</t>
  </si>
  <si>
    <t>Manufacturing Solutions - Crowley</t>
  </si>
  <si>
    <t>Manufacturing Unlimited - Denver</t>
  </si>
  <si>
    <t>Mapes Piano String C - Elizabethton</t>
  </si>
  <si>
    <t>Mar Industrial Sales - Portland</t>
  </si>
  <si>
    <t>Marathon Abrasion - Chester</t>
  </si>
  <si>
    <t>Chester,SC 29706</t>
  </si>
  <si>
    <t>Marathon Cheese Corp - Booneville</t>
  </si>
  <si>
    <t>Marathon Equipment CO - Vernon</t>
  </si>
  <si>
    <t>909 County Road 9</t>
  </si>
  <si>
    <t>Vernon,AL 35592</t>
  </si>
  <si>
    <t>(205) 695-9105</t>
  </si>
  <si>
    <t>Marcal Paper Product - Elmwood Park</t>
  </si>
  <si>
    <t>Elmwood Park,NJ 074</t>
  </si>
  <si>
    <t>Marco Fluid Power Inc - Tampa</t>
  </si>
  <si>
    <t>Marco Seattle - Seattle</t>
  </si>
  <si>
    <t>Mardustrial - Portland</t>
  </si>
  <si>
    <t>Maren Engineering - South Holland</t>
  </si>
  <si>
    <t>P.O. Box 278_x000D_
111 West Taft Drive</t>
  </si>
  <si>
    <t>(708) 333-6250</t>
  </si>
  <si>
    <t>(708) 333-7507</t>
  </si>
  <si>
    <t>Marine Drilling - Rosharon</t>
  </si>
  <si>
    <t>Rosharon,TX 77583</t>
  </si>
  <si>
    <t>Marine Hydraulics</t>
  </si>
  <si>
    <t>256 Herman Melville Blvd.</t>
  </si>
  <si>
    <t>New Bedford, MA 02740</t>
  </si>
  <si>
    <t>508-990-2866</t>
  </si>
  <si>
    <t>Marion Die Fixture - Marion</t>
  </si>
  <si>
    <t xml:space="preserve">Marion,KS </t>
  </si>
  <si>
    <t>Marion Pneumatics - Ocala</t>
  </si>
  <si>
    <t>2121 North Magnolia Avenue</t>
  </si>
  <si>
    <t>Ocala,FL 34475</t>
  </si>
  <si>
    <t>(352) 732-3312</t>
  </si>
  <si>
    <t>(352) 732-8206</t>
  </si>
  <si>
    <t>Mark Hydraulics - Omaha</t>
  </si>
  <si>
    <t>4771 G Street</t>
  </si>
  <si>
    <t>Omaha,NE 68117</t>
  </si>
  <si>
    <t>(402) 734-6734</t>
  </si>
  <si>
    <t>(402) 734-0227</t>
  </si>
  <si>
    <t>Mark One Air Equipment - Halifax</t>
  </si>
  <si>
    <t>134 Joseph Zatzman</t>
  </si>
  <si>
    <t>Halifax,NS B3K 5M1</t>
  </si>
  <si>
    <t>(902) 468-2234</t>
  </si>
  <si>
    <t>(902) 468-5545</t>
  </si>
  <si>
    <t>Markey Machinery - Seattle</t>
  </si>
  <si>
    <t>Markson Products Inc - Warsaw</t>
  </si>
  <si>
    <t>Warsaw,IN 46582</t>
  </si>
  <si>
    <t>Marley Cooling Tower - Louisville</t>
  </si>
  <si>
    <t>Louisville,KY 40214</t>
  </si>
  <si>
    <t>Marley Electric Heat - Bennettsville</t>
  </si>
  <si>
    <t>Bennettsville,SC 295</t>
  </si>
  <si>
    <t>Marmon Keystone Corp - Salt Lake City</t>
  </si>
  <si>
    <t>Mar-Oil Hydraulics - Hoboken</t>
  </si>
  <si>
    <t>Hoboken,NJ 07030</t>
  </si>
  <si>
    <t>Marquip Inc - Phillips</t>
  </si>
  <si>
    <t xml:space="preserve">Phillips,WI </t>
  </si>
  <si>
    <t>MarquipWard - Phillips</t>
  </si>
  <si>
    <t>1300 N. Airport Rd.</t>
  </si>
  <si>
    <t>Phillips,WI 54555</t>
  </si>
  <si>
    <t>(715) 339-2191</t>
  </si>
  <si>
    <t>(715) 339-4469</t>
  </si>
  <si>
    <t>Mars Petcare</t>
  </si>
  <si>
    <t>5115 Fisher Rd</t>
  </si>
  <si>
    <t>Columbus, OH 43228-9146</t>
  </si>
  <si>
    <t>Marsh Lumber Co. - Pamplico</t>
  </si>
  <si>
    <t>Pamplico,SC 29583</t>
  </si>
  <si>
    <t>Marshall Industrial Supply - Guntersville</t>
  </si>
  <si>
    <t>5100 Porter Harvey Drive</t>
  </si>
  <si>
    <t>(256) 582-2401</t>
  </si>
  <si>
    <t>(256) 582-2472</t>
  </si>
  <si>
    <t xml:space="preserve">Marshall Steel </t>
  </si>
  <si>
    <t>1555 Harbor Ave.</t>
  </si>
  <si>
    <t>Memphis, TN 38113</t>
  </si>
  <si>
    <t>Industrial Hydraulic Technology Customer</t>
  </si>
  <si>
    <t>Martco</t>
  </si>
  <si>
    <t>192 Pawnee Road</t>
  </si>
  <si>
    <t>Oakdale, LA 71463</t>
  </si>
  <si>
    <t>Martco - Morrow</t>
  </si>
  <si>
    <t>116 Roy Baker Road</t>
  </si>
  <si>
    <t>Morrow,LA 71356</t>
  </si>
  <si>
    <t>Martco Inc. - Lemoyen</t>
  </si>
  <si>
    <t>Lemoyen,LA 71356</t>
  </si>
  <si>
    <t>MARTCO LIMITED</t>
  </si>
  <si>
    <t>1695 HWY 490</t>
  </si>
  <si>
    <t>SHOPAN, LA 71447</t>
  </si>
  <si>
    <t>Martco OSB II Plant</t>
  </si>
  <si>
    <t>Teaford Company Customer</t>
  </si>
  <si>
    <t>Martco Partnership - Chopin</t>
  </si>
  <si>
    <t>Chopin,LA 71447</t>
  </si>
  <si>
    <t>Martin Block Corp - Lansing</t>
  </si>
  <si>
    <t>Lansing,MI 48912</t>
  </si>
  <si>
    <t>Martin Fluid Power - Marietta</t>
  </si>
  <si>
    <t>1720 Cumberland Point Dr. Suite 18</t>
  </si>
  <si>
    <t>Marietta,GA 30067</t>
  </si>
  <si>
    <t>(888) 637-0805</t>
  </si>
  <si>
    <t>(770) 951-2583</t>
  </si>
  <si>
    <t>Martin Limestone - New Holland</t>
  </si>
  <si>
    <t>New Holland,PA 17557</t>
  </si>
  <si>
    <t>Martin Marietta Materials</t>
  </si>
  <si>
    <t>4202 Highway 270 West</t>
  </si>
  <si>
    <t>Malvern, AR, 72104</t>
  </si>
  <si>
    <t>Fluid System Components' - Customer</t>
  </si>
  <si>
    <t>Martin Metals - Conway</t>
  </si>
  <si>
    <t>Conway,SC 29527</t>
  </si>
  <si>
    <t>Sheffield, AL 35660</t>
  </si>
  <si>
    <t>256-383-3131</t>
  </si>
  <si>
    <t>256-383-3136</t>
  </si>
  <si>
    <t>956 Industrial Blvd.</t>
  </si>
  <si>
    <t>Albertville, AL 35950</t>
  </si>
  <si>
    <t>Martin Steel Inc - Huntington</t>
  </si>
  <si>
    <t>Huntington,WV 25704</t>
  </si>
  <si>
    <t>300 South Cedar Avenue</t>
  </si>
  <si>
    <t>Rialto,CA 92376</t>
  </si>
  <si>
    <t>(909) 820-6800</t>
  </si>
  <si>
    <t>(909) 873-3735</t>
  </si>
  <si>
    <t>MARTINRCA FABCO AUTO STRUCTURES USA</t>
  </si>
  <si>
    <t>ONE FABCO DRIVE</t>
  </si>
  <si>
    <t>SPRINGFIELD, TN 37172</t>
  </si>
  <si>
    <t>MARVA MAID</t>
  </si>
  <si>
    <t>1805 SO CLUB DRIVE</t>
  </si>
  <si>
    <t>LANDOVER, MD 20785</t>
  </si>
  <si>
    <t>Marvin Engineering - Inglewood</t>
  </si>
  <si>
    <t>Inglewood,CA 90302</t>
  </si>
  <si>
    <t>Mary's River Lumber - Philomath</t>
  </si>
  <si>
    <t>Masco Operations - Freeport</t>
  </si>
  <si>
    <t>Freeport,TX 77542</t>
  </si>
  <si>
    <t>Middletown,IA 52638</t>
  </si>
  <si>
    <t>Mason Dynamics</t>
  </si>
  <si>
    <t>922 West River Center Dr. NE</t>
  </si>
  <si>
    <t>Comstock Park, MI 49321</t>
  </si>
  <si>
    <t>616-785-8534</t>
  </si>
  <si>
    <t>616-785-8674</t>
  </si>
  <si>
    <t>Mason Header Die - Mason</t>
  </si>
  <si>
    <t>Mason,MI 48854</t>
  </si>
  <si>
    <t>Masoneilan - Montebello</t>
  </si>
  <si>
    <t>Montebello,CA 90640</t>
  </si>
  <si>
    <t>Masonite Corp - Ukiah</t>
  </si>
  <si>
    <t>Masonite Corp. - Cordele</t>
  </si>
  <si>
    <t>Cordele,GA 31015</t>
  </si>
  <si>
    <t>Massey Systems, Inc.</t>
  </si>
  <si>
    <t>Nashville, TN</t>
  </si>
  <si>
    <t>615-430-9766</t>
  </si>
  <si>
    <t>Master Concepts - Sedalia</t>
  </si>
  <si>
    <t>Sedalia,CO 80135</t>
  </si>
  <si>
    <t>Master Design &amp;Mfg. - Noblesville</t>
  </si>
  <si>
    <t>Master Guard - Veedersburg</t>
  </si>
  <si>
    <t>Veedersburg,IN 47987</t>
  </si>
  <si>
    <t>MASTER MACHINE WORKS</t>
  </si>
  <si>
    <t>300 UTILITIES ROAD</t>
  </si>
  <si>
    <t>SPARTANBURG, SC 29302</t>
  </si>
  <si>
    <t>763-452-0919</t>
  </si>
  <si>
    <t>Mastercraft - Fort Worth</t>
  </si>
  <si>
    <t>3021 Wichita Ct.</t>
  </si>
  <si>
    <t>Fort Worth,TX 76140</t>
  </si>
  <si>
    <t>(817) 293-3934</t>
  </si>
  <si>
    <t>(817) 293-6890</t>
  </si>
  <si>
    <t>Masterguard - Veedersburg</t>
  </si>
  <si>
    <t>Material Service Cor - Mccook</t>
  </si>
  <si>
    <t>Mccook,IL 60525</t>
  </si>
  <si>
    <t>Material Systems Engineer</t>
  </si>
  <si>
    <t>898 S. State Road 39</t>
  </si>
  <si>
    <t>Danville,IN 46122</t>
  </si>
  <si>
    <t>Mathews Marine - Portland</t>
  </si>
  <si>
    <t>Matson Timberland - Brookville</t>
  </si>
  <si>
    <t>Matteson Mfg. - Cadillac</t>
  </si>
  <si>
    <t>Matthews Ind - Decatur</t>
  </si>
  <si>
    <t>23 2nd St SW</t>
  </si>
  <si>
    <t>Decatur,AL 35601-2861</t>
  </si>
  <si>
    <t>(256) 353-0271</t>
  </si>
  <si>
    <t>(256) 353-3850</t>
  </si>
  <si>
    <t>Matthews Metal Products - Salinas</t>
  </si>
  <si>
    <t>Salinas,CA 93907</t>
  </si>
  <si>
    <t>Maumee Research - Monclova</t>
  </si>
  <si>
    <t>Monclova,OH 43542</t>
  </si>
  <si>
    <t>Maverick Tube - Blytheville</t>
  </si>
  <si>
    <t>Maverick Tube Corp - Conroe</t>
  </si>
  <si>
    <t>Conroe,TX 77302</t>
  </si>
  <si>
    <t>Maxi Mill Inc - Albany</t>
  </si>
  <si>
    <t xml:space="preserve">Maximum Hydarulics - </t>
  </si>
  <si>
    <t>(828) 325-3567</t>
  </si>
  <si>
    <t>Maximum Hydraulics Center - Hickory</t>
  </si>
  <si>
    <t>2122 24th Street Northeast</t>
  </si>
  <si>
    <t>Hickory,NC 28601</t>
  </si>
  <si>
    <t>(828) 441-1997</t>
  </si>
  <si>
    <t>Maxxim Medical Argon - Athens</t>
  </si>
  <si>
    <t>Athens,TX 75751</t>
  </si>
  <si>
    <t>Mayo Hydraulics - Bakersfield</t>
  </si>
  <si>
    <t>Maytag Co - Newton</t>
  </si>
  <si>
    <t>Newton,IA 50208</t>
  </si>
  <si>
    <t>Mayville Engineering - Mayville</t>
  </si>
  <si>
    <t>Mayville,WI 53050</t>
  </si>
  <si>
    <t>MAZAK - Florence</t>
  </si>
  <si>
    <t xml:space="preserve">Florence,KY </t>
  </si>
  <si>
    <t>(888) 462-9251</t>
  </si>
  <si>
    <t>Mc Coy Ellison - Monroe</t>
  </si>
  <si>
    <t>Mc Donough Mfg - Eau Claire</t>
  </si>
  <si>
    <t>Eau Claire,WI 54702</t>
  </si>
  <si>
    <t>Mc Guire Bearing - Portland</t>
  </si>
  <si>
    <t>Mc Ilhenny - Avery Island</t>
  </si>
  <si>
    <t>Avery Island,LA 70513</t>
  </si>
  <si>
    <t>Mc Ind - Monticello</t>
  </si>
  <si>
    <t>Monticello,IA 5231</t>
  </si>
  <si>
    <t>San Rafael,CA 94901</t>
  </si>
  <si>
    <t>McCain Food Service - Plover</t>
  </si>
  <si>
    <t>Plover,WI 54467</t>
  </si>
  <si>
    <t>McCaw Hydraulics</t>
  </si>
  <si>
    <t>1416 Sportsman Lake Rd. NW</t>
  </si>
  <si>
    <t>256-739-6511</t>
  </si>
  <si>
    <t>Mcclean Anderson Inc - Schofield</t>
  </si>
  <si>
    <t>Mccollister Oil - Council Bluffs</t>
  </si>
  <si>
    <t>McComb Foundry - Fruitland Park</t>
  </si>
  <si>
    <t>5025 Magnolia Ridge Rd</t>
  </si>
  <si>
    <t>Fruitland Park,FL 34731</t>
  </si>
  <si>
    <t>(352) 406-5252</t>
  </si>
  <si>
    <t>Mccomway Torley - Kutztown</t>
  </si>
  <si>
    <t>Kutztown,PA 19530</t>
  </si>
  <si>
    <t>Mccord Gin Co. - Gideon</t>
  </si>
  <si>
    <t>Gideon,MO 63848</t>
  </si>
  <si>
    <t>Mccord Winn Textron - Lavonia</t>
  </si>
  <si>
    <t>Lavonia,GA 30553</t>
  </si>
  <si>
    <t>McCormick Distilling Co</t>
  </si>
  <si>
    <t>1 McCormick Lane</t>
  </si>
  <si>
    <t>Weston, MO 64098</t>
  </si>
  <si>
    <t>Mccoy-Ellison, Inc. - Monroe</t>
  </si>
  <si>
    <t>Po Box 967</t>
  </si>
  <si>
    <t>Monroe,NC 28111-0967</t>
  </si>
  <si>
    <t>704) 289-5413</t>
  </si>
  <si>
    <t>704) 283-0480</t>
  </si>
  <si>
    <t>Mccoy-Houston Inc. - Piedmont</t>
  </si>
  <si>
    <t>Mccullough Machine - New Derry</t>
  </si>
  <si>
    <t>New Derry,PA 15671</t>
  </si>
  <si>
    <t>Caledonia,IL 61011</t>
  </si>
  <si>
    <t>McDonough Manufacturing - Eau Claire</t>
  </si>
  <si>
    <t>2320 Melby Street</t>
  </si>
  <si>
    <t>(715) 834-7755</t>
  </si>
  <si>
    <t>(715) 834-3968</t>
  </si>
  <si>
    <t>Mcdowell Lumber Co. - Ashboro</t>
  </si>
  <si>
    <t>Ashboro,NC 27203</t>
  </si>
  <si>
    <t>Mcfadden Machine Co - Blairsville</t>
  </si>
  <si>
    <t>Mcfadden Systems Inc - Santa Fe Springs</t>
  </si>
  <si>
    <t>McGee Lumber Company - Aliceville</t>
  </si>
  <si>
    <t>1305 Baptist Lane Road</t>
  </si>
  <si>
    <t xml:space="preserve">Aliceville,AL </t>
  </si>
  <si>
    <t>(205) 373-6704</t>
  </si>
  <si>
    <t>(205) 373-2042</t>
  </si>
  <si>
    <t>McGee Lumber Company - Tuscaloosa</t>
  </si>
  <si>
    <t>705 Bear Creek Cutoff Road</t>
  </si>
  <si>
    <t>Tuscaloosa,AL 35405</t>
  </si>
  <si>
    <t>(205) 752-5931</t>
  </si>
  <si>
    <t>McGehee Equipment Co - Ukiah</t>
  </si>
  <si>
    <t>Mcgill Airflow Corp - Bennington</t>
  </si>
  <si>
    <t>Bennington,VT 5201</t>
  </si>
  <si>
    <t>Mcgraw Group - Greensboro</t>
  </si>
  <si>
    <t>Greensboro,NC 27402</t>
  </si>
  <si>
    <t>McGriff Transportation</t>
  </si>
  <si>
    <t>563 Co. Rd. 1339</t>
  </si>
  <si>
    <t>Cullman, AL 35056</t>
  </si>
  <si>
    <t>Mcintyre Brothers - Bedford</t>
  </si>
  <si>
    <t>McIntyre Lumber Co.</t>
  </si>
  <si>
    <t>882 No. Hwy 100</t>
  </si>
  <si>
    <t>Bowdon,GA 30108</t>
  </si>
  <si>
    <t>McJunkin - Bill to</t>
  </si>
  <si>
    <t>PO Box 513</t>
  </si>
  <si>
    <t>Charleston, WV 25322</t>
  </si>
  <si>
    <t>Mcjunkin Controls In - Augusta</t>
  </si>
  <si>
    <t>Mcjunkin Corp - Monroe</t>
  </si>
  <si>
    <t>Monroe,LA 71203</t>
  </si>
  <si>
    <t>Mcjunkin Corp. #021 - Calvert City</t>
  </si>
  <si>
    <t>McJunkin Red Man(#093) -Controls Shop</t>
  </si>
  <si>
    <t>2333 Clinton Dr</t>
  </si>
  <si>
    <t>Galena Park, TX 77547</t>
  </si>
  <si>
    <t>Mckechnie Plactic Co - Easley</t>
  </si>
  <si>
    <t>Easley,SC 29640</t>
  </si>
  <si>
    <t>Mckechnie Vehicle Co - Newberry</t>
  </si>
  <si>
    <t>Newberry,SC 29108</t>
  </si>
  <si>
    <t>Mckenzie Forest Prod - Springfield</t>
  </si>
  <si>
    <t>Springfield,OR 97477</t>
  </si>
  <si>
    <t>Mckinley Paper Compa - Prewitt</t>
  </si>
  <si>
    <t>Prewitt,NM 87045</t>
  </si>
  <si>
    <t>Mclean Cargo - Houston</t>
  </si>
  <si>
    <t>McMinnville Mfg Comp - Mcminnville</t>
  </si>
  <si>
    <t>Mcshan Lumber - Mcshan</t>
  </si>
  <si>
    <t>Mcshan,AL 35471</t>
  </si>
  <si>
    <t>McWane Cast Iron Pipe</t>
  </si>
  <si>
    <t>3600 Richard Arrington Jr.Blvd. No.</t>
  </si>
  <si>
    <t>205-241-4255</t>
  </si>
  <si>
    <t>205-241-4334</t>
  </si>
  <si>
    <t>Md Environmental Svc - Westover</t>
  </si>
  <si>
    <t>Westover,MD 21871</t>
  </si>
  <si>
    <t>MD Recycling **CREDIT HOLD**</t>
  </si>
  <si>
    <t>1230 Pottertown Road</t>
  </si>
  <si>
    <t>Midway,TN  37809</t>
  </si>
  <si>
    <t>423-422-4731</t>
  </si>
  <si>
    <t>423-422-7857</t>
  </si>
  <si>
    <t>Mead Containerboard - Stevenson</t>
  </si>
  <si>
    <t>1611 County Road 85</t>
  </si>
  <si>
    <t>Stevenson,AL 35772</t>
  </si>
  <si>
    <t>(256) 437-3253</t>
  </si>
  <si>
    <t>(256) 437-3252</t>
  </si>
  <si>
    <t>Mead Containers - Lewisburg</t>
  </si>
  <si>
    <t>Mead Paper - Chillothe</t>
  </si>
  <si>
    <t>Chillothe,OH 45601</t>
  </si>
  <si>
    <t>Meadow Burke Prod - Hazelton</t>
  </si>
  <si>
    <t>Meadows Hyd Sales An - Fruitland</t>
  </si>
  <si>
    <t>Mead-Southern - Greenville</t>
  </si>
  <si>
    <t>Greenville,GA 30222</t>
  </si>
  <si>
    <t>Mearthane Products - Cranston</t>
  </si>
  <si>
    <t>MEC Company - Coffeyville</t>
  </si>
  <si>
    <t>620-325-2673</t>
  </si>
  <si>
    <t>620-325-2678</t>
  </si>
  <si>
    <t>MEC Company - Neodesha</t>
  </si>
  <si>
    <t>1400 West Main St</t>
  </si>
  <si>
    <t>Neodesha, KS 66757</t>
  </si>
  <si>
    <t>45% Discount</t>
  </si>
  <si>
    <t>Mecanex USA Inc.</t>
  </si>
  <si>
    <t>119 White Oak Drive</t>
  </si>
  <si>
    <t>Berlin, CT 06037</t>
  </si>
  <si>
    <t>860-828-6531</t>
  </si>
  <si>
    <t>860-828-6533</t>
  </si>
  <si>
    <t>Mecha-Draulic Service, Inc.</t>
  </si>
  <si>
    <t>152 Berkely Rd</t>
  </si>
  <si>
    <t>Clarksboro, NJ 080820</t>
  </si>
  <si>
    <t>856-224-0403</t>
  </si>
  <si>
    <t>856-224-1697</t>
  </si>
  <si>
    <t>Mechanical Component - Grimes</t>
  </si>
  <si>
    <t>Grimes,IA 50111</t>
  </si>
  <si>
    <t>Mechanical Drives - Los Angeles</t>
  </si>
  <si>
    <t>Mecury Marine - Vend - Fond Du Lac</t>
  </si>
  <si>
    <t>Fond Du Lac,WI 54936</t>
  </si>
  <si>
    <t>Medalist International</t>
  </si>
  <si>
    <t>517-371-2940</t>
  </si>
  <si>
    <t>517-371-3027</t>
  </si>
  <si>
    <t>Medford Fabrication - Medford</t>
  </si>
  <si>
    <t>Medford,OR 97501</t>
  </si>
  <si>
    <t>Medina Supply Co. - Berea</t>
  </si>
  <si>
    <t>Berea,OH 44017</t>
  </si>
  <si>
    <t>Medtec Llc - Santa Clara</t>
  </si>
  <si>
    <t>Santa Clara,CA 95054</t>
  </si>
  <si>
    <t>Mega Manufacturing - Hutchinson</t>
  </si>
  <si>
    <t>401 S. Washington</t>
  </si>
  <si>
    <t>Hutchinson,KS 67504</t>
  </si>
  <si>
    <t>(800) 338-5471</t>
  </si>
  <si>
    <t>(316) 663-6012</t>
  </si>
  <si>
    <t>Megtec Systems - De Pere</t>
  </si>
  <si>
    <t xml:space="preserve">De Pere,WI </t>
  </si>
  <si>
    <t>Meierotto Company</t>
  </si>
  <si>
    <t>4311 N.E. Vivion Rd.</t>
  </si>
  <si>
    <t>Kansas City,MO 64119</t>
  </si>
  <si>
    <t>Reedsburg,WI 53959</t>
  </si>
  <si>
    <t>Melling Products Cor - Farwell</t>
  </si>
  <si>
    <t>Melsur Corp - Bellows Falls</t>
  </si>
  <si>
    <t>Bellows Falls,VT 51</t>
  </si>
  <si>
    <t>MeltTech, Inc.</t>
  </si>
  <si>
    <t>475 Spring Valley Rd.</t>
  </si>
  <si>
    <t>256-381-8999</t>
  </si>
  <si>
    <t>256-381-8907</t>
  </si>
  <si>
    <t>Memorial Coliseum - Fort Wayne</t>
  </si>
  <si>
    <t>Fort Wayne,IN 46805</t>
  </si>
  <si>
    <t>Mendocino Forest Products - Fort Bragg</t>
  </si>
  <si>
    <t>Fort Bragg,CA 95437</t>
  </si>
  <si>
    <t>Mendota Biomass - Mendota</t>
  </si>
  <si>
    <t>Mendota,CA 93640</t>
  </si>
  <si>
    <t>MEOW MIX - DECATUR</t>
  </si>
  <si>
    <t>1200 MARKET ST. N.E.</t>
  </si>
  <si>
    <t>DECATUR,AL 35601</t>
  </si>
  <si>
    <t>256-260-1700</t>
  </si>
  <si>
    <t>2840 Leiszs Bridge Road</t>
  </si>
  <si>
    <t>Reading,PA 19605</t>
  </si>
  <si>
    <t>(610) 921-0287</t>
  </si>
  <si>
    <t>(610) 921-3830</t>
  </si>
  <si>
    <t>770 Sumneytown Pike</t>
  </si>
  <si>
    <t>West Point, PA 19486</t>
  </si>
  <si>
    <t>Mercruiser - Stillwater</t>
  </si>
  <si>
    <t>Stillwater,OK 7407</t>
  </si>
  <si>
    <t>Mercury Marine-Vendo - Fond Du Lac</t>
  </si>
  <si>
    <t>Mereen Johnson Machine, Co.</t>
  </si>
  <si>
    <t>4401 Lyndale Ave N</t>
  </si>
  <si>
    <t>Minneapolis, MN 55412</t>
  </si>
  <si>
    <t>Meridian Automotive</t>
  </si>
  <si>
    <t>900 So. 68th Street</t>
  </si>
  <si>
    <t>Kansas City,MO 66111</t>
  </si>
  <si>
    <t>Meridian Gold Co.-Be - Salmon</t>
  </si>
  <si>
    <t>Salmon,ID 83467</t>
  </si>
  <si>
    <t>Meridian Mag Product - Eaton Rapids</t>
  </si>
  <si>
    <t>Merillat Ind - Mt Jackson</t>
  </si>
  <si>
    <t>Mt Jackson,VA 22842</t>
  </si>
  <si>
    <t>Merills Packaging - Burlingame</t>
  </si>
  <si>
    <t>Burlingame,CA 94010</t>
  </si>
  <si>
    <t>Meritiex Llc - Piscataway</t>
  </si>
  <si>
    <t>Piscataway,NJ 08854</t>
  </si>
  <si>
    <t>Meritor Automotive - Fletcher</t>
  </si>
  <si>
    <t>Meritor Automotive - Morris</t>
  </si>
  <si>
    <t>1 Rockwell Drive</t>
  </si>
  <si>
    <t>Merrills Pkg - Burlingame</t>
  </si>
  <si>
    <t>Merritt P.M.I. - Lockport</t>
  </si>
  <si>
    <t>Buffalo,NY 14211</t>
  </si>
  <si>
    <t>Mesker Door LLC</t>
  </si>
  <si>
    <t>3440 Stanwood Blvd.</t>
  </si>
  <si>
    <t>Huntsville, AL 35811-9021</t>
  </si>
  <si>
    <t>256-851-6670</t>
  </si>
  <si>
    <t>256-851-7896</t>
  </si>
  <si>
    <t>Mestek Inc. - Farmville</t>
  </si>
  <si>
    <t>Farmville,NC 27828</t>
  </si>
  <si>
    <t>Metal Casting Co. - Bristol</t>
  </si>
  <si>
    <t>Bristol,VA 24201</t>
  </si>
  <si>
    <t>Metal Chip Pelletizer - Montgomery</t>
  </si>
  <si>
    <t>513 1St Street South</t>
  </si>
  <si>
    <t>Montgomery,MN 56069</t>
  </si>
  <si>
    <t>(507) 364-8693</t>
  </si>
  <si>
    <t>Metal Container Of C - Windsor</t>
  </si>
  <si>
    <t>Windsor,CO 80550</t>
  </si>
  <si>
    <t>Metal Exports</t>
  </si>
  <si>
    <t>Tri-State Commerce Park-Bldg 1020</t>
  </si>
  <si>
    <t>751 Co Rd 989</t>
  </si>
  <si>
    <t>Iuka, MS 38852</t>
  </si>
  <si>
    <t>Metal Fab - Mio</t>
  </si>
  <si>
    <t>Metal Matic Inc. - Bedford Park</t>
  </si>
  <si>
    <t>Bedford Park,IL 60638</t>
  </si>
  <si>
    <t>Metal Mechanics - Schoolcraft</t>
  </si>
  <si>
    <t>3093 Hager</t>
  </si>
  <si>
    <t>Metal Methods - Frankfort</t>
  </si>
  <si>
    <t>Frankfort,KY 40601</t>
  </si>
  <si>
    <t>Metal Processors - Stevensville</t>
  </si>
  <si>
    <t>Metal Processors Sup - Chicago</t>
  </si>
  <si>
    <t>Metal Products - Corbin</t>
  </si>
  <si>
    <t>Corbin,KY 40701</t>
  </si>
  <si>
    <t>Metalloy - Hudson</t>
  </si>
  <si>
    <t>Hudson,MI 49247</t>
  </si>
  <si>
    <t>Met-Chem - Cleveland</t>
  </si>
  <si>
    <t>Cleveland,OH 44103</t>
  </si>
  <si>
    <t>Metco Steel Reel Plant</t>
  </si>
  <si>
    <t>101 Metco Dr. SW</t>
  </si>
  <si>
    <t>Hartselle, AL 35640-8450</t>
  </si>
  <si>
    <t>256-773-0138</t>
  </si>
  <si>
    <t>Metromont Materials - Lavergne</t>
  </si>
  <si>
    <t>Metromount Prestress - Hiram</t>
  </si>
  <si>
    <t>Hiram,GA 30141</t>
  </si>
  <si>
    <t>Metso - Appleton</t>
  </si>
  <si>
    <t>2111 North Sandra Street</t>
  </si>
  <si>
    <t>Appleton,WI 54911</t>
  </si>
  <si>
    <t>(920) 733-7361</t>
  </si>
  <si>
    <t>(920) 749-4469</t>
  </si>
  <si>
    <t>Metso - Columbus</t>
  </si>
  <si>
    <t>617 Yorkville Park Square</t>
  </si>
  <si>
    <t>(662) 329-3770</t>
  </si>
  <si>
    <t>Metso - Neenah, WI</t>
  </si>
  <si>
    <t>1615 Matthews Street</t>
  </si>
  <si>
    <t>Neenah,WI 54957</t>
  </si>
  <si>
    <t>Fluid System Components Customer</t>
  </si>
  <si>
    <t>Mettler Toledo, Inc. - Columbus</t>
  </si>
  <si>
    <t>Columbus,OH 43229</t>
  </si>
  <si>
    <t>Mex America - Saint Mary'S</t>
  </si>
  <si>
    <t>Saint Mary'S,PA 15857</t>
  </si>
  <si>
    <t>Mexican Accent Inc - New Berlin</t>
  </si>
  <si>
    <t>Meyers Plastics - Yakima</t>
  </si>
  <si>
    <t>Yakima,WA 98902</t>
  </si>
  <si>
    <t>MFT</t>
  </si>
  <si>
    <t>11445 Gulf Stream Dr.</t>
  </si>
  <si>
    <t>Orlington, TN 38802</t>
  </si>
  <si>
    <t>Mga Research - Akron</t>
  </si>
  <si>
    <t>Akron,NY 14001</t>
  </si>
  <si>
    <t>Mgm Brakes - Murphy</t>
  </si>
  <si>
    <t>Murphy,NC 28906</t>
  </si>
  <si>
    <t>Miami Machine - Overpeck</t>
  </si>
  <si>
    <t>Overpeck,OH 45055</t>
  </si>
  <si>
    <t>Mich. Auto. Compress - Parma</t>
  </si>
  <si>
    <t>Parma,MI 49269</t>
  </si>
  <si>
    <t>Michael Cranston - Balanced Certified Golf</t>
  </si>
  <si>
    <t>14760 Sarabeth Drive</t>
  </si>
  <si>
    <t>Harvest, AL 35749</t>
  </si>
  <si>
    <t>Michael Stephens Company - Detroit</t>
  </si>
  <si>
    <t xml:space="preserve">Detroit,MI </t>
  </si>
  <si>
    <t>(248) 583-7767</t>
  </si>
  <si>
    <t>(248) 583-1051</t>
  </si>
  <si>
    <t>Michaelson Fluid Power</t>
  </si>
  <si>
    <t>9 Rocky Hill Rd</t>
  </si>
  <si>
    <t>Smithfield, RI 02917</t>
  </si>
  <si>
    <t>800-232-7071</t>
  </si>
  <si>
    <t>Michaelson Fluid Power - Smithfield</t>
  </si>
  <si>
    <t>9 Rocky Hill Road</t>
  </si>
  <si>
    <t>Smithfield,RI 02917</t>
  </si>
  <si>
    <t>(800) 232-7071</t>
  </si>
  <si>
    <t>(401) 232-7990</t>
  </si>
  <si>
    <t>Michelin North America - Bill To</t>
  </si>
  <si>
    <t>Attn:ACS-Plant 3 Juarez,MX PO Box981980</t>
  </si>
  <si>
    <t>El Paso, TX 79998-1980</t>
  </si>
  <si>
    <t>Michelin North America - Dothan</t>
  </si>
  <si>
    <t>3792 Mance Newton Rd</t>
  </si>
  <si>
    <t>Dothan,AL 36303</t>
  </si>
  <si>
    <t>(334) 983-2000</t>
  </si>
  <si>
    <t>Michelin North America - Greenville</t>
  </si>
  <si>
    <t>1 Parkway East</t>
  </si>
  <si>
    <t>Greenville,SC 29615</t>
  </si>
  <si>
    <t>(864) 458-4690</t>
  </si>
  <si>
    <t>(864) 458-4648</t>
  </si>
  <si>
    <t>Michelin North America - Opelika</t>
  </si>
  <si>
    <t>Michelin North America - Tuscaloosa</t>
  </si>
  <si>
    <t>5101  21st Street</t>
  </si>
  <si>
    <t>205-391-6345</t>
  </si>
  <si>
    <t>205-391-6464</t>
  </si>
  <si>
    <t>Michiana Supply Co - Benton Harbor</t>
  </si>
  <si>
    <t>Michigan Automotive - Parma</t>
  </si>
  <si>
    <t>Michigan Block - Romeo</t>
  </si>
  <si>
    <t>Romeo,MI 48065</t>
  </si>
  <si>
    <t>Michigan Certified C - Grand Rapids</t>
  </si>
  <si>
    <t>Grand Rapids,MI 49507</t>
  </si>
  <si>
    <t>Michigan Custom Machine - Farmington Hills</t>
  </si>
  <si>
    <t>Farmington Hills,MI 48335</t>
  </si>
  <si>
    <t>Michigan Fluid Power - Grandville</t>
  </si>
  <si>
    <t>4556 Spartan Industrial # D</t>
  </si>
  <si>
    <t>(616) 538-5700</t>
  </si>
  <si>
    <t>(616) 538-0888</t>
  </si>
  <si>
    <t>Michigan Mechanical Services,Inc.</t>
  </si>
  <si>
    <t>25445 Brest Road</t>
  </si>
  <si>
    <t>Taylor, MI 48180</t>
  </si>
  <si>
    <t>734-946-9948</t>
  </si>
  <si>
    <t>734-403-1855</t>
  </si>
  <si>
    <t>Michigan Rebar Equipment, Inc</t>
  </si>
  <si>
    <t>586-755-0179</t>
  </si>
  <si>
    <t>Michigan Rubber Products - Cadillac</t>
  </si>
  <si>
    <t>Michigan Speciality Tube - South Lyon</t>
  </si>
  <si>
    <t>400 McMunn Street</t>
  </si>
  <si>
    <t>South Lyon,MI 48178</t>
  </si>
  <si>
    <t>(248) 486-0100</t>
  </si>
  <si>
    <t>Michigan Steel Process - New Boston</t>
  </si>
  <si>
    <t>New Boston,MI 48164</t>
  </si>
  <si>
    <t>Michigan Sugar Co - Caro</t>
  </si>
  <si>
    <t>Caro,MI 48723</t>
  </si>
  <si>
    <t>Michigan Supply - Benton Harbor</t>
  </si>
  <si>
    <t>Sitka,AK 99835</t>
  </si>
  <si>
    <t>Micro Electronic Mod - New Berlin</t>
  </si>
  <si>
    <t>Micro Tech Mfg. - Worcester</t>
  </si>
  <si>
    <t>Worcester,MA 01610</t>
  </si>
  <si>
    <t>Micro Tool - Dallas</t>
  </si>
  <si>
    <t>Dallas,TX 75203</t>
  </si>
  <si>
    <t xml:space="preserve">Winnipig,MB </t>
  </si>
  <si>
    <t>Microbest Inc. - Waterbury</t>
  </si>
  <si>
    <t>Waterbury,CT 06705</t>
  </si>
  <si>
    <t>Micrometals - Anaheim</t>
  </si>
  <si>
    <t>Mid America Bag - N. Chicago</t>
  </si>
  <si>
    <t>Mid America Energy C - Muscatine</t>
  </si>
  <si>
    <t>Muscatine,IA 52761</t>
  </si>
  <si>
    <t>815 East 6th St.</t>
  </si>
  <si>
    <t>LeRoy, KS 66857</t>
  </si>
  <si>
    <t>270-382-3907</t>
  </si>
  <si>
    <t>270-382-3905</t>
  </si>
  <si>
    <t>POC: JB Tindall</t>
  </si>
  <si>
    <t>48150 US HWY 280</t>
  </si>
  <si>
    <t>Sylacauga, AL 35151</t>
  </si>
  <si>
    <t>Mid Oregon International - Portland</t>
  </si>
  <si>
    <t>Portland,OR 97266</t>
  </si>
  <si>
    <t>Mid South Hydraulics, Inc.</t>
  </si>
  <si>
    <t>950 Larkin St.</t>
  </si>
  <si>
    <t>Dolomite,AL 35061</t>
  </si>
  <si>
    <t>205-744-2059</t>
  </si>
  <si>
    <t>205-744-2079</t>
  </si>
  <si>
    <t>Mid South Hydraulics, Inc. Pleasant Grove</t>
  </si>
  <si>
    <t>PO Box 699</t>
  </si>
  <si>
    <t>Pleasant Grove, AL 35127</t>
  </si>
  <si>
    <t>Mid State Wood Prese - Simsboro</t>
  </si>
  <si>
    <t>Mid-America Power - Burr Ridge</t>
  </si>
  <si>
    <t>Mid-American Energy - Muscantine</t>
  </si>
  <si>
    <t>Muscantine,IA 52761</t>
  </si>
  <si>
    <t xml:space="preserve">815 E. 6th St. </t>
  </si>
  <si>
    <t>Roy, KS 66857</t>
  </si>
  <si>
    <t>620-964-2156</t>
  </si>
  <si>
    <t>620-964-2157</t>
  </si>
  <si>
    <t>Middle River Aircraft Systems</t>
  </si>
  <si>
    <t>103 Chesapeake Park Plaza</t>
  </si>
  <si>
    <t>Baltimore, MD 21220</t>
  </si>
  <si>
    <t>Mideast Aluminum - Mountaintop</t>
  </si>
  <si>
    <t>Midland Railway Supp - Dow</t>
  </si>
  <si>
    <t>Dow,IL 62022</t>
  </si>
  <si>
    <t>Midlands Tooling Sys - Lugoff</t>
  </si>
  <si>
    <t>Mid-Oregon Ind - Bend</t>
  </si>
  <si>
    <t>Bend,OR 97701</t>
  </si>
  <si>
    <t>Midpro Fluid Power - Brownsburg</t>
  </si>
  <si>
    <t>P.O. Box 216</t>
  </si>
  <si>
    <t>Brownsburg,IN 46112</t>
  </si>
  <si>
    <t>(317) 852-5920</t>
  </si>
  <si>
    <t>(317) 852-2337</t>
  </si>
  <si>
    <t>Midstate Plastics - Seagrove</t>
  </si>
  <si>
    <t>Seagrove,NC 27341</t>
  </si>
  <si>
    <t>Midstates Aluminum - Fond Du Lac</t>
  </si>
  <si>
    <t>Mid-States Concrete - South Beloit</t>
  </si>
  <si>
    <t>South Beloit,IL 6108</t>
  </si>
  <si>
    <t>Mid-States Ind Supp - Evansville</t>
  </si>
  <si>
    <t>Midstates Tool - Elkhart</t>
  </si>
  <si>
    <t>Midway Industrial - Utica</t>
  </si>
  <si>
    <t>Utica,NY 13502</t>
  </si>
  <si>
    <t>Midwest Agency</t>
  </si>
  <si>
    <t>11505 Cannonsville Rd</t>
  </si>
  <si>
    <t>Trufant, MI 49347</t>
  </si>
  <si>
    <t>616-984-2690</t>
  </si>
  <si>
    <t>616-984-2744</t>
  </si>
  <si>
    <t>Use to be Nahama Ind (Lou Betten)</t>
  </si>
  <si>
    <t>MIDWEST AGENCY - LAKE HAVASU</t>
  </si>
  <si>
    <t>689 ALOHA DRIVE</t>
  </si>
  <si>
    <t>LAKE HAVASU CITY, AZ 86406</t>
  </si>
  <si>
    <t>Mid-West Automation System - Buffalo Grove</t>
  </si>
  <si>
    <t>1400 Busch Parkway</t>
  </si>
  <si>
    <t>Buffalo Grove,IL 60089-4515</t>
  </si>
  <si>
    <t>Midwest Fluid Power - Toledo</t>
  </si>
  <si>
    <t>5702 Opportunity Drive</t>
  </si>
  <si>
    <t>(800) 686-8700</t>
  </si>
  <si>
    <t>(419) 478-4839</t>
  </si>
  <si>
    <t>1925 East 4th Street</t>
  </si>
  <si>
    <t>Grand Island,NE 68801</t>
  </si>
  <si>
    <t>(308) 381-8220</t>
  </si>
  <si>
    <t>(308) 381-0661</t>
  </si>
  <si>
    <t>Midwest Hydraulics - Thunder Bay</t>
  </si>
  <si>
    <t>1112 Russell Street</t>
  </si>
  <si>
    <t>Thunder Bay,ONT P7B 5N2</t>
  </si>
  <si>
    <t>(807) 625-0104</t>
  </si>
  <si>
    <t>(807) 625-0134</t>
  </si>
  <si>
    <t>Midwest Hydraulics - Winnipeg</t>
  </si>
  <si>
    <t>1476 Wellington Ave</t>
  </si>
  <si>
    <t>Winnipeg,MB R3E 0K5</t>
  </si>
  <si>
    <t>(800) 955-5519</t>
  </si>
  <si>
    <t>(204) 783-6416</t>
  </si>
  <si>
    <t>Midwest Intl - Charlevoix</t>
  </si>
  <si>
    <t>105 Stover</t>
  </si>
  <si>
    <t>Midwest Machine - Muskegon</t>
  </si>
  <si>
    <t>Muskegon,MI 49444</t>
  </si>
  <si>
    <t>Midwest Metal Products - Cedar Rapids</t>
  </si>
  <si>
    <t>66th Ave SW</t>
  </si>
  <si>
    <t>Cedar Rapids, IA 52404</t>
  </si>
  <si>
    <t>319-366-6264</t>
  </si>
  <si>
    <t>319-366-6710</t>
  </si>
  <si>
    <t>Midwest Metal Products - Michigan City</t>
  </si>
  <si>
    <t>Midwest Steel - S Plainfield</t>
  </si>
  <si>
    <t>Midwest Steel Div - Griffith</t>
  </si>
  <si>
    <t>Griffith,IN 46319</t>
  </si>
  <si>
    <t>Midwest Steel Div - Portage</t>
  </si>
  <si>
    <t>Midwestern Metals</t>
  </si>
  <si>
    <t>105 NW Lower Silver Lake Rd</t>
  </si>
  <si>
    <t>Topeka, KS  66608</t>
  </si>
  <si>
    <t>785-232-1582</t>
  </si>
  <si>
    <t>Mi-Jack - Hazel Crest</t>
  </si>
  <si>
    <t>3111 W 167th Street</t>
  </si>
  <si>
    <t>Hazel Crest,IL 60429</t>
  </si>
  <si>
    <t>(708) 225-2343</t>
  </si>
  <si>
    <t>(708) 225-2318</t>
  </si>
  <si>
    <t>Mikron Manufacturing - Colorado Springs</t>
  </si>
  <si>
    <t>Milacron - Batavia</t>
  </si>
  <si>
    <t>4165 Half Acre Road</t>
  </si>
  <si>
    <t>Batavia,OH 45103</t>
  </si>
  <si>
    <t>(513) 487-5923</t>
  </si>
  <si>
    <t>Miles Ty Inc - Westchester</t>
  </si>
  <si>
    <t xml:space="preserve">Westchester,IL </t>
  </si>
  <si>
    <t>Mill Supply - Eugene</t>
  </si>
  <si>
    <t>Millar Elevator - Toledo</t>
  </si>
  <si>
    <t>Toledo,OH 43624</t>
  </si>
  <si>
    <t>Millard Machine - Baldwin</t>
  </si>
  <si>
    <t>Baldwin,MD 21013</t>
  </si>
  <si>
    <t>Millcraft Alabama Inc - Birmingham</t>
  </si>
  <si>
    <t>4200 East Lake Boulevard</t>
  </si>
  <si>
    <t>(205) 808-5000</t>
  </si>
  <si>
    <t>(205) 808-5005</t>
  </si>
  <si>
    <t>Millcreek Inc. Power - Harlan</t>
  </si>
  <si>
    <t>Harlan,IN 46743</t>
  </si>
  <si>
    <t>Miller Bearings Inc</t>
  </si>
  <si>
    <t>1 South Westmoreland Drive</t>
  </si>
  <si>
    <t>Orlando, FL, 32805</t>
  </si>
  <si>
    <t>407-849-6000</t>
  </si>
  <si>
    <t>407-872-1797</t>
  </si>
  <si>
    <t>Miller Block Co. - Evansville</t>
  </si>
  <si>
    <t>Miller Brothers Lumber - Elkin</t>
  </si>
  <si>
    <t>350 Elkin Wildlife Road</t>
  </si>
  <si>
    <t>(336) 366-3400</t>
  </si>
  <si>
    <t>(336) 366-3435</t>
  </si>
  <si>
    <t>Miller Fluid Power - Columbiaville</t>
  </si>
  <si>
    <t>2685 Reynolds Circle</t>
  </si>
  <si>
    <t>Columbiaville,MI 48421</t>
  </si>
  <si>
    <t>(810) 793-2382</t>
  </si>
  <si>
    <t>(810) 348-6588</t>
  </si>
  <si>
    <t>Miller Fluid Power - Fox Lake</t>
  </si>
  <si>
    <t>8014 Redwood Court</t>
  </si>
  <si>
    <t>Fox Lake,IL 60020</t>
  </si>
  <si>
    <t>(847) 973-9273</t>
  </si>
  <si>
    <t>Miller Lumber Company - York</t>
  </si>
  <si>
    <t xml:space="preserve">York,AL </t>
  </si>
  <si>
    <t>Miller Mold - Saginaw</t>
  </si>
  <si>
    <t>Saginaw,MI 48603</t>
  </si>
  <si>
    <t>Rr 2</t>
  </si>
  <si>
    <t>Macy,IN 46951</t>
  </si>
  <si>
    <t>(765) 985-2688</t>
  </si>
  <si>
    <t>Miller T R Mill Company Inc - Brewton</t>
  </si>
  <si>
    <t>Po Box 708</t>
  </si>
  <si>
    <t>Brewton,AL 36427</t>
  </si>
  <si>
    <t>(251) 867-4331</t>
  </si>
  <si>
    <t>Miller T R Mill Company Inc - Castleberry</t>
  </si>
  <si>
    <t>Castleberry,AL 36432</t>
  </si>
  <si>
    <t>(251) 966-5580</t>
  </si>
  <si>
    <t>Mills Iron Works - Gardena</t>
  </si>
  <si>
    <t>Mills Machinery - Bradley</t>
  </si>
  <si>
    <t>Bradley,IL 60915</t>
  </si>
  <si>
    <t>Millsource</t>
  </si>
  <si>
    <t>80 South Shelby Street</t>
  </si>
  <si>
    <t>Montevallo,AL 35115</t>
  </si>
  <si>
    <t>(800) 756-0199</t>
  </si>
  <si>
    <t>(205) 665-3440</t>
  </si>
  <si>
    <t>Milwaukee Valve Co. - Prairie Du Sac</t>
  </si>
  <si>
    <t>Prairie Du Sac,WI 53</t>
  </si>
  <si>
    <t>Mine Hydraulics - Castledale</t>
  </si>
  <si>
    <t>Castledale,UT 84513</t>
  </si>
  <si>
    <t>Mine Safety Applianc - Murrysville</t>
  </si>
  <si>
    <t>Murrysville,PA 15668</t>
  </si>
  <si>
    <t>Miner Edger Works - Meridian</t>
  </si>
  <si>
    <t>Meridian,MS 39301</t>
  </si>
  <si>
    <t>Miner Elastomer Products Corp.</t>
  </si>
  <si>
    <t>1200 East State Street</t>
  </si>
  <si>
    <t>Geneva, IL 60134</t>
  </si>
  <si>
    <t>Cedwards@minerelastomer.com</t>
  </si>
  <si>
    <t>Miner Enterprise Inc - Geneva</t>
  </si>
  <si>
    <t>Geneva,IL 60134</t>
  </si>
  <si>
    <t>Minister Automation - Beaufort</t>
  </si>
  <si>
    <t>Minnesota Corn Proce - Marshall</t>
  </si>
  <si>
    <t>Marshall,MN 56258</t>
  </si>
  <si>
    <t>Brainerd,MN 56401</t>
  </si>
  <si>
    <t>Minnesota Rubber Co - Minneapolis</t>
  </si>
  <si>
    <t>Minneapolis,MN 55416</t>
  </si>
  <si>
    <t>Minnesota Rubber Company-Iowa</t>
  </si>
  <si>
    <t>1700 15th Street SW</t>
  </si>
  <si>
    <t>Mason City,IA 50401</t>
  </si>
  <si>
    <t>Minnesota Rubber Mex - Mcallen</t>
  </si>
  <si>
    <t>Mcallen,TX 78504</t>
  </si>
  <si>
    <t>Minster Automation - Beaufort</t>
  </si>
  <si>
    <t>Minster Machine Co. - Minster</t>
  </si>
  <si>
    <t>Minster,OH 45865-012</t>
  </si>
  <si>
    <t>Minster Machine Comp - Beaufort</t>
  </si>
  <si>
    <t>Minuteman Controls - Wakefield</t>
  </si>
  <si>
    <t>Wakefield,MA 01880</t>
  </si>
  <si>
    <t>Misouri Tank - Kansas City</t>
  </si>
  <si>
    <t>Kansas City,MO 64102</t>
  </si>
  <si>
    <t>Mississippi Lime - Ste. Genevieve</t>
  </si>
  <si>
    <t>Ste. Genevieve,MO 63</t>
  </si>
  <si>
    <t>Missour Cooperage Company</t>
  </si>
  <si>
    <t>1078 South Jefferson St</t>
  </si>
  <si>
    <t>Lebanon,MO 65536-1151</t>
  </si>
  <si>
    <t>Missouri Dot - Ballwin</t>
  </si>
  <si>
    <t>Ballwin,MO 63021</t>
  </si>
  <si>
    <t>Missouri Power Transmission - Springfield</t>
  </si>
  <si>
    <t>1920 N. National</t>
  </si>
  <si>
    <t>Springfield, MO, 65803</t>
  </si>
  <si>
    <t>(417) 869-4014</t>
  </si>
  <si>
    <t>417-869-6959</t>
  </si>
  <si>
    <t>Missouri Tank - Kansas City</t>
  </si>
  <si>
    <t>Mitchell Container S - Saraland</t>
  </si>
  <si>
    <t>Saraland,AL 36571</t>
  </si>
  <si>
    <t>Mitchell Metal Prod - Merrill</t>
  </si>
  <si>
    <t>Merrill,WI 54452</t>
  </si>
  <si>
    <t>Mitchell Mfg Group - Clare</t>
  </si>
  <si>
    <t>Mitchell Rubber - Industry</t>
  </si>
  <si>
    <t>Industry,CA 91744</t>
  </si>
  <si>
    <t>Mitco Solid Plant - Chattanooga</t>
  </si>
  <si>
    <t>Mitsubishi Heavy Ind - Leetonia</t>
  </si>
  <si>
    <t>Leetonia,OH 44431</t>
  </si>
  <si>
    <t>Mitsubishi Heavy Ind America - Corapolis</t>
  </si>
  <si>
    <t>500 Cherrington Prkwy ST 300</t>
  </si>
  <si>
    <t>Corapolis,PA 15108</t>
  </si>
  <si>
    <t>Mitsubishi Motor Mfg Of America - Normal</t>
  </si>
  <si>
    <t xml:space="preserve">Normal,IL </t>
  </si>
  <si>
    <t>Mitten Fluid Power - Rochester</t>
  </si>
  <si>
    <t>Rochester,NY 14623</t>
  </si>
  <si>
    <t>Mity-Lite Inc. - Orem</t>
  </si>
  <si>
    <t>Orem,UT 84057</t>
  </si>
  <si>
    <t>Mixer Systems, Inc.</t>
  </si>
  <si>
    <t xml:space="preserve">190 Simmons Avenue </t>
  </si>
  <si>
    <t>Pewaukee, WI 53072</t>
  </si>
  <si>
    <t>920-337-0234</t>
  </si>
  <si>
    <t>MKC</t>
  </si>
  <si>
    <t>201 WAUBESA ST</t>
  </si>
  <si>
    <t>MADISON, WI 53704</t>
  </si>
  <si>
    <t>M-Line Distributors - Midlothian</t>
  </si>
  <si>
    <t>Midlothian,TX 7606</t>
  </si>
  <si>
    <t>MMDP1,LLC</t>
  </si>
  <si>
    <t>1200 Market Street NE</t>
  </si>
  <si>
    <t>552-7425</t>
  </si>
  <si>
    <t>Mmeco - Fenton</t>
  </si>
  <si>
    <t>MMPI Wisconsin Fineblanking</t>
  </si>
  <si>
    <t>101 Grand Avenue</t>
  </si>
  <si>
    <t>Deerfield, WI 53531</t>
  </si>
  <si>
    <t>Mobil Oil Co Terminal - Beaumont</t>
  </si>
  <si>
    <t>1795 Burt St</t>
  </si>
  <si>
    <t>Beaumont,TX 77702</t>
  </si>
  <si>
    <t>(409) 833-9411</t>
  </si>
  <si>
    <t>Mobile Hydraulics - Semmes</t>
  </si>
  <si>
    <t>Semmes,AL 36575</t>
  </si>
  <si>
    <t>Mobile Pulley - Mobile</t>
  </si>
  <si>
    <t>Mobile,AL 36605</t>
  </si>
  <si>
    <t>Otis Orchards,WA 9902</t>
  </si>
  <si>
    <t>Modeco Inc - Lee</t>
  </si>
  <si>
    <t>Lee,MA 01238</t>
  </si>
  <si>
    <t>Model Box Inc.Of Ame - Chattanooga</t>
  </si>
  <si>
    <t>Modern Automation</t>
  </si>
  <si>
    <t>615-812-1754</t>
  </si>
  <si>
    <t>Modern Concrete - Louisville</t>
  </si>
  <si>
    <t>Modern Die Systems - Elwood</t>
  </si>
  <si>
    <t>Elwood,IN 46036</t>
  </si>
  <si>
    <t>Modern Dispersions I - Leominster</t>
  </si>
  <si>
    <t>Leominster,MA 0145</t>
  </si>
  <si>
    <t>Roseville,IL 61473</t>
  </si>
  <si>
    <t>Defiance,IA 51527</t>
  </si>
  <si>
    <t>Modern Faucet - Los Angeles</t>
  </si>
  <si>
    <t>Los Angeles,CA 90068</t>
  </si>
  <si>
    <t>Modern Ind - Erie</t>
  </si>
  <si>
    <t>Erie,PA 16501</t>
  </si>
  <si>
    <t>Modern Iron - Shreveport</t>
  </si>
  <si>
    <t>Modern Machinery - Beaverton</t>
  </si>
  <si>
    <t>Modern Supply - Johnson City</t>
  </si>
  <si>
    <t>Modern Welding Co. - Elizabethtown</t>
  </si>
  <si>
    <t>Elizabethtown,KY 427</t>
  </si>
  <si>
    <t>Modine Manufacturing - Racine</t>
  </si>
  <si>
    <t>Racine,WI 53403</t>
  </si>
  <si>
    <t>Modular Machine - Whittemore</t>
  </si>
  <si>
    <t>Whittemore,MI 48770</t>
  </si>
  <si>
    <t>Moen - Sanford</t>
  </si>
  <si>
    <t>Moex Corp. - Albany</t>
  </si>
  <si>
    <t>Mohawk Ind - Chatsworth</t>
  </si>
  <si>
    <t>Chatsworth,GA 3072</t>
  </si>
  <si>
    <t>2118 MARLBORO RD</t>
  </si>
  <si>
    <t>BENNETTSVILLE, SC 29512</t>
  </si>
  <si>
    <t>Mohawk Ind In - Lyerly</t>
  </si>
  <si>
    <t>Lyerly,GA 30730</t>
  </si>
  <si>
    <t>Mohawk, Ind - Pembroke Park</t>
  </si>
  <si>
    <t>Pembroke Park,FL 3302</t>
  </si>
  <si>
    <t xml:space="preserve">MOLTEN METALS </t>
  </si>
  <si>
    <t xml:space="preserve">FLORENCE, AL </t>
  </si>
  <si>
    <t>Momentive - Waterford</t>
  </si>
  <si>
    <t>260 Hudson River Road</t>
  </si>
  <si>
    <t>Waterford, NY 12188</t>
  </si>
  <si>
    <t>Rencor's Customer</t>
  </si>
  <si>
    <t>Monaco Coach - Coburg</t>
  </si>
  <si>
    <t>Coburg,OR 97408</t>
  </si>
  <si>
    <t>Monarch Machine - Cortland</t>
  </si>
  <si>
    <t>Monarch Steel - Decatur</t>
  </si>
  <si>
    <t>1425 Red Hat Road</t>
  </si>
  <si>
    <t>256-301-5730</t>
  </si>
  <si>
    <t>256-301-4595</t>
  </si>
  <si>
    <t>POC: Shane Beason</t>
  </si>
  <si>
    <t>Monfort Packing - Greeley</t>
  </si>
  <si>
    <t>Greeley,CO 80631</t>
  </si>
  <si>
    <t>Monitor Sugar Co - Bay City</t>
  </si>
  <si>
    <t>Bay City,MI 48707</t>
  </si>
  <si>
    <t>Monnig Ind - Glasgow</t>
  </si>
  <si>
    <t>Glasgow,MO 65254</t>
  </si>
  <si>
    <t>Monroe Auto - Hartwell</t>
  </si>
  <si>
    <t>Hartwell,GA 30643</t>
  </si>
  <si>
    <t>Monsanto Chemicals - Luling</t>
  </si>
  <si>
    <t>Luling,LA 70078</t>
  </si>
  <si>
    <t>Monsanto Company - Fayetteville</t>
  </si>
  <si>
    <t>Montague Company - North Charles</t>
  </si>
  <si>
    <t>North Charles,SC 2</t>
  </si>
  <si>
    <t>Montague Industrial</t>
  </si>
  <si>
    <t>Columbia, SC</t>
  </si>
  <si>
    <t>803-735-0330</t>
  </si>
  <si>
    <t>gregh@montague-Indcom</t>
  </si>
  <si>
    <t>Montague Industrial - Florence</t>
  </si>
  <si>
    <t>Montana Bearings, In - Helena</t>
  </si>
  <si>
    <t>Helena,MT 59601</t>
  </si>
  <si>
    <t>Montana Power Co. - Great Falls</t>
  </si>
  <si>
    <t>Great Falls,MT 59404</t>
  </si>
  <si>
    <t>Montaplast of North America</t>
  </si>
  <si>
    <t>2011 Hoover Blvd</t>
  </si>
  <si>
    <t>Frankfort, KY 40601</t>
  </si>
  <si>
    <t>502-695-7766</t>
  </si>
  <si>
    <t>Montebello Brands - Baltimore</t>
  </si>
  <si>
    <t>Montenay Islip, Inc. - Ronkonkoma</t>
  </si>
  <si>
    <t>Ronkonkoma,NY 11779</t>
  </si>
  <si>
    <t>Montfort Brothers In - Fishkill</t>
  </si>
  <si>
    <t>Fishkill,NY 12524</t>
  </si>
  <si>
    <t>Montgomery Bearing - Montgomery</t>
  </si>
  <si>
    <t>Montgomery,AL 36104</t>
  </si>
  <si>
    <t>Montgomery Cone Elev - Arlington</t>
  </si>
  <si>
    <t>Arlington,TX 76016</t>
  </si>
  <si>
    <t>Monticello Hardwoods - Monticello</t>
  </si>
  <si>
    <t>Monticello,MS 39654</t>
  </si>
  <si>
    <t>Moog Inc. - East Aurora</t>
  </si>
  <si>
    <t>East Aurora,NY 14052</t>
  </si>
  <si>
    <t>Moore Business Forms - Grand Island</t>
  </si>
  <si>
    <t>Mooresville Ind Supply</t>
  </si>
  <si>
    <t>242 Rolling Hills Rd</t>
  </si>
  <si>
    <t>Mooresville, NC 28117</t>
  </si>
  <si>
    <t>Fluid Power of the Carolina's Customer</t>
  </si>
  <si>
    <t>Moose River Lumber C - Jackman</t>
  </si>
  <si>
    <t>Jackman,ME 04945</t>
  </si>
  <si>
    <t>Morbark Ind - Winn</t>
  </si>
  <si>
    <t>Winn,MI 48896</t>
  </si>
  <si>
    <t>Morgan Construction - Worcester</t>
  </si>
  <si>
    <t>Worcester,MA 01605</t>
  </si>
  <si>
    <t>Morgan Lumber Compan - Red Oak</t>
  </si>
  <si>
    <t>Red Oak,VA 23964</t>
  </si>
  <si>
    <t>Morgan-Marshall Indu - Chicago Heights</t>
  </si>
  <si>
    <t>New Philadelphia,OH 4</t>
  </si>
  <si>
    <t>Morgen Manufacturing - Yankton</t>
  </si>
  <si>
    <t>Morning Star Packing - Williams</t>
  </si>
  <si>
    <t>Williams,CA 95987</t>
  </si>
  <si>
    <t>Morpac Ind, Inc</t>
  </si>
  <si>
    <t>117 Frontage Rd N. Bldg</t>
  </si>
  <si>
    <t>Pacific, WA 98047</t>
  </si>
  <si>
    <t>253-735-8922</t>
  </si>
  <si>
    <t>253-735-8933</t>
  </si>
  <si>
    <t>Morris Industrial Co - Saraland</t>
  </si>
  <si>
    <t>Morrison Bros Co. - Dubuque</t>
  </si>
  <si>
    <t>Morrison-Knudsen/Con - Soda Springs</t>
  </si>
  <si>
    <t>Soda Springs,ID 83276</t>
  </si>
  <si>
    <t>Morton International - Rittman</t>
  </si>
  <si>
    <t>Rittman,OH 44270</t>
  </si>
  <si>
    <t>Morton Metal Craft - Morton</t>
  </si>
  <si>
    <t>Morton,IL 61550</t>
  </si>
  <si>
    <t>Morton Salt - Hutchinson, KS</t>
  </si>
  <si>
    <t>1000 Morton Drive</t>
  </si>
  <si>
    <t>South Hutchinson, KS 67505</t>
  </si>
  <si>
    <t>IBT - Hutchinson's Customer</t>
  </si>
  <si>
    <t>Morton Traffic Marking - Salem</t>
  </si>
  <si>
    <t>Salem,OR 97303</t>
  </si>
  <si>
    <t>Mosier Fluid Power - Louisville</t>
  </si>
  <si>
    <t>10933 Electron Drive</t>
  </si>
  <si>
    <t>Louisville,KY 40299</t>
  </si>
  <si>
    <t>(800) 624-5298</t>
  </si>
  <si>
    <t>(502) 266-8818</t>
  </si>
  <si>
    <t>Mosley Industrial Supply - Goshen</t>
  </si>
  <si>
    <t>Goshen,AL 36035</t>
  </si>
  <si>
    <t>Moss Lumber</t>
  </si>
  <si>
    <t>621 West Willow Street</t>
  </si>
  <si>
    <t>256-259-5322</t>
  </si>
  <si>
    <t>Moss Supply - Charlotte</t>
  </si>
  <si>
    <t>Motion Control Services</t>
  </si>
  <si>
    <t>1427 Chaffee Dr. Suite 5</t>
  </si>
  <si>
    <t>Titusville, FL. 32780</t>
  </si>
  <si>
    <t>321-385-9087</t>
  </si>
  <si>
    <t>321-385-9088</t>
  </si>
  <si>
    <t>5736 59TH Street</t>
  </si>
  <si>
    <t>Edmonton AB T6B 3C3</t>
  </si>
  <si>
    <t>780-465-0821</t>
  </si>
  <si>
    <t>780-469-8250</t>
  </si>
  <si>
    <t>236 36th Street North</t>
  </si>
  <si>
    <t>Lethbridge, Alberta T1H 3Z7</t>
  </si>
  <si>
    <t>403-327-1571</t>
  </si>
  <si>
    <t>403-320-2337</t>
  </si>
  <si>
    <t>BM - Rod Machtmes  OPS - Doug Goruk</t>
  </si>
  <si>
    <t>#16, 4155- 75th avenue SE</t>
  </si>
  <si>
    <t>Calgary, Alberta T2C 2K8</t>
  </si>
  <si>
    <t>403-236-5581</t>
  </si>
  <si>
    <t>403-236-4863</t>
  </si>
  <si>
    <t>BM - Dan Bell  OPS - Laurina MacKinnon</t>
  </si>
  <si>
    <t>5736 59 St.</t>
  </si>
  <si>
    <t>Edmonton, Alberta T6B 3C3</t>
  </si>
  <si>
    <t>780-414-1873</t>
  </si>
  <si>
    <t>780-414-1855</t>
  </si>
  <si>
    <t>BM -   OPS - Ian Miller</t>
  </si>
  <si>
    <t>824 North 31st Street</t>
  </si>
  <si>
    <t>205-251-3231</t>
  </si>
  <si>
    <t xml:space="preserve"> 205-250-5547</t>
  </si>
  <si>
    <t>BM - Greg Smith  OPS - John Langford</t>
  </si>
  <si>
    <t>825 Lakeside Drive</t>
  </si>
  <si>
    <t>251-661-7800</t>
  </si>
  <si>
    <t xml:space="preserve"> 251-661-5152</t>
  </si>
  <si>
    <t>BM - Charlie Davis  OPS - Elbert Pittman</t>
  </si>
  <si>
    <t>226 Woodall Road SW</t>
  </si>
  <si>
    <t>256-355-0492</t>
  </si>
  <si>
    <t xml:space="preserve"> 256-355-0032</t>
  </si>
  <si>
    <t>BM - Rickey Brooks  OPS - Frank Bradshaw</t>
  </si>
  <si>
    <t>540 Trade Center Street</t>
  </si>
  <si>
    <t>334-262-5786</t>
  </si>
  <si>
    <t xml:space="preserve"> 334-834-6602</t>
  </si>
  <si>
    <t>BM - Jerry Tyler  OPS - Alan Nix</t>
  </si>
  <si>
    <t>802 E. Second Street</t>
  </si>
  <si>
    <t>Muscle Shoals, AL 35662</t>
  </si>
  <si>
    <t>256-383-0862</t>
  </si>
  <si>
    <t xml:space="preserve">  256-381-9965</t>
  </si>
  <si>
    <t>BM - Rickey Brooks  OPS - Dewayne Mitchell</t>
  </si>
  <si>
    <t>3721 11th Avenue</t>
  </si>
  <si>
    <t>205-759-4261</t>
  </si>
  <si>
    <t xml:space="preserve"> 205-345-3091</t>
  </si>
  <si>
    <t>BM - Jack Pritchett  OPS - Jamie Ball</t>
  </si>
  <si>
    <t>111 South First Street</t>
  </si>
  <si>
    <t>Gadsden, AL 35901</t>
  </si>
  <si>
    <t>256-543-3441</t>
  </si>
  <si>
    <t xml:space="preserve"> 256-547-1432</t>
  </si>
  <si>
    <t>BM - Donnie Adair  OPS - Donnie Harwell</t>
  </si>
  <si>
    <t>1950 Wise Drive</t>
  </si>
  <si>
    <t>Dothan, AL 36303</t>
  </si>
  <si>
    <t>334-794-2747</t>
  </si>
  <si>
    <t xml:space="preserve"> 334-793-6446</t>
  </si>
  <si>
    <t>BM - Bill Ziel  OPS - Keith Ethridge</t>
  </si>
  <si>
    <t>2411 Hill Road</t>
  </si>
  <si>
    <t>Sylacauga, AL 35150</t>
  </si>
  <si>
    <t>256-249-4341</t>
  </si>
  <si>
    <t xml:space="preserve"> 256-245-0111</t>
  </si>
  <si>
    <t>BM - Michael Busby  OPS - Catherine Youkers</t>
  </si>
  <si>
    <t>150 Ida Drive</t>
  </si>
  <si>
    <t>Pennington, AL 36916</t>
  </si>
  <si>
    <t>205-654-2975</t>
  </si>
  <si>
    <t xml:space="preserve"> 205-654-2977</t>
  </si>
  <si>
    <t>BM - Greg Tate  OPS - John McCary</t>
  </si>
  <si>
    <t>5848 RESEARCH PARK BLVD SUITE 300</t>
  </si>
  <si>
    <t>256-858-5020</t>
  </si>
  <si>
    <t>855-801-2230</t>
  </si>
  <si>
    <t>31191 Hwy 31</t>
  </si>
  <si>
    <t>Brewton, AL 36427</t>
  </si>
  <si>
    <t>251-867-6363</t>
  </si>
  <si>
    <t xml:space="preserve"> 251-867-8576</t>
  </si>
  <si>
    <t>BM - Tim Kilpatrick  OPS - Jeff Cardwell</t>
  </si>
  <si>
    <t>2 Hornady Drive</t>
  </si>
  <si>
    <t>Monroeville, AL 36460</t>
  </si>
  <si>
    <t>251-743-4814</t>
  </si>
  <si>
    <t>251-575-2870</t>
  </si>
  <si>
    <t>BM - Greg Tate  OPS - Pamela Watson</t>
  </si>
  <si>
    <t>824 N. 31st St , B-AL61</t>
  </si>
  <si>
    <t>205-744-1949</t>
  </si>
  <si>
    <t xml:space="preserve"> 205-744-9138</t>
  </si>
  <si>
    <t>BM - Greg Smith  OPS - Katharine Curtis</t>
  </si>
  <si>
    <t>2717 Highway 82 West</t>
  </si>
  <si>
    <t>870-364-8118</t>
  </si>
  <si>
    <t xml:space="preserve"> 870-364-9199</t>
  </si>
  <si>
    <t>BM - Stacy Lenard  OPS - Mary Ray</t>
  </si>
  <si>
    <t>6217 East Highland Drive</t>
  </si>
  <si>
    <t>Jonesboro, AR 72401</t>
  </si>
  <si>
    <t>870-972-1660</t>
  </si>
  <si>
    <t xml:space="preserve"> 870-972-6768</t>
  </si>
  <si>
    <t>BM - David Gilbert  OPS - Kevin McAnulty</t>
  </si>
  <si>
    <t>5903 South 26th Circle</t>
  </si>
  <si>
    <t>Fort Smith, AR 72903</t>
  </si>
  <si>
    <t>479-646-6868</t>
  </si>
  <si>
    <t>479-646-5809</t>
  </si>
  <si>
    <t>BM - Bill Simpson  OPS - Kathy Vaught</t>
  </si>
  <si>
    <t>2301 East 9th Street</t>
  </si>
  <si>
    <t>Texarkana, AR 71854</t>
  </si>
  <si>
    <t>870-774-2547</t>
  </si>
  <si>
    <t xml:space="preserve"> 870-772-3231</t>
  </si>
  <si>
    <t>BM - John Moredock  OPS - Kenny Kennedy</t>
  </si>
  <si>
    <t>5312 West 65th Street</t>
  </si>
  <si>
    <t>501-568-3116</t>
  </si>
  <si>
    <t xml:space="preserve"> 501-565-5027</t>
  </si>
  <si>
    <t>BM - Rob Stone  OPS - Dale Chambliss</t>
  </si>
  <si>
    <t>1809 S Elmira Avenue</t>
  </si>
  <si>
    <t>Russellville, AR 72801</t>
  </si>
  <si>
    <t>479-968-3422</t>
  </si>
  <si>
    <t>479-968-8404</t>
  </si>
  <si>
    <t>BM - Rob Stone  OPS - Kenneth Heflin</t>
  </si>
  <si>
    <t>402 S Thompson Suite 9</t>
  </si>
  <si>
    <t>Springdale, AR 72764</t>
  </si>
  <si>
    <t>479-756-6905</t>
  </si>
  <si>
    <t>479-756-2964</t>
  </si>
  <si>
    <t>BM - Bill Simpson  OPS - Terry Wilson</t>
  </si>
  <si>
    <t>3733 E. Hwy 18</t>
  </si>
  <si>
    <t>Blytheville, AR 72315</t>
  </si>
  <si>
    <t>870-763-6880</t>
  </si>
  <si>
    <t xml:space="preserve"> 870-763-7216</t>
  </si>
  <si>
    <t>BM - Neal Horner  OPS - Charlyne Maupin</t>
  </si>
  <si>
    <t>2611 S. Roosevelt, Suite 102</t>
  </si>
  <si>
    <t>Tempe, AZ 85282</t>
  </si>
  <si>
    <t>480-921-9800</t>
  </si>
  <si>
    <t>480-921-9198</t>
  </si>
  <si>
    <t>BM - Steve Kammeyer  OPS - Debbie Lopez</t>
  </si>
  <si>
    <t>1802 West Grant, Suite 107</t>
  </si>
  <si>
    <t>Tucson, AZ 85745</t>
  </si>
  <si>
    <t>520-882-6800</t>
  </si>
  <si>
    <t xml:space="preserve"> 520-882-6804</t>
  </si>
  <si>
    <t>BM - Matthew McGraw  OPS - Patricia Ragan</t>
  </si>
  <si>
    <t>4274 E. 30th Place</t>
  </si>
  <si>
    <t>Yuma, AZ 85365</t>
  </si>
  <si>
    <t>928-782-3919</t>
  </si>
  <si>
    <t>928-782-4332</t>
  </si>
  <si>
    <t>BM - Frank Bazua  OPS - Joe Arellano</t>
  </si>
  <si>
    <t>#6, 1600 Derwent Way</t>
  </si>
  <si>
    <t>Delta, British Columbia V3M 6M5</t>
  </si>
  <si>
    <t>604-521-3207</t>
  </si>
  <si>
    <t>604-521-3249</t>
  </si>
  <si>
    <t>2041 Saybrook Avenue</t>
  </si>
  <si>
    <t>Los Angeles, CA 90040</t>
  </si>
  <si>
    <t>323-728-0281</t>
  </si>
  <si>
    <t xml:space="preserve"> 323-726-8628</t>
  </si>
  <si>
    <t>BM - Alfred Horta  OPS - Dolores Rodriguez</t>
  </si>
  <si>
    <t>7445 Raytheon Road</t>
  </si>
  <si>
    <t>San Diego, CA 92111</t>
  </si>
  <si>
    <t>858-565-0092</t>
  </si>
  <si>
    <t xml:space="preserve"> 858-565-0281</t>
  </si>
  <si>
    <t>BM - James Howe  OPS - Fernando Romero</t>
  </si>
  <si>
    <t>5001 Standard Street</t>
  </si>
  <si>
    <t>Bakersfield, CA 93308</t>
  </si>
  <si>
    <t>661-324-6741</t>
  </si>
  <si>
    <t xml:space="preserve"> 661-324-2133</t>
  </si>
  <si>
    <t>BM - Rick Arbolante  OPS - Karen Watkins</t>
  </si>
  <si>
    <t>2705 Lafayette Street</t>
  </si>
  <si>
    <t>Santa Clara, CA 95050</t>
  </si>
  <si>
    <t>408-727-6408</t>
  </si>
  <si>
    <t xml:space="preserve"> 408-727-6035</t>
  </si>
  <si>
    <t>BM - Gary Leighton  OPS - Julie O'Connor</t>
  </si>
  <si>
    <t>3473 Ramona Avenue</t>
  </si>
  <si>
    <t>Sacramento, CA 95826</t>
  </si>
  <si>
    <t>916-455-1990</t>
  </si>
  <si>
    <t xml:space="preserve"> 916-455-3507</t>
  </si>
  <si>
    <t>BM - Chuck Olvera  OPS - Rick Jorgenson</t>
  </si>
  <si>
    <t>2680 Church Avenue</t>
  </si>
  <si>
    <t>Fresno, CA 93706</t>
  </si>
  <si>
    <t>559-237-9131</t>
  </si>
  <si>
    <t xml:space="preserve"> 559-237-9139</t>
  </si>
  <si>
    <t>BM - Mike Paradise  OPS - Doug Marsh</t>
  </si>
  <si>
    <t>1142 North Gilbert St.</t>
  </si>
  <si>
    <t>Anaheim, CA 92801</t>
  </si>
  <si>
    <t>714-780-1791</t>
  </si>
  <si>
    <t>714-780-1798</t>
  </si>
  <si>
    <t>BM - Aaron Brooks  OPS - Sandy Mason</t>
  </si>
  <si>
    <t>45313 23rd Street West</t>
  </si>
  <si>
    <t>Lancaster, CA 93536</t>
  </si>
  <si>
    <t>661-948-8436</t>
  </si>
  <si>
    <t xml:space="preserve"> 661-949-0349</t>
  </si>
  <si>
    <t>BM - Garrick Kelley  OPS - Sharon Willard</t>
  </si>
  <si>
    <t>704 East Hazelton Street</t>
  </si>
  <si>
    <t>Stockton, CA 95203</t>
  </si>
  <si>
    <t>209-943-2801</t>
  </si>
  <si>
    <t xml:space="preserve"> 209-943-7493</t>
  </si>
  <si>
    <t>BM - Carl Louder  OPS - Virginia Glass</t>
  </si>
  <si>
    <t>448 Mitchell Road</t>
  </si>
  <si>
    <t>Modesto, CA 95354</t>
  </si>
  <si>
    <t>209-529-0261</t>
  </si>
  <si>
    <t xml:space="preserve"> 209-529-1812</t>
  </si>
  <si>
    <t>BM - Robert Reeves  OPS - Kasey Castellanos</t>
  </si>
  <si>
    <t>301 Harter Avenue</t>
  </si>
  <si>
    <t>Woodland, CA 95776</t>
  </si>
  <si>
    <t>530-662-9651</t>
  </si>
  <si>
    <t xml:space="preserve"> 530-662-1223</t>
  </si>
  <si>
    <t>BM - Mike Strawn  OPS - Philip Abele</t>
  </si>
  <si>
    <t>1030 Victor Road</t>
  </si>
  <si>
    <t>Lodi, CA 95240</t>
  </si>
  <si>
    <t>209-334-2530</t>
  </si>
  <si>
    <t xml:space="preserve"> 209-334-0146</t>
  </si>
  <si>
    <t>BM - Chuck Olvera  OPS - Rick Pitman</t>
  </si>
  <si>
    <t>10887 Commerce Way C</t>
  </si>
  <si>
    <t>Fontana, CA 92337</t>
  </si>
  <si>
    <t>909-357-9898</t>
  </si>
  <si>
    <t xml:space="preserve"> 909-357-9897</t>
  </si>
  <si>
    <t>BM - Lino Escobedo  OPS - Maggie Picker</t>
  </si>
  <si>
    <t>721 C Abbott Street</t>
  </si>
  <si>
    <t>Salinas, CA 93901-4376</t>
  </si>
  <si>
    <t>831-758-3345</t>
  </si>
  <si>
    <t xml:space="preserve"> 831-758-3349</t>
  </si>
  <si>
    <t>BM - Leroy Ernst  OPS - Larry Albarran</t>
  </si>
  <si>
    <t>760 West 190th Street</t>
  </si>
  <si>
    <t>Gardena, CA 90248</t>
  </si>
  <si>
    <t>310-327-5070</t>
  </si>
  <si>
    <t xml:space="preserve"> 310-327-5643</t>
  </si>
  <si>
    <t>BM - Al De Rouen  OPS - Tom Snodgrass</t>
  </si>
  <si>
    <t>6450-A Chestnut Street</t>
  </si>
  <si>
    <t>Gilroy, CA 95020</t>
  </si>
  <si>
    <t>408-848-3099</t>
  </si>
  <si>
    <t xml:space="preserve"> 408-848-3939</t>
  </si>
  <si>
    <t>12995 Arroyo Street</t>
  </si>
  <si>
    <t>San Fernando, CA 91340</t>
  </si>
  <si>
    <t>818-365-0300</t>
  </si>
  <si>
    <t>818-365-0316</t>
  </si>
  <si>
    <t>BM - Shelby Tolbert  OPS - Greg Thompson</t>
  </si>
  <si>
    <t>2020-A Industry Road</t>
  </si>
  <si>
    <t>Ukiah, CA 95482</t>
  </si>
  <si>
    <t>707-462-9766</t>
  </si>
  <si>
    <t xml:space="preserve"> 707-462-2405</t>
  </si>
  <si>
    <t>BM - David Johnson  OPS - Crissy Evans</t>
  </si>
  <si>
    <t>28976 Hopkins Street, Suite H</t>
  </si>
  <si>
    <t>Hayward, CA 94545</t>
  </si>
  <si>
    <t>510-266-0200</t>
  </si>
  <si>
    <t xml:space="preserve"> 510-266-0218</t>
  </si>
  <si>
    <t>BM - Stan Cooper  OPS - Rebecca Krska</t>
  </si>
  <si>
    <t>8000 West Doe Ave., Ste. 300</t>
  </si>
  <si>
    <t>Visalia, CA 93291</t>
  </si>
  <si>
    <t>559-651-0111</t>
  </si>
  <si>
    <t xml:space="preserve"> 559-651-1078</t>
  </si>
  <si>
    <t>BM - Rick Calaway  OPS - Michelle French</t>
  </si>
  <si>
    <t>2355 Whitman Rd., Unit F</t>
  </si>
  <si>
    <t>Concord, CA 94520</t>
  </si>
  <si>
    <t>925-689-9880</t>
  </si>
  <si>
    <t xml:space="preserve"> 925-689-1405</t>
  </si>
  <si>
    <t>BM - Dan Storer  OPS - Matt Everett</t>
  </si>
  <si>
    <t>1217 John Reed Ct.</t>
  </si>
  <si>
    <t>City of Industry, CA 91745</t>
  </si>
  <si>
    <t>626-369-6279</t>
  </si>
  <si>
    <t>626-369-7441</t>
  </si>
  <si>
    <t>BM - Nigel Churton  OPS - Kathy Hampton</t>
  </si>
  <si>
    <t>858 East Fifth Street</t>
  </si>
  <si>
    <t>Oxnard, CA 93030</t>
  </si>
  <si>
    <t>805-487-4877</t>
  </si>
  <si>
    <t xml:space="preserve"> 805-487-3555</t>
  </si>
  <si>
    <t>BM - Duane Salka  OPS - Bruce Yeoman</t>
  </si>
  <si>
    <t>17344 Eastman Street</t>
  </si>
  <si>
    <t>Irvine, CA 92614</t>
  </si>
  <si>
    <t>949-752-0023</t>
  </si>
  <si>
    <t>949-752-0029</t>
  </si>
  <si>
    <t>7003 E. 47th Ave. Dr., Unit A100</t>
  </si>
  <si>
    <t>303-399-1500</t>
  </si>
  <si>
    <t xml:space="preserve"> 303-399-1900</t>
  </si>
  <si>
    <t>BM - Shawn Enriques  OPS - Mike Hamilton</t>
  </si>
  <si>
    <t>2923 GRANEROS LN</t>
  </si>
  <si>
    <t>Pueblo, CO 81005</t>
  </si>
  <si>
    <t>719-546-0500</t>
  </si>
  <si>
    <t>719-546-0509</t>
  </si>
  <si>
    <t>BM - Steve Fleming  OPS - Mike Rosenlund</t>
  </si>
  <si>
    <t>5885 E Stapleton Drive</t>
  </si>
  <si>
    <t>256 Main Street</t>
  </si>
  <si>
    <t>East Windsor, CT 06088</t>
  </si>
  <si>
    <t>860-292-6091</t>
  </si>
  <si>
    <t xml:space="preserve"> 860-292-6087</t>
  </si>
  <si>
    <t>BM - John Calarese  OPS - Kim Sugrue</t>
  </si>
  <si>
    <t>3877 Palafox Street North</t>
  </si>
  <si>
    <t>Pensacola, FL 32505</t>
  </si>
  <si>
    <t>850-433-0021</t>
  </si>
  <si>
    <t xml:space="preserve"> 850-432-8092</t>
  </si>
  <si>
    <t>BM - Kevin Covalt  OPS - Mike McLamb</t>
  </si>
  <si>
    <t>1417 Massaro Blvd</t>
  </si>
  <si>
    <t>Tampa, FL 33619</t>
  </si>
  <si>
    <t>813-626-1191</t>
  </si>
  <si>
    <t xml:space="preserve"> 813-621-7653</t>
  </si>
  <si>
    <t>BM - Dan Pike  OPS - Reneah Berry</t>
  </si>
  <si>
    <t>401 Heckscher Drive</t>
  </si>
  <si>
    <t>Jacksonville, FL 32226-2699</t>
  </si>
  <si>
    <t>904-757-5080</t>
  </si>
  <si>
    <t xml:space="preserve"> 904-751-5045</t>
  </si>
  <si>
    <t>BM - Bill Horn, Jr.  OPS - Betty Heers</t>
  </si>
  <si>
    <t>2501 SW 160th Ave., Ste. 100</t>
  </si>
  <si>
    <t>Miramar, FL 33027</t>
  </si>
  <si>
    <t>954-704-8565</t>
  </si>
  <si>
    <t>954-704-9220</t>
  </si>
  <si>
    <t>BM - Mike Dielman  OPS - Graciela Aguilar</t>
  </si>
  <si>
    <t>1950 East Highway 60 Bypass</t>
  </si>
  <si>
    <t>Bartow, FL 33830</t>
  </si>
  <si>
    <t>863-533-0574</t>
  </si>
  <si>
    <t xml:space="preserve"> 863-533-9386</t>
  </si>
  <si>
    <t>BM - Geo. "Buddy" Peeples  OPS - Fonda Alorda</t>
  </si>
  <si>
    <t>102 West 14th Street</t>
  </si>
  <si>
    <t>Panama City, FL 32401</t>
  </si>
  <si>
    <t>850-769-2492</t>
  </si>
  <si>
    <t xml:space="preserve"> 850-784-0729</t>
  </si>
  <si>
    <t>BM - Kevin Covalt  OPS - Angela Lovett</t>
  </si>
  <si>
    <t>2465 Silver Star Road</t>
  </si>
  <si>
    <t>Orlando, FL 32804</t>
  </si>
  <si>
    <t>407-298-0380</t>
  </si>
  <si>
    <t xml:space="preserve"> 407-299-7689</t>
  </si>
  <si>
    <t>BM - Rob Morningstar  OPS - Angela Rae Pergande</t>
  </si>
  <si>
    <t>Jacksonville, FL 32226</t>
  </si>
  <si>
    <t>904-751-5689</t>
  </si>
  <si>
    <t>904-757-0128</t>
  </si>
  <si>
    <t>436 Highway 17 North</t>
  </si>
  <si>
    <t>Palatka, FL 32177</t>
  </si>
  <si>
    <t>386-328-4306</t>
  </si>
  <si>
    <t>386-325-8841</t>
  </si>
  <si>
    <t>2525 Trailmate Drive, #102</t>
  </si>
  <si>
    <t>Sarasota, FL 34243</t>
  </si>
  <si>
    <t>941-755-4116</t>
  </si>
  <si>
    <t xml:space="preserve"> 941-753-2936</t>
  </si>
  <si>
    <t>326 S.  W.C. Owen Ave.</t>
  </si>
  <si>
    <t>Clewiston, FL 33440</t>
  </si>
  <si>
    <t>863-983-5500</t>
  </si>
  <si>
    <t>863-983-5588</t>
  </si>
  <si>
    <t>BM - Edwin Torres  OPS - Judy Moore</t>
  </si>
  <si>
    <t>4240 Bandy Blvd</t>
  </si>
  <si>
    <t>Fort Pierce, FL 34981</t>
  </si>
  <si>
    <t>772-464-5537</t>
  </si>
  <si>
    <t>772-464-4647</t>
  </si>
  <si>
    <t>BM - Edwin Torres  OPS - Stephen Owen</t>
  </si>
  <si>
    <t>8145 Troon Circle, Suite G</t>
  </si>
  <si>
    <t>Austell, GA 30168</t>
  </si>
  <si>
    <t>770-948-5300</t>
  </si>
  <si>
    <t xml:space="preserve"> 770-948-6300</t>
  </si>
  <si>
    <t>BM - Steve Poynter  OPS - Linda Daugherty</t>
  </si>
  <si>
    <t>1247 Gordon Park Road</t>
  </si>
  <si>
    <t>Augusta, GA 30901</t>
  </si>
  <si>
    <t>706-724-7401</t>
  </si>
  <si>
    <t xml:space="preserve"> 706-722-6310</t>
  </si>
  <si>
    <t>BM - Gary Bryant  OPS - Steve Langley</t>
  </si>
  <si>
    <t>111 Key Drive</t>
  </si>
  <si>
    <t>Brunswick, GA 31520</t>
  </si>
  <si>
    <t>912-265-0178</t>
  </si>
  <si>
    <t xml:space="preserve"> 912-265-0195</t>
  </si>
  <si>
    <t>BM - Jason Welch  OPS - Donna Gleaton</t>
  </si>
  <si>
    <t>1521 Telfair Road</t>
  </si>
  <si>
    <t>912-236-1591</t>
  </si>
  <si>
    <t xml:space="preserve"> 912-233-2012</t>
  </si>
  <si>
    <t>BM - Mike Wechter  OPS - Denise Litchfield</t>
  </si>
  <si>
    <t>506 Manchester Expressway Ste.B-11</t>
  </si>
  <si>
    <t>Columbus, GA 31904</t>
  </si>
  <si>
    <t>706-324-0313</t>
  </si>
  <si>
    <t xml:space="preserve"> 706-324-7164</t>
  </si>
  <si>
    <t>BM - Wade Gibson  OPS - David Dozier</t>
  </si>
  <si>
    <t>5695 Oakbrook Pkwy., Suite A</t>
  </si>
  <si>
    <t>770-441-9909</t>
  </si>
  <si>
    <t xml:space="preserve"> 770-441-0628</t>
  </si>
  <si>
    <t>BM - Skip Messer  OPS - Tara Douglas</t>
  </si>
  <si>
    <t>545 Olympic Drive</t>
  </si>
  <si>
    <t>Athens, GA 30601</t>
  </si>
  <si>
    <t>706-353-7780</t>
  </si>
  <si>
    <t xml:space="preserve"> 706-546-1427</t>
  </si>
  <si>
    <t>BM - James McDaniel  OPS - Brenda Ewing</t>
  </si>
  <si>
    <t>509 South Mock Road</t>
  </si>
  <si>
    <t>229-888-0910</t>
  </si>
  <si>
    <t>229-888-6943</t>
  </si>
  <si>
    <t>BM - Greg Perry  OPS - Wanda Laubrich</t>
  </si>
  <si>
    <t>7444 Airport Drive</t>
  </si>
  <si>
    <t>Macon, GA 31206</t>
  </si>
  <si>
    <t>478-784-0500</t>
  </si>
  <si>
    <t xml:space="preserve"> 478-788-1500</t>
  </si>
  <si>
    <t>BM - Jim Martin  OPS - Deb Martin</t>
  </si>
  <si>
    <t>1011 Airport Street</t>
  </si>
  <si>
    <t>Gainesville, GA 30501</t>
  </si>
  <si>
    <t>770-532-4268</t>
  </si>
  <si>
    <t xml:space="preserve"> 770-531-9892</t>
  </si>
  <si>
    <t>BM - Tammy Davis  OPS - Kim Jackson</t>
  </si>
  <si>
    <t>1502 Orchard Hill Road Suite A</t>
  </si>
  <si>
    <t>LaGrange, GA 30240</t>
  </si>
  <si>
    <t>706-883-7995</t>
  </si>
  <si>
    <t xml:space="preserve"> 706-883-6256</t>
  </si>
  <si>
    <t>BM - Gary Knox  OPS - James Boyd</t>
  </si>
  <si>
    <t>415 Hamilton Crossing Road NW</t>
  </si>
  <si>
    <t>Cartersville, GA 30120</t>
  </si>
  <si>
    <t>770-387-0131</t>
  </si>
  <si>
    <t xml:space="preserve"> 770-387-1542</t>
  </si>
  <si>
    <t>BM - Carol Sullivan  OPS - Dana Monsees</t>
  </si>
  <si>
    <t>10139 Industrial Drive</t>
  </si>
  <si>
    <t>Covington, GA 30014</t>
  </si>
  <si>
    <t>770-786-4272</t>
  </si>
  <si>
    <t xml:space="preserve"> 770-786-4675</t>
  </si>
  <si>
    <t>BM - James McDaniel  OPS - Mark Mauldin</t>
  </si>
  <si>
    <t>106 Hemlock Street</t>
  </si>
  <si>
    <t>Valdosta, GA 31601</t>
  </si>
  <si>
    <t>229-244-4548</t>
  </si>
  <si>
    <t xml:space="preserve"> 229-244-4528</t>
  </si>
  <si>
    <t>BM - Dewey Foster  OPS - Dan Musgrove</t>
  </si>
  <si>
    <t>2768 Lakeland Road</t>
  </si>
  <si>
    <t>Dalton, GA 30721</t>
  </si>
  <si>
    <t>706-272-3900</t>
  </si>
  <si>
    <t xml:space="preserve"> 706-272-7120</t>
  </si>
  <si>
    <t>BM - Tom McKeehan  OPS - Charles Musgrove</t>
  </si>
  <si>
    <t>4711 Gordon McIntyre Road</t>
  </si>
  <si>
    <t>McIntyre, GA 31054</t>
  </si>
  <si>
    <t>478-946-0005</t>
  </si>
  <si>
    <t>478-946-0008</t>
  </si>
  <si>
    <t>2546 South Leonine</t>
  </si>
  <si>
    <t>316-265-9608</t>
  </si>
  <si>
    <t>316-265-6229</t>
  </si>
  <si>
    <t xml:space="preserve">BM - Dave Byerley  OPS - </t>
  </si>
  <si>
    <t>1512 Falls Avenue</t>
  </si>
  <si>
    <t>Waterloo, IA 50701-5328</t>
  </si>
  <si>
    <t>319-235-7167</t>
  </si>
  <si>
    <t xml:space="preserve"> 319-235-0519</t>
  </si>
  <si>
    <t>BM - Tom Smrdel  OPS - Nicholas Kane</t>
  </si>
  <si>
    <t>3100 Line Drive</t>
  </si>
  <si>
    <t>Sioux City, IA 51106</t>
  </si>
  <si>
    <t>712-258-0595</t>
  </si>
  <si>
    <t xml:space="preserve"> 712-258-0603</t>
  </si>
  <si>
    <t>BM - Mike Whitney  OPS - Kathy Rogers</t>
  </si>
  <si>
    <t>2011 Grandview</t>
  </si>
  <si>
    <t>Muscatine, IA 52761</t>
  </si>
  <si>
    <t>563-263-3452</t>
  </si>
  <si>
    <t xml:space="preserve"> 563-264-0907</t>
  </si>
  <si>
    <t>BM - Dave Hedberg  OPS - Travis Calvert</t>
  </si>
  <si>
    <t>2000 Manufacturing Drive</t>
  </si>
  <si>
    <t>Clinton, IA 52732</t>
  </si>
  <si>
    <t>563-243-6672</t>
  </si>
  <si>
    <t xml:space="preserve">  563-243-4283</t>
  </si>
  <si>
    <t>BM - Jeff Brotherton  OPS - Randy Frahm</t>
  </si>
  <si>
    <t>710 South Madison Avenue</t>
  </si>
  <si>
    <t>Ottumwa, IA 52501-7316</t>
  </si>
  <si>
    <t>641-682-5401</t>
  </si>
  <si>
    <t>641-682-1688</t>
  </si>
  <si>
    <t>BM - Terry Anderson  OPS - James Forby</t>
  </si>
  <si>
    <t>1505 East Aurora Street</t>
  </si>
  <si>
    <t>Des Moines, IA 50313-3912</t>
  </si>
  <si>
    <t>515-266-0470</t>
  </si>
  <si>
    <t xml:space="preserve"> 515-266-0068</t>
  </si>
  <si>
    <t>BM - Dick O’Hearne  OPS - Jeff George</t>
  </si>
  <si>
    <t>1380 East 12th</t>
  </si>
  <si>
    <t>Dubuque, IA 52001-2331</t>
  </si>
  <si>
    <t>563-556-3022</t>
  </si>
  <si>
    <t>563-588-8089</t>
  </si>
  <si>
    <t>BM - Tom Smrdel  OPS - James Forby</t>
  </si>
  <si>
    <t>2330  263rd Avenue</t>
  </si>
  <si>
    <t>Fort Madison, IA 52627-9528</t>
  </si>
  <si>
    <t>319-372-6611</t>
  </si>
  <si>
    <t xml:space="preserve"> 319-372-2166</t>
  </si>
  <si>
    <t>BM - Allen Smith  OPS - Patricia Dodson</t>
  </si>
  <si>
    <t>1528-A Street West</t>
  </si>
  <si>
    <t>Fort Dodge, IA 50501-5611</t>
  </si>
  <si>
    <t>515-573-5753</t>
  </si>
  <si>
    <t xml:space="preserve"> 515-573-8195</t>
  </si>
  <si>
    <t>BM - Dick O'Hearne  OPS - Troy Aswegan</t>
  </si>
  <si>
    <t>901 First Avenue SW</t>
  </si>
  <si>
    <t>Cedar Rapids, IA 52405-4857</t>
  </si>
  <si>
    <t>319-362-9940</t>
  </si>
  <si>
    <t xml:space="preserve"> 319-362-9790</t>
  </si>
  <si>
    <t>BM - Mark Knox  OPS - Kenny Lange</t>
  </si>
  <si>
    <t>7451 Lemhi Street</t>
  </si>
  <si>
    <t>Boise, ID 83709</t>
  </si>
  <si>
    <t>208-377-4334</t>
  </si>
  <si>
    <t xml:space="preserve"> 208-376-6214</t>
  </si>
  <si>
    <t>BM - Kevin Hall  OPS - Richard Boyle</t>
  </si>
  <si>
    <t>2711 Garrett Way</t>
  </si>
  <si>
    <t>Pocatello, ID 83201</t>
  </si>
  <si>
    <t>208-233-3894</t>
  </si>
  <si>
    <t xml:space="preserve"> 208-232-1863</t>
  </si>
  <si>
    <t>BM - Dave Whitworth  OPS - Dave Fullmer</t>
  </si>
  <si>
    <t>1361 S. Jefferson</t>
  </si>
  <si>
    <t>(South) Chicago, IL 60607</t>
  </si>
  <si>
    <t>773-268-2100</t>
  </si>
  <si>
    <t xml:space="preserve"> 773-268-6216</t>
  </si>
  <si>
    <t>BM - Richard Andersen  OPS - Bruce Concialdi</t>
  </si>
  <si>
    <t>1028 Moen Avenue</t>
  </si>
  <si>
    <t>Joliet, IL 60436-2498</t>
  </si>
  <si>
    <t>815-725-6720</t>
  </si>
  <si>
    <t xml:space="preserve"> 815-725-6983</t>
  </si>
  <si>
    <t>BM - Steve Shepski  OPS - Judy Truax</t>
  </si>
  <si>
    <t>2150 N. 15th Ave.</t>
  </si>
  <si>
    <t>Melrose Park, IL 60160</t>
  </si>
  <si>
    <t>708-344-4433</t>
  </si>
  <si>
    <t xml:space="preserve"> 708-344-4498</t>
  </si>
  <si>
    <t>BM - Mike O'Connor  OPS - Jill Ferraro</t>
  </si>
  <si>
    <t>5444 East Avenue</t>
  </si>
  <si>
    <t>Countryside, IL 60525-3135</t>
  </si>
  <si>
    <t>708-354-5900</t>
  </si>
  <si>
    <t xml:space="preserve"> 708-354-5975</t>
  </si>
  <si>
    <t>BM - Rich Bingham  OPS - Chester Stala</t>
  </si>
  <si>
    <t>800 Glen Flora Avenue</t>
  </si>
  <si>
    <t>Waukegan, IL 60085-1839</t>
  </si>
  <si>
    <t>847-623-8770</t>
  </si>
  <si>
    <t xml:space="preserve"> 847-623-3780</t>
  </si>
  <si>
    <t>BM - Mike Bernhagen  OPS - Chris Ward</t>
  </si>
  <si>
    <t>3483 Lonergan Drive</t>
  </si>
  <si>
    <t>Rockford, IL 61109-2622</t>
  </si>
  <si>
    <t>815-874-9461</t>
  </si>
  <si>
    <t xml:space="preserve"> 815-874-6550</t>
  </si>
  <si>
    <t>BM - Gael Shafer  OPS - Dave Lyons</t>
  </si>
  <si>
    <t>100 Halsted Street</t>
  </si>
  <si>
    <t>Chicago Heights, IL 60411-1256</t>
  </si>
  <si>
    <t>708-754-6300</t>
  </si>
  <si>
    <t xml:space="preserve"> 708-754-6384</t>
  </si>
  <si>
    <t>BM - Mark Dudek  OPS - Mike Engler</t>
  </si>
  <si>
    <t>1790 Cortland Court</t>
  </si>
  <si>
    <t>Addison, IL 60101-4208</t>
  </si>
  <si>
    <t>630-627-4605</t>
  </si>
  <si>
    <t xml:space="preserve"> 630-627-4670</t>
  </si>
  <si>
    <t>BM - Tom Sokolinski  OPS - Cathy Disanto</t>
  </si>
  <si>
    <t>811 Larry Power Road</t>
  </si>
  <si>
    <t>Bourbonnais, IL 60914-1319</t>
  </si>
  <si>
    <t>815-939-4466</t>
  </si>
  <si>
    <t xml:space="preserve"> 815-939-7630</t>
  </si>
  <si>
    <t>BM - Rob Mazur  OPS - Ben Lundmark</t>
  </si>
  <si>
    <t>2017 Fourth Street</t>
  </si>
  <si>
    <t>Peru, IL 61354</t>
  </si>
  <si>
    <t>815-223-7800</t>
  </si>
  <si>
    <t xml:space="preserve"> 815-223-8367</t>
  </si>
  <si>
    <t>BM - Doug Tattini  OPS - Aimee Rutgens</t>
  </si>
  <si>
    <t>1250 N Michigan Avenue</t>
  </si>
  <si>
    <t>Danville, IL 61832-3560</t>
  </si>
  <si>
    <t>217-442-8800</t>
  </si>
  <si>
    <t xml:space="preserve"> 217-442-1279</t>
  </si>
  <si>
    <t>BM - Doug Gilbert  OPS - Brad Zurlinden</t>
  </si>
  <si>
    <t>5400 West 111th Street</t>
  </si>
  <si>
    <t>Oak Lawn, IL 60453-5011</t>
  </si>
  <si>
    <t>708-422-2727</t>
  </si>
  <si>
    <t xml:space="preserve"> 708-422-6328</t>
  </si>
  <si>
    <t>BM - Paul Kelty  OPS - Char Bates</t>
  </si>
  <si>
    <t>1920 Fifth Avenue</t>
  </si>
  <si>
    <t>Moline, IL 61265-7969</t>
  </si>
  <si>
    <t>309-797-1111</t>
  </si>
  <si>
    <t xml:space="preserve"> 309-797-2397</t>
  </si>
  <si>
    <t>BM - Jeff Brotherton  OPS - Sharon Lindholm</t>
  </si>
  <si>
    <t>312 State Street</t>
  </si>
  <si>
    <t>Quincy, IL 62301-4144</t>
  </si>
  <si>
    <t>217-222-6168</t>
  </si>
  <si>
    <t xml:space="preserve"> 217-222-9301</t>
  </si>
  <si>
    <t>BM - Rexford Thomas  OPS - Tina Willer</t>
  </si>
  <si>
    <t>786 Church Road</t>
  </si>
  <si>
    <t>Elgin, IL 60123-9306</t>
  </si>
  <si>
    <t>847-697-3100</t>
  </si>
  <si>
    <t xml:space="preserve"> 847-697-0908</t>
  </si>
  <si>
    <t>BM - Lance Garman  OPS - Steve Barry</t>
  </si>
  <si>
    <t>41 East Kenyon Road</t>
  </si>
  <si>
    <t>Champaign, IL 61820-0845</t>
  </si>
  <si>
    <t>217-352-8550</t>
  </si>
  <si>
    <t xml:space="preserve"> 217-352-9868</t>
  </si>
  <si>
    <t>BM - Mike Montgomery  OPS - Darla LeCrone</t>
  </si>
  <si>
    <t>1345 Landmeier Road</t>
  </si>
  <si>
    <t>Elk Grove Village, IL 60007-2411</t>
  </si>
  <si>
    <t>847-956-1414</t>
  </si>
  <si>
    <t xml:space="preserve"> 847-981-1939</t>
  </si>
  <si>
    <t>BM - Chris Lidgus  OPS - Mike Nowakowski</t>
  </si>
  <si>
    <t>397A Charles Court</t>
  </si>
  <si>
    <t>West Chicago, IL 60185-2678</t>
  </si>
  <si>
    <t>630-231-4453</t>
  </si>
  <si>
    <t xml:space="preserve"> 630-231-4499</t>
  </si>
  <si>
    <t>BM - Mike Novak  OPS - Mike Gough</t>
  </si>
  <si>
    <t>222 Marquardt Drive</t>
  </si>
  <si>
    <t>Wheeling, IL 60090</t>
  </si>
  <si>
    <t>847-459-7727</t>
  </si>
  <si>
    <t xml:space="preserve"> 847-459-9774</t>
  </si>
  <si>
    <t>BM - Joe Mondschean  OPS - John Biba</t>
  </si>
  <si>
    <t>9926 North Alpine Road</t>
  </si>
  <si>
    <t>Machesney Park, IL 61115-8211</t>
  </si>
  <si>
    <t>815-654-1154</t>
  </si>
  <si>
    <t xml:space="preserve"> 815-654-1219</t>
  </si>
  <si>
    <t>BM - Mark Wiegel  OPS - William Krausfeldt</t>
  </si>
  <si>
    <t>1451 Aucutt Road</t>
  </si>
  <si>
    <t>Montgomery, IL 60538-1184</t>
  </si>
  <si>
    <t>630-897-8652</t>
  </si>
  <si>
    <t xml:space="preserve"> 630-897-0806</t>
  </si>
  <si>
    <t>BM - Ron DeBaun  OPS - Anita Heyde</t>
  </si>
  <si>
    <t>3113 North Main Street</t>
  </si>
  <si>
    <t>East Peoria, IL 61611-1716</t>
  </si>
  <si>
    <t>309-694-6214</t>
  </si>
  <si>
    <t xml:space="preserve"> 309-694-0532</t>
  </si>
  <si>
    <t>BM - Brian Reid  OPS - Mary Edmiston</t>
  </si>
  <si>
    <t>1620 Hubbard Avenue</t>
  </si>
  <si>
    <t>Decatur, IL 62526-2818</t>
  </si>
  <si>
    <t>217-877-3400</t>
  </si>
  <si>
    <t xml:space="preserve"> 217-877-1580</t>
  </si>
  <si>
    <t>BM - Kerry Mitchell  OPS - Sally Harvey</t>
  </si>
  <si>
    <t>3761 Sangamon Avenue</t>
  </si>
  <si>
    <t>Springfield, IL 62707-9728</t>
  </si>
  <si>
    <t>217-523-8337</t>
  </si>
  <si>
    <t xml:space="preserve"> 217-523-8738</t>
  </si>
  <si>
    <t>BM - Lynn Ammons  OPS - Kelly Hoerner</t>
  </si>
  <si>
    <t>2011 Charleston Avenue</t>
  </si>
  <si>
    <t>Mattoon, IL 61938-3833</t>
  </si>
  <si>
    <t>217-235-7151</t>
  </si>
  <si>
    <t xml:space="preserve"> 217-234-2944</t>
  </si>
  <si>
    <t>BM - Jon Croft  OPS - Gary Bright</t>
  </si>
  <si>
    <t>2222 So. 10th Street</t>
  </si>
  <si>
    <t>Mt. Vernon, IL 62864</t>
  </si>
  <si>
    <t>618-241-9500</t>
  </si>
  <si>
    <t xml:space="preserve"> 618-241-9680</t>
  </si>
  <si>
    <t>BM - Joel Olson  OPS - Bradley Little</t>
  </si>
  <si>
    <t>14015 Carole Drive</t>
  </si>
  <si>
    <t>Bloomington, IL 61704</t>
  </si>
  <si>
    <t>309-827-0436</t>
  </si>
  <si>
    <t xml:space="preserve"> 309-827-2149</t>
  </si>
  <si>
    <t>BM - Doug Tattini  OPS - Keith Jeffries</t>
  </si>
  <si>
    <t>3901 South Main Street</t>
  </si>
  <si>
    <t>South Bend, IN 46614-2523</t>
  </si>
  <si>
    <t>574-291-0770</t>
  </si>
  <si>
    <t>574-291-0990</t>
  </si>
  <si>
    <t>BM - Jeff Guyton  OPS - Philip Youst</t>
  </si>
  <si>
    <t>2466 N. State Road 39</t>
  </si>
  <si>
    <t>LaPorte, IN 46350-2062</t>
  </si>
  <si>
    <t>219-362-8526</t>
  </si>
  <si>
    <t xml:space="preserve"> 219-324-5372</t>
  </si>
  <si>
    <t>BM - Victor Garrison  OPS - Brian Wielogorski</t>
  </si>
  <si>
    <t>1425 Danville Avenue</t>
  </si>
  <si>
    <t>Crawfordsville, IN 47933-3617</t>
  </si>
  <si>
    <t>765-362-7227</t>
  </si>
  <si>
    <t xml:space="preserve"> 765-364-9117</t>
  </si>
  <si>
    <t>BM - Paul Powell  OPS - Patricia Rice</t>
  </si>
  <si>
    <t>2154 Production Road</t>
  </si>
  <si>
    <t>Kendallville, IN 46755-1026</t>
  </si>
  <si>
    <t>260-347-4135</t>
  </si>
  <si>
    <t>260-347-5799</t>
  </si>
  <si>
    <t>BM - Alan Kepler  OPS - Jeff Zody</t>
  </si>
  <si>
    <t>129 Enterprise Drive</t>
  </si>
  <si>
    <t>Warsaw, IN 46580</t>
  </si>
  <si>
    <t>574-268-0181</t>
  </si>
  <si>
    <t>574-268-2081</t>
  </si>
  <si>
    <t>BM - Brenda Horvath  OPS - Tony Sell</t>
  </si>
  <si>
    <t>30 Creasy Court</t>
  </si>
  <si>
    <t>Lafayette, IN 47905-4962</t>
  </si>
  <si>
    <t>765-448-6600</t>
  </si>
  <si>
    <t xml:space="preserve"> 765-448-6758</t>
  </si>
  <si>
    <t>BM - Darlene Ball  OPS - Bob Essl</t>
  </si>
  <si>
    <t>3620 Calumet Avenue</t>
  </si>
  <si>
    <t>(North) Hammond, IN 46320-1125</t>
  </si>
  <si>
    <t>219-931-3010</t>
  </si>
  <si>
    <t xml:space="preserve"> 219-931-5223</t>
  </si>
  <si>
    <t>BM - Mervyn Barenie  OPS - Lou Ann Kessler</t>
  </si>
  <si>
    <t>7401 East Melton Road</t>
  </si>
  <si>
    <t>Gary, IN 46403-3198</t>
  </si>
  <si>
    <t>219-938-9200</t>
  </si>
  <si>
    <t xml:space="preserve"> 219-938-9216</t>
  </si>
  <si>
    <t>BM - Rex Cunningham  OPS - Kevin Kowalke</t>
  </si>
  <si>
    <t>4410 Airport Expressway</t>
  </si>
  <si>
    <t>Indianapolis, IN 46241</t>
  </si>
  <si>
    <t>317-248-2100</t>
  </si>
  <si>
    <t>317-248-2115</t>
  </si>
  <si>
    <t>BM - Bob Schriner  OPS - Jim Hering</t>
  </si>
  <si>
    <t>247 Gladstone South</t>
  </si>
  <si>
    <t>Columbus, IN 47201</t>
  </si>
  <si>
    <t>812-379-2329</t>
  </si>
  <si>
    <t xml:space="preserve"> 812-376-6762</t>
  </si>
  <si>
    <t>BM - Larry Gutzwiller  OPS - Carrie Schoonover</t>
  </si>
  <si>
    <t>3333 East Washington Blvd</t>
  </si>
  <si>
    <t>Fort Wayne, IN 46803</t>
  </si>
  <si>
    <t>260-422-6451</t>
  </si>
  <si>
    <t>260-424-3825</t>
  </si>
  <si>
    <t>BM - Mark Powe  OPS - Mary Reyling</t>
  </si>
  <si>
    <t>1619 Rank Parkway Court</t>
  </si>
  <si>
    <t>765-457-5368</t>
  </si>
  <si>
    <t xml:space="preserve"> 765-452-6240</t>
  </si>
  <si>
    <t>BM - Lynn Demille  OPS - Ed Daniels</t>
  </si>
  <si>
    <t>3550 South Hoyt Avenue</t>
  </si>
  <si>
    <t>Muncie, IN 47302</t>
  </si>
  <si>
    <t>765-288-4474</t>
  </si>
  <si>
    <t xml:space="preserve"> 765-288-4480</t>
  </si>
  <si>
    <t>1325 Rich Road</t>
  </si>
  <si>
    <t>Richmond, IN 47374</t>
  </si>
  <si>
    <t>765-966-3528</t>
  </si>
  <si>
    <t xml:space="preserve"> 765-966-4027</t>
  </si>
  <si>
    <t>BM - Dan Davis  OPS - Mark Robbins</t>
  </si>
  <si>
    <t>3000 North Shun Pike</t>
  </si>
  <si>
    <t>Madison, IN 47250</t>
  </si>
  <si>
    <t>812-273-1870</t>
  </si>
  <si>
    <t xml:space="preserve"> 812-273-3099</t>
  </si>
  <si>
    <t>BM - David Schroeder  OPS - Jeremy Hendrix</t>
  </si>
  <si>
    <t>2820 S. State Road 63</t>
  </si>
  <si>
    <t>Terre Haute, IN 47802</t>
  </si>
  <si>
    <t>812-232-8344</t>
  </si>
  <si>
    <t xml:space="preserve"> 812-232-1049</t>
  </si>
  <si>
    <t>BM -   OPS - Jeff Goodman</t>
  </si>
  <si>
    <t>1200 N. Willow Rd., Suite 102</t>
  </si>
  <si>
    <t>Evansville, IN 47711</t>
  </si>
  <si>
    <t>812-423-7701</t>
  </si>
  <si>
    <t xml:space="preserve"> 812-423-3372</t>
  </si>
  <si>
    <t>BM - Steven Kostbade  OPS - Chuck Coomes</t>
  </si>
  <si>
    <t>4709 Wyland Drive</t>
  </si>
  <si>
    <t>Elkhart, IN 46516-9507</t>
  </si>
  <si>
    <t>574-293-4343</t>
  </si>
  <si>
    <t>574-294-2839</t>
  </si>
  <si>
    <t>BM - Larry Guyton  OPS - Dennis Graham</t>
  </si>
  <si>
    <t>1880 S. Florence Court</t>
  </si>
  <si>
    <t>Wichita, KS 67209</t>
  </si>
  <si>
    <t>316-942-6700</t>
  </si>
  <si>
    <t xml:space="preserve">  316-942-1001</t>
  </si>
  <si>
    <t>BM - Larry Neufeld  OPS - Larry Miller</t>
  </si>
  <si>
    <t>510 East Schilling Road</t>
  </si>
  <si>
    <t>Salina, KS 67401</t>
  </si>
  <si>
    <t>785-826-9970</t>
  </si>
  <si>
    <t xml:space="preserve">  785-826-9975</t>
  </si>
  <si>
    <t>BM - John Walters  OPS - Gary Neufeld</t>
  </si>
  <si>
    <t>1304 Rath Avenue</t>
  </si>
  <si>
    <t>Dodge City, KS 67801</t>
  </si>
  <si>
    <t>620-227-6080</t>
  </si>
  <si>
    <t>620-227-6404</t>
  </si>
  <si>
    <t>BM - Noel Carter  OPS - Thomas Martinez</t>
  </si>
  <si>
    <t>116 S.E. Monroe</t>
  </si>
  <si>
    <t>Topeka, KS 66603</t>
  </si>
  <si>
    <t>785-233-6500</t>
  </si>
  <si>
    <t>785-233-4900</t>
  </si>
  <si>
    <t xml:space="preserve">BM - Don Baird  OPS - </t>
  </si>
  <si>
    <t>1680 - 192 Bypass</t>
  </si>
  <si>
    <t>London, KY 40741</t>
  </si>
  <si>
    <t>606-878-6312</t>
  </si>
  <si>
    <t xml:space="preserve"> 606-864-4534</t>
  </si>
  <si>
    <t>BM - Bryan Bright  OPS - Krista Johnson</t>
  </si>
  <si>
    <t>2900 Powell Street</t>
  </si>
  <si>
    <t>Paducah, KY 42003</t>
  </si>
  <si>
    <t>270-443-6291</t>
  </si>
  <si>
    <t xml:space="preserve">  270-442-3644</t>
  </si>
  <si>
    <t>BM - Woody Marshall  OPS - Daniel Moore</t>
  </si>
  <si>
    <t>331 Vanderbilt Drive</t>
  </si>
  <si>
    <t>Bowling Green, KY 42104</t>
  </si>
  <si>
    <t>270-842-6195</t>
  </si>
  <si>
    <t xml:space="preserve"> 270-842-4839</t>
  </si>
  <si>
    <t>BM - Wayne Cornett  OPS - Mark Jenkins</t>
  </si>
  <si>
    <t>1234 East Second Street</t>
  </si>
  <si>
    <t>Owensboro, KY 42303</t>
  </si>
  <si>
    <t>270-926-0330</t>
  </si>
  <si>
    <t xml:space="preserve"> 270-926-3077</t>
  </si>
  <si>
    <t>BM - Joseph Boling  OPS - Melissa Payne</t>
  </si>
  <si>
    <t>550 Fielding Drive</t>
  </si>
  <si>
    <t>Versailles, KY 40383</t>
  </si>
  <si>
    <t>859-873-7212</t>
  </si>
  <si>
    <t xml:space="preserve"> 859-873-7256</t>
  </si>
  <si>
    <t>BM - Jeff Koch  OPS - Denise Grammer</t>
  </si>
  <si>
    <t>3324 Gilmore Industrial Blvd</t>
  </si>
  <si>
    <t>Louisville, KY 40213</t>
  </si>
  <si>
    <t>502-964-4804</t>
  </si>
  <si>
    <t xml:space="preserve"> 502-966-8426</t>
  </si>
  <si>
    <t>BM - Mike Rolfes  OPS - Jerry Ballinger</t>
  </si>
  <si>
    <t>7280 W. Bert Kouns Industrial Loop</t>
  </si>
  <si>
    <t>Shreveport, LA 71129</t>
  </si>
  <si>
    <t>318-687-2110</t>
  </si>
  <si>
    <t xml:space="preserve"> 318-686-6907</t>
  </si>
  <si>
    <t>BM - Tom Hill  OPS - Ken Mangham</t>
  </si>
  <si>
    <t>421 Industrial Parkway</t>
  </si>
  <si>
    <t>337-234-2408</t>
  </si>
  <si>
    <t>BM - Harold Boudreaux  OPS - Sheila Roy</t>
  </si>
  <si>
    <t>70161-D Highway 59</t>
  </si>
  <si>
    <t>Abita Springs, LA 70420</t>
  </si>
  <si>
    <t>985-871-8000</t>
  </si>
  <si>
    <t>985-871-0988</t>
  </si>
  <si>
    <t>BM - Mike Miller  OPS - Steven Marco</t>
  </si>
  <si>
    <t>401 W. St. Peter Street</t>
  </si>
  <si>
    <t>337-364-2431</t>
  </si>
  <si>
    <t>337-365-0548</t>
  </si>
  <si>
    <t xml:space="preserve">BM - Andrew Gerard  OPS - </t>
  </si>
  <si>
    <t>1020 MacArthur Ave.</t>
  </si>
  <si>
    <t>Harvey, LA 70058</t>
  </si>
  <si>
    <t>504-818-046</t>
  </si>
  <si>
    <t>504-818-1763</t>
  </si>
  <si>
    <t xml:space="preserve">BM - Troy Miller  OPS - </t>
  </si>
  <si>
    <t>205 Monroe Street</t>
  </si>
  <si>
    <t>Lafayette, LA 70505</t>
  </si>
  <si>
    <t>337-235-7545</t>
  </si>
  <si>
    <t>337-234-4440</t>
  </si>
  <si>
    <t xml:space="preserve">BM - John Fage  OPS - </t>
  </si>
  <si>
    <t>7746 S. Commerce Ave.</t>
  </si>
  <si>
    <t>Baton Rouge, LA 70815</t>
  </si>
  <si>
    <t>225-356-5211</t>
  </si>
  <si>
    <t>225-358-0371</t>
  </si>
  <si>
    <t xml:space="preserve">BM - Jeff Reed  OPS - </t>
  </si>
  <si>
    <t>4715 Curtis Lane</t>
  </si>
  <si>
    <t>337-365-7211</t>
  </si>
  <si>
    <t>337-367-1734</t>
  </si>
  <si>
    <t xml:space="preserve">BM - Barry Commeaux  OPS - </t>
  </si>
  <si>
    <t>5837 Highway 311</t>
  </si>
  <si>
    <t>Houma, LA 70360</t>
  </si>
  <si>
    <t>985-868-4554</t>
  </si>
  <si>
    <t>985-868-0070</t>
  </si>
  <si>
    <t xml:space="preserve">BM - Wayne Blanchard  OPS - </t>
  </si>
  <si>
    <t>902 North John M. Hardy Dr.</t>
  </si>
  <si>
    <t>Abbeville, LA 70510</t>
  </si>
  <si>
    <t>337-898-0315</t>
  </si>
  <si>
    <t>337-893-9192</t>
  </si>
  <si>
    <t xml:space="preserve">BM - Troy Tullier  OPS - </t>
  </si>
  <si>
    <t>109 N. Cities Service Hwy.</t>
  </si>
  <si>
    <t>Sulphur, LA 70663</t>
  </si>
  <si>
    <t>337-625-0186</t>
  </si>
  <si>
    <t>337-625-1419</t>
  </si>
  <si>
    <t xml:space="preserve">BM - Ted Holstine  OPS - </t>
  </si>
  <si>
    <t>2317 Hwy. 662 South</t>
  </si>
  <si>
    <t>Amelia, LA 70340</t>
  </si>
  <si>
    <t>985-631-3609</t>
  </si>
  <si>
    <t>985-631-2592</t>
  </si>
  <si>
    <t xml:space="preserve">BM - Shanna Malone  OPS - </t>
  </si>
  <si>
    <t>7320 Julia Francis Dr.</t>
  </si>
  <si>
    <t>318-688-0033</t>
  </si>
  <si>
    <t>BM - Tom Hill  OPS - Bonnie Irion</t>
  </si>
  <si>
    <t>5625 Salmen Street</t>
  </si>
  <si>
    <t>New Orleans, LA 70123</t>
  </si>
  <si>
    <t>504-733-5400</t>
  </si>
  <si>
    <t xml:space="preserve"> 504-736-0227</t>
  </si>
  <si>
    <t>BM - Jimmy Simmons  OPS - Janet Dephillips</t>
  </si>
  <si>
    <t>2516 Weller Avenue</t>
  </si>
  <si>
    <t>Baton Rouge, LA 70805</t>
  </si>
  <si>
    <t>225-356-6131</t>
  </si>
  <si>
    <t xml:space="preserve"> 225-355-5973</t>
  </si>
  <si>
    <t>BM - Mike Bagwell  OPS - Richard Kendrick</t>
  </si>
  <si>
    <t>105 Enterprise Street</t>
  </si>
  <si>
    <t>318-387-6875</t>
  </si>
  <si>
    <t xml:space="preserve"> 318-388-2232</t>
  </si>
  <si>
    <t>BM - Blake Mashaw  OPS - Jackie Wilson</t>
  </si>
  <si>
    <t>8125 Hwy 90 East</t>
  </si>
  <si>
    <t>Morgan City, LA 70380</t>
  </si>
  <si>
    <t>985-384-9031</t>
  </si>
  <si>
    <t>985-384-9094</t>
  </si>
  <si>
    <t>BM - Harold Boudreaux  OPS - Steve Patureau</t>
  </si>
  <si>
    <t>1144 McArthur Avenue</t>
  </si>
  <si>
    <t>504-340-2271</t>
  </si>
  <si>
    <t xml:space="preserve"> 504-340-4944</t>
  </si>
  <si>
    <t>BM - Mack Roberts  OPS - Donald Gaudin</t>
  </si>
  <si>
    <t>906 West Orice Roth</t>
  </si>
  <si>
    <t>Gonzales, LA 70737</t>
  </si>
  <si>
    <t>225-644-6568</t>
  </si>
  <si>
    <t xml:space="preserve"> 225-647-7848</t>
  </si>
  <si>
    <t>BM - James Shaw  OPS - Randy Lambert</t>
  </si>
  <si>
    <t>804 P.P.G Bldg. E-1</t>
  </si>
  <si>
    <t>Westlake, LA 70669</t>
  </si>
  <si>
    <t>337-882-6004</t>
  </si>
  <si>
    <t xml:space="preserve"> 337-882-6049</t>
  </si>
  <si>
    <t>BM - David Berry  OPS - Randall Davis</t>
  </si>
  <si>
    <t>17 Parkridge Road</t>
  </si>
  <si>
    <t>Haverhill, MA 01835</t>
  </si>
  <si>
    <t>978-373-4420</t>
  </si>
  <si>
    <t xml:space="preserve"> 978-521-1983</t>
  </si>
  <si>
    <t>BM - Robert Solomon  OPS - Eric Hankus</t>
  </si>
  <si>
    <t>34 Saint Martin Dr.</t>
  </si>
  <si>
    <t>Marlborough, MA 01752</t>
  </si>
  <si>
    <t>508-229-2688</t>
  </si>
  <si>
    <t xml:space="preserve"> 508-229-2940</t>
  </si>
  <si>
    <t xml:space="preserve">BM - John Sutherland  OPS - </t>
  </si>
  <si>
    <t>44 Third Avenue</t>
  </si>
  <si>
    <t>Somerville, MA 02143-4430</t>
  </si>
  <si>
    <t>617-666-3850</t>
  </si>
  <si>
    <t xml:space="preserve"> 617-776-3908</t>
  </si>
  <si>
    <t>BM - Charles Ciccarello  OPS - Gail Atkins</t>
  </si>
  <si>
    <t>1411 Unit 1 Richmond Avenue East</t>
  </si>
  <si>
    <t>Brandon, Manitoba R7A 7A3</t>
  </si>
  <si>
    <t>204-725-1419</t>
  </si>
  <si>
    <t>204-726-0027</t>
  </si>
  <si>
    <t>BM - Herb Parsons  OPS - Anna Gordon</t>
  </si>
  <si>
    <t>1643 Dublin Avenue</t>
  </si>
  <si>
    <t>Winnipeg, Manitoba R3H 0G9</t>
  </si>
  <si>
    <t>204-694-0050</t>
  </si>
  <si>
    <t>204-694-1066</t>
  </si>
  <si>
    <t>BM - Herb Parsons  OPS - Terry Schofield</t>
  </si>
  <si>
    <t>9156 Ocean Highway</t>
  </si>
  <si>
    <t>Salisbury, MD 21875</t>
  </si>
  <si>
    <t>410-749-2106</t>
  </si>
  <si>
    <t xml:space="preserve"> 410-896-2990</t>
  </si>
  <si>
    <t>BM - Kelly Larger  OPS - Mickey Carey</t>
  </si>
  <si>
    <t>8415-250 Kelso Drive</t>
  </si>
  <si>
    <t>Baltimore, MD 21221</t>
  </si>
  <si>
    <t>410-687-2700</t>
  </si>
  <si>
    <t xml:space="preserve"> 410-687-5147</t>
  </si>
  <si>
    <t>BM - Steve McAnally  OPS - Katherine Shea</t>
  </si>
  <si>
    <t>17 Hamill Ave.</t>
  </si>
  <si>
    <t>Bloomington, MD 21523</t>
  </si>
  <si>
    <t>301-786-7209</t>
  </si>
  <si>
    <t xml:space="preserve"> 301-786-7214</t>
  </si>
  <si>
    <t>BM - Bill Freeman  OPS - Corey Holloway</t>
  </si>
  <si>
    <t>190 Rand Road</t>
  </si>
  <si>
    <t>Portland, ME 04102</t>
  </si>
  <si>
    <t>207-828-4727</t>
  </si>
  <si>
    <t xml:space="preserve"> 207-828-4728</t>
  </si>
  <si>
    <t>BM - Jay Bradford  OPS - Rob Bunton</t>
  </si>
  <si>
    <t>16 Buck Street</t>
  </si>
  <si>
    <t>Mapleton, ME 04757</t>
  </si>
  <si>
    <t>207-764-7270</t>
  </si>
  <si>
    <t xml:space="preserve"> 207-764-7699</t>
  </si>
  <si>
    <t>BM - John Ryder  OPS - Martin Cushing</t>
  </si>
  <si>
    <t>216 Perry Road</t>
  </si>
  <si>
    <t>Bangor, ME 04401</t>
  </si>
  <si>
    <t>207-942-5571</t>
  </si>
  <si>
    <t xml:space="preserve"> 207-942-4738</t>
  </si>
  <si>
    <t>BM - John Ryder  OPS - Steven Edgecomb</t>
  </si>
  <si>
    <t>c/o SD Warren, Somerset Plant, Route 201</t>
  </si>
  <si>
    <t>Hinckley, ME 04944</t>
  </si>
  <si>
    <t>207-238-3102</t>
  </si>
  <si>
    <t>207-238-7604</t>
  </si>
  <si>
    <t>BM - John Ryder  OPS - Steve Edgecomb</t>
  </si>
  <si>
    <t>21 Industrial Park Road</t>
  </si>
  <si>
    <t>Rumford, ME 04276</t>
  </si>
  <si>
    <t>207-364-7933</t>
  </si>
  <si>
    <t xml:space="preserve"> 207-364-7790</t>
  </si>
  <si>
    <t>BM - John Ryder  OPS - Dan Mercier</t>
  </si>
  <si>
    <t>25600 Dequindre</t>
  </si>
  <si>
    <t>Warren, MI 48091</t>
  </si>
  <si>
    <t>586-758-1420</t>
  </si>
  <si>
    <t>586-758-3319</t>
  </si>
  <si>
    <t>BM - David Dillon  OPS - Frank Hranec</t>
  </si>
  <si>
    <t>2450 S. M139</t>
  </si>
  <si>
    <t>Benton Harbor, MI 49022</t>
  </si>
  <si>
    <t>269-926-7216</t>
  </si>
  <si>
    <t>269-926-1888</t>
  </si>
  <si>
    <t xml:space="preserve">BM - Jeff Guyton  OPS - </t>
  </si>
  <si>
    <t>6576 Diplomat Drive</t>
  </si>
  <si>
    <t>Sterling Heights, MI 48314</t>
  </si>
  <si>
    <t>586-726-6262</t>
  </si>
  <si>
    <t>586-726-6867</t>
  </si>
  <si>
    <t>BM - Terry Murphy  OPS - Kim Marie Curtice</t>
  </si>
  <si>
    <t>3321 East Cork Street</t>
  </si>
  <si>
    <t>Kalamazoo, MI 49001</t>
  </si>
  <si>
    <t>269-381-1540</t>
  </si>
  <si>
    <t>269-381-7190</t>
  </si>
  <si>
    <t>BM - Mike Loehr  OPS - Marcia Schalau</t>
  </si>
  <si>
    <t>3421 South Creyts Road</t>
  </si>
  <si>
    <t>Lansing, MI 48917</t>
  </si>
  <si>
    <t>517-322-0540</t>
  </si>
  <si>
    <t xml:space="preserve"> 517-322-0369</t>
  </si>
  <si>
    <t>BM - Bill Sayer  OPS - Al Hopkins</t>
  </si>
  <si>
    <t>3345 East Washington</t>
  </si>
  <si>
    <t>Saginaw, MI 48601</t>
  </si>
  <si>
    <t>989-771-2270</t>
  </si>
  <si>
    <t xml:space="preserve"> 989-771-1091</t>
  </si>
  <si>
    <t>BM - Chuck Mort  OPS - Tracy Garcia</t>
  </si>
  <si>
    <t>33801 Schoolcraft Road</t>
  </si>
  <si>
    <t>Livonia, MI 48150</t>
  </si>
  <si>
    <t>734-261-4920</t>
  </si>
  <si>
    <t xml:space="preserve"> 734-261-2332</t>
  </si>
  <si>
    <t>BM - Richard Dykema  OPS - Lauri Bowman</t>
  </si>
  <si>
    <t>1240 US Highway 23 N</t>
  </si>
  <si>
    <t>Alpena, MI 49707</t>
  </si>
  <si>
    <t>989-354-3161</t>
  </si>
  <si>
    <t>989-354-3440</t>
  </si>
  <si>
    <t>BM - Mike McCarthy  OPS - Bill Diem</t>
  </si>
  <si>
    <t>2332 East High Street</t>
  </si>
  <si>
    <t>Jackson, MI 49203</t>
  </si>
  <si>
    <t>517-788-6700</t>
  </si>
  <si>
    <t xml:space="preserve"> 517-788-6166</t>
  </si>
  <si>
    <t>BM - Bill Sayer  OPS - Joe Gingras</t>
  </si>
  <si>
    <t>1805 Brinston Dr., Dock A</t>
  </si>
  <si>
    <t>Troy, MI 48083</t>
  </si>
  <si>
    <t>248-680-4777</t>
  </si>
  <si>
    <t xml:space="preserve"> 248-680-0075</t>
  </si>
  <si>
    <t>BM - Gary Okonski  OPS - Heather Ather</t>
  </si>
  <si>
    <t>1814 North Lincoln Road</t>
  </si>
  <si>
    <t>Escanaba, MI 49829-2502</t>
  </si>
  <si>
    <t>906-786-8110</t>
  </si>
  <si>
    <t xml:space="preserve"> 906-786-1726</t>
  </si>
  <si>
    <t>BM - Mark Young  OPS - Jill Hurkman</t>
  </si>
  <si>
    <t>821 East Blvd.</t>
  </si>
  <si>
    <t>Kingsford, MI 49802-2250</t>
  </si>
  <si>
    <t>906-774-1100</t>
  </si>
  <si>
    <t>906-774-1706</t>
  </si>
  <si>
    <t>BM -   OPS - James Witkowski</t>
  </si>
  <si>
    <t>12717 Prospect</t>
  </si>
  <si>
    <t>Dearborn, MI 48126</t>
  </si>
  <si>
    <t>313-581-5540</t>
  </si>
  <si>
    <t xml:space="preserve"> 313-581-6094</t>
  </si>
  <si>
    <t>BM - Chuck Stemple  OPS - Kimberly Downing</t>
  </si>
  <si>
    <t>2570 Walker NW</t>
  </si>
  <si>
    <t>Grand Rapids, MI 49544</t>
  </si>
  <si>
    <t>616-791-9770</t>
  </si>
  <si>
    <t xml:space="preserve"> 616-791-9796</t>
  </si>
  <si>
    <t>BM - Dave Kennedy  OPS - Jill Gross</t>
  </si>
  <si>
    <t>5140 Progress Dr.</t>
  </si>
  <si>
    <t>Ludington, MI 49431</t>
  </si>
  <si>
    <t>231-845-6256</t>
  </si>
  <si>
    <t xml:space="preserve"> 231-843-9671</t>
  </si>
  <si>
    <t>BM - Ed Merriman  OPS - Jay Achter</t>
  </si>
  <si>
    <t>2815 Cass Road, Suite D2</t>
  </si>
  <si>
    <t>Traverse City, MI 49684</t>
  </si>
  <si>
    <t>231-929-0074</t>
  </si>
  <si>
    <t xml:space="preserve"> 231-929-0078</t>
  </si>
  <si>
    <t>800 Greenwood Street</t>
  </si>
  <si>
    <t>Ishpeming, MI 49849</t>
  </si>
  <si>
    <t>906-485-5555</t>
  </si>
  <si>
    <t xml:space="preserve"> 906-485-4380</t>
  </si>
  <si>
    <t>BM - Ken Schon  OPS - Kim McCall</t>
  </si>
  <si>
    <t>425 North 7th Street</t>
  </si>
  <si>
    <t>Marshall, MN 56258</t>
  </si>
  <si>
    <t>507-532-0198</t>
  </si>
  <si>
    <t xml:space="preserve"> 507-532-0398</t>
  </si>
  <si>
    <t xml:space="preserve">BM - Jay Meier  OPS - </t>
  </si>
  <si>
    <t>3009 West Superior</t>
  </si>
  <si>
    <t>Duluth, MN 55806-1749</t>
  </si>
  <si>
    <t>218-628-2825</t>
  </si>
  <si>
    <t xml:space="preserve"> 218-624-5355</t>
  </si>
  <si>
    <t>BM - Scott Hildreth  OPS - Christina Lewis</t>
  </si>
  <si>
    <t>8405 Enterprise Drive North</t>
  </si>
  <si>
    <t>Mountain Iron, MN 55768-0416</t>
  </si>
  <si>
    <t>218-749-8663</t>
  </si>
  <si>
    <t xml:space="preserve"> 218-749-1531</t>
  </si>
  <si>
    <t>BM - Scott Hildreth  OPS - Daran Lutz</t>
  </si>
  <si>
    <t>2580 North Cleveland Avenue</t>
  </si>
  <si>
    <t>St. Paul, MN 55113-3601</t>
  </si>
  <si>
    <t>651-631-2430</t>
  </si>
  <si>
    <t xml:space="preserve">  651-631-0544</t>
  </si>
  <si>
    <t>BM - Troy Magnin  OPS - John Graham</t>
  </si>
  <si>
    <t>1004 Belle Avenue</t>
  </si>
  <si>
    <t>Mankato, MN 56001-5411</t>
  </si>
  <si>
    <t>507-345-7856</t>
  </si>
  <si>
    <t xml:space="preserve"> 507-345-5376</t>
  </si>
  <si>
    <t>BM - Michael Raymo  OPS - Mike Ganske</t>
  </si>
  <si>
    <t>3050 Third Street South</t>
  </si>
  <si>
    <t>Waite Park, MN 56387-2010</t>
  </si>
  <si>
    <t>320-656-1111</t>
  </si>
  <si>
    <t xml:space="preserve">  320-656-1112</t>
  </si>
  <si>
    <t>BM -   OPS - Mark Campbell</t>
  </si>
  <si>
    <t>7161 Shady Oak Road</t>
  </si>
  <si>
    <t>Eden Prairie, MN 55344-3516</t>
  </si>
  <si>
    <t>952-828-0800</t>
  </si>
  <si>
    <t xml:space="preserve"> 952-828-0830</t>
  </si>
  <si>
    <t>BM - Tom Kealy  OPS - Dennis Jacobs</t>
  </si>
  <si>
    <t>240-A South Union</t>
  </si>
  <si>
    <t>417-862-5300</t>
  </si>
  <si>
    <t xml:space="preserve">  417-862-9495</t>
  </si>
  <si>
    <t>BM - Dale Tennis  OPS - Lee Wilhelm</t>
  </si>
  <si>
    <t>4109 Waco Road, Ste. B</t>
  </si>
  <si>
    <t>Columbia, MO 65202</t>
  </si>
  <si>
    <t>573-814-0654</t>
  </si>
  <si>
    <t>573-814-0657</t>
  </si>
  <si>
    <t>BM - Austin Amos  OPS - Timothy Conklin</t>
  </si>
  <si>
    <t>3730 East 20th Street</t>
  </si>
  <si>
    <t>Joplin, MO 64801</t>
  </si>
  <si>
    <t>417-781-0010</t>
  </si>
  <si>
    <t xml:space="preserve"> 417-781-8803</t>
  </si>
  <si>
    <t>BM - Greg Postle  OPS - Don Vanhooser</t>
  </si>
  <si>
    <t>13724 Shoreline Court E</t>
  </si>
  <si>
    <t>St. Louis, MO Earth City 63045-1214</t>
  </si>
  <si>
    <t>314-770-2600</t>
  </si>
  <si>
    <t xml:space="preserve"> 314-770-2272</t>
  </si>
  <si>
    <t>BM - Austin Amos  OPS - Tim Conklin</t>
  </si>
  <si>
    <t>628 NW Platte Valley Drive</t>
  </si>
  <si>
    <t>Kansas City, MO 64150</t>
  </si>
  <si>
    <t>816-587-8844</t>
  </si>
  <si>
    <t xml:space="preserve"> 816-587-3377</t>
  </si>
  <si>
    <t>BM - Don Baird  OPS - Kim Romo</t>
  </si>
  <si>
    <t>2209 West Main Street</t>
  </si>
  <si>
    <t>Sedalia, MO 65301</t>
  </si>
  <si>
    <t>660-826-5661</t>
  </si>
  <si>
    <t xml:space="preserve"> 660-827-7080</t>
  </si>
  <si>
    <t>BM - Dale Tennis  OPS - Michael Darrah</t>
  </si>
  <si>
    <t>510-B Highway 80 West</t>
  </si>
  <si>
    <t>Jackson, MS 39204</t>
  </si>
  <si>
    <t>601-373-3383</t>
  </si>
  <si>
    <t xml:space="preserve"> 601-372-2805</t>
  </si>
  <si>
    <t>BM - Ron Terry  OPS - Joe Sanford</t>
  </si>
  <si>
    <t>6430 Shortcut Road</t>
  </si>
  <si>
    <t>Moss Point, MS 39563</t>
  </si>
  <si>
    <t>228-762-8942</t>
  </si>
  <si>
    <t xml:space="preserve"> 228-762-3711</t>
  </si>
  <si>
    <t>BM - Rob Brasher  OPS - Linda McLain</t>
  </si>
  <si>
    <t>285 Yorkville Road</t>
  </si>
  <si>
    <t>Columbus, MS 39702</t>
  </si>
  <si>
    <t>662-328-8041</t>
  </si>
  <si>
    <t xml:space="preserve"> 662-329-4084</t>
  </si>
  <si>
    <t>BM - Tom Laird  OPS - Tim Oglesby</t>
  </si>
  <si>
    <t>2025 Meridian Avenue</t>
  </si>
  <si>
    <t>Laurel, MS 39440</t>
  </si>
  <si>
    <t>601-649-1321</t>
  </si>
  <si>
    <t xml:space="preserve"> 601-426-2929</t>
  </si>
  <si>
    <t>BM - Barry Hucks  OPS - Michelle Manning</t>
  </si>
  <si>
    <t>5124 Arundel Road</t>
  </si>
  <si>
    <t>Meridian, MS 39301</t>
  </si>
  <si>
    <t>601-482-0433</t>
  </si>
  <si>
    <t xml:space="preserve"> 601-693-4920</t>
  </si>
  <si>
    <t>BM - Barry Hucks  OPS - Greg Wooten</t>
  </si>
  <si>
    <t>60 Grady Road</t>
  </si>
  <si>
    <t>Grenada, MS 38901</t>
  </si>
  <si>
    <t>662-226-6800</t>
  </si>
  <si>
    <t xml:space="preserve"> 662-226-0060</t>
  </si>
  <si>
    <t>BM - Keith Johnson  OPS - Brad McDonald</t>
  </si>
  <si>
    <t>2211 Cliff Gookin Blvd</t>
  </si>
  <si>
    <t>Tupelo, MS 38801</t>
  </si>
  <si>
    <t>662-844-2119</t>
  </si>
  <si>
    <t xml:space="preserve"> 662-842-6029</t>
  </si>
  <si>
    <t>BM - Tom Laird  OPS - Joseph Rodgers</t>
  </si>
  <si>
    <t>1123 Second Avenue North</t>
  </si>
  <si>
    <t>Billings, MT 59101-2617</t>
  </si>
  <si>
    <t>406-252-6641</t>
  </si>
  <si>
    <t xml:space="preserve"> 406-252-8366</t>
  </si>
  <si>
    <t>BM - Jeff Jones  OPS - Dave Rawden</t>
  </si>
  <si>
    <t>138 Main Street</t>
  </si>
  <si>
    <t>Hartland, New Brunswick E7P 2M5</t>
  </si>
  <si>
    <t>506-375-4441</t>
  </si>
  <si>
    <t>506-375-6879</t>
  </si>
  <si>
    <t>BM - Murray MacDonald  OPS - Philip Dowie</t>
  </si>
  <si>
    <t>790 A, Canada Road</t>
  </si>
  <si>
    <t>Edmundston, New Brunswick E3V 1W4</t>
  </si>
  <si>
    <t>506-735-8443</t>
  </si>
  <si>
    <t>506-739-6962</t>
  </si>
  <si>
    <t>BM - John Roy  OPS - Danielle Cote</t>
  </si>
  <si>
    <t>270 Baig Blvd., Unit A-3</t>
  </si>
  <si>
    <t>Moncton, New Brunswick E1E 1C8</t>
  </si>
  <si>
    <t>506-859-4345</t>
  </si>
  <si>
    <t>506-859-4395</t>
  </si>
  <si>
    <t xml:space="preserve">BM - Murray MacDonald  OPS - </t>
  </si>
  <si>
    <t>2012 Garner Station Blvd.</t>
  </si>
  <si>
    <t>Raleigh, NC 27603</t>
  </si>
  <si>
    <t>919-779-7400</t>
  </si>
  <si>
    <t xml:space="preserve"> 919-779-0838</t>
  </si>
  <si>
    <t>BM - Allan Cotten  OPS - Jeannette Richardson</t>
  </si>
  <si>
    <t>11517-I Cordage Street</t>
  </si>
  <si>
    <t>704-588-4100</t>
  </si>
  <si>
    <t xml:space="preserve"> 704-588-9119</t>
  </si>
  <si>
    <t>BM - Gerry Guiff  OPS - Charles Sapp</t>
  </si>
  <si>
    <t>102D Staton Court</t>
  </si>
  <si>
    <t>Greenville, NC 27834</t>
  </si>
  <si>
    <t>252-752-6400</t>
  </si>
  <si>
    <t xml:space="preserve"> 252-752-7740</t>
  </si>
  <si>
    <t>BM - Jon Tart  OPS - Troy Ange</t>
  </si>
  <si>
    <t>1903 Godwin Avenue</t>
  </si>
  <si>
    <t>Lumberton, NC 28358</t>
  </si>
  <si>
    <t>910-738-4221</t>
  </si>
  <si>
    <t xml:space="preserve"> 910-738-1627</t>
  </si>
  <si>
    <t>BM - Blanchard Heglar  OPS - Curtis Peeples</t>
  </si>
  <si>
    <t>1249 Sheilds Rd.</t>
  </si>
  <si>
    <t>Kernersville, NC 27284</t>
  </si>
  <si>
    <t>336-993-2974</t>
  </si>
  <si>
    <t xml:space="preserve"> 336-996-1796</t>
  </si>
  <si>
    <t>BM - John Cain  OPS - Craig Faucette</t>
  </si>
  <si>
    <t>3865 Sweeten Creek Road</t>
  </si>
  <si>
    <t>Arden, NC 28704</t>
  </si>
  <si>
    <t>828-684-3180</t>
  </si>
  <si>
    <t xml:space="preserve"> 828-684-3842</t>
  </si>
  <si>
    <t>BM - Guy Kirby  OPS - Timothy Freeman</t>
  </si>
  <si>
    <t>1491-G Business Park Court</t>
  </si>
  <si>
    <t>Gastonia, NC 28052</t>
  </si>
  <si>
    <t>704-853-2003</t>
  </si>
  <si>
    <t xml:space="preserve"> 704-853-0409</t>
  </si>
  <si>
    <t>BM - Mark Lang  OPS - Chris O' Brien</t>
  </si>
  <si>
    <t>1933 Tate Blvd SE</t>
  </si>
  <si>
    <t>Hickory, NC 28601</t>
  </si>
  <si>
    <t>828-324-5548</t>
  </si>
  <si>
    <t xml:space="preserve"> 828-324-2541</t>
  </si>
  <si>
    <t>BM - Ron Collins  OPS - Paula Lewis</t>
  </si>
  <si>
    <t>118 South Business Court</t>
  </si>
  <si>
    <t>Rocky Mount, NC 27804</t>
  </si>
  <si>
    <t>252-972-3096</t>
  </si>
  <si>
    <t xml:space="preserve"> 252-972-3596</t>
  </si>
  <si>
    <t>BM - Jon Tart  OPS - Mark Tyndall</t>
  </si>
  <si>
    <t>1222 Basin Avenue</t>
  </si>
  <si>
    <t>Bismarck, ND 58504-6964</t>
  </si>
  <si>
    <t>701-223-5901</t>
  </si>
  <si>
    <t xml:space="preserve"> 701-224-0014</t>
  </si>
  <si>
    <t>BM - Bryan Skajewski  OPS - Craig Taylor</t>
  </si>
  <si>
    <t>201 27th Street North</t>
  </si>
  <si>
    <t>Fargo, ND 58102</t>
  </si>
  <si>
    <t>701-234-9015</t>
  </si>
  <si>
    <t xml:space="preserve"> 701-234-0837</t>
  </si>
  <si>
    <t>BM - Bryan Skajewski  OPS - Jeff Weigel</t>
  </si>
  <si>
    <t>4434 16th Ave., North Circle</t>
  </si>
  <si>
    <t>Grand Forks, ND 58201</t>
  </si>
  <si>
    <t>701-772-7177</t>
  </si>
  <si>
    <t>701-772-4066</t>
  </si>
  <si>
    <t>BM - Bryan Skajewski  OPS - Bill Gerzewski</t>
  </si>
  <si>
    <t>5725 F Street</t>
  </si>
  <si>
    <t>Omaha, NE 68117</t>
  </si>
  <si>
    <t>402-344-7323</t>
  </si>
  <si>
    <t xml:space="preserve"> 402-344-7432</t>
  </si>
  <si>
    <t>BM - Mike Nath  OPS - Sue McMahon</t>
  </si>
  <si>
    <t>5501 N 57th St. Ste. 300</t>
  </si>
  <si>
    <t>Lincoln, NE 68507</t>
  </si>
  <si>
    <t>402-467-1153</t>
  </si>
  <si>
    <t xml:space="preserve"> 402-467-1157</t>
  </si>
  <si>
    <t>BM - Mike Nath  OPS - Lonni Scholl</t>
  </si>
  <si>
    <t>905 Prospect Drive</t>
  </si>
  <si>
    <t>North Platte, NE 69101</t>
  </si>
  <si>
    <t>308-534-4225</t>
  </si>
  <si>
    <t xml:space="preserve"> 308-534-4226</t>
  </si>
  <si>
    <t>BM - Dan Luedtke  OPS - Marta Warner</t>
  </si>
  <si>
    <t>1705 Hollard Drive</t>
  </si>
  <si>
    <t>Grand Island, NE 68803</t>
  </si>
  <si>
    <t>308-381-2279</t>
  </si>
  <si>
    <t xml:space="preserve"> 308-381-2748</t>
  </si>
  <si>
    <t>1952 East 12th Ave.</t>
  </si>
  <si>
    <t>Columbus, NE 68601</t>
  </si>
  <si>
    <t>402-562-7406</t>
  </si>
  <si>
    <t xml:space="preserve"> 402-563-3641</t>
  </si>
  <si>
    <t>BM - Dan Luedtke  OPS - Rory Sindelar</t>
  </si>
  <si>
    <t>22 2nd Ave.</t>
  </si>
  <si>
    <t>Wabush, Newfoundland A0R 1B0</t>
  </si>
  <si>
    <t>709-282-5085</t>
  </si>
  <si>
    <t>709-282-5086</t>
  </si>
  <si>
    <t xml:space="preserve">BM - Raymond Harvey  OPS - </t>
  </si>
  <si>
    <t>444 East Industrial Park Drive Unit #10</t>
  </si>
  <si>
    <t>Manchester, NH 03109</t>
  </si>
  <si>
    <t>603-641-5649</t>
  </si>
  <si>
    <t xml:space="preserve"> 603-641-5738</t>
  </si>
  <si>
    <t>BM - John Bunton  OPS - Mark Thompson</t>
  </si>
  <si>
    <t>1327 Main Street</t>
  </si>
  <si>
    <t>Berlin, NH 03570-3037</t>
  </si>
  <si>
    <t>603-752-3810</t>
  </si>
  <si>
    <t xml:space="preserve"> 603-752-2965</t>
  </si>
  <si>
    <t>BM - John Bunton  OPS - Ronald Demers</t>
  </si>
  <si>
    <t>53-B  S. Jefferson Rd.</t>
  </si>
  <si>
    <t>Whippany, NJ 07981</t>
  </si>
  <si>
    <t>973-428-0915</t>
  </si>
  <si>
    <t xml:space="preserve"> 973-428-0905</t>
  </si>
  <si>
    <t xml:space="preserve">BM - Richard Maly  OPS - </t>
  </si>
  <si>
    <t>60 Railroad Ave.</t>
  </si>
  <si>
    <t>Hasbrouck Heights, NJ 07604</t>
  </si>
  <si>
    <t>201-288-8111</t>
  </si>
  <si>
    <t xml:space="preserve"> 201-288-8879</t>
  </si>
  <si>
    <t>BM - John Kondel  OPS - Ken Eccles</t>
  </si>
  <si>
    <t>22 Home News Row</t>
  </si>
  <si>
    <t>New Brunswick, NJ 08901</t>
  </si>
  <si>
    <t>732-828-8711</t>
  </si>
  <si>
    <t xml:space="preserve"> 732-828-3597</t>
  </si>
  <si>
    <t>BM - Barbara Biglow  OPS - Gary Bruno</t>
  </si>
  <si>
    <t>28 Industrial Dr. Unit B</t>
  </si>
  <si>
    <t>Trenton, NJ 08619</t>
  </si>
  <si>
    <t>609-588-0555</t>
  </si>
  <si>
    <t xml:space="preserve"> 609-588-0220</t>
  </si>
  <si>
    <t xml:space="preserve">BM - John Velit  OPS - </t>
  </si>
  <si>
    <t>48 Westfield Ave.</t>
  </si>
  <si>
    <t>Elizabeth, NJ 07207</t>
  </si>
  <si>
    <t>908-354-3800</t>
  </si>
  <si>
    <t xml:space="preserve"> 908-354-1061</t>
  </si>
  <si>
    <t>BM - Richard Maly  OPS - Nancy Salt</t>
  </si>
  <si>
    <t>3208 Vassar NE</t>
  </si>
  <si>
    <t>Albuquerque, NM 87107</t>
  </si>
  <si>
    <t>505-884-2606</t>
  </si>
  <si>
    <t xml:space="preserve"> 505-883-0846</t>
  </si>
  <si>
    <t>BM - Dan Bertrand  OPS - Bill Wilson</t>
  </si>
  <si>
    <t>2301 Bloomfield Hwy</t>
  </si>
  <si>
    <t>Farmington, NM 87401</t>
  </si>
  <si>
    <t>505-325-1809</t>
  </si>
  <si>
    <t xml:space="preserve"> 505-325-4556</t>
  </si>
  <si>
    <t>BM - Dan Bertrand  OPS - Mary Jane Washburn</t>
  </si>
  <si>
    <t>520 West 7th Street</t>
  </si>
  <si>
    <t>Clovis, NM 88101</t>
  </si>
  <si>
    <t>505-762-4773</t>
  </si>
  <si>
    <t xml:space="preserve"> 505-762-1766</t>
  </si>
  <si>
    <t>BM - Doug Kelley  OPS - Gaines Butman</t>
  </si>
  <si>
    <t>50 Akerley Blvd., Unit 4</t>
  </si>
  <si>
    <t>Dartmouth, Nova Scotia B3B 1R8</t>
  </si>
  <si>
    <t>902-468-3231</t>
  </si>
  <si>
    <t>902-468-2195</t>
  </si>
  <si>
    <t>BM - Robert Fredericks  OPS - Dale Mitton</t>
  </si>
  <si>
    <t>77 Park Street</t>
  </si>
  <si>
    <t>New Glasgow, Nova Scotia B2H 5B7</t>
  </si>
  <si>
    <t>902-755-3540</t>
  </si>
  <si>
    <t>902-755-3520</t>
  </si>
  <si>
    <t>BM - Robert Fredericks  OPS - Ken MacDonald</t>
  </si>
  <si>
    <t>704 Spice Island Drive</t>
  </si>
  <si>
    <t>Reno, NV 89431</t>
  </si>
  <si>
    <t>775-355-0555</t>
  </si>
  <si>
    <t xml:space="preserve"> 775-355-0595</t>
  </si>
  <si>
    <t>BM - Gary Hinton  OPS - John Sattler</t>
  </si>
  <si>
    <t>4724 Mitchell St., Suite G</t>
  </si>
  <si>
    <t>North Las Vegas, NV 89081</t>
  </si>
  <si>
    <t>702-651-9490</t>
  </si>
  <si>
    <t xml:space="preserve"> 702-651-9466</t>
  </si>
  <si>
    <t>BM - Jason Whitlock  OPS - Lisa Garcia</t>
  </si>
  <si>
    <t>3780 Commerce Ct., Suite 400</t>
  </si>
  <si>
    <t>North Tonawanda, NY 14120</t>
  </si>
  <si>
    <t>716-743-0691</t>
  </si>
  <si>
    <t xml:space="preserve"> 716-743-0697</t>
  </si>
  <si>
    <t>BM - Mike Danwin  OPS - Nelio Flores</t>
  </si>
  <si>
    <t>6211 East Taft Road</t>
  </si>
  <si>
    <t>(North) Syracuse, NY 13212</t>
  </si>
  <si>
    <t>315-452-1775</t>
  </si>
  <si>
    <t xml:space="preserve"> 315-452-1183</t>
  </si>
  <si>
    <t>BM - Don Storey  OPS - Kevin Hogan</t>
  </si>
  <si>
    <t>132 Railroad Avenue</t>
  </si>
  <si>
    <t>Albany, NY 12205</t>
  </si>
  <si>
    <t>518-438-1771</t>
  </si>
  <si>
    <t xml:space="preserve"> 518-438-1199</t>
  </si>
  <si>
    <t>BM - Michael Gregor  OPS - Ann Becker</t>
  </si>
  <si>
    <t>1300 College Avenue</t>
  </si>
  <si>
    <t>Elmira, NY 14901</t>
  </si>
  <si>
    <t>607-734-2158</t>
  </si>
  <si>
    <t xml:space="preserve"> 607-734-2809</t>
  </si>
  <si>
    <t>BM - Rocco Schiraldi  OPS - Jeff Titus</t>
  </si>
  <si>
    <t>GA Pacific - 327 Margaret St.</t>
  </si>
  <si>
    <t>Plattsburgh, NY 12901</t>
  </si>
  <si>
    <t>518-561-3500</t>
  </si>
  <si>
    <t>518-562-9475</t>
  </si>
  <si>
    <t xml:space="preserve">BM - Michael Gregor  OPS - </t>
  </si>
  <si>
    <t>2964 Lafayette Ave.</t>
  </si>
  <si>
    <t>Bronx, NY 10465</t>
  </si>
  <si>
    <t>718-931-8800</t>
  </si>
  <si>
    <t xml:space="preserve"> 718-892-1828</t>
  </si>
  <si>
    <t>BM - Bryan Herity  OPS - James O'Brien</t>
  </si>
  <si>
    <t>4541 Interpoint Blvd.</t>
  </si>
  <si>
    <t>Dayton, OH 45424</t>
  </si>
  <si>
    <t>937-236-7711</t>
  </si>
  <si>
    <t xml:space="preserve"> 937-236-1765</t>
  </si>
  <si>
    <t>BM - Frank Harrall  OPS - Brenda Cunningham</t>
  </si>
  <si>
    <t>675 Wilmer Avenue</t>
  </si>
  <si>
    <t>Cincinnati, OH 45226</t>
  </si>
  <si>
    <t>513-533-4900</t>
  </si>
  <si>
    <t xml:space="preserve"> 513-533-4912</t>
  </si>
  <si>
    <t>BM - Tim Judson  OPS - Myra Lott</t>
  </si>
  <si>
    <t>1666 Integrity Drive East</t>
  </si>
  <si>
    <t>Columbus, OH 43209</t>
  </si>
  <si>
    <t>614-444-3030</t>
  </si>
  <si>
    <t xml:space="preserve"> 614-444-1041</t>
  </si>
  <si>
    <t>BM - Pat Bannan  OPS - Keith Yeary</t>
  </si>
  <si>
    <t>1874 Spruce Street</t>
  </si>
  <si>
    <t>Defiance, OH 43512</t>
  </si>
  <si>
    <t>419-784-4013</t>
  </si>
  <si>
    <t xml:space="preserve"> 419-782-7395</t>
  </si>
  <si>
    <t>BM - David Gregory  OPS - Ron Gustwiller</t>
  </si>
  <si>
    <t>1223 Hook Drive</t>
  </si>
  <si>
    <t>Middletown, OH 45042</t>
  </si>
  <si>
    <t>513-423-2833</t>
  </si>
  <si>
    <t xml:space="preserve"> 513-423-7718</t>
  </si>
  <si>
    <t>3505 Venice Road</t>
  </si>
  <si>
    <t>Sandusky, OH 44870</t>
  </si>
  <si>
    <t>419-625-3432</t>
  </si>
  <si>
    <t xml:space="preserve"> 419-625-8405</t>
  </si>
  <si>
    <t>BM - Scott Timple  OPS - Tim Lehman</t>
  </si>
  <si>
    <t>8580 Industry Park Drive</t>
  </si>
  <si>
    <t>Piqua, OH 45356</t>
  </si>
  <si>
    <t>937-778-1905</t>
  </si>
  <si>
    <t xml:space="preserve"> 937-778-9332</t>
  </si>
  <si>
    <t>BM - Marty Kindell  OPS - Debra Warren</t>
  </si>
  <si>
    <t>700 South Ewing Street</t>
  </si>
  <si>
    <t>Lancaster, OH 43130</t>
  </si>
  <si>
    <t>740-687-0405</t>
  </si>
  <si>
    <t xml:space="preserve"> 740-687-1416</t>
  </si>
  <si>
    <t>BM - Michael Mertens  OPS - Daryl Moore</t>
  </si>
  <si>
    <t>231 Stanford Parkway</t>
  </si>
  <si>
    <t>Findlay, OH 45840</t>
  </si>
  <si>
    <t>419-424-1003</t>
  </si>
  <si>
    <t xml:space="preserve"> 419-423-9305</t>
  </si>
  <si>
    <t>BM - Brian Cochell  OPS - Harold Kemplen</t>
  </si>
  <si>
    <t>5119 Enterprise Blvd</t>
  </si>
  <si>
    <t>Toledo, OH 43612</t>
  </si>
  <si>
    <t>419-726-7422</t>
  </si>
  <si>
    <t xml:space="preserve"> 419-726-7429</t>
  </si>
  <si>
    <t>BM - Chris Ball  OPS - Brooke Reinhardt</t>
  </si>
  <si>
    <t>108 North Park Dirve</t>
  </si>
  <si>
    <t>Chillicothe, OH 45601</t>
  </si>
  <si>
    <t>740-775-1226</t>
  </si>
  <si>
    <t xml:space="preserve"> 740-775-1470</t>
  </si>
  <si>
    <t>BM - Ron Stiltner  OPS - Jackie Evans</t>
  </si>
  <si>
    <t>1005 Delaware Avenue</t>
  </si>
  <si>
    <t>Marysville, OH 43040</t>
  </si>
  <si>
    <t>937-644-1613</t>
  </si>
  <si>
    <t xml:space="preserve"> 937-644-1614</t>
  </si>
  <si>
    <t>BM - Monte Michels  OPS - Terry Farmer</t>
  </si>
  <si>
    <t>4620 Hinckley Ind Parkway</t>
  </si>
  <si>
    <t>Cleveland, OH 44109</t>
  </si>
  <si>
    <t>216-398-2200</t>
  </si>
  <si>
    <t xml:space="preserve"> 216-398-2220</t>
  </si>
  <si>
    <t>BM - Chris Pacer  OPS - Vicki McCartney</t>
  </si>
  <si>
    <t>4013 Strausser Street NW</t>
  </si>
  <si>
    <t>North Canton, OH 44720</t>
  </si>
  <si>
    <t>330-305-1991</t>
  </si>
  <si>
    <t xml:space="preserve"> 330-305-6688</t>
  </si>
  <si>
    <t>1207 Cheney Avenue</t>
  </si>
  <si>
    <t>Marion, OH 43302</t>
  </si>
  <si>
    <t>740-375-0322</t>
  </si>
  <si>
    <t xml:space="preserve"> 740-382-0052</t>
  </si>
  <si>
    <t>13685E 61st Street South</t>
  </si>
  <si>
    <t>Broken Arrow, OK 74012</t>
  </si>
  <si>
    <t>304 North Meridian, Suite 23</t>
  </si>
  <si>
    <t>Oklahoma City, OK 73107</t>
  </si>
  <si>
    <t>405-943-3316</t>
  </si>
  <si>
    <t xml:space="preserve"> 405-943-0627</t>
  </si>
  <si>
    <t>BM - George Schmidt  OPS - Christi Wattie</t>
  </si>
  <si>
    <t>7302 East 38th Street</t>
  </si>
  <si>
    <t>Tulsa, OK 74145</t>
  </si>
  <si>
    <t>918-627-0011</t>
  </si>
  <si>
    <t xml:space="preserve"> 918-627-9715</t>
  </si>
  <si>
    <t>BM - Richard Gainer  OPS - Alan Browne</t>
  </si>
  <si>
    <t>3905 Tull Ave.</t>
  </si>
  <si>
    <t>Muskogee, OK 74403</t>
  </si>
  <si>
    <t>918-682-3611</t>
  </si>
  <si>
    <t>918-682-3622</t>
  </si>
  <si>
    <t>BM - Richard Gainer  OPS - Jared Wofford</t>
  </si>
  <si>
    <t>2505 SW Jefferson</t>
  </si>
  <si>
    <t>Lawton, OK 73501</t>
  </si>
  <si>
    <t>580-248-2211</t>
  </si>
  <si>
    <t>580-248-9922</t>
  </si>
  <si>
    <t>BM - Mike Gonzales  OPS - Ron Clark</t>
  </si>
  <si>
    <t>510 Weber Street North</t>
  </si>
  <si>
    <t>Waterloo, Ontario N2J 4B7</t>
  </si>
  <si>
    <t>519-884-1220</t>
  </si>
  <si>
    <t>519-884-8794</t>
  </si>
  <si>
    <t>BM - Dean Merkle  OPS - Bob Michalak</t>
  </si>
  <si>
    <t>625 Newbold Street</t>
  </si>
  <si>
    <t>London, Ontario N6E 2V1</t>
  </si>
  <si>
    <t>519-681-5800</t>
  </si>
  <si>
    <t>519-681-3315</t>
  </si>
  <si>
    <t>BM - Ray Voisin  OPS - Jim Tiegs</t>
  </si>
  <si>
    <t>1355 Confederation Street</t>
  </si>
  <si>
    <t>Sarnia, Ontario N7S 4T2</t>
  </si>
  <si>
    <t>519-332-4500</t>
  </si>
  <si>
    <t>519-332-4508</t>
  </si>
  <si>
    <t>BM - John Mellor  OPS - Jeanette Mellor</t>
  </si>
  <si>
    <t>650 Woodlawn Road West, Units 11 and 12</t>
  </si>
  <si>
    <t>Guelph, Ontario N1K 1B8</t>
  </si>
  <si>
    <t>519-763-0710</t>
  </si>
  <si>
    <t>519-763-0712</t>
  </si>
  <si>
    <t>BM - Robert Richards  OPS - Lori Massicotte</t>
  </si>
  <si>
    <t>1177 Franklin Blvd., Unit 18</t>
  </si>
  <si>
    <t>Cambridge, Ontario N1R 7W4</t>
  </si>
  <si>
    <t>519-740-1223</t>
  </si>
  <si>
    <t>519-740-1226</t>
  </si>
  <si>
    <t>BM - Robert Richards  OPS - Jim Harley</t>
  </si>
  <si>
    <t>600 Gormanville Rd., RPO Algonquin</t>
  </si>
  <si>
    <t>North Bay, Ontario P1B 9N8</t>
  </si>
  <si>
    <t>705-476-3109</t>
  </si>
  <si>
    <t>705-476-2475</t>
  </si>
  <si>
    <t>BM - Kelly McCarthy  OPS - Robert Kane</t>
  </si>
  <si>
    <t>5511 Tomken Rd. #21</t>
  </si>
  <si>
    <t>Mississauga, Ontario L4W 4B8</t>
  </si>
  <si>
    <t>905-238-0333</t>
  </si>
  <si>
    <t>905-238-0272</t>
  </si>
  <si>
    <t>BM - Ruth Martin  OPS - Lori Barker</t>
  </si>
  <si>
    <t>30 Royal Crest Ct., Unit #8</t>
  </si>
  <si>
    <t>Markham, Ontario L3R 9W8</t>
  </si>
  <si>
    <t>905-752-1254</t>
  </si>
  <si>
    <t>905-752-1172</t>
  </si>
  <si>
    <t>BM - Steve Roy  OPS - BillieJo Voisin</t>
  </si>
  <si>
    <t>200 Queens Quay East, Unit 2-3</t>
  </si>
  <si>
    <t>Toronto, Ontario M5A 4K9</t>
  </si>
  <si>
    <t>416-465-8250</t>
  </si>
  <si>
    <t>416-465-9866</t>
  </si>
  <si>
    <t>BM - Jeff Diggle  OPS - BillieJo Voisin</t>
  </si>
  <si>
    <t>2260, Industrial Street</t>
  </si>
  <si>
    <t>Burlington, Ontario L7P 1A1</t>
  </si>
  <si>
    <t>905-335-1171</t>
  </si>
  <si>
    <t>905-335-8922</t>
  </si>
  <si>
    <t>BM - Steve Pieterse  OPS - Chris Takeda</t>
  </si>
  <si>
    <t>636 Welland Ave.</t>
  </si>
  <si>
    <t>St. Catharines, Ontario L2M 5V6</t>
  </si>
  <si>
    <t>905-346-0112</t>
  </si>
  <si>
    <t>905-346-0115</t>
  </si>
  <si>
    <t>665 Dundas Street East</t>
  </si>
  <si>
    <t>Belleville, Ontario K8N 5V9</t>
  </si>
  <si>
    <t>613-966-1923</t>
  </si>
  <si>
    <t>613-968-2390</t>
  </si>
  <si>
    <t>BM - Bob Landon  OPS - Dan Johnston</t>
  </si>
  <si>
    <t>333 California Ave., Unit #16</t>
  </si>
  <si>
    <t>Brockville, Ontario K6V 5V5</t>
  </si>
  <si>
    <t>613-342-8894</t>
  </si>
  <si>
    <t>613-342-2281</t>
  </si>
  <si>
    <t>BM -   OPS - Randy Morrison</t>
  </si>
  <si>
    <t>1656 Woodward Dr.</t>
  </si>
  <si>
    <t>Ottawa, Ontario K2C 3R8</t>
  </si>
  <si>
    <t>613-723-6200</t>
  </si>
  <si>
    <t>613-723-6205</t>
  </si>
  <si>
    <t>BM - Manfred Wegner  OPS - Mike Faulkner</t>
  </si>
  <si>
    <t>1112, Russell St., Unit #4</t>
  </si>
  <si>
    <t>Thunder Bay, Ontario P7B 5N2</t>
  </si>
  <si>
    <t>807-623-4366</t>
  </si>
  <si>
    <t>807-623-5214</t>
  </si>
  <si>
    <t>BM - Ed Van Hell  OPS - Wendy Lalonde</t>
  </si>
  <si>
    <t>910 NE 57th Ave., Suite 100</t>
  </si>
  <si>
    <t>Portland, OR 97213</t>
  </si>
  <si>
    <t>503-460-0403</t>
  </si>
  <si>
    <t xml:space="preserve"> 503-460-0032</t>
  </si>
  <si>
    <t>BM - Kim Dorsing  OPS - Mike Tremblay</t>
  </si>
  <si>
    <t>2490 Ferry Street</t>
  </si>
  <si>
    <t>Albany, OR 97322</t>
  </si>
  <si>
    <t>541-924-0262</t>
  </si>
  <si>
    <t xml:space="preserve"> 541-924-0256</t>
  </si>
  <si>
    <t>BM - Darrell Thatcher  OPS - Randy Jones</t>
  </si>
  <si>
    <t>586 Mason Way</t>
  </si>
  <si>
    <t>Medford, OR 97501</t>
  </si>
  <si>
    <t>541-732-1552</t>
  </si>
  <si>
    <t xml:space="preserve"> 541-732-1619</t>
  </si>
  <si>
    <t>BM - Dan McAuliffe  OPS - Scott Erwin</t>
  </si>
  <si>
    <t>560 Maryland Avenue</t>
  </si>
  <si>
    <t>York, PA 17404</t>
  </si>
  <si>
    <t>717-848-1102</t>
  </si>
  <si>
    <t>717-845-8278</t>
  </si>
  <si>
    <t>BM - Jeff Falk  OPS - Albert Savard</t>
  </si>
  <si>
    <t>21 Abraso Street</t>
  </si>
  <si>
    <t>Lancaster, PA 17601</t>
  </si>
  <si>
    <t>717-393-3901</t>
  </si>
  <si>
    <t>717-393-6264</t>
  </si>
  <si>
    <t>BM - Tom Haines  OPS - Diane Garber</t>
  </si>
  <si>
    <t>330 Bern Street</t>
  </si>
  <si>
    <t>Reading, PA 19601</t>
  </si>
  <si>
    <t>610-376-7163</t>
  </si>
  <si>
    <t>610-376-3928</t>
  </si>
  <si>
    <t>BM - Kenneth E. Martin  OPS - Sherry Griffith</t>
  </si>
  <si>
    <t>7562 Penn Dr.</t>
  </si>
  <si>
    <t>Allentown, PA 18106</t>
  </si>
  <si>
    <t>610-366-9034</t>
  </si>
  <si>
    <t xml:space="preserve"> 610-366-9038</t>
  </si>
  <si>
    <t>BM - John Mauro  OPS - Jesse Smith</t>
  </si>
  <si>
    <t>1514 Parkway View Drive</t>
  </si>
  <si>
    <t>Pittsburgh, PA 15205-1407</t>
  </si>
  <si>
    <t>412-787-1990</t>
  </si>
  <si>
    <t xml:space="preserve"> 412-787-9840</t>
  </si>
  <si>
    <t>BM - Art Ammon  OPS - Terry Conway</t>
  </si>
  <si>
    <t>301 Henderson Drive</t>
  </si>
  <si>
    <t>Sharon Hill, PA 19079</t>
  </si>
  <si>
    <t>610-616-8000</t>
  </si>
  <si>
    <t>610-616-8020</t>
  </si>
  <si>
    <t>BM - Bill Carroll  OPS - Scotti Scholz</t>
  </si>
  <si>
    <t>551 Northgate Circle</t>
  </si>
  <si>
    <t>New Castle, PA 16105</t>
  </si>
  <si>
    <t>724-654-6411</t>
  </si>
  <si>
    <t xml:space="preserve"> 724-654-7213</t>
  </si>
  <si>
    <t>BM - Jerry Hooks  OPS - Ellen Taylor</t>
  </si>
  <si>
    <t>610 Beatty Road</t>
  </si>
  <si>
    <t>Monroeville, PA 15146-1590</t>
  </si>
  <si>
    <t>412-856-8034</t>
  </si>
  <si>
    <t xml:space="preserve">  412-856-7921</t>
  </si>
  <si>
    <t>BM - Bill Freeman  OPS - Kathy Bobrukiewicz</t>
  </si>
  <si>
    <t>RR #6, Box 1470, Suite 1</t>
  </si>
  <si>
    <t>Altoona, PA 16601</t>
  </si>
  <si>
    <t>814-941-8330</t>
  </si>
  <si>
    <t xml:space="preserve"> 814-941-8340</t>
  </si>
  <si>
    <t>Carr #2 KM-16.6, Suite 364</t>
  </si>
  <si>
    <t>Toa Baja, PR 00949</t>
  </si>
  <si>
    <t>787-251-1550</t>
  </si>
  <si>
    <t xml:space="preserve"> 787-251-1545</t>
  </si>
  <si>
    <t>BM - Roberto Diaz  OPS - Guille Batencourt Aquino</t>
  </si>
  <si>
    <t>1921, 32e Avenue</t>
  </si>
  <si>
    <t>Lachine, Quebec H8T 3J1</t>
  </si>
  <si>
    <t>514-633-1236</t>
  </si>
  <si>
    <t>514-633-1093</t>
  </si>
  <si>
    <t>BM - Denis Laframboise  OPS - Claude Couture</t>
  </si>
  <si>
    <t>6155, rue Corbeil</t>
  </si>
  <si>
    <t>Trois-Rivières, Quebec G8Z 4P8</t>
  </si>
  <si>
    <t>819-374-2788</t>
  </si>
  <si>
    <t>819-374-0723</t>
  </si>
  <si>
    <t xml:space="preserve">BM - Alain Gagnon  OPS - </t>
  </si>
  <si>
    <t>495, rue Noël</t>
  </si>
  <si>
    <t>Sept-Iles/Wabash, Quebec G4R 1M1</t>
  </si>
  <si>
    <t>418-962-3232</t>
  </si>
  <si>
    <t>418-962-7513</t>
  </si>
  <si>
    <t xml:space="preserve">BM - Michel Michaud  OPS - </t>
  </si>
  <si>
    <t>740 rue Richard</t>
  </si>
  <si>
    <t>Joliette, Quebec J6E 2T7</t>
  </si>
  <si>
    <t>450-759-6343</t>
  </si>
  <si>
    <t>450-759-2399</t>
  </si>
  <si>
    <t>BM - Perras Fabien  OPS - Isabelle Gaudet</t>
  </si>
  <si>
    <t>3000 rue Einstein</t>
  </si>
  <si>
    <t>Ste-Foy, Quebec G1X 4B3</t>
  </si>
  <si>
    <t>418-657-3000</t>
  </si>
  <si>
    <t>418-657-5191</t>
  </si>
  <si>
    <t xml:space="preserve">BM - Ted Tessier  OPS - </t>
  </si>
  <si>
    <t>87 rue des Routiers</t>
  </si>
  <si>
    <t>Chicoutimi, Quebec G7H 5B1</t>
  </si>
  <si>
    <t>418-696-1221</t>
  </si>
  <si>
    <t>418-696-3263</t>
  </si>
  <si>
    <t>BM - Francisco Iglesias  OPS - Serge Morissette</t>
  </si>
  <si>
    <t>450 Chemin Larocque</t>
  </si>
  <si>
    <t>Valleyfield, Quebec J6T 4C5</t>
  </si>
  <si>
    <t>450-373-1115</t>
  </si>
  <si>
    <t>450-373-9543</t>
  </si>
  <si>
    <t xml:space="preserve">BM - Richard Brazeau  OPS - </t>
  </si>
  <si>
    <t>1925, 32e Avenue</t>
  </si>
  <si>
    <t>514-636-9379</t>
  </si>
  <si>
    <t>514-636-0037</t>
  </si>
  <si>
    <t xml:space="preserve">BM - Mario Robitaille  OPS - </t>
  </si>
  <si>
    <t>1685, boul Marie-Victorin</t>
  </si>
  <si>
    <t>Sorel-Tracy, Quebec J3R 4R4</t>
  </si>
  <si>
    <t>450-742-3749</t>
  </si>
  <si>
    <t>450-742-9077</t>
  </si>
  <si>
    <t>BM - Marie-Ghislaine Chapados  OPS - Marc Veronneau</t>
  </si>
  <si>
    <t>4186, boul. Industriel</t>
  </si>
  <si>
    <t>Sherbrooke, Quebec J1L 2S6</t>
  </si>
  <si>
    <t>819-563-5732</t>
  </si>
  <si>
    <t>819-563-0955</t>
  </si>
  <si>
    <t>BM - Donald Gervais  OPS - Michel Gendron</t>
  </si>
  <si>
    <t>4571 Metropolitain East</t>
  </si>
  <si>
    <t>St. Leonard, Quebec H1R 1Z4</t>
  </si>
  <si>
    <t>514-255-5645</t>
  </si>
  <si>
    <t>514-255-6584</t>
  </si>
  <si>
    <t>BM - Tony Dell'Aquila  OPS - Carl Simard</t>
  </si>
  <si>
    <t>1204, rue Bergar</t>
  </si>
  <si>
    <t>Laval, Quebec H7L 5A2</t>
  </si>
  <si>
    <t>450-669-2900</t>
  </si>
  <si>
    <t>450-669-6760</t>
  </si>
  <si>
    <t xml:space="preserve">BM - Jacques Jeannotte  OPS - </t>
  </si>
  <si>
    <t>4500, rue Kimber, bloc D, unite 36</t>
  </si>
  <si>
    <t>St-Hubert, Quebec J3Y 8K5</t>
  </si>
  <si>
    <t>450-445-0633</t>
  </si>
  <si>
    <t>450-445-9861</t>
  </si>
  <si>
    <t>BM - André Ranger  OPS - Johanne Raymond</t>
  </si>
  <si>
    <t>745, chemin Grand-Bernier Nord</t>
  </si>
  <si>
    <t>St-Jean-sur-Richelieu, Quebec J3B 8H7</t>
  </si>
  <si>
    <t>450-359-1400</t>
  </si>
  <si>
    <t>450-359-1404</t>
  </si>
  <si>
    <t xml:space="preserve">BM -   OPS - </t>
  </si>
  <si>
    <t>6755, boul. Choquette, Porte 5</t>
  </si>
  <si>
    <t>St-Hyacinthe, Quebec J2S 8L2</t>
  </si>
  <si>
    <t>450-774-3050</t>
  </si>
  <si>
    <t>450-774-7542</t>
  </si>
  <si>
    <t xml:space="preserve">BM - Claude Bourdon  OPS - </t>
  </si>
  <si>
    <t>430 des Artisans</t>
  </si>
  <si>
    <t>Rimouski, Quebec G5M 1A3</t>
  </si>
  <si>
    <t>418-725-3750</t>
  </si>
  <si>
    <t>418-725-5510</t>
  </si>
  <si>
    <t>BM - Bertin Doiron  OPS - Claudette Francis</t>
  </si>
  <si>
    <t>1200, 98 e rue</t>
  </si>
  <si>
    <t>St-Georges, Quebec G5Y 8K6</t>
  </si>
  <si>
    <t>418-228-2128</t>
  </si>
  <si>
    <t>418-222-0959</t>
  </si>
  <si>
    <t>BM - Denis Desjardins  OPS - Tony Preziosi</t>
  </si>
  <si>
    <t>205 Hallene Rd., Unit 320</t>
  </si>
  <si>
    <t>Warwick, RI 02886</t>
  </si>
  <si>
    <t>401-736-0515</t>
  </si>
  <si>
    <t xml:space="preserve"> 401-736-5245</t>
  </si>
  <si>
    <t>2548 Morningside Drive</t>
  </si>
  <si>
    <t>Columbia, SC 29169</t>
  </si>
  <si>
    <t>803-796-1071</t>
  </si>
  <si>
    <t xml:space="preserve"> 803-739-0927</t>
  </si>
  <si>
    <t>BM - Bill Head  OPS - Mike Taylor</t>
  </si>
  <si>
    <t>1001 Bankton Road</t>
  </si>
  <si>
    <t>Hanahan, SC 29406</t>
  </si>
  <si>
    <t>843-554-9090</t>
  </si>
  <si>
    <t xml:space="preserve"> 843-554-0467</t>
  </si>
  <si>
    <t>BM - Murry Epstein  OPS - Rose Ann Sweat</t>
  </si>
  <si>
    <t>205 Aberdeen Drive</t>
  </si>
  <si>
    <t>Florence, SC 29501</t>
  </si>
  <si>
    <t>843-395-0095</t>
  </si>
  <si>
    <t xml:space="preserve"> 843-395-1375</t>
  </si>
  <si>
    <t>BM - Frederick Brown  OPS - Buddy Thames</t>
  </si>
  <si>
    <t>7 Idaho Street</t>
  </si>
  <si>
    <t>Greenville, SC 29605</t>
  </si>
  <si>
    <t>864-288-7503</t>
  </si>
  <si>
    <t xml:space="preserve"> 864-297-6366</t>
  </si>
  <si>
    <t>BM - Mel Adams  OPS - Mary Kay Looney</t>
  </si>
  <si>
    <t>111 Corporate Drive</t>
  </si>
  <si>
    <t>864-578-1470</t>
  </si>
  <si>
    <t>864-578-8398</t>
  </si>
  <si>
    <t>BM - Mel Adams  OPS - Pam Eagan</t>
  </si>
  <si>
    <t>1669 Samco Road</t>
  </si>
  <si>
    <t>Rapid City, SD 57702</t>
  </si>
  <si>
    <t>605-399-9454</t>
  </si>
  <si>
    <t xml:space="preserve"> 605-399-9591</t>
  </si>
  <si>
    <t xml:space="preserve">BM - John Logan  OPS - </t>
  </si>
  <si>
    <t>404 East 40th Street North</t>
  </si>
  <si>
    <t>Sioux Falls, SD 57104</t>
  </si>
  <si>
    <t>605-334-5333</t>
  </si>
  <si>
    <t>605-334-5868</t>
  </si>
  <si>
    <t>#8 3342 Millar Avenue</t>
  </si>
  <si>
    <t>Saskatoon, Saskatchewan S7K 7G9</t>
  </si>
  <si>
    <t>306-931-7771</t>
  </si>
  <si>
    <t>306-934-2917</t>
  </si>
  <si>
    <t>BM - Cory Regier  OPS - Pauline Dagenais</t>
  </si>
  <si>
    <t>628 Henderson Drive</t>
  </si>
  <si>
    <t>Regina, Saskatchewan S4N 5X3</t>
  </si>
  <si>
    <t>306-721-7233</t>
  </si>
  <si>
    <t>306-757-8923</t>
  </si>
  <si>
    <t>BM - Randy Greenman  OPS - Colin Angus</t>
  </si>
  <si>
    <t>100 Johnston St.</t>
  </si>
  <si>
    <t>Tullahoma, TN 37388</t>
  </si>
  <si>
    <t>931-454-0907</t>
  </si>
  <si>
    <t>931-461-0303</t>
  </si>
  <si>
    <t>BM - Frank Fletcher  OPS - Lisa Gillett</t>
  </si>
  <si>
    <t>1296 Boyd Farris Road</t>
  </si>
  <si>
    <t>Cookeville, TN 38506</t>
  </si>
  <si>
    <t>931-528-3797</t>
  </si>
  <si>
    <t xml:space="preserve"> 931-528-3488</t>
  </si>
  <si>
    <t>BM - Steve Sanders  OPS - Jimmy Loftis</t>
  </si>
  <si>
    <t>3740 Powers Court Dr.</t>
  </si>
  <si>
    <t>Chattanooga, TN 37416</t>
  </si>
  <si>
    <t>423-490-0852</t>
  </si>
  <si>
    <t xml:space="preserve"> 423-892-6336</t>
  </si>
  <si>
    <t>BM - Tom McKeehan  OPS - Marcia Rhodes</t>
  </si>
  <si>
    <t>2614 Brick Church Pike</t>
  </si>
  <si>
    <t>Nashville, TN 37207</t>
  </si>
  <si>
    <t>615-228-4020</t>
  </si>
  <si>
    <t xml:space="preserve"> 615-228-3633</t>
  </si>
  <si>
    <t>BM - Steve Sanders  OPS - Randy Browning</t>
  </si>
  <si>
    <t>3345 One Place</t>
  </si>
  <si>
    <t>Memphis, TN 38116</t>
  </si>
  <si>
    <t>901-398-2000</t>
  </si>
  <si>
    <t xml:space="preserve"> 901-345-0839</t>
  </si>
  <si>
    <t>BM - Neal Horner  OPS - Glenda Krug</t>
  </si>
  <si>
    <t>31 Conalco Road</t>
  </si>
  <si>
    <t>Jackson, TN 38301</t>
  </si>
  <si>
    <t>731-423-4941</t>
  </si>
  <si>
    <t>731-427-4544</t>
  </si>
  <si>
    <t>BM - David Jones  OPS - Sandy Buchanan</t>
  </si>
  <si>
    <t>865-546-1704</t>
  </si>
  <si>
    <t xml:space="preserve"> 865-971-4392</t>
  </si>
  <si>
    <t>BM - Tony Widner  OPS - Steve Dutt</t>
  </si>
  <si>
    <t>114 South Sugar Hollow Road</t>
  </si>
  <si>
    <t>Morristown, TN 37813</t>
  </si>
  <si>
    <t>423-587-6156</t>
  </si>
  <si>
    <t xml:space="preserve"> 423-587-6417</t>
  </si>
  <si>
    <t>BM - Tony Widner  OPS - Edwin Mickey</t>
  </si>
  <si>
    <t>3515 Cleburne Road</t>
  </si>
  <si>
    <t>Columbia, TN 38401</t>
  </si>
  <si>
    <t>931-489-2700</t>
  </si>
  <si>
    <t xml:space="preserve"> 931-489-2774</t>
  </si>
  <si>
    <t>BM - Jim Dorough  OPS - Calene Webster</t>
  </si>
  <si>
    <t>109 Regional Park Drive</t>
  </si>
  <si>
    <t>Kingsport, TN 37660</t>
  </si>
  <si>
    <t>423-349-5092</t>
  </si>
  <si>
    <t xml:space="preserve"> 423-349-4099</t>
  </si>
  <si>
    <t>BM - Creed Headrick  OPS - Louisa Bishop</t>
  </si>
  <si>
    <t>803 Park Avenue</t>
  </si>
  <si>
    <t>Murfreesboro, TN 37129</t>
  </si>
  <si>
    <t>615-895-0114</t>
  </si>
  <si>
    <t xml:space="preserve"> 615-895-6247</t>
  </si>
  <si>
    <t>2221 West Mockingbird Lane</t>
  </si>
  <si>
    <t>Dallas, TX 75235</t>
  </si>
  <si>
    <t>214-351-2211</t>
  </si>
  <si>
    <t xml:space="preserve"> 214-358-7294</t>
  </si>
  <si>
    <t>BM - Orliss Stennis  OPS - Linda Rohloff</t>
  </si>
  <si>
    <t>2500 West NW Loop 323</t>
  </si>
  <si>
    <t>Tyler, TX 75702</t>
  </si>
  <si>
    <t>903-592-0873</t>
  </si>
  <si>
    <t xml:space="preserve"> 903-593-9907</t>
  </si>
  <si>
    <t>BM - David Mawer  OPS - Kathie Diane Kieselbach</t>
  </si>
  <si>
    <t>2589 NE 33rd Street</t>
  </si>
  <si>
    <t>Fort Worth, TX 76111</t>
  </si>
  <si>
    <t>817-838-7878</t>
  </si>
  <si>
    <t xml:space="preserve"> 817-834-6636</t>
  </si>
  <si>
    <t>BM - Bryant Brundrett  OPS - David Gonzalez</t>
  </si>
  <si>
    <t>2100 North John Redditt Drive</t>
  </si>
  <si>
    <t>Lufkin, TX 75903</t>
  </si>
  <si>
    <t>936-634-4428</t>
  </si>
  <si>
    <t xml:space="preserve"> 936-634-4344</t>
  </si>
  <si>
    <t>BM - David Mawer  OPS - Bruce Durham</t>
  </si>
  <si>
    <t>1421 Burney Drive</t>
  </si>
  <si>
    <t>Brownwood, TX 76801</t>
  </si>
  <si>
    <t>325-643-9923</t>
  </si>
  <si>
    <t>325-643-9974</t>
  </si>
  <si>
    <t>1809 Texoma Drive</t>
  </si>
  <si>
    <t>Sherman, TX 75090</t>
  </si>
  <si>
    <t>903-892-4646</t>
  </si>
  <si>
    <t xml:space="preserve"> 903-893-4562</t>
  </si>
  <si>
    <t>BM - Ricky Selman  OPS - Keith Nelson</t>
  </si>
  <si>
    <t>1202 Indiana</t>
  </si>
  <si>
    <t>Wichita Falls, TX 76301</t>
  </si>
  <si>
    <t>940-766-3328</t>
  </si>
  <si>
    <t xml:space="preserve"> 940-766-0305</t>
  </si>
  <si>
    <t>917 Corn Products</t>
  </si>
  <si>
    <t>Corpus Christi, TX 78409</t>
  </si>
  <si>
    <t>361-289-1773</t>
  </si>
  <si>
    <t xml:space="preserve"> 361-289-9172</t>
  </si>
  <si>
    <t>BM - Rick Smith  OPS - Ellen Patzner</t>
  </si>
  <si>
    <t>6500 Depot Drive</t>
  </si>
  <si>
    <t>Waco, TX 76712</t>
  </si>
  <si>
    <t>254-772-1119</t>
  </si>
  <si>
    <t xml:space="preserve"> 254-772-1163</t>
  </si>
  <si>
    <t>BM - Tom Lene  OPS - Mike Ballard</t>
  </si>
  <si>
    <t>901 Tony Lama, Suite 4</t>
  </si>
  <si>
    <t>915-779-3335</t>
  </si>
  <si>
    <t xml:space="preserve"> 915-779-3341</t>
  </si>
  <si>
    <t>BM - Rick LeMaster  OPS - Richard Trujillo</t>
  </si>
  <si>
    <t>411 West Seventh</t>
  </si>
  <si>
    <t>Amarillo, TX 79101</t>
  </si>
  <si>
    <t>806-372-5300</t>
  </si>
  <si>
    <t xml:space="preserve"> 806-372-5271</t>
  </si>
  <si>
    <t>BM - Richard Mills  OPS - Jeff Stephenson</t>
  </si>
  <si>
    <t>701 West Sixth</t>
  </si>
  <si>
    <t>Plainview, TX 79092</t>
  </si>
  <si>
    <t>806-293-0100</t>
  </si>
  <si>
    <t xml:space="preserve"> 806-293-0200</t>
  </si>
  <si>
    <t>BM - Danny Parchman  OPS - Keith Bechtold</t>
  </si>
  <si>
    <t>4022 Bell Drive</t>
  </si>
  <si>
    <t>Temple, TX 76502</t>
  </si>
  <si>
    <t>254-773-4224</t>
  </si>
  <si>
    <t>254-773-6222</t>
  </si>
  <si>
    <t>BM - Jim Bartek  OPS - Lisa Coufal</t>
  </si>
  <si>
    <t>1402 West Highway 60</t>
  </si>
  <si>
    <t>Friona, TX 79035</t>
  </si>
  <si>
    <t>806-250-5450</t>
  </si>
  <si>
    <t>806-250-5490</t>
  </si>
  <si>
    <t>BM - Doug Kelley  OPS - James Ryan</t>
  </si>
  <si>
    <t>610 West Carson</t>
  </si>
  <si>
    <t>Bryan, TX 77801</t>
  </si>
  <si>
    <t>488 Regal Row Suite #108</t>
  </si>
  <si>
    <t>Brownsville, TX 78521</t>
  </si>
  <si>
    <t>956-546-5191</t>
  </si>
  <si>
    <t xml:space="preserve"> 956-546-6927</t>
  </si>
  <si>
    <t>BM - Calvin Zamzow  OPS - Delia Garcia</t>
  </si>
  <si>
    <t>4000 N County Rd W</t>
  </si>
  <si>
    <t>Odessa, TX 79764</t>
  </si>
  <si>
    <t>432-362-7315</t>
  </si>
  <si>
    <t>432-362-0531</t>
  </si>
  <si>
    <t>BM - Gene Baker  OPS - Brian Hudgens</t>
  </si>
  <si>
    <t>419 West Highway 83</t>
  </si>
  <si>
    <t>McAllen, TX 78501</t>
  </si>
  <si>
    <t>956-682-1416</t>
  </si>
  <si>
    <t xml:space="preserve"> 956-682-1488</t>
  </si>
  <si>
    <t>BM - Rick Smith  OPS - Catherine Rodriguez</t>
  </si>
  <si>
    <t>16074 Central Commerce Dr., Bldg A103</t>
  </si>
  <si>
    <t>Pflugerville, TX 78660</t>
  </si>
  <si>
    <t>512-989-5888</t>
  </si>
  <si>
    <t xml:space="preserve"> 512-989-5777</t>
  </si>
  <si>
    <t>BM - Guy Edwards  OPS - Glenn Johnston</t>
  </si>
  <si>
    <t>East Hwy 359, Rt 3, Box 19-M</t>
  </si>
  <si>
    <t>Laredo, TX 78043</t>
  </si>
  <si>
    <t>956-718-2229</t>
  </si>
  <si>
    <t xml:space="preserve"> 956-718-2233</t>
  </si>
  <si>
    <t>BM - Mel Coutino  OPS - Gilbert De Alba, Jr.</t>
  </si>
  <si>
    <t>2403 North Ben Wilson</t>
  </si>
  <si>
    <t>Victoria, TX 77901</t>
  </si>
  <si>
    <t>361-576-0015</t>
  </si>
  <si>
    <t xml:space="preserve"> 361-576-2124</t>
  </si>
  <si>
    <t>BM - Jim Trott  OPS - Phyliss Rigamonti</t>
  </si>
  <si>
    <t>6550 Long Point</t>
  </si>
  <si>
    <t>Houston, TX 77055</t>
  </si>
  <si>
    <t>713-956-0150</t>
  </si>
  <si>
    <t xml:space="preserve"> 713-956-4122</t>
  </si>
  <si>
    <t>BM - Ray Christensen  OPS - Steve Massey</t>
  </si>
  <si>
    <t>4536 Macro</t>
  </si>
  <si>
    <t>San Antonio, TX 78218</t>
  </si>
  <si>
    <t>210-662-6772</t>
  </si>
  <si>
    <t xml:space="preserve"> 210-662-6770</t>
  </si>
  <si>
    <t>BM - Ed Mitchell  OPS - Scott Nickel</t>
  </si>
  <si>
    <t>1200 Silber Road</t>
  </si>
  <si>
    <t>713-688-9100</t>
  </si>
  <si>
    <t xml:space="preserve"> 713-683-7029</t>
  </si>
  <si>
    <t>6922 Highway 332 East</t>
  </si>
  <si>
    <t>Freeport, TX 77541</t>
  </si>
  <si>
    <t>979-233-6476</t>
  </si>
  <si>
    <t>979-233-8042</t>
  </si>
  <si>
    <t>BM - Gerry Camp  OPS - Julia Dunlap</t>
  </si>
  <si>
    <t>711 East Belmont</t>
  </si>
  <si>
    <t>Pasadena, TX 77506</t>
  </si>
  <si>
    <t>713-477-0351</t>
  </si>
  <si>
    <t xml:space="preserve"> 713-477-0357</t>
  </si>
  <si>
    <t>BM - Charleene Burgess  OPS - Rick Potter</t>
  </si>
  <si>
    <t>4330 A Northlink</t>
  </si>
  <si>
    <t>Groves, TX 77619</t>
  </si>
  <si>
    <t>409-962-7575</t>
  </si>
  <si>
    <t xml:space="preserve"> 409-962-5772</t>
  </si>
  <si>
    <t>BM - Scott Burns  OPS - Debbie Read</t>
  </si>
  <si>
    <t>615 Stadium Drive</t>
  </si>
  <si>
    <t>Arlington, TX 76011</t>
  </si>
  <si>
    <t>817-261-1771</t>
  </si>
  <si>
    <t xml:space="preserve"> 817-277-8108</t>
  </si>
  <si>
    <t>BM - Bob Dinsmore  OPS - Gayle Hall</t>
  </si>
  <si>
    <t>2321 Executive Drive</t>
  </si>
  <si>
    <t>Garland, TX 75041</t>
  </si>
  <si>
    <t>972-278-0220</t>
  </si>
  <si>
    <t xml:space="preserve"> 972-278-2052</t>
  </si>
  <si>
    <t>BM - Perry Gaudet  OPS - Curtis Mitchell</t>
  </si>
  <si>
    <t>2201 South Eastman Road</t>
  </si>
  <si>
    <t>Longview, TX 75602</t>
  </si>
  <si>
    <t>903-757-2383</t>
  </si>
  <si>
    <t xml:space="preserve"> 903-757-9617</t>
  </si>
  <si>
    <t>BM - Willie Surles  OPS - Ray Dubois</t>
  </si>
  <si>
    <t>1414 South Gladiola St., Suite 300</t>
  </si>
  <si>
    <t>Salt Lake City, UT 84101</t>
  </si>
  <si>
    <t>801-972-1036</t>
  </si>
  <si>
    <t xml:space="preserve"> 801-975-9221</t>
  </si>
  <si>
    <t>BM - Paul Wakefield  OPS - Paul McClellan</t>
  </si>
  <si>
    <t>2377 South 1900 West</t>
  </si>
  <si>
    <t>Ogden, UT 84401</t>
  </si>
  <si>
    <t>801-732-1881</t>
  </si>
  <si>
    <t xml:space="preserve"> 801-732-1890</t>
  </si>
  <si>
    <t>BM - Aaron Black  OPS - Nick Morgan</t>
  </si>
  <si>
    <t>390 North 1000 West</t>
  </si>
  <si>
    <t>Logan, UT 84321</t>
  </si>
  <si>
    <t>435-753-7310</t>
  </si>
  <si>
    <t xml:space="preserve"> 435-753-8416</t>
  </si>
  <si>
    <t>BM - Aaron Black  OPS - Ray Nielsen</t>
  </si>
  <si>
    <t>431 Pleasant Valley Road</t>
  </si>
  <si>
    <t>Harrisonburg, VA 22801</t>
  </si>
  <si>
    <t>540-434-1919</t>
  </si>
  <si>
    <t xml:space="preserve"> 540-434-0041</t>
  </si>
  <si>
    <t>BM - Larry Wolford  OPS - Jeremy Harmes</t>
  </si>
  <si>
    <t>2957 Shawnee Drive</t>
  </si>
  <si>
    <t>Winchester, VA 22601</t>
  </si>
  <si>
    <t>540-662-4800</t>
  </si>
  <si>
    <t xml:space="preserve"> 540-722-2667</t>
  </si>
  <si>
    <t>BM - Jerry Hollis  OPS - Kathy Mason</t>
  </si>
  <si>
    <t>1220-D Fleetway Drive</t>
  </si>
  <si>
    <t>Chesapeake, VA 23323</t>
  </si>
  <si>
    <t>757-487-0311</t>
  </si>
  <si>
    <t xml:space="preserve"> 757-487-2448</t>
  </si>
  <si>
    <t>BM - Dennis Rock  OPS - David Frank</t>
  </si>
  <si>
    <t>9203 Burge Avenue</t>
  </si>
  <si>
    <t>Richmond, VA 23237</t>
  </si>
  <si>
    <t>804-743-8000</t>
  </si>
  <si>
    <t xml:space="preserve"> 804-743-9426</t>
  </si>
  <si>
    <t>BM - Jay Carawan  OPS - C.B Morgan</t>
  </si>
  <si>
    <t>3719 Tom Andrews Rd., Suite 1</t>
  </si>
  <si>
    <t>Roanoke, VA 24019</t>
  </si>
  <si>
    <t>540-362-7695</t>
  </si>
  <si>
    <t xml:space="preserve"> 540-366-6720</t>
  </si>
  <si>
    <t>BM - Jim Rebok  OPS - Ray Hendricks</t>
  </si>
  <si>
    <t>6634 Fleet Drive</t>
  </si>
  <si>
    <t>Alexandria, VA 22310</t>
  </si>
  <si>
    <t>703-719-6803</t>
  </si>
  <si>
    <t xml:space="preserve"> 703-719-0495</t>
  </si>
  <si>
    <t>BM - Jerry Hollis  OPS - Brian Allen</t>
  </si>
  <si>
    <t>1030 McConville Road, Unit 13</t>
  </si>
  <si>
    <t>Lynchburg, VA 24502</t>
  </si>
  <si>
    <t>434-239-7111</t>
  </si>
  <si>
    <t xml:space="preserve"> 434-239-7171</t>
  </si>
  <si>
    <t>175 North Maple Ave.</t>
  </si>
  <si>
    <t>Covington, VA 24426</t>
  </si>
  <si>
    <t>540-962-7161</t>
  </si>
  <si>
    <t>540-962-7347</t>
  </si>
  <si>
    <t>BM - Jim Rebok  OPS - Debbie Martin</t>
  </si>
  <si>
    <t>1121 Industrial Way</t>
  </si>
  <si>
    <t>360-425-4650</t>
  </si>
  <si>
    <t xml:space="preserve"> 360-425-6560</t>
  </si>
  <si>
    <t>BM - Dennis Laier  OPS - Pam Torgerson</t>
  </si>
  <si>
    <t>18900 Des Moines Memorial Dr., Bldg. 4</t>
  </si>
  <si>
    <t>Seatac, WA 98148</t>
  </si>
  <si>
    <t>206-248-4666</t>
  </si>
  <si>
    <t xml:space="preserve"> 206-248-5100</t>
  </si>
  <si>
    <t>BM - Charles Power  OPS - Bob Race</t>
  </si>
  <si>
    <t>7321 East Trent</t>
  </si>
  <si>
    <t>Spokane, WA 99212</t>
  </si>
  <si>
    <t>509-924-4800</t>
  </si>
  <si>
    <t xml:space="preserve"> 509-924-1731</t>
  </si>
  <si>
    <t>BM - Stan Wolf  OPS - Kevin McGee</t>
  </si>
  <si>
    <t>701 North Oregon Avenue</t>
  </si>
  <si>
    <t>Pasco, WA 99301</t>
  </si>
  <si>
    <t>509-547-0721</t>
  </si>
  <si>
    <t xml:space="preserve"> 509-547-0723</t>
  </si>
  <si>
    <t>BM - Spencer Harris  OPS - Hillary Joy</t>
  </si>
  <si>
    <t>1310 S 43rd Street</t>
  </si>
  <si>
    <t>(South) Milwaukee, WI 53214-3603</t>
  </si>
  <si>
    <t>414-649-2400</t>
  </si>
  <si>
    <t xml:space="preserve"> 414-649-2423</t>
  </si>
  <si>
    <t>BM - Bob Menard  OPS - Richard Buchholz</t>
  </si>
  <si>
    <t>2222 Nordale Drive</t>
  </si>
  <si>
    <t>Appleton, WI 54914-1885</t>
  </si>
  <si>
    <t>920-731-4121</t>
  </si>
  <si>
    <t xml:space="preserve">  920-734-9138</t>
  </si>
  <si>
    <t>BM - Bill Winnett  OPS - Amy Sterken</t>
  </si>
  <si>
    <t>2125 S. Stoughton Road</t>
  </si>
  <si>
    <t>Madison, WI 53714-0516</t>
  </si>
  <si>
    <t>608-221-3328</t>
  </si>
  <si>
    <t xml:space="preserve"> 608-221-8933</t>
  </si>
  <si>
    <t>BM - Mark Barry  OPS - Julie Hyland</t>
  </si>
  <si>
    <t>2410 Norwood Court</t>
  </si>
  <si>
    <t>Racine, WI 53403-3870</t>
  </si>
  <si>
    <t>262-554-0110</t>
  </si>
  <si>
    <t xml:space="preserve"> 262-554-1219</t>
  </si>
  <si>
    <t>BM - John Lindquist  OPS - Daniel Kern</t>
  </si>
  <si>
    <t>7130 Packer Drive</t>
  </si>
  <si>
    <t>Wausau, WI 54401</t>
  </si>
  <si>
    <t>715-848-2994</t>
  </si>
  <si>
    <t xml:space="preserve">  715-848-7135</t>
  </si>
  <si>
    <t>BM - Bob Heckendorf  OPS - Beth Hoss</t>
  </si>
  <si>
    <t>1680 Yellow Briar Drive</t>
  </si>
  <si>
    <t>DePere, WI 54115</t>
  </si>
  <si>
    <t>920-983-6604</t>
  </si>
  <si>
    <t xml:space="preserve">  920-983-6612</t>
  </si>
  <si>
    <t>BM - John Wimberly  OPS - Jeff Hendricks</t>
  </si>
  <si>
    <t>W229 N1687 Westwood Dr.  Unit C</t>
  </si>
  <si>
    <t>Waukesha, WI 53186-1153</t>
  </si>
  <si>
    <t>262-896-3880</t>
  </si>
  <si>
    <t xml:space="preserve"> 262-896-3890</t>
  </si>
  <si>
    <t>BM - Tim Neville  OPS - Fred Przbelski</t>
  </si>
  <si>
    <t>3669 Enterprise Drive</t>
  </si>
  <si>
    <t>Sheboygan, WI 53083-2663</t>
  </si>
  <si>
    <t>920-208-5600</t>
  </si>
  <si>
    <t xml:space="preserve">  920-208-5618</t>
  </si>
  <si>
    <t>BM - Karl Lueck  OPS - Diane Ponath</t>
  </si>
  <si>
    <t>510 25th Avenue North</t>
  </si>
  <si>
    <t>Wisconsin Rapids, WI 54494-1085</t>
  </si>
  <si>
    <t>715-421-1450</t>
  </si>
  <si>
    <t xml:space="preserve"> 715-421-1764</t>
  </si>
  <si>
    <t>BM - Patrick McClaine  OPS - Wendy Knipple</t>
  </si>
  <si>
    <t>1671 Menominee Drive</t>
  </si>
  <si>
    <t>Rhinelander, WI 54501-9502</t>
  </si>
  <si>
    <t>715-362-3020</t>
  </si>
  <si>
    <t xml:space="preserve"> 715-369-2505</t>
  </si>
  <si>
    <t>2724 Commerce Street</t>
  </si>
  <si>
    <t>LaCrosse, WI 54603</t>
  </si>
  <si>
    <t>608-785-1200</t>
  </si>
  <si>
    <t xml:space="preserve"> 608-782-4424</t>
  </si>
  <si>
    <t>BM - Bill Bandish  OPS - Lydia Sowden</t>
  </si>
  <si>
    <t>695 Sullivan Drive</t>
  </si>
  <si>
    <t>Fond Du Lac, WI 54935-9164</t>
  </si>
  <si>
    <t>920-923-7500</t>
  </si>
  <si>
    <t xml:space="preserve"> 920-923-7504</t>
  </si>
  <si>
    <t>BM - Torren Nicholas  OPS - Sherry Bernath</t>
  </si>
  <si>
    <t>4075 McIntyre Avenue</t>
  </si>
  <si>
    <t>Eau Claire, WI 54703-0500</t>
  </si>
  <si>
    <t>715-833-2440</t>
  </si>
  <si>
    <t xml:space="preserve"> 715-833-2275</t>
  </si>
  <si>
    <t>2302 Beloit Avenue</t>
  </si>
  <si>
    <t>Janesville, WI 53546-3051</t>
  </si>
  <si>
    <t>608-754-4199</t>
  </si>
  <si>
    <t xml:space="preserve"> 608-754-4639</t>
  </si>
  <si>
    <t>BM - Jim Maass  OPS - Diane Griffith</t>
  </si>
  <si>
    <t>565 Enterprise Drive</t>
  </si>
  <si>
    <t>Neenah, WI 54956-4859</t>
  </si>
  <si>
    <t>920-729-9429</t>
  </si>
  <si>
    <t xml:space="preserve"> 920-729-9490</t>
  </si>
  <si>
    <t>BM - Dennis Helwig  OPS - Randy Falk</t>
  </si>
  <si>
    <t>2730 Woleske Road</t>
  </si>
  <si>
    <t>Marinette, WI 54143-3844</t>
  </si>
  <si>
    <t>715-732-1714</t>
  </si>
  <si>
    <t xml:space="preserve"> 715-732-1272</t>
  </si>
  <si>
    <t>BM - John Wimberly  OPS - Dale Ullman</t>
  </si>
  <si>
    <t>1615 LaDawn Drive</t>
  </si>
  <si>
    <t>Portage, WI 53901-9486</t>
  </si>
  <si>
    <t>608-742-5129</t>
  </si>
  <si>
    <t xml:space="preserve"> 608-742-3287</t>
  </si>
  <si>
    <t>BM - Mark Barry  OPS - Lynette Eichelberg</t>
  </si>
  <si>
    <t>215 15th Street</t>
  </si>
  <si>
    <t>Huntington, WV 25701</t>
  </si>
  <si>
    <t>304-525-6706</t>
  </si>
  <si>
    <t xml:space="preserve"> 304-525-6737</t>
  </si>
  <si>
    <t>BM - Scott Jordan  OPS - David Perry</t>
  </si>
  <si>
    <t>600 Parkway Rd., Southridge Bus. Park</t>
  </si>
  <si>
    <t>Charleston, WV 25309</t>
  </si>
  <si>
    <t>304-744-0201</t>
  </si>
  <si>
    <t>304-744-6494</t>
  </si>
  <si>
    <t>BM - Greg Samms  OPS - Tammy Young</t>
  </si>
  <si>
    <t>584 Ragland Road</t>
  </si>
  <si>
    <t>Beckley, WV 25801</t>
  </si>
  <si>
    <t>304-254-0443</t>
  </si>
  <si>
    <t xml:space="preserve"> 304-254-9085</t>
  </si>
  <si>
    <t>BM - Greg Samms  OPS - Patrick Owens</t>
  </si>
  <si>
    <t>3936 Washington Street</t>
  </si>
  <si>
    <t>Weirton, WV 26062</t>
  </si>
  <si>
    <t>304-797-7094</t>
  </si>
  <si>
    <t xml:space="preserve"> 304-797-8256</t>
  </si>
  <si>
    <t>BM - Mike Szymoniak  OPS - Mark Ptaszek</t>
  </si>
  <si>
    <t>5441 Swanson Road</t>
  </si>
  <si>
    <t>Gillette, WY 82718</t>
  </si>
  <si>
    <t>307-682-8821</t>
  </si>
  <si>
    <t xml:space="preserve"> 307-682-2539</t>
  </si>
  <si>
    <t>BM - Rob Deyo  OPS - Randall Lee</t>
  </si>
  <si>
    <t>311 Progress Circle Ste. 1</t>
  </si>
  <si>
    <t>Cheyenne, WY 82007</t>
  </si>
  <si>
    <t>307-635-2056</t>
  </si>
  <si>
    <t xml:space="preserve"> 307-635-3028</t>
  </si>
  <si>
    <t>BM - Jamey Fifield  OPS - David Kucera</t>
  </si>
  <si>
    <t>146 Progress Circle</t>
  </si>
  <si>
    <t>Mills, WY 82644</t>
  </si>
  <si>
    <t>307-266-2966</t>
  </si>
  <si>
    <t xml:space="preserve"> 307-265-5917</t>
  </si>
  <si>
    <t>BM - Tom Dowler  OPS - Keith Lugg</t>
  </si>
  <si>
    <t>Motiva Enterprises - Port Arthur</t>
  </si>
  <si>
    <t>Mount Hope Finishing - Butner</t>
  </si>
  <si>
    <t>Butner,NC 27509</t>
  </si>
  <si>
    <t>Mountain City Lumber - Laurel Bloomery</t>
  </si>
  <si>
    <t>Laurel Bloomery,TN 37</t>
  </si>
  <si>
    <t>Mountain Coal Co/Wes - Somerset</t>
  </si>
  <si>
    <t>Somerset,CO 81434</t>
  </si>
  <si>
    <t>Mountain Forest Products - Abingdon</t>
  </si>
  <si>
    <t>24416 Regal Dr</t>
  </si>
  <si>
    <t>Abingdon,VA 24211</t>
  </si>
  <si>
    <t>(540) 676-2954</t>
  </si>
  <si>
    <t>Mountain Machine - Auburn</t>
  </si>
  <si>
    <t>Auburn,ME 04210</t>
  </si>
  <si>
    <t>Moyer Inc - Elkhart</t>
  </si>
  <si>
    <t>Moyer Tool</t>
  </si>
  <si>
    <t>226 Basher Drive</t>
  </si>
  <si>
    <t>Berthoud, CO 80513</t>
  </si>
  <si>
    <t>Moyno Industrial Pro - Springfield</t>
  </si>
  <si>
    <t>Mph Ind - Riverside</t>
  </si>
  <si>
    <t>MPI WISC Fineblanking</t>
  </si>
  <si>
    <t>Deerfield,WI 53531</t>
  </si>
  <si>
    <t>Mps Machinery Co - Desoto</t>
  </si>
  <si>
    <t>Desoto,TX 75115</t>
  </si>
  <si>
    <t>1401 MUELLER AVE.</t>
  </si>
  <si>
    <t>CHATTANOOGA, TN 37406-1397</t>
  </si>
  <si>
    <t>MRO</t>
  </si>
  <si>
    <t>205 Ala Highway 157</t>
  </si>
  <si>
    <t>256-734-7567</t>
  </si>
  <si>
    <t>256-734-3195</t>
  </si>
  <si>
    <t>MRS BAIRDS BAKERIES INC</t>
  </si>
  <si>
    <t>512 GEVERS</t>
  </si>
  <si>
    <t>SAN ANTONIO,TX 78291</t>
  </si>
  <si>
    <t>Mrs International - Fort Wayne</t>
  </si>
  <si>
    <t>Fort Wayne,IN 46825</t>
  </si>
  <si>
    <t>PO Box 790</t>
  </si>
  <si>
    <t>Buyer for Delphi Steering Systems Rpl - Setech</t>
  </si>
  <si>
    <t>MTC - Black River Falls</t>
  </si>
  <si>
    <t xml:space="preserve">Black River Falls,WI </t>
  </si>
  <si>
    <t>Mtc Technology - Tonawanda</t>
  </si>
  <si>
    <t>Mtr Martco - Middletown</t>
  </si>
  <si>
    <t>Mtr Ravensburg Inc. - Rochester</t>
  </si>
  <si>
    <t>Mts Seating - Temperance</t>
  </si>
  <si>
    <t>Temperance,MI 48182</t>
  </si>
  <si>
    <t>Mueller - Memphis</t>
  </si>
  <si>
    <t>8285 Tournament Drive Suite 150</t>
  </si>
  <si>
    <t>Memphis,TN 38125</t>
  </si>
  <si>
    <t>(901) 753-3200</t>
  </si>
  <si>
    <t>Mueller Fittings, L. - Covington</t>
  </si>
  <si>
    <t>Covington,TN 38019</t>
  </si>
  <si>
    <t>Mullinix Packaging I - Fort Wayne</t>
  </si>
  <si>
    <t>Fort Wayne,IN 46809</t>
  </si>
  <si>
    <t>Multek Flexible Circuits</t>
  </si>
  <si>
    <t>1150 Sheldahl Road</t>
  </si>
  <si>
    <t>Northfield, MN 55057</t>
  </si>
  <si>
    <t>Multicraft - Brandon</t>
  </si>
  <si>
    <t>148 Michel Street</t>
  </si>
  <si>
    <t>Brandon,MS 39042</t>
  </si>
  <si>
    <t>Multicraft SP&amp;A - Pelahatchie</t>
  </si>
  <si>
    <t>301 Brooks Avenue</t>
  </si>
  <si>
    <t>Pelahatchie,MS 39145</t>
  </si>
  <si>
    <t>(601) 854-5602</t>
  </si>
  <si>
    <t>(601) 854-7803</t>
  </si>
  <si>
    <t>Multicraft Tuscaloosa - Cottondale</t>
  </si>
  <si>
    <t>11005 Ed Stephens Road</t>
  </si>
  <si>
    <t>Cottondale,AL 35453</t>
  </si>
  <si>
    <t>(205) 554-3140</t>
  </si>
  <si>
    <t>(205) 554-3933</t>
  </si>
  <si>
    <t>Multiple Systems Inc - Amarillo</t>
  </si>
  <si>
    <t>Amarillo,TX 79105</t>
  </si>
  <si>
    <t>Multi-Source - Glen Head</t>
  </si>
  <si>
    <t>Glen Head,NY 11545</t>
  </si>
  <si>
    <t>Multy Ind - Dalton</t>
  </si>
  <si>
    <t>Portland,OR 97213</t>
  </si>
  <si>
    <t>Munters Corp - Fort Myers</t>
  </si>
  <si>
    <t>Fort Myers,FL 33907</t>
  </si>
  <si>
    <t>Murph Haines Inc. - Romeoville</t>
  </si>
  <si>
    <t>Romeoville,IL 60440</t>
  </si>
  <si>
    <t>Murphy Brothers Inc. - Princeton</t>
  </si>
  <si>
    <t>Princeton,IL 61356</t>
  </si>
  <si>
    <t>Murphy Plywood - Sutherlin</t>
  </si>
  <si>
    <t>Sutherlin,OR 97479</t>
  </si>
  <si>
    <t>4100 Southwest 28th Street</t>
  </si>
  <si>
    <t>Hollywood,FL 33023</t>
  </si>
  <si>
    <t>1700 Industrial Connector</t>
  </si>
  <si>
    <t>Muskatine,IA 52761</t>
  </si>
  <si>
    <t>Muskegon Castings - Muskegon</t>
  </si>
  <si>
    <t>Muskegon,MI 49442</t>
  </si>
  <si>
    <t>Muskogee Power Plant - Ft. Gibson</t>
  </si>
  <si>
    <t>Ft. Gibson,OK 74434</t>
  </si>
  <si>
    <t>Mutual Materials Com - Lakewood</t>
  </si>
  <si>
    <t>Lakewood,WA 98499</t>
  </si>
  <si>
    <t>MVI - Fenton</t>
  </si>
  <si>
    <t>233 Wolfner Drive</t>
  </si>
  <si>
    <t>N A V S E A Keyport - Keyport</t>
  </si>
  <si>
    <t>Keyport,WA 98345</t>
  </si>
  <si>
    <t>1604 Industrial Rd</t>
  </si>
  <si>
    <t>(843) 538-2131</t>
  </si>
  <si>
    <t>(843) 538-2134</t>
  </si>
  <si>
    <t>N. Ferrara - Somerset</t>
  </si>
  <si>
    <t>NA Finacial Services Center 0011-Cleveland</t>
  </si>
  <si>
    <t>PO Box 818031</t>
  </si>
  <si>
    <t>Cleveland, OH 44181</t>
  </si>
  <si>
    <t>Nabisco Brand Produc - Pittsburg</t>
  </si>
  <si>
    <t>Pittsburg,PA 15206</t>
  </si>
  <si>
    <t>Nacam N. American Co - Hebron</t>
  </si>
  <si>
    <t>Nacco Materials Hand - Buchanan</t>
  </si>
  <si>
    <t>Nacogdoches Pallet - Nacogdoches</t>
  </si>
  <si>
    <t>Nahama Ind</t>
  </si>
  <si>
    <t>2099 Kohler Rd</t>
  </si>
  <si>
    <t>Trufant,MI 49347</t>
  </si>
  <si>
    <t>616-984-5855</t>
  </si>
  <si>
    <t>616-984-9930</t>
  </si>
  <si>
    <t>Namm's Hydraulics - Crossett</t>
  </si>
  <si>
    <t>Nampac - Bristol</t>
  </si>
  <si>
    <t>470 Matthews St</t>
  </si>
  <si>
    <t>Bristol,CT 06010</t>
  </si>
  <si>
    <t>(860) 584-9359</t>
  </si>
  <si>
    <t>Nan Sub Trace N Pac - Pearl Harbor</t>
  </si>
  <si>
    <t>Pearl Harbor,HI 96860</t>
  </si>
  <si>
    <t>Nan Ya Plastics - Batchelor</t>
  </si>
  <si>
    <t>5561 Normandy Rd</t>
  </si>
  <si>
    <t>Batchelor,LA 70715</t>
  </si>
  <si>
    <t>(225) 492-2141</t>
  </si>
  <si>
    <t>(225) 492-2134</t>
  </si>
  <si>
    <t>Nan Ya Plastics Amer - Lake City</t>
  </si>
  <si>
    <t>140 E Beulah Rd</t>
  </si>
  <si>
    <t>Lake City,SC 29560</t>
  </si>
  <si>
    <t>(843) 389-7800</t>
  </si>
  <si>
    <t>Nancy'S Pies - Rock Island</t>
  </si>
  <si>
    <t>Rock Island,IL 612</t>
  </si>
  <si>
    <t>NASA - Dryden Flight Research Center (SHIP TO)</t>
  </si>
  <si>
    <t>Warehouse #6, Bldg. 4876</t>
  </si>
  <si>
    <t>Edwards, CA 93523-0273</t>
  </si>
  <si>
    <t>NASA/ARMSTRONG FLIGHT RESEARCH CTR.</t>
  </si>
  <si>
    <t>BLDG. 4876 WAREHOUSE #6</t>
  </si>
  <si>
    <t>EDWARDS, CA 93523-0273</t>
  </si>
  <si>
    <t>Nasa/Msfc - Restone Arsenal</t>
  </si>
  <si>
    <t>Restone Arsenal,AL 35</t>
  </si>
  <si>
    <t>Nascar Silicon Motor - Dallas</t>
  </si>
  <si>
    <t>Dallas,TX 75240</t>
  </si>
  <si>
    <t>Nash Hydraulics - Sheridan</t>
  </si>
  <si>
    <t>Sheridan,IL 60551</t>
  </si>
  <si>
    <t>711 51st Avenue North</t>
  </si>
  <si>
    <t>Nashville,TN 37209</t>
  </si>
  <si>
    <t>(615) 383-4547</t>
  </si>
  <si>
    <t>Nashville Steel - Nashville</t>
  </si>
  <si>
    <t>7211 Centennial Blvd</t>
  </si>
  <si>
    <t>(615) 350-7933</t>
  </si>
  <si>
    <t>(615) 350-8560</t>
  </si>
  <si>
    <t>Nashville Wire - Springfield</t>
  </si>
  <si>
    <t>Springfield,TN 37172</t>
  </si>
  <si>
    <t>NATCO Limited Partnership - Oak Brook</t>
  </si>
  <si>
    <t>Oak Brook,IL 60521</t>
  </si>
  <si>
    <t>National Auto System - Flint</t>
  </si>
  <si>
    <t>National Beef Packing Co - Dodge City</t>
  </si>
  <si>
    <t>2000 E Trail St</t>
  </si>
  <si>
    <t>Dodge City,KS 67801</t>
  </si>
  <si>
    <t>(316) 227-7135</t>
  </si>
  <si>
    <t>(316) 225-6413</t>
  </si>
  <si>
    <t>National Crane - Waverly</t>
  </si>
  <si>
    <t>Waverly,NE 68462</t>
  </si>
  <si>
    <t>National Forge Co. - Irvine</t>
  </si>
  <si>
    <t>Irvine,CA 16329</t>
  </si>
  <si>
    <t>National Gypsum Comp - National City</t>
  </si>
  <si>
    <t>National City,MI 48748</t>
  </si>
  <si>
    <t>National Gypsum Company</t>
  </si>
  <si>
    <t>Plant Warehouse</t>
  </si>
  <si>
    <t>Medcine Lodge,KS 67104</t>
  </si>
  <si>
    <t>National Hydraulic Supply - Cleveland</t>
  </si>
  <si>
    <t>7169 E. Pleasant Valley Road</t>
  </si>
  <si>
    <t>Cleveland,OH 44131</t>
  </si>
  <si>
    <t>(888) 707-3626</t>
  </si>
  <si>
    <t>(216) 447-9136</t>
  </si>
  <si>
    <t>National Mfg Co - Sterling</t>
  </si>
  <si>
    <t>Sterling,IL 61081</t>
  </si>
  <si>
    <t>National Oilwell - Houston</t>
  </si>
  <si>
    <t>National O-Rings - Downey</t>
  </si>
  <si>
    <t>Downey,CA 90241</t>
  </si>
  <si>
    <t>National Packaging Co - Decatur</t>
  </si>
  <si>
    <t>101 Lenwood Rd SW</t>
  </si>
  <si>
    <t>(256) 350-7047 ext26</t>
  </si>
  <si>
    <t>(256) 351-1156</t>
  </si>
  <si>
    <t>National Pattern - Saginaw</t>
  </si>
  <si>
    <t>National Steel Corp - Granite City</t>
  </si>
  <si>
    <t>National Technical S - Fullerton</t>
  </si>
  <si>
    <t>Fullerton,CA 92631</t>
  </si>
  <si>
    <t>Naval Amphibious - Norfolk</t>
  </si>
  <si>
    <t>Norfolk,VA 23521</t>
  </si>
  <si>
    <t>Naval Inventory Control Point-Mechanicsburg</t>
  </si>
  <si>
    <t>5450 Carlisle Pike</t>
  </si>
  <si>
    <t>Mechanicsburg, PA, 17055-0788</t>
  </si>
  <si>
    <t>717-506-4358</t>
  </si>
  <si>
    <t>Naval Submarine Base - Silverdale</t>
  </si>
  <si>
    <t>Silverdale,WA 98315</t>
  </si>
  <si>
    <t>Naval Surface Warfar - Dahlgren</t>
  </si>
  <si>
    <t>Dahlgren,VA 22448</t>
  </si>
  <si>
    <t>Naval Undersea Warefare Center</t>
  </si>
  <si>
    <t>1894 Wasp Blvd, Bldg 133</t>
  </si>
  <si>
    <t>Pearl Harbor, HI 96860-5809</t>
  </si>
  <si>
    <t>808-472-1771</t>
  </si>
  <si>
    <t>Keith Sunderlin is Maintenance Mgr</t>
  </si>
  <si>
    <t>Navasota Ind Supply - Navasota</t>
  </si>
  <si>
    <t>Navsea - Keyport - Keyport</t>
  </si>
  <si>
    <t>Nbe Mail Solutions - Omaha</t>
  </si>
  <si>
    <t>8526 L St</t>
  </si>
  <si>
    <t>(402) 339-4050</t>
  </si>
  <si>
    <t>Nc Finshing Plant - Salisbury</t>
  </si>
  <si>
    <t>Nci Building Systems - Chester</t>
  </si>
  <si>
    <t>Ne Public Power Dist - Sutherland</t>
  </si>
  <si>
    <t>Sutherland,NE 69165</t>
  </si>
  <si>
    <t>Nearman Creek Statio - Kansas City</t>
  </si>
  <si>
    <t>Kansas City,KS 66104</t>
  </si>
  <si>
    <t>Nebraska Beef - Omaha</t>
  </si>
  <si>
    <t>Ne-Cor Inc - Statesville</t>
  </si>
  <si>
    <t>Neely Bearing Supply - Grants Pass</t>
  </si>
  <si>
    <t>Grants Pass,OR 97526</t>
  </si>
  <si>
    <t>Neff Engineering - South Bend</t>
  </si>
  <si>
    <t>2026 Ironwood Circle</t>
  </si>
  <si>
    <t>South Bend,IN 46635</t>
  </si>
  <si>
    <t>(219) 272-8282</t>
  </si>
  <si>
    <t>(219) 277-3240</t>
  </si>
  <si>
    <t>Neff Power Inc - St. Louis</t>
  </si>
  <si>
    <t>6500 Page Avenue</t>
  </si>
  <si>
    <t>St. Louis,MO 63133</t>
  </si>
  <si>
    <t>(800) 325-8612</t>
  </si>
  <si>
    <t>(314) 727-0314</t>
  </si>
  <si>
    <t>Neff-South Bend - South Bend</t>
  </si>
  <si>
    <t>Neiman Sawmill - Huelett</t>
  </si>
  <si>
    <t>Huelett,WY 82720</t>
  </si>
  <si>
    <t>Nelson Div West - Neillsville</t>
  </si>
  <si>
    <t>Neillsville,WI 54456</t>
  </si>
  <si>
    <t>Nelson Division - Stoughton</t>
  </si>
  <si>
    <t>Nelson M&amp;E Developme - Black River Falls</t>
  </si>
  <si>
    <t>Nemeth - Crestwood</t>
  </si>
  <si>
    <t>Crestwood,KY 40014</t>
  </si>
  <si>
    <t>Neolens, Inc - Miami</t>
  </si>
  <si>
    <t>Miami,FL 33179</t>
  </si>
  <si>
    <t>Neosho Concrete Prod - Neosho</t>
  </si>
  <si>
    <t>Neshoba Lumber Co. - Philadelphia</t>
  </si>
  <si>
    <t>Philadelphia,MS 39350</t>
  </si>
  <si>
    <t>Nestaway - McKenzie</t>
  </si>
  <si>
    <t>1373 Rochelle RD</t>
  </si>
  <si>
    <t>McKenzie,TN 38201</t>
  </si>
  <si>
    <t>(731) 352-3307</t>
  </si>
  <si>
    <t>Nestle Beverage Co. - Freehold</t>
  </si>
  <si>
    <t>Freehold,NJ 7728</t>
  </si>
  <si>
    <t>Nestle Brands Foodse - Othello</t>
  </si>
  <si>
    <t>Nestle'S Frozen Food - Gaffney</t>
  </si>
  <si>
    <t>Nestor Sales Llc - Largo</t>
  </si>
  <si>
    <t>Largo,FL 33777</t>
  </si>
  <si>
    <t>Net Forge Inc. - Columbus</t>
  </si>
  <si>
    <t>Netec, Inc. - Chelsea</t>
  </si>
  <si>
    <t>291 Eastern Ave</t>
  </si>
  <si>
    <t>Chelsea,MA 2150</t>
  </si>
  <si>
    <t>(617) 884-4354</t>
  </si>
  <si>
    <t>Netterville Lumber C - Woodville</t>
  </si>
  <si>
    <t>Woodville,MS 39669</t>
  </si>
  <si>
    <t>New England Containe - Baltimore</t>
  </si>
  <si>
    <t>New Florence Wood Pr - New Florence</t>
  </si>
  <si>
    <t xml:space="preserve">New Florence,MO </t>
  </si>
  <si>
    <t>New Generation Yarn - Gibsonville</t>
  </si>
  <si>
    <t>Gibsonville,NC 27249</t>
  </si>
  <si>
    <t>New Hampton Metal Fa - New Hampton</t>
  </si>
  <si>
    <t>New Hampton,IA 50659</t>
  </si>
  <si>
    <t>New Jersey Institute - Newark</t>
  </si>
  <si>
    <t>Newark,NJ 07102</t>
  </si>
  <si>
    <t>Kenilworth,NJ 07033</t>
  </si>
  <si>
    <t>New River Castings - Radford</t>
  </si>
  <si>
    <t>Radford,VA 24143</t>
  </si>
  <si>
    <t>New South Forest Ind - Conway</t>
  </si>
  <si>
    <t>New South Inc - Camden</t>
  </si>
  <si>
    <t>Camden,SC 29020</t>
  </si>
  <si>
    <t>New South Inc. Graha - Graham</t>
  </si>
  <si>
    <t>New South Lumber</t>
  </si>
  <si>
    <t>Highway 1 North</t>
  </si>
  <si>
    <t>Camden, SC 29020</t>
  </si>
  <si>
    <t>4380 E. Baldwin Road</t>
  </si>
  <si>
    <t>Holly,MI 48422</t>
  </si>
  <si>
    <t>New Venture - Portland</t>
  </si>
  <si>
    <t>Newberry Wood Produc - Newberry</t>
  </si>
  <si>
    <t>Newco Acquisition Co - Menominee</t>
  </si>
  <si>
    <t>Deckerville,MI 48427</t>
  </si>
  <si>
    <t>Newell Machine - Arlington</t>
  </si>
  <si>
    <t>Newell Manufacturing - Lowell</t>
  </si>
  <si>
    <t>Lowell,MI 49331</t>
  </si>
  <si>
    <t>Newell Rubbermaid - Wooster</t>
  </si>
  <si>
    <t>1170 Akron Road</t>
  </si>
  <si>
    <t>(330) 264-6470</t>
  </si>
  <si>
    <t>Newnes Machine - Sherwood</t>
  </si>
  <si>
    <t>Newnes Machine Ltd. - Salmon Arm</t>
  </si>
  <si>
    <t>Salmon Arm,BC V1E 4N2</t>
  </si>
  <si>
    <t>Newnes Machine Works - Blaine</t>
  </si>
  <si>
    <t>Blaine,WA 98230</t>
  </si>
  <si>
    <t xml:space="preserve">NewPage Corp. </t>
  </si>
  <si>
    <t>35 Hartford Street</t>
  </si>
  <si>
    <t>Newport Steel - Wilder</t>
  </si>
  <si>
    <t>Wilder,KY 41071</t>
  </si>
  <si>
    <t>Newton Design</t>
  </si>
  <si>
    <t>27602 E. Admiral Pl.</t>
  </si>
  <si>
    <t>Catoosa, OK 74015</t>
  </si>
  <si>
    <t>918-266-6205 ext. 102</t>
  </si>
  <si>
    <t>Ngc Ind - New Columbia</t>
  </si>
  <si>
    <t>New Columbia,PA 17856</t>
  </si>
  <si>
    <t>Niagara National - Atlanta</t>
  </si>
  <si>
    <t>Atlanta,GA 30318</t>
  </si>
  <si>
    <t>Nibco Inc. - S. Glens Falls</t>
  </si>
  <si>
    <t>S. Glens Falls,NY 1</t>
  </si>
  <si>
    <t>Nibco, Inc. - Elkhart</t>
  </si>
  <si>
    <t>Nichols Aluminum - Decatur</t>
  </si>
  <si>
    <t>2001 Hwy 20 W</t>
  </si>
  <si>
    <t>(256) 353-1550 ext 3277</t>
  </si>
  <si>
    <t>(256) 355-5928</t>
  </si>
  <si>
    <t>Nichols Aluminum - Lincolnshire</t>
  </si>
  <si>
    <t xml:space="preserve">Lincolnshire,IL </t>
  </si>
  <si>
    <t>NICHOLS ALUMINUM CASTINGS - DAVENPORT</t>
  </si>
  <si>
    <t>2101 JM MORRIS BLVD.</t>
  </si>
  <si>
    <t>DAVENPORT, IA 52802</t>
  </si>
  <si>
    <t xml:space="preserve">IOWA FLUID POWER CUST. </t>
  </si>
  <si>
    <t>Nicholson File Co - Cullman</t>
  </si>
  <si>
    <t>Nicholson Mfg - Seattle</t>
  </si>
  <si>
    <t>Nickles Bakery - Lima</t>
  </si>
  <si>
    <t>Lima,OH 45801</t>
  </si>
  <si>
    <t>Nickson Ind - Plainville</t>
  </si>
  <si>
    <t>Nim-Cor Inc - Nashua</t>
  </si>
  <si>
    <t>Nashua,NH 03061</t>
  </si>
  <si>
    <t>Nix Forest Industrie - Timpson</t>
  </si>
  <si>
    <t>Timpson,TX 75975</t>
  </si>
  <si>
    <t>Erwin,TN 37650</t>
  </si>
  <si>
    <t>NND10AM56P - NASA-Dryden Flight Research Center</t>
  </si>
  <si>
    <t>PO Box 273 M/S 1422</t>
  </si>
  <si>
    <t>Noland Company - Mcminnville</t>
  </si>
  <si>
    <t>1226 Belmont Dr</t>
  </si>
  <si>
    <t>Mcminnville,TN 37110</t>
  </si>
  <si>
    <t>(931) 473-1838</t>
  </si>
  <si>
    <t>Non Ferrous Products - Franklin</t>
  </si>
  <si>
    <t>Norandal Usa - Huntingdon</t>
  </si>
  <si>
    <t>1284 Northwood Drive</t>
  </si>
  <si>
    <t>Huntingdon,TN 38344</t>
  </si>
  <si>
    <t>(901) 986-5011</t>
  </si>
  <si>
    <t>(901) 986-2738</t>
  </si>
  <si>
    <t>Norandel USA - Newport</t>
  </si>
  <si>
    <t>3814 Highway 67 North</t>
  </si>
  <si>
    <t>Newport,AR 72112</t>
  </si>
  <si>
    <t>(870) 523-2771</t>
  </si>
  <si>
    <t>(870) 523-9411</t>
  </si>
  <si>
    <t>Norandel USA - Salisbury</t>
  </si>
  <si>
    <t>1709 Jake Alexander Blvd</t>
  </si>
  <si>
    <t>(704) 633-6020</t>
  </si>
  <si>
    <t>(704) 637-4582</t>
  </si>
  <si>
    <t>Norboro Mississippi - Guntown</t>
  </si>
  <si>
    <t>Guntown,MS 38849</t>
  </si>
  <si>
    <t>Nor-Cal Controls, Inc. - Santa Clara</t>
  </si>
  <si>
    <t>1400 Coleman Ave. H-12</t>
  </si>
  <si>
    <t>(408) 727-5756</t>
  </si>
  <si>
    <t>(408) 988-3046</t>
  </si>
  <si>
    <t>Nordberg - Clintonville</t>
  </si>
  <si>
    <t>325 15Th St</t>
  </si>
  <si>
    <t>(715) 823-3163</t>
  </si>
  <si>
    <t>(715) 823-5835</t>
  </si>
  <si>
    <t>Rochester,NY 14508</t>
  </si>
  <si>
    <t>Nordstorm Valve Inc. - Sulphur Springs</t>
  </si>
  <si>
    <t>1511 Jefferson St E</t>
  </si>
  <si>
    <t>Sulphur Springs,TX 75482</t>
  </si>
  <si>
    <t>(903) 885-3151</t>
  </si>
  <si>
    <t>Hollidaysburg,PA 1</t>
  </si>
  <si>
    <t>Norfolk,VA 23507</t>
  </si>
  <si>
    <t>Norfolk Dredging</t>
  </si>
  <si>
    <t>110 North Centerville Turnpike</t>
  </si>
  <si>
    <t>Chesapeake, VA 23320</t>
  </si>
  <si>
    <t>757-547-0019</t>
  </si>
  <si>
    <t>Norfolk Southern Railway</t>
  </si>
  <si>
    <t>1680 Marietta Road</t>
  </si>
  <si>
    <t>Norman Equipment - Bridgeview</t>
  </si>
  <si>
    <t>9850 South Industrial Dr</t>
  </si>
  <si>
    <t>(800) 323-2710</t>
  </si>
  <si>
    <t>(708) 430-1770</t>
  </si>
  <si>
    <t>Norman Equipment - New Berlin</t>
  </si>
  <si>
    <t>16150 W Rogers Dr</t>
  </si>
  <si>
    <t>(800) 759-0707</t>
  </si>
  <si>
    <t>(262) 784-9644</t>
  </si>
  <si>
    <t>Norse Dairy Systems - Rhinelander</t>
  </si>
  <si>
    <t>Rhinelander,WI 54501</t>
  </si>
  <si>
    <t>North Alabama Fabricating Co Inc</t>
  </si>
  <si>
    <t>4632 Richard Arrington Jr BLVD</t>
  </si>
  <si>
    <t>Birmingham,AL 35212</t>
  </si>
  <si>
    <t>205-591-5554</t>
  </si>
  <si>
    <t>205-591-9426</t>
  </si>
  <si>
    <t>North Alabama Fabricating Co.-Cullman</t>
  </si>
  <si>
    <t>1540  CR 222</t>
  </si>
  <si>
    <t>Cullman,AL 35057</t>
  </si>
  <si>
    <t>North American Construction Services</t>
  </si>
  <si>
    <t>5000 Commerce Avenue</t>
  </si>
  <si>
    <t>Birmingham,AL 35210</t>
  </si>
  <si>
    <t>205-956-3194</t>
  </si>
  <si>
    <t>205-956-8434</t>
  </si>
  <si>
    <t>North American Mfg Co - Scranton</t>
  </si>
  <si>
    <t>Scranton,PA 18508</t>
  </si>
  <si>
    <t>North American Truck - Janesville</t>
  </si>
  <si>
    <t>Janesville,WI 53546</t>
  </si>
  <si>
    <t>North Central Service - South Williamport</t>
  </si>
  <si>
    <t>South Williamport,PA 1</t>
  </si>
  <si>
    <t>North Coast Paving - Crescent City</t>
  </si>
  <si>
    <t>Crescent City,CA 9553</t>
  </si>
  <si>
    <t>North Ferry Co. Inc</t>
  </si>
  <si>
    <t>1 Prospect Dock</t>
  </si>
  <si>
    <t>Shelter Island Hts, NY 11965</t>
  </si>
  <si>
    <t>Hydradyne Hydraulics customer</t>
  </si>
  <si>
    <t>North Florida Lumber - Bristol</t>
  </si>
  <si>
    <t>Highway 12 South</t>
  </si>
  <si>
    <t>Bristol,FL 32321</t>
  </si>
  <si>
    <t>850-263-4240</t>
  </si>
  <si>
    <t>North Kent Hydraulic - Greenville</t>
  </si>
  <si>
    <t>Greenville,MI 48832</t>
  </si>
  <si>
    <t>North Santiam Plywood - Lyons</t>
  </si>
  <si>
    <t>North Shere Mfg. - Benton Harbor</t>
  </si>
  <si>
    <t>North Star Blue ScopeSteel, LLC</t>
  </si>
  <si>
    <t>6767 county Road 9</t>
  </si>
  <si>
    <t>Delta, OH 43515</t>
  </si>
  <si>
    <t>419-822-2200</t>
  </si>
  <si>
    <t>419-710-9049</t>
  </si>
  <si>
    <t>North Star Steel Arizona - Kingman</t>
  </si>
  <si>
    <t>Kingman,AZ 86413</t>
  </si>
  <si>
    <t>North Star Steel Co - Wilton</t>
  </si>
  <si>
    <t>Wilton,IA 52778</t>
  </si>
  <si>
    <t>North West Hardwoods - Centralia</t>
  </si>
  <si>
    <t>Centralia,WA 98531</t>
  </si>
  <si>
    <t>Northeast Kansas Hyd - Topeka</t>
  </si>
  <si>
    <t>Topeka,KS 66608</t>
  </si>
  <si>
    <t>Northeast Model - Mentor</t>
  </si>
  <si>
    <t>Northern Colorado Fluid Power - Longmont</t>
  </si>
  <si>
    <t>15741 County Road 5</t>
  </si>
  <si>
    <t>(303) 651-6350</t>
  </si>
  <si>
    <t>(970) 535-0924</t>
  </si>
  <si>
    <t>Northern Concrete Pipe - Bay City</t>
  </si>
  <si>
    <t>Northern Hardwoods - South Range</t>
  </si>
  <si>
    <t>South Range,MI 49963</t>
  </si>
  <si>
    <t>Northern Industrial - Midland</t>
  </si>
  <si>
    <t>Midland,MI 48642</t>
  </si>
  <si>
    <t>Northern Kentucky En - Hebron</t>
  </si>
  <si>
    <t>Northern Metal Fab, Inc.</t>
  </si>
  <si>
    <t>510 Vandeberg Street</t>
  </si>
  <si>
    <t>Baldwin,wi 54002</t>
  </si>
  <si>
    <t>Northern States Beef - Omaha</t>
  </si>
  <si>
    <t>Northern States Powe - Becker</t>
  </si>
  <si>
    <t>Becker,MN 55308</t>
  </si>
  <si>
    <t>Northfield Block Co - Channahon</t>
  </si>
  <si>
    <t>Channahon,IL 60410</t>
  </si>
  <si>
    <t>Northfield Block Com - Romeoville</t>
  </si>
  <si>
    <t>Romeoville,IL 60441</t>
  </si>
  <si>
    <t>Northland Willette - Plainville</t>
  </si>
  <si>
    <t>Plainville,MA 02762</t>
  </si>
  <si>
    <t>Northrop Grumman - Dallas</t>
  </si>
  <si>
    <t>Dallas,TX 75211</t>
  </si>
  <si>
    <t>Northstar Propellers - San Diego</t>
  </si>
  <si>
    <t>Northwest Alloys - Addy</t>
  </si>
  <si>
    <t>Addy,WA 99101</t>
  </si>
  <si>
    <t>Northwest Aluminum - The Dalles</t>
  </si>
  <si>
    <t>Northwest Hardwood - Eugene</t>
  </si>
  <si>
    <t>Northwest Hardwoods - Lewiston</t>
  </si>
  <si>
    <t>Northwest Hydraulics - Oden</t>
  </si>
  <si>
    <t>Oden,MI 49764</t>
  </si>
  <si>
    <t>Northwest Installati - Findlay</t>
  </si>
  <si>
    <t>Findlay,OH 45840</t>
  </si>
  <si>
    <t>Northwest Machinery - Tigard</t>
  </si>
  <si>
    <t>Tigard,OR 97224</t>
  </si>
  <si>
    <t>Northwest Municipal - Chicago</t>
  </si>
  <si>
    <t>Chicago,IL 60666</t>
  </si>
  <si>
    <t>Northwest Pacific Co - Medford</t>
  </si>
  <si>
    <t>Medford,OR 97504</t>
  </si>
  <si>
    <t>Northwest Pipe Company</t>
  </si>
  <si>
    <t>6030 N Washington St</t>
  </si>
  <si>
    <t>Northwestern Machine</t>
  </si>
  <si>
    <t>20853 Sugar Creek Estates Road</t>
  </si>
  <si>
    <t>Athens, AL, 35614</t>
  </si>
  <si>
    <t>256-729-8521</t>
  </si>
  <si>
    <t xml:space="preserve">Northwood Inc. - </t>
  </si>
  <si>
    <t>, V2N 5S4</t>
  </si>
  <si>
    <t>Northwood Panelboard - Solway</t>
  </si>
  <si>
    <t>Solway,MN 56678</t>
  </si>
  <si>
    <t>Norton Company - Watervliet</t>
  </si>
  <si>
    <t>Watervliet,NY 12189</t>
  </si>
  <si>
    <t>Taft,CA 93268</t>
  </si>
  <si>
    <t>Norwalk Powered Meta - Norwalk</t>
  </si>
  <si>
    <t>Norwalk,CT 06852</t>
  </si>
  <si>
    <t>No-Sag Foam - West Chicago</t>
  </si>
  <si>
    <t>Nott Copmany - Arden Hills</t>
  </si>
  <si>
    <t>Arden Hills,MN 55112</t>
  </si>
  <si>
    <t>Novartis Crop Protec - St. Gabriel</t>
  </si>
  <si>
    <t>St. Gabriel,LA 70776</t>
  </si>
  <si>
    <t>Npc America - Batchelor City</t>
  </si>
  <si>
    <t>Batchelor City,LA 70715</t>
  </si>
  <si>
    <t>Nswc Acoustic Res.De - Bayview Driver</t>
  </si>
  <si>
    <t>Bayview Driver,ID 838</t>
  </si>
  <si>
    <t>Nswc Carderock - Bethesda</t>
  </si>
  <si>
    <t>Bethesda,MD 20817</t>
  </si>
  <si>
    <t>Nucil Tech - Carpenteria</t>
  </si>
  <si>
    <t>Carpenteria,CA 93013</t>
  </si>
  <si>
    <t>Nucor - Decatur</t>
  </si>
  <si>
    <t>4301 Iverson Blvd</t>
  </si>
  <si>
    <t>(256) 301-3500</t>
  </si>
  <si>
    <t>(256) 301-3545</t>
  </si>
  <si>
    <t>Nucor - Tuscaloosa</t>
  </si>
  <si>
    <t>1700 Holt Road NE</t>
  </si>
  <si>
    <t>Tuscaloosa, Al 35404</t>
  </si>
  <si>
    <t>205-562-1178</t>
  </si>
  <si>
    <t>NUCOR - Vulcraft Group</t>
  </si>
  <si>
    <t>PO Box 680169</t>
  </si>
  <si>
    <t>Nucor Steel</t>
  </si>
  <si>
    <t>300 Steel Mill Rd.</t>
  </si>
  <si>
    <t>Darlington, SC. 29540</t>
  </si>
  <si>
    <t>Nucor Steel - Decatur</t>
  </si>
  <si>
    <t>3401 W. HWY. 20, BLDG.M</t>
  </si>
  <si>
    <t>256-301-3500</t>
  </si>
  <si>
    <t>256-301-3545</t>
  </si>
  <si>
    <t>NUCOR STEEL - DECATUR HOT MILL</t>
  </si>
  <si>
    <t>4301 IVERSON BLVD</t>
  </si>
  <si>
    <t>TRINITY, AL 35673</t>
  </si>
  <si>
    <t>Nucor Steel Arkansas</t>
  </si>
  <si>
    <t>7301 E. County Road 142</t>
  </si>
  <si>
    <t>Nucor Steel Cold Mill</t>
  </si>
  <si>
    <t>3401 Process Drive</t>
  </si>
  <si>
    <t>Nucor Steel Corp - Huger</t>
  </si>
  <si>
    <t>1455 Hagan Avenue</t>
  </si>
  <si>
    <t>Huger,SC 29450</t>
  </si>
  <si>
    <t>Nucor Steel Division - Jewett</t>
  </si>
  <si>
    <t>Jewett,TX 75846</t>
  </si>
  <si>
    <t>NUCOR STEEL KINGMAN</t>
  </si>
  <si>
    <t>3000 WEST OLD HWY 66</t>
  </si>
  <si>
    <t>KINGMAN, AZ 86413</t>
  </si>
  <si>
    <t>972-660-1076</t>
  </si>
  <si>
    <t>HYDRAQUIP HOUSTON, TX CUSTOMER</t>
  </si>
  <si>
    <t>Nucor Vulcraft Group</t>
  </si>
  <si>
    <t>7205 Gault Ave N / Rec'g Dept</t>
  </si>
  <si>
    <t>Nucor-Yamato - Armorel</t>
  </si>
  <si>
    <t>Armorel,AR 72310</t>
  </si>
  <si>
    <t>Nudraulix Automation - Mobile</t>
  </si>
  <si>
    <t>Mobile,AL 36608</t>
  </si>
  <si>
    <t>251-633-2313</t>
  </si>
  <si>
    <t>251-633-3298</t>
  </si>
  <si>
    <t>Nu-Foam Products Inc - Chattanooga</t>
  </si>
  <si>
    <t>1101 Wisdom St</t>
  </si>
  <si>
    <t>(423) 698-6911</t>
  </si>
  <si>
    <t>(423) 629-4570</t>
  </si>
  <si>
    <t>Nukem Nuclear Techno - Columbia</t>
  </si>
  <si>
    <t>Numatic Engineering - Sun Valley</t>
  </si>
  <si>
    <t>7915 Ajay Drive</t>
  </si>
  <si>
    <t>Numatics Actuator</t>
  </si>
  <si>
    <t>308 Mallory Station Road</t>
  </si>
  <si>
    <t>Franklin,TN 37067</t>
  </si>
  <si>
    <t>615-236-1304</t>
  </si>
  <si>
    <t>615-236-1404</t>
  </si>
  <si>
    <t>Numatics Actuator - Mt. Pleasant</t>
  </si>
  <si>
    <t>103 Sam Watkins Blvd.</t>
  </si>
  <si>
    <t>Mt. Pleasant, TN 38474</t>
  </si>
  <si>
    <t>Numerical Concepts I - Tarrehoute</t>
  </si>
  <si>
    <t>Tarrehoute,IN 47804</t>
  </si>
  <si>
    <t>Nuoraulix Automation - Mobile</t>
  </si>
  <si>
    <t>Nusil Technology - Carpenteria</t>
  </si>
  <si>
    <t>Nutone Division - Cincinnati</t>
  </si>
  <si>
    <t>NutriMix Feed Company, Inc.</t>
  </si>
  <si>
    <t>Calle Desembarcadero Final</t>
  </si>
  <si>
    <t>Guaynabo, Puerto Rico, 00969</t>
  </si>
  <si>
    <t>787-641-5175</t>
  </si>
  <si>
    <t>O G F Service Co. - Elgin</t>
  </si>
  <si>
    <t>Elgin,IL 60120</t>
  </si>
  <si>
    <t>O.F. Sayre Company - Tunkhannock</t>
  </si>
  <si>
    <t>Tunkhannock,PA 18657</t>
  </si>
  <si>
    <t>Oak Harbor Hydraulic - Oak Harbor</t>
  </si>
  <si>
    <t>Oak Harbor,OH 43449</t>
  </si>
  <si>
    <t>Oakland Machine Work - Oakland</t>
  </si>
  <si>
    <t>Oakland,CA 94607</t>
  </si>
  <si>
    <t>Oakman Hardwood</t>
  </si>
  <si>
    <t>9059 Highway 69 South</t>
  </si>
  <si>
    <t>Oakman,AL 35579</t>
  </si>
  <si>
    <t>205-622-3796</t>
  </si>
  <si>
    <t>205-622-3556</t>
  </si>
  <si>
    <t>Oberfield'S Inc - Sunbury</t>
  </si>
  <si>
    <t>Sunbury,OH 43074</t>
  </si>
  <si>
    <t>Oberfield'S, Inc. - Columbus</t>
  </si>
  <si>
    <t>Columbus,OH 43206</t>
  </si>
  <si>
    <t>O'Brien Engineering - Birmingham</t>
  </si>
  <si>
    <t>3411 Lorna Lane</t>
  </si>
  <si>
    <t>(205) 823-5201</t>
  </si>
  <si>
    <t>(205) 823-5203</t>
  </si>
  <si>
    <t>Occidental Chemical - Niagara Falls</t>
  </si>
  <si>
    <t>Niagara Falls,NY 1430</t>
  </si>
  <si>
    <t>Ocean Spray - Tomah</t>
  </si>
  <si>
    <t>Oceaneering - Orlando</t>
  </si>
  <si>
    <t>Orlando,FL 32809</t>
  </si>
  <si>
    <t>Oceaneering Int'L - Houston</t>
  </si>
  <si>
    <t>Oceanex Services Int - Houston</t>
  </si>
  <si>
    <t>Houston,TX 77084</t>
  </si>
  <si>
    <t>Cedar Rapids,IA 52233</t>
  </si>
  <si>
    <t>Odot District #3 - Salem</t>
  </si>
  <si>
    <t>885 Airport Rd Se</t>
  </si>
  <si>
    <t>Salem,OR 97301</t>
  </si>
  <si>
    <t>(503) 986-2874</t>
  </si>
  <si>
    <t>ODS International Inc.</t>
  </si>
  <si>
    <t>10375 Richmond Ave. Suite 800</t>
  </si>
  <si>
    <t>Houston, TX 77042</t>
  </si>
  <si>
    <t>713-579-7300</t>
  </si>
  <si>
    <t>713-579-7301</t>
  </si>
  <si>
    <t>16881 US Hwy 17 North-Unit F</t>
  </si>
  <si>
    <t>Hampstead, NC 28443</t>
  </si>
  <si>
    <t>Offshore Energy SCVS.</t>
  </si>
  <si>
    <t>5900 U.S. HWY. 90 East</t>
  </si>
  <si>
    <t>Offshore Inland - Mobile</t>
  </si>
  <si>
    <t>3521 Brookdale Dr S</t>
  </si>
  <si>
    <t>Mobile,AL 36618</t>
  </si>
  <si>
    <t>(800) 489-8120</t>
  </si>
  <si>
    <t>(251) 479-6162</t>
  </si>
  <si>
    <t xml:space="preserve">Offshore Kenamatics - </t>
  </si>
  <si>
    <t>Offshore Traders - Miami</t>
  </si>
  <si>
    <t>Ogden Engineering - Schererville</t>
  </si>
  <si>
    <t xml:space="preserve">Schererville,IN </t>
  </si>
  <si>
    <t>Ogle Fluid Power - Seattle</t>
  </si>
  <si>
    <t>Seattle,WA 98144</t>
  </si>
  <si>
    <t>Ohi Automotive - Frankfort</t>
  </si>
  <si>
    <t>Ohio Brass - Aiken</t>
  </si>
  <si>
    <t>Ohio Bridge Company</t>
  </si>
  <si>
    <t>201 Wheeling Avenue</t>
  </si>
  <si>
    <t>Cambridge, OH 43725</t>
  </si>
  <si>
    <t>Ohio Hydraulics Inc. - Cincinnati</t>
  </si>
  <si>
    <t>2510 E. Sharon Road</t>
  </si>
  <si>
    <t>(513) 771-2590</t>
  </si>
  <si>
    <t>(513) 771-1447</t>
  </si>
  <si>
    <t>Los Angeles,CA 90040</t>
  </si>
  <si>
    <t>Ohio Metal Processing - Cincinnati</t>
  </si>
  <si>
    <t>Cincinnati,OH 45240</t>
  </si>
  <si>
    <t>Louisville,KY 40219</t>
  </si>
  <si>
    <t>Ohio Willowwood - Mt. Sterling</t>
  </si>
  <si>
    <t>Mt. Sterling,OH 43</t>
  </si>
  <si>
    <t>4208 Waterwood Drive</t>
  </si>
  <si>
    <t>Lake Charles,LA 70605</t>
  </si>
  <si>
    <t>(256) 562-1943</t>
  </si>
  <si>
    <t>Oil States Ind, Inc.</t>
  </si>
  <si>
    <t>5819 Almeda Genoa</t>
  </si>
  <si>
    <t>Houston, TX 77048</t>
  </si>
  <si>
    <t>Hydraquip - Houston's Customer</t>
  </si>
  <si>
    <t>Oil-Air Products, Inc - Hamel</t>
  </si>
  <si>
    <t>P.O. Box 129, 295 Highway 55</t>
  </si>
  <si>
    <t>(612) 478-8744</t>
  </si>
  <si>
    <t>(888) 645-2477</t>
  </si>
  <si>
    <t>Oilquip Inc - Lake Charles</t>
  </si>
  <si>
    <t>1001 1st Ave</t>
  </si>
  <si>
    <t>(800) 624-5704</t>
  </si>
  <si>
    <t>(337) 439-4808</t>
  </si>
  <si>
    <t>Oilquip Inc. - Beaumont</t>
  </si>
  <si>
    <t>435 Avenue C</t>
  </si>
  <si>
    <t>Beaumont, TX  77701</t>
  </si>
  <si>
    <t>409-212-0800</t>
  </si>
  <si>
    <t>409-212-0804</t>
  </si>
  <si>
    <t>Oilquip, Inc - Baton Rouge</t>
  </si>
  <si>
    <t>6720 Exchequer Drive</t>
  </si>
  <si>
    <t>Baton Rouge,LA 70809</t>
  </si>
  <si>
    <t>(225) 751-9838</t>
  </si>
  <si>
    <t>(225) 751-9851</t>
  </si>
  <si>
    <t>Oilquip, Inc. - Shreveport</t>
  </si>
  <si>
    <t>212 Agurs Street</t>
  </si>
  <si>
    <t>(800) 737-2845</t>
  </si>
  <si>
    <t>(318) 424-2884</t>
  </si>
  <si>
    <t>Okeelanta Corp. - South Bay</t>
  </si>
  <si>
    <t>South Bay,FL 33493</t>
  </si>
  <si>
    <t>Dixon,CA 95620</t>
  </si>
  <si>
    <t>Oklahoma Leather - Miami</t>
  </si>
  <si>
    <t>Miami,OK 74354</t>
  </si>
  <si>
    <t>Oklahoma Steel And Wire - Madill</t>
  </si>
  <si>
    <t>Madill,OK 73446</t>
  </si>
  <si>
    <t>Okonite Company - Orangeburg</t>
  </si>
  <si>
    <t>Old Line Plastics - Forest Hill</t>
  </si>
  <si>
    <t>Forest Hill,MD 21050</t>
  </si>
  <si>
    <t>Olin Brass - East Alton</t>
  </si>
  <si>
    <t>427 No Shamrock St</t>
  </si>
  <si>
    <t>East Alton,IL 62024-1197</t>
  </si>
  <si>
    <t>Olin Brass - Indianapolis</t>
  </si>
  <si>
    <t>Olin Chlor Alkali Pr - Niagara Falls</t>
  </si>
  <si>
    <t>Olympic Forest Products - Mist</t>
  </si>
  <si>
    <t>Mist,OR 97016</t>
  </si>
  <si>
    <t>Olympic Steel - Bettendorf</t>
  </si>
  <si>
    <t>Omaigold Mines Limit - Houston</t>
  </si>
  <si>
    <t>Houston,TX 77012</t>
  </si>
  <si>
    <t>OMC - Andrews</t>
  </si>
  <si>
    <t>Andrews,NC 28901</t>
  </si>
  <si>
    <t>OMC - Calhoun</t>
  </si>
  <si>
    <t>Calhoun,GA 30701</t>
  </si>
  <si>
    <t>Omc Aluminum Boat Gr - Syracuse</t>
  </si>
  <si>
    <t>Syracuse,IN 46567</t>
  </si>
  <si>
    <t>Omega - St. Louis</t>
  </si>
  <si>
    <t>Omni Engineering - Omaha</t>
  </si>
  <si>
    <t>Omaha,NE 68138</t>
  </si>
  <si>
    <t>Omni Filters - Hammond</t>
  </si>
  <si>
    <t>Omnipure Filter Comp - Caldwell</t>
  </si>
  <si>
    <t>Omnitech Robotics - Englewood</t>
  </si>
  <si>
    <t>Englewood,CO 80110</t>
  </si>
  <si>
    <t>Omnithruster - Orange</t>
  </si>
  <si>
    <t>Orange,CA 92867</t>
  </si>
  <si>
    <t>Omnova Solutions - Columbus</t>
  </si>
  <si>
    <t>133 Yorkville Road East</t>
  </si>
  <si>
    <t>Columbus,MS 39703</t>
  </si>
  <si>
    <t>(662) 245-1928</t>
  </si>
  <si>
    <t>(662) 243-7732</t>
  </si>
  <si>
    <t>Onco Block Co. - Oceanside</t>
  </si>
  <si>
    <t>Oceanside,CA 92056</t>
  </si>
  <si>
    <t>On-Core Frozen Foods - Northbrook</t>
  </si>
  <si>
    <t>Northbrook,IL 60062</t>
  </si>
  <si>
    <t>Oneida Molded Plasti - Siler City</t>
  </si>
  <si>
    <t>Siler City,NC 2734</t>
  </si>
  <si>
    <t>On-Point - Fairfield</t>
  </si>
  <si>
    <t>Fairfield,OH 45014</t>
  </si>
  <si>
    <t>Ontario Hardwoods - Keysville</t>
  </si>
  <si>
    <t>Keysville,VA 23947</t>
  </si>
  <si>
    <t>Open Loop Energy - Stafford</t>
  </si>
  <si>
    <t>317 8th Avenue</t>
  </si>
  <si>
    <t>Stafford,AZ 85546</t>
  </si>
  <si>
    <t>(928) 348-9200</t>
  </si>
  <si>
    <t>(928) 348-9600</t>
  </si>
  <si>
    <t>ORBINOX - Amory</t>
  </si>
  <si>
    <t>63066 Hwy 25 North</t>
  </si>
  <si>
    <t>(662) 256-2227</t>
  </si>
  <si>
    <t>Orbit Fluid Power - Little Rock</t>
  </si>
  <si>
    <t>7428 Lindsey Road</t>
  </si>
  <si>
    <t>Little Rock,AR 72206</t>
  </si>
  <si>
    <t>(501) 490-0408</t>
  </si>
  <si>
    <t>(501) 490-1434</t>
  </si>
  <si>
    <t>Orchard Machinery Co - Yuba City</t>
  </si>
  <si>
    <t>Yuba City,CA 95993</t>
  </si>
  <si>
    <t>Orco Block Co - Oceanside</t>
  </si>
  <si>
    <t>3501 Oceanside Blvd</t>
  </si>
  <si>
    <t>(800) 655-2562</t>
  </si>
  <si>
    <t>(760) 757-9854</t>
  </si>
  <si>
    <t>Orco Block Co. - Romoland</t>
  </si>
  <si>
    <t>Romoland,CA 92585</t>
  </si>
  <si>
    <t>Oregon Canadian Fore - North Plains</t>
  </si>
  <si>
    <t>North Plains,OR 97133</t>
  </si>
  <si>
    <t>Oregon Iron Works - Clackamas</t>
  </si>
  <si>
    <t>Oregon Metalurgical - Albany</t>
  </si>
  <si>
    <t>Oregon Steel Mills - Portland</t>
  </si>
  <si>
    <t>Ore-Ida Foods - Ontario</t>
  </si>
  <si>
    <t>Oremet - Richland</t>
  </si>
  <si>
    <t>Oremet Aluminum Mill - Hannibel</t>
  </si>
  <si>
    <t>Hannibel,OH 43931</t>
  </si>
  <si>
    <t>Orion Mfg - Elizabeth</t>
  </si>
  <si>
    <t>Elizabeth,NJ 07207</t>
  </si>
  <si>
    <t>Orion Mfg. Company</t>
  </si>
  <si>
    <t>480 Apple Tree Dr.</t>
  </si>
  <si>
    <t>Ionia,MI 48846</t>
  </si>
  <si>
    <t>5626 Commerce Drive</t>
  </si>
  <si>
    <t>Orlando,FL 32839</t>
  </si>
  <si>
    <t>407-851-3536</t>
  </si>
  <si>
    <t>407-859-6821</t>
  </si>
  <si>
    <t>Orlando Utilities - Orlando</t>
  </si>
  <si>
    <t>Orlando,FL 32802</t>
  </si>
  <si>
    <t>Orton Co. - Doraville</t>
  </si>
  <si>
    <t>Doraville,GA 30071</t>
  </si>
  <si>
    <t>Osborn Engineering - Benson</t>
  </si>
  <si>
    <t>Benson,IL 61516</t>
  </si>
  <si>
    <t>Osco Ind - Portsmouth</t>
  </si>
  <si>
    <t>Portsmouth,OH 45662</t>
  </si>
  <si>
    <t>Oshkosh Truck Co. - Milwaukee</t>
  </si>
  <si>
    <t>Milwaukee,WI 53209</t>
  </si>
  <si>
    <t>Oshkosh Truck Corp - Aurora</t>
  </si>
  <si>
    <t>Aurora,IL 60505</t>
  </si>
  <si>
    <t>Oshkosh Truck Corp. - Oshkosh</t>
  </si>
  <si>
    <t>Oshkosh,WI 54904</t>
  </si>
  <si>
    <t>Osweiler Bros. Equip - Highland Mills</t>
  </si>
  <si>
    <t>Highland Mills,NY 10</t>
  </si>
  <si>
    <t>Othy Inc. - Warsaw</t>
  </si>
  <si>
    <t>Otto Ind, Inc - Charlotte</t>
  </si>
  <si>
    <t>230 TURNER DRIVE</t>
  </si>
  <si>
    <t>OTTUMWA, IA 52501</t>
  </si>
  <si>
    <t>641-684-4606</t>
  </si>
  <si>
    <t>641-682-3269</t>
  </si>
  <si>
    <t>Outdoor Systems - Los Angeles</t>
  </si>
  <si>
    <t>Los Angeles,CA 90031</t>
  </si>
  <si>
    <t>Outkumpo American Br - Buffalo</t>
  </si>
  <si>
    <t>Outokumpo Copper - Kenosha</t>
  </si>
  <si>
    <t>Kenosha,WI 53143</t>
  </si>
  <si>
    <t>Overton County Block - Livingston</t>
  </si>
  <si>
    <t>Livingston,TN 38570</t>
  </si>
  <si>
    <t>Ow Enterprises - Petersburg</t>
  </si>
  <si>
    <t>Petersburg,AK 99833</t>
  </si>
  <si>
    <t>Owens Brockway - Winston Salem</t>
  </si>
  <si>
    <t>OWENS CORNING</t>
  </si>
  <si>
    <t xml:space="preserve">300 SUNSHINE RD. </t>
  </si>
  <si>
    <t>KANSAS CITY, KS 66115</t>
  </si>
  <si>
    <t>913-281-9563</t>
  </si>
  <si>
    <t>Owens Corning - Grand Rapids</t>
  </si>
  <si>
    <t>Owens Corning Sales</t>
  </si>
  <si>
    <t>300 Sunshine Road</t>
  </si>
  <si>
    <t>Kansas City, MO 66115</t>
  </si>
  <si>
    <t>Brad Casemier</t>
  </si>
  <si>
    <t>Owens Ill. - Charlotte</t>
  </si>
  <si>
    <t>Ox Bodies - Fayette</t>
  </si>
  <si>
    <t>719 Columbus St. East</t>
  </si>
  <si>
    <t>(205) 932-5720</t>
  </si>
  <si>
    <t>(205) 932-5794</t>
  </si>
  <si>
    <t>P E A T - Huntsville</t>
  </si>
  <si>
    <t>Huntsville,AL 35811</t>
  </si>
  <si>
    <t>P S G - Dallas</t>
  </si>
  <si>
    <t>Dallas,TX 75247</t>
  </si>
  <si>
    <t>P&amp;H Hydraulic Servic - Jacksonville</t>
  </si>
  <si>
    <t>Jacksonville,FL 32219</t>
  </si>
  <si>
    <t>P.A.R.T.S</t>
  </si>
  <si>
    <t>210 ANDREW DRIVE</t>
  </si>
  <si>
    <t>STOCKBRIDGE, GA 30281</t>
  </si>
  <si>
    <t>P.C.I. Energy Servic - Lake Bluff</t>
  </si>
  <si>
    <t>Lake Bluff,IL 60044</t>
  </si>
  <si>
    <t>P.L. Porter - Westfield</t>
  </si>
  <si>
    <t>Westfield,IN 46074</t>
  </si>
  <si>
    <t>P.M. Automotive - Batavia</t>
  </si>
  <si>
    <t>P.P.G. Ind - Lexington</t>
  </si>
  <si>
    <t>Pa Crusher - Cuyahoga Falls</t>
  </si>
  <si>
    <t>Cuyahoga Falls,OH 44223</t>
  </si>
  <si>
    <t>Pabco Fluid Power - Cincinnati</t>
  </si>
  <si>
    <t>5750 Hillside Ave.</t>
  </si>
  <si>
    <t>Cincinnati,OH 45233</t>
  </si>
  <si>
    <t>(513) 941-6200</t>
  </si>
  <si>
    <t>Pabco Fluid Power - Cleveland</t>
  </si>
  <si>
    <t>7169 E. Pleasant Valley Rd.</t>
  </si>
  <si>
    <t>(800) 589-8352</t>
  </si>
  <si>
    <t>Pabco Fluid Power - Cranberry Twp.</t>
  </si>
  <si>
    <t>410 Commerce Park Dr.</t>
  </si>
  <si>
    <t>Cranberry Twp.,PA 16066</t>
  </si>
  <si>
    <t>(800) 708-3526</t>
  </si>
  <si>
    <t>Pabco Fluid Power - Dayton</t>
  </si>
  <si>
    <t>4744 Payne Ave.</t>
  </si>
  <si>
    <t>(937) 275-7200</t>
  </si>
  <si>
    <t>Pabco Fluid Power - Lewis Center</t>
  </si>
  <si>
    <t>7830 North Central Dr.</t>
  </si>
  <si>
    <t>Lewis Center,OH 43035</t>
  </si>
  <si>
    <t>(740) 548-6444</t>
  </si>
  <si>
    <t>Pabco Fluid Power - Saginaw</t>
  </si>
  <si>
    <t>3170 Christy Way #3</t>
  </si>
  <si>
    <t>(800) 482-3886</t>
  </si>
  <si>
    <t>Pabco Fluid Power - Sterling Heights</t>
  </si>
  <si>
    <t>6460 Sims Rd.</t>
  </si>
  <si>
    <t>Sterling Heights,MI 48313</t>
  </si>
  <si>
    <t>(810) 977-6900</t>
  </si>
  <si>
    <t>Paccar Tech Center - Mt. Vernon</t>
  </si>
  <si>
    <t>Pace - Monroe City</t>
  </si>
  <si>
    <t>Monroe City,MO 63456</t>
  </si>
  <si>
    <t>Paceco Corporation - Ocean Springs</t>
  </si>
  <si>
    <t>Paceco/In New Spread - Laredo</t>
  </si>
  <si>
    <t>Laredo,TX 78045</t>
  </si>
  <si>
    <t>Pacemyer Lumber - Middleport</t>
  </si>
  <si>
    <t>Pacesetter Building - Omaha</t>
  </si>
  <si>
    <t>Pacific Aqua Scape - Huntington Beach</t>
  </si>
  <si>
    <t>Huntington Beach,CA 92</t>
  </si>
  <si>
    <t>Pacific Coast Produc - Oroville</t>
  </si>
  <si>
    <t>Oroville,CA 95965</t>
  </si>
  <si>
    <t>Pacific Fluid Systems - Brea</t>
  </si>
  <si>
    <t>2881 Saturn Street, Suite A</t>
  </si>
  <si>
    <t>(714) 578-2940</t>
  </si>
  <si>
    <t>(714) 578-2954</t>
  </si>
  <si>
    <t>Pacific Fluid Systems - Phoenix</t>
  </si>
  <si>
    <t>P O Box 93280</t>
  </si>
  <si>
    <t>Phoenix,AZ 85070</t>
  </si>
  <si>
    <t>Pacific Fluid Systems - West Sacramento</t>
  </si>
  <si>
    <t>2324 Del Monte Street</t>
  </si>
  <si>
    <t>(916) 372-0492</t>
  </si>
  <si>
    <t>Pacific Hoe - Portland</t>
  </si>
  <si>
    <t>Portland,OR 97206</t>
  </si>
  <si>
    <t>Pacific Lumber Co. - Carlotta</t>
  </si>
  <si>
    <t>Carlotta,CA 95528</t>
  </si>
  <si>
    <t>Vancouver,WA 98665</t>
  </si>
  <si>
    <t>Pacific Manufacturin - Roseburg</t>
  </si>
  <si>
    <t>Pacific PowerTech, LLC.</t>
  </si>
  <si>
    <t>520 S. Bertelsen Rd</t>
  </si>
  <si>
    <t>Eugene, OR 97402</t>
  </si>
  <si>
    <t>541-485-6414</t>
  </si>
  <si>
    <t>541-345-8651</t>
  </si>
  <si>
    <t>Ship USF - Collect</t>
  </si>
  <si>
    <t>Pacific Servo Techno - Eugene</t>
  </si>
  <si>
    <t>Pacific Tek - Hunington Beach</t>
  </si>
  <si>
    <t>Hunington Beach,CA 92</t>
  </si>
  <si>
    <t>Pacific Veneer - Aberdeen</t>
  </si>
  <si>
    <t>Pacificcorp Elec. Op - Castle Dale</t>
  </si>
  <si>
    <t>Castle Dale,UT 84513</t>
  </si>
  <si>
    <t>Pack Mfg. Company Inc.</t>
  </si>
  <si>
    <t>1219 Belmont Drive</t>
  </si>
  <si>
    <t>McMinnville,TN 37110</t>
  </si>
  <si>
    <t>Packaging Corp. Of A - Ackerman</t>
  </si>
  <si>
    <t>Ackerman,MS 39735</t>
  </si>
  <si>
    <t>Packaging Devices, Inc.</t>
  </si>
  <si>
    <t>61 Homestead Ln East</t>
  </si>
  <si>
    <t>Falmouth, MA 02536</t>
  </si>
  <si>
    <t>866-548-2555</t>
  </si>
  <si>
    <t>508-548-7659</t>
  </si>
  <si>
    <t>Packaging Equipment - Vernon Hills</t>
  </si>
  <si>
    <t>Vernon Hills,IL 60061</t>
  </si>
  <si>
    <t>Packaging Resources - Coleman</t>
  </si>
  <si>
    <t>Packerland Packing C - Green Bay</t>
  </si>
  <si>
    <t>1330 Lime Kiln Road</t>
  </si>
  <si>
    <t>Pahnke Engineering - Springfield</t>
  </si>
  <si>
    <t>Springfield,OH 45502</t>
  </si>
  <si>
    <t>Paket Corp - Chicago</t>
  </si>
  <si>
    <t>Chicago,IL 60617</t>
  </si>
  <si>
    <t>3555 Fiscal Ct. Suite 1</t>
  </si>
  <si>
    <t>Riviera Beach, FL. 33404</t>
  </si>
  <si>
    <t>Palm Beach Resource - West Palm Beach</t>
  </si>
  <si>
    <t>West Palm Beach,FL 3</t>
  </si>
  <si>
    <t>Palmer Johnson - Sturgeon Bay</t>
  </si>
  <si>
    <t>Sturgeon Bay,WI 54235</t>
  </si>
  <si>
    <t>Palmetto Brick Compa - Wallace</t>
  </si>
  <si>
    <t>Wallace,SC 29596</t>
  </si>
  <si>
    <t>Pan Pacific Products - Broken Bow</t>
  </si>
  <si>
    <t>Broken Bow,OK 74728</t>
  </si>
  <si>
    <t>Pande Controls - Mobile</t>
  </si>
  <si>
    <t>Panel Processing - Coldwater</t>
  </si>
  <si>
    <t>Coldwater,MI 49036</t>
  </si>
  <si>
    <t>Pannell Mfg - Avondale</t>
  </si>
  <si>
    <t>Avondale,PA 19311</t>
  </si>
  <si>
    <t>Pannier Corp - Glenshaw</t>
  </si>
  <si>
    <t>Glenshaw,PA 15116</t>
  </si>
  <si>
    <t>Pape Brothers - Eugene</t>
  </si>
  <si>
    <t>Eugene,OR 97403</t>
  </si>
  <si>
    <t>Paper Cal Steel - Roseville</t>
  </si>
  <si>
    <t>Roseville,MN 55113</t>
  </si>
  <si>
    <t>Paper Converting Machine - Green Bay</t>
  </si>
  <si>
    <t>2300 South Ashland Avenue</t>
  </si>
  <si>
    <t>Green Bay,WI 54304</t>
  </si>
  <si>
    <t>Paper Cutters Inc. - Greenville</t>
  </si>
  <si>
    <t>Paper Manufacturing Specialty Products Inc - Decatur</t>
  </si>
  <si>
    <t>3440 Valley Avenue SW</t>
  </si>
  <si>
    <t>(256) 350-9590</t>
  </si>
  <si>
    <t>Paragaon Plastics In - Union</t>
  </si>
  <si>
    <t>Union,SC 29379</t>
  </si>
  <si>
    <t>Paragon Ind</t>
  </si>
  <si>
    <t>4631 Harold Scroggins Dr</t>
  </si>
  <si>
    <t>Muskogee, OK 74401</t>
  </si>
  <si>
    <t>Paragon Ind, Inc.</t>
  </si>
  <si>
    <t>3378 West Highway 117</t>
  </si>
  <si>
    <t>Sapulpa, OK 74066</t>
  </si>
  <si>
    <t>IBT-Oklahoma City's customer</t>
  </si>
  <si>
    <t>Paragon Medical - Pierceton</t>
  </si>
  <si>
    <t>Pierceton,IN 46562</t>
  </si>
  <si>
    <t>Paragon Metal Works - Mikado</t>
  </si>
  <si>
    <t>Mikado,MI 48745</t>
  </si>
  <si>
    <t>Paragon Tool - Logan</t>
  </si>
  <si>
    <t>Logan,UT 84321</t>
  </si>
  <si>
    <t>Paramount Pictures/Special Effects Dpt.</t>
  </si>
  <si>
    <t>8248 Lankershim Blvd</t>
  </si>
  <si>
    <t>N. Hollywood, CA 91605</t>
  </si>
  <si>
    <t>Controlled Motion Solutions - Burbank's Customer</t>
  </si>
  <si>
    <t>Paramount Supply - Houston</t>
  </si>
  <si>
    <t>6401 Long Point Rd #104</t>
  </si>
  <si>
    <t>(713) 683-9900</t>
  </si>
  <si>
    <t>Paramount Supply - Idaho Falls</t>
  </si>
  <si>
    <t>1474 Atlanta St</t>
  </si>
  <si>
    <t>Idaho Falls,ID 83402</t>
  </si>
  <si>
    <t>(208) 523-2692</t>
  </si>
  <si>
    <t>Paramount Supply Co - Spokane</t>
  </si>
  <si>
    <t>617 N Fancher Rd</t>
  </si>
  <si>
    <t>(509) 536-3993</t>
  </si>
  <si>
    <t>Paramount Supply Com - Tacoma</t>
  </si>
  <si>
    <t>Parco Foods - Blue Island</t>
  </si>
  <si>
    <t>Paris Industrial Ser - Paris</t>
  </si>
  <si>
    <t>Paris,TN 38242</t>
  </si>
  <si>
    <t>Park City Packaging - Stratford</t>
  </si>
  <si>
    <t>Stratford,CT 06615</t>
  </si>
  <si>
    <t>Park Corp - Denver</t>
  </si>
  <si>
    <t>Park Enterprises</t>
  </si>
  <si>
    <t xml:space="preserve">Falkville,AL </t>
  </si>
  <si>
    <t>800-551-1902</t>
  </si>
  <si>
    <t>256-784-5301</t>
  </si>
  <si>
    <t>Park Ind - St. Cloud</t>
  </si>
  <si>
    <t>Parker Block Co - Millsboro</t>
  </si>
  <si>
    <t>Millsboro,DE 19966</t>
  </si>
  <si>
    <t>PARKER CYLINDER</t>
  </si>
  <si>
    <t>29289 AIRPORT ROAD</t>
  </si>
  <si>
    <t>EUGENE, OR 97402</t>
  </si>
  <si>
    <t>Parker Forest Produc - Burnsville</t>
  </si>
  <si>
    <t>Burnsville,NC 28714</t>
  </si>
  <si>
    <t>Parker Seals</t>
  </si>
  <si>
    <t>104 Hartman DR 3</t>
  </si>
  <si>
    <t>Parks Welding Inc - Ocala</t>
  </si>
  <si>
    <t>Parkway Products - Erlanger</t>
  </si>
  <si>
    <t>Erlanger,KY 41017</t>
  </si>
  <si>
    <t>Parnum Paving Co - Ukiah</t>
  </si>
  <si>
    <t>Parton Lumber - Rutherfordton</t>
  </si>
  <si>
    <t>Rutherfordton,NC 2813</t>
  </si>
  <si>
    <t>Pasco Hydraulics Service Inc - Land O Lakes</t>
  </si>
  <si>
    <t>5922 Land O Lakes Blvd</t>
  </si>
  <si>
    <t>Land O Lakes,FL 34639</t>
  </si>
  <si>
    <t>(813) 996-3127</t>
  </si>
  <si>
    <t>Paso Industrial S, El - El Paso</t>
  </si>
  <si>
    <t xml:space="preserve">El Paso, </t>
  </si>
  <si>
    <t>Passaic County Welde - Wayne</t>
  </si>
  <si>
    <t>Pa-Ted Spring Co. - Bristol</t>
  </si>
  <si>
    <t>Patterson Wood Products - Nacogodoches</t>
  </si>
  <si>
    <t>Nacogodoches,LA 7596</t>
  </si>
  <si>
    <t>Patz Pallet - Coleman</t>
  </si>
  <si>
    <t>Coleman,WI 54112</t>
  </si>
  <si>
    <t>PAUL DAVIS LUMBER COMPANY</t>
  </si>
  <si>
    <t>144 SAWMILL RD</t>
  </si>
  <si>
    <t>AMITE, LA 70422</t>
  </si>
  <si>
    <t>Paul Mueller Company - Springfield</t>
  </si>
  <si>
    <t>P.O. Box 828</t>
  </si>
  <si>
    <t>Springfield,MO 65801</t>
  </si>
  <si>
    <t>(800) 683-5537</t>
  </si>
  <si>
    <t>(417) 831-3528</t>
  </si>
  <si>
    <t>Villa Grove,IL 61956</t>
  </si>
  <si>
    <t>Paulstra Crc - Cadillac</t>
  </si>
  <si>
    <t>Pavers - Waverly</t>
  </si>
  <si>
    <t>Pavestone California - Sacramento</t>
  </si>
  <si>
    <t>Sacramento,CA 95826</t>
  </si>
  <si>
    <t>Paxton Company - Norfolk</t>
  </si>
  <si>
    <t>Norfolk,VA 23541</t>
  </si>
  <si>
    <t>Pbr Auto - Knoxville</t>
  </si>
  <si>
    <t>Knoxville,TN 37931</t>
  </si>
  <si>
    <t>PBS Lumber Manufacturing - Winnfield</t>
  </si>
  <si>
    <t>Pca - Selmer</t>
  </si>
  <si>
    <t>Pca-Ekco - Wheeling</t>
  </si>
  <si>
    <t>Pcc Air Foils - Minerva</t>
  </si>
  <si>
    <t>Minerva,OH 44657</t>
  </si>
  <si>
    <t>Pcc Airfoils - Douglas</t>
  </si>
  <si>
    <t>Douglas,GA 31533</t>
  </si>
  <si>
    <t>Pcc Airfoils - Wickliffe</t>
  </si>
  <si>
    <t>Wickliffe,OH 44092</t>
  </si>
  <si>
    <t>Pci Energy Services - Haddam Neck</t>
  </si>
  <si>
    <t>Haddam Neck,CT 06424</t>
  </si>
  <si>
    <t>Pcs Nitrogen - Geismar</t>
  </si>
  <si>
    <t>Geismar,LA 70734</t>
  </si>
  <si>
    <t>PDC - Seattle</t>
  </si>
  <si>
    <t>Seattle,WA 98148</t>
  </si>
  <si>
    <t>Pdm Strocal Inc - Stockton</t>
  </si>
  <si>
    <t>PDQ - Machesney Park</t>
  </si>
  <si>
    <t>Machesney Park,IL 61</t>
  </si>
  <si>
    <t>PE Techonlogies, Inc.</t>
  </si>
  <si>
    <t>745 Woodall Rd.</t>
  </si>
  <si>
    <t>256-355-9198</t>
  </si>
  <si>
    <t>256-355-6881</t>
  </si>
  <si>
    <t>Pea Ridge Iron Oar C - Sullivan</t>
  </si>
  <si>
    <t>Sullivan,MO 63080</t>
  </si>
  <si>
    <t>Peacock Ind - Baldwin</t>
  </si>
  <si>
    <t>Baldwin,MI 49304</t>
  </si>
  <si>
    <t>Pease Ind - Denver</t>
  </si>
  <si>
    <t>Pease Ind Inc - Fairfield</t>
  </si>
  <si>
    <t>Peavey Grain - Silvercreek</t>
  </si>
  <si>
    <t>Silvercreek,NE 68663</t>
  </si>
  <si>
    <t>Peavy Grain - Paulina</t>
  </si>
  <si>
    <t>Paulina,LA 70763</t>
  </si>
  <si>
    <t>Pechiney Plastic Pac - Neenah</t>
  </si>
  <si>
    <t>520 W. Cecil St.</t>
  </si>
  <si>
    <t>Peddinghaus Ind Inc - Bradley</t>
  </si>
  <si>
    <t>Pederson Brothers - Bellingham</t>
  </si>
  <si>
    <t>Peerless Block</t>
  </si>
  <si>
    <t>400 Oliver Street</t>
  </si>
  <si>
    <t>Peerless Engineering - Burnaby</t>
  </si>
  <si>
    <t>4015 East First Avenue</t>
  </si>
  <si>
    <t>Burnaby,BC V5C 3W5</t>
  </si>
  <si>
    <t>(604) 659-4100</t>
  </si>
  <si>
    <t>(604) 659-4121</t>
  </si>
  <si>
    <t>Peerless Machinery - Sidney</t>
  </si>
  <si>
    <t>Peerless Of America - Lincolnshire</t>
  </si>
  <si>
    <t>Lincolnshire,IL 60069</t>
  </si>
  <si>
    <t>Peerless-Winsmith In - Flower Branch</t>
  </si>
  <si>
    <t>Flower Branch,GA 305</t>
  </si>
  <si>
    <t>Peformance Fluid Power - Richmond</t>
  </si>
  <si>
    <t>Richmond,VA 23225</t>
  </si>
  <si>
    <t>(804) 359-3300</t>
  </si>
  <si>
    <t>Pelham Fluid Power - Pelham</t>
  </si>
  <si>
    <t>Pell City Ind Services Inc</t>
  </si>
  <si>
    <t>144 Thomas Lane</t>
  </si>
  <si>
    <t>Pell City,AL 35125</t>
  </si>
  <si>
    <t>205-338-3336</t>
  </si>
  <si>
    <t>205-338-3337</t>
  </si>
  <si>
    <t>Pemco - Pascagoula</t>
  </si>
  <si>
    <t>Pascagoula,MS 39567</t>
  </si>
  <si>
    <t>Pemco Wheel - Kalamazoo</t>
  </si>
  <si>
    <t>Kalamazoo,MI 49005</t>
  </si>
  <si>
    <t>Pendarvis Manufacturing - Anaheim</t>
  </si>
  <si>
    <t>Anaheim,CA 92801</t>
  </si>
  <si>
    <t>Pendu Manufacturing, - New Holland</t>
  </si>
  <si>
    <t>1750 Industrial Highway</t>
  </si>
  <si>
    <t>(888) 631-7638</t>
  </si>
  <si>
    <t>(717) 840-4321</t>
  </si>
  <si>
    <t>Pennsy Supply</t>
  </si>
  <si>
    <t>717-776-5336</t>
  </si>
  <si>
    <t>717-776-3302</t>
  </si>
  <si>
    <t>larry.kessler@pennsysupply.com</t>
  </si>
  <si>
    <t>Pennsylvania Crusher - Cuyahoga Falls</t>
  </si>
  <si>
    <t>Pensacola Mill Supply</t>
  </si>
  <si>
    <t>P.O. Box 18060</t>
  </si>
  <si>
    <t>Pensacola,FL 32501</t>
  </si>
  <si>
    <t>Pentair-Plymouth Product</t>
  </si>
  <si>
    <t>502 Indiana Ave.</t>
  </si>
  <si>
    <t>Sheboygan, WI 53081</t>
  </si>
  <si>
    <t>Pepperidge Farms - Aiken</t>
  </si>
  <si>
    <t>23 Auburn Dr</t>
  </si>
  <si>
    <t>Perfection Corp. - Geneva</t>
  </si>
  <si>
    <t>Geneva,OH 44041</t>
  </si>
  <si>
    <t>Performance Hydraulics</t>
  </si>
  <si>
    <t>918 Industrial Park Circle</t>
  </si>
  <si>
    <t>205-428-1428</t>
  </si>
  <si>
    <t>205-428-1422</t>
  </si>
  <si>
    <t>Perma-Pipe Div.MIDWESCO</t>
  </si>
  <si>
    <t>1310 Quarles Drive</t>
  </si>
  <si>
    <t>Perry Mfg - Perry</t>
  </si>
  <si>
    <t>Perry,KS 66073</t>
  </si>
  <si>
    <t>Perstorp Xytec - Tacoma</t>
  </si>
  <si>
    <t>Tacoma,WA 98499</t>
  </si>
  <si>
    <t>Petersen Inc - Ogden</t>
  </si>
  <si>
    <t>Ogden,UT 84404</t>
  </si>
  <si>
    <t>Peterson American Co - Three Rivers</t>
  </si>
  <si>
    <t>Three Rivers,MI 49093</t>
  </si>
  <si>
    <t>Peterson Pacific - Eugene</t>
  </si>
  <si>
    <t>29408 Airport Road</t>
  </si>
  <si>
    <t>(541) 689-6520</t>
  </si>
  <si>
    <t>(541) 689-0804</t>
  </si>
  <si>
    <t>Petro Drive - Lafayette</t>
  </si>
  <si>
    <t>Lafayette,LA 70505</t>
  </si>
  <si>
    <t>Petron Automation - Watertown</t>
  </si>
  <si>
    <t>Watertown,CT 06795</t>
  </si>
  <si>
    <t>Petty Machine Co - Gastonia</t>
  </si>
  <si>
    <t>Pfizer - Barceloneta</t>
  </si>
  <si>
    <t>Barceloneta,PR 7</t>
  </si>
  <si>
    <t>Pfizer Chemical - Dillon</t>
  </si>
  <si>
    <t>Dillon,MT 59725</t>
  </si>
  <si>
    <t>Pfizer Inc. - Brooklyn</t>
  </si>
  <si>
    <t>Brooklyn,NY 11206</t>
  </si>
  <si>
    <t>PFM Manufacturing LLC</t>
  </si>
  <si>
    <t>PO Box 667</t>
  </si>
  <si>
    <t>Ruston,LA 71273</t>
  </si>
  <si>
    <t>318-255-6665</t>
  </si>
  <si>
    <t>318-247-0983</t>
  </si>
  <si>
    <t>PFM-Simsboro Fab Shop</t>
  </si>
  <si>
    <t>167 Duraflake Road</t>
  </si>
  <si>
    <t>Ph Group - Columbus</t>
  </si>
  <si>
    <t>Columbus,OH 43219</t>
  </si>
  <si>
    <t>Phb Die Casting, Inc - Fairview</t>
  </si>
  <si>
    <t>Fairview,PA 16415</t>
  </si>
  <si>
    <t>Phc - Ft. Wayne</t>
  </si>
  <si>
    <t>Ft. Wayne,IN 46803</t>
  </si>
  <si>
    <t>Phenix Lumber</t>
  </si>
  <si>
    <t>Old Opelika Hwy</t>
  </si>
  <si>
    <t>Phenix City,AL 36868</t>
  </si>
  <si>
    <t>(334) 298-3659</t>
  </si>
  <si>
    <t>(334) 297-0556</t>
  </si>
  <si>
    <t>Pheonix Fittings Co - Opelousas</t>
  </si>
  <si>
    <t>Phifer Wire Products - Tuscaloosa</t>
  </si>
  <si>
    <t>4400 Kauloosa Aveneu</t>
  </si>
  <si>
    <t>(205) 750-3005</t>
  </si>
  <si>
    <t>205-464-3943</t>
  </si>
  <si>
    <t>Philip Services Corp - Sulfer</t>
  </si>
  <si>
    <t>Sulfer,LA 70664</t>
  </si>
  <si>
    <t>Philips Engineering - Baltimore</t>
  </si>
  <si>
    <t>Phillippi Equipment - Golden Valley</t>
  </si>
  <si>
    <t>Golden Valley,MN 554</t>
  </si>
  <si>
    <t>Phillips Drisco Pipe - Williamstown</t>
  </si>
  <si>
    <t>Williamstown,KY 41097</t>
  </si>
  <si>
    <t>Phillips Plastics Co - Menomonie</t>
  </si>
  <si>
    <t>Menomonie,WI 54751</t>
  </si>
  <si>
    <t>Phillips/Moldex Co. - Putnam</t>
  </si>
  <si>
    <t>Putnam,CT 06260</t>
  </si>
  <si>
    <t>Myrtle Creek,OR 9745</t>
  </si>
  <si>
    <t>Phoenix Inc - Seekonk</t>
  </si>
  <si>
    <t>Seekonk,MA 02771</t>
  </si>
  <si>
    <t>Phoschem Supply Co - Mulberry</t>
  </si>
  <si>
    <t>Mulberry,FL 33860</t>
  </si>
  <si>
    <t>Piconics Inc - Tyngsboro</t>
  </si>
  <si>
    <t>Tyngsboro,MA 01879</t>
  </si>
  <si>
    <t>Picor</t>
  </si>
  <si>
    <t>1730 Old Gray Station Rd.</t>
  </si>
  <si>
    <t>Gray, TN, 37615</t>
  </si>
  <si>
    <t>423-282-9900</t>
  </si>
  <si>
    <t>423-282-3118</t>
  </si>
  <si>
    <t>Piedmont Mill Supply - Salisbury</t>
  </si>
  <si>
    <t>Pierce Construction - Petal</t>
  </si>
  <si>
    <t>1505 HWY 11 North</t>
  </si>
  <si>
    <t>Pierce Pacific - Tigard</t>
  </si>
  <si>
    <t>Pierce Pump Co - Dallas</t>
  </si>
  <si>
    <t>3300 Dilido Street</t>
  </si>
  <si>
    <t>Dallas,TX 75357</t>
  </si>
  <si>
    <t>Piercefield Corp. In - Erlanger</t>
  </si>
  <si>
    <t>Pike Lumber Co - Akron</t>
  </si>
  <si>
    <t>Akron,IN 46910</t>
  </si>
  <si>
    <t>Pike Lumber Company - Carbon</t>
  </si>
  <si>
    <t>Carbon,IN 47837</t>
  </si>
  <si>
    <t>Pilkington Aerospace - Garden Grove</t>
  </si>
  <si>
    <t>Pillar Tech - Hartland</t>
  </si>
  <si>
    <t>Hartland,WI 53029</t>
  </si>
  <si>
    <t>Pillsbury - Hannibal</t>
  </si>
  <si>
    <t>Pillsbury - Joplin</t>
  </si>
  <si>
    <t>Joplin,MO 64804</t>
  </si>
  <si>
    <t>Pillsbury - Murfreesboro</t>
  </si>
  <si>
    <t>Murfreesboro,TN 37130</t>
  </si>
  <si>
    <t>Pimalco - Chandler</t>
  </si>
  <si>
    <t>Pine Belt Industrial Supply</t>
  </si>
  <si>
    <t>1406 Corinne St</t>
  </si>
  <si>
    <t>Hattiesburg, MS 39401</t>
  </si>
  <si>
    <t>601-583-2005</t>
  </si>
  <si>
    <t>601-583-2015</t>
  </si>
  <si>
    <t>Pine Hill Equipment - Westport</t>
  </si>
  <si>
    <t>Westport,MA 02790</t>
  </si>
  <si>
    <t>Pine Log Company</t>
  </si>
  <si>
    <t>118 Traditional Living RD.</t>
  </si>
  <si>
    <t>336-366-2770</t>
  </si>
  <si>
    <t>336-366-2758</t>
  </si>
  <si>
    <t>Pine Products - Martinsville</t>
  </si>
  <si>
    <t>Martinsville,VA 24115</t>
  </si>
  <si>
    <t>Pineer Mfg. Co - Rillton</t>
  </si>
  <si>
    <t>Rillton,PA 15678</t>
  </si>
  <si>
    <t>Pinkham Lumber Co - Ashland</t>
  </si>
  <si>
    <t>Pioneer Conveyor, LLC</t>
  </si>
  <si>
    <t>170 Leon White Road</t>
  </si>
  <si>
    <t>Oakland,MD 21550</t>
  </si>
  <si>
    <t>301-334-8186</t>
  </si>
  <si>
    <t>301-334-8698</t>
  </si>
  <si>
    <t>Pioneer Eclipse - Sparta</t>
  </si>
  <si>
    <t>Sparta,NC 28675</t>
  </si>
  <si>
    <t>Pioneer Ind - Brooklyn</t>
  </si>
  <si>
    <t>Pioneer Plastics - Auburn</t>
  </si>
  <si>
    <t>Pionite Road</t>
  </si>
  <si>
    <t>Pioneer Processing</t>
  </si>
  <si>
    <t>121 Howard Johnson Road</t>
  </si>
  <si>
    <t>Americus,GA 31719</t>
  </si>
  <si>
    <t>229-928-2825</t>
  </si>
  <si>
    <t>229-928-0343</t>
  </si>
  <si>
    <t>Piper Oilfield Products - Oklahoma City</t>
  </si>
  <si>
    <t>Piping Components - Chattanooga</t>
  </si>
  <si>
    <t>Piping Specialties - Green River</t>
  </si>
  <si>
    <t>Piping Systems - Mesa</t>
  </si>
  <si>
    <t>2222 South Dobson Road Suite 503</t>
  </si>
  <si>
    <t>Mesa,AZ 85202</t>
  </si>
  <si>
    <t>(480) 345-0052</t>
  </si>
  <si>
    <t>(480) 491-0486</t>
  </si>
  <si>
    <t>Piping Systems - OLATHE</t>
  </si>
  <si>
    <t>882 NORTH JAN-MAR COURT</t>
  </si>
  <si>
    <t>OLATHE,KS 66061</t>
  </si>
  <si>
    <t>(913) 780-4341</t>
  </si>
  <si>
    <t>(913) 780-4756</t>
  </si>
  <si>
    <t>Pitco - Redonod Beach</t>
  </si>
  <si>
    <t>Redonod Beach,CA 9027</t>
  </si>
  <si>
    <t>Pittsburgh Tube Co. - Darlington</t>
  </si>
  <si>
    <t>Darlington,PA 16115</t>
  </si>
  <si>
    <t>Pittsfield,MA 01201</t>
  </si>
  <si>
    <t>Pkg Alliance - Cumming</t>
  </si>
  <si>
    <t>Cumming,GA 30041</t>
  </si>
  <si>
    <t>Plaines Co-Op Oil Mi - Lubbock</t>
  </si>
  <si>
    <t>Lubbock,TX 79408</t>
  </si>
  <si>
    <t>Plainville Machine - Plainville</t>
  </si>
  <si>
    <t>Plant Hammond</t>
  </si>
  <si>
    <t>5963 Alabama Hwy., SW</t>
  </si>
  <si>
    <t>Rome, GA 30165</t>
  </si>
  <si>
    <t>Plant Warehouse, Bhp - San Manuel</t>
  </si>
  <si>
    <t>San Manuel,AZ 85631</t>
  </si>
  <si>
    <t>Planters Life Savers - Holland</t>
  </si>
  <si>
    <t>Plasan Carbon Composites</t>
  </si>
  <si>
    <t>3195 Wilson Dr</t>
  </si>
  <si>
    <t>Walker, MI 49534</t>
  </si>
  <si>
    <t>Plasco - Dayton</t>
  </si>
  <si>
    <t>Dayton,OH 45432</t>
  </si>
  <si>
    <t>Plastech Alabama</t>
  </si>
  <si>
    <t>6900 Metropolitan Parkway</t>
  </si>
  <si>
    <t>McCalla,AL 35111</t>
  </si>
  <si>
    <t>Plastech Engineered Products</t>
  </si>
  <si>
    <t>4783  50th St. SE</t>
  </si>
  <si>
    <t>Plastic Ingenuity - Cross Plains</t>
  </si>
  <si>
    <t>1017 Park St</t>
  </si>
  <si>
    <t>Cross Plains,WI 53528</t>
  </si>
  <si>
    <t>(608) 798-3071</t>
  </si>
  <si>
    <t>Plastic Ingenuity - Oxford</t>
  </si>
  <si>
    <t>113 Certainteed Dr</t>
  </si>
  <si>
    <t>Oxford,NC 27565</t>
  </si>
  <si>
    <t>(919) 693-2009</t>
  </si>
  <si>
    <t>Plasticolor Molded P - Fullerton</t>
  </si>
  <si>
    <t>Fullerton,CA 92831</t>
  </si>
  <si>
    <t>Plastics Engineering - Sheboygan</t>
  </si>
  <si>
    <t>Sheboygan,WI 53083</t>
  </si>
  <si>
    <t>Plastics Incorporate - Greensboro</t>
  </si>
  <si>
    <t>Greensboro,AL 36744</t>
  </si>
  <si>
    <t>Plastikon Ind - Hayward</t>
  </si>
  <si>
    <t>Hayward,CA 94544</t>
  </si>
  <si>
    <t>Plastilite Corp - Omaha</t>
  </si>
  <si>
    <t>Omaha,NE 68112</t>
  </si>
  <si>
    <t>Plastipac Packaging - Champaign</t>
  </si>
  <si>
    <t>Champaign,IL 61821</t>
  </si>
  <si>
    <t>Plasto Film Inc - Wheaton</t>
  </si>
  <si>
    <t>Wheaton,IL 60189</t>
  </si>
  <si>
    <t>Platt Saco Lowell Co - Greenville</t>
  </si>
  <si>
    <t>Greenville,SC 29640</t>
  </si>
  <si>
    <t>Plattco Corp - Plattsburgh</t>
  </si>
  <si>
    <t>Plattsburgh,NY 12901</t>
  </si>
  <si>
    <t>Plaza Materials - Suffern</t>
  </si>
  <si>
    <t>Suffern,NY 10901</t>
  </si>
  <si>
    <t>Plexco - Abbeville</t>
  </si>
  <si>
    <t>Abbeville,SC 29620</t>
  </si>
  <si>
    <t>Plum Creek - Huttig</t>
  </si>
  <si>
    <t>Huttig,AR 71747</t>
  </si>
  <si>
    <t>Plum Creek Engineering - Columbia Falls</t>
  </si>
  <si>
    <t>Plum Creek Evergreen - Kalispell</t>
  </si>
  <si>
    <t>Kalispell,MT 59901</t>
  </si>
  <si>
    <t>Plum Creek Lumber - Columbia Falls</t>
  </si>
  <si>
    <t>Plum Creek Lumber Co - Pablo</t>
  </si>
  <si>
    <t>Pablo,MT 59855</t>
  </si>
  <si>
    <t>Plum Creek Mfg - Kalispell</t>
  </si>
  <si>
    <t>Kalispell,MT 59903</t>
  </si>
  <si>
    <t>Plum Creek Timber - Pablo</t>
  </si>
  <si>
    <t>Plum Creek Timber Co - Joyce</t>
  </si>
  <si>
    <t>Joyce,LA 71440</t>
  </si>
  <si>
    <t>Plum Creek-Evergreen - Missoula</t>
  </si>
  <si>
    <t>Missoula,MT 59808</t>
  </si>
  <si>
    <t>Plum Creek-Mfg. Plan - Columbia Falls</t>
  </si>
  <si>
    <t>Plymouth Tube - Winamac</t>
  </si>
  <si>
    <t>Winamac,IN 46996</t>
  </si>
  <si>
    <t>Plywood Components - Albany</t>
  </si>
  <si>
    <t>Pmi Food Equipment G - Baltimore</t>
  </si>
  <si>
    <t>Pmi Llc - Bloomer</t>
  </si>
  <si>
    <t>Bloomer,WI 54724</t>
  </si>
  <si>
    <t>Pmx Ind - Cedar Rapids</t>
  </si>
  <si>
    <t>70 Bearfoot Rd.</t>
  </si>
  <si>
    <t>Northborough,MA 01532</t>
  </si>
  <si>
    <t>(508) 393-7660</t>
  </si>
  <si>
    <t>(508) 393-8203</t>
  </si>
  <si>
    <t>2443 North Street</t>
  </si>
  <si>
    <t>Baton Rouge,LA 70802</t>
  </si>
  <si>
    <t>800-762-8328</t>
  </si>
  <si>
    <t>225-383-9818</t>
  </si>
  <si>
    <t>Pneumatics And Hydraulics - Arcata</t>
  </si>
  <si>
    <t>4001 W End Road</t>
  </si>
  <si>
    <t>(707) 826-9637</t>
  </si>
  <si>
    <t>(707) 826-9688</t>
  </si>
  <si>
    <t>Broussard, LA 70518</t>
  </si>
  <si>
    <t>337-839-1999</t>
  </si>
  <si>
    <t>337-839-1070</t>
  </si>
  <si>
    <t>Pneumatics Unlimited - Englewood</t>
  </si>
  <si>
    <t>2343 W. Yale Ave</t>
  </si>
  <si>
    <t>(303) 922-8151</t>
  </si>
  <si>
    <t>(303) 922-0522</t>
  </si>
  <si>
    <t>39222 Hwy 621</t>
  </si>
  <si>
    <t>225-644-5006</t>
  </si>
  <si>
    <t>225-644-5007</t>
  </si>
  <si>
    <t xml:space="preserve">Polar Plastics - </t>
  </si>
  <si>
    <t>, H4R 2B9</t>
  </si>
  <si>
    <t>Pollack Engineering - Pittsburgh</t>
  </si>
  <si>
    <t>Pollard Lumber Co - Appling</t>
  </si>
  <si>
    <t>Appling,GA 30802</t>
  </si>
  <si>
    <t>Pollite Bros Logging - Cle Elum</t>
  </si>
  <si>
    <t>Cle Elum,WA 98922</t>
  </si>
  <si>
    <t>Pollock Engineering - Pittsburgh</t>
  </si>
  <si>
    <t>Poly-Bond Manufacturing - South Holland</t>
  </si>
  <si>
    <t>Polymer Engineered P - Rochester</t>
  </si>
  <si>
    <t>Polymer Tech - Whitewater</t>
  </si>
  <si>
    <t>Polysource Inc - Sidney</t>
  </si>
  <si>
    <t>440 S Stolle Ave</t>
  </si>
  <si>
    <t>(800) 290-6323</t>
  </si>
  <si>
    <t>(937) 498-7456</t>
  </si>
  <si>
    <t>Polystyrene Products - Baltimore</t>
  </si>
  <si>
    <t>Baltimore,MD 21220</t>
  </si>
  <si>
    <t>Pomeroy Grain Grower - Central Ferry</t>
  </si>
  <si>
    <t>Central Ferry,WA 993</t>
  </si>
  <si>
    <t>Pomeroy Lumber Inc - Nineveh</t>
  </si>
  <si>
    <t>Nineveh,NY 13813</t>
  </si>
  <si>
    <t>Pondera Valley Fiber - Usk</t>
  </si>
  <si>
    <t>Usk,WA 99180</t>
  </si>
  <si>
    <t>Pondercel S.A. De C. - El Paso</t>
  </si>
  <si>
    <t>El Paso,TX 77915</t>
  </si>
  <si>
    <t>Pontotoc Fiber - Pontotoc</t>
  </si>
  <si>
    <t>Pontotoc,MS 38863</t>
  </si>
  <si>
    <t>POOLE'S SAW SERVICE</t>
  </si>
  <si>
    <t>940 AERO DR.</t>
  </si>
  <si>
    <t>SHREVEPORT, LA 71107</t>
  </si>
  <si>
    <t>New Castle,WY 82701</t>
  </si>
  <si>
    <t>Port City Plate Burning, Inc</t>
  </si>
  <si>
    <t>3101 Charles Page Blvd</t>
  </si>
  <si>
    <t>Tulsa, OK 74127-8319</t>
  </si>
  <si>
    <t>IBT's Customer</t>
  </si>
  <si>
    <t>Port Recovery Ind - Port Recovery</t>
  </si>
  <si>
    <t>Port Recovery,OH 4584</t>
  </si>
  <si>
    <t>Portac Inc - Tacoma</t>
  </si>
  <si>
    <t>Portac, Inc - Forks</t>
  </si>
  <si>
    <t>Forks,WA 98331</t>
  </si>
  <si>
    <t>Portage Ind - Portage</t>
  </si>
  <si>
    <t>Portage,WI 53901</t>
  </si>
  <si>
    <t>Portage Plastics - Portage</t>
  </si>
  <si>
    <t>Portage Transformer - Youngstown</t>
  </si>
  <si>
    <t>Youngstown,OH 44509</t>
  </si>
  <si>
    <t>Porter's Fluid Power - Phoenix</t>
  </si>
  <si>
    <t>3054 N. 30th St.</t>
  </si>
  <si>
    <t>Phoenix,AZ 85017</t>
  </si>
  <si>
    <t>(602) 269-8937</t>
  </si>
  <si>
    <t>Portland Products - Portland</t>
  </si>
  <si>
    <t>Positech - Laurens</t>
  </si>
  <si>
    <t>191 North Rush Lake Road</t>
  </si>
  <si>
    <t>Laurens,IA 50554</t>
  </si>
  <si>
    <t>(712) 841-4548</t>
  </si>
  <si>
    <t>Potlatch Corp. - Bemidji</t>
  </si>
  <si>
    <t>Bemidji,MN 56601</t>
  </si>
  <si>
    <t>Potlatch Corporation - Warren</t>
  </si>
  <si>
    <t>Warren,AR 71671</t>
  </si>
  <si>
    <t>Potlatch-Lumber Ware - Lewiston</t>
  </si>
  <si>
    <t>Lewiston,ID 83501</t>
  </si>
  <si>
    <t>Potomac Supply - Kinsale</t>
  </si>
  <si>
    <t>Kinsale,VA 22488</t>
  </si>
  <si>
    <t>Powder River - Provo</t>
  </si>
  <si>
    <t>Provo,UT 84606</t>
  </si>
  <si>
    <t>Powell Construction - Fedscreed</t>
  </si>
  <si>
    <t>Fedscreed,KY 41524</t>
  </si>
  <si>
    <t>Power and Rubber Supply</t>
  </si>
  <si>
    <t>1778 6th Street       Brookley Aeroplex</t>
  </si>
  <si>
    <t>Mobile, AL 36615</t>
  </si>
  <si>
    <t>251-405-6411</t>
  </si>
  <si>
    <t>251-405-6415</t>
  </si>
  <si>
    <t>Power and Rubber Supply - Bill To</t>
  </si>
  <si>
    <t>PO Box 1537</t>
  </si>
  <si>
    <t>Tuscaloosa, AL 35403</t>
  </si>
  <si>
    <t>Power and Rubber Supply - Tuscaloosa</t>
  </si>
  <si>
    <t>1501 35th Street</t>
  </si>
  <si>
    <t>(205) 759-5156</t>
  </si>
  <si>
    <t>(205) 759-2236</t>
  </si>
  <si>
    <t>Power In Motion - Fairfield</t>
  </si>
  <si>
    <t>Fairfield,NJ 07004</t>
  </si>
  <si>
    <t>Power Ind Inc - Napa</t>
  </si>
  <si>
    <t>Napa,CA 94558</t>
  </si>
  <si>
    <t>Power Quip - Pennsauken</t>
  </si>
  <si>
    <t>Pennsauken,NJ 08110</t>
  </si>
  <si>
    <t>Power Systems Inc of Florida</t>
  </si>
  <si>
    <t>1417 Chaffee Dr. Suite 9</t>
  </si>
  <si>
    <t>Titusville,FL 32780</t>
  </si>
  <si>
    <t>321-268-9073</t>
  </si>
  <si>
    <t>321-268-9074</t>
  </si>
  <si>
    <t>Power Systems Inc. - Alpharetta</t>
  </si>
  <si>
    <t>805 McFarland Road</t>
  </si>
  <si>
    <t>Alpharetta,GA 30201</t>
  </si>
  <si>
    <t>(800) 383-1680</t>
  </si>
  <si>
    <t>(770) 442-5522</t>
  </si>
  <si>
    <t>Power Systems of Georgia Inc.</t>
  </si>
  <si>
    <t>PO Box 410587</t>
  </si>
  <si>
    <t>Charlotte, NC 28241</t>
  </si>
  <si>
    <t>Powerflow - IBT / Woodson Terrace</t>
  </si>
  <si>
    <t>4323 Woodson Road</t>
  </si>
  <si>
    <t>Powerflow Systems</t>
  </si>
  <si>
    <t>7029 South 107th Street</t>
  </si>
  <si>
    <t>Lavista,NE 68128</t>
  </si>
  <si>
    <t>Witicha,KS 67203</t>
  </si>
  <si>
    <t>(319) 943-3490</t>
  </si>
  <si>
    <t>5420 England</t>
  </si>
  <si>
    <t>913-342-7024</t>
  </si>
  <si>
    <t>913-342-1529</t>
  </si>
  <si>
    <t>Powermotion - Birmingham</t>
  </si>
  <si>
    <t>90 Robert Jemison Road</t>
  </si>
  <si>
    <t>(205) 945-1931</t>
  </si>
  <si>
    <t>(205) 945-1938</t>
  </si>
  <si>
    <t>Powertech Motion Control Inc - Mahwah</t>
  </si>
  <si>
    <t>305 Island Road</t>
  </si>
  <si>
    <t>(201) 934-9354</t>
  </si>
  <si>
    <t>(201) 934-9480</t>
  </si>
  <si>
    <t>PPG Ind - Lake Charles</t>
  </si>
  <si>
    <t>Lake Charles,LA 70602</t>
  </si>
  <si>
    <t>PPG Ind - Shelby</t>
  </si>
  <si>
    <t>PRAIRIE BELTING INC</t>
  </si>
  <si>
    <t>396 W. HWY 2</t>
  </si>
  <si>
    <t>ANTHONY, KS 67003</t>
  </si>
  <si>
    <t>Prairie Wood Products - Prairie City</t>
  </si>
  <si>
    <t>Prairie City,OR 9786</t>
  </si>
  <si>
    <t>E. Hartford,CT 06108</t>
  </si>
  <si>
    <t>Praxair Distribution - Roseville</t>
  </si>
  <si>
    <t>Praxis Ind</t>
  </si>
  <si>
    <t>435 Industrial Road</t>
  </si>
  <si>
    <t>Savannah,TN 38372</t>
  </si>
  <si>
    <t>731-925-7656</t>
  </si>
  <si>
    <t>731-926-2238</t>
  </si>
  <si>
    <t>Precast Concrete Products - Gallaway</t>
  </si>
  <si>
    <t>Gallaway,TN 38036</t>
  </si>
  <si>
    <t>Precise Tech - North Versailles</t>
  </si>
  <si>
    <t>501 Mosside Blvd</t>
  </si>
  <si>
    <t>North Versailles,PA 15137</t>
  </si>
  <si>
    <t>(412) 823-2100</t>
  </si>
  <si>
    <t>Precision Associates - Minneapolis</t>
  </si>
  <si>
    <t>Minneapolis,MN 55401</t>
  </si>
  <si>
    <t>Precision Automation - Cherry Hill</t>
  </si>
  <si>
    <t>Precision Bearing Co - Ottumwa</t>
  </si>
  <si>
    <t>Ottumwa,IA 52501</t>
  </si>
  <si>
    <t>Precision Cast Parts - Portland</t>
  </si>
  <si>
    <t>Precision Design Sys - Rochester</t>
  </si>
  <si>
    <t>504 11th Street</t>
  </si>
  <si>
    <t>Monroe,WI 53566</t>
  </si>
  <si>
    <t>Precision Engineering - Seattle</t>
  </si>
  <si>
    <t>Precision Equipment - Portland</t>
  </si>
  <si>
    <t>Precision Hydraulics - Roanoke</t>
  </si>
  <si>
    <t>Precision Ind</t>
  </si>
  <si>
    <t>3224 Langenheder St.</t>
  </si>
  <si>
    <t>Precision Ind - Lexington</t>
  </si>
  <si>
    <t>Precision Ind- Des Moines</t>
  </si>
  <si>
    <t>2050 Delaware Ave</t>
  </si>
  <si>
    <t>Des Moines, IA 50317</t>
  </si>
  <si>
    <t>Precision Lumber Co. - Pollock</t>
  </si>
  <si>
    <t>Pollock,TX 75969</t>
  </si>
  <si>
    <t>Precision Mach. Cont - No. Jackson</t>
  </si>
  <si>
    <t>No. Jackson,OH 4445</t>
  </si>
  <si>
    <t>Precision Manufacturing - Longmont</t>
  </si>
  <si>
    <t>Precision Mechanics - Green Bay</t>
  </si>
  <si>
    <t>Precision Metal Products - Milford</t>
  </si>
  <si>
    <t>Precision Products - Greenwood</t>
  </si>
  <si>
    <t>Greenwood,IN 46143</t>
  </si>
  <si>
    <t>823 South Lincoln St</t>
  </si>
  <si>
    <t>Lowell, AR, 72745</t>
  </si>
  <si>
    <t>479-770-0810</t>
  </si>
  <si>
    <t>Precision Specialty - Los Angeles</t>
  </si>
  <si>
    <t>Los Angeles,CA 90063</t>
  </si>
  <si>
    <t>PRECISION THERMOPLASTIC COMPONENTS INC</t>
  </si>
  <si>
    <t>3765 ST. JOHNS RD</t>
  </si>
  <si>
    <t>LIMA, OH 45802</t>
  </si>
  <si>
    <t>Precision Tool Eng - Dubuque</t>
  </si>
  <si>
    <t xml:space="preserve">Dubuque,IA </t>
  </si>
  <si>
    <t>Precision Welding Co - Cleveland</t>
  </si>
  <si>
    <t>Precision Wire Products - Blairsville</t>
  </si>
  <si>
    <t>Pre-Con/Schokbeton I - Kalamazoo</t>
  </si>
  <si>
    <t>Preferred Technical - Pelahatchie</t>
  </si>
  <si>
    <t>Premcor - Port Arthur</t>
  </si>
  <si>
    <t>Port Arthur,TX 77460</t>
  </si>
  <si>
    <t>Premeir Boxboard Ltd - Cayuga</t>
  </si>
  <si>
    <t>Cayuga,IN 47928</t>
  </si>
  <si>
    <t>Premier Elkhorn Coal - Myra</t>
  </si>
  <si>
    <t>Myra,KY 41549</t>
  </si>
  <si>
    <t>Premier Polymer</t>
  </si>
  <si>
    <t>234 Lowy Drive</t>
  </si>
  <si>
    <t>Chatsworth, GA 30705</t>
  </si>
  <si>
    <t>9886 N Tudor Rd</t>
  </si>
  <si>
    <t>Berrien Springs,MI 49103</t>
  </si>
  <si>
    <t>(616) 471-7715</t>
  </si>
  <si>
    <t>Premium Molding - Derry</t>
  </si>
  <si>
    <t>Derry,PA 15627</t>
  </si>
  <si>
    <t>Premold Corp. - Oconomowoc</t>
  </si>
  <si>
    <t>Oconomowoc,WI 53066</t>
  </si>
  <si>
    <t xml:space="preserve">Premsco Inc. - </t>
  </si>
  <si>
    <t>, 909</t>
  </si>
  <si>
    <t>Prent Corp - Janesville</t>
  </si>
  <si>
    <t>Presision Southwest - Myrtle Beach</t>
  </si>
  <si>
    <t>4900 Highway 501 West</t>
  </si>
  <si>
    <t>Myrtle Beach,SC 29579</t>
  </si>
  <si>
    <t>(843) 349-3016</t>
  </si>
  <si>
    <t>(419) 715-5596</t>
  </si>
  <si>
    <t>Press, Inc.</t>
  </si>
  <si>
    <t>5330 Manchester Ave.</t>
  </si>
  <si>
    <t>Morristown, TN 37814</t>
  </si>
  <si>
    <t>Pressac Inc - Cullman</t>
  </si>
  <si>
    <t>2304 Industrial Drive Southwest</t>
  </si>
  <si>
    <t>(256) 734-2110</t>
  </si>
  <si>
    <t>Pressing Systems Inc - Toronto</t>
  </si>
  <si>
    <t>Toronto,ONT M6M5B6</t>
  </si>
  <si>
    <t>Prestone Products Co - Alsip</t>
  </si>
  <si>
    <t>Pre-Wel - Omaha</t>
  </si>
  <si>
    <t>Omaha,NE 68122</t>
  </si>
  <si>
    <t>Price Engineering Co., Inc. - Waukesha</t>
  </si>
  <si>
    <t>22577 Johnson Drive</t>
  </si>
  <si>
    <t>Waukesha,WI 53186</t>
  </si>
  <si>
    <t>(414) 547-2700</t>
  </si>
  <si>
    <t>314 Reynolds Road #31</t>
  </si>
  <si>
    <t>Malvem, AR 72104</t>
  </si>
  <si>
    <t>501-844-4260</t>
  </si>
  <si>
    <t>501-844-4474</t>
  </si>
  <si>
    <t>Hot Springs, AR 71903</t>
  </si>
  <si>
    <t>400 Aviation Plaza</t>
  </si>
  <si>
    <t>Hot Springs, AR 71913</t>
  </si>
  <si>
    <t>Pride Forestry</t>
  </si>
  <si>
    <t>Pries Aluminum Inc - Independence</t>
  </si>
  <si>
    <t>Independence,IA 50644</t>
  </si>
  <si>
    <t>Primary Fuels - Saginaw</t>
  </si>
  <si>
    <t>Saginaw,MI 48722</t>
  </si>
  <si>
    <t>Primet Fluid Power - Hammond</t>
  </si>
  <si>
    <t>7917 New Jersey Ave</t>
  </si>
  <si>
    <t>Hammond,IN 46323-3040</t>
  </si>
  <si>
    <t>(219) 844-4224</t>
  </si>
  <si>
    <t>(219) 844-4284</t>
  </si>
  <si>
    <t>Prince Cylinders - Souix City</t>
  </si>
  <si>
    <t xml:space="preserve">Souix City,IA </t>
  </si>
  <si>
    <t>(888) 307-3138</t>
  </si>
  <si>
    <t>Prince Machine Co - Holland</t>
  </si>
  <si>
    <t>Print Pack Inc</t>
  </si>
  <si>
    <t>285 Andrew Way</t>
  </si>
  <si>
    <t>Villa Rica, GA 30180</t>
  </si>
  <si>
    <t>Print Pack Inc - Williamsburg</t>
  </si>
  <si>
    <t>Printpack Inc - Hendersonville</t>
  </si>
  <si>
    <t>3510 Asheville Hwy</t>
  </si>
  <si>
    <t>(828) 693-1723</t>
  </si>
  <si>
    <t>Printpack, Inc. - Orange</t>
  </si>
  <si>
    <t>Pritchard Hydra-motion</t>
  </si>
  <si>
    <t>41 Omands Creek Blvd</t>
  </si>
  <si>
    <t>Winnipeg, Manitoba, Canada</t>
  </si>
  <si>
    <t>R2R2V2</t>
  </si>
  <si>
    <t>Pro Automation - Salt Lake City</t>
  </si>
  <si>
    <t>Pro Fab Metals - Russellville</t>
  </si>
  <si>
    <t>Russellville,KY 4227</t>
  </si>
  <si>
    <t>Pro Ind - Mulberry</t>
  </si>
  <si>
    <t>905 Garden Of The Gods Rd #A</t>
  </si>
  <si>
    <t>(719) 533-1948</t>
  </si>
  <si>
    <t>Pro Plastics - Rogers</t>
  </si>
  <si>
    <t>Rogers,MN 55374</t>
  </si>
  <si>
    <t>Probst Supply - Marion</t>
  </si>
  <si>
    <t>Marion,OH 43301</t>
  </si>
  <si>
    <t>Process Control Auto - Montague</t>
  </si>
  <si>
    <t>Process Engineering - Afton</t>
  </si>
  <si>
    <t>Afton,VA 22920</t>
  </si>
  <si>
    <t>St. Louis,MO 63132</t>
  </si>
  <si>
    <t>23688 Research Dr</t>
  </si>
  <si>
    <t>(248) 473-8450</t>
  </si>
  <si>
    <t>Procon Products - Murfreesboro</t>
  </si>
  <si>
    <t>Murfreesboro,TN 71958</t>
  </si>
  <si>
    <t>Prodelin Corp. - Catawba</t>
  </si>
  <si>
    <t>Product Technology - Maple Lake</t>
  </si>
  <si>
    <t>Maple Lake,MN 55358</t>
  </si>
  <si>
    <t>Production Control U - Dayton</t>
  </si>
  <si>
    <t>Dayton,OH 45439</t>
  </si>
  <si>
    <t>Production Hydraulic - Hermiston</t>
  </si>
  <si>
    <t>Hermiston,OR 97838</t>
  </si>
  <si>
    <t>Charlotte,NC 28217</t>
  </si>
  <si>
    <t>Proex Inc. - Batavia</t>
  </si>
  <si>
    <t>Professional Hydraulics - Florence</t>
  </si>
  <si>
    <t>2144 National Avenue</t>
  </si>
  <si>
    <t>(843) 395-9881</t>
  </si>
  <si>
    <t>(843) 395-9882</t>
  </si>
  <si>
    <t>Profile Steel - Novi</t>
  </si>
  <si>
    <t>Novi,MI 48374</t>
  </si>
  <si>
    <t>Programmed Composite - Corona</t>
  </si>
  <si>
    <t>Corona,CA 92880</t>
  </si>
  <si>
    <t>Progress Casting Gro - Plymoouth</t>
  </si>
  <si>
    <t>Plymoouth,MN 55447</t>
  </si>
  <si>
    <t>Progress Ind, - Trussville</t>
  </si>
  <si>
    <t>Progressive Furnitur - Claremont</t>
  </si>
  <si>
    <t>Claremont,NC 28610</t>
  </si>
  <si>
    <t>Progressive Machine - Ringwood</t>
  </si>
  <si>
    <t>Ringwood,NJ 07458</t>
  </si>
  <si>
    <t>Progressive Power - Indianapolis</t>
  </si>
  <si>
    <t>Progressive Stamping - Akron</t>
  </si>
  <si>
    <t>Progressive Systems</t>
  </si>
  <si>
    <t>416-35th Ave NE</t>
  </si>
  <si>
    <t>Minneapolis,MN 55418</t>
  </si>
  <si>
    <t>(612) 436-1216</t>
  </si>
  <si>
    <t>(612) 788-8020</t>
  </si>
  <si>
    <t>Progressive Systems - Spring Park</t>
  </si>
  <si>
    <t>612-788-8081</t>
  </si>
  <si>
    <t>612-788-8020</t>
  </si>
  <si>
    <t>Project Services Gro - Dallas</t>
  </si>
  <si>
    <t>Promo Edge Of Menash - Neenah</t>
  </si>
  <si>
    <t>Proper Mold S.C. - Anderson</t>
  </si>
  <si>
    <t>Proschem Supply Co - Mulberry</t>
  </si>
  <si>
    <t>PROTEC DIV OF PATTON ENT</t>
  </si>
  <si>
    <t>12130 GALVESTON RD (HWY 3) BLDG. 4</t>
  </si>
  <si>
    <t>WEBSTER, TX 77598</t>
  </si>
  <si>
    <t>Prudential Steel Inc - Longview</t>
  </si>
  <si>
    <t>Pruitt Lumber Co - Louisburg</t>
  </si>
  <si>
    <t>Louisburg,NC 27549</t>
  </si>
  <si>
    <t>Prystup Packaging Products Inc - Demopolis</t>
  </si>
  <si>
    <t>125 Industrial Park Drive South</t>
  </si>
  <si>
    <t>(334) 289-5388</t>
  </si>
  <si>
    <t>Prystup Packaging Products Inc - Livingston</t>
  </si>
  <si>
    <t>North Industrial Park</t>
  </si>
  <si>
    <t>Livingston,AL 35470</t>
  </si>
  <si>
    <t>(205) 652-9583</t>
  </si>
  <si>
    <t>PSI Sales</t>
  </si>
  <si>
    <t xml:space="preserve">7555 Half Mile Road </t>
  </si>
  <si>
    <t>Irvington, AL 36544</t>
  </si>
  <si>
    <t>**COD ORDERS ONLY**</t>
  </si>
  <si>
    <t>Pti/Strongwell - Parma</t>
  </si>
  <si>
    <t>Parma,OH 44129</t>
  </si>
  <si>
    <t>Puget Sound Hydraulics - Seattle</t>
  </si>
  <si>
    <t>877-702-3109</t>
  </si>
  <si>
    <t>206-283-1026</t>
  </si>
  <si>
    <t xml:space="preserve">40% Disc. POC: Mike Woods (email: mwoodspsh@eschelon.com) </t>
  </si>
  <si>
    <t>Pugmill Systems - Columbia</t>
  </si>
  <si>
    <t>Columbia,TN 38401</t>
  </si>
  <si>
    <t>Puig Prunes Commercial - Miami</t>
  </si>
  <si>
    <t>PULPMILL SERVICES</t>
  </si>
  <si>
    <t>134 KELLER STREET</t>
  </si>
  <si>
    <t>WEST MONROE, LA 71292</t>
  </si>
  <si>
    <t>318-325-4351</t>
  </si>
  <si>
    <t>318-387-7143</t>
  </si>
  <si>
    <t>PULPMILL SERVICES INC</t>
  </si>
  <si>
    <t>803 WEST FIRST AVE</t>
  </si>
  <si>
    <t>CROSSETT, AR 71635</t>
  </si>
  <si>
    <t>Fort Worth,TX 76119</t>
  </si>
  <si>
    <t>Potosi,MO 63664</t>
  </si>
  <si>
    <t>Puritan Mfg. Co. - Omaha</t>
  </si>
  <si>
    <t>Omaha,NE 68110</t>
  </si>
  <si>
    <t>Purpose Extruded Alu - Schofield</t>
  </si>
  <si>
    <t>Purvis Forest Products - Purvis</t>
  </si>
  <si>
    <t>Purvis,MS 39475</t>
  </si>
  <si>
    <t>Pws Motion Control - Anaheim</t>
  </si>
  <si>
    <t>3990 E. Miraloma Ave</t>
  </si>
  <si>
    <t>(714) 630-4310</t>
  </si>
  <si>
    <t>714)630-8515</t>
  </si>
  <si>
    <t>Pye-Barker - Columbus</t>
  </si>
  <si>
    <t>2700 12th Ave._x000D_
c/o Jordan Mills</t>
  </si>
  <si>
    <t>Columbus,GA 31904</t>
  </si>
  <si>
    <t>(706) 568-1500</t>
  </si>
  <si>
    <t>(706) 568-7064</t>
  </si>
  <si>
    <t>Pye-Barker - Forest Park</t>
  </si>
  <si>
    <t>121 Royal Dr.</t>
  </si>
  <si>
    <t>Forest Park,GA 30297</t>
  </si>
  <si>
    <t>(800) 282-9784</t>
  </si>
  <si>
    <t>(404) 361-8579</t>
  </si>
  <si>
    <t>Pye-Barker - Savannah</t>
  </si>
  <si>
    <t>1105 Louisville Road</t>
  </si>
  <si>
    <t>(800) 282-9783</t>
  </si>
  <si>
    <t>(912) 238-5214</t>
  </si>
  <si>
    <t>Pyramid Mountain Lumber - Seeley Lake</t>
  </si>
  <si>
    <t>Seeley Lake,MT 59868</t>
  </si>
  <si>
    <t>Python Machines-OEM</t>
  </si>
  <si>
    <t>317-372-2713</t>
  </si>
  <si>
    <t>317-787-7169</t>
  </si>
  <si>
    <t>1812 16Th Ave</t>
  </si>
  <si>
    <t>Forest Grove,OR 97116</t>
  </si>
  <si>
    <t>(503) 357-0562</t>
  </si>
  <si>
    <t>Q B Corporation - Salmon</t>
  </si>
  <si>
    <t>Qc Optics Inc - Wilmington</t>
  </si>
  <si>
    <t>46 Jonspin Rd</t>
  </si>
  <si>
    <t>Wilmington,MA 01887</t>
  </si>
  <si>
    <t>(781) 272-4949</t>
  </si>
  <si>
    <t>QPI Multipress, Inc. - Columbus</t>
  </si>
  <si>
    <t>560 W. Nationwide Blvd.</t>
  </si>
  <si>
    <t>Columbus,OH 43215</t>
  </si>
  <si>
    <t>(614) 228-0185</t>
  </si>
  <si>
    <t>(614) 228-2358</t>
  </si>
  <si>
    <t>Qtran Corporation - Ft. Worth</t>
  </si>
  <si>
    <t>Ft. Worth,TX 76102</t>
  </si>
  <si>
    <t>(817) 870-2099</t>
  </si>
  <si>
    <t>Quad Graphics - Martinsburg</t>
  </si>
  <si>
    <t>Martinsburg,WV 25401</t>
  </si>
  <si>
    <t>Quad Power Products - Kansas City</t>
  </si>
  <si>
    <t>11609 Hickman Mills Dr.</t>
  </si>
  <si>
    <t>Kansas City,MO 64134</t>
  </si>
  <si>
    <t>(816) 965-8925</t>
  </si>
  <si>
    <t>(816) 965-8928</t>
  </si>
  <si>
    <t>Quad Rock Inc - The Rock</t>
  </si>
  <si>
    <t>The Rock,GA 30285</t>
  </si>
  <si>
    <t>Quaker Truck Repair - Queensburg</t>
  </si>
  <si>
    <t>Queensburg,NY 12804</t>
  </si>
  <si>
    <t>Qualair Pneumatics - Central Point</t>
  </si>
  <si>
    <t>427 E Vilas Rd</t>
  </si>
  <si>
    <t>(541) 664-9393</t>
  </si>
  <si>
    <t>Qualiform Inc. - Wadsworth</t>
  </si>
  <si>
    <t>Wadsworth,OH 44281</t>
  </si>
  <si>
    <t>Qualitech Machine Svc - Cuyahoga Falls</t>
  </si>
  <si>
    <t>452 E Bath Rd</t>
  </si>
  <si>
    <t>(330) 928-9333</t>
  </si>
  <si>
    <t>Quality Aluminum For - Orange</t>
  </si>
  <si>
    <t>Quality Carpet Cushion Solution First, Inc.</t>
  </si>
  <si>
    <t>110 West McCarter Rd.</t>
  </si>
  <si>
    <t>Lafayette, GA 30728</t>
  </si>
  <si>
    <t>Quality Concrete Products - Sussex</t>
  </si>
  <si>
    <t>Sussex,WI 53089</t>
  </si>
  <si>
    <t>Quality Construction - Terrytown</t>
  </si>
  <si>
    <t>Terrytown,FL 33597</t>
  </si>
  <si>
    <t>Quality Fabrication</t>
  </si>
  <si>
    <t>3631 West US Hwy. 80</t>
  </si>
  <si>
    <t>Quality Hardwood - Sidney</t>
  </si>
  <si>
    <t>Sidney,NY 13838</t>
  </si>
  <si>
    <t>Quality Hydraulics - Mundelein</t>
  </si>
  <si>
    <t>1415 Wilhelm Road</t>
  </si>
  <si>
    <t>(847) 680-8400</t>
  </si>
  <si>
    <t>(847) 680-5325</t>
  </si>
  <si>
    <t>3312 C.  Ave  NE</t>
  </si>
  <si>
    <t>Quality Ind of America</t>
  </si>
  <si>
    <t>P.O. Box 1949 U.S. 90 East</t>
  </si>
  <si>
    <t>Lake City, FL 32056</t>
  </si>
  <si>
    <t>386-755-0220</t>
  </si>
  <si>
    <t>386-752-7897</t>
  </si>
  <si>
    <t>Quality Industrial S - Laporte</t>
  </si>
  <si>
    <t>Laporte,IN 46352</t>
  </si>
  <si>
    <t>Highway 92</t>
  </si>
  <si>
    <t>Rising City,NE 68658</t>
  </si>
  <si>
    <t>402-542-2471</t>
  </si>
  <si>
    <t>402-542-2473</t>
  </si>
  <si>
    <t>Quality Machine Work - Salem</t>
  </si>
  <si>
    <t>Quality Machineworks - Paulina</t>
  </si>
  <si>
    <t>Quality Mill Service - Lake City</t>
  </si>
  <si>
    <t>3631 US Hwy 90 East</t>
  </si>
  <si>
    <t>(386) 755-0220 ext824</t>
  </si>
  <si>
    <t>(386) 752-7897</t>
  </si>
  <si>
    <t>11640 Hwy 72</t>
  </si>
  <si>
    <t>Cherokee, AL, 35616</t>
  </si>
  <si>
    <t>Advanced Fluid Power's Customer</t>
  </si>
  <si>
    <t>Quality Plastic - Newberg</t>
  </si>
  <si>
    <t>Newberg,OR 97132</t>
  </si>
  <si>
    <t>Quality Pork Process - Austin</t>
  </si>
  <si>
    <t>Austin,MN 55912</t>
  </si>
  <si>
    <t>Quantum Marine Engineering Inc.</t>
  </si>
  <si>
    <t>3758 SW 30th Avenue</t>
  </si>
  <si>
    <t>Ft. Lauderdale, FL 33312</t>
  </si>
  <si>
    <t>954-587-4205</t>
  </si>
  <si>
    <t>954-587-8815</t>
  </si>
  <si>
    <t>Queen City Tool Work - Fairfield</t>
  </si>
  <si>
    <t>Quincy Ortman Cylinders</t>
  </si>
  <si>
    <t>3501 Wismann Lane</t>
  </si>
  <si>
    <t>Quincy, IL 62301</t>
  </si>
  <si>
    <t>217-222-7700</t>
  </si>
  <si>
    <t>217-222-7486</t>
  </si>
  <si>
    <t>Quint-C Pallet Co. - Limestone</t>
  </si>
  <si>
    <t>Limestone,TN 37681</t>
  </si>
  <si>
    <t>Humble,TX 77228</t>
  </si>
  <si>
    <t>99 21st Avenue</t>
  </si>
  <si>
    <t>Tuscaloosa, AL 34501</t>
  </si>
  <si>
    <t>205-758-3774</t>
  </si>
  <si>
    <t>205-758-4935</t>
  </si>
  <si>
    <t>611 15th Aveune SW</t>
  </si>
  <si>
    <t>(319) 366-1200</t>
  </si>
  <si>
    <t>7963 Turnpike Road</t>
  </si>
  <si>
    <t>Archdale,NC 27263</t>
  </si>
  <si>
    <t>(336) 474-6220</t>
  </si>
  <si>
    <t>(336) 474-6270</t>
  </si>
  <si>
    <t>R D Playman - Phoenix</t>
  </si>
  <si>
    <t>R G Group - York</t>
  </si>
  <si>
    <t>650 N State St</t>
  </si>
  <si>
    <t>York,PA 17403-1032</t>
  </si>
  <si>
    <t>(800) 842-1799</t>
  </si>
  <si>
    <t>(800) 643-5224</t>
  </si>
  <si>
    <t>R S G Forest Product - Kalama</t>
  </si>
  <si>
    <t>R W Sidley - Hillsville</t>
  </si>
  <si>
    <t>Hillsville,PA 16132</t>
  </si>
  <si>
    <t>1918 Dayton Blvd.</t>
  </si>
  <si>
    <t>Chattanooga,TN 37415</t>
  </si>
  <si>
    <t>(423) 875-9122</t>
  </si>
  <si>
    <t>(423) 875-5047</t>
  </si>
  <si>
    <t>R.A. Hanson Co. - Spokane</t>
  </si>
  <si>
    <t>Spokane,WA 99207</t>
  </si>
  <si>
    <t>R.A. Miller Hardwood - North Tonowanda</t>
  </si>
  <si>
    <t>North Tonowanda,NY 141</t>
  </si>
  <si>
    <t>R.A. Yancey Lumber Co - Crozet</t>
  </si>
  <si>
    <t>Crozet,VA 22932</t>
  </si>
  <si>
    <t>R.B. Steel Fab. - Molalla</t>
  </si>
  <si>
    <t>R.E. Phelon - Aiken</t>
  </si>
  <si>
    <t>R.G. Engineering - Columbiana</t>
  </si>
  <si>
    <t>Columbiana,OH 44408</t>
  </si>
  <si>
    <t>R.J. Williams Lumber - Apalachin</t>
  </si>
  <si>
    <t>R.L. BEST COMPANY</t>
  </si>
  <si>
    <t>824 BEV ROAD</t>
  </si>
  <si>
    <t>BOARDMAN, OH 44512</t>
  </si>
  <si>
    <t>330-758-8601</t>
  </si>
  <si>
    <t>330-758-9413</t>
  </si>
  <si>
    <t>R.L. Craig - Libson</t>
  </si>
  <si>
    <t>Libson,OH 44432</t>
  </si>
  <si>
    <t>R.M. Engineering - Erwin</t>
  </si>
  <si>
    <t>R.O. Schultz - Elmwood Park</t>
  </si>
  <si>
    <t>Elmwood Park,IL 6070</t>
  </si>
  <si>
    <t>R.P.S. Inc - Bedford Park</t>
  </si>
  <si>
    <t>R.R. Donnelley Print - Lynchburg</t>
  </si>
  <si>
    <t>R.W. Sidley Inc. - Hillsville</t>
  </si>
  <si>
    <t>R/S Godwin Truck Body Co.</t>
  </si>
  <si>
    <t>5168 US 23  South</t>
  </si>
  <si>
    <t>Ivel,KY 41642</t>
  </si>
  <si>
    <t>606-874-2151</t>
  </si>
  <si>
    <t>606-874-9136</t>
  </si>
  <si>
    <t>R/V Research Vessel - San Pedro</t>
  </si>
  <si>
    <t>San Pedro,CA 90731</t>
  </si>
  <si>
    <t>Radesa International - San Antonio</t>
  </si>
  <si>
    <t>San Antonio,TX 78217</t>
  </si>
  <si>
    <t>Radio Frequency Services, Inc. - Wilkesboro</t>
  </si>
  <si>
    <t>1202 Woodfield Way</t>
  </si>
  <si>
    <t>(336) 667-7524</t>
  </si>
  <si>
    <t>(336) 667-0749</t>
  </si>
  <si>
    <t>RAF Fluid Power - Solon</t>
  </si>
  <si>
    <t>6750 Arnold Miller Pkwy.</t>
  </si>
  <si>
    <t>(440) 498-8465</t>
  </si>
  <si>
    <t>(440) 498-8475</t>
  </si>
  <si>
    <t>Centro Regional Distribution</t>
  </si>
  <si>
    <t>Bldg 4 Sec 5</t>
  </si>
  <si>
    <t>Ponce, PR 00731</t>
  </si>
  <si>
    <t>Rainbow Precision Pr - Temecula</t>
  </si>
  <si>
    <t>Temecula,CA 92591</t>
  </si>
  <si>
    <t>Rainier Veneer - Spanaway</t>
  </si>
  <si>
    <t>Spanaway,WA 98387</t>
  </si>
  <si>
    <t>RALA Enterprises</t>
  </si>
  <si>
    <t>696 Jade Road</t>
  </si>
  <si>
    <t>Toney, AL 35773</t>
  </si>
  <si>
    <t>256-431-3002</t>
  </si>
  <si>
    <t>RALEY CONSTRUCTION</t>
  </si>
  <si>
    <t>157 BIG BEND ROAD</t>
  </si>
  <si>
    <t>HOUSTON, AL 35572</t>
  </si>
  <si>
    <t>256-214-0915</t>
  </si>
  <si>
    <t>Ralph A. Hiller Company - Erie</t>
  </si>
  <si>
    <t>2216 West 50Th Street</t>
  </si>
  <si>
    <t>(814) 838-9878</t>
  </si>
  <si>
    <t>Ralph A. Hiller Company - Export</t>
  </si>
  <si>
    <t>6005 Enterprise Drive</t>
  </si>
  <si>
    <t>(724) 325-1200</t>
  </si>
  <si>
    <t>Ralph Hamel Forest Products - Vesper</t>
  </si>
  <si>
    <t>Ralston Foods - Cedar Rapids</t>
  </si>
  <si>
    <t>Ralston Purina - Fairburn</t>
  </si>
  <si>
    <t>Fairburn,GA 30213</t>
  </si>
  <si>
    <t>Ram Corporation - Nashville</t>
  </si>
  <si>
    <t>603 Hill Avenue</t>
  </si>
  <si>
    <t>Nashville,TN  37210</t>
  </si>
  <si>
    <t>615-259-2777</t>
  </si>
  <si>
    <t>615-259-2766</t>
  </si>
  <si>
    <t>Ramsey Technology - Coon Rapids</t>
  </si>
  <si>
    <t>Coon Rapids,MN 5543</t>
  </si>
  <si>
    <t>Ranier Veneer Inc - Spanaway</t>
  </si>
  <si>
    <t>Rankin Brothers - Fayetteville</t>
  </si>
  <si>
    <t>Rankin Walter A Corp - Edgemont</t>
  </si>
  <si>
    <t>5123 West Chester Pike</t>
  </si>
  <si>
    <t>Edgemont,PA 19028</t>
  </si>
  <si>
    <t>(610) 325-9940</t>
  </si>
  <si>
    <t>Rapid Design Service - Dayton</t>
  </si>
  <si>
    <t>Dayton,OH 45240</t>
  </si>
  <si>
    <t>Rapistan Systems - Marietta</t>
  </si>
  <si>
    <t>Marietta,OK 73448</t>
  </si>
  <si>
    <t>Rapp Hydema - Dutch Harbor</t>
  </si>
  <si>
    <t>Ravalli County Road - Hamilton</t>
  </si>
  <si>
    <t>Hamilton,MT 59840</t>
  </si>
  <si>
    <t>Ray White Lumber Com - Sparkman</t>
  </si>
  <si>
    <t>Sparkman,AR 71763</t>
  </si>
  <si>
    <t>Raychem Corp - Fuquay-Varina</t>
  </si>
  <si>
    <t>Rayonier - Lumber City</t>
  </si>
  <si>
    <t>Lumber City,GA 31549</t>
  </si>
  <si>
    <t>Rayonier Inc - Fernandina Beach</t>
  </si>
  <si>
    <t>Fernandina Beach,FL 3</t>
  </si>
  <si>
    <t>Rayonier Wood Produc - Swainsboro</t>
  </si>
  <si>
    <t>8796 Hwy. 297</t>
  </si>
  <si>
    <t>Raytheon - Austin</t>
  </si>
  <si>
    <t>Austin,TX 78759</t>
  </si>
  <si>
    <t>Raytheon Aircraft - Witchita</t>
  </si>
  <si>
    <t>Witchita,KS 67201</t>
  </si>
  <si>
    <t>RB Lumber Company, LLC (Newport Timber)</t>
  </si>
  <si>
    <t>2366-2 Interstate Paper Road</t>
  </si>
  <si>
    <t>Riceboro, GA 31323</t>
  </si>
  <si>
    <t>Quality Mill's Customer</t>
  </si>
  <si>
    <t>Rdo Foods - Grand Forks</t>
  </si>
  <si>
    <t>Grand Forks,ND 58208</t>
  </si>
  <si>
    <t>Reams Tool - Centralia</t>
  </si>
  <si>
    <t>Centralia,MO 65240</t>
  </si>
  <si>
    <t>Rebar Machine Service Inc.</t>
  </si>
  <si>
    <t>5935 Emerald Ave</t>
  </si>
  <si>
    <t>Las Vegas, NV 89122</t>
  </si>
  <si>
    <t>Controlled Motion Solutions, Inc's Customer</t>
  </si>
  <si>
    <t>Receiving Officer - Portsmouth</t>
  </si>
  <si>
    <t>Portsmouth,VA 23709</t>
  </si>
  <si>
    <t>Reckitt Benckiser Corp</t>
  </si>
  <si>
    <t>30 Arrowhead Industrial Blvd</t>
  </si>
  <si>
    <t>Saint Peters, MO 63376</t>
  </si>
  <si>
    <t>IBT - St. Louis' Customer</t>
  </si>
  <si>
    <t>Recovering Hydraulics - Memphis</t>
  </si>
  <si>
    <t>778 Jackson Avenue</t>
  </si>
  <si>
    <t>Memphis,TN 38107</t>
  </si>
  <si>
    <t>(901) 529-8777</t>
  </si>
  <si>
    <t>Recycling Technology - Grottoes</t>
  </si>
  <si>
    <t>Grottoes,VA 24441</t>
  </si>
  <si>
    <t>Red Dot Corporation - Seattle</t>
  </si>
  <si>
    <t>Seattle,WA 98138</t>
  </si>
  <si>
    <t>Red River Grain DBA</t>
  </si>
  <si>
    <t>Kingston, OK 73439</t>
  </si>
  <si>
    <t>Redden Marine Supply - Bellingham</t>
  </si>
  <si>
    <t>Altoona,PA 16601</t>
  </si>
  <si>
    <t>Redwood Empire - Cloverdale</t>
  </si>
  <si>
    <t>Cloverdale,CA 95425</t>
  </si>
  <si>
    <t>Reebar Die Casting - Waterville</t>
  </si>
  <si>
    <t>Waterville,OH 43566</t>
  </si>
  <si>
    <t>Reed Manufacturing C - Chino</t>
  </si>
  <si>
    <t>Chino,CA 91708</t>
  </si>
  <si>
    <t>Reed Spectrum - Minneapolis</t>
  </si>
  <si>
    <t>Reed's Hydraulics - Gansevoort</t>
  </si>
  <si>
    <t>Gansevoort,NY 12831</t>
  </si>
  <si>
    <t>Reel Industrial - Rapid City</t>
  </si>
  <si>
    <t>Rapid City,SD 57701</t>
  </si>
  <si>
    <t>23623 Nelson Avenue</t>
  </si>
  <si>
    <t>Otho,IA 50569</t>
  </si>
  <si>
    <t>(515) 972-4774</t>
  </si>
  <si>
    <t>(515) 972-4775</t>
  </si>
  <si>
    <t>Reflexite Corp - New Britain</t>
  </si>
  <si>
    <t>Reflexite Technology - Avon</t>
  </si>
  <si>
    <t>Avon,CT 06014</t>
  </si>
  <si>
    <t>1750 Highway 150</t>
  </si>
  <si>
    <t>(205) 424-3980</t>
  </si>
  <si>
    <t xml:space="preserve">REG Valve </t>
  </si>
  <si>
    <t>PO BOX 700</t>
  </si>
  <si>
    <t>GONZALEZ, FL 32560</t>
  </si>
  <si>
    <t>850-937-0050</t>
  </si>
  <si>
    <t>Regal Beloit Div - South Beloit</t>
  </si>
  <si>
    <t>Regional Valve</t>
  </si>
  <si>
    <t>Decatur, AL</t>
  </si>
  <si>
    <t>Rehau - Cullman</t>
  </si>
  <si>
    <t>2424 Industrial Drive Southwest</t>
  </si>
  <si>
    <t>(256) 737-3028</t>
  </si>
  <si>
    <t>(256) 737-3018</t>
  </si>
  <si>
    <t>Rehrig International - Richmond</t>
  </si>
  <si>
    <t>Richmond,VA 23220</t>
  </si>
  <si>
    <t>Reilly Plating Co. - Nanticoke</t>
  </si>
  <si>
    <t>Nanticoke,PA 18634</t>
  </si>
  <si>
    <t>Reinert Concrete Pum - Florence</t>
  </si>
  <si>
    <t>Reinhart Ind - Livonia</t>
  </si>
  <si>
    <t>Livonia,MI 48150</t>
  </si>
  <si>
    <t>Reinke Mfg. Co. - Deshler</t>
  </si>
  <si>
    <t>Deshler,NE 68340</t>
  </si>
  <si>
    <t>Relax Inn - Birmingham</t>
  </si>
  <si>
    <t>Reliable Axile - Manchester</t>
  </si>
  <si>
    <t>Manchester,TN 37355</t>
  </si>
  <si>
    <t>Reliable Casting Cor - Cincinnati</t>
  </si>
  <si>
    <t>Reliable Die Service - Bedford Park</t>
  </si>
  <si>
    <t>Kendallville,IN 46755</t>
  </si>
  <si>
    <t>Reliant Bolt - Bedford Park</t>
  </si>
  <si>
    <t>Reliant Bolt - Bedford Partk</t>
  </si>
  <si>
    <t xml:space="preserve">Bedford Partk, </t>
  </si>
  <si>
    <t>Reliant Engy Hl&amp;P - Boulder City</t>
  </si>
  <si>
    <t>Rembco Engineering - Knoxville</t>
  </si>
  <si>
    <t>Knoxville,TN 37922</t>
  </si>
  <si>
    <t>REMCO INC</t>
  </si>
  <si>
    <t xml:space="preserve">13903 NORBY ROAD </t>
  </si>
  <si>
    <t>GRANDVIEW, MO 64030</t>
  </si>
  <si>
    <t>Lexington, MO 64067</t>
  </si>
  <si>
    <t>Remmey Pallet Co. - Lelighton</t>
  </si>
  <si>
    <t>Lelighton,PA 18235</t>
  </si>
  <si>
    <t>REMPCO - Cadillac</t>
  </si>
  <si>
    <t>251Bell Avenue</t>
  </si>
  <si>
    <t>Rencor Controls Inc - Fort Edward</t>
  </si>
  <si>
    <t>21 Sullivan Parkway</t>
  </si>
  <si>
    <t>Fort Edward,NY 12828</t>
  </si>
  <si>
    <t>(800) 777-4174</t>
  </si>
  <si>
    <t>(866) 478-9627</t>
  </si>
  <si>
    <t>Always ship UPS Collect-#89X928 or by Truck Collect</t>
  </si>
  <si>
    <t>Renite Co. - Columbus</t>
  </si>
  <si>
    <t>2500 E. Fifth Ave</t>
  </si>
  <si>
    <t>(614) 253-5509</t>
  </si>
  <si>
    <t>(614) 253-1333</t>
  </si>
  <si>
    <t>Reno Machine - Newington</t>
  </si>
  <si>
    <t>Newington,CT 06111</t>
  </si>
  <si>
    <t>Repap Wisconsin Midtec - Kimberly</t>
  </si>
  <si>
    <t xml:space="preserve">Kimberly,WI </t>
  </si>
  <si>
    <t>Repglogle Enterprise - Henry</t>
  </si>
  <si>
    <t>Henry,TN 38231</t>
  </si>
  <si>
    <t>Republic Container C - Nitro</t>
  </si>
  <si>
    <t>Nitro,WV 25143</t>
  </si>
  <si>
    <t>Republic Engineered - Massillon</t>
  </si>
  <si>
    <t>Massillon,OH 44646</t>
  </si>
  <si>
    <t>Republic Supply Co. - Clinton</t>
  </si>
  <si>
    <t>Clinton,OK 73601</t>
  </si>
  <si>
    <t>Requipco Inc - Magnolia</t>
  </si>
  <si>
    <t>Magnolia,OH 44643</t>
  </si>
  <si>
    <t>Requipco Inc. - East Sparta</t>
  </si>
  <si>
    <t>East Sparta,OH 44626</t>
  </si>
  <si>
    <t>Reser's Fine Foods</t>
  </si>
  <si>
    <t>3167 SE  10th</t>
  </si>
  <si>
    <t>Topeka,KS 66607</t>
  </si>
  <si>
    <t>Residence Inn</t>
  </si>
  <si>
    <t>3303 Troup Hwy</t>
  </si>
  <si>
    <t>Tyler,TX 75701</t>
  </si>
  <si>
    <t>Resinoid Eng Corp - Hebron</t>
  </si>
  <si>
    <t>RESOLUTE FP US INC.</t>
  </si>
  <si>
    <t>Retech Systems Llc - Ukiah</t>
  </si>
  <si>
    <t>Retsco International - Houston</t>
  </si>
  <si>
    <t>7u444 Getty Road</t>
  </si>
  <si>
    <t>Rex Forge Inc - Plantsville</t>
  </si>
  <si>
    <t>Plantsville,CT 06479</t>
  </si>
  <si>
    <t>REX LUMBER CO - BRISTOL</t>
  </si>
  <si>
    <t>18601 NW COUNTY ROAD 12</t>
  </si>
  <si>
    <t>BRISTOL, FL 32321</t>
  </si>
  <si>
    <t>850-643-2238</t>
  </si>
  <si>
    <t>REX LUMBER COMPANY-BROOKHAVEN, MS</t>
  </si>
  <si>
    <t>810 WL BEHAN ROAD</t>
  </si>
  <si>
    <t>BROOKHAVEN, MS 39601</t>
  </si>
  <si>
    <t>Rex Lumber LLC</t>
  </si>
  <si>
    <t>5299 Alabama Street</t>
  </si>
  <si>
    <t>Graceville,FL 32440</t>
  </si>
  <si>
    <t>850-643-2238 X127</t>
  </si>
  <si>
    <t>Rex Supply - Houston</t>
  </si>
  <si>
    <t>Houston,TX 77003</t>
  </si>
  <si>
    <t xml:space="preserve">Rexnord - </t>
  </si>
  <si>
    <t>(205) 822-7708</t>
  </si>
  <si>
    <t>Reynolds Industrial - Minden</t>
  </si>
  <si>
    <t>Minden,LA 71055</t>
  </si>
  <si>
    <t>Reynolds Metals - Richmond</t>
  </si>
  <si>
    <t>Richmond,VA 23219</t>
  </si>
  <si>
    <t>Rf Tech, Inc - Jessup</t>
  </si>
  <si>
    <t>Jessup,MD 20794</t>
  </si>
  <si>
    <t>Rgm Hardwoods - Moscow</t>
  </si>
  <si>
    <t>Moscow,PA 18444</t>
  </si>
  <si>
    <t>RHM Fluid Power, Inc. (East) - Westland</t>
  </si>
  <si>
    <t>375 Manufactureres Drive</t>
  </si>
  <si>
    <t>Westland,MI 48186</t>
  </si>
  <si>
    <t>(734) 326-5400</t>
  </si>
  <si>
    <t>(734) 326-0339</t>
  </si>
  <si>
    <t>RHM Fluid Power, Inc. (West) - Grand Rapids</t>
  </si>
  <si>
    <t>5329 Clay Ave. S.W.</t>
  </si>
  <si>
    <t>(616) 530-6300</t>
  </si>
  <si>
    <t>(616) 530-2220</t>
  </si>
  <si>
    <t>Rhode Island Engine - Narragansett</t>
  </si>
  <si>
    <t>Narragansett,RI 288</t>
  </si>
  <si>
    <t>Rhone-Poulenc - Phoenix</t>
  </si>
  <si>
    <t>Rialto Concrete Products - Rialto</t>
  </si>
  <si>
    <t>Rialto,CA 92377</t>
  </si>
  <si>
    <t>Rice Industrial Supp - Hibbing</t>
  </si>
  <si>
    <t>Hibbing,MN 55746</t>
  </si>
  <si>
    <t>Richland LLC</t>
  </si>
  <si>
    <t>1905 Mines Road</t>
  </si>
  <si>
    <t>931-424-3900</t>
  </si>
  <si>
    <t>Rich-Mix Prod of Wichita</t>
  </si>
  <si>
    <t>2806 N Ridge Rd</t>
  </si>
  <si>
    <t>Wichita,KS 67205</t>
  </si>
  <si>
    <t>Richmond Industrial - Richmond</t>
  </si>
  <si>
    <t>Richmond,VA 23261</t>
  </si>
  <si>
    <t>Richmond Supply - Augusta</t>
  </si>
  <si>
    <t>Rico - Medina</t>
  </si>
  <si>
    <t>Ridge, Inc.</t>
  </si>
  <si>
    <t>299 Cochran Road</t>
  </si>
  <si>
    <t>Huntsville,AL 36824</t>
  </si>
  <si>
    <t>256-705-5366</t>
  </si>
  <si>
    <t>256-705-5451</t>
  </si>
  <si>
    <t>Rieter Auto. Globe - Oregon</t>
  </si>
  <si>
    <t>Oregon,OH 43616</t>
  </si>
  <si>
    <t>Rieth-Riley Construc - Indianapolis</t>
  </si>
  <si>
    <t>Riggins Co Inc - Hampton</t>
  </si>
  <si>
    <t>Hampton,VA 23361</t>
  </si>
  <si>
    <t>Riggs Hydraulic Center - Ft. Smith</t>
  </si>
  <si>
    <t>6601 South Zero</t>
  </si>
  <si>
    <t>Ft. Smith,AR 72903</t>
  </si>
  <si>
    <t>(800) 467-4006</t>
  </si>
  <si>
    <t>Riggs Hydraulic Center - Harrison</t>
  </si>
  <si>
    <t>3440 Hwy 65 S</t>
  </si>
  <si>
    <t>Harrison,AR 72601</t>
  </si>
  <si>
    <t>(866) 743-2536</t>
  </si>
  <si>
    <t>(870) 743-2004</t>
  </si>
  <si>
    <t>Riggs Hydraulic Center - Mcgehee</t>
  </si>
  <si>
    <t>P O Box 411
Highway 65 South</t>
  </si>
  <si>
    <t>Mcgehee,AR 71654</t>
  </si>
  <si>
    <t>(800) 467-4007</t>
  </si>
  <si>
    <t>Riggs Hydraulic Center - West Memphis</t>
  </si>
  <si>
    <t>1212 Martin Luther King</t>
  </si>
  <si>
    <t>West Memphis,AR 72301</t>
  </si>
  <si>
    <t>(800) 467-4005</t>
  </si>
  <si>
    <t>Riggs Tractor Co.-Little Rodk</t>
  </si>
  <si>
    <t>9125 Interstate 30</t>
  </si>
  <si>
    <t>(800) 759-3160</t>
  </si>
  <si>
    <t>(501) 570-3365</t>
  </si>
  <si>
    <t>Riggs Tractor Co.-Texarkana</t>
  </si>
  <si>
    <t>3201 East Broad St.</t>
  </si>
  <si>
    <t>Texarcana,AR 71854</t>
  </si>
  <si>
    <t>800-467-4008</t>
  </si>
  <si>
    <t>Rigsby Mfg Co - Walling</t>
  </si>
  <si>
    <t>Walling,TN 38587</t>
  </si>
  <si>
    <t>Riley Creek Lumber - Laclede</t>
  </si>
  <si>
    <t>Laclede,ID 83841</t>
  </si>
  <si>
    <t>Rinaldi Fabricators - Creswell</t>
  </si>
  <si>
    <t>Rineco Chemical Ind</t>
  </si>
  <si>
    <t>1007 Vulcan RD - Haskell</t>
  </si>
  <si>
    <t>Benton,AR 72015</t>
  </si>
  <si>
    <t>Ringhaver Equipment - Riverview</t>
  </si>
  <si>
    <t>Riverview,FL 33569</t>
  </si>
  <si>
    <t>Rinker Material -Lee - Okahumpka</t>
  </si>
  <si>
    <t>Okahumpka,FL 34762</t>
  </si>
  <si>
    <t>Rinker Material-Coco - Cocoa</t>
  </si>
  <si>
    <t>Cocoa,FL 32926</t>
  </si>
  <si>
    <t>Rinker Materials - Riviera Beach</t>
  </si>
  <si>
    <t>Rio Bravo-Rocklin - Lincoln</t>
  </si>
  <si>
    <t>Ritchie Ind Inc.</t>
  </si>
  <si>
    <t>120 S. Main St.</t>
  </si>
  <si>
    <t>Conrad,IA 50621</t>
  </si>
  <si>
    <t>Ritter Engineering - Alsip</t>
  </si>
  <si>
    <t>Ritter Rail - Seneca</t>
  </si>
  <si>
    <t>Seneca,MO 64865</t>
  </si>
  <si>
    <t>River City Valve Service - Baton Rouge</t>
  </si>
  <si>
    <t>10020 Mammoth</t>
  </si>
  <si>
    <t>(800) 489-8258</t>
  </si>
  <si>
    <t>(225) 928-4587</t>
  </si>
  <si>
    <t>Riverbend Hose Speci - South Bend</t>
  </si>
  <si>
    <t>South Bend,IN 46618</t>
  </si>
  <si>
    <t>Riverside - Agawam</t>
  </si>
  <si>
    <t>Agawam,MA 01001</t>
  </si>
  <si>
    <t>Riverwood International - West Monroe</t>
  </si>
  <si>
    <t>RJ Reynolds Tobacco Co</t>
  </si>
  <si>
    <t>Rk Equipment - Cincinnati</t>
  </si>
  <si>
    <t>Cincinnati,OH 45239</t>
  </si>
  <si>
    <t>Rkc Corporation - Cheboygan</t>
  </si>
  <si>
    <t>Rmax Inc. - Greer</t>
  </si>
  <si>
    <t>Rmc Carolina Material - Colfax</t>
  </si>
  <si>
    <t>Colfax,NC 27235</t>
  </si>
  <si>
    <t>Rms Precision Inc. - Loxley</t>
  </si>
  <si>
    <t>Loxley,AL 36551</t>
  </si>
  <si>
    <t>RNS Industrial Supply - Bonaire</t>
  </si>
  <si>
    <t>Bonaire,GA 31005</t>
  </si>
  <si>
    <t>Roanoke Concrete Products - Roanoke</t>
  </si>
  <si>
    <t>Roanoke,IL 61561</t>
  </si>
  <si>
    <t>420 Hudson Road</t>
  </si>
  <si>
    <t>(423) 756-4430</t>
  </si>
  <si>
    <t>(423) 756-4439</t>
  </si>
  <si>
    <t>1815 #1 Fieldcrest Circle</t>
  </si>
  <si>
    <t>800 Worlds Fair Park Drive</t>
  </si>
  <si>
    <t>Knoxville,TN 37902</t>
  </si>
  <si>
    <t>(615) 522-1115</t>
  </si>
  <si>
    <t>(615) 522-0495</t>
  </si>
  <si>
    <t>Robbins Equipment Co - Kent</t>
  </si>
  <si>
    <t>Robbins Hardwood Floor - Searcy</t>
  </si>
  <si>
    <t>Searcy,AR 72145</t>
  </si>
  <si>
    <t>Robbins Manufacturing - Terrytown</t>
  </si>
  <si>
    <t>Robbins Pole Plant - Webster</t>
  </si>
  <si>
    <t>Webster,FL 33597</t>
  </si>
  <si>
    <t>Robeck Fluid Power - Aurora</t>
  </si>
  <si>
    <t>350 Lena Drive</t>
  </si>
  <si>
    <t>(800) 541-4655</t>
  </si>
  <si>
    <t>(330) 562-1141</t>
  </si>
  <si>
    <t>Robert Bosch Corp - Anderson</t>
  </si>
  <si>
    <t>Robert Brown Co. - El Paso</t>
  </si>
  <si>
    <t>El Paso,TX 79912</t>
  </si>
  <si>
    <t>Robert Long Mfg - Kent</t>
  </si>
  <si>
    <t>Robert Manufacturing - Cucamonga</t>
  </si>
  <si>
    <t>Cucamonga,CA 91730</t>
  </si>
  <si>
    <t>Robert Walters - Orlando</t>
  </si>
  <si>
    <t>Orlando,FL 32826</t>
  </si>
  <si>
    <t>Roberts Scales Inc - Monongahela</t>
  </si>
  <si>
    <t>Monongahela,PA 150</t>
  </si>
  <si>
    <t>Roberts Tool Company - Tecumseh</t>
  </si>
  <si>
    <t>Tecumseh,MI 49286</t>
  </si>
  <si>
    <t>Robertson Ind - Canton</t>
  </si>
  <si>
    <t>Robinette Company - Piney Flats</t>
  </si>
  <si>
    <t>Piney Flats,TN 37686</t>
  </si>
  <si>
    <t>Robinson Ind - Coleman</t>
  </si>
  <si>
    <t>Robinson Metal Inc - Green Bay</t>
  </si>
  <si>
    <t>ROBROY Ind TEXAS</t>
  </si>
  <si>
    <t>1100 US HWY 271 S</t>
  </si>
  <si>
    <t>GILMER, TX 75644-7702</t>
  </si>
  <si>
    <t>903-458-8218</t>
  </si>
  <si>
    <t>Rob's Hydraulics, Inc.</t>
  </si>
  <si>
    <t>7765 Pitt Street</t>
  </si>
  <si>
    <t>Grimesland, NC, 27837</t>
  </si>
  <si>
    <t>Rochelle Foods Inc.</t>
  </si>
  <si>
    <t>1001 S Main St</t>
  </si>
  <si>
    <t>Rochelle, IL 61068</t>
  </si>
  <si>
    <t>Motion Ind - Rockford, IL's Customer</t>
  </si>
  <si>
    <t>Rock Tenn</t>
  </si>
  <si>
    <t>200 Stephens Dr.</t>
  </si>
  <si>
    <t>Nicholasville, KY 40356</t>
  </si>
  <si>
    <t>Motion Ind - Versailles, KY's Customer</t>
  </si>
  <si>
    <t>Rock Tenn - Stevenson,AL</t>
  </si>
  <si>
    <t>1611 County Rd 85</t>
  </si>
  <si>
    <t>256-437-2161</t>
  </si>
  <si>
    <t>Rock Tennessee - Franklin Park</t>
  </si>
  <si>
    <t>Rockford Products Co - Rockford</t>
  </si>
  <si>
    <t>Rockford,IL 61108</t>
  </si>
  <si>
    <t>Rockford Spring - Rockford</t>
  </si>
  <si>
    <t>Rockford,IL 61102</t>
  </si>
  <si>
    <t>Rockland - Baltimore</t>
  </si>
  <si>
    <t>Baltimore,MD 21213</t>
  </si>
  <si>
    <t>Rockshox Inc. - San Jose</t>
  </si>
  <si>
    <t>Rockten Corp. - Franklin Park</t>
  </si>
  <si>
    <t>Rock-Tenn Co - Conyers</t>
  </si>
  <si>
    <t>1207 Lester Rd Nw</t>
  </si>
  <si>
    <t>Conyers,GA 30012</t>
  </si>
  <si>
    <t>(770) 922-3470</t>
  </si>
  <si>
    <t>Rockwell - Heath</t>
  </si>
  <si>
    <t>Heath,OH 43056</t>
  </si>
  <si>
    <t>Rocky Mountain Mater - Colorado Springs</t>
  </si>
  <si>
    <t>Rocky Mountain Steel Mill</t>
  </si>
  <si>
    <t>2100 S Freeway</t>
  </si>
  <si>
    <t>Rocky Top Wood Prese - Streator</t>
  </si>
  <si>
    <t>Streator,IL 61364</t>
  </si>
  <si>
    <t>Rocla Concrete Tie, - Denver</t>
  </si>
  <si>
    <t>Rodman Ind - Marinette</t>
  </si>
  <si>
    <t>Marinette,WI 54143</t>
  </si>
  <si>
    <t>Roger Brown Co. - El Paso</t>
  </si>
  <si>
    <t>Roger Losiniecki - Kingsford</t>
  </si>
  <si>
    <t>Kingsford,MN 49802</t>
  </si>
  <si>
    <t>Roger Schwartz - Coeur D'Alene</t>
  </si>
  <si>
    <t>Martinsville,IN 46</t>
  </si>
  <si>
    <t>Rogers Brothers - Rockford</t>
  </si>
  <si>
    <t>Rogers Corporation - South Windham</t>
  </si>
  <si>
    <t>South Windham,CT 062</t>
  </si>
  <si>
    <t>Rogers Group, Inc.</t>
  </si>
  <si>
    <t>2212 Bethel Road</t>
  </si>
  <si>
    <t>Rohr Corp - Irwindale</t>
  </si>
  <si>
    <t>Irwindale,CA 91706</t>
  </si>
  <si>
    <t>Rollforming - Shelbyville</t>
  </si>
  <si>
    <t>Shelbyville,KY 4006</t>
  </si>
  <si>
    <t>Rolling Pin Mfg. Corp.</t>
  </si>
  <si>
    <t>5215 Industrial Drive So</t>
  </si>
  <si>
    <t>870-247-5900</t>
  </si>
  <si>
    <t>Rolls Royce - Indianapolis</t>
  </si>
  <si>
    <t>Rollway Bearing Divi - Liverpool</t>
  </si>
  <si>
    <t>Liverpool,NY 13090</t>
  </si>
  <si>
    <t xml:space="preserve">Rome Lumber </t>
  </si>
  <si>
    <t>Rome,GA 30163</t>
  </si>
  <si>
    <t>Romeo Rim, Inc.</t>
  </si>
  <si>
    <t>74000 Van Dyke Ave.</t>
  </si>
  <si>
    <t>Romeo, MI 48065</t>
  </si>
  <si>
    <t>Ron White Air Compre - Anderson</t>
  </si>
  <si>
    <t>Anderson,SC 29621</t>
  </si>
  <si>
    <t>Ronco Engineering - Winona</t>
  </si>
  <si>
    <t>1755 Ronco Ave</t>
  </si>
  <si>
    <t>Winona, MN 55987</t>
  </si>
  <si>
    <t>507-454-4235</t>
  </si>
  <si>
    <t>Ronco Engineering Co - La Crosse</t>
  </si>
  <si>
    <t>La Crosse,WI 54603</t>
  </si>
  <si>
    <t>Ron's Service Center - Appleton</t>
  </si>
  <si>
    <t>Appleton,MN 56208</t>
  </si>
  <si>
    <t>Ropak - Decatur</t>
  </si>
  <si>
    <t>1019 Cedar Lake Road SW</t>
  </si>
  <si>
    <t>(256) 350-4241</t>
  </si>
  <si>
    <t>(256) 350-1611</t>
  </si>
  <si>
    <t>Roper Whitney Corp. - Rockford</t>
  </si>
  <si>
    <t>2833 Huffman Blvd</t>
  </si>
  <si>
    <t>(815) 962-3011</t>
  </si>
  <si>
    <t>(815) 962-2227</t>
  </si>
  <si>
    <t>Roquette - Keokuk</t>
  </si>
  <si>
    <t>Keokuk,IA 52632</t>
  </si>
  <si>
    <t>Rorabaugh Lumber Co. - Burnside</t>
  </si>
  <si>
    <t>Burnside,PA 15721</t>
  </si>
  <si>
    <t>Rosboro Lumber Co - Springfield</t>
  </si>
  <si>
    <t>Roseberry Timber - Crescent</t>
  </si>
  <si>
    <t>Crescent,OR 97733</t>
  </si>
  <si>
    <t>Roseburg Forest Prod - Roseburg</t>
  </si>
  <si>
    <t>Roseburg Forest Products</t>
  </si>
  <si>
    <t>1118 Russell Store Rd</t>
  </si>
  <si>
    <t>Saint Stephen, SC 29479</t>
  </si>
  <si>
    <t>Rosenmund Inc. - Charlotte</t>
  </si>
  <si>
    <t>Rosenquist, Inc. - N Wilkesboro</t>
  </si>
  <si>
    <t>Ross Corporation - Chehalis</t>
  </si>
  <si>
    <t>Ross Engineering - Savannah</t>
  </si>
  <si>
    <t>Savannah,GA 31405</t>
  </si>
  <si>
    <t>Ross Prod Lab Div/Ab - Casa Grande</t>
  </si>
  <si>
    <t>Casa Grande,AZ 85222</t>
  </si>
  <si>
    <t>Rotary Forms Press - Hillsboro</t>
  </si>
  <si>
    <t>Hillsboro,OH 45133</t>
  </si>
  <si>
    <t>Rota-Skipper Corp - South Holland</t>
  </si>
  <si>
    <t>Roth Manufacturing - New London</t>
  </si>
  <si>
    <t>New London,OH 44851</t>
  </si>
  <si>
    <t>Rother Machine</t>
  </si>
  <si>
    <t>19421 Northfield Blvd.</t>
  </si>
  <si>
    <t>Hastings,MN 55033</t>
  </si>
  <si>
    <t>Cave Junction,OR 975</t>
  </si>
  <si>
    <t>Roxie Chip-N-Saw - Roxie</t>
  </si>
  <si>
    <t>Roy O. Martin Lumber Co.</t>
  </si>
  <si>
    <t>192 Pawnee Rd.</t>
  </si>
  <si>
    <t>MEC's Customer</t>
  </si>
  <si>
    <t>Royal Concrete Pipe - Stacy</t>
  </si>
  <si>
    <t>Stacy,MN 55079</t>
  </si>
  <si>
    <t>Royal Crest Dairy - Denver</t>
  </si>
  <si>
    <t>Denver,CO 80209</t>
  </si>
  <si>
    <t>Royal-Pak Systems, I - Hackensack</t>
  </si>
  <si>
    <t>Hackensack,NJ 07602</t>
  </si>
  <si>
    <t>38335 Apollo Pkwy</t>
  </si>
  <si>
    <t>RP Bradford Co.</t>
  </si>
  <si>
    <t>404-558-6580</t>
  </si>
  <si>
    <t>770-640-0219</t>
  </si>
  <si>
    <t>Rpm Hydraulics - Houston</t>
  </si>
  <si>
    <t>Rsg Forest Products - Estacada</t>
  </si>
  <si>
    <t>Rts Packaging - Hillside</t>
  </si>
  <si>
    <t>Hillside,IL 60162</t>
  </si>
  <si>
    <t>Rubber Associates, I - Barberton</t>
  </si>
  <si>
    <t>Rubber Specialties - Bloomington</t>
  </si>
  <si>
    <t>Rubbermaid Cleaning - Greenville</t>
  </si>
  <si>
    <t>Greenville,NC 27834</t>
  </si>
  <si>
    <t>Rucker Lumber - Birmingham</t>
  </si>
  <si>
    <t>Rumpke Hydraulics - Hamilton</t>
  </si>
  <si>
    <t>Hamilton,OH 45013</t>
  </si>
  <si>
    <t>Rupes Hydraulics - San Marcos</t>
  </si>
  <si>
    <t>San Marcos,CA 92069</t>
  </si>
  <si>
    <t>Rush Presbyterian St - Chicago</t>
  </si>
  <si>
    <t>Rushmore Forest Prod - Hill City</t>
  </si>
  <si>
    <t>Hill City,SD 57745</t>
  </si>
  <si>
    <t>Rusken Packaging</t>
  </si>
  <si>
    <t>64 Walnut Street, Northwest</t>
  </si>
  <si>
    <t>256-734-0092</t>
  </si>
  <si>
    <t>256-734-3008</t>
  </si>
  <si>
    <t>Russell Forest Products</t>
  </si>
  <si>
    <t>Railroad Street</t>
  </si>
  <si>
    <t>Hartselle,, AL 35640</t>
  </si>
  <si>
    <t>256-773-0513</t>
  </si>
  <si>
    <t>256-773-4565</t>
  </si>
  <si>
    <t>Russell Forest Products,Inc.</t>
  </si>
  <si>
    <t>Hartselle,AL  35640</t>
  </si>
  <si>
    <t>Russell Stover Candi - Clarksville</t>
  </si>
  <si>
    <t>Clarksville,VA 239</t>
  </si>
  <si>
    <t>Russell T. Gilman - Grafton</t>
  </si>
  <si>
    <t>1230 Cheyenne Ave.</t>
  </si>
  <si>
    <t>Grafton,WI 53024</t>
  </si>
  <si>
    <t>Rust Automation Equi - Sandy</t>
  </si>
  <si>
    <t>Sandy,UT 84070</t>
  </si>
  <si>
    <t>1308 Commerce Street</t>
  </si>
  <si>
    <t>318-255-6721</t>
  </si>
  <si>
    <t>1-888-748-5925</t>
  </si>
  <si>
    <t>6127 Masonic Drive</t>
  </si>
  <si>
    <t>Alexandria,LA 71301</t>
  </si>
  <si>
    <t>318-445-7446</t>
  </si>
  <si>
    <t>318-445-7426</t>
  </si>
  <si>
    <t>2134 Airport Fernwood Rd.</t>
  </si>
  <si>
    <t>McComb,MS 39648</t>
  </si>
  <si>
    <t>601-684-3666</t>
  </si>
  <si>
    <t>601-684-0405</t>
  </si>
  <si>
    <t>510 Commerce Road</t>
  </si>
  <si>
    <t>870-534-1177</t>
  </si>
  <si>
    <t>870-534-5877</t>
  </si>
  <si>
    <t>10095 B  Hwy. 33</t>
  </si>
  <si>
    <t>Creola,AL 36525</t>
  </si>
  <si>
    <t>251-675-9631</t>
  </si>
  <si>
    <t>251-675-9651</t>
  </si>
  <si>
    <t>Rutgers Organics Cor - Augusta</t>
  </si>
  <si>
    <t>Augusta,GA 30906</t>
  </si>
  <si>
    <t>Rutland Lumber Co.</t>
  </si>
  <si>
    <t>1731 Sunset Road</t>
  </si>
  <si>
    <t>Collins,MS 39428</t>
  </si>
  <si>
    <t>R-Y Timber, Inc - Livingston</t>
  </si>
  <si>
    <t>Livingston,MT 59047</t>
  </si>
  <si>
    <t>R-Y Timbers - Townsend</t>
  </si>
  <si>
    <t>Townsend,MT 59644</t>
  </si>
  <si>
    <t>Ryan Hudraulies - Tulsa</t>
  </si>
  <si>
    <t>Tulsa,OK 74127</t>
  </si>
  <si>
    <t>Ryerson Steel</t>
  </si>
  <si>
    <t>101  E  9th Avenue</t>
  </si>
  <si>
    <t>Kansas City,MO 64116</t>
  </si>
  <si>
    <t>Ryko Mfg Co - Grimes</t>
  </si>
  <si>
    <t>Ryobi Die Casting - Shelbyville</t>
  </si>
  <si>
    <t>Dubach,LA 71235</t>
  </si>
  <si>
    <t>1806 Highway 36 East</t>
  </si>
  <si>
    <t>Hartselle, AL 35640</t>
  </si>
  <si>
    <t>800-448-4073</t>
  </si>
  <si>
    <t>256-773-1649</t>
  </si>
  <si>
    <t>Baker,OR 97814</t>
  </si>
  <si>
    <t>Fresno,CA 95703</t>
  </si>
  <si>
    <t>9230 North 14th Avenue</t>
  </si>
  <si>
    <t>Phoenix,AZ 85021</t>
  </si>
  <si>
    <t>(602) 997-9910</t>
  </si>
  <si>
    <t>(602) 997-1906</t>
  </si>
  <si>
    <t>S A S Fluid Power - Tukwila</t>
  </si>
  <si>
    <t>Tukwila,WA 98188</t>
  </si>
  <si>
    <t>S D S Lumber - Bingen</t>
  </si>
  <si>
    <t>Bingen,WA 98605</t>
  </si>
  <si>
    <t>S D Warreb - Hinckley</t>
  </si>
  <si>
    <t>Hinckley,ME 04944</t>
  </si>
  <si>
    <t>S M I Steel Inc. - Birmingham</t>
  </si>
  <si>
    <t>S.A.S. Fluid Power - Portland</t>
  </si>
  <si>
    <t>S.A.S. Fluid Power, - Spokane</t>
  </si>
  <si>
    <t>S.D. Warren - Allentown</t>
  </si>
  <si>
    <t>Allentown,PA 18106</t>
  </si>
  <si>
    <t>S.D.S. Lumber - Bingen</t>
  </si>
  <si>
    <t>105 GOLF COURSE RD</t>
  </si>
  <si>
    <t>HARTWELL, GA 30643</t>
  </si>
  <si>
    <t>706-376-6833</t>
  </si>
  <si>
    <t>706-377-2970</t>
  </si>
  <si>
    <t>S.G. Morris - Cleveland</t>
  </si>
  <si>
    <t>699 Miner Road</t>
  </si>
  <si>
    <t>Cleveland,OH 44143</t>
  </si>
  <si>
    <t>(440) 473-1640</t>
  </si>
  <si>
    <t>S.I. Storey Lumber C - Armuchee</t>
  </si>
  <si>
    <t>S.I.S. Industrial Se - North Bend</t>
  </si>
  <si>
    <t>S.L. Williamson - Charlottesville</t>
  </si>
  <si>
    <t>Charlottesville,VA 2</t>
  </si>
  <si>
    <t>S.M.I. Steel Co. - West Columbia</t>
  </si>
  <si>
    <t>S.O.S. Cylinders, Inc - Hamilton</t>
  </si>
  <si>
    <t>299 Keswick Court</t>
  </si>
  <si>
    <t>Hamilton,ONT L8K 2S6</t>
  </si>
  <si>
    <t>(905) 337-8052</t>
  </si>
  <si>
    <t>(905) 337-8050</t>
  </si>
  <si>
    <t>S.P. Ind, Inc - Hopkins</t>
  </si>
  <si>
    <t>Hopkins,MI 49328</t>
  </si>
  <si>
    <t>S.S. Wholesale Supply - Tunnell Hill</t>
  </si>
  <si>
    <t>Tunnell Hill,GA 3075</t>
  </si>
  <si>
    <t>Sabert Corp. (Brown) - Sayreville</t>
  </si>
  <si>
    <t>Sayreville,NJ 08872</t>
  </si>
  <si>
    <t>Sabine Mfg. - Many</t>
  </si>
  <si>
    <t>Safety Kleen - New Berlin</t>
  </si>
  <si>
    <t>Safety-Kleen Corp. - Denton</t>
  </si>
  <si>
    <t>Saft America - Valdosta</t>
  </si>
  <si>
    <t>Valdosta,GA 31602</t>
  </si>
  <si>
    <t>Sage Automation, Inc - Beaumont</t>
  </si>
  <si>
    <t>Saginaw Machine Syst - Saginaw</t>
  </si>
  <si>
    <t>Saginaw,MI 48602</t>
  </si>
  <si>
    <t>Sagittarius Mold - Greenville</t>
  </si>
  <si>
    <t>Sailsbery Supply Co. - Ft. Morgan</t>
  </si>
  <si>
    <t>Ft. Morgan,CO 80701</t>
  </si>
  <si>
    <t>Saint Gobain - Huntsville</t>
  </si>
  <si>
    <t>219 Cap Atkins Road</t>
  </si>
  <si>
    <t>Huntsville, AL 35803</t>
  </si>
  <si>
    <t>256-650-9210</t>
  </si>
  <si>
    <t>256-883-5005</t>
  </si>
  <si>
    <t>Saint Grobain Vetratex</t>
  </si>
  <si>
    <t>475 Wanut Gate Rd</t>
  </si>
  <si>
    <t>Russellville, AL 35654-6602</t>
  </si>
  <si>
    <t>Applied Ind Tech - Decatur's Customer</t>
  </si>
  <si>
    <t>Saint Jean Ind</t>
  </si>
  <si>
    <t>424 Industrial Park Rd.</t>
  </si>
  <si>
    <t>Heber Springs, AR 72543</t>
  </si>
  <si>
    <t>Saks Fifth Ave - Aberdeen</t>
  </si>
  <si>
    <t>Aberdeen,MD 21001</t>
  </si>
  <si>
    <t>Salem Tools Inc - New Bern</t>
  </si>
  <si>
    <t>New Bern,NC 28562</t>
  </si>
  <si>
    <t>Salem Tools Of The S - Pickens</t>
  </si>
  <si>
    <t>Pickens,SC 29671</t>
  </si>
  <si>
    <t>Saline Specialties - Hollywood</t>
  </si>
  <si>
    <t>Hollywood,MD 20636</t>
  </si>
  <si>
    <t>Salt River Project - Tempee</t>
  </si>
  <si>
    <t>Tempee,AZ 85283</t>
  </si>
  <si>
    <t>Sam Marby Lumber Co. - Liberty</t>
  </si>
  <si>
    <t>Sam Ward Mfg. - Chester Heights</t>
  </si>
  <si>
    <t>Chester Heights,PA 19</t>
  </si>
  <si>
    <t>New Iberia,LA 70560</t>
  </si>
  <si>
    <t>SAMSON Controls Inc. - Baytown</t>
  </si>
  <si>
    <t>4111 Cedar Boulevard</t>
  </si>
  <si>
    <t>Baytown,TX 77520-8588</t>
  </si>
  <si>
    <t>(281) 383-3677</t>
  </si>
  <si>
    <t>(281) 383-3690</t>
  </si>
  <si>
    <t>Samson Industrial - Houma</t>
  </si>
  <si>
    <t>3225 US Hwy  92 East</t>
  </si>
  <si>
    <t>Lakeland,FL 33801</t>
  </si>
  <si>
    <t>Sam-Son,Inc. - Buffalo</t>
  </si>
  <si>
    <t>Buffalo,NY 14215</t>
  </si>
  <si>
    <t>Samsonite Corp - Denver</t>
  </si>
  <si>
    <t>Samuels Recycling - Green Bay</t>
  </si>
  <si>
    <t>San Francisco Candle - Hayward</t>
  </si>
  <si>
    <t>Hayward,CA 94545</t>
  </si>
  <si>
    <t>Sanders Co. - Elizabeth City</t>
  </si>
  <si>
    <t>Sanders Hydraulics Inc - Grand Junction</t>
  </si>
  <si>
    <t>2580 F Road</t>
  </si>
  <si>
    <t>Grand Junction,CO 81505</t>
  </si>
  <si>
    <t>(970) 245-0507</t>
  </si>
  <si>
    <t>Hendersonville,TN 3</t>
  </si>
  <si>
    <t>Sanderson Plumbing - Columbus</t>
  </si>
  <si>
    <t>Tuffy Lane</t>
  </si>
  <si>
    <t>662-329-4079</t>
  </si>
  <si>
    <t>Carthage,NC 28327</t>
  </si>
  <si>
    <t>Sandia National Labs - Albuquerque</t>
  </si>
  <si>
    <t>Albuquerque,NM 87123</t>
  </si>
  <si>
    <t>Sanlo Mfg - Michigan City</t>
  </si>
  <si>
    <t>Santee Cooper</t>
  </si>
  <si>
    <t>1 Riverwood Drive</t>
  </si>
  <si>
    <t>Moncks Corner, SC 29461</t>
  </si>
  <si>
    <t>843-761-8000</t>
  </si>
  <si>
    <t>843-761-7003</t>
  </si>
  <si>
    <t>Santee Copper/Winyah - Georgetown</t>
  </si>
  <si>
    <t>Saputo Cheese Usa - Lena</t>
  </si>
  <si>
    <t>Lena,WI 54139</t>
  </si>
  <si>
    <t>Sarco Hydraulics - Litchfield</t>
  </si>
  <si>
    <t>216 Old Route 66 North</t>
  </si>
  <si>
    <t>Litchfield,IL 62056</t>
  </si>
  <si>
    <t>(217) 324-6577</t>
  </si>
  <si>
    <t>(217) 324-2350</t>
  </si>
  <si>
    <t>Sardis Truss</t>
  </si>
  <si>
    <t>PO Box 455</t>
  </si>
  <si>
    <t>Addison,AL 35540</t>
  </si>
  <si>
    <t>256-747-9000</t>
  </si>
  <si>
    <t>256-747-9002</t>
  </si>
  <si>
    <t>Tuscon,AZ 85743</t>
  </si>
  <si>
    <t>Sargent Fletcher Inc - El Monte</t>
  </si>
  <si>
    <t>Sargento Foods Inc - Plymouth</t>
  </si>
  <si>
    <t>Plymouth,WI 53073</t>
  </si>
  <si>
    <t>Saronix - Palo Alto</t>
  </si>
  <si>
    <t>Palo Alto,CA 94303</t>
  </si>
  <si>
    <t>Sartain Fluid Power - Lone Star</t>
  </si>
  <si>
    <t>Satec Systems, Inc. - Grove City</t>
  </si>
  <si>
    <t>Grove City,PA 16127</t>
  </si>
  <si>
    <t>Sauer Dan Foss - Ames</t>
  </si>
  <si>
    <t>Ames,IA 50010</t>
  </si>
  <si>
    <t>Saunders Brothers - Westbrook</t>
  </si>
  <si>
    <t>Westbrook,ME 04098</t>
  </si>
  <si>
    <t>Sause Brothers Ocean - Honolulu</t>
  </si>
  <si>
    <t>Savanna Pallets - Mcgregor</t>
  </si>
  <si>
    <t>Mcgregor,MN 55760</t>
  </si>
  <si>
    <t>Savannah Connectors - Garden City</t>
  </si>
  <si>
    <t>Garden City,GA 31408</t>
  </si>
  <si>
    <t>Sawmill Hydraulics, Inc. - Farmington</t>
  </si>
  <si>
    <t>23522 Farmington Road</t>
  </si>
  <si>
    <t>Farmington,IL 61531</t>
  </si>
  <si>
    <t>(800) 245-2448</t>
  </si>
  <si>
    <t>(309) 245-5126</t>
  </si>
  <si>
    <t>Sawyer Systems - Vancouver</t>
  </si>
  <si>
    <t>Sc Johnson Home Stor - Bay City</t>
  </si>
  <si>
    <t>SCA TISSUE NORTH AMERICA</t>
  </si>
  <si>
    <t>256-370-8195</t>
  </si>
  <si>
    <t>Scenic Tech - Las Vegas</t>
  </si>
  <si>
    <t>Las Vegas,NV 89103</t>
  </si>
  <si>
    <t>Schaeffer Ind - Lindon</t>
  </si>
  <si>
    <t>Lindon,UT 84042</t>
  </si>
  <si>
    <t>Scheer Bay Company - Bay City</t>
  </si>
  <si>
    <t>Scherer Industrial Group Inc - Cincinnati</t>
  </si>
  <si>
    <t>4721 Interstate Dr</t>
  </si>
  <si>
    <t>Cincinnati,OH 45246</t>
  </si>
  <si>
    <t>(513) 874-8722</t>
  </si>
  <si>
    <t>Schering - Plough He - Cleveland</t>
  </si>
  <si>
    <t>Cleveland,TN 37311</t>
  </si>
  <si>
    <t>Schimberg Company - Cedar Rapids</t>
  </si>
  <si>
    <t>1106 Shaver Rd Ne</t>
  </si>
  <si>
    <t>(319) 365-9421</t>
  </si>
  <si>
    <t>Schlegel Iowa Div - Keokuk</t>
  </si>
  <si>
    <t>Schmidbauer Lumber - Eureka</t>
  </si>
  <si>
    <t>Schmidt Baking Co - Martinsburg</t>
  </si>
  <si>
    <t>511 Cumberland Valley Pl</t>
  </si>
  <si>
    <t>(304) 263-2716</t>
  </si>
  <si>
    <t>Schott Corp - Canby</t>
  </si>
  <si>
    <t>Canby,MN 56220</t>
  </si>
  <si>
    <t>Schott Corp. - Marshall</t>
  </si>
  <si>
    <t>Schuller Internation - Pittsburg</t>
  </si>
  <si>
    <t>Pittsburg,CA 94565</t>
  </si>
  <si>
    <t>Schuon Manufacturing - Coeur D Alene</t>
  </si>
  <si>
    <t>Schurman Machine Wor - Woodland</t>
  </si>
  <si>
    <t>Schutz Container Sys - Doraville</t>
  </si>
  <si>
    <t>Doraville,GA 30340</t>
  </si>
  <si>
    <t>Schwan's Food Mfg.</t>
  </si>
  <si>
    <t>301 Industrial Blvd</t>
  </si>
  <si>
    <t>Norwood Young Americ,MN 55368</t>
  </si>
  <si>
    <t>Schwartz Pickle - Chicago</t>
  </si>
  <si>
    <t>Schwarze Ind</t>
  </si>
  <si>
    <t>1055 Jordan Rd</t>
  </si>
  <si>
    <t>256-851-1200</t>
  </si>
  <si>
    <t>256-851-1210</t>
  </si>
  <si>
    <t>Schwing - Small Line - White Bear</t>
  </si>
  <si>
    <t>White Bear,MN 55127</t>
  </si>
  <si>
    <t>SCI Sharp Controls, Inc.</t>
  </si>
  <si>
    <t>10625 Texland Boulevard, Suite 300</t>
  </si>
  <si>
    <t>704-394-7395 Ext.110</t>
  </si>
  <si>
    <t>Scientific Ecology G - Oakridge</t>
  </si>
  <si>
    <t>Oakridge,TN 37831</t>
  </si>
  <si>
    <t>Scientific Utilizati - Huntsville</t>
  </si>
  <si>
    <t>Scot Forge Co. - Clinton</t>
  </si>
  <si>
    <t>105 Scott Dr</t>
  </si>
  <si>
    <t>Clinton,WI 53525</t>
  </si>
  <si>
    <t>(608) 676-2288</t>
  </si>
  <si>
    <t>Scotch Lumber Co. - Fulton</t>
  </si>
  <si>
    <t>Fulton,AL 36446</t>
  </si>
  <si>
    <t>Scotia Hardware - Scotia</t>
  </si>
  <si>
    <t>Scotia,CA 95565</t>
  </si>
  <si>
    <t>Scott Equipment Co - Charlotte</t>
  </si>
  <si>
    <t>10800 Twin Lakes Pkwy.</t>
  </si>
  <si>
    <t>Charlotte,NC 28269</t>
  </si>
  <si>
    <t>(800) 222-2903</t>
  </si>
  <si>
    <t>(704) 875-0625</t>
  </si>
  <si>
    <t>Scott Forge - Clinton</t>
  </si>
  <si>
    <t>Scott Hulbert - Gridley</t>
  </si>
  <si>
    <t>Scott Industrial - Dayton</t>
  </si>
  <si>
    <t>P.O. Box 1387</t>
  </si>
  <si>
    <t>Dayton,OH 45401</t>
  </si>
  <si>
    <t>(937) 233-8146</t>
  </si>
  <si>
    <t>Scott Industrial Systems</t>
  </si>
  <si>
    <t>419-508-0567</t>
  </si>
  <si>
    <t>Scott Material Handling - Troy</t>
  </si>
  <si>
    <t>Troy,MI 48084</t>
  </si>
  <si>
    <t>Scott Port-A-Fold - Archbold</t>
  </si>
  <si>
    <t>Archbold,OH 43502</t>
  </si>
  <si>
    <t>Scotts Company</t>
  </si>
  <si>
    <t>14512 Scottslawn Road</t>
  </si>
  <si>
    <t>Marysville, OH 43041</t>
  </si>
  <si>
    <t>Scotty's Hydraulic - Plymouth</t>
  </si>
  <si>
    <t>Seabulk Systems - Portland</t>
  </si>
  <si>
    <t>Seadrift Coke, L.P. - North Seadrift</t>
  </si>
  <si>
    <t>North Seadrift,TX 779</t>
  </si>
  <si>
    <t>45677 Helm Street</t>
  </si>
  <si>
    <t>734-459-8600</t>
  </si>
  <si>
    <t>734-459-8686</t>
  </si>
  <si>
    <t>Sealed Air Corp - Simpsonville</t>
  </si>
  <si>
    <t>Sealed Power Corp - Dowagiac</t>
  </si>
  <si>
    <t>Seal-Source</t>
  </si>
  <si>
    <t>jadygas@seal-source.com</t>
  </si>
  <si>
    <t>Seaman Paper Co. - Otter River</t>
  </si>
  <si>
    <t>Otter River,MA 01436</t>
  </si>
  <si>
    <t>Seamless Gutter - Lombard</t>
  </si>
  <si>
    <t>Seattle Snohomish Mi - Snohomish</t>
  </si>
  <si>
    <t>Snohomish,WA 98290</t>
  </si>
  <si>
    <t>Sebastian Equipment - Siloam Springs</t>
  </si>
  <si>
    <t>Sebastopol,CA 95472</t>
  </si>
  <si>
    <t>Security Packaging - Portland</t>
  </si>
  <si>
    <t>Seeburn Division, Ve - Tottenham</t>
  </si>
  <si>
    <t>Tottenham,ONT L0G</t>
  </si>
  <si>
    <t>Seidelhuber Iron/Bro - Seattle</t>
  </si>
  <si>
    <t>Seiryo - Orville</t>
  </si>
  <si>
    <t>Orville,CA 95965</t>
  </si>
  <si>
    <t>SEKAM OF INDEPENDENCE INC.</t>
  </si>
  <si>
    <t>120 S 24TH STREET</t>
  </si>
  <si>
    <t>INDEPENDENCE, KS 67301-2448</t>
  </si>
  <si>
    <t>IBT COFFEYVILLE's CUSTOMER</t>
  </si>
  <si>
    <t>Selco Products - Baxley</t>
  </si>
  <si>
    <t>Select Tool - Elkhart</t>
  </si>
  <si>
    <t>Baroda,MI 49101</t>
  </si>
  <si>
    <t>Selecttech Services - Dayton</t>
  </si>
  <si>
    <t>Dayton,OH 45433</t>
  </si>
  <si>
    <t>Semco - Kilgore</t>
  </si>
  <si>
    <t>Kilgore,TX 75662</t>
  </si>
  <si>
    <t>Semco Plastics - St Louis</t>
  </si>
  <si>
    <t>St Louis,MO 63129</t>
  </si>
  <si>
    <t>Semiquip, Inc. - Campbell</t>
  </si>
  <si>
    <t>Campbell,CA 95008</t>
  </si>
  <si>
    <t>Seneca - Pearl</t>
  </si>
  <si>
    <t>1865 Old Brandon Road</t>
  </si>
  <si>
    <t>Pearl,MS 39208</t>
  </si>
  <si>
    <t>(601) 936-4266</t>
  </si>
  <si>
    <t>(601) 936-6410</t>
  </si>
  <si>
    <t>Seneca Sheet Metal - Tiffin</t>
  </si>
  <si>
    <t>Tiffin,OH 44883</t>
  </si>
  <si>
    <t>Sequatchie Concrete - South Pittsburg</t>
  </si>
  <si>
    <t>Sequoia Forest Produ - Dinuba</t>
  </si>
  <si>
    <t>Dinuba,CA 93618</t>
  </si>
  <si>
    <t>Serenco Inc - Hunt Valley</t>
  </si>
  <si>
    <t>Sering Sawmill Machi - Battle Ground</t>
  </si>
  <si>
    <t>Battle Ground,WA 986</t>
  </si>
  <si>
    <t>Service Center - Beaumont</t>
  </si>
  <si>
    <t>Service Hydraulics - Corpus Christi</t>
  </si>
  <si>
    <t>Service Industrial S - Wando</t>
  </si>
  <si>
    <t>Wando,SC 29492</t>
  </si>
  <si>
    <t>Service Welding - Lemont</t>
  </si>
  <si>
    <t>Service Wire Co - Culloden</t>
  </si>
  <si>
    <t>Culloden,WV 25510</t>
  </si>
  <si>
    <t>Servicio De Entegra - Miami</t>
  </si>
  <si>
    <t>Setco Ind - Cincinnati</t>
  </si>
  <si>
    <t>Setech - Alexandria</t>
  </si>
  <si>
    <t>Alexandria,KY 41001</t>
  </si>
  <si>
    <t>Setech Inc - Murfree</t>
  </si>
  <si>
    <t>903 Industrial Dr.</t>
  </si>
  <si>
    <t>Murfreesboro,TN 37129</t>
  </si>
  <si>
    <t>615-890-1755</t>
  </si>
  <si>
    <t>Setech, Inc - Cinciinnati</t>
  </si>
  <si>
    <t>Cinciinnati,OH 45225</t>
  </si>
  <si>
    <t>Setech, Inc - Saginaw</t>
  </si>
  <si>
    <t>PO Box 14300</t>
  </si>
  <si>
    <t>989-753-4512</t>
  </si>
  <si>
    <t>Setpoint Engineered - Ogden</t>
  </si>
  <si>
    <t>***Stamp Location Name into Head and on paperwork.</t>
  </si>
  <si>
    <t>Severstal - Columbus</t>
  </si>
  <si>
    <t>100 Industrial Park Rd</t>
  </si>
  <si>
    <t>Columbus, MS 39701</t>
  </si>
  <si>
    <t>662-245-4299</t>
  </si>
  <si>
    <t>662-245-4288</t>
  </si>
  <si>
    <t>Sewell Products - Salem</t>
  </si>
  <si>
    <t>Sexton Can Co. Inc.</t>
  </si>
  <si>
    <t>3101 Sexton Road Southeast</t>
  </si>
  <si>
    <t>(256) 355-5850</t>
  </si>
  <si>
    <t>(256) 351-6730</t>
  </si>
  <si>
    <t>Sgl Carbon Corp. - Morganton</t>
  </si>
  <si>
    <t>SH Tooling - East Jordan</t>
  </si>
  <si>
    <t>Shaffer - Broussard</t>
  </si>
  <si>
    <t>Shaffer - Houston</t>
  </si>
  <si>
    <t>12950 West Little York</t>
  </si>
  <si>
    <t>(713) 937-5000</t>
  </si>
  <si>
    <t>Sharon Vacuum Co. - Brockton</t>
  </si>
  <si>
    <t>Brockton,MA 02301</t>
  </si>
  <si>
    <t>Sharp Controls Co - Charlotte</t>
  </si>
  <si>
    <t>Charlotte,NC 28266</t>
  </si>
  <si>
    <t>Shasta Beverage - Lenexa</t>
  </si>
  <si>
    <t>Shaver Transportation - Portland</t>
  </si>
  <si>
    <t>Shaw Ind - Winchester</t>
  </si>
  <si>
    <t>Winchester,TN 3739</t>
  </si>
  <si>
    <t>Shaw Ind Inc.</t>
  </si>
  <si>
    <t>136 East Frontage Rd. Plt. 78</t>
  </si>
  <si>
    <t>Aiken, SC 29805</t>
  </si>
  <si>
    <t>Shaw Ind/Tuft - Santa Fe Springs</t>
  </si>
  <si>
    <t>Shaw Machine - Ada</t>
  </si>
  <si>
    <t>Shawnee Lumber Co. - Cross City</t>
  </si>
  <si>
    <t>Shaw's Southern Bell - Jacksonville</t>
  </si>
  <si>
    <t>Shearer Lumber - Elk City</t>
  </si>
  <si>
    <t>Elk City,ID 83525</t>
  </si>
  <si>
    <t>Sheetech, Inc. - Lee</t>
  </si>
  <si>
    <t>1695 Parallel Street</t>
  </si>
  <si>
    <t>Shelbyville,IL 62565</t>
  </si>
  <si>
    <t>Shell Oil Company - Deer Park</t>
  </si>
  <si>
    <t>Deer Park,TX 77536</t>
  </si>
  <si>
    <t>Shell Rock Products</t>
  </si>
  <si>
    <t>22281 Walnut Ave.</t>
  </si>
  <si>
    <t>Shell Rock,IA 50670</t>
  </si>
  <si>
    <t>Shelter System Limited</t>
  </si>
  <si>
    <t>1025 Meadow Branch Road</t>
  </si>
  <si>
    <t>Westminster, MD 21158</t>
  </si>
  <si>
    <t>Baltimore Hydraulic's customer</t>
  </si>
  <si>
    <t>Sheppard Lumber Co. - Brooklet</t>
  </si>
  <si>
    <t>Brooklet,GA 30415</t>
  </si>
  <si>
    <t>Sheraton Palace Hote - San Francisco</t>
  </si>
  <si>
    <t>Sherman Dixie Concrete - Chattanooga</t>
  </si>
  <si>
    <t>Sherman Ind - Theodore</t>
  </si>
  <si>
    <t>Sherman International - Tuscaloosa</t>
  </si>
  <si>
    <t>PO Box 1397</t>
  </si>
  <si>
    <t>(800) 228-4417</t>
  </si>
  <si>
    <t>(205) 758-5879</t>
  </si>
  <si>
    <t>Shield Pattern Works - Blaine</t>
  </si>
  <si>
    <t>Shields Manufacturin - Saginaw</t>
  </si>
  <si>
    <t>1320 S Graham Rd M 52</t>
  </si>
  <si>
    <t>Saginaw,MI 48609</t>
  </si>
  <si>
    <t>Shincor, Inc. - Akron</t>
  </si>
  <si>
    <t>Akron,OH 44312</t>
  </si>
  <si>
    <t>Ship And Shore Envir - Signal Hill</t>
  </si>
  <si>
    <t>Signal Hill,CA 90806</t>
  </si>
  <si>
    <t xml:space="preserve">Shoal Creek Mine - </t>
  </si>
  <si>
    <t>SHOOK AND FLETCHER</t>
  </si>
  <si>
    <t>1041 11TH COURT WEST</t>
  </si>
  <si>
    <t>BIRMINGHAM, AL 35204</t>
  </si>
  <si>
    <t>Shoreline Industrial - Benton Harbor</t>
  </si>
  <si>
    <t>Show Tech - Sun Valley</t>
  </si>
  <si>
    <t>Showa Denko Carbon - Ridgeville</t>
  </si>
  <si>
    <t>Ridgeville,SC 29472</t>
  </si>
  <si>
    <t>Shuqualak Lumber Co - Shuqualak</t>
  </si>
  <si>
    <t>Shuqualak,MS 39361</t>
  </si>
  <si>
    <t>Shuster Coporation - New Bedford</t>
  </si>
  <si>
    <t>Shutters Inc - Hebron</t>
  </si>
  <si>
    <t>Hebron,IL 60034</t>
  </si>
  <si>
    <t>Sidener Engineering - Noblesville</t>
  </si>
  <si>
    <t>17450 Bataan Court</t>
  </si>
  <si>
    <t>(317) 773-8119</t>
  </si>
  <si>
    <t>(317) 773-2158</t>
  </si>
  <si>
    <t>Sidener Industrial - Marshall</t>
  </si>
  <si>
    <t>Marshall,TX 75671</t>
  </si>
  <si>
    <t>Siebe Fluid Systems - Laredo</t>
  </si>
  <si>
    <t>Siebe Southside - Mio</t>
  </si>
  <si>
    <t>Mio,MI 48648</t>
  </si>
  <si>
    <t>Siecor - Rio Grande</t>
  </si>
  <si>
    <t>Rio Grande,PR 745</t>
  </si>
  <si>
    <t>Siemens - Jackson</t>
  </si>
  <si>
    <t>444 Highway 49 South</t>
  </si>
  <si>
    <t>Jackson,MS 39218</t>
  </si>
  <si>
    <t>(601) 939-0550</t>
  </si>
  <si>
    <t>Siemens - Newport News</t>
  </si>
  <si>
    <t>Siemens Westinghouse - Rural Hall</t>
  </si>
  <si>
    <t>Rural Hall,NC 27045</t>
  </si>
  <si>
    <t>Siemens Westinghouse - Winter Park</t>
  </si>
  <si>
    <t>Diamond Springs,CA 95</t>
  </si>
  <si>
    <t>Sierra Pacific - Anderson</t>
  </si>
  <si>
    <t>Anderson,CA 96007</t>
  </si>
  <si>
    <t>Sierra Pacific Inc - Burney</t>
  </si>
  <si>
    <t>Burney,CA 96013</t>
  </si>
  <si>
    <t>Sierra Pacific Ind - Camino</t>
  </si>
  <si>
    <t>Camino,CA 95709</t>
  </si>
  <si>
    <t>Sierra Pacific Ind - Sonora</t>
  </si>
  <si>
    <t>Sonora,CA 95370</t>
  </si>
  <si>
    <t>Sierra Pacific Indus - Burney</t>
  </si>
  <si>
    <t>Sierrapine - Springfield</t>
  </si>
  <si>
    <t>Sigbet Co - Blairsville</t>
  </si>
  <si>
    <t>Signage Inc - Centerville</t>
  </si>
  <si>
    <t>Centerville,TN 37033</t>
  </si>
  <si>
    <t>Signal Industrial Pr - Knoxville</t>
  </si>
  <si>
    <t>Signal Machine/Balan - Ft Oglethorpe</t>
  </si>
  <si>
    <t>Signal Metal Industr - Irving</t>
  </si>
  <si>
    <t>Signode Steel Corp - Baltimore</t>
  </si>
  <si>
    <t>Silgan Container Cor - Woodstock</t>
  </si>
  <si>
    <t>Silgan Plastics - Seymour</t>
  </si>
  <si>
    <t>Silgan Plastics Corp.</t>
  </si>
  <si>
    <t>5225 W.Lakeshore Dr./ Suite 460</t>
  </si>
  <si>
    <t>Port Clinton,OH 43452</t>
  </si>
  <si>
    <t>Silicon Enterainment - Campbell</t>
  </si>
  <si>
    <t>Silicon Entertainment - Dallas</t>
  </si>
  <si>
    <t>Silicon Motor Speedway - Bloominton</t>
  </si>
  <si>
    <t>Bloominton,MN 55425</t>
  </si>
  <si>
    <t>Silliman Fluid Power - Sarasota</t>
  </si>
  <si>
    <t>7540 15th</t>
  </si>
  <si>
    <t>Sarasota,FL 34243</t>
  </si>
  <si>
    <t>(941) 360-0377</t>
  </si>
  <si>
    <t>Silpro - N Charleston</t>
  </si>
  <si>
    <t>Silver State Pipe - Elko</t>
  </si>
  <si>
    <t>Elko,NV 89803</t>
  </si>
  <si>
    <t>Silverwood Theme Par - Athol</t>
  </si>
  <si>
    <t>Athol,ID 83801</t>
  </si>
  <si>
    <t>Simco Controls - Columbus</t>
  </si>
  <si>
    <t>Simcoe Wood Products, Inc.</t>
  </si>
  <si>
    <t>3730 Hwy. 69 North</t>
  </si>
  <si>
    <t>Cullman, AL 35058</t>
  </si>
  <si>
    <t>256-796-6861</t>
  </si>
  <si>
    <t>256-796-0585</t>
  </si>
  <si>
    <t>Simonds Ind - Big Rapids</t>
  </si>
  <si>
    <t>Big Rapids,MI 49307</t>
  </si>
  <si>
    <t>Simone Engineering - East Chicago</t>
  </si>
  <si>
    <t>East Chicago,IN 46312</t>
  </si>
  <si>
    <t>Simone Engineering - Germantown</t>
  </si>
  <si>
    <t>Simply Manufacturing Inc.</t>
  </si>
  <si>
    <t>E11259 County Road PF</t>
  </si>
  <si>
    <t>Prairie Du Sac, WI 53578</t>
  </si>
  <si>
    <t>Simpson Sawmill - Tacoma</t>
  </si>
  <si>
    <t>Simpson Tech - Aurora</t>
  </si>
  <si>
    <t>751 Shoreline Drive</t>
  </si>
  <si>
    <t>Aurora,IL 60504</t>
  </si>
  <si>
    <t>(630) 978-0044</t>
  </si>
  <si>
    <t>(630) 978-0068</t>
  </si>
  <si>
    <t>Simpson Timber - Korbel</t>
  </si>
  <si>
    <t>Korbel,CA 95550</t>
  </si>
  <si>
    <t>Simpson Timber Co. - Shelton</t>
  </si>
  <si>
    <t>Shelton,WA 98584</t>
  </si>
  <si>
    <t>Simulation Tech - Durham</t>
  </si>
  <si>
    <t>2423 South Alston Avenue</t>
  </si>
  <si>
    <t>Durham,NC 27713</t>
  </si>
  <si>
    <t>(919) 598-0095</t>
  </si>
  <si>
    <t>Singer Steel - Streetsboro</t>
  </si>
  <si>
    <t>Streetsboro,OH 44241</t>
  </si>
  <si>
    <t>Singletary Concrete - Sarasota</t>
  </si>
  <si>
    <t>Sarasota,FL 34233</t>
  </si>
  <si>
    <t>Sinter Metals - Salem</t>
  </si>
  <si>
    <t>Salem,IN 47167</t>
  </si>
  <si>
    <t>Sioux Chief Mfg. Co. - Peculiar</t>
  </si>
  <si>
    <t>Peculiar,MO 64078</t>
  </si>
  <si>
    <t>Sisson Hydraulics - Rome</t>
  </si>
  <si>
    <t>7 Cheiftain Drive NW</t>
  </si>
  <si>
    <t>(706) 232-3482</t>
  </si>
  <si>
    <t>(706) 232-0819</t>
  </si>
  <si>
    <t>Sivyer Steel Corp. - Bettendorf</t>
  </si>
  <si>
    <t>535 South Industrial Drive</t>
  </si>
  <si>
    <t>(262) 367-4469</t>
  </si>
  <si>
    <t>(262) 367-3580</t>
  </si>
  <si>
    <t>Skarda Equipment Co - Edwardsville</t>
  </si>
  <si>
    <t>10139 Kaw Drive</t>
  </si>
  <si>
    <t>Edwardsville,KS 66111</t>
  </si>
  <si>
    <t>(913) 631-7001</t>
  </si>
  <si>
    <t>(913) 441-0830</t>
  </si>
  <si>
    <t>Skarda Equipment Co - Omaha</t>
  </si>
  <si>
    <t>2563 Farnam Street</t>
  </si>
  <si>
    <t>Omaha,NE 68131</t>
  </si>
  <si>
    <t>(800) 228-9750</t>
  </si>
  <si>
    <t>(402) 345-1567</t>
  </si>
  <si>
    <t>Skarda Equipment Co - Witchita</t>
  </si>
  <si>
    <t>313 Mathewson</t>
  </si>
  <si>
    <t>Witchita,KS 67214</t>
  </si>
  <si>
    <t>(316) 265-1329</t>
  </si>
  <si>
    <t>(316) 265-7918</t>
  </si>
  <si>
    <t>1900 Brigantine Drive</t>
  </si>
  <si>
    <t>Coquitlam, BC V3K 7B5</t>
  </si>
  <si>
    <t>604-777-4247</t>
  </si>
  <si>
    <t>1990 Kirby Bridge Rd.</t>
  </si>
  <si>
    <t>Danville, AL 35619</t>
  </si>
  <si>
    <t>256-773-0441</t>
  </si>
  <si>
    <t>Skiptronics Ind Con - Newnan</t>
  </si>
  <si>
    <t>Newnan,GA 30263</t>
  </si>
  <si>
    <t>Skolnik Ind - Chicago</t>
  </si>
  <si>
    <t>Skyline Equipment - Putney</t>
  </si>
  <si>
    <t>Putney,GA 31782</t>
  </si>
  <si>
    <t>Skyline Plastics Sys - Fletcher</t>
  </si>
  <si>
    <t>SKYLINE STEEL PIPE</t>
  </si>
  <si>
    <t>5 COUNTY ROAD 486 PORT OF YELLOW CREEK</t>
  </si>
  <si>
    <t>IUKA, MS 38852</t>
  </si>
  <si>
    <t>Sloan Fluid Accessories</t>
  </si>
  <si>
    <t>11211 Outlet Drive</t>
  </si>
  <si>
    <t>865-675-1331</t>
  </si>
  <si>
    <t>865-675-1345</t>
  </si>
  <si>
    <t>Sloan Fluid Accessories - Nashville</t>
  </si>
  <si>
    <t>800-342-1302</t>
  </si>
  <si>
    <t>615-399-3133</t>
  </si>
  <si>
    <t xml:space="preserve">Slocan Group - </t>
  </si>
  <si>
    <t>, V0J 3A0</t>
  </si>
  <si>
    <t>Small Tube Products - Altoona</t>
  </si>
  <si>
    <t>Smc, Inc/Magnum Divi - Harrisburg</t>
  </si>
  <si>
    <t>Smetco - Aurora</t>
  </si>
  <si>
    <t>Aurora,OR 97002</t>
  </si>
  <si>
    <t>Smf Inc - Minonk</t>
  </si>
  <si>
    <t>Minonk,IL 61760</t>
  </si>
  <si>
    <t>401 Lone Tree Street</t>
  </si>
  <si>
    <t>Porter,MN 56280</t>
  </si>
  <si>
    <t>Smi Owen Joist-Easto - Eastover</t>
  </si>
  <si>
    <t>Eastover,SC 29044</t>
  </si>
  <si>
    <t>Smi Southern Post - West Columbia</t>
  </si>
  <si>
    <t>Smi Steel-Arkansas - Magnolia</t>
  </si>
  <si>
    <t>Smi Steel-South Caro - Cayce</t>
  </si>
  <si>
    <t>Cayce,SC 29170</t>
  </si>
  <si>
    <t>Smith Power Trans Co - Bedford Park</t>
  </si>
  <si>
    <t>Smithcraft Machine - Wedowee</t>
  </si>
  <si>
    <t>Wedowee,AL 36278</t>
  </si>
  <si>
    <t>Smithfield Packing C - Smithfield</t>
  </si>
  <si>
    <t>Smithfield,VA 23430</t>
  </si>
  <si>
    <t>Smithkline Beecham - Clifton</t>
  </si>
  <si>
    <t>Clifton,NJ 07012</t>
  </si>
  <si>
    <t>Smoky Mountain Valve - Waynesville</t>
  </si>
  <si>
    <t>Waynesville,NC 28786</t>
  </si>
  <si>
    <t>Sms Demag Inc. - Ghent</t>
  </si>
  <si>
    <t>Ghent,KY 41045</t>
  </si>
  <si>
    <t>SMS Engineering - Pittsburgh</t>
  </si>
  <si>
    <t>100 Sandusky St</t>
  </si>
  <si>
    <t>SMS Process Lines - Mentor</t>
  </si>
  <si>
    <t>8341 Tyler Boulevard</t>
  </si>
  <si>
    <t>(440) 205-5000</t>
  </si>
  <si>
    <t>Smurfit Newsprint - Pomona</t>
  </si>
  <si>
    <t>Smurfit Newsprint Co - Oregon City</t>
  </si>
  <si>
    <t>Smurfit Stone - Bhm</t>
  </si>
  <si>
    <t xml:space="preserve">3200 PINSON VALLEY PKWAY </t>
  </si>
  <si>
    <t>BIRMINGHAM AL 35217</t>
  </si>
  <si>
    <t>ATT: ELLIOT WEAVER</t>
  </si>
  <si>
    <t>Smurfit Stone - Homerville</t>
  </si>
  <si>
    <t>Highway 84 East</t>
  </si>
  <si>
    <t>Homerville,GA 31634</t>
  </si>
  <si>
    <t>Smurfit Stone - Orangeburg</t>
  </si>
  <si>
    <t>Stevenson, AL, 35772</t>
  </si>
  <si>
    <t>256-437-3253</t>
  </si>
  <si>
    <t>256-437-3252</t>
  </si>
  <si>
    <t>Smurfit Stone - Washington Court, OH</t>
  </si>
  <si>
    <t>1010 MEAD Street</t>
  </si>
  <si>
    <t>Washington Court, OH, 43160</t>
  </si>
  <si>
    <t>Motion Ind - Columbus' Customer</t>
  </si>
  <si>
    <t>Smurfit Stone Contai - Cedartown</t>
  </si>
  <si>
    <t>Cedartown,GA 30125</t>
  </si>
  <si>
    <t>Smurfit-Stone - Chesterfield</t>
  </si>
  <si>
    <t>Chesterfield,MO 63005</t>
  </si>
  <si>
    <t>Smurfit-Stone Corp. - Missoula</t>
  </si>
  <si>
    <t>Snapper Power Equipment - McDonough</t>
  </si>
  <si>
    <t>McDonough,GA 30253</t>
  </si>
  <si>
    <t>Snider Ind - Marshall</t>
  </si>
  <si>
    <t>Sno-B-Gone Inc - Hampton</t>
  </si>
  <si>
    <t>Hampton,IA 50441</t>
  </si>
  <si>
    <t>Snow Mfg. - Bellwood</t>
  </si>
  <si>
    <t xml:space="preserve">Bellwood,IL </t>
  </si>
  <si>
    <t>SNS AUTOMATION ST. GEORGE-AIS</t>
  </si>
  <si>
    <t>142 SUGAR MAPLE RD</t>
  </si>
  <si>
    <t>ST. GEORGE, ONT N0E 1N0</t>
  </si>
  <si>
    <t>519-448-3055</t>
  </si>
  <si>
    <t>519-448-3060</t>
  </si>
  <si>
    <t>Snyder Co. - Lexington</t>
  </si>
  <si>
    <t>Snyder Hydraulics - Tampa</t>
  </si>
  <si>
    <t>14729 McGrady Road</t>
  </si>
  <si>
    <t>Tampa,FL 33602</t>
  </si>
  <si>
    <t>(813) 623-1422</t>
  </si>
  <si>
    <t>(813) 633-0825</t>
  </si>
  <si>
    <t>Sodico - New Freedon</t>
  </si>
  <si>
    <t>New Freedon,PA 17349</t>
  </si>
  <si>
    <t>Sofec, Inc. - Houston</t>
  </si>
  <si>
    <t>Houston,TX 77067</t>
  </si>
  <si>
    <t>Solar Corp - Libertyville</t>
  </si>
  <si>
    <t>Libertyville,IL 60048</t>
  </si>
  <si>
    <t>Kansas City,MO 64120</t>
  </si>
  <si>
    <t>Solleys - Decatur</t>
  </si>
  <si>
    <t>(256) 350-1756</t>
  </si>
  <si>
    <t>Solo Cup Co - Ada</t>
  </si>
  <si>
    <t>Solo Cup Corp - Highland Park</t>
  </si>
  <si>
    <t>Highland Park,IL 6003</t>
  </si>
  <si>
    <t>Solutia - Decatur</t>
  </si>
  <si>
    <t>Courtland Hwy</t>
  </si>
  <si>
    <t>(256) 552-2011</t>
  </si>
  <si>
    <t>(256) 552-3400</t>
  </si>
  <si>
    <t>Sonex Express - South San Francisco</t>
  </si>
  <si>
    <t>South San Francisco,CA 9</t>
  </si>
  <si>
    <t>Sonoco - Elon College</t>
  </si>
  <si>
    <t>Elon College,NC 2724</t>
  </si>
  <si>
    <t>Sonoco - Forest City</t>
  </si>
  <si>
    <t>Sonoco - Hartsville</t>
  </si>
  <si>
    <t>1 North Second Street</t>
  </si>
  <si>
    <t>Hartsville,SC 29550</t>
  </si>
  <si>
    <t>843-383-7809</t>
  </si>
  <si>
    <t>843-383-7966</t>
  </si>
  <si>
    <t>Sonoco Plug Plant</t>
  </si>
  <si>
    <t>1901John D. Long Drive</t>
  </si>
  <si>
    <t>256-773-6581</t>
  </si>
  <si>
    <t>Sonoco Wood Reel Plant - Hartselle</t>
  </si>
  <si>
    <t>1901 John D Long Drive</t>
  </si>
  <si>
    <t>Hartselle,AL 35640-0668</t>
  </si>
  <si>
    <t>(256) 773-6581</t>
  </si>
  <si>
    <t>(256) 751-5107</t>
  </si>
  <si>
    <t>Sonoco-Metco Steel Reel Plant</t>
  </si>
  <si>
    <t>101 Metco Drive SW</t>
  </si>
  <si>
    <t>256-751-5087</t>
  </si>
  <si>
    <t>256-751-5109</t>
  </si>
  <si>
    <t>Son-Sub Inc. - Houston</t>
  </si>
  <si>
    <t>Sorrento Cheese Co. - Goshen</t>
  </si>
  <si>
    <t>Goshen,NY 10024</t>
  </si>
  <si>
    <t>Source Capital Leasi - Tempe</t>
  </si>
  <si>
    <t>Sourceone Inc - Holland</t>
  </si>
  <si>
    <t>South Bay Industrial - Gardena</t>
  </si>
  <si>
    <t>South Bay Packers - Gardena</t>
  </si>
  <si>
    <t>South Bayside System - Redwood City</t>
  </si>
  <si>
    <t>Redwood City,CA 94065</t>
  </si>
  <si>
    <t>South Bend Stamping - South Bend</t>
  </si>
  <si>
    <t>South Bend,IN 46601</t>
  </si>
  <si>
    <t>South Coast Lumber - Brookings</t>
  </si>
  <si>
    <t>Brookings,OR 97415</t>
  </si>
  <si>
    <t>South Company, Inc. - Honeoye Falls</t>
  </si>
  <si>
    <t>Honeoye Falls,NY 144</t>
  </si>
  <si>
    <t>South Dakota Wheat G - Redfield</t>
  </si>
  <si>
    <t>Redfield,SD 57469</t>
  </si>
  <si>
    <t>South Texas Supplier - Brownsville</t>
  </si>
  <si>
    <t>Southcoast Materials - Carlsbad</t>
  </si>
  <si>
    <t>Carlsbad,CA 92008</t>
  </si>
  <si>
    <t>Southeast Wood Treat - Nauvoo</t>
  </si>
  <si>
    <t>Nauvoo,AL 35578</t>
  </si>
  <si>
    <t>Southeastern Machine - Murrells Inlet</t>
  </si>
  <si>
    <t>Murrells Inlet,SC 2</t>
  </si>
  <si>
    <t>Southeastern Technol - Murfreesboro</t>
  </si>
  <si>
    <t>Southern Aluminum Ca - Bay Minette</t>
  </si>
  <si>
    <t>Bay Minette,AL 36507</t>
  </si>
  <si>
    <t>Southern Cast Products - Meridian</t>
  </si>
  <si>
    <t>Meridian,MS 39303</t>
  </si>
  <si>
    <t>Southern Cellulose Prod.</t>
  </si>
  <si>
    <t>West 45th  Central Ave.</t>
  </si>
  <si>
    <t>Chattanooga,TN 37409</t>
  </si>
  <si>
    <t>Southern Centrifugal - Chattanooga</t>
  </si>
  <si>
    <t>Southern Coach Inc - Ocala</t>
  </si>
  <si>
    <t>Southern Comfort Con - Trussville</t>
  </si>
  <si>
    <t>Southern Electronics - New Orleans</t>
  </si>
  <si>
    <t>Southern Fluid Power</t>
  </si>
  <si>
    <t xml:space="preserve">Greenville,SC </t>
  </si>
  <si>
    <t>864-787-7932</t>
  </si>
  <si>
    <t>864-967-7729</t>
  </si>
  <si>
    <t>Southern Fluid Power Inc.</t>
  </si>
  <si>
    <t>PO Box 5246</t>
  </si>
  <si>
    <t>Wilmington,NC 28403</t>
  </si>
  <si>
    <t>910-791-9286</t>
  </si>
  <si>
    <t>910-392-5621</t>
  </si>
  <si>
    <t>Southern Fluid Power of Virginia</t>
  </si>
  <si>
    <t>Roanoke, VA 24011</t>
  </si>
  <si>
    <t>540-977-2690</t>
  </si>
  <si>
    <t>540-977-1960</t>
  </si>
  <si>
    <t>Southern Fluidpower - Chattanooga</t>
  </si>
  <si>
    <t>2900 Dodds Avenue</t>
  </si>
  <si>
    <t>(423) 698-5888</t>
  </si>
  <si>
    <t>Southern Fluidpower - Nashville</t>
  </si>
  <si>
    <t>1830 Air Lane Drive</t>
  </si>
  <si>
    <t>Southern Forms Inc - Guild</t>
  </si>
  <si>
    <t>Guild,TN 37340</t>
  </si>
  <si>
    <t>Southern Hydraulic Cylinder Inc</t>
  </si>
  <si>
    <t>3020 Lee Highway</t>
  </si>
  <si>
    <t>423-744-8988</t>
  </si>
  <si>
    <t>423-744-8974</t>
  </si>
  <si>
    <t>Southern Hydraulic Services Inc - Dothan</t>
  </si>
  <si>
    <t>1415 South Oates Street</t>
  </si>
  <si>
    <t>Dothan,AL 36301</t>
  </si>
  <si>
    <t>(334) 794-0102</t>
  </si>
  <si>
    <t>Southern Hydraulics - Bessemer</t>
  </si>
  <si>
    <t>521 Alliance Road,</t>
  </si>
  <si>
    <t>Bessemer,AL 35023</t>
  </si>
  <si>
    <t>(205) 436-3616</t>
  </si>
  <si>
    <t>(205) 436-3854</t>
  </si>
  <si>
    <t>Southern Industrial - Westlake</t>
  </si>
  <si>
    <t>Southern Industrial Supply</t>
  </si>
  <si>
    <t>200 Wisteria Drive</t>
  </si>
  <si>
    <t>601-248-1087</t>
  </si>
  <si>
    <t>Pine Belt</t>
  </si>
  <si>
    <t>Southern Lumber Co. - Hermanville</t>
  </si>
  <si>
    <t>Hermanville,MS 39086</t>
  </si>
  <si>
    <t>Southern Mech Service - Albemarle</t>
  </si>
  <si>
    <t>Southern Mine Hydraulics Inc - Virgie</t>
  </si>
  <si>
    <t>7627 Us Highway 23 South</t>
  </si>
  <si>
    <t>Virgie,KY 41572</t>
  </si>
  <si>
    <t>(606) 639-4404</t>
  </si>
  <si>
    <t>(606) 639-4405</t>
  </si>
  <si>
    <t>Southern Pallet - Butner</t>
  </si>
  <si>
    <t>Southern Plastic - West Columbia</t>
  </si>
  <si>
    <t>Southern Products Co - Hoffman</t>
  </si>
  <si>
    <t>Hoffman,NC 28347</t>
  </si>
  <si>
    <t>Southern State Steel - Beaumont</t>
  </si>
  <si>
    <t>Southern States</t>
  </si>
  <si>
    <t>30 Georgia Avenue</t>
  </si>
  <si>
    <t>Hampton,GA 30228</t>
  </si>
  <si>
    <t>770-946-4562</t>
  </si>
  <si>
    <t>770-897-0012</t>
  </si>
  <si>
    <t>Southern Tri-State E - Brunswick</t>
  </si>
  <si>
    <t>Southington Spring A - Bristol</t>
  </si>
  <si>
    <t>Southwest Quickrete - Raywood</t>
  </si>
  <si>
    <t>Raywood,TX 77582</t>
  </si>
  <si>
    <t>Southwest Research - San Antonio</t>
  </si>
  <si>
    <t>San Antonio,TX 78238</t>
  </si>
  <si>
    <t>Southwestern Controls, Inc. - Dallas</t>
  </si>
  <si>
    <t>8808 Sovereign Row</t>
  </si>
  <si>
    <t>(214) 638-4266</t>
  </si>
  <si>
    <t>Southwestern Controls, Inc. - Houston</t>
  </si>
  <si>
    <t>6720 Sands Point, Suite 201</t>
  </si>
  <si>
    <t>Houston,TX 77074</t>
  </si>
  <si>
    <t>(713) 777-2626</t>
  </si>
  <si>
    <t>Southwestern Controls, Inc. - San Antonio</t>
  </si>
  <si>
    <t>859 Isom Road</t>
  </si>
  <si>
    <t>(210) 340-4111</t>
  </si>
  <si>
    <t>Southwestern Supply - St. Joseph</t>
  </si>
  <si>
    <t>Souvenir Inc - Cedar Rapids</t>
  </si>
  <si>
    <t>Cedar Rapids,IA 52405</t>
  </si>
  <si>
    <t>Soweea Cotton Gin - Climax</t>
  </si>
  <si>
    <t>Climax,GA 31734</t>
  </si>
  <si>
    <t>Space America Inc - Madison</t>
  </si>
  <si>
    <t>Spacesaver Corp - Fort Atkinson</t>
  </si>
  <si>
    <t>Fort Atkinson,WI 53538</t>
  </si>
  <si>
    <t>Span Alaska - Kent</t>
  </si>
  <si>
    <t>Span Deck Inc - Brentwood</t>
  </si>
  <si>
    <t>Brentwood,TN 37027</t>
  </si>
  <si>
    <t>Spanaway Lumber Comp - Tacoma</t>
  </si>
  <si>
    <t>Tacoma,WA 98446</t>
  </si>
  <si>
    <t>Spanish Trail Lumber - Cypress</t>
  </si>
  <si>
    <t>6112 Old Spanish Trail</t>
  </si>
  <si>
    <t>Cypress, FL, 32432</t>
  </si>
  <si>
    <t>850-592-8512</t>
  </si>
  <si>
    <t>Spanish Trail Lumber LLC</t>
  </si>
  <si>
    <t>Marianna, FL 32448</t>
  </si>
  <si>
    <t>850-592-1588</t>
  </si>
  <si>
    <t>Quality Mills' Customer</t>
  </si>
  <si>
    <t>Sparkler Filters - Conroe</t>
  </si>
  <si>
    <t>Conroe,TX 77303</t>
  </si>
  <si>
    <t>Sparta Ind - Sparta</t>
  </si>
  <si>
    <t>1731 US Hwy 21 South</t>
  </si>
  <si>
    <t>(336) 372-5521</t>
  </si>
  <si>
    <t>(336) 372-2875</t>
  </si>
  <si>
    <t>Spartan Hydraulics - Pacolet</t>
  </si>
  <si>
    <t>6861 South Pine Street</t>
  </si>
  <si>
    <t>Pacolet,SC 29372</t>
  </si>
  <si>
    <t>(864) 474-2247</t>
  </si>
  <si>
    <t>(864) 474-2248</t>
  </si>
  <si>
    <t>Spartan Industrial Supply - Spartanburg</t>
  </si>
  <si>
    <t>Spartech Plastics - Portage</t>
  </si>
  <si>
    <t>Spar-Tek Ind - Portland</t>
  </si>
  <si>
    <t>Spears Mfg. Co. - Jerome</t>
  </si>
  <si>
    <t>Jerome,ID 83338</t>
  </si>
  <si>
    <t>Special Effects Film - Los Angeles</t>
  </si>
  <si>
    <t>Specialty Equipment - Houston</t>
  </si>
  <si>
    <t>Specialty Hydraulic **CREDIT HOLD**</t>
  </si>
  <si>
    <t>1528 Taylor Farms Rd Suite 102</t>
  </si>
  <si>
    <t>Virginia Beach, VA 23453</t>
  </si>
  <si>
    <t>757-201-1653</t>
  </si>
  <si>
    <t>757-430-2092</t>
  </si>
  <si>
    <t>****Absolutely No Orders From this Customer****</t>
  </si>
  <si>
    <t>Specialty Minerals - Canaan</t>
  </si>
  <si>
    <t>Canaan,CT 06018</t>
  </si>
  <si>
    <t>Specialty Plastics - Dunmore</t>
  </si>
  <si>
    <t>Dunmore,PA 18512</t>
  </si>
  <si>
    <t>Spectrum Hydraulics- Ohio</t>
  </si>
  <si>
    <t>440-877-3100</t>
  </si>
  <si>
    <t>440-877-3101</t>
  </si>
  <si>
    <t>Speed Check Conveyor - Decatur</t>
  </si>
  <si>
    <t>Decatur,GA 30035</t>
  </si>
  <si>
    <t>Speed Fam Inc. - Des Plaines</t>
  </si>
  <si>
    <t xml:space="preserve">Des Plaines,IL </t>
  </si>
  <si>
    <t>Speedcheck Conveyor - Decatur</t>
  </si>
  <si>
    <t>Speedfam/Ipec - Chandler</t>
  </si>
  <si>
    <t>Spencer Fluid Power - Portland</t>
  </si>
  <si>
    <t>Spencer Plastics - Dale</t>
  </si>
  <si>
    <t>Dale,IN 47423</t>
  </si>
  <si>
    <t>Spencer Teris - Calgary</t>
  </si>
  <si>
    <t>Spencer Teris - Nisku</t>
  </si>
  <si>
    <t>1408 5Th Street
P O Box 190</t>
  </si>
  <si>
    <t>Nisku,AB T9E 8C7</t>
  </si>
  <si>
    <t>Sperry Rail - Danbury</t>
  </si>
  <si>
    <t>Sperry Rand Corp - Charlottesville</t>
  </si>
  <si>
    <t>Brookville,IN 4701</t>
  </si>
  <si>
    <t>Sphere Supply - Houston</t>
  </si>
  <si>
    <t>Spinco Metal Products - Newark</t>
  </si>
  <si>
    <t>Newark,NY 14513</t>
  </si>
  <si>
    <t>Spraque Prutsman - Traverse City</t>
  </si>
  <si>
    <t>Spring Tool - Portage</t>
  </si>
  <si>
    <t>Roaring Springs,PA 1</t>
  </si>
  <si>
    <t>Springfield Plywood - Springfield</t>
  </si>
  <si>
    <t>Duncan,SC 29334</t>
  </si>
  <si>
    <t>Springs Fabrication - Colorado Springs</t>
  </si>
  <si>
    <t>Spuncast Inc - Watertown</t>
  </si>
  <si>
    <t>Watertown,WI 53098</t>
  </si>
  <si>
    <t>Square D Company - Ashville</t>
  </si>
  <si>
    <t>Ashville,NC 28806</t>
  </si>
  <si>
    <t>SRT</t>
  </si>
  <si>
    <t>701 Market Street NW</t>
  </si>
  <si>
    <t>256-350-9861</t>
  </si>
  <si>
    <t>256-355-0967</t>
  </si>
  <si>
    <t>Ssa Shipping - Long Beach</t>
  </si>
  <si>
    <t>SSAB Alabama Inc.</t>
  </si>
  <si>
    <t>Axis,AL 36505</t>
  </si>
  <si>
    <t>251-662-4367</t>
  </si>
  <si>
    <t>SSI Tech Inc - Janesville</t>
  </si>
  <si>
    <t>3330 Palmer Dr</t>
  </si>
  <si>
    <t>(608) 755-1900</t>
  </si>
  <si>
    <t>St. Lawrence Press - Romulus</t>
  </si>
  <si>
    <t>St. Mary's Manufacturing - N. Tonawanda</t>
  </si>
  <si>
    <t>St. Marys Sugar - Jeanerette</t>
  </si>
  <si>
    <t>Jeanerette,LA 70654</t>
  </si>
  <si>
    <t>St.Laurent Paper Products - West Point</t>
  </si>
  <si>
    <t>West Point,VA 23181</t>
  </si>
  <si>
    <t>Stacey Controls - Redmond</t>
  </si>
  <si>
    <t>Staiger Machinery - Hickory</t>
  </si>
  <si>
    <t>Stainless Steel Fabr - Columbus</t>
  </si>
  <si>
    <t>Columbus,WI 53925</t>
  </si>
  <si>
    <t>Stainless Unlimited - Omro</t>
  </si>
  <si>
    <t>Omro,WI 54963</t>
  </si>
  <si>
    <t>Stainless Valve - Monroe</t>
  </si>
  <si>
    <t>4811 Persimmon Court</t>
  </si>
  <si>
    <t>Monroe,NC 28111</t>
  </si>
  <si>
    <t>704-953-2803</t>
  </si>
  <si>
    <t>408-228-8744</t>
  </si>
  <si>
    <t>Stainless Valve Comp - Riegelwood</t>
  </si>
  <si>
    <t>Standard Bent Glass - Butler</t>
  </si>
  <si>
    <t>Butler,PA 16003</t>
  </si>
  <si>
    <t>Standard Furniture - Bay Minette</t>
  </si>
  <si>
    <t>Standard Horse Nail - New Brighton</t>
  </si>
  <si>
    <t>New Brighton,PA 15</t>
  </si>
  <si>
    <t>Standard Keil Co. - Allenwood</t>
  </si>
  <si>
    <t>Allenwood,NJ 08720</t>
  </si>
  <si>
    <t>Standard Products - Gaylord</t>
  </si>
  <si>
    <t>Gaylord,MI 49735</t>
  </si>
  <si>
    <t>Standard Testing Lab - Massilon</t>
  </si>
  <si>
    <t>Massilon,OH 44646</t>
  </si>
  <si>
    <t>2950 Johnson Road</t>
  </si>
  <si>
    <t>269-465-6004</t>
  </si>
  <si>
    <t>269-465-5301</t>
  </si>
  <si>
    <t>Standish Steel - Bedford</t>
  </si>
  <si>
    <t>Stanek Tool Corp - New Berlin</t>
  </si>
  <si>
    <t xml:space="preserve">New Berlin,WI </t>
  </si>
  <si>
    <t>Stang Precision</t>
  </si>
  <si>
    <t>531 Minnie St</t>
  </si>
  <si>
    <t>Paynesville,MN 56362</t>
  </si>
  <si>
    <t>Stanley Electric - London</t>
  </si>
  <si>
    <t>London,OH 43140</t>
  </si>
  <si>
    <t>Stanley M. Proctor Company - Twinsburg</t>
  </si>
  <si>
    <t>P.O. Box 446_x000D_
2016 Midway Drive</t>
  </si>
  <si>
    <t>(800) 352-0123</t>
  </si>
  <si>
    <t>(330) 425-3222</t>
  </si>
  <si>
    <t>Stanley Machining - Toledo</t>
  </si>
  <si>
    <t>Stanley Tools - Shelbyville</t>
  </si>
  <si>
    <t>Star Electrical Systems - Akron</t>
  </si>
  <si>
    <t>Akron,OH 44134</t>
  </si>
  <si>
    <t>Star Paper Tube - Rock Hill</t>
  </si>
  <si>
    <t>Rock Hill,SC 29732</t>
  </si>
  <si>
    <t>Star Tribune - Minneapolis</t>
  </si>
  <si>
    <t>Starboard Ind - East Tawas</t>
  </si>
  <si>
    <t>State Steel - Sioux City</t>
  </si>
  <si>
    <t>214 Court Street</t>
  </si>
  <si>
    <t>Sioux City, IA 51101</t>
  </si>
  <si>
    <t>712-277-4000</t>
  </si>
  <si>
    <t>POC: David Bernstein</t>
  </si>
  <si>
    <t>States Engineering Corp. - Ft. Wayne</t>
  </si>
  <si>
    <t xml:space="preserve">Ft. Wayne,IN </t>
  </si>
  <si>
    <t>States Ind - Eugene</t>
  </si>
  <si>
    <t>Staub Metals Corp. - Fontana</t>
  </si>
  <si>
    <t>Stauffer Machine Inc - Ephrata</t>
  </si>
  <si>
    <t>Ephrata,PA 17522</t>
  </si>
  <si>
    <t>Stc Tech - Portage</t>
  </si>
  <si>
    <t>Steam Supply - Tacoma</t>
  </si>
  <si>
    <t>Stearns Tech Textile - Cincinnati</t>
  </si>
  <si>
    <t>5275 Bird Creek Ave</t>
  </si>
  <si>
    <t>918-266-4312</t>
  </si>
  <si>
    <t>Steel Craft Mfg - Cincinnati</t>
  </si>
  <si>
    <t>Cincinnati,OH 45242</t>
  </si>
  <si>
    <t>Steel Dynanics Inc. - Butler</t>
  </si>
  <si>
    <t>Butler,IN 46721</t>
  </si>
  <si>
    <t>Steel Equip. Specialists - Alliance</t>
  </si>
  <si>
    <t>1507 Beeson St</t>
  </si>
  <si>
    <t>Alliance,OH 44601</t>
  </si>
  <si>
    <t>(330) 821-3322</t>
  </si>
  <si>
    <t>STEEL FAB INC.</t>
  </si>
  <si>
    <t>389 STEEL VIEW DR.</t>
  </si>
  <si>
    <t>ROANOKE, AL 36274</t>
  </si>
  <si>
    <t>MASON DYNAMIC'S CUSTOMER</t>
  </si>
  <si>
    <t>Steel Heddle - Greenville</t>
  </si>
  <si>
    <t xml:space="preserve">STEEL MACHINERY MFG CO. LLC </t>
  </si>
  <si>
    <t>2204 CENTURY CENTER BLVD</t>
  </si>
  <si>
    <t>IRVING, TX 75062</t>
  </si>
  <si>
    <t>Steel Tech I - Eminence</t>
  </si>
  <si>
    <t>Eminence,KY 40019</t>
  </si>
  <si>
    <t>Steelcase Incorporat - Athens</t>
  </si>
  <si>
    <t>Athens,AL 35611</t>
  </si>
  <si>
    <t>Steely Lumber Co - Huntsville</t>
  </si>
  <si>
    <t>Huntsville,TX 77340</t>
  </si>
  <si>
    <t>Steinmann Stainless FABR</t>
  </si>
  <si>
    <t>1810 12th Ave</t>
  </si>
  <si>
    <t>Monroe, WI, 53566</t>
  </si>
  <si>
    <t>Steinwall, Inc.</t>
  </si>
  <si>
    <t>1759 116th Ave. NW</t>
  </si>
  <si>
    <t>Coon Rapids, MN 55448</t>
  </si>
  <si>
    <t>Aggressive Hydraulics customer</t>
  </si>
  <si>
    <t>Stephens Hydarulic Sales - Douglasville</t>
  </si>
  <si>
    <t>4256 Ridge Road</t>
  </si>
  <si>
    <t>Douglasville,GA 30134</t>
  </si>
  <si>
    <t>(770) 489-0158</t>
  </si>
  <si>
    <t>(770) 489-9492</t>
  </si>
  <si>
    <t>Stevedoring Svcs Ame - Long Beach</t>
  </si>
  <si>
    <t>Long Beach,CA 90802</t>
  </si>
  <si>
    <t>Stewart Hunt Inc. - Burlington</t>
  </si>
  <si>
    <t>8 Garfield Circle</t>
  </si>
  <si>
    <t>Burlington,MA 01803</t>
  </si>
  <si>
    <t>(781) 272-4411</t>
  </si>
  <si>
    <t>Stewart Supply Company, Inc.</t>
  </si>
  <si>
    <t>2068 Valleydale Terrace</t>
  </si>
  <si>
    <t>Birmingham, AL 35244</t>
  </si>
  <si>
    <t>205-982-3000</t>
  </si>
  <si>
    <t>205-982-3042</t>
  </si>
  <si>
    <t>Stewartsville Enterprise - Laurinburg</t>
  </si>
  <si>
    <t>Laurinburg,NC 28352</t>
  </si>
  <si>
    <t>Stick Corp. - Berwick</t>
  </si>
  <si>
    <t>Still Walter Tool Co - Orangeburg</t>
  </si>
  <si>
    <t>Stimson Lumber - Bonner</t>
  </si>
  <si>
    <t>Bonner,MT 59823</t>
  </si>
  <si>
    <t>Stimson Lumber - Cheholis</t>
  </si>
  <si>
    <t>Cheholis,WA 98532</t>
  </si>
  <si>
    <t>Stimson Lumber - Clatskinie</t>
  </si>
  <si>
    <t>Clatskinie,OR 97016</t>
  </si>
  <si>
    <t>Stimson Lumber - Gaston</t>
  </si>
  <si>
    <t>Gaston,OR 97116</t>
  </si>
  <si>
    <t>Stimson Timber Co. - Shelton</t>
  </si>
  <si>
    <t>Stockton Pipe - Stockton</t>
  </si>
  <si>
    <t>Stockton,CA 95215</t>
  </si>
  <si>
    <t>Stoesser Ind - Mountain View</t>
  </si>
  <si>
    <t>Mountain View,CA 94</t>
  </si>
  <si>
    <t>Stoltz Metals - Richmond</t>
  </si>
  <si>
    <t>Richmond,CA 94801</t>
  </si>
  <si>
    <t>Stone Container Corp - Abbeville</t>
  </si>
  <si>
    <t>Highway 173</t>
  </si>
  <si>
    <t>(334) 585-3078</t>
  </si>
  <si>
    <t>Stone Container Corp - Panama City</t>
  </si>
  <si>
    <t>501 S East Ave</t>
  </si>
  <si>
    <t>(850) 769-2456</t>
  </si>
  <si>
    <t>Stone Forest Ind - Orangeburg</t>
  </si>
  <si>
    <t>Stone Mountain Lumber Co.</t>
  </si>
  <si>
    <t>350 Dry Stone Branch Rd</t>
  </si>
  <si>
    <t>Mountain City,TN 37683</t>
  </si>
  <si>
    <t>Stonewall Machinery - Florence</t>
  </si>
  <si>
    <t>Florence,MS 39073</t>
  </si>
  <si>
    <t>Store Tech - Ferndale</t>
  </si>
  <si>
    <t>Strand-Tech Martin I - Summerville</t>
  </si>
  <si>
    <t>STRATA FORM</t>
  </si>
  <si>
    <t>4950 GILM ER ST</t>
  </si>
  <si>
    <t xml:space="preserve">HUNTSVILLE, AL </t>
  </si>
  <si>
    <t>Stresscon Corporatio - Colorado Springs</t>
  </si>
  <si>
    <t>Strick Corp - Berwick</t>
  </si>
  <si>
    <t>Stricklands Hydraulics - Lancaster</t>
  </si>
  <si>
    <t>2706 Charlotte Highway</t>
  </si>
  <si>
    <t>Lancaster,SC 29720</t>
  </si>
  <si>
    <t>(803) 285-3673</t>
  </si>
  <si>
    <t>Stroehmann Bakeries - W.Hazleton</t>
  </si>
  <si>
    <t>W.Hazleton,PA 18201</t>
  </si>
  <si>
    <t>Stroehmann Bros Comp - Norristown</t>
  </si>
  <si>
    <t>Norristown,PA 19404</t>
  </si>
  <si>
    <t>Strom Ind - Camas</t>
  </si>
  <si>
    <t>Strongwell Corp - Chatfield</t>
  </si>
  <si>
    <t>1610 Highway 52 So.</t>
  </si>
  <si>
    <t>Chatfield,MN 55923</t>
  </si>
  <si>
    <t>Strongwell Manufactu - Bristol</t>
  </si>
  <si>
    <t>Bristol,VA 24203</t>
  </si>
  <si>
    <t>Strongwell, Corp - Lenore City</t>
  </si>
  <si>
    <t>Lenore City,TN 377</t>
  </si>
  <si>
    <t>Strongwell,Corp - Bristol</t>
  </si>
  <si>
    <t>Struble Fluid Power - Denver</t>
  </si>
  <si>
    <t>2301 S. Platte Dr.</t>
  </si>
  <si>
    <t>Denver,CO 80223</t>
  </si>
  <si>
    <t>(303) 935-3866</t>
  </si>
  <si>
    <t>(303) 935-3868</t>
  </si>
  <si>
    <t>Structural Metals - Seguin</t>
  </si>
  <si>
    <t>Seguin,TX 78155</t>
  </si>
  <si>
    <t>Strukturoc Inc. - Blue Earth</t>
  </si>
  <si>
    <t>Blue Earth,MN 56013</t>
  </si>
  <si>
    <t>Stuart Flooring - Stuart</t>
  </si>
  <si>
    <t>Stuart,VA 24171</t>
  </si>
  <si>
    <t>Stultz Machine Co - Roanoke</t>
  </si>
  <si>
    <t>Roanoke,VA 24014</t>
  </si>
  <si>
    <t>Sturgis Foundry - Sturgis</t>
  </si>
  <si>
    <t>Suburban Industrial - Worth</t>
  </si>
  <si>
    <t>Worth,IL 60482</t>
  </si>
  <si>
    <t>Suburban Molding - Union City</t>
  </si>
  <si>
    <t>Union City,PA 1643</t>
  </si>
  <si>
    <t>Sue-Jac - Decatur</t>
  </si>
  <si>
    <t>1402 Southfield Dr</t>
  </si>
  <si>
    <t>256-355-0977</t>
  </si>
  <si>
    <t>256-355-0215</t>
  </si>
  <si>
    <t>Suffolk Forest Produ - Suffolk</t>
  </si>
  <si>
    <t>Suffolk,VA 23438</t>
  </si>
  <si>
    <t>Sugar Cane Growers C - Belle Glade</t>
  </si>
  <si>
    <t>Belle Glade,FL 33430</t>
  </si>
  <si>
    <t>Sullivan Lumber Co. - Northport</t>
  </si>
  <si>
    <t>Northport,AL 35476</t>
  </si>
  <si>
    <t>Sulzer Papertek - Monroe</t>
  </si>
  <si>
    <t>Monroe,OH 45050</t>
  </si>
  <si>
    <t>Summa Technology - Huntsville</t>
  </si>
  <si>
    <t>Huntsville,AL 35805</t>
  </si>
  <si>
    <t>Summit Mfg - Hazleton</t>
  </si>
  <si>
    <t>Summit Polymers - Portage</t>
  </si>
  <si>
    <t>6717 Sprinkle Road</t>
  </si>
  <si>
    <t>Portage, MI 49002</t>
  </si>
  <si>
    <t>Automation Techniques' Customer</t>
  </si>
  <si>
    <t>Summit Polymers - Sturgis</t>
  </si>
  <si>
    <t>Summit Tree Stand</t>
  </si>
  <si>
    <t>715 Summit Drive</t>
  </si>
  <si>
    <t>256-353-0634</t>
  </si>
  <si>
    <t>256-353-9818</t>
  </si>
  <si>
    <t>1654 - 70 Avenue</t>
  </si>
  <si>
    <t>Edmonton,Alberta t6P 1P5</t>
  </si>
  <si>
    <t>780-468-6900</t>
  </si>
  <si>
    <t>780-468-1400</t>
  </si>
  <si>
    <t>212 Durham St.</t>
  </si>
  <si>
    <t>615-452-0636</t>
  </si>
  <si>
    <t>615-452-0169</t>
  </si>
  <si>
    <t>34 Bridge Court ; Unit 5</t>
  </si>
  <si>
    <t>Sumter, SC 29150</t>
  </si>
  <si>
    <t>Fluid Power of the Carolinas' Customer</t>
  </si>
  <si>
    <t>Sumter Machinery - Sylva</t>
  </si>
  <si>
    <t>Sylva,NC 28779</t>
  </si>
  <si>
    <t>Sun Chemical - Cincinnati</t>
  </si>
  <si>
    <t>Cincinnati,OH 45232</t>
  </si>
  <si>
    <t>Sun Metal Products - Warsaw</t>
  </si>
  <si>
    <t>Tulsa,OK 74107</t>
  </si>
  <si>
    <t>Sunbelt Cement - New Braunfels</t>
  </si>
  <si>
    <t>Suncoast Post-Tensio - Houston</t>
  </si>
  <si>
    <t>Sundstrand Aerospace - Rockford</t>
  </si>
  <si>
    <t>Sunland Construction - Adger</t>
  </si>
  <si>
    <t>Adger,AL 35006</t>
  </si>
  <si>
    <t>Sunset Industrial Pa - Cerritos</t>
  </si>
  <si>
    <t>Cerritos,CA 90701</t>
  </si>
  <si>
    <t>Sunshine State Cypress</t>
  </si>
  <si>
    <t>Hwy 65 No  / Lowery Chip Mill Rd</t>
  </si>
  <si>
    <t>Hofford,FL 32334</t>
  </si>
  <si>
    <t>SunSource - Grand Praire</t>
  </si>
  <si>
    <t>1172 113th Street</t>
  </si>
  <si>
    <t>Grand Praire, TX 75050</t>
  </si>
  <si>
    <t>(972) 809-2077</t>
  </si>
  <si>
    <t>(972) 660-0607</t>
  </si>
  <si>
    <t>Sunsource - Marrero</t>
  </si>
  <si>
    <t>5109 Taravella Road</t>
  </si>
  <si>
    <t>(504) 349-4790</t>
  </si>
  <si>
    <t>Sunsource - Pabco</t>
  </si>
  <si>
    <t>6460 Sims Road</t>
  </si>
  <si>
    <t>Sterling Heights, MI 48313</t>
  </si>
  <si>
    <t>Sunsource - Stone Mountain</t>
  </si>
  <si>
    <t>5390 E. Ponce De Leon Ave, Suite E</t>
  </si>
  <si>
    <t>800)225-5800</t>
  </si>
  <si>
    <t>(770) 414-9827</t>
  </si>
  <si>
    <t>Sunsource / Fauver - Anaheim</t>
  </si>
  <si>
    <t>1231 N. Barsten Way</t>
  </si>
  <si>
    <t>(714) 632-8497</t>
  </si>
  <si>
    <t>(714) 632-0339</t>
  </si>
  <si>
    <t>Sunsource Company - Madison Heights</t>
  </si>
  <si>
    <t>1450 E. Avis Ave</t>
  </si>
  <si>
    <t>Madison Heights,MI 48071</t>
  </si>
  <si>
    <t>(248) 585-5252</t>
  </si>
  <si>
    <t>(248) 616-8550</t>
  </si>
  <si>
    <t>Sunsource Fauver - Pleasonton</t>
  </si>
  <si>
    <t>2134 Reheem Drive</t>
  </si>
  <si>
    <t>Pleasonton,CA 94566</t>
  </si>
  <si>
    <t>Sunsource Fauver - Rosemont</t>
  </si>
  <si>
    <t>5530 Milton Parkway</t>
  </si>
  <si>
    <t>Rosemont,IL 60018</t>
  </si>
  <si>
    <t>SunSource, Inc.</t>
  </si>
  <si>
    <t>PO Box 26260 /Att: Accts.Payable</t>
  </si>
  <si>
    <t>952-563-1764</t>
  </si>
  <si>
    <t>952-563-1770</t>
  </si>
  <si>
    <t>SunSource/Activation</t>
  </si>
  <si>
    <t>5390 E.Ponce DeLeon Ave.</t>
  </si>
  <si>
    <t>770-491-6900</t>
  </si>
  <si>
    <t>770-414-9827</t>
  </si>
  <si>
    <t>Sunsource/Airdraulic - Chandler.</t>
  </si>
  <si>
    <t>Chandler.,AZ 85226</t>
  </si>
  <si>
    <t>Sunsource/Fauver - Sacramento</t>
  </si>
  <si>
    <t>Sacramento,CA 95828</t>
  </si>
  <si>
    <t>Sunsource/Warren-Air - Phoenix</t>
  </si>
  <si>
    <t>Sunsource/War-Wad Re - Reno</t>
  </si>
  <si>
    <t>Reno,NV 89511</t>
  </si>
  <si>
    <t>Sunterrace Casual Fu - Stanley</t>
  </si>
  <si>
    <t>Stanley,NC 28164</t>
  </si>
  <si>
    <t>Super Flow - Colorado Springs</t>
  </si>
  <si>
    <t>Super Products Co - New Berlin</t>
  </si>
  <si>
    <t>Superb Machine Repair</t>
  </si>
  <si>
    <t>5918 Havenridge Rd</t>
  </si>
  <si>
    <t>New Haven, MI, 48048</t>
  </si>
  <si>
    <t>586-749-8800</t>
  </si>
  <si>
    <t>586-749-8804</t>
  </si>
  <si>
    <t>Superior Automation - Sheboygan</t>
  </si>
  <si>
    <t>Superior Cattle - Calipatria</t>
  </si>
  <si>
    <t>Calipatria,CA 92233</t>
  </si>
  <si>
    <t>Superior Chain Inc - Twin Falls</t>
  </si>
  <si>
    <t>Twin Falls,ID 83303</t>
  </si>
  <si>
    <t>Superior Colorado - Denver</t>
  </si>
  <si>
    <t>Superior Concrete Bl - Mankato</t>
  </si>
  <si>
    <t>Superior Engineering - Anderson</t>
  </si>
  <si>
    <t>5035 Belton Hwy.</t>
  </si>
  <si>
    <t>Superior Hydraulics - Sparks</t>
  </si>
  <si>
    <t>Superior Ind</t>
  </si>
  <si>
    <t>424 Industrial Park Drive</t>
  </si>
  <si>
    <t>Heber Springs,AR 72543</t>
  </si>
  <si>
    <t>Superior Lumber - Glendale</t>
  </si>
  <si>
    <t>Glendale,OR 97442</t>
  </si>
  <si>
    <t>Superior Machine</t>
  </si>
  <si>
    <t>692 N Cashua Road</t>
  </si>
  <si>
    <t>Superior Manufacturing - Broussard</t>
  </si>
  <si>
    <t>Superior Material Co - Auburn Hills</t>
  </si>
  <si>
    <t>Auburn Hills,MI 4805</t>
  </si>
  <si>
    <t>Superior Mfg. - Moselle</t>
  </si>
  <si>
    <t>Moselle,MS 39549</t>
  </si>
  <si>
    <t>Superior Offshore</t>
  </si>
  <si>
    <t>139 Baxter Road</t>
  </si>
  <si>
    <t>Superior Piling - Bridgeview</t>
  </si>
  <si>
    <t>Superior Products - Plantersville</t>
  </si>
  <si>
    <t>Poplar Street</t>
  </si>
  <si>
    <t>Plantersville,MS 38862</t>
  </si>
  <si>
    <t>(662) 842-8311</t>
  </si>
  <si>
    <t>Superior Sales, Inc. - Brant</t>
  </si>
  <si>
    <t>Brant,NY 14027</t>
  </si>
  <si>
    <t>Superior Truss - Eaton</t>
  </si>
  <si>
    <t>Eaton,CO 80615</t>
  </si>
  <si>
    <t>Supply Officer - Mayport</t>
  </si>
  <si>
    <t>Mayport,FL 32228</t>
  </si>
  <si>
    <t>Supreme Casting - Stevensville</t>
  </si>
  <si>
    <t>Supreme Concrete Blo - Leesburg</t>
  </si>
  <si>
    <t>Leesburg,VA 20175</t>
  </si>
  <si>
    <t>Sur-Form Corporation</t>
  </si>
  <si>
    <t>18401 Malyn</t>
  </si>
  <si>
    <t>586-285-0310</t>
  </si>
  <si>
    <t>586-285-0311</t>
  </si>
  <si>
    <t>Surftran Inc. - Madison Heights</t>
  </si>
  <si>
    <t>30250 Stephenson Highway</t>
  </si>
  <si>
    <t>248-547-3133</t>
  </si>
  <si>
    <t>248-547-0206</t>
  </si>
  <si>
    <t>Sutinen, C C Associa - Bethlehem</t>
  </si>
  <si>
    <t>Bethlehem,PA 18015</t>
  </si>
  <si>
    <t>Sutter Home Winery - St. Helena</t>
  </si>
  <si>
    <t>St. Helena,CA 94574</t>
  </si>
  <si>
    <t>Suwannee Lumber Co</t>
  </si>
  <si>
    <t>Cross City,Fl 32628</t>
  </si>
  <si>
    <t>352-498-3363</t>
  </si>
  <si>
    <t>Svedala Inc. - Cedcar Rapids</t>
  </si>
  <si>
    <t xml:space="preserve">Cedcar Rapids,IA </t>
  </si>
  <si>
    <t>Svedala Ind - Appleton</t>
  </si>
  <si>
    <t>Sverdrup Technology - Cape Canaveral</t>
  </si>
  <si>
    <t>Cape Canaveral,FL 3</t>
  </si>
  <si>
    <t>Swan Engr. Machine Co. - Bettendorf</t>
  </si>
  <si>
    <t xml:space="preserve">Bettendorf,IA </t>
  </si>
  <si>
    <t>Swanson Brothers - Noti</t>
  </si>
  <si>
    <t>Noti,OR 97461</t>
  </si>
  <si>
    <t>Swanton,OH 43558</t>
  </si>
  <si>
    <t>Sweco Inc. - Florence</t>
  </si>
  <si>
    <t>Sweed Machinery - Gold Hill</t>
  </si>
  <si>
    <t>SWEET SUE</t>
  </si>
  <si>
    <t>1006 E. Pryor St.</t>
  </si>
  <si>
    <t>Swift Eckrich - Omaha</t>
  </si>
  <si>
    <t>Swift Lumber Co - Atmore</t>
  </si>
  <si>
    <t>Atmore,AL 36504</t>
  </si>
  <si>
    <t>Syltone Ind LLC</t>
  </si>
  <si>
    <t>14003 Cicero Road</t>
  </si>
  <si>
    <t>Sys-Tech, Inc. - Cleveland</t>
  </si>
  <si>
    <t>Systems D E - Winnemucca</t>
  </si>
  <si>
    <t>Winnemucca,NV 89445</t>
  </si>
  <si>
    <t>Systems Technology I - Myrtle Beach</t>
  </si>
  <si>
    <t>Myrtle Beach,SC 2957</t>
  </si>
  <si>
    <t>15527 La Salle St</t>
  </si>
  <si>
    <t>(708) 333-1282</t>
  </si>
  <si>
    <t>(708) 333-9912</t>
  </si>
  <si>
    <t>49 Eastern Steel Rd</t>
  </si>
  <si>
    <t>Milford,CT 006460</t>
  </si>
  <si>
    <t>(203) 877-9286</t>
  </si>
  <si>
    <t>(203) 878-6407</t>
  </si>
  <si>
    <t>293 Harrisburg Rd Sw</t>
  </si>
  <si>
    <t>Milledgeville,GA 31061</t>
  </si>
  <si>
    <t>(478) 453-3492</t>
  </si>
  <si>
    <t>3635 Skyland Dr</t>
  </si>
  <si>
    <t>(828) 586-4044</t>
  </si>
  <si>
    <t>625 Garfield St</t>
  </si>
  <si>
    <t>Clarendon,AR 72029</t>
  </si>
  <si>
    <t>(870) 747-3339</t>
  </si>
  <si>
    <t>T E I Engineered Products - Englewood</t>
  </si>
  <si>
    <t>6920 S. Jordan Road, Suite C</t>
  </si>
  <si>
    <t>(303) 693-1491</t>
  </si>
  <si>
    <t>(303) 680-7577</t>
  </si>
  <si>
    <t>T R Miller Mill Co - Brewton</t>
  </si>
  <si>
    <t>215 Deer St</t>
  </si>
  <si>
    <t>(334) 867-4331</t>
  </si>
  <si>
    <t>2250 Otto Rd</t>
  </si>
  <si>
    <t>Charlotte,MI 48813</t>
  </si>
  <si>
    <t>(517) 543-5368</t>
  </si>
  <si>
    <t>Taber Extrusions - Gulfport</t>
  </si>
  <si>
    <t>1900 34th Street</t>
  </si>
  <si>
    <t>Gulfport,MS 39501</t>
  </si>
  <si>
    <t>(800) 647-9568</t>
  </si>
  <si>
    <t>(228) 865-9089</t>
  </si>
  <si>
    <t>Taber Metals - Russellville</t>
  </si>
  <si>
    <t>915 S Elmira Ave</t>
  </si>
  <si>
    <t>(501) 968-1021</t>
  </si>
  <si>
    <t>Taco Inc - Cranston</t>
  </si>
  <si>
    <t>1160 Cranston St</t>
  </si>
  <si>
    <t>(401) 942-8000</t>
  </si>
  <si>
    <t>Tad North Division - Ft. Worth</t>
  </si>
  <si>
    <t>Ft. Worth,TX 76115</t>
  </si>
  <si>
    <t>Tak Fluid Power - Frankfort</t>
  </si>
  <si>
    <t>9425 Gulfstream Road</t>
  </si>
  <si>
    <t>(815) 464-5888</t>
  </si>
  <si>
    <t>(815) 464-5463</t>
  </si>
  <si>
    <t>Talladega Machinery - Griffin</t>
  </si>
  <si>
    <t>1112 Anne Street</t>
  </si>
  <si>
    <t>Griffin, GA 30224</t>
  </si>
  <si>
    <t>770-227-5431</t>
  </si>
  <si>
    <t>770-229-8329</t>
  </si>
  <si>
    <t>Talledega Machinery - Silver Creek</t>
  </si>
  <si>
    <t>Tallon Lumber - Canaan</t>
  </si>
  <si>
    <t>Tal-Mar - Crestwood</t>
  </si>
  <si>
    <t>Tama Paperboard - Tama</t>
  </si>
  <si>
    <t>Tama,IA 52339</t>
  </si>
  <si>
    <t>Tame, Inc. - Flintstone</t>
  </si>
  <si>
    <t>TAMKO - Lamar</t>
  </si>
  <si>
    <t>601 West 17th St</t>
  </si>
  <si>
    <t>Lamar, MO 64759</t>
  </si>
  <si>
    <t>IBT-Joplin's Customer</t>
  </si>
  <si>
    <t>1407 Southfield Dr SE</t>
  </si>
  <si>
    <t>350-2276</t>
  </si>
  <si>
    <t>350-2425</t>
  </si>
  <si>
    <t>Tape Craft</t>
  </si>
  <si>
    <t>17 South Hunter Street</t>
  </si>
  <si>
    <t xml:space="preserve">(256) 231-9327 </t>
  </si>
  <si>
    <t>256-231-2674</t>
  </si>
  <si>
    <t>Tarmac American - Richmond</t>
  </si>
  <si>
    <t>Tarmac Florida Inc. - Medley</t>
  </si>
  <si>
    <t>Tarmac Mid Atlantic - Richmond</t>
  </si>
  <si>
    <t>Richmond,VA 23231</t>
  </si>
  <si>
    <t>Tarrant Hydraulic Service</t>
  </si>
  <si>
    <t>1315 Pinson Street</t>
  </si>
  <si>
    <t>205-841-0457</t>
  </si>
  <si>
    <t>205-841-4733</t>
  </si>
  <si>
    <t>Tarrant Hydraulic Service - Mobile</t>
  </si>
  <si>
    <t>1815 Ninth Street / Brookley Complex</t>
  </si>
  <si>
    <t>Mobile,AL 36615</t>
  </si>
  <si>
    <t>251-433-0777</t>
  </si>
  <si>
    <t>251-433-0888</t>
  </si>
  <si>
    <t>Tartan Supply</t>
  </si>
  <si>
    <t>24501 Hufsmith Kohrville Suite 200</t>
  </si>
  <si>
    <t>Tomball, TX 77375</t>
  </si>
  <si>
    <t>281-351-4636</t>
  </si>
  <si>
    <t>281-351-4635</t>
  </si>
  <si>
    <t>Tartan Supply Sales LLC</t>
  </si>
  <si>
    <t>110 Downing</t>
  </si>
  <si>
    <t>Chalmette,LA 70032</t>
  </si>
  <si>
    <t>Taurus Salt,Inc.</t>
  </si>
  <si>
    <t>1520 South 550 West</t>
  </si>
  <si>
    <t>Salina,UT 84654</t>
  </si>
  <si>
    <t>Tawas Tool - E. Tawas</t>
  </si>
  <si>
    <t>E. Tawas,MI 48730</t>
  </si>
  <si>
    <t>Tawell Construction - Bledso</t>
  </si>
  <si>
    <t>Bledso,KY 40810</t>
  </si>
  <si>
    <t>Taylor Machine Works - Louisville</t>
  </si>
  <si>
    <t>650 North Church Avenue</t>
  </si>
  <si>
    <t xml:space="preserve">Louisville,MS </t>
  </si>
  <si>
    <t>(662) 773-3421</t>
  </si>
  <si>
    <t>(662) 773-9146</t>
  </si>
  <si>
    <t>Taylor Newcomb Ind - Cincinnati</t>
  </si>
  <si>
    <t>(513) 771-5800</t>
  </si>
  <si>
    <t>Taylor Newcomb Ind - Columbus</t>
  </si>
  <si>
    <t>4140 Perimeter Drive</t>
  </si>
  <si>
    <t>Columbus,OH 43228</t>
  </si>
  <si>
    <t>(614) 276-8141</t>
  </si>
  <si>
    <t>Taylor Newcomb Ind - Louisville</t>
  </si>
  <si>
    <t>11534 Commonwealth Drive</t>
  </si>
  <si>
    <t>(800) 589-5900</t>
  </si>
  <si>
    <t>(502) 499-9842</t>
  </si>
  <si>
    <t>Taylor Newcomb Ind - Point Pleasant</t>
  </si>
  <si>
    <t>7 Walnut Creek</t>
  </si>
  <si>
    <t>Point Pleasant,WV 25550</t>
  </si>
  <si>
    <t>(304) 675-5771</t>
  </si>
  <si>
    <t>Taylor-Newcomb Ind - Indianapolis</t>
  </si>
  <si>
    <t>3131 North Franklin Road</t>
  </si>
  <si>
    <t>Indianapolis,IN 46226</t>
  </si>
  <si>
    <t>(800) 545-5414</t>
  </si>
  <si>
    <t>(317) 252-4329</t>
  </si>
  <si>
    <t>Americus,GA 31709</t>
  </si>
  <si>
    <t>Tdk Ferrites Corp - Shawnee</t>
  </si>
  <si>
    <t>5900 N Harrison Ave</t>
  </si>
  <si>
    <t>(405) 275-2100</t>
  </si>
  <si>
    <t>Teaford Company</t>
  </si>
  <si>
    <t>Team Hydraulics - Portland</t>
  </si>
  <si>
    <t>Portland,OR 97233</t>
  </si>
  <si>
    <t>Team Hydraulics, Inc - Vancouver</t>
  </si>
  <si>
    <t>Tec-Cast Inc - Moonachie</t>
  </si>
  <si>
    <t>Moonachie,NJ 07074</t>
  </si>
  <si>
    <t>Tec-Cast, Inc - Carlsadt</t>
  </si>
  <si>
    <t>Carlsadt,NJ 07072</t>
  </si>
  <si>
    <t>Tech Hydraulics - Randolph</t>
  </si>
  <si>
    <t>Randolph,MA 002368</t>
  </si>
  <si>
    <t>Tech Ind - Woonsocket</t>
  </si>
  <si>
    <t>Woonsocket,RI 02895</t>
  </si>
  <si>
    <t>Tech Industrial Sale - Nashville</t>
  </si>
  <si>
    <t>Tec-Hackett, Inc. - Fort Wayne</t>
  </si>
  <si>
    <t>3418 Cavalier Drive</t>
  </si>
  <si>
    <t>Fort Wayne,IN 46808</t>
  </si>
  <si>
    <t>(219) 471-7116</t>
  </si>
  <si>
    <t>Tec-Hackett, Inc. - Indianapolis</t>
  </si>
  <si>
    <t>8909 Rawles Avenue</t>
  </si>
  <si>
    <t>(317) 895-3670</t>
  </si>
  <si>
    <t>Tech-Max Machine, Inc.</t>
  </si>
  <si>
    <t>1170 West Ardmore Ave.</t>
  </si>
  <si>
    <t>Itasca, IL 60143</t>
  </si>
  <si>
    <t>Technaflow - Vancouver</t>
  </si>
  <si>
    <t>Vancouver,WA 98684</t>
  </si>
  <si>
    <t>Technical Machine Pr - Cleveland</t>
  </si>
  <si>
    <t>8259 Causeway Blvd., Suite B</t>
  </si>
  <si>
    <t>Techni-Cast Corp - South Gate</t>
  </si>
  <si>
    <t>Technip Offshore Mooring</t>
  </si>
  <si>
    <t>481 Degravelle Road</t>
  </si>
  <si>
    <t>Amelia,LA 70344</t>
  </si>
  <si>
    <t>Technoform - Mabank</t>
  </si>
  <si>
    <t>Mabank,TX 75147</t>
  </si>
  <si>
    <t>Technological Enterp - Montrose</t>
  </si>
  <si>
    <t>Techno-Mation - Carrollton</t>
  </si>
  <si>
    <t>Carrollton,TX 75006</t>
  </si>
  <si>
    <t>Techno-Mation, Inc. - Irving</t>
  </si>
  <si>
    <t>Irving,TX 75063</t>
  </si>
  <si>
    <t>Techno-Weld Inc. - Chicago</t>
  </si>
  <si>
    <t>Chicago,IL 60624</t>
  </si>
  <si>
    <t>Techservice Products - Lakeland</t>
  </si>
  <si>
    <t>Tecmosa - Loredo</t>
  </si>
  <si>
    <t>Loredo,TX 78040</t>
  </si>
  <si>
    <t>Teco - Tampa</t>
  </si>
  <si>
    <t>TECO Corporation</t>
  </si>
  <si>
    <t>4610 Femrite Drive</t>
  </si>
  <si>
    <t>Tecton Products - Fargo</t>
  </si>
  <si>
    <t>Fargo,ND 58108</t>
  </si>
  <si>
    <t>Tectonics, Inc. - Wytheville</t>
  </si>
  <si>
    <t>Tecumseh Products - Grafton</t>
  </si>
  <si>
    <t>Ted Lewis - Hickory</t>
  </si>
  <si>
    <t>TEI Engineered Products - Englewood</t>
  </si>
  <si>
    <t>6920 S. Jordan Rd. Suite C</t>
  </si>
  <si>
    <t>(800) 729-0262</t>
  </si>
  <si>
    <t>Tejas Hardwoods, Inc - Kountze</t>
  </si>
  <si>
    <t>Kountze,TX 77625</t>
  </si>
  <si>
    <t>Tejas Hydraulics, In - Longview</t>
  </si>
  <si>
    <t>Longview,TX 75602</t>
  </si>
  <si>
    <t>TEK Enterprises - Hartselle **CREDIT HOLD**</t>
  </si>
  <si>
    <t>2101 John D Long Dr SE</t>
  </si>
  <si>
    <t>(256) 773-1150</t>
  </si>
  <si>
    <t>(256) 773-1176</t>
  </si>
  <si>
    <t>****No Orders from this customer****</t>
  </si>
  <si>
    <t>Tek-Max - Tangent</t>
  </si>
  <si>
    <t>Tangent,OR 97389</t>
  </si>
  <si>
    <t>Tele Weld Inc - Streator</t>
  </si>
  <si>
    <t>Teledyne Advanced Ma - Madison</t>
  </si>
  <si>
    <t>Madison,AL 35756</t>
  </si>
  <si>
    <t>Teledyne Brown Engineering - Huntsville</t>
  </si>
  <si>
    <t>Huntsville,AL 35807</t>
  </si>
  <si>
    <t>Teledyne Cae - Toledo</t>
  </si>
  <si>
    <t>Teleweld Incorporate - Streator</t>
  </si>
  <si>
    <t>Tempe Industrial Sup - Tempe</t>
  </si>
  <si>
    <t>Tempe,AZ 85283</t>
  </si>
  <si>
    <t>Temple Inland - Diboll</t>
  </si>
  <si>
    <t>Lumber Supply House / 100 MLK Street</t>
  </si>
  <si>
    <t>Temple Inland - Fletcher</t>
  </si>
  <si>
    <t>Fletcher,OK 73541</t>
  </si>
  <si>
    <t>Temple Inland - Pineland</t>
  </si>
  <si>
    <t>Supply House   FM2426</t>
  </si>
  <si>
    <t>Pineland,TX 75968</t>
  </si>
  <si>
    <t>Temple Inland Forest - Buna</t>
  </si>
  <si>
    <t>Buna,TX 77612</t>
  </si>
  <si>
    <t>Temple Inland Inc - Lumber Supply House</t>
  </si>
  <si>
    <t>100 MLK Street</t>
  </si>
  <si>
    <t>Temple Inland Stores - Silsbee</t>
  </si>
  <si>
    <t>Silsbee,TX 77615</t>
  </si>
  <si>
    <t>Temple Inland, Inc. - Buna</t>
  </si>
  <si>
    <t>Temple-Inland - Austin</t>
  </si>
  <si>
    <t>Accts.Pay.  PO Box 2225</t>
  </si>
  <si>
    <t>Austin,TX 78768</t>
  </si>
  <si>
    <t>Temple-Inland - Dequincy</t>
  </si>
  <si>
    <t>Dequincy,LA 70663</t>
  </si>
  <si>
    <t>Temple-Inland, Inc.</t>
  </si>
  <si>
    <t>305 Mays Bridge Rd. SW</t>
  </si>
  <si>
    <t>706-232-4067</t>
  </si>
  <si>
    <t>Tencate Nicolon Corp</t>
  </si>
  <si>
    <t>20 S County Line Rd</t>
  </si>
  <si>
    <t>Andrews, SC 29510</t>
  </si>
  <si>
    <t>Fluid Power of the Carolinas Customer</t>
  </si>
  <si>
    <t>Tenneco - Greensboro</t>
  </si>
  <si>
    <t>Greensboro,NC 27410</t>
  </si>
  <si>
    <t>Tenneco Packaging - Omaha</t>
  </si>
  <si>
    <t>Tennessee Aluminum Processors, Inc.</t>
  </si>
  <si>
    <t>205 spurline Dr.</t>
  </si>
  <si>
    <t>Gasden,AL 256-494-1024</t>
  </si>
  <si>
    <t>256-494-1028</t>
  </si>
  <si>
    <t>Tennessee Eastman - Kingsport</t>
  </si>
  <si>
    <t>Kingsport,TN 37662</t>
  </si>
  <si>
    <t>Tennessee Enterprise - Chattanooga</t>
  </si>
  <si>
    <t>Tennessee Galvanizing - Jasper</t>
  </si>
  <si>
    <t>Jasper,TN 37347</t>
  </si>
  <si>
    <t>Tennessee Valley Press</t>
  </si>
  <si>
    <t>17 East Moulton St</t>
  </si>
  <si>
    <t>256-353-8991</t>
  </si>
  <si>
    <t>TENNSMITH</t>
  </si>
  <si>
    <t>6926 Smithville Hwy</t>
  </si>
  <si>
    <t>McMinnville,TN 37110-9251</t>
  </si>
  <si>
    <t>Tensar Corp - Morrow</t>
  </si>
  <si>
    <t>Teresa Weko - Virginia Beach</t>
  </si>
  <si>
    <t>Virginia Beach,VA 2346</t>
  </si>
  <si>
    <t>Terex Cranes - Waverly</t>
  </si>
  <si>
    <t>Terex/American Crane - Wilmington</t>
  </si>
  <si>
    <t>Wilmington,NC 28412</t>
  </si>
  <si>
    <t xml:space="preserve">Teris Hydraulics - </t>
  </si>
  <si>
    <t>, S7K 5X9</t>
  </si>
  <si>
    <t>Terre Hill Silo Co. - Terre Hill</t>
  </si>
  <si>
    <t>Terre Hill,PA 17581</t>
  </si>
  <si>
    <t>Tesco C/O - Deer Park</t>
  </si>
  <si>
    <t>Tesco Products - Calgary</t>
  </si>
  <si>
    <t>Calgary,AB T2C 3C9</t>
  </si>
  <si>
    <t>Tessy Plastics Corp - Elbridge</t>
  </si>
  <si>
    <t>Elbridge,NY 13060</t>
  </si>
  <si>
    <t>Tetra Chemicals - Westlake</t>
  </si>
  <si>
    <t>1100 PPG Drive</t>
  </si>
  <si>
    <t>Tetrahedron Associat - San Diego</t>
  </si>
  <si>
    <t>San Diego,CA 92111</t>
  </si>
  <si>
    <t>Tex Air Hydraulic</t>
  </si>
  <si>
    <t>251 South Eastman Rd</t>
  </si>
  <si>
    <t>903-757-8211</t>
  </si>
  <si>
    <t>903-757-8455</t>
  </si>
  <si>
    <t>Texadraulics - Burleson</t>
  </si>
  <si>
    <t>Burleson,TX 76028</t>
  </si>
  <si>
    <t>Tex-A-Draulics - Houston</t>
  </si>
  <si>
    <t>Tex-A-Draulics North - Ft. Worth</t>
  </si>
  <si>
    <t>1220 E. Felix
Suite 104</t>
  </si>
  <si>
    <t>Texas Air Hydraulic</t>
  </si>
  <si>
    <t>Texas Arai - Houston</t>
  </si>
  <si>
    <t>Texas Bearing Compan - Amarillo</t>
  </si>
  <si>
    <t>Amarillo,TX 79101</t>
  </si>
  <si>
    <t>Texas Foundry - Lufkin</t>
  </si>
  <si>
    <t>Lufkin,TX 75903</t>
  </si>
  <si>
    <t>Texas New Mexico Pow - Bremond</t>
  </si>
  <si>
    <t>Bremond,TX 76629</t>
  </si>
  <si>
    <t>Texfi Ind - Rocky Mount</t>
  </si>
  <si>
    <t>Textile Engineering - Humble</t>
  </si>
  <si>
    <t>Humble,TX 77338</t>
  </si>
  <si>
    <t>Textile Equipment - Greenville</t>
  </si>
  <si>
    <t>P.o. Box 40523</t>
  </si>
  <si>
    <t xml:space="preserve">Doha,Qatar </t>
  </si>
  <si>
    <t>0974-460-2298</t>
  </si>
  <si>
    <t>0974-460-2297</t>
  </si>
  <si>
    <t>Thaler Machine Compa - Dayton</t>
  </si>
  <si>
    <t>Dayton,OH 45408</t>
  </si>
  <si>
    <t>Thames Shipyard - New London</t>
  </si>
  <si>
    <t>New London,CT 0632</t>
  </si>
  <si>
    <t>Thatcher Chemical Co - Williamson</t>
  </si>
  <si>
    <t>Williamson,NY 14589</t>
  </si>
  <si>
    <t>The Andersons - Bowling Green</t>
  </si>
  <si>
    <t>The Boeing Co. - Chatsworth</t>
  </si>
  <si>
    <t>Chatsworth,CA 9131</t>
  </si>
  <si>
    <t>The Bowlin Company, - Shreveport</t>
  </si>
  <si>
    <t>The City of Tuscaloosa</t>
  </si>
  <si>
    <t>PO Box 2089</t>
  </si>
  <si>
    <t>The City of Tuscaloosa-DOT</t>
  </si>
  <si>
    <t>1000  28TH Avenue</t>
  </si>
  <si>
    <t>The Cutting Authorit - Chicago</t>
  </si>
  <si>
    <t>Chicago,IL 60643</t>
  </si>
  <si>
    <t>The Dial Corporation - Ft Madison</t>
  </si>
  <si>
    <t>Ft Madison,IA 52627</t>
  </si>
  <si>
    <t>The Est Co - Grafton</t>
  </si>
  <si>
    <t>The Garlic Company - Bakersfield</t>
  </si>
  <si>
    <t>Bakersfield,CA 93312</t>
  </si>
  <si>
    <t>The Hon Co. - Oak Steel</t>
  </si>
  <si>
    <t>815 East 4th</t>
  </si>
  <si>
    <t>The Knoll Group - East Greenville</t>
  </si>
  <si>
    <t>East Greenville,PA 1</t>
  </si>
  <si>
    <t>The Lantis Corporati - Salinas</t>
  </si>
  <si>
    <t>Salinas,CA 93901</t>
  </si>
  <si>
    <t>The Lundy Packing Co - Clinton</t>
  </si>
  <si>
    <t>Clinton,NC 28328</t>
  </si>
  <si>
    <t>The Machinery - Allons</t>
  </si>
  <si>
    <t>Allons,TN 38541</t>
  </si>
  <si>
    <t>The Macton Corp - Oxford</t>
  </si>
  <si>
    <t>Oxford,CT 06478</t>
  </si>
  <si>
    <t>The Maiman Co.</t>
  </si>
  <si>
    <t>3839 East Mustard Way</t>
  </si>
  <si>
    <t>Springfield,MO  65803</t>
  </si>
  <si>
    <t>The Marmac Co - Xenia</t>
  </si>
  <si>
    <t>Xenia,OH 45385</t>
  </si>
  <si>
    <t>The Mcgraw Group - Lenoir</t>
  </si>
  <si>
    <t>The Mine Supply Comp - Carlsbad</t>
  </si>
  <si>
    <t>Carlsbad,NM 88220</t>
  </si>
  <si>
    <t>The Pack Center - Duncan</t>
  </si>
  <si>
    <t>The Paquin Company</t>
  </si>
  <si>
    <t>26981 Lakeland Blvd</t>
  </si>
  <si>
    <t>Cleveland,OH 44132</t>
  </si>
  <si>
    <t>216-261-5700</t>
  </si>
  <si>
    <t>216-261-5705</t>
  </si>
  <si>
    <t>The Parts House - Galesburg</t>
  </si>
  <si>
    <t>Galesburg,IA 61401</t>
  </si>
  <si>
    <t>The Perryman Company - Houston</t>
  </si>
  <si>
    <t>Houston,PA 15342</t>
  </si>
  <si>
    <t>The Teaford Company, Inc.</t>
  </si>
  <si>
    <t>2000 McFarland /400 Blvd.</t>
  </si>
  <si>
    <t>Alpharetta, GA 30004</t>
  </si>
  <si>
    <t>770-475-5250</t>
  </si>
  <si>
    <t>770-475-7688</t>
  </si>
  <si>
    <t>PO Box 407</t>
  </si>
  <si>
    <t>Alpharetta, GA 30009</t>
  </si>
  <si>
    <t>770-475-0266</t>
  </si>
  <si>
    <t>The Torrington Co. - Honea Path</t>
  </si>
  <si>
    <t>Honea Path,SC 29654</t>
  </si>
  <si>
    <t>Theis Precision Stee - Bristo</t>
  </si>
  <si>
    <t>Bristo,CT 06010</t>
  </si>
  <si>
    <t>Thepitt/Crouse Hinde - Meadow Lands</t>
  </si>
  <si>
    <t>Therma Corp - San Jose</t>
  </si>
  <si>
    <t>Therma Form Plastics - West Jordan</t>
  </si>
  <si>
    <t>West Jordan,UT 84088</t>
  </si>
  <si>
    <t>Therma Tool - East Haven</t>
  </si>
  <si>
    <t>East Haven,CT 0651</t>
  </si>
  <si>
    <t>Therma Tron-X Inc - Strugeon Bay</t>
  </si>
  <si>
    <t>Strugeon Bay,WI 54235</t>
  </si>
  <si>
    <t>Thermafibre Llc - Tacoma</t>
  </si>
  <si>
    <t>Thermal Ceramics</t>
  </si>
  <si>
    <t>221 Weaaver St.</t>
  </si>
  <si>
    <t>620-343-2308</t>
  </si>
  <si>
    <t>620-343-3602</t>
  </si>
  <si>
    <t>Thermal Equipment - Torrance</t>
  </si>
  <si>
    <t>Torrance,CA 90501</t>
  </si>
  <si>
    <t>Thermal Ind - Murrysville</t>
  </si>
  <si>
    <t>Thermal Metal Treati - Aberdeen</t>
  </si>
  <si>
    <t>Thermal Systems - Canastota</t>
  </si>
  <si>
    <t>Canastota,NY 13032</t>
  </si>
  <si>
    <t>Thermal Widows</t>
  </si>
  <si>
    <t>12805 E. 31st Street</t>
  </si>
  <si>
    <t>Tulsa, OK. 74146</t>
  </si>
  <si>
    <t>Eagle Controls Customer</t>
  </si>
  <si>
    <t>Thermo Black Clauson - Middleton</t>
  </si>
  <si>
    <t>Middleton,OH 45042</t>
  </si>
  <si>
    <t>Thermo-Form Plastics - Mentor</t>
  </si>
  <si>
    <t>Theut Products, Inc. - Chesterfield</t>
  </si>
  <si>
    <t>Chesterfield,MI 48051</t>
  </si>
  <si>
    <t>Thiokol Corp. Space - Clearfield</t>
  </si>
  <si>
    <t>Clearfield,UT 84016</t>
  </si>
  <si>
    <t>Thomas Car Wash - Hollsopple</t>
  </si>
  <si>
    <t>Hollsopple,PA 1593</t>
  </si>
  <si>
    <t>Thomas Hill Energy C - Clifton Hill</t>
  </si>
  <si>
    <t>Clifton Hill,MO 65244</t>
  </si>
  <si>
    <t>Chico,CA 95926</t>
  </si>
  <si>
    <t>Thomas Proetz Lumber - Nashville</t>
  </si>
  <si>
    <t>Nashville,IL 62263</t>
  </si>
  <si>
    <t>6226 US Hwy 84</t>
  </si>
  <si>
    <t>Patterson,GA 31557</t>
  </si>
  <si>
    <t>(912) 647-1266</t>
  </si>
  <si>
    <t>(912) 647-1267</t>
  </si>
  <si>
    <t>Thomaston Mills, Inc - Thomaston</t>
  </si>
  <si>
    <t>Thomasville Furnitur - Lexington</t>
  </si>
  <si>
    <t>Thompson Creek Minin - Challis</t>
  </si>
  <si>
    <t>Challis,ID 83226</t>
  </si>
  <si>
    <t>Thompson Fisher, Inc</t>
  </si>
  <si>
    <t>50 County Road 357</t>
  </si>
  <si>
    <t>Florence, AL, 35633</t>
  </si>
  <si>
    <t>256-765-0236</t>
  </si>
  <si>
    <t>http://www.thompson-fisher.com</t>
  </si>
  <si>
    <t>Thompson Hardwoods, Inc. LT</t>
  </si>
  <si>
    <t>600 Baxley Highway</t>
  </si>
  <si>
    <t>Hazlehurst,GA 31539</t>
  </si>
  <si>
    <t>912-375-5516</t>
  </si>
  <si>
    <t>Thompson Industrial - Rancho Cucamonga</t>
  </si>
  <si>
    <t>Rancho Cucamonga,CA 9</t>
  </si>
  <si>
    <t>Thompson Machining - El Centro</t>
  </si>
  <si>
    <t>Thompson Metal Fab - Vancouver</t>
  </si>
  <si>
    <t>Vancouver,WA 98668</t>
  </si>
  <si>
    <t>Thomson Consumer Ele - Circleville</t>
  </si>
  <si>
    <t>Thoughtline Inc. Llc - Lenoir</t>
  </si>
  <si>
    <t>Thrall Dist. - Plymouth</t>
  </si>
  <si>
    <t>Thrall Distributing - Peoria</t>
  </si>
  <si>
    <t>Thrall Process Servi - Riverdale</t>
  </si>
  <si>
    <t>Riverdale,IA 52722</t>
  </si>
  <si>
    <t>Three Rivers Extrusi - Cranberry Township</t>
  </si>
  <si>
    <t>Cranberry Township,PA 1606</t>
  </si>
  <si>
    <t>Tht Presses Inc - Dayton</t>
  </si>
  <si>
    <t>7475 Webster St</t>
  </si>
  <si>
    <t>(937) 898-2012</t>
  </si>
  <si>
    <t>Thyssen - Selma</t>
  </si>
  <si>
    <t>Selma,NC 27576</t>
  </si>
  <si>
    <t>Thyssen Stearns Inc. - Ft. Worth</t>
  </si>
  <si>
    <t>Ft. Worth,TX 76111</t>
  </si>
  <si>
    <t>ThyssenKrupp Steel USA</t>
  </si>
  <si>
    <t>6450 Trippel Road</t>
  </si>
  <si>
    <t>Mobile, AL 36619</t>
  </si>
  <si>
    <t>251-289-3638</t>
  </si>
  <si>
    <t>TI Automotive</t>
  </si>
  <si>
    <t>1200 Baker DR/Tool Crib</t>
  </si>
  <si>
    <t>Ossian, IN 46777</t>
  </si>
  <si>
    <t>Sidener Engineering Customer</t>
  </si>
  <si>
    <t>Ticonderoga Mill</t>
  </si>
  <si>
    <t>568 Shore Airport Rd</t>
  </si>
  <si>
    <t>Ticonderoga, NY 12883</t>
  </si>
  <si>
    <t>Tidewater Marine - Kenner</t>
  </si>
  <si>
    <t>Tidril Corp - Sacramento</t>
  </si>
  <si>
    <t xml:space="preserve">Tiffany Gate Foods - </t>
  </si>
  <si>
    <t>, M9W 6H6</t>
  </si>
  <si>
    <t>Tiffin Casting Product - Tiffin</t>
  </si>
  <si>
    <t>Tifton Aluminum - Tifton</t>
  </si>
  <si>
    <t>Tifton,GA 31795</t>
  </si>
  <si>
    <t>Tiger Manufacturing - Lee's Summit</t>
  </si>
  <si>
    <t>100 S.W. Scherer Road</t>
  </si>
  <si>
    <t>Lee's Summit,MO 64082</t>
  </si>
  <si>
    <t>Tiger Racing - Covina</t>
  </si>
  <si>
    <t>Covina,CA 91722</t>
  </si>
  <si>
    <t>Tigertek - Eden</t>
  </si>
  <si>
    <t>Eden,NC 27288</t>
  </si>
  <si>
    <t>Tillamook Lumber - Tillamook</t>
  </si>
  <si>
    <t>Timber Design - Portland</t>
  </si>
  <si>
    <t>Timber Machine Techn - Tualatin</t>
  </si>
  <si>
    <t>Timber Product - Medford</t>
  </si>
  <si>
    <t>Timber Products Mich - Munising</t>
  </si>
  <si>
    <t>Munising,MI 48862</t>
  </si>
  <si>
    <t>Timberline Fluid Power LLC</t>
  </si>
  <si>
    <t>5829 West Sam Houston Parkway North, Suite 1106</t>
  </si>
  <si>
    <t>Houston, TX 77041</t>
  </si>
  <si>
    <t>281-299-5490</t>
  </si>
  <si>
    <t>713-983-0122</t>
  </si>
  <si>
    <t>Timberline Fluid Power, LLC</t>
  </si>
  <si>
    <t>12807 Capricorn Drive</t>
  </si>
  <si>
    <t>Stafford, TX 77477</t>
  </si>
  <si>
    <t>281-277-8020</t>
  </si>
  <si>
    <t>281-277-0280</t>
  </si>
  <si>
    <t>Timberman Inc. - Camak</t>
  </si>
  <si>
    <t>Camak,GA 30807</t>
  </si>
  <si>
    <t>Timken Co - Gaffney</t>
  </si>
  <si>
    <t>Timms Spring Co. - Elyria</t>
  </si>
  <si>
    <t>Tin Products Rec Office USS -Fairfield works</t>
  </si>
  <si>
    <t>5700 Valley Rd. TS-106-F</t>
  </si>
  <si>
    <t>Tingley Rubber - S.Plainfield</t>
  </si>
  <si>
    <t>S.Plainfield,NY 7080</t>
  </si>
  <si>
    <t>Tissco LLC</t>
  </si>
  <si>
    <t>321 Marianne Street</t>
  </si>
  <si>
    <t>Brooksville, FL 34601</t>
  </si>
  <si>
    <t>352-544-1081</t>
  </si>
  <si>
    <t>352-754-9645</t>
  </si>
  <si>
    <t>Titan Homes, Inc - Lilington</t>
  </si>
  <si>
    <t>Lilington,NC 27546</t>
  </si>
  <si>
    <t>Titan Ind - New London</t>
  </si>
  <si>
    <t>Titan Tire Corp - Des Moines</t>
  </si>
  <si>
    <t>Des Moines,IA 50306</t>
  </si>
  <si>
    <t>TITAN, INC.</t>
  </si>
  <si>
    <t>9900  Durand Avenue</t>
  </si>
  <si>
    <t>262-884-2890</t>
  </si>
  <si>
    <t>262-884-8070</t>
  </si>
  <si>
    <t>Titeflex Corp. - Springfield</t>
  </si>
  <si>
    <t>Springfield,MA 01139</t>
  </si>
  <si>
    <t>TJ Snow - Chattanooga</t>
  </si>
  <si>
    <t>6203-6207 Jim Snow Way P. O. Box 22847</t>
  </si>
  <si>
    <t>(423) 894-6234</t>
  </si>
  <si>
    <t>(423) 892-3889</t>
  </si>
  <si>
    <t>TK Stanley</t>
  </si>
  <si>
    <t>601-735-5934</t>
  </si>
  <si>
    <t>601-735-6376</t>
  </si>
  <si>
    <t>TK Stanley, Inc.</t>
  </si>
  <si>
    <t>6739 Hwy. 184 West</t>
  </si>
  <si>
    <t>Waynesboro, MS 39367</t>
  </si>
  <si>
    <t>601-735-2857</t>
  </si>
  <si>
    <t>Credit Card Shipments</t>
  </si>
  <si>
    <t>T-L Irrigation</t>
  </si>
  <si>
    <t>151 E. Hwy 6</t>
  </si>
  <si>
    <t>Hastings, NE 68901</t>
  </si>
  <si>
    <t>Applied Controls Equip's customer</t>
  </si>
  <si>
    <t>Tlc Polyform Inc - Phoenix</t>
  </si>
  <si>
    <t>3935 W Adams St</t>
  </si>
  <si>
    <t>(602) 269-8044</t>
  </si>
  <si>
    <t>Tlc Polyform Inc - Plymouth</t>
  </si>
  <si>
    <t>Plymouth,MN 55441</t>
  </si>
  <si>
    <t>TM Engineering Inc.</t>
  </si>
  <si>
    <t>6501 River Farm Dr.</t>
  </si>
  <si>
    <t>314-846-3801</t>
  </si>
  <si>
    <t>Tmt Pathway - Salem</t>
  </si>
  <si>
    <t>Salem,OR 97302</t>
  </si>
  <si>
    <t>Tnt Overland - Detroit</t>
  </si>
  <si>
    <t>Detroit,MI 48216</t>
  </si>
  <si>
    <t>Tnt Reddaway Termina - Anderson</t>
  </si>
  <si>
    <t>To Plastics - Clearwater</t>
  </si>
  <si>
    <t>Clearwater,MN 5532</t>
  </si>
  <si>
    <t>Tobyhanna Army Depot - Tobyhanna</t>
  </si>
  <si>
    <t>Tobyhanna,PA 18466</t>
  </si>
  <si>
    <t>Tolleson Lumber Co - Perry</t>
  </si>
  <si>
    <t>Tomahawk MFG</t>
  </si>
  <si>
    <t>4716 S. Taylor Dr</t>
  </si>
  <si>
    <t>TOMCO2 Equipment Company - Loganville</t>
  </si>
  <si>
    <t>3340 Rosebud Road</t>
  </si>
  <si>
    <t>Loganville,GA 30052</t>
  </si>
  <si>
    <t>(800) 979-9791</t>
  </si>
  <si>
    <t>(770) 978-5861</t>
  </si>
  <si>
    <t>Parker Account</t>
  </si>
  <si>
    <t>Tomkins Ind - Indianapolis</t>
  </si>
  <si>
    <t>Tomtec - Hamden</t>
  </si>
  <si>
    <t>Tone Brothers, Inc. - Ankeny</t>
  </si>
  <si>
    <t>2301 S.E. Tone'S Drive</t>
  </si>
  <si>
    <t>Ankeny,IA 50021</t>
  </si>
  <si>
    <t>Toney Lumber Company - Louisburg</t>
  </si>
  <si>
    <t>Tongue River Reservo - Decker</t>
  </si>
  <si>
    <t>Decker,MT 590</t>
  </si>
  <si>
    <t>Tonys Pizza - Salina</t>
  </si>
  <si>
    <t>Tooele Army Depot - Tooele</t>
  </si>
  <si>
    <t>Tool Masters - Tuscumbia</t>
  </si>
  <si>
    <t>2305 Missouri Street</t>
  </si>
  <si>
    <t>(256) 383-3600</t>
  </si>
  <si>
    <t>(256) 383-5225</t>
  </si>
  <si>
    <t>Toomey Associates In - Westfield</t>
  </si>
  <si>
    <t>Westfield,MA 01086</t>
  </si>
  <si>
    <t>Tootsie Roll Ind - Chicago</t>
  </si>
  <si>
    <t>Torrington Co., The - Honea Path</t>
  </si>
  <si>
    <t xml:space="preserve">Honea Path, </t>
  </si>
  <si>
    <t>Torrington Metal Pro - Torrington</t>
  </si>
  <si>
    <t>Total Hose - Huntsville</t>
  </si>
  <si>
    <t>4612 Commercial Dr NW</t>
  </si>
  <si>
    <t>Huntsville, AL 35816-2202</t>
  </si>
  <si>
    <t>256-382-2712</t>
  </si>
  <si>
    <t>TOTAL MAINTENANCE CENTER</t>
  </si>
  <si>
    <t>315 JERRY DAVID DRIVE</t>
  </si>
  <si>
    <t>MUSCLE SHOALS, AL 35661</t>
  </si>
  <si>
    <t>256-386-6066</t>
  </si>
  <si>
    <t>256-386-6764</t>
  </si>
  <si>
    <t>TOTAL MFG CO., INC</t>
  </si>
  <si>
    <t>7777 ST. CLAIR AVE</t>
  </si>
  <si>
    <t>MENTOR, OH 44060</t>
  </si>
  <si>
    <t>Tower Automotive - Traverse City</t>
  </si>
  <si>
    <t>Townley Manufactruing Acct</t>
  </si>
  <si>
    <t>PO Box 221</t>
  </si>
  <si>
    <t>Candler,FL 32111</t>
  </si>
  <si>
    <t>800-342-9920</t>
  </si>
  <si>
    <t>352-687-1862</t>
  </si>
  <si>
    <t>50% Discount on Cylinders / VA's are special pricing</t>
  </si>
  <si>
    <t>Townley Manufacturing</t>
  </si>
  <si>
    <t>10551 SE  110th Street Road</t>
  </si>
  <si>
    <t>Townley Manufacturing - Eldorado</t>
  </si>
  <si>
    <t>607 Sutton Rd</t>
  </si>
  <si>
    <t>Eldorado, IL 62930</t>
  </si>
  <si>
    <t>Tpi Powder Metallurg - St. Charles</t>
  </si>
  <si>
    <t>St. Charles,MI 48655</t>
  </si>
  <si>
    <t>Tps Inc - Beaverton</t>
  </si>
  <si>
    <t>3818 Terry Diane Dr</t>
  </si>
  <si>
    <t>(517) 435-3803</t>
  </si>
  <si>
    <t>Tpsco Tubelers - Camanche</t>
  </si>
  <si>
    <t>Tr Miller - Brewton</t>
  </si>
  <si>
    <t>Trackmobile - La Grange</t>
  </si>
  <si>
    <t>Traco Commercial Pla - Cranberry Township</t>
  </si>
  <si>
    <t>Traco Residential Pl - Red Oak</t>
  </si>
  <si>
    <t>Red Oak,IA 51566</t>
  </si>
  <si>
    <t>Tradewinds Of Va - Bumpass</t>
  </si>
  <si>
    <t>Bumpass,VA 23024</t>
  </si>
  <si>
    <t>Traffic Safety Syste - Fargo</t>
  </si>
  <si>
    <t>Fargo,ND 58102</t>
  </si>
  <si>
    <t>Tramco Inc</t>
  </si>
  <si>
    <t>1020  East 19th Street</t>
  </si>
  <si>
    <t>Wichita,KS 67214</t>
  </si>
  <si>
    <t>Trane  -  Tyler</t>
  </si>
  <si>
    <t>6200 Troup HWY</t>
  </si>
  <si>
    <t>Tyler,TX 75707</t>
  </si>
  <si>
    <t>903-581-3047</t>
  </si>
  <si>
    <t>Trane AirConditioning</t>
  </si>
  <si>
    <t>803-714-2800</t>
  </si>
  <si>
    <t>Trane Company - Pueblo</t>
  </si>
  <si>
    <t>Transco Industrial C - Miami</t>
  </si>
  <si>
    <t>Trans-Cycle Ind Inc</t>
  </si>
  <si>
    <t>101 Parkway East</t>
  </si>
  <si>
    <t>205-338-9997</t>
  </si>
  <si>
    <t>205-338-9979</t>
  </si>
  <si>
    <t>TransducersDirect.Com - Cincinnati</t>
  </si>
  <si>
    <t>1120 Cottonwood Dr.</t>
  </si>
  <si>
    <t>Cincinnati,Oh 45140</t>
  </si>
  <si>
    <t>(513) 583-9491</t>
  </si>
  <si>
    <t>(513) 583-9476</t>
  </si>
  <si>
    <t>Trans-Matic - Tempe</t>
  </si>
  <si>
    <t>Transmatic Manufactu - Holland</t>
  </si>
  <si>
    <t>Transmission Product - Winchester</t>
  </si>
  <si>
    <t>Winchester,VA 22603</t>
  </si>
  <si>
    <t>Transocean Offshore Deepwater - Inspiration</t>
  </si>
  <si>
    <t>926 Degravelle Rd</t>
  </si>
  <si>
    <t>Trask River Lumber C - Tillamook</t>
  </si>
  <si>
    <t>Trathen Logging Co - Piffard</t>
  </si>
  <si>
    <t>Piffard,NY 14533</t>
  </si>
  <si>
    <t>Trausch Dynamics</t>
  </si>
  <si>
    <t>308-382-0262</t>
  </si>
  <si>
    <t>308-382-0253</t>
  </si>
  <si>
    <t>Formally Applied Controls Equipment Co., Inc.</t>
  </si>
  <si>
    <t>Traverse Precision - Williamsburg</t>
  </si>
  <si>
    <t>Williamsburg,MI 49690</t>
  </si>
  <si>
    <t>Travis Lumber Company</t>
  </si>
  <si>
    <t>Hwy. 71 South</t>
  </si>
  <si>
    <t>Mansfield,AR 72944</t>
  </si>
  <si>
    <t>TRC Hydraulics - Dartmouth</t>
  </si>
  <si>
    <t>7 Mosher</t>
  </si>
  <si>
    <t>Dartmouth,NS B3B 1L8</t>
  </si>
  <si>
    <t>(902) 468-4605</t>
  </si>
  <si>
    <t>(902) 468-7604</t>
  </si>
  <si>
    <t>TRC Hydraulics - Mount Pearl</t>
  </si>
  <si>
    <t>84 Glencoe Drive</t>
  </si>
  <si>
    <t>Mount Pearl,NF A1N 2C1</t>
  </si>
  <si>
    <t>(709) 364-9670</t>
  </si>
  <si>
    <t>(709) 364-1084</t>
  </si>
  <si>
    <t>TRC Hydraulics Inc - Dieppe</t>
  </si>
  <si>
    <t>855 Champlain St</t>
  </si>
  <si>
    <t>Dieppe,NB E1A 1P6</t>
  </si>
  <si>
    <t>(506) 853-1986</t>
  </si>
  <si>
    <t>(506) 859-6152</t>
  </si>
  <si>
    <t>Treffers Precision Inc - Phoenix</t>
  </si>
  <si>
    <t>Trelleborg, Ysh Inc. - Sandusky</t>
  </si>
  <si>
    <t>Sandusky,MI 48471</t>
  </si>
  <si>
    <t>Trend Tool Inc</t>
  </si>
  <si>
    <t>32850 Capitol Drive</t>
  </si>
  <si>
    <t>734-421-3337</t>
  </si>
  <si>
    <t>734-421-9203</t>
  </si>
  <si>
    <t>Trenwyth Ind - Emigsville</t>
  </si>
  <si>
    <t>Emigsville,PA 1731</t>
  </si>
  <si>
    <t>Tri Country Logging - Clinton</t>
  </si>
  <si>
    <t>Tri Sales Associates - Omaha</t>
  </si>
  <si>
    <t>Tri State Hydraulics</t>
  </si>
  <si>
    <t>3158 Hwy 20 West  Building 4</t>
  </si>
  <si>
    <t>256-303-4915</t>
  </si>
  <si>
    <t>Tri State Hydraulics - Bill To</t>
  </si>
  <si>
    <t>1250 McKean Ave</t>
  </si>
  <si>
    <t>Charleroi, PA 15022</t>
  </si>
  <si>
    <t>Triad Fluid Power - Englewood</t>
  </si>
  <si>
    <t>Englewood,OH 45322</t>
  </si>
  <si>
    <t>Tri-C Mechanical Des - Akron</t>
  </si>
  <si>
    <t>Akron,OH 44319</t>
  </si>
  <si>
    <t>Tri-City Fluid Power - Kitchener</t>
  </si>
  <si>
    <t>Tri-City Hydraulics - Blountville</t>
  </si>
  <si>
    <t>128 Hwy 75</t>
  </si>
  <si>
    <t>Blountville,TN 37617</t>
  </si>
  <si>
    <t>TriContinent Scientific, Inc.</t>
  </si>
  <si>
    <t>12555 Loma Rica Drive</t>
  </si>
  <si>
    <t>Grass Valley, CA 95959</t>
  </si>
  <si>
    <t>530-273-3354</t>
  </si>
  <si>
    <t>530-273-1195</t>
  </si>
  <si>
    <t>Tri-County Dairy - Barneveld</t>
  </si>
  <si>
    <t>Barneveld,WI 53507</t>
  </si>
  <si>
    <t>Trident Seafood - Seattle</t>
  </si>
  <si>
    <t>Triline Inc. - E. Syracuse</t>
  </si>
  <si>
    <t>E. Syracuse,NY 13057</t>
  </si>
  <si>
    <t>Trimax - Boulder</t>
  </si>
  <si>
    <t>Boulder,CO 80303</t>
  </si>
  <si>
    <t>Tri-M-Mold - Stevensville</t>
  </si>
  <si>
    <t>Trinity Ind - Denton</t>
  </si>
  <si>
    <t>Denton,TX 76201</t>
  </si>
  <si>
    <t>Trinity Ind - Fort Worth</t>
  </si>
  <si>
    <t>Fort Worth,TX 76106</t>
  </si>
  <si>
    <t>Trinity Ind - Greenville</t>
  </si>
  <si>
    <t>Greenville,PA 16125</t>
  </si>
  <si>
    <t>Trinity Ind - Tulsa</t>
  </si>
  <si>
    <t>Tulsa,OK 74120</t>
  </si>
  <si>
    <t>Trinity Marine Products - Orange</t>
  </si>
  <si>
    <t>Trinity Packaging - Lewistown</t>
  </si>
  <si>
    <t>Lewistown,PA 17044</t>
  </si>
  <si>
    <t>Trinity Rail - Springfield</t>
  </si>
  <si>
    <t>Trinity Railcar - Beaumont</t>
  </si>
  <si>
    <t>Trinity River Lumber - Weaverville</t>
  </si>
  <si>
    <t>Weaverville,CA 960</t>
  </si>
  <si>
    <t>Trinity Trailer Mfg. - Boise</t>
  </si>
  <si>
    <t>Boise,ID 83716</t>
  </si>
  <si>
    <t>Tri-Pak, Inc. - Harlingen</t>
  </si>
  <si>
    <t>Harlingen,TX 78551</t>
  </si>
  <si>
    <t>Tripco - Orofino</t>
  </si>
  <si>
    <t>Orofino,ID 83544</t>
  </si>
  <si>
    <t>Triple "T" Stud - Cascadia</t>
  </si>
  <si>
    <t>Cascadia,OR 97329</t>
  </si>
  <si>
    <t>Triple S Corp. - Beckley</t>
  </si>
  <si>
    <t>Triple T Studs - Sweet Home</t>
  </si>
  <si>
    <t>Sweet Home,OR 97386</t>
  </si>
  <si>
    <t>TRIPLEX</t>
  </si>
  <si>
    <t>1119 CALHOUN ST.</t>
  </si>
  <si>
    <t>LITTLE ROCK, AR 72202</t>
  </si>
  <si>
    <t>501-376-3623</t>
  </si>
  <si>
    <t>TRIS USA</t>
  </si>
  <si>
    <t>1803 Wilkinson St</t>
  </si>
  <si>
    <t>Athens, AL , 35611</t>
  </si>
  <si>
    <t>256-233-2511</t>
  </si>
  <si>
    <t>256-233-2556</t>
  </si>
  <si>
    <t>Rex Freeman Maintenance Mgr ext45  25% off</t>
  </si>
  <si>
    <t>Tri-State Hydraulics - Elk Grove Village</t>
  </si>
  <si>
    <t>135 Martin Lane</t>
  </si>
  <si>
    <t>(847) 439-8987</t>
  </si>
  <si>
    <t>(847) 439-7829</t>
  </si>
  <si>
    <t>Tri-Tec - Darien</t>
  </si>
  <si>
    <t>Darien,WI 53114</t>
  </si>
  <si>
    <t>Triton Ind - Newport News</t>
  </si>
  <si>
    <t>Triumph Twist Drill - Rhinelander</t>
  </si>
  <si>
    <t>Trola-Dyne - York</t>
  </si>
  <si>
    <t>R D 24,</t>
  </si>
  <si>
    <t>York,PA 17406</t>
  </si>
  <si>
    <t>(717) 840-1770</t>
  </si>
  <si>
    <t>Trol-Mation, Inc.</t>
  </si>
  <si>
    <t>Syracuse, NY 13206</t>
  </si>
  <si>
    <t>315-437-4100</t>
  </si>
  <si>
    <t>315-463-8716</t>
  </si>
  <si>
    <t>Tropicana Products - Bradenton</t>
  </si>
  <si>
    <t>Bradenton,FL 33508</t>
  </si>
  <si>
    <t>Troy Lumber Co. - Troy</t>
  </si>
  <si>
    <t>110 Leslie Street</t>
  </si>
  <si>
    <t>Troy,NC 27371</t>
  </si>
  <si>
    <t>(910) 572-2591</t>
  </si>
  <si>
    <t>(910) 572-9231</t>
  </si>
  <si>
    <t>Trucker's Warehouse - Decatur</t>
  </si>
  <si>
    <t>748 Highway 67 S</t>
  </si>
  <si>
    <t>(256) 355-1622</t>
  </si>
  <si>
    <t>True Line</t>
  </si>
  <si>
    <t>3510 Central Parkway SW</t>
  </si>
  <si>
    <t>256-350-1002</t>
  </si>
  <si>
    <t>256-350-3315</t>
  </si>
  <si>
    <t>True Manufacturing - O'Fallon</t>
  </si>
  <si>
    <t>O'Fallon,MO 63366</t>
  </si>
  <si>
    <t>True Temper Sports,Inc.</t>
  </si>
  <si>
    <t>(662) 256-5605</t>
  </si>
  <si>
    <t>Truflex Rubber Produ - Los Angeles</t>
  </si>
  <si>
    <t>Los Angeles,CA 90050</t>
  </si>
  <si>
    <t>Tru-Form - Wilkes Barre</t>
  </si>
  <si>
    <t>Wilkes Barre,PA 18702</t>
  </si>
  <si>
    <t>Trumpf-America Inc. - Farmington</t>
  </si>
  <si>
    <t>Trus Joist - Natchitoches</t>
  </si>
  <si>
    <t>Natchitoches,LA 7145</t>
  </si>
  <si>
    <t>Trus Joist Corp - Valdosta</t>
  </si>
  <si>
    <t>Trus Joist Macmillan - Deerwood</t>
  </si>
  <si>
    <t>Deerwood,MN 56444</t>
  </si>
  <si>
    <t>Trus Joist Macmillian - Buckhannon</t>
  </si>
  <si>
    <t>Buckhannon,WV 26201</t>
  </si>
  <si>
    <t>Trus-Joist Corp. - Castleberry</t>
  </si>
  <si>
    <t>Castleberry,AL 3643</t>
  </si>
  <si>
    <t>Trus-Joist Mcmillan - Colbert</t>
  </si>
  <si>
    <t>Truth Hardware - West Hazleton</t>
  </si>
  <si>
    <t>West Hazleton,PA 1820</t>
  </si>
  <si>
    <t>TSM Enhanced</t>
  </si>
  <si>
    <t>4902 N. Maryvale Ave.</t>
  </si>
  <si>
    <t>Tucson, AZ 85705</t>
  </si>
  <si>
    <t>520-971-6725</t>
  </si>
  <si>
    <t>*CREDIT CARD</t>
  </si>
  <si>
    <t>Tube Forgings Of Ame - Portland</t>
  </si>
  <si>
    <t>Tube Products - Troy</t>
  </si>
  <si>
    <t>Troy,OH 45373</t>
  </si>
  <si>
    <t>Tube Products Corp. - Vandalia</t>
  </si>
  <si>
    <t>Vandalia,OH 45377</t>
  </si>
  <si>
    <t xml:space="preserve">Tubetech - Hamilton - </t>
  </si>
  <si>
    <t>, L8E 3R9</t>
  </si>
  <si>
    <t>TUCKER MANUFACTURING</t>
  </si>
  <si>
    <t>117 GOLF COURSE RD</t>
  </si>
  <si>
    <t>Tucker Snow Cat - Medford</t>
  </si>
  <si>
    <t>Tucson Electric Power - Springerville</t>
  </si>
  <si>
    <t>Springerville,AZ 859</t>
  </si>
  <si>
    <t>Tuftco Corporation - Chattanooga</t>
  </si>
  <si>
    <t>Tuftco Finishing Sys - Dalton</t>
  </si>
  <si>
    <t>100 West Industrial Blvd</t>
  </si>
  <si>
    <t>Tulsack</t>
  </si>
  <si>
    <t>5400 S. Garnett Rd</t>
  </si>
  <si>
    <t>Tulsa,OK   74146</t>
  </si>
  <si>
    <t>Turbine Conversions - Nunica</t>
  </si>
  <si>
    <t>Turbomachinery Indus - Deer Park</t>
  </si>
  <si>
    <t>Turbomotive Inc - Hamden</t>
  </si>
  <si>
    <t>Hamden,CT 06517</t>
  </si>
  <si>
    <t>Turlington Lumber - Clinton</t>
  </si>
  <si>
    <t>Turn Bull Lumber Co. - Elizabethtown</t>
  </si>
  <si>
    <t>Elizabethtown,NC 283</t>
  </si>
  <si>
    <t>Turncraft Architectu - White City</t>
  </si>
  <si>
    <t>White City,OR 9750</t>
  </si>
  <si>
    <t>Turner Eng - Portland</t>
  </si>
  <si>
    <t>Lakewinola,PA 18625</t>
  </si>
  <si>
    <t>Turtle And Hughs - Evans</t>
  </si>
  <si>
    <t>Evans,GA 30809</t>
  </si>
  <si>
    <t xml:space="preserve">Tuscaloosa Steel Corp - </t>
  </si>
  <si>
    <t>Tuscon Hydraulics - Tucson</t>
  </si>
  <si>
    <t>3502 East Golf Links Road</t>
  </si>
  <si>
    <t>(520) 322-8980</t>
  </si>
  <si>
    <t>(520) 322-8974</t>
  </si>
  <si>
    <t>Twin City Die Casting - Minneapolis</t>
  </si>
  <si>
    <t>Twin City Die Casting - Watertown</t>
  </si>
  <si>
    <t>Twin City Monrail - Hamel</t>
  </si>
  <si>
    <t xml:space="preserve">Hamel,MN </t>
  </si>
  <si>
    <t>Twin Disc - Racine</t>
  </si>
  <si>
    <t>4600 21St Street</t>
  </si>
  <si>
    <t>Racine,WI 53405</t>
  </si>
  <si>
    <t>(262) 638-4000</t>
  </si>
  <si>
    <t>(262) 638-4480</t>
  </si>
  <si>
    <t>Twin Power Inc. - Wichita</t>
  </si>
  <si>
    <t>414 North Rock Island</t>
  </si>
  <si>
    <t>Wichita,KS 67201</t>
  </si>
  <si>
    <t>(800) 362-2422</t>
  </si>
  <si>
    <t>(316) 263-8100</t>
  </si>
  <si>
    <t>Twin Traffic Marking - Kansas City</t>
  </si>
  <si>
    <t>Kansas City,MO 64150</t>
  </si>
  <si>
    <t>TXI Oklahoma Stone</t>
  </si>
  <si>
    <t>3 Miles South Hwy 1</t>
  </si>
  <si>
    <t>Mill Creek, OK 74856</t>
  </si>
  <si>
    <t>IBT - Oklahoma City's Customer</t>
  </si>
  <si>
    <t>Tyco Electronics/Ray - Fuquay Varina</t>
  </si>
  <si>
    <t>Fuquay Varina,NC 2752</t>
  </si>
  <si>
    <t>Tyler Pipe Industrie - Macungie</t>
  </si>
  <si>
    <t>Macungie,PA 18062</t>
  </si>
  <si>
    <t>Typson's Mexican Ori - Sanford</t>
  </si>
  <si>
    <t>Tyson Food - Monroe</t>
  </si>
  <si>
    <t>Monroe,NC 28112</t>
  </si>
  <si>
    <t>TYSON FOODS CULLMAN BLEND</t>
  </si>
  <si>
    <t>2011 OLD HANCEVILLE HWY</t>
  </si>
  <si>
    <t>CULLMAN, AL 35055-5484</t>
  </si>
  <si>
    <t>U G N Inc. - Valparaiso</t>
  </si>
  <si>
    <t>U S Alliance Cooda P - Coosa Pines</t>
  </si>
  <si>
    <t>Coosa Pines,AL 35405</t>
  </si>
  <si>
    <t>U S Alliance Coosa P - Westover</t>
  </si>
  <si>
    <t>Westover,AL 35185</t>
  </si>
  <si>
    <t>U S G Interiors Inc - Walworth</t>
  </si>
  <si>
    <t>Walworth,WI 53184</t>
  </si>
  <si>
    <t>U S Gypsum Co - Sperry</t>
  </si>
  <si>
    <t>Sperry,IA 52650</t>
  </si>
  <si>
    <t>U S Steel Corp - Fairfield</t>
  </si>
  <si>
    <t>U S Steel Corp - Gary</t>
  </si>
  <si>
    <t xml:space="preserve">Gary,IN </t>
  </si>
  <si>
    <t>U.E.I.</t>
  </si>
  <si>
    <t>2771 West River Dr.</t>
  </si>
  <si>
    <t>U.S. Alliance Coosa - Westover</t>
  </si>
  <si>
    <t>U.S. Army Corps of Engineers, Monroe Navigation Project Office</t>
  </si>
  <si>
    <t>3505 South Grand St.</t>
  </si>
  <si>
    <t>Monroe, LA 71202</t>
  </si>
  <si>
    <t>U.S. Bearing - Missoula</t>
  </si>
  <si>
    <t>Missoula,MT 59801</t>
  </si>
  <si>
    <t>Goshen,CA 93227</t>
  </si>
  <si>
    <t>Vancouver,WA 98663</t>
  </si>
  <si>
    <t>U.S. BUREAU OF RECLAMATION</t>
  </si>
  <si>
    <t>7794 FOLSOM DAM RD</t>
  </si>
  <si>
    <t>FOLSOM, CA 95630</t>
  </si>
  <si>
    <t>916-989-7240</t>
  </si>
  <si>
    <t>U.S. Concepts, Inc. - Streamwood</t>
  </si>
  <si>
    <t>Streamwood,IL 60107</t>
  </si>
  <si>
    <t>U.S. Conveyor Techno - Mackinaw</t>
  </si>
  <si>
    <t>U.S. Forest Ind, In - White City</t>
  </si>
  <si>
    <t>U.S. Fusion Services - Gonzales</t>
  </si>
  <si>
    <t>Gonzales,LA 70737</t>
  </si>
  <si>
    <t>U.S. Gypsum Paper Co - Oakfield</t>
  </si>
  <si>
    <t>Oakfield,NY 14125</t>
  </si>
  <si>
    <t>U.S. Hydraulics - Manchester</t>
  </si>
  <si>
    <t>Manchester,NH 03103</t>
  </si>
  <si>
    <t>U.S. Metal Works - Sandy</t>
  </si>
  <si>
    <t>Sandy,OR 97055</t>
  </si>
  <si>
    <t>U.S. Steel Corp. - Fairfield</t>
  </si>
  <si>
    <t>U.S. Tobacco Company - Nashville</t>
  </si>
  <si>
    <t>U.S.Army Corp Of Eng - Selma</t>
  </si>
  <si>
    <t>Selma,AL 36701</t>
  </si>
  <si>
    <t>UBE MACHINERY INC</t>
  </si>
  <si>
    <t>5700 S. State Street</t>
  </si>
  <si>
    <t>734-741-7000</t>
  </si>
  <si>
    <t>734-741-7017</t>
  </si>
  <si>
    <t>Ucla Engineering Rec - Los Angeles</t>
  </si>
  <si>
    <t>Los Angeles,CA 90024</t>
  </si>
  <si>
    <t>U-Cut Enterprises - Jamesville</t>
  </si>
  <si>
    <t>Dubuqu,IA 52001</t>
  </si>
  <si>
    <t>Ultimate Engineering - Monument</t>
  </si>
  <si>
    <t>Monument,CO 80132</t>
  </si>
  <si>
    <t>Ultra Pac - Rogers</t>
  </si>
  <si>
    <t>Unarco - Springfield</t>
  </si>
  <si>
    <t>Underground Service - Price</t>
  </si>
  <si>
    <t>Uniek - Waunakee</t>
  </si>
  <si>
    <t>805 Uniek Drive</t>
  </si>
  <si>
    <t>(608) 849-9999</t>
  </si>
  <si>
    <t>(608) 849-9799</t>
  </si>
  <si>
    <t>Unified Western Groc - Los Angeles</t>
  </si>
  <si>
    <t>Los Angeles,CA 90011</t>
  </si>
  <si>
    <t>Unified Wire And Cab - Dekalb</t>
  </si>
  <si>
    <t>Dekalb,IL 60115</t>
  </si>
  <si>
    <t>Unifirst Corp - New Kensington</t>
  </si>
  <si>
    <t>New Kensington,PA 1</t>
  </si>
  <si>
    <t>Uniform Tubes Inc. - Trappe</t>
  </si>
  <si>
    <t>Trappe,PA 19426</t>
  </si>
  <si>
    <t>Unifrax Corp. - New Carlisle</t>
  </si>
  <si>
    <t>New Carlisle,IN 4655</t>
  </si>
  <si>
    <t>Unimast Inc - Boonton</t>
  </si>
  <si>
    <t>Boonton,NJ 07005</t>
  </si>
  <si>
    <t>Unimex Brokerage Inc - El Paso</t>
  </si>
  <si>
    <t>El Paso,TX 79907</t>
  </si>
  <si>
    <t>Union Camp - Opelika</t>
  </si>
  <si>
    <t>Opelika,AL 36801</t>
  </si>
  <si>
    <t>Union Camp Corp - Richmand</t>
  </si>
  <si>
    <t>Richmand,VA 23224</t>
  </si>
  <si>
    <t>Union Camp Corp. - Franklin</t>
  </si>
  <si>
    <t>Franklin,VA 23851</t>
  </si>
  <si>
    <t>Union Camp, Inc. - Morristown</t>
  </si>
  <si>
    <t>Union Carbide Corp - Alsip</t>
  </si>
  <si>
    <t>12840 S Pulaski Rd</t>
  </si>
  <si>
    <t>(708) 396-3000</t>
  </si>
  <si>
    <t>Union Carbide Corp - Institute</t>
  </si>
  <si>
    <t>Route 25</t>
  </si>
  <si>
    <t>Institute,WV 25112</t>
  </si>
  <si>
    <t>(304) 747-7000</t>
  </si>
  <si>
    <t>Union Electric Steel - Valparaiso</t>
  </si>
  <si>
    <t>Union Iron Works - Decatur</t>
  </si>
  <si>
    <t>Decatur,IL 6</t>
  </si>
  <si>
    <t>Union Pacific Railro - Pocatello</t>
  </si>
  <si>
    <t>Pocatello,ID 83201</t>
  </si>
  <si>
    <t>Unique Ind - Calera</t>
  </si>
  <si>
    <t>Uniroyal Chemical Co - Geismar</t>
  </si>
  <si>
    <t>Uniroyal Goodrich Tire Co - Tuscaloosa</t>
  </si>
  <si>
    <t>5101 21St St</t>
  </si>
  <si>
    <t>(205) 391-6200</t>
  </si>
  <si>
    <t>Uniroyal Goodrich Tire Co Inc - Scottsville</t>
  </si>
  <si>
    <t>800 Bird St</t>
  </si>
  <si>
    <t>Scottsville,VA 24590</t>
  </si>
  <si>
    <t>(804) 286-2011</t>
  </si>
  <si>
    <t>United Automation, Inc.</t>
  </si>
  <si>
    <t>1491 n.Kealy, Suite 4</t>
  </si>
  <si>
    <t>Lewisville,TX 75067</t>
  </si>
  <si>
    <t>972-420-1123</t>
  </si>
  <si>
    <t>972-420-1103</t>
  </si>
  <si>
    <t>United Carving - Hickory</t>
  </si>
  <si>
    <t>United Concrete Prod - Beltsville</t>
  </si>
  <si>
    <t>Beltsville,MD 2070</t>
  </si>
  <si>
    <t>United Container Mac - Glen Arm</t>
  </si>
  <si>
    <t>Glen Arm,MD 21057</t>
  </si>
  <si>
    <t xml:space="preserve">United Defense - </t>
  </si>
  <si>
    <t xml:space="preserve">,VA </t>
  </si>
  <si>
    <t>(703) 441-0443</t>
  </si>
  <si>
    <t>(703) 441-0524</t>
  </si>
  <si>
    <t>United Defense - Santa Clara</t>
  </si>
  <si>
    <t>United Defense L.P. - Fremont</t>
  </si>
  <si>
    <t>Fremont,CA 94538</t>
  </si>
  <si>
    <t>United Equipment Acc - Waverly</t>
  </si>
  <si>
    <t>1700 Livingstone road</t>
  </si>
  <si>
    <t>Hudson,WI 54016</t>
  </si>
  <si>
    <t>United Industrial Pi - Cincinnati</t>
  </si>
  <si>
    <t xml:space="preserve">United Launch Alliance </t>
  </si>
  <si>
    <t>3401 Hwy 20 West Warehouse O</t>
  </si>
  <si>
    <t>256-432-1340</t>
  </si>
  <si>
    <t>United Mcgill - Bennington</t>
  </si>
  <si>
    <t>Bennington,VT 6201</t>
  </si>
  <si>
    <t>United Refining Comp - Warren</t>
  </si>
  <si>
    <t>Warren,PA 16365</t>
  </si>
  <si>
    <t>United States Gypsum - Jacksonville</t>
  </si>
  <si>
    <t xml:space="preserve">Jacksonville, </t>
  </si>
  <si>
    <t>United Tech - Iowa City</t>
  </si>
  <si>
    <t>Iowa City,IA 52240</t>
  </si>
  <si>
    <t>United Tech Research - East Hartford</t>
  </si>
  <si>
    <t>East Hartford,CT 06</t>
  </si>
  <si>
    <t>Universal Alloy - Canton</t>
  </si>
  <si>
    <t>Canton,GA 30114</t>
  </si>
  <si>
    <t>Universal Alloy Corp - Anaheim</t>
  </si>
  <si>
    <t>Anaheim,CA 92816</t>
  </si>
  <si>
    <t>Universal Engineerin - Cedar Rapids</t>
  </si>
  <si>
    <t>Universal Meritime S - Laporte</t>
  </si>
  <si>
    <t>Laporte,TX 77571</t>
  </si>
  <si>
    <t>Universal Packaging - Mitchell</t>
  </si>
  <si>
    <t>Universal Stainless</t>
  </si>
  <si>
    <t>60 Mayer Street</t>
  </si>
  <si>
    <t>Bridgeville, PA, 15017-2777</t>
  </si>
  <si>
    <t>Westbrook Distributing, Inc.</t>
  </si>
  <si>
    <t>Universal Studios - Orlando</t>
  </si>
  <si>
    <t>100 Universal Studios Plaza_x000D_
Technical Services</t>
  </si>
  <si>
    <t>Orlando,FL 32819</t>
  </si>
  <si>
    <t>Universal Studios Ho - Universal City</t>
  </si>
  <si>
    <t>Universal City,CA 916</t>
  </si>
  <si>
    <t>Universal Tool - Saginaw</t>
  </si>
  <si>
    <t>Unlimited Fluid Power</t>
  </si>
  <si>
    <t>106 Second St.</t>
  </si>
  <si>
    <t>Lake City,TN 37769</t>
  </si>
  <si>
    <t>865-426-6776</t>
  </si>
  <si>
    <t>865-426-6443</t>
  </si>
  <si>
    <t>*All Shipments Need to go COD*</t>
  </si>
  <si>
    <t>Unverferth MFG Co Inc.</t>
  </si>
  <si>
    <t>27612 Temple Ave</t>
  </si>
  <si>
    <t>Shell Rock, IA 50670-9369</t>
  </si>
  <si>
    <t>Iowa Fluid Power's Customer</t>
  </si>
  <si>
    <t>Up North Design - Manton</t>
  </si>
  <si>
    <t>Manton,MI 49663</t>
  </si>
  <si>
    <t>Up North Plastics In - Cottage Grove</t>
  </si>
  <si>
    <t>9480 Jamaica Ave. South</t>
  </si>
  <si>
    <t>Cottage Grove,MN 55016</t>
  </si>
  <si>
    <t>URY's MFG Inc</t>
  </si>
  <si>
    <t>6704 Gondron Rd</t>
  </si>
  <si>
    <t>New Iberia, LA 70563</t>
  </si>
  <si>
    <t>Motion Ind - Morgan City's Customer</t>
  </si>
  <si>
    <t>US ARMY TACOM - AMSTA-AQ-ATEC</t>
  </si>
  <si>
    <t>AMSTA-AQ-ATEC</t>
  </si>
  <si>
    <t>US ARMY TACOM - AMSTA-AQ-HAD</t>
  </si>
  <si>
    <t>WARREN, MI 48397</t>
  </si>
  <si>
    <t>US COAST GUARD - HSCG40-12-E-40867</t>
  </si>
  <si>
    <t>Us Engine Valve Corp - Westminster</t>
  </si>
  <si>
    <t>Westminster,SC 29693</t>
  </si>
  <si>
    <t>US Farathane</t>
  </si>
  <si>
    <t xml:space="preserve">11650 Park Court </t>
  </si>
  <si>
    <t>Utica Mi, 48315</t>
  </si>
  <si>
    <t>Seal Source Customer</t>
  </si>
  <si>
    <t>US Farathane - Accounting</t>
  </si>
  <si>
    <t>38000 Mound Road</t>
  </si>
  <si>
    <t>Sterling Heights Mi, 48310</t>
  </si>
  <si>
    <t>Seal Source</t>
  </si>
  <si>
    <t>Us Finishing - Greenville</t>
  </si>
  <si>
    <t>Us Hydraulics - Litchfield</t>
  </si>
  <si>
    <t>Litchfield,NH 03052</t>
  </si>
  <si>
    <t>Us Hydraulics C/O Up - Manchester</t>
  </si>
  <si>
    <t>US Steel Tubular - TX Operations</t>
  </si>
  <si>
    <t>6866 Highway 259</t>
  </si>
  <si>
    <t>Lone Star, TX 75668</t>
  </si>
  <si>
    <t>Usa Gypsum - Jacksonville</t>
  </si>
  <si>
    <t>Usa Waste Services - King George</t>
  </si>
  <si>
    <t>King George,VA 22485</t>
  </si>
  <si>
    <t>USACE - WALLA WALLA</t>
  </si>
  <si>
    <t>201 N. THIRD AVE</t>
  </si>
  <si>
    <t>WALLA WALLA, WA, 99362-1876</t>
  </si>
  <si>
    <t>509-527-7205</t>
  </si>
  <si>
    <t>509-527-7801</t>
  </si>
  <si>
    <t>USACE, Vicksburg District</t>
  </si>
  <si>
    <t>4155 Clay Street</t>
  </si>
  <si>
    <t>601-631-7707</t>
  </si>
  <si>
    <t>601-631-7261</t>
  </si>
  <si>
    <t>Attn: Tracey Lowe</t>
  </si>
  <si>
    <t>USAED, NATIONAL FINANCE CENTER</t>
  </si>
  <si>
    <t>5722 INTEGRITY DRIVE</t>
  </si>
  <si>
    <t>MILLINGTON, TN 38054-5005</t>
  </si>
  <si>
    <t>Usg Interiors - Cloquet</t>
  </si>
  <si>
    <t>Usibelli Coal Mine - Healy</t>
  </si>
  <si>
    <t>Healy,AK 99743</t>
  </si>
  <si>
    <t>USN NAVSEA SUPSHIP - N62793-09-M-A094</t>
  </si>
  <si>
    <t>6701 College Dr</t>
  </si>
  <si>
    <t>Suffolk, VA 23435</t>
  </si>
  <si>
    <t>757-935-9083</t>
  </si>
  <si>
    <t>laustin@rcoh.supshipnn.navy.mil</t>
  </si>
  <si>
    <t>USNR - Blaine</t>
  </si>
  <si>
    <t>USNR - Hot Springs</t>
  </si>
  <si>
    <t>2727 East Grand Avenue</t>
  </si>
  <si>
    <t>(800) 289-8767</t>
  </si>
  <si>
    <t>(501) 262-0169</t>
  </si>
  <si>
    <t>USNR - JACKSONVILLE, FL</t>
  </si>
  <si>
    <t>1011 BLANCHE ST</t>
  </si>
  <si>
    <t>JACKSONVILLE, FL 92204-1072</t>
  </si>
  <si>
    <t>USNR - Spokane</t>
  </si>
  <si>
    <t>USNR - Woodland</t>
  </si>
  <si>
    <t>558 Robinson Rd.</t>
  </si>
  <si>
    <t>Woodland, WA, 98674</t>
  </si>
  <si>
    <t>Motion Ind - OR22 Customer</t>
  </si>
  <si>
    <t>USS Tubular Processing Inc.</t>
  </si>
  <si>
    <t>9393 Sheldon Road</t>
  </si>
  <si>
    <t>Houston, TX 77049</t>
  </si>
  <si>
    <t>Kaman's Customer</t>
  </si>
  <si>
    <t>Utah Fabriation Lc - Salt Lake City</t>
  </si>
  <si>
    <t>Utah Plastics Group - Salt Lake City</t>
  </si>
  <si>
    <t>Utec Metals Inc. - Spokane</t>
  </si>
  <si>
    <t>415 Gus Hipp Blvd.</t>
  </si>
  <si>
    <t>Rockledge, FL. 32955</t>
  </si>
  <si>
    <t>V M W Ind, In - Victoria</t>
  </si>
  <si>
    <t>Victoria,TX 77901</t>
  </si>
  <si>
    <t>V.D.C. / Juan D. Mor - El Paso</t>
  </si>
  <si>
    <t>El Paso,TX 78852</t>
  </si>
  <si>
    <t>Va. Textile Service - Petersburg</t>
  </si>
  <si>
    <t>Petersburg,VA 23803</t>
  </si>
  <si>
    <t>Vaagen Brother Lumbe - Colville</t>
  </si>
  <si>
    <t>Colville,WA 99114</t>
  </si>
  <si>
    <t>Vacuum Engineering S - East Windsor</t>
  </si>
  <si>
    <t>East Windsor,CT 06088</t>
  </si>
  <si>
    <t>Vacuum Tech</t>
  </si>
  <si>
    <t>1003 Alvin Weinberg Drive</t>
  </si>
  <si>
    <t>Oak Ridge, TN 37830</t>
  </si>
  <si>
    <t>VAE Nortrak, Inc.</t>
  </si>
  <si>
    <t>3930 Valley E. Ind Drive</t>
  </si>
  <si>
    <t>205-854-2884</t>
  </si>
  <si>
    <t>205-854-2885</t>
  </si>
  <si>
    <t>VAE Nortrak,Inc - Chicago Hgts</t>
  </si>
  <si>
    <t>2705 S. State St.</t>
  </si>
  <si>
    <t>Chicago Heights,IL 60411</t>
  </si>
  <si>
    <t>708-259-6755</t>
  </si>
  <si>
    <t>708-757-6594</t>
  </si>
  <si>
    <t>Valex Corp - Ventura</t>
  </si>
  <si>
    <t>Ventura,CA 93003</t>
  </si>
  <si>
    <t>Valk Ind Inc - Greenville</t>
  </si>
  <si>
    <t>VALLEY ASPHALT CORP</t>
  </si>
  <si>
    <t>250 DYE MILL RD.</t>
  </si>
  <si>
    <t>TROY, OH 45373-4200</t>
  </si>
  <si>
    <t>937-926-3497</t>
  </si>
  <si>
    <t>Valley Cast Inc - Appleton</t>
  </si>
  <si>
    <t>Valley Craft Inc. - Lake City</t>
  </si>
  <si>
    <t>Valley Fair - Shakopee</t>
  </si>
  <si>
    <t>Valley Fluid Components - Salem</t>
  </si>
  <si>
    <t>6313 Winside Drive</t>
  </si>
  <si>
    <t>Bethlehem,PA 18017</t>
  </si>
  <si>
    <t>(610) 837-2768</t>
  </si>
  <si>
    <t>(610) 837-2784</t>
  </si>
  <si>
    <t>Valley Machine Works - Nackawic</t>
  </si>
  <si>
    <t>26 Pinder Rd.</t>
  </si>
  <si>
    <t>Nackawic,NB E6G 1W3</t>
  </si>
  <si>
    <t>(800) 865-6314</t>
  </si>
  <si>
    <t>(506) 575-2380</t>
  </si>
  <si>
    <t>Valley Precision Mac - Rossville</t>
  </si>
  <si>
    <t>Rossville,GA 30741</t>
  </si>
  <si>
    <t>Valley Rubber</t>
  </si>
  <si>
    <t>3899 Hwy. 31 North</t>
  </si>
  <si>
    <t>256-784-5231</t>
  </si>
  <si>
    <t>256-784-5232</t>
  </si>
  <si>
    <t>Valmont Ind - Mccook</t>
  </si>
  <si>
    <t>Mccook,NE 69001</t>
  </si>
  <si>
    <t>Valmont Ind - Valley</t>
  </si>
  <si>
    <t>Valmont Ind, Inc.</t>
  </si>
  <si>
    <t>Valley,NE 68064</t>
  </si>
  <si>
    <t>Valmont Lexington</t>
  </si>
  <si>
    <t>20805 Eaton Avenue</t>
  </si>
  <si>
    <t>Farmington,MN 55024</t>
  </si>
  <si>
    <t>Valtec Hydraulics Inc - St. Louis</t>
  </si>
  <si>
    <t>1100 Pershall Road</t>
  </si>
  <si>
    <t>St. Louis,MO 63137</t>
  </si>
  <si>
    <t>(314) 867-1100</t>
  </si>
  <si>
    <t>(314) 867-6261</t>
  </si>
  <si>
    <t>Wilminton,NC 28405</t>
  </si>
  <si>
    <t>Valve Maintenance - Ahoskie</t>
  </si>
  <si>
    <t>Valve Teck Inc. - Memphis</t>
  </si>
  <si>
    <t>Vamco International - Pittsburgh</t>
  </si>
  <si>
    <t>Pittsburgh,PA 1523</t>
  </si>
  <si>
    <t>Van Doren Sales Inc. - East Wenatchee</t>
  </si>
  <si>
    <t>East Wenatchee,WA 98</t>
  </si>
  <si>
    <t>Van Hoven Co Inc, - South St Paul</t>
  </si>
  <si>
    <t>Benicia,CA 94510</t>
  </si>
  <si>
    <t>Van Norman Molding C - Bridgeview</t>
  </si>
  <si>
    <t>Van Poppelen Bros - Bay City</t>
  </si>
  <si>
    <t>Maple Shade,NJ 08052</t>
  </si>
  <si>
    <t>Vanguard Services - New Johnsonville</t>
  </si>
  <si>
    <t>Vanport Mfg Co - Boring</t>
  </si>
  <si>
    <t>Boring,OR 97009</t>
  </si>
  <si>
    <t>Vantage Plastics - Standish</t>
  </si>
  <si>
    <t>Standish,MI 48658</t>
  </si>
  <si>
    <t>Vantage Products - Conyers</t>
  </si>
  <si>
    <t>Conyers,GA 30207</t>
  </si>
  <si>
    <t>Vapor Tech - Longmont</t>
  </si>
  <si>
    <t>Longmont,CO 80503</t>
  </si>
  <si>
    <t>Varco Bj Drilling - Orange</t>
  </si>
  <si>
    <t>Varco D.S.S. - New Iberia</t>
  </si>
  <si>
    <t>Varco International - Orange</t>
  </si>
  <si>
    <t>Varco/Shaffer - Houston</t>
  </si>
  <si>
    <t>Varn Wood Prod. - Hoboken</t>
  </si>
  <si>
    <t>107 No. Brantley St.</t>
  </si>
  <si>
    <t>Hoboken,GA 31542</t>
  </si>
  <si>
    <t>VASCO INC.</t>
  </si>
  <si>
    <t>1103 Hershey Street</t>
  </si>
  <si>
    <t>7154 Industrial Park Blvd.</t>
  </si>
  <si>
    <t>Mentor, OH 44060</t>
  </si>
  <si>
    <t>440-942-7585</t>
  </si>
  <si>
    <t>Vaughnan Bassett Fur - Elkin</t>
  </si>
  <si>
    <t>VAW of America - Fayetteville</t>
  </si>
  <si>
    <t>171 Industrial Drive</t>
  </si>
  <si>
    <t>Fayetteville,TN 37334</t>
  </si>
  <si>
    <t>(931) 438-0850</t>
  </si>
  <si>
    <t>Vector Corp - Marion</t>
  </si>
  <si>
    <t>Vector Tech - Milwaukee</t>
  </si>
  <si>
    <t>Velan Valve Corp - Williston</t>
  </si>
  <si>
    <t>94 Avenue C</t>
  </si>
  <si>
    <t>Williston,VT 05495</t>
  </si>
  <si>
    <t>(802) 863-2562</t>
  </si>
  <si>
    <t>(802) 862-4014</t>
  </si>
  <si>
    <t>Velcro Usa, Inc - Manchester</t>
  </si>
  <si>
    <t>Manchester,NH 03108</t>
  </si>
  <si>
    <t>Venus Gusmer - Kent</t>
  </si>
  <si>
    <t>Veridiam</t>
  </si>
  <si>
    <t>1717 Cuyamaca Street</t>
  </si>
  <si>
    <t>Elcajon, CA 92020</t>
  </si>
  <si>
    <t>Motion Ind - San Deigo's Customer</t>
  </si>
  <si>
    <t>Ver-Mac Ind - Mt Vernon</t>
  </si>
  <si>
    <t>Mt Vernon,OH 43050</t>
  </si>
  <si>
    <t>Vermont American - Fountain Inn</t>
  </si>
  <si>
    <t>Versa - Mt. Sterling</t>
  </si>
  <si>
    <t>Mt. Sterling,OH 431</t>
  </si>
  <si>
    <t>Versatile Fab Mach - Kelowna</t>
  </si>
  <si>
    <t>Kelowna,BC V4V 2K5</t>
  </si>
  <si>
    <t>Versatile Fluid Power - Portland</t>
  </si>
  <si>
    <t>Vertex Manufacturing</t>
  </si>
  <si>
    <t>8341 Industrial Drive</t>
  </si>
  <si>
    <t>Olive Branch, MS 38654</t>
  </si>
  <si>
    <t>662-895-6263</t>
  </si>
  <si>
    <t>662-895-6317</t>
  </si>
  <si>
    <t>Vest Inc - Los Angeles</t>
  </si>
  <si>
    <t>Vetco Gray, Inc. - Hosuton</t>
  </si>
  <si>
    <t>Hosuton,TX 77086</t>
  </si>
  <si>
    <t>Vf Jeanswear - Seminole</t>
  </si>
  <si>
    <t>Seminole,OK 74868</t>
  </si>
  <si>
    <t>Vf Jeanswear Inc. - Greensboro</t>
  </si>
  <si>
    <t>Greensboro,NC 27401</t>
  </si>
  <si>
    <t>Vi Plastics Inc. - Springfield</t>
  </si>
  <si>
    <t>Springfield,OH 45505</t>
  </si>
  <si>
    <t>Vibratech - Alden</t>
  </si>
  <si>
    <t>Alden,NY 14004</t>
  </si>
  <si>
    <t xml:space="preserve">Vic Royal Casket - </t>
  </si>
  <si>
    <t>, G6P 658</t>
  </si>
  <si>
    <t>Vickers Sterer Engine - Los Angeles</t>
  </si>
  <si>
    <t>Los Angeles,CA 90039</t>
  </si>
  <si>
    <t>Vicksburg Marine, Inc.</t>
  </si>
  <si>
    <t>4477 Hwy. 61 South</t>
  </si>
  <si>
    <t>Oak Forest,IL 60452</t>
  </si>
  <si>
    <t>Victor Fluid Power - Granite Falls</t>
  </si>
  <si>
    <t>Victoria Machine Wor - Victoria</t>
  </si>
  <si>
    <t>Victoria,TX 77902</t>
  </si>
  <si>
    <t>Vigen Construction - East Grand Forks</t>
  </si>
  <si>
    <t xml:space="preserve">East Grand Forks,MN </t>
  </si>
  <si>
    <t>Viking Acoustical - St Croix Falls</t>
  </si>
  <si>
    <t>St Croix Falls,WI 540</t>
  </si>
  <si>
    <t>Viking Engineering and Machinery</t>
  </si>
  <si>
    <t>PO Box 636</t>
  </si>
  <si>
    <t>Pelham, AL 35124</t>
  </si>
  <si>
    <t>205-620-3506</t>
  </si>
  <si>
    <t>205-620-1501</t>
  </si>
  <si>
    <t>Vimco Mfg Co - King Of Prussia</t>
  </si>
  <si>
    <t>Vintec Company - Murfreesboro</t>
  </si>
  <si>
    <t>Virco Manufacturing - Torrance</t>
  </si>
  <si>
    <t>Virginia Fluid Power - Richmond</t>
  </si>
  <si>
    <t>8412 Sanford Drive</t>
  </si>
  <si>
    <t>Richmond,VA 23228</t>
  </si>
  <si>
    <t>(804) 266-8797</t>
  </si>
  <si>
    <t>(804) 266-8790</t>
  </si>
  <si>
    <t>Virginia Power - Dumfries</t>
  </si>
  <si>
    <t>Dumfries,VA 22026</t>
  </si>
  <si>
    <t>Visteon - Bedford</t>
  </si>
  <si>
    <t>3120 16Th St</t>
  </si>
  <si>
    <t>(812) 275-5961</t>
  </si>
  <si>
    <t>Visteon - Connersville</t>
  </si>
  <si>
    <t>4747 Western Ave</t>
  </si>
  <si>
    <t>Connersville,IN 47331</t>
  </si>
  <si>
    <t>(765) 825-7551</t>
  </si>
  <si>
    <t>Visteon - Indianapolis</t>
  </si>
  <si>
    <t>6900 English Ave</t>
  </si>
  <si>
    <t>(317) 352-4100</t>
  </si>
  <si>
    <t>Visteon - Milan</t>
  </si>
  <si>
    <t>800 County St</t>
  </si>
  <si>
    <t>Milan,MI 48160</t>
  </si>
  <si>
    <t>(734) 481-9800</t>
  </si>
  <si>
    <t>Visteon - Ypsilanti</t>
  </si>
  <si>
    <t>Mckean Rd</t>
  </si>
  <si>
    <t>Ypsilanti,MI 48197</t>
  </si>
  <si>
    <t>(734) 484-8260</t>
  </si>
  <si>
    <t>Visy Paper - Conyers</t>
  </si>
  <si>
    <t>Conyers,GA 30208</t>
  </si>
  <si>
    <t>Visy Paper (Ny), Inc - Staten Island</t>
  </si>
  <si>
    <t>Staten Island,NY 1031</t>
  </si>
  <si>
    <t>Vmi America - Stow</t>
  </si>
  <si>
    <t>Stow,OH 44224</t>
  </si>
  <si>
    <t>Vmw Ind, Inc. - Victoria</t>
  </si>
  <si>
    <t>Vmw Machinery Co - West Nyack</t>
  </si>
  <si>
    <t>West Nyack,NY 10994</t>
  </si>
  <si>
    <t>Voest Alpine Ind - Pittsburgh</t>
  </si>
  <si>
    <t>Penn Centre West</t>
  </si>
  <si>
    <t>Pittsburgh,PA 15233</t>
  </si>
  <si>
    <t>(412) 747-4600</t>
  </si>
  <si>
    <t>Vogel Sang - Lakewood</t>
  </si>
  <si>
    <t>Voith Hydro, Inc. - York</t>
  </si>
  <si>
    <t>Voith Sulzer - Appleton</t>
  </si>
  <si>
    <t>2200 N Roemer Road</t>
  </si>
  <si>
    <t>Appleton,WI 54912</t>
  </si>
  <si>
    <t>Volex Inc. - Conover</t>
  </si>
  <si>
    <t>Conover,NC 28613</t>
  </si>
  <si>
    <t>Volunteer Bearing Su - Smartt</t>
  </si>
  <si>
    <t>Smartt,TN 37378</t>
  </si>
  <si>
    <t>Volunteer Hydraulic Service - Johnson City</t>
  </si>
  <si>
    <t>1714 Indian Ridge Rd</t>
  </si>
  <si>
    <t>(423) 928-4661</t>
  </si>
  <si>
    <t>(423) 928-5227</t>
  </si>
  <si>
    <t>Volvo G.M. Heavy Truck - Dublin</t>
  </si>
  <si>
    <t>Vonco Products Inc - Lake Villa</t>
  </si>
  <si>
    <t>Lake Villa,IL 6004</t>
  </si>
  <si>
    <t>Vortex Precision Ser - Houston</t>
  </si>
  <si>
    <t>Houston,TX 77039</t>
  </si>
  <si>
    <t>Voss Automotive - Ft. Wayne</t>
  </si>
  <si>
    <t>Ft. Wayne,IN 46825</t>
  </si>
  <si>
    <t>Vought Aircraft Ind, Inc.</t>
  </si>
  <si>
    <t>1431 Vultee Blvd</t>
  </si>
  <si>
    <t>Nashville, TN 37217</t>
  </si>
  <si>
    <t>Vulcan Ind - Missouri Valley</t>
  </si>
  <si>
    <t>Missouri Valley,IA 5</t>
  </si>
  <si>
    <t>Vulcan Materials - Lorton</t>
  </si>
  <si>
    <t>Lorton,VA 22079</t>
  </si>
  <si>
    <t>400 East Berry Ave</t>
  </si>
  <si>
    <t>Motion Ind - Mobile's Customer</t>
  </si>
  <si>
    <t>Vulcan Tool Co. - Dayton</t>
  </si>
  <si>
    <t>Dayton,OH 45410</t>
  </si>
  <si>
    <t>Vulcraft - Brigham City</t>
  </si>
  <si>
    <t>Brigham City,UT 84</t>
  </si>
  <si>
    <t>W A Whitney Mfg Co - Rockford</t>
  </si>
  <si>
    <t>W D Chips - Leesville</t>
  </si>
  <si>
    <t>W M C, Inc. - Worth</t>
  </si>
  <si>
    <t>W M Wrigley Jr Co - Chicago</t>
  </si>
  <si>
    <t>Lexington,VA 24450</t>
  </si>
  <si>
    <t>W.D. Chips L.L.C. - Rosephine</t>
  </si>
  <si>
    <t>Rosephine,LA 71486</t>
  </si>
  <si>
    <t>W.F. Wells - Three Rivers</t>
  </si>
  <si>
    <t>W.G. Benjey Inc - Alpena</t>
  </si>
  <si>
    <t>W.L. Gore - Elkton</t>
  </si>
  <si>
    <t>Elkton,MD 21921</t>
  </si>
  <si>
    <t>W25G1U - DDSP New Cumberland Facility</t>
  </si>
  <si>
    <t>2001 Normandy Drive Door 113 to 134</t>
  </si>
  <si>
    <t>New Cumberland, PA 17070-5002</t>
  </si>
  <si>
    <t>W62G2T - DEF DIST DEPOT SAN JOAQUN</t>
  </si>
  <si>
    <t>Tracey, CA 95304-5000</t>
  </si>
  <si>
    <t>209-839-4307</t>
  </si>
  <si>
    <t>W911WN-12-T-0033 - USACE Pittsburg</t>
  </si>
  <si>
    <t xml:space="preserve">W S Moorhead Fedral Building  1000 Liberty Ave Room 2203 </t>
  </si>
  <si>
    <t>Pittsburg, PA 15222-4186</t>
  </si>
  <si>
    <t>W912BU-10-P-0299 - USACE - Philadelphia</t>
  </si>
  <si>
    <t>100 Penn Square East</t>
  </si>
  <si>
    <t>Philadelphia, PA 19107</t>
  </si>
  <si>
    <t>215-656-6911</t>
  </si>
  <si>
    <t>W912EF-13-P-0068</t>
  </si>
  <si>
    <t>5520 Devils Canyon Rd</t>
  </si>
  <si>
    <t>Kahlotus, WA 99335</t>
  </si>
  <si>
    <t>W912EF-13-P-0068 - USAED Walla Walla, WA</t>
  </si>
  <si>
    <t>Walla Walla, WA 99335</t>
  </si>
  <si>
    <t>Wa Whitney Mfg.Co - Rockford</t>
  </si>
  <si>
    <t>Wabash Alloys - Steele</t>
  </si>
  <si>
    <t>47 Brogdon Road</t>
  </si>
  <si>
    <t>Steele,AL 35987</t>
  </si>
  <si>
    <t>256-538-7817</t>
  </si>
  <si>
    <t>Wabash Alloys - Wabash</t>
  </si>
  <si>
    <t>Wabash,IN 46992</t>
  </si>
  <si>
    <t>Wabash National Corp - Lafayette</t>
  </si>
  <si>
    <t>Lafayette,IN 47905</t>
  </si>
  <si>
    <t>Walco Hydraulics Inc. - Wichita</t>
  </si>
  <si>
    <t>10012 West York</t>
  </si>
  <si>
    <t>Wichita,KS 67215</t>
  </si>
  <si>
    <t>(316) 524-5900</t>
  </si>
  <si>
    <t>(316) 524-6700</t>
  </si>
  <si>
    <t>Walker Die Casting - Lewisburg</t>
  </si>
  <si>
    <t>1125 Higgs Road</t>
  </si>
  <si>
    <t>931-359-6206</t>
  </si>
  <si>
    <t>Walker Stainless Equ - Elroy</t>
  </si>
  <si>
    <t>Elroy,WI 53929</t>
  </si>
  <si>
    <t>Wallace Wood Products - Demopolis</t>
  </si>
  <si>
    <t>4th Avenue and Jackson</t>
  </si>
  <si>
    <t>(334) 289-3671</t>
  </si>
  <si>
    <t>(334) 289-3674</t>
  </si>
  <si>
    <t>Walt Disney Imagineering</t>
  </si>
  <si>
    <t>1365 Avenue of the Stars</t>
  </si>
  <si>
    <t>Lake Buena Vista,FL 32830</t>
  </si>
  <si>
    <t>Ward Fluid Power</t>
  </si>
  <si>
    <t>1217 McKenzie PL</t>
  </si>
  <si>
    <t>Knoxville,TN 37917</t>
  </si>
  <si>
    <t>865-673-8822</t>
  </si>
  <si>
    <t>Ward Hydraulics - Houston</t>
  </si>
  <si>
    <t>Houston,TX 77020</t>
  </si>
  <si>
    <t>Ward Ind - Monessen</t>
  </si>
  <si>
    <t>Monessen,PA 15062</t>
  </si>
  <si>
    <t>Ward Ind Controls - Easley</t>
  </si>
  <si>
    <t>Ward Machinery Co. - Cockeysville</t>
  </si>
  <si>
    <t>Cockeysville,MD 2103</t>
  </si>
  <si>
    <t>Ward Technical Sales - Charlotte</t>
  </si>
  <si>
    <t>6148-B Brookshire Boulevard</t>
  </si>
  <si>
    <t>Charlotte,NC 28216</t>
  </si>
  <si>
    <t>(704) 394-8933</t>
  </si>
  <si>
    <t>(704) 392-9269</t>
  </si>
  <si>
    <t>Ward-Rugh - Ellensburg</t>
  </si>
  <si>
    <t>Ellensburg,WA 98926</t>
  </si>
  <si>
    <t>Warm Springs Forest - Warm Springs</t>
  </si>
  <si>
    <t>Warm Springs,OR 9776</t>
  </si>
  <si>
    <t>Warn Ind - Clackamus</t>
  </si>
  <si>
    <t>Clackamus,OR 97015</t>
  </si>
  <si>
    <t>Warner Electric - Marengo</t>
  </si>
  <si>
    <t>Warner Lambert Compa - Rockford</t>
  </si>
  <si>
    <t>Rockford,IL 61111</t>
  </si>
  <si>
    <t>Warrenton Wood Products - Warrenton</t>
  </si>
  <si>
    <t>Warrenton,OR 97146</t>
  </si>
  <si>
    <t>Chickasaw,AL 36611</t>
  </si>
  <si>
    <t>Wash. Public Power S - Richland</t>
  </si>
  <si>
    <t>Washington Belt - Redmond</t>
  </si>
  <si>
    <t>Redmond,OR 97756</t>
  </si>
  <si>
    <t>Washington Group Int - Boise, ID</t>
  </si>
  <si>
    <t>Bosie, ID</t>
  </si>
  <si>
    <t>208-386-5404</t>
  </si>
  <si>
    <t>Washington State Fer - Seattle</t>
  </si>
  <si>
    <t>Washington State Uni - Pullman</t>
  </si>
  <si>
    <t>Pullman,WA 99163</t>
  </si>
  <si>
    <t>Wasp Archery Product - Plymouth</t>
  </si>
  <si>
    <t>Plymouth,CT 06782</t>
  </si>
  <si>
    <t>Waste Processing Equipment Inc - Rainsville</t>
  </si>
  <si>
    <t>160 Dilbeck Road East</t>
  </si>
  <si>
    <t>Rainsville,AL 35986</t>
  </si>
  <si>
    <t>(256) 638-8244</t>
  </si>
  <si>
    <t>(256) 638-8979</t>
  </si>
  <si>
    <t>Waste Technology Corp - Jacksonville</t>
  </si>
  <si>
    <t>5400 Rio Grande Avenue</t>
  </si>
  <si>
    <t>(800) 231-9286</t>
  </si>
  <si>
    <t>(904) 358-7013</t>
  </si>
  <si>
    <t>Waterbury Rolling Mi - Waerbury</t>
  </si>
  <si>
    <t>Waerbury,CT 06708</t>
  </si>
  <si>
    <t>Waterloo Ind - Muskogee</t>
  </si>
  <si>
    <t>Waterman Ind - Exeter</t>
  </si>
  <si>
    <t>Exeter,CA 93221</t>
  </si>
  <si>
    <t>Watry Ind</t>
  </si>
  <si>
    <t>3312 Lakeshore Dr.</t>
  </si>
  <si>
    <t>Watson Hydraulics - Laguna Hills</t>
  </si>
  <si>
    <t>Laguna Hills,CA 92653</t>
  </si>
  <si>
    <t>Watson Sawmill - Mt Holly</t>
  </si>
  <si>
    <t>Mt Holly,AR 71758</t>
  </si>
  <si>
    <t>Waupaca Foundry - Waupaca</t>
  </si>
  <si>
    <t>311Tower Road</t>
  </si>
  <si>
    <t>(715) 258-6611</t>
  </si>
  <si>
    <t>Waverly Hardwoods - Waverly</t>
  </si>
  <si>
    <t>Wayne Wire Cloth - Hillman</t>
  </si>
  <si>
    <t>Hillman,MI 49746</t>
  </si>
  <si>
    <t>Wayne Wire Cloth Products - Kalkaska</t>
  </si>
  <si>
    <t>Weatherford-Enterra - Houston</t>
  </si>
  <si>
    <t>Webb Stiles Company</t>
  </si>
  <si>
    <t>700 Industrial Prkwy</t>
  </si>
  <si>
    <t>256-492-6642</t>
  </si>
  <si>
    <t>256-492-7300</t>
  </si>
  <si>
    <t>Webb Wheel - Cullman</t>
  </si>
  <si>
    <t>2310 Industrial Drive SW</t>
  </si>
  <si>
    <t>(256) 739-6660</t>
  </si>
  <si>
    <t>(256) 739-1979</t>
  </si>
  <si>
    <t>Webco Ind - Tulsa</t>
  </si>
  <si>
    <t>Tulsa,OK 74106</t>
  </si>
  <si>
    <t>Weber Hydraulics - Darien Center</t>
  </si>
  <si>
    <t>10751 Alleghany Rd</t>
  </si>
  <si>
    <t>Darien Center,NY 14040</t>
  </si>
  <si>
    <t>(585) 547-9931</t>
  </si>
  <si>
    <t>(585) 547-9930</t>
  </si>
  <si>
    <t>Weber Marking System - Arlington Heights</t>
  </si>
  <si>
    <t>Weber Metals - Paramount</t>
  </si>
  <si>
    <t>Weber, Hg&amp;Co Inc - Kiel</t>
  </si>
  <si>
    <t>Kiel,WI 53042-1352</t>
  </si>
  <si>
    <t>Webster Engineering - Lewiston</t>
  </si>
  <si>
    <t>Lewiston,ME 04</t>
  </si>
  <si>
    <t>Webster Lumber - Bangor</t>
  </si>
  <si>
    <t>Bangor,WI 54614</t>
  </si>
  <si>
    <t>Weeks Marine - Cranford</t>
  </si>
  <si>
    <t>4 Commerce Drive</t>
  </si>
  <si>
    <t>Cranford,NJ 07016</t>
  </si>
  <si>
    <t>(908) 272-4010</t>
  </si>
  <si>
    <t>(908) 272-4740</t>
  </si>
  <si>
    <t>WEEKS MARINE - JERSEY CITY</t>
  </si>
  <si>
    <t>WMI GREENVILLE YARD PIER B</t>
  </si>
  <si>
    <t>JERSEY CITY, NJ 07097</t>
  </si>
  <si>
    <t>908-272-4010</t>
  </si>
  <si>
    <t>FOOT OF COLONY ROAD</t>
  </si>
  <si>
    <t>Weidman Forest Products - Walkerville</t>
  </si>
  <si>
    <t>Walkerville,MI 49454</t>
  </si>
  <si>
    <t>Weigmann-Hubbel - Freeburg</t>
  </si>
  <si>
    <t>Freeburg,IL 62243</t>
  </si>
  <si>
    <t>Weiler Engr Tool - Elk Grove Village</t>
  </si>
  <si>
    <t xml:space="preserve">Elk Grove Village,IL </t>
  </si>
  <si>
    <t>Weinbrenner Shoe Com - Merrill</t>
  </si>
  <si>
    <t>Weinman Pump - Amherst</t>
  </si>
  <si>
    <t>78 John Glenn Drive</t>
  </si>
  <si>
    <t>Amherst,NY 14228</t>
  </si>
  <si>
    <t>(800) 477-9772</t>
  </si>
  <si>
    <t>(716) 691-5119</t>
  </si>
  <si>
    <t>Weinman Pump - Pittsburgh</t>
  </si>
  <si>
    <t>110 Delta Drive</t>
  </si>
  <si>
    <t>Pittsburgh,PA 15238</t>
  </si>
  <si>
    <t>(800) 873-9772</t>
  </si>
  <si>
    <t>(412) 967-0270</t>
  </si>
  <si>
    <t>Wek Plastics - Jefferson</t>
  </si>
  <si>
    <t>Welco Lumber Co. - Marysville</t>
  </si>
  <si>
    <t>Marysville,WA 98270</t>
  </si>
  <si>
    <t>Weldman Forest Products - Walkerville</t>
  </si>
  <si>
    <t>Walkerville,MI 49459</t>
  </si>
  <si>
    <t>Weldrite Closures, Inc</t>
  </si>
  <si>
    <t>2292 Innovation Way</t>
  </si>
  <si>
    <t>Rochester, NY 14624</t>
  </si>
  <si>
    <t xml:space="preserve">WELEX INCORPORATED </t>
  </si>
  <si>
    <t>200 INDUSTRIAL BLVD</t>
  </si>
  <si>
    <t>GREENVILLE, NC 27834</t>
  </si>
  <si>
    <t>Welles Manufacturing - Northvale</t>
  </si>
  <si>
    <t>Northvale,NJ 07647</t>
  </si>
  <si>
    <t>WELLMAN DYNAMICS</t>
  </si>
  <si>
    <t>1746 COMMERCE RD</t>
  </si>
  <si>
    <t>CRESTON, IA 50801</t>
  </si>
  <si>
    <t>Wellnitz Concrete Pr - Columbus</t>
  </si>
  <si>
    <t>Columbus,OH 43222</t>
  </si>
  <si>
    <t>Wells - Centerville</t>
  </si>
  <si>
    <t>Centerville,IA 52544</t>
  </si>
  <si>
    <t>Wells Aluminum - Bolton</t>
  </si>
  <si>
    <t>Bolton,SC 29627</t>
  </si>
  <si>
    <t>Wenco Molding Inc - Providence</t>
  </si>
  <si>
    <t>Providence,RI 02907</t>
  </si>
  <si>
    <t>WENGER MFG INC</t>
  </si>
  <si>
    <t>15 Commerce Drive</t>
  </si>
  <si>
    <t>Sabetha,KS 66534</t>
  </si>
  <si>
    <t>Wentworth Equipment - Bend</t>
  </si>
  <si>
    <t>Wep Co - Kenosha</t>
  </si>
  <si>
    <t>Werner - Franklin Park</t>
  </si>
  <si>
    <t>10800 West Belmont Avenue</t>
  </si>
  <si>
    <t>West Bend Equipment - West Bend</t>
  </si>
  <si>
    <t>West Carrollton Parc - West Carrollton</t>
  </si>
  <si>
    <t>West Carrollton,OH 4</t>
  </si>
  <si>
    <t>West Coast Cylinders</t>
  </si>
  <si>
    <t>225 Edworth Way</t>
  </si>
  <si>
    <t>New Westminster, BC V3L5G4  Canada</t>
  </si>
  <si>
    <t>West Coast Cylinder Customer</t>
  </si>
  <si>
    <t>West Coast Industrial - Pilot Rock.</t>
  </si>
  <si>
    <t>Pilot Rock.,OR 97868</t>
  </si>
  <si>
    <t>West Coast Specialti - Wenatchee</t>
  </si>
  <si>
    <t>Wenatchee,WA 98801</t>
  </si>
  <si>
    <t>West Fraser - Whitehouse, FL</t>
  </si>
  <si>
    <t>Whitehouse, FL 32220</t>
  </si>
  <si>
    <t>904-695-3857</t>
  </si>
  <si>
    <t>West Fraser, Inc - Huttig</t>
  </si>
  <si>
    <t>West Frasier - Joyce</t>
  </si>
  <si>
    <t>6481Highway 34</t>
  </si>
  <si>
    <t>West Irving Die Cast - Owensboro</t>
  </si>
  <si>
    <t>Owensboro,KY 42301</t>
  </si>
  <si>
    <t>West Linn Paper Co. - West Linn</t>
  </si>
  <si>
    <t>West Linn,OR 97068</t>
  </si>
  <si>
    <t>West Salem Machine - Salem</t>
  </si>
  <si>
    <t>Salem,OR 97304</t>
  </si>
  <si>
    <t>Westblock Pacific - Dupont</t>
  </si>
  <si>
    <t>Dupont,WA 98327</t>
  </si>
  <si>
    <t>15 Brook Valley Drive</t>
  </si>
  <si>
    <t>Harrison City, PA, 15636</t>
  </si>
  <si>
    <t>724-744-7820</t>
  </si>
  <si>
    <t>412-291-1232</t>
  </si>
  <si>
    <t>WestCoast Cylinders - Larry Deblieux Office</t>
  </si>
  <si>
    <t>410 South Washington</t>
  </si>
  <si>
    <t>Bastrop, LA 71220</t>
  </si>
  <si>
    <t>318-348-1572</t>
  </si>
  <si>
    <t>Westcoast Cylinders, Inc.</t>
  </si>
  <si>
    <t>223 Edworthy Way</t>
  </si>
  <si>
    <t>New Westminster, BC, V31 5G4</t>
  </si>
  <si>
    <t>604-527-1120</t>
  </si>
  <si>
    <t>604-527-1170</t>
  </si>
  <si>
    <t>50% Discount Rate</t>
  </si>
  <si>
    <t>Westech Heavy Machine - Houston</t>
  </si>
  <si>
    <t>Western Atlas - Houston</t>
  </si>
  <si>
    <t>Western Baler - Sacramento</t>
  </si>
  <si>
    <t>Western Construction - Boise</t>
  </si>
  <si>
    <t>Boise,ID 83715</t>
  </si>
  <si>
    <t>Western Farmers Elec - Fort Towson</t>
  </si>
  <si>
    <t>Fort Towson,OK 74735</t>
  </si>
  <si>
    <t>Western Fiberglass - Salt Lake City</t>
  </si>
  <si>
    <t>Western Fluid Compon - Bellingham</t>
  </si>
  <si>
    <t>Western Fluid Power - Salt Lake City</t>
  </si>
  <si>
    <t>Western Forge Corp - Colorado Springs</t>
  </si>
  <si>
    <t>Western Geophysical - Houston</t>
  </si>
  <si>
    <t>Western Marine Elect - Woodinville</t>
  </si>
  <si>
    <t>Woodinville,WA 98072</t>
  </si>
  <si>
    <t>Western Metal Specia - Milwaukee</t>
  </si>
  <si>
    <t>Milwaukee,WI 53213</t>
  </si>
  <si>
    <t>Western Metro - Buena Park</t>
  </si>
  <si>
    <t>Buena Park,CA 90621</t>
  </si>
  <si>
    <t>Western Pacific Stor - Georgetown</t>
  </si>
  <si>
    <t>Georgetown,KY 40324</t>
  </si>
  <si>
    <t>Western Piece Dyers - Chicago</t>
  </si>
  <si>
    <t>WESTERN PILOT SERVICE</t>
  </si>
  <si>
    <t>2803 NORTH 7TH. AVE.</t>
  </si>
  <si>
    <t>PHEONIX, AZ 85007</t>
  </si>
  <si>
    <t>602-390-4246</t>
  </si>
  <si>
    <t>Western Pilot Service</t>
  </si>
  <si>
    <t xml:space="preserve">2803 North 7th Ave. </t>
  </si>
  <si>
    <t>Pheonix, AZ 85007</t>
  </si>
  <si>
    <t>602-390-4246 c</t>
  </si>
  <si>
    <t>WESTERN PILOT SERVICE - HOT SPRINGS</t>
  </si>
  <si>
    <t>525 AIRPORT RD.</t>
  </si>
  <si>
    <t>HOT SPRINGS, AR 71913</t>
  </si>
  <si>
    <t>Western Pneumatics - Simsboro</t>
  </si>
  <si>
    <t>Western Pulp Product - Jacksonville</t>
  </si>
  <si>
    <t>Western Regional Ser - Salt Lake City</t>
  </si>
  <si>
    <t>Western Sintering - Richland</t>
  </si>
  <si>
    <t>Western Sod - Casa Grande</t>
  </si>
  <si>
    <t>Casa Grande,AZ 85230</t>
  </si>
  <si>
    <t>Western States Parts - Central Point</t>
  </si>
  <si>
    <t>Long Beach,CA 90801</t>
  </si>
  <si>
    <t>Westlake Polymers Co - Sulphur</t>
  </si>
  <si>
    <t>Weston Company - New Orleans</t>
  </si>
  <si>
    <t>4819 Baudin Street</t>
  </si>
  <si>
    <t>(504) 486-6653</t>
  </si>
  <si>
    <t>(504) 486-6444</t>
  </si>
  <si>
    <t>Weston Company - Shreveport</t>
  </si>
  <si>
    <t>3520 Mansfield Road</t>
  </si>
  <si>
    <t>(318) 227-1871</t>
  </si>
  <si>
    <t>(318) 424-1640</t>
  </si>
  <si>
    <t>Westren Lm O&amp;M-G4Roq - Kahlotus</t>
  </si>
  <si>
    <t>Kahlotus,WA 99335</t>
  </si>
  <si>
    <t>Westvaco - Cleveland</t>
  </si>
  <si>
    <t>Westvaco - Covington</t>
  </si>
  <si>
    <t>Westvaco - Evadale</t>
  </si>
  <si>
    <t>Evadale,TX 77615</t>
  </si>
  <si>
    <t>Westvaco - North Charleston</t>
  </si>
  <si>
    <t>North Charleston,SC 2</t>
  </si>
  <si>
    <t>Westvaco - Springfield</t>
  </si>
  <si>
    <t>Springfield,MA 01104</t>
  </si>
  <si>
    <t>Westvaco - Wickliffe</t>
  </si>
  <si>
    <t>Wickliffe,KY 42087</t>
  </si>
  <si>
    <t>Westvaco Developement - Summerville</t>
  </si>
  <si>
    <t>Summerville,SC 29484</t>
  </si>
  <si>
    <t>Westwood Ind - Junction City</t>
  </si>
  <si>
    <t>Junction City,OR 9744</t>
  </si>
  <si>
    <t>Wetsel-Oviatt Lumber - El Dorado</t>
  </si>
  <si>
    <t>El Dorado,CA 95762</t>
  </si>
  <si>
    <t>Wey Valve - Nettleton</t>
  </si>
  <si>
    <t xml:space="preserve">Hwy 6 North </t>
  </si>
  <si>
    <t>Nettleton,MS 38858</t>
  </si>
  <si>
    <t>(662) 963-2020</t>
  </si>
  <si>
    <t>(662) 963-2025</t>
  </si>
  <si>
    <t>2056 JESSE HALL MEM RD.</t>
  </si>
  <si>
    <t>MAGNOLIA, MS 39652</t>
  </si>
  <si>
    <t>Weyerhaeuser Co - Bruce</t>
  </si>
  <si>
    <t>Weyerhaeuser Co - Elkin</t>
  </si>
  <si>
    <t>Highway 268</t>
  </si>
  <si>
    <t>(336) 835-5100 ext 481</t>
  </si>
  <si>
    <t>Weyerhaeuser Co - Holen</t>
  </si>
  <si>
    <t>Holen,LA 70744</t>
  </si>
  <si>
    <t>Weyerhaeuser Co - Little Rock</t>
  </si>
  <si>
    <t>Weyerhaeuser Co - Springfield</t>
  </si>
  <si>
    <t>7616 Hwy. 10 West</t>
  </si>
  <si>
    <t>Wright City,OK 74766</t>
  </si>
  <si>
    <t>706 US Hwy. 167</t>
  </si>
  <si>
    <t>Dodson,LA 71422</t>
  </si>
  <si>
    <t>Vailent,OK 74764</t>
  </si>
  <si>
    <t>Mt. Pine,AR 71956</t>
  </si>
  <si>
    <t>Highway 79 South</t>
  </si>
  <si>
    <t>Emerson, AR 71740</t>
  </si>
  <si>
    <t>Wheelabrator - Auburndale</t>
  </si>
  <si>
    <t>Auburndale,FL 33823</t>
  </si>
  <si>
    <t>Wheeler Corp - Shelbyville</t>
  </si>
  <si>
    <t>Wheland Foundry - Chattanooga</t>
  </si>
  <si>
    <t>Whi Sales - Irvine</t>
  </si>
  <si>
    <t>6338 Sierra Elena</t>
  </si>
  <si>
    <t>Irvine,CA 92612</t>
  </si>
  <si>
    <t>(714) 854-8067</t>
  </si>
  <si>
    <t>(714) 725-0334</t>
  </si>
  <si>
    <t>Whirlpool Co - Clyde</t>
  </si>
  <si>
    <t>Clyde,OH 43410</t>
  </si>
  <si>
    <t>Whirlpool Co - Lavergne</t>
  </si>
  <si>
    <t>Whisler Bearing CO - Colorado Springs</t>
  </si>
  <si>
    <t>3025 Delta Drive</t>
  </si>
  <si>
    <t>(719) 392-0101</t>
  </si>
  <si>
    <t>Whisler Bearing Co - Colorado Springs</t>
  </si>
  <si>
    <t>3399 North Cascade Avenue</t>
  </si>
  <si>
    <t>(719) 475-7217</t>
  </si>
  <si>
    <t>(719) 475-2918</t>
  </si>
  <si>
    <t>Whistler Machine Wor - Whistler</t>
  </si>
  <si>
    <t>Whistler,AL 36612</t>
  </si>
  <si>
    <t>White Brothers Compa - Walla Walla</t>
  </si>
  <si>
    <t>Walla Walla,WA 9936</t>
  </si>
  <si>
    <t>White Castle Systems - Columbus</t>
  </si>
  <si>
    <t>White Consolidated Inc - Anderson</t>
  </si>
  <si>
    <t>Weiser,ID 83672</t>
  </si>
  <si>
    <t>Whitmire Container</t>
  </si>
  <si>
    <t>215 Park Ave. West</t>
  </si>
  <si>
    <t>Whittier Wood Produc - Eugene</t>
  </si>
  <si>
    <t>Wiegmann - Freeburgm</t>
  </si>
  <si>
    <t>Freeburgm,IL 62243</t>
  </si>
  <si>
    <t>644 220th St</t>
  </si>
  <si>
    <t>Winthrop, IA 50682</t>
  </si>
  <si>
    <t>WPS/ Crosby's customer to Drop ship</t>
  </si>
  <si>
    <t>Wiggins Lumber Co. - Wiggins</t>
  </si>
  <si>
    <t>Wightman Lumber Co. - Portlandville</t>
  </si>
  <si>
    <t>Portlandville,NY 138</t>
  </si>
  <si>
    <t>Wilbur Ellis Co. - El Centro</t>
  </si>
  <si>
    <t>Wilco Molding, Inc.</t>
  </si>
  <si>
    <t>2435 Rock Island Blvd.</t>
  </si>
  <si>
    <t>Maryland Heights, MO, 63043</t>
  </si>
  <si>
    <t>314-872-9252</t>
  </si>
  <si>
    <t>314-872-3017</t>
  </si>
  <si>
    <t>Knight Hawk Supplies Customer</t>
  </si>
  <si>
    <t>Wildish Sand And Grarvel - Eugene</t>
  </si>
  <si>
    <t>WILKES-BARRE MATERIAL LLC</t>
  </si>
  <si>
    <t>130 RIDGEWOOD ROAD</t>
  </si>
  <si>
    <t>PLAINES, PA 18702-7109</t>
  </si>
  <si>
    <t>Willamette - Albany</t>
  </si>
  <si>
    <t>Willamette - Dodson</t>
  </si>
  <si>
    <t>Willamette - Moncure</t>
  </si>
  <si>
    <t>Willamette - Taylor</t>
  </si>
  <si>
    <t>Willamina Lumber - Willamina</t>
  </si>
  <si>
    <t>Willamina,OR 97396</t>
  </si>
  <si>
    <t>Willard Engineering - Paramount</t>
  </si>
  <si>
    <t>Williams Advance Mat - Wheatfield</t>
  </si>
  <si>
    <t>Wheatfield,NY 14304</t>
  </si>
  <si>
    <t>2450 Production Drive</t>
  </si>
  <si>
    <t>989-471-5513</t>
  </si>
  <si>
    <t>989-471-5531</t>
  </si>
  <si>
    <t>Williams Equipment - Olathe</t>
  </si>
  <si>
    <t>14808 W 117th</t>
  </si>
  <si>
    <t>Olathe,KS 66063</t>
  </si>
  <si>
    <t>(800) 736-9326</t>
  </si>
  <si>
    <t>(913) 764-8372</t>
  </si>
  <si>
    <t>Williams Equipment - Springfield</t>
  </si>
  <si>
    <t>221 E. Sunshine Road Suite G</t>
  </si>
  <si>
    <t>Springfield,MO 65807</t>
  </si>
  <si>
    <t>(417) 831-1090</t>
  </si>
  <si>
    <t>(417) 839-9455</t>
  </si>
  <si>
    <t>Williams Machine Works - Moss Point</t>
  </si>
  <si>
    <t>Moss Point,MS 39563</t>
  </si>
  <si>
    <t>Williams-Bonnell Co. - Newman</t>
  </si>
  <si>
    <t xml:space="preserve">Newman,GA </t>
  </si>
  <si>
    <t>Williamson Ind Prod - Longview</t>
  </si>
  <si>
    <t>Willie Fluid Power - East Pittsburgh</t>
  </si>
  <si>
    <t>560 Braddock Ave</t>
  </si>
  <si>
    <t>East Pittsburgh,PA 15112</t>
  </si>
  <si>
    <t>Willman Ind - Cedar Groove</t>
  </si>
  <si>
    <t>338 South Main</t>
  </si>
  <si>
    <t>Cedar Groove,WI 53013</t>
  </si>
  <si>
    <t>Willow Creek Concrete - Fairbault</t>
  </si>
  <si>
    <t>3701 Park NW</t>
  </si>
  <si>
    <t>Fairbault, MN 55021</t>
  </si>
  <si>
    <t>Willow Creek Concrete Products</t>
  </si>
  <si>
    <t>12626 County Road 150</t>
  </si>
  <si>
    <t>Kimball,MN 55353</t>
  </si>
  <si>
    <t>Wilmington Hydraulic - Wilmington</t>
  </si>
  <si>
    <t>Wilmington Machine - Wilmington</t>
  </si>
  <si>
    <t>4628 No Chase Prkwy</t>
  </si>
  <si>
    <t>(910) 452-5090</t>
  </si>
  <si>
    <t>Wilmington Precision - Sabina</t>
  </si>
  <si>
    <t>Sabina,OH 45969</t>
  </si>
  <si>
    <t>Wilson Company - San Antonio</t>
  </si>
  <si>
    <t>San Antonio,TX 78225</t>
  </si>
  <si>
    <t>Wilson Industrial El - Elberton</t>
  </si>
  <si>
    <t>745 Woodall Road</t>
  </si>
  <si>
    <t>355-9198</t>
  </si>
  <si>
    <t>355-6881</t>
  </si>
  <si>
    <t>Wise Alloys</t>
  </si>
  <si>
    <t>4805 Second St Hwy.184 East</t>
  </si>
  <si>
    <t>256-386-6305</t>
  </si>
  <si>
    <t>256-386-6132</t>
  </si>
  <si>
    <t>Womack Machine Supply</t>
  </si>
  <si>
    <t>1417 Forestdale Blvd.</t>
  </si>
  <si>
    <t>Birmingham, AL 35214</t>
  </si>
  <si>
    <t>WPS - Simboro</t>
  </si>
  <si>
    <t>318-247-8918</t>
  </si>
  <si>
    <t>318-2478094</t>
  </si>
  <si>
    <t>WPS- West Monroe</t>
  </si>
  <si>
    <t>228 Industrial Street</t>
  </si>
  <si>
    <t xml:space="preserve">XR W0L7 ANNISTON MUNITIONS CENTER TRANS OFFICER </t>
  </si>
  <si>
    <t>7 FRANKFORD AVE BLDG 380</t>
  </si>
  <si>
    <t>ANNISTON, AL 36201-4199</t>
  </si>
  <si>
    <t>256-235-6837</t>
  </si>
  <si>
    <t>Ziegler</t>
  </si>
  <si>
    <t>901 W 94th Street</t>
  </si>
  <si>
    <t>Bloomington, MN 55420-4299</t>
  </si>
  <si>
    <t>952-888-4121</t>
  </si>
  <si>
    <t>800-352-2812</t>
  </si>
  <si>
    <t>Cylinder Application Eng</t>
  </si>
  <si>
    <t>Comments:</t>
  </si>
  <si>
    <t>Constellium</t>
  </si>
  <si>
    <t>Energy Hydraulics</t>
  </si>
  <si>
    <t>Bossier City, LA 71112</t>
  </si>
  <si>
    <t>318-629-0322</t>
  </si>
  <si>
    <t>BE</t>
  </si>
  <si>
    <t>RE</t>
  </si>
  <si>
    <t>CE</t>
  </si>
  <si>
    <t>ARE</t>
  </si>
  <si>
    <t>ACE</t>
  </si>
  <si>
    <t>ABE</t>
  </si>
  <si>
    <t>Product Description</t>
  </si>
  <si>
    <t>Unit Price</t>
  </si>
  <si>
    <t>Allocated</t>
  </si>
  <si>
    <t>TR031</t>
  </si>
  <si>
    <t>Tie Rod</t>
  </si>
  <si>
    <t>TRN031</t>
  </si>
  <si>
    <t>Tie Rod Nuts</t>
  </si>
  <si>
    <t>A25B</t>
  </si>
  <si>
    <t>R138</t>
  </si>
  <si>
    <t>A25PB</t>
  </si>
  <si>
    <t>A25BB</t>
  </si>
  <si>
    <t>Air Nitrile Barrel Seal</t>
  </si>
  <si>
    <t>138GP</t>
  </si>
  <si>
    <t>Polyurethane Rod Seal</t>
  </si>
  <si>
    <t>PIB138</t>
  </si>
  <si>
    <t>Nitrile Piston ID Oring Seal</t>
  </si>
  <si>
    <t>GBO138</t>
  </si>
  <si>
    <t>Nitrile Gland Oring Seal</t>
  </si>
  <si>
    <t>A25MS2REH</t>
  </si>
  <si>
    <t>Air REH Head</t>
  </si>
  <si>
    <t>A25P137</t>
  </si>
  <si>
    <t>Air Piston</t>
  </si>
  <si>
    <t>A25MS2CEH</t>
  </si>
  <si>
    <t>Air BEH Head</t>
  </si>
  <si>
    <t>TR038</t>
  </si>
  <si>
    <t>TRN038</t>
  </si>
  <si>
    <t>A32B</t>
  </si>
  <si>
    <t>CSHN</t>
  </si>
  <si>
    <t>Cushion Screw Nut</t>
  </si>
  <si>
    <t>CSHL</t>
  </si>
  <si>
    <t>Cushion Screw Long (Hyd)</t>
  </si>
  <si>
    <t>A32PB</t>
  </si>
  <si>
    <t>Air Nitrile Piston Seal</t>
  </si>
  <si>
    <t>A32BB</t>
  </si>
  <si>
    <t>G138</t>
  </si>
  <si>
    <t>Gland</t>
  </si>
  <si>
    <t>A32MS2REH</t>
  </si>
  <si>
    <t>A32P137</t>
  </si>
  <si>
    <t>ACC138</t>
  </si>
  <si>
    <t>Air Cushion Collar</t>
  </si>
  <si>
    <t>A32MS2CEH</t>
  </si>
  <si>
    <t>R062</t>
  </si>
  <si>
    <t>A25MP1</t>
  </si>
  <si>
    <t>PIB062</t>
  </si>
  <si>
    <t>GBO062</t>
  </si>
  <si>
    <t>G062</t>
  </si>
  <si>
    <t>A25REH062</t>
  </si>
  <si>
    <t>A25P062</t>
  </si>
  <si>
    <t>R100</t>
  </si>
  <si>
    <t>A40B</t>
  </si>
  <si>
    <t>A40PB</t>
  </si>
  <si>
    <t>A40BB</t>
  </si>
  <si>
    <t>100GP</t>
  </si>
  <si>
    <t>PIB100</t>
  </si>
  <si>
    <t>GBO100</t>
  </si>
  <si>
    <t>G100</t>
  </si>
  <si>
    <t>A40REH100</t>
  </si>
  <si>
    <t>A40P100</t>
  </si>
  <si>
    <t>A40CEH</t>
  </si>
  <si>
    <t>062RWV</t>
  </si>
  <si>
    <t>Viton Rod Wiper</t>
  </si>
  <si>
    <t>100RWV</t>
  </si>
  <si>
    <t>138RWV</t>
  </si>
  <si>
    <t>175RWV</t>
  </si>
  <si>
    <t>200RWV</t>
  </si>
  <si>
    <t>250RWV</t>
  </si>
  <si>
    <t>300RWV</t>
  </si>
  <si>
    <t>350RWV</t>
  </si>
  <si>
    <t>400RWV</t>
  </si>
  <si>
    <t>450RWV</t>
  </si>
  <si>
    <t>500RWV</t>
  </si>
  <si>
    <t>062GV</t>
  </si>
  <si>
    <t>Viton Rod Seal</t>
  </si>
  <si>
    <t>100GV</t>
  </si>
  <si>
    <t>138GV</t>
  </si>
  <si>
    <t>175GV</t>
  </si>
  <si>
    <t>200GV</t>
  </si>
  <si>
    <t>250GV</t>
  </si>
  <si>
    <t>300GV</t>
  </si>
  <si>
    <t>350GV</t>
  </si>
  <si>
    <t>400GV</t>
  </si>
  <si>
    <t>450GV</t>
  </si>
  <si>
    <t>500GV</t>
  </si>
  <si>
    <t>550GV</t>
  </si>
  <si>
    <t>GVO062</t>
  </si>
  <si>
    <t>Viton Gland Oring Seal</t>
  </si>
  <si>
    <t>GVO100</t>
  </si>
  <si>
    <t>GVO138</t>
  </si>
  <si>
    <t>GVO175</t>
  </si>
  <si>
    <t>GVO200</t>
  </si>
  <si>
    <t>GVO250</t>
  </si>
  <si>
    <t>GVO300</t>
  </si>
  <si>
    <t>GVO350</t>
  </si>
  <si>
    <t>GVO400</t>
  </si>
  <si>
    <t>GVO450</t>
  </si>
  <si>
    <t>GVO500</t>
  </si>
  <si>
    <t>GVO550</t>
  </si>
  <si>
    <t>TRS</t>
  </si>
  <si>
    <t>TRN025</t>
  </si>
  <si>
    <t>TRN050</t>
  </si>
  <si>
    <t>TRN062</t>
  </si>
  <si>
    <t>TRN087</t>
  </si>
  <si>
    <t>TRN100</t>
  </si>
  <si>
    <t>TRN112</t>
  </si>
  <si>
    <t>TRN125</t>
  </si>
  <si>
    <t>TR025</t>
  </si>
  <si>
    <t>TR050</t>
  </si>
  <si>
    <t>TR062</t>
  </si>
  <si>
    <t>TR087</t>
  </si>
  <si>
    <t>TR100</t>
  </si>
  <si>
    <t>TR112</t>
  </si>
  <si>
    <t>TR125</t>
  </si>
  <si>
    <t>GTOB062</t>
  </si>
  <si>
    <t>Teflon Gland Oring Backup Seal</t>
  </si>
  <si>
    <t>GTOB100</t>
  </si>
  <si>
    <t>GTOB138</t>
  </si>
  <si>
    <t>GTOB175</t>
  </si>
  <si>
    <t>GTOB200</t>
  </si>
  <si>
    <t>GTOB250</t>
  </si>
  <si>
    <t>GTOB300</t>
  </si>
  <si>
    <t>GTOB350</t>
  </si>
  <si>
    <t>GTOB400</t>
  </si>
  <si>
    <t>GTOB450</t>
  </si>
  <si>
    <t>GTOB500</t>
  </si>
  <si>
    <t>GTOB550</t>
  </si>
  <si>
    <t>TRSS025</t>
  </si>
  <si>
    <t>Stainless Steel Tie Rod</t>
  </si>
  <si>
    <t>TRSS031</t>
  </si>
  <si>
    <t>TRSS038</t>
  </si>
  <si>
    <t>TRSS050</t>
  </si>
  <si>
    <t>TRSS062</t>
  </si>
  <si>
    <t>TRSS087</t>
  </si>
  <si>
    <t>TRSS100</t>
  </si>
  <si>
    <t>TRSS112</t>
  </si>
  <si>
    <t>TRSS125</t>
  </si>
  <si>
    <t>RSS062</t>
  </si>
  <si>
    <t>Stainless Steel Rod</t>
  </si>
  <si>
    <t>RSS100</t>
  </si>
  <si>
    <t>RSS138</t>
  </si>
  <si>
    <t>RSS175</t>
  </si>
  <si>
    <t>RSS200</t>
  </si>
  <si>
    <t>RSS250</t>
  </si>
  <si>
    <t>RSS300</t>
  </si>
  <si>
    <t>RSS350</t>
  </si>
  <si>
    <t>RSS400</t>
  </si>
  <si>
    <t>RSS450</t>
  </si>
  <si>
    <t>RSS500</t>
  </si>
  <si>
    <t>RSS550</t>
  </si>
  <si>
    <t>TRNSS025</t>
  </si>
  <si>
    <t>Stainless Steel Nuts</t>
  </si>
  <si>
    <t>TRNSS031</t>
  </si>
  <si>
    <t>TRNSS038</t>
  </si>
  <si>
    <t>TRNSS050</t>
  </si>
  <si>
    <t>TRNSS062</t>
  </si>
  <si>
    <t>TRNSS087</t>
  </si>
  <si>
    <t>TRNSS100</t>
  </si>
  <si>
    <t>TRNSS112</t>
  </si>
  <si>
    <t>TRNSS125</t>
  </si>
  <si>
    <t>SA Male Eye 7/16-20</t>
  </si>
  <si>
    <t>SA Male Eye 3/4-16</t>
  </si>
  <si>
    <t>SA Male Eye 1-14</t>
  </si>
  <si>
    <t>SA Male Eye 1 7/8-12</t>
  </si>
  <si>
    <t>SA Male Eye 1 1/4-12</t>
  </si>
  <si>
    <t>SA Male Eye 1 1/2-12</t>
  </si>
  <si>
    <t>SA Clevis Bracket</t>
  </si>
  <si>
    <t>SCB138</t>
  </si>
  <si>
    <t>SCB175</t>
  </si>
  <si>
    <t>R175</t>
  </si>
  <si>
    <t>R200</t>
  </si>
  <si>
    <t>R250</t>
  </si>
  <si>
    <t>R300</t>
  </si>
  <si>
    <t>R350</t>
  </si>
  <si>
    <t>R400</t>
  </si>
  <si>
    <t>R450</t>
  </si>
  <si>
    <t>R500</t>
  </si>
  <si>
    <t>R550</t>
  </si>
  <si>
    <t>Polyurethane Rod Wiper</t>
  </si>
  <si>
    <t>100RWP</t>
  </si>
  <si>
    <t>138RWP</t>
  </si>
  <si>
    <t>175RWP</t>
  </si>
  <si>
    <t>200RWP</t>
  </si>
  <si>
    <t>250RWP</t>
  </si>
  <si>
    <t>300RWP</t>
  </si>
  <si>
    <t>350RWP</t>
  </si>
  <si>
    <t>400RWP</t>
  </si>
  <si>
    <t>450RWP</t>
  </si>
  <si>
    <t>500RWP</t>
  </si>
  <si>
    <t>550RWP</t>
  </si>
  <si>
    <t>175GP</t>
  </si>
  <si>
    <t>200GP</t>
  </si>
  <si>
    <t>250GP</t>
  </si>
  <si>
    <t>300GP</t>
  </si>
  <si>
    <t>350GP</t>
  </si>
  <si>
    <t>400GP</t>
  </si>
  <si>
    <t>450GP</t>
  </si>
  <si>
    <t>500GP</t>
  </si>
  <si>
    <t>550GP</t>
  </si>
  <si>
    <t>PIB175</t>
  </si>
  <si>
    <t>PIB200</t>
  </si>
  <si>
    <t>PIB250</t>
  </si>
  <si>
    <t>PIB300</t>
  </si>
  <si>
    <t>PIB350</t>
  </si>
  <si>
    <t>PIB400</t>
  </si>
  <si>
    <t>PIB450</t>
  </si>
  <si>
    <t>PIB500</t>
  </si>
  <si>
    <t>PIB550</t>
  </si>
  <si>
    <t>GBO175</t>
  </si>
  <si>
    <t>GBO200</t>
  </si>
  <si>
    <t>GBO250</t>
  </si>
  <si>
    <t>GBO300</t>
  </si>
  <si>
    <t>GBO350</t>
  </si>
  <si>
    <t>GBO400</t>
  </si>
  <si>
    <t>GBO450</t>
  </si>
  <si>
    <t>GBO500</t>
  </si>
  <si>
    <t>GBO550</t>
  </si>
  <si>
    <t>A15B</t>
  </si>
  <si>
    <t>A20B</t>
  </si>
  <si>
    <t>A50B</t>
  </si>
  <si>
    <t>A60B</t>
  </si>
  <si>
    <t>A70B</t>
  </si>
  <si>
    <t>A80B</t>
  </si>
  <si>
    <t>Hydraulic Retainer</t>
  </si>
  <si>
    <t>GHR150</t>
  </si>
  <si>
    <t>GHR200</t>
  </si>
  <si>
    <t>GHR250</t>
  </si>
  <si>
    <t>GHR325</t>
  </si>
  <si>
    <t>GHR400</t>
  </si>
  <si>
    <t>GHR500</t>
  </si>
  <si>
    <t>GHR600</t>
  </si>
  <si>
    <t>GHR700</t>
  </si>
  <si>
    <t>GHR800</t>
  </si>
  <si>
    <t>HCC062</t>
  </si>
  <si>
    <t>Hydraulic Cushion Collar</t>
  </si>
  <si>
    <t>HCC100</t>
  </si>
  <si>
    <t>HCC138</t>
  </si>
  <si>
    <t>HCC175</t>
  </si>
  <si>
    <t>HCC200</t>
  </si>
  <si>
    <t>HCC250</t>
  </si>
  <si>
    <t>HCC300</t>
  </si>
  <si>
    <t>HCC400</t>
  </si>
  <si>
    <t>HCC450</t>
  </si>
  <si>
    <t>HCC500</t>
  </si>
  <si>
    <t>HCC550</t>
  </si>
  <si>
    <t>Hyd REH Head</t>
  </si>
  <si>
    <t>H15ME5</t>
  </si>
  <si>
    <t>H15MS2REH</t>
  </si>
  <si>
    <t>H15MT1</t>
  </si>
  <si>
    <t>H15REH062</t>
  </si>
  <si>
    <t>H15REH100</t>
  </si>
  <si>
    <t>H20ME5</t>
  </si>
  <si>
    <t>H20MS2REH</t>
  </si>
  <si>
    <t>H20MT1</t>
  </si>
  <si>
    <t>H20REH100</t>
  </si>
  <si>
    <t>H20REH137</t>
  </si>
  <si>
    <t>H25ME5</t>
  </si>
  <si>
    <t>H25MS2REH</t>
  </si>
  <si>
    <t>H25MT1</t>
  </si>
  <si>
    <t>H25REH100</t>
  </si>
  <si>
    <t>H25REH137</t>
  </si>
  <si>
    <t>H25REH175</t>
  </si>
  <si>
    <t>H32ME5</t>
  </si>
  <si>
    <t>H32MS2REH</t>
  </si>
  <si>
    <t>H32MT1</t>
  </si>
  <si>
    <t>H32REH137</t>
  </si>
  <si>
    <t>H32REH175</t>
  </si>
  <si>
    <t>H32REH200</t>
  </si>
  <si>
    <t>H40ME5</t>
  </si>
  <si>
    <t>H40MS2REH</t>
  </si>
  <si>
    <t>H40MT1</t>
  </si>
  <si>
    <t>H40REH175</t>
  </si>
  <si>
    <t>H40REH200</t>
  </si>
  <si>
    <t>H40REH250</t>
  </si>
  <si>
    <t>H50ME5</t>
  </si>
  <si>
    <t>H50MS2REH</t>
  </si>
  <si>
    <t>H50MT1</t>
  </si>
  <si>
    <t>H50REH200</t>
  </si>
  <si>
    <t>H50REH250</t>
  </si>
  <si>
    <t>H50REH300</t>
  </si>
  <si>
    <t>H50REH350</t>
  </si>
  <si>
    <t>H60ME5</t>
  </si>
  <si>
    <t>H60MS2REH</t>
  </si>
  <si>
    <t>H60MT1</t>
  </si>
  <si>
    <t>H60REH250</t>
  </si>
  <si>
    <t>H60REH300</t>
  </si>
  <si>
    <t>H60REH350</t>
  </si>
  <si>
    <t>H60REH400</t>
  </si>
  <si>
    <t>H70ME3</t>
  </si>
  <si>
    <t>H70ME5</t>
  </si>
  <si>
    <t>H70MS2REH</t>
  </si>
  <si>
    <t>H70MT1</t>
  </si>
  <si>
    <t>H70REH300</t>
  </si>
  <si>
    <t>H70REH350</t>
  </si>
  <si>
    <t>H70REH400</t>
  </si>
  <si>
    <t>H70REH450</t>
  </si>
  <si>
    <t>H70REH500</t>
  </si>
  <si>
    <t>H80ME3</t>
  </si>
  <si>
    <t>H80ME5</t>
  </si>
  <si>
    <t>H80MS2REH</t>
  </si>
  <si>
    <t>H80MT1</t>
  </si>
  <si>
    <t>H80REH350</t>
  </si>
  <si>
    <t>H80REH400</t>
  </si>
  <si>
    <t>H80REH450</t>
  </si>
  <si>
    <t>H80REH500</t>
  </si>
  <si>
    <t>H80REH550</t>
  </si>
  <si>
    <t>Hyd BEH Head</t>
  </si>
  <si>
    <t>H15CEH</t>
  </si>
  <si>
    <t>H15CEHTT</t>
  </si>
  <si>
    <t>H15ME6</t>
  </si>
  <si>
    <t>H15MP1</t>
  </si>
  <si>
    <t>H15MP2</t>
  </si>
  <si>
    <t>H15MP3</t>
  </si>
  <si>
    <t>H15MPU3</t>
  </si>
  <si>
    <t>H15MS2CEH</t>
  </si>
  <si>
    <t>H15MT2</t>
  </si>
  <si>
    <t>H20CEH</t>
  </si>
  <si>
    <t>H20CEHTT</t>
  </si>
  <si>
    <t>H20ME6</t>
  </si>
  <si>
    <t>H20MP1</t>
  </si>
  <si>
    <t>H20MP2</t>
  </si>
  <si>
    <t>H20MP3</t>
  </si>
  <si>
    <t>H20MPU3</t>
  </si>
  <si>
    <t>H20MS2CEH</t>
  </si>
  <si>
    <t>H20MT2</t>
  </si>
  <si>
    <t>H25CEH</t>
  </si>
  <si>
    <t>H25CEHTT</t>
  </si>
  <si>
    <t>H25ME6</t>
  </si>
  <si>
    <t>H25MP1</t>
  </si>
  <si>
    <t>H25MP2</t>
  </si>
  <si>
    <t>H25MP3</t>
  </si>
  <si>
    <t>H25MPU3</t>
  </si>
  <si>
    <t>H25MS2CEH</t>
  </si>
  <si>
    <t>H25MT2</t>
  </si>
  <si>
    <t>H32CEH</t>
  </si>
  <si>
    <t>H32CEHTT</t>
  </si>
  <si>
    <t>H32ME6</t>
  </si>
  <si>
    <t>H32MP1</t>
  </si>
  <si>
    <t>H32MP2</t>
  </si>
  <si>
    <t>H32MP3</t>
  </si>
  <si>
    <t>H32MPU3</t>
  </si>
  <si>
    <t>H32MS2CEH</t>
  </si>
  <si>
    <t>H32MT2</t>
  </si>
  <si>
    <t>H40CEH</t>
  </si>
  <si>
    <t>H40CEHTT</t>
  </si>
  <si>
    <t>H40ME6</t>
  </si>
  <si>
    <t>H40MP1</t>
  </si>
  <si>
    <t>H40MP2</t>
  </si>
  <si>
    <t>H40MP3</t>
  </si>
  <si>
    <t>H40MPU3</t>
  </si>
  <si>
    <t>H40MS2CEH</t>
  </si>
  <si>
    <t>H40MT2</t>
  </si>
  <si>
    <t>H50CEH</t>
  </si>
  <si>
    <t>H50CEHTT</t>
  </si>
  <si>
    <t>H50ME6</t>
  </si>
  <si>
    <t>H50MP1</t>
  </si>
  <si>
    <t>H50MP2</t>
  </si>
  <si>
    <t>H50MP3</t>
  </si>
  <si>
    <t>H50MS2CEH</t>
  </si>
  <si>
    <t>H50MT2</t>
  </si>
  <si>
    <t>H60CEH</t>
  </si>
  <si>
    <t>H60CEHTT</t>
  </si>
  <si>
    <t>H60ME6</t>
  </si>
  <si>
    <t>H60MP1</t>
  </si>
  <si>
    <t>H60MP2</t>
  </si>
  <si>
    <t>H60MP3</t>
  </si>
  <si>
    <t>H60MS2CEH</t>
  </si>
  <si>
    <t>H60MT2</t>
  </si>
  <si>
    <t>H70CEH</t>
  </si>
  <si>
    <t>H70CEHTT</t>
  </si>
  <si>
    <t>H70ME4</t>
  </si>
  <si>
    <t>H70ME6</t>
  </si>
  <si>
    <t>H70MP1</t>
  </si>
  <si>
    <t>H70MP2</t>
  </si>
  <si>
    <t>H70MP3</t>
  </si>
  <si>
    <t>H70MS2CEH</t>
  </si>
  <si>
    <t>H70MT2</t>
  </si>
  <si>
    <t>H80CEH</t>
  </si>
  <si>
    <t>H80CEHTT</t>
  </si>
  <si>
    <t>H80ME4</t>
  </si>
  <si>
    <t>H80ME6</t>
  </si>
  <si>
    <t>H80MP1</t>
  </si>
  <si>
    <t>H80MP2</t>
  </si>
  <si>
    <t>H80MP3</t>
  </si>
  <si>
    <t>H80MS2CEH</t>
  </si>
  <si>
    <t>H80MT2</t>
  </si>
  <si>
    <t>H15B</t>
  </si>
  <si>
    <t>H20B</t>
  </si>
  <si>
    <t>H25B</t>
  </si>
  <si>
    <t>H32B</t>
  </si>
  <si>
    <t>H40B</t>
  </si>
  <si>
    <t>H50B</t>
  </si>
  <si>
    <t>H60B</t>
  </si>
  <si>
    <t>H70B</t>
  </si>
  <si>
    <t>H80B</t>
  </si>
  <si>
    <t>CSH4</t>
  </si>
  <si>
    <t>H400LONG</t>
  </si>
  <si>
    <t>CSH</t>
  </si>
  <si>
    <t>H150SCREW</t>
  </si>
  <si>
    <t>H Viton Piston Seal</t>
  </si>
  <si>
    <t>H15PV</t>
  </si>
  <si>
    <t>H20PV</t>
  </si>
  <si>
    <t>H25PV</t>
  </si>
  <si>
    <t>H32PV</t>
  </si>
  <si>
    <t>H40PV</t>
  </si>
  <si>
    <t>H50PV</t>
  </si>
  <si>
    <t>H60PV</t>
  </si>
  <si>
    <t>H70PV</t>
  </si>
  <si>
    <t>H80PV</t>
  </si>
  <si>
    <t>H Viton Barrel Seal</t>
  </si>
  <si>
    <t>H15BV</t>
  </si>
  <si>
    <t>H20BV</t>
  </si>
  <si>
    <t>H25BV</t>
  </si>
  <si>
    <t>H32BV</t>
  </si>
  <si>
    <t>H40BV</t>
  </si>
  <si>
    <t>H50BV</t>
  </si>
  <si>
    <t>H60BV</t>
  </si>
  <si>
    <t>H70BV</t>
  </si>
  <si>
    <t>H80BV</t>
  </si>
  <si>
    <t>H Polyurethane Piston Seal</t>
  </si>
  <si>
    <t>H15PP</t>
  </si>
  <si>
    <t>H20PP</t>
  </si>
  <si>
    <t>H25PP</t>
  </si>
  <si>
    <t>H32PP</t>
  </si>
  <si>
    <t>H40PP</t>
  </si>
  <si>
    <t>H50PP</t>
  </si>
  <si>
    <t>H60PP</t>
  </si>
  <si>
    <t>H70PP</t>
  </si>
  <si>
    <t>H80PP</t>
  </si>
  <si>
    <t>H Piston</t>
  </si>
  <si>
    <t>H15P062</t>
  </si>
  <si>
    <t>H15P100</t>
  </si>
  <si>
    <t>H20P100</t>
  </si>
  <si>
    <t>H20P137</t>
  </si>
  <si>
    <t>H25P100</t>
  </si>
  <si>
    <t>H25P137</t>
  </si>
  <si>
    <t>H25P175</t>
  </si>
  <si>
    <t>H32P137</t>
  </si>
  <si>
    <t>H32P175</t>
  </si>
  <si>
    <t>H32P200</t>
  </si>
  <si>
    <t>H40P175</t>
  </si>
  <si>
    <t>H40P200</t>
  </si>
  <si>
    <t>H40P250</t>
  </si>
  <si>
    <t>H50P200</t>
  </si>
  <si>
    <t>H50P250</t>
  </si>
  <si>
    <t>H50P300</t>
  </si>
  <si>
    <t>H50P350</t>
  </si>
  <si>
    <t>H60P250</t>
  </si>
  <si>
    <t>H60P300</t>
  </si>
  <si>
    <t>H60P350</t>
  </si>
  <si>
    <t>H60P400</t>
  </si>
  <si>
    <t>H70P300</t>
  </si>
  <si>
    <t>H70P350</t>
  </si>
  <si>
    <t>H70P400</t>
  </si>
  <si>
    <t>H70P450</t>
  </si>
  <si>
    <t>H70P500</t>
  </si>
  <si>
    <t>H80P350</t>
  </si>
  <si>
    <t>H80P400</t>
  </si>
  <si>
    <t>H80P450</t>
  </si>
  <si>
    <t>H80P500</t>
  </si>
  <si>
    <t>H80P550</t>
  </si>
  <si>
    <t>H Nitrile/Buna Piston Seal</t>
  </si>
  <si>
    <t>H15PB</t>
  </si>
  <si>
    <t>H20PB</t>
  </si>
  <si>
    <t>H25PB</t>
  </si>
  <si>
    <t>H32PB</t>
  </si>
  <si>
    <t>H40PB</t>
  </si>
  <si>
    <t>H50PB</t>
  </si>
  <si>
    <t>H60PB</t>
  </si>
  <si>
    <t>H70PB</t>
  </si>
  <si>
    <t>H80PB</t>
  </si>
  <si>
    <t>H Nitrile Barrel Seal</t>
  </si>
  <si>
    <t>H15BB</t>
  </si>
  <si>
    <t>H20BB</t>
  </si>
  <si>
    <t>H25BB</t>
  </si>
  <si>
    <t>H32BB</t>
  </si>
  <si>
    <t>H40BB</t>
  </si>
  <si>
    <t>H50BB</t>
  </si>
  <si>
    <t>H60BB</t>
  </si>
  <si>
    <t>H70BB</t>
  </si>
  <si>
    <t>H80BB</t>
  </si>
  <si>
    <t>H MT4</t>
  </si>
  <si>
    <t>H15MT4</t>
  </si>
  <si>
    <t>H20MT4</t>
  </si>
  <si>
    <t>H25MT4</t>
  </si>
  <si>
    <t>H32MT4</t>
  </si>
  <si>
    <t>H40MT4</t>
  </si>
  <si>
    <t>H50MT4</t>
  </si>
  <si>
    <t>H60MT4</t>
  </si>
  <si>
    <t>H70MT4</t>
  </si>
  <si>
    <t>H80MT4</t>
  </si>
  <si>
    <t>H15MF6</t>
  </si>
  <si>
    <t>H MF6</t>
  </si>
  <si>
    <t>H20MF6</t>
  </si>
  <si>
    <t>H25MF6</t>
  </si>
  <si>
    <t>H32MF6</t>
  </si>
  <si>
    <t>H40MF6</t>
  </si>
  <si>
    <t>H50MF6</t>
  </si>
  <si>
    <t>H60MF6</t>
  </si>
  <si>
    <t>H70MF6</t>
  </si>
  <si>
    <t>H80MF6</t>
  </si>
  <si>
    <t>H15MF5</t>
  </si>
  <si>
    <t>H MF5</t>
  </si>
  <si>
    <t>H20MF5</t>
  </si>
  <si>
    <t>H25MF5</t>
  </si>
  <si>
    <t>H32MF5</t>
  </si>
  <si>
    <t>H40MF5</t>
  </si>
  <si>
    <t>H50MF5</t>
  </si>
  <si>
    <t>H60MF5</t>
  </si>
  <si>
    <t>H70MF5</t>
  </si>
  <si>
    <t>H80MF5</t>
  </si>
  <si>
    <t>H15MF2</t>
  </si>
  <si>
    <t>H MF2</t>
  </si>
  <si>
    <t>H20MF2</t>
  </si>
  <si>
    <t>H25MF2</t>
  </si>
  <si>
    <t>H32MF2</t>
  </si>
  <si>
    <t>H40MF2</t>
  </si>
  <si>
    <t>H50MF2</t>
  </si>
  <si>
    <t>H60MF2</t>
  </si>
  <si>
    <t>H70MF2</t>
  </si>
  <si>
    <t>H80MF2</t>
  </si>
  <si>
    <t>H15MF1</t>
  </si>
  <si>
    <t>H MF1</t>
  </si>
  <si>
    <t>H20MF1</t>
  </si>
  <si>
    <t>H25MF1</t>
  </si>
  <si>
    <t>H32MF1</t>
  </si>
  <si>
    <t>H40MF1</t>
  </si>
  <si>
    <t>H50MF1</t>
  </si>
  <si>
    <t>H60MF1</t>
  </si>
  <si>
    <t>H70MF1</t>
  </si>
  <si>
    <t>H80MF1</t>
  </si>
  <si>
    <t>H Low Friction Piston Seal</t>
  </si>
  <si>
    <t>H15PL</t>
  </si>
  <si>
    <t>H20PL</t>
  </si>
  <si>
    <t>H25PL</t>
  </si>
  <si>
    <t>H32PL</t>
  </si>
  <si>
    <t>H40PL</t>
  </si>
  <si>
    <t>H50PL</t>
  </si>
  <si>
    <t>H60PL</t>
  </si>
  <si>
    <t>H70PL</t>
  </si>
  <si>
    <t>H80PL</t>
  </si>
  <si>
    <t>H Cast Iron Piston Seal</t>
  </si>
  <si>
    <t>H15PC</t>
  </si>
  <si>
    <t>H20PC</t>
  </si>
  <si>
    <t>H25PC</t>
  </si>
  <si>
    <t>H32PC</t>
  </si>
  <si>
    <t>H40PC</t>
  </si>
  <si>
    <t>H50PC</t>
  </si>
  <si>
    <t>H60PC</t>
  </si>
  <si>
    <t>H70PC</t>
  </si>
  <si>
    <t>H80PC</t>
  </si>
  <si>
    <t>G062R</t>
  </si>
  <si>
    <t>Gland for Retainer</t>
  </si>
  <si>
    <t>G100R</t>
  </si>
  <si>
    <t>G138R</t>
  </si>
  <si>
    <t>G175R</t>
  </si>
  <si>
    <t>G200R</t>
  </si>
  <si>
    <t>G250R</t>
  </si>
  <si>
    <t>G175</t>
  </si>
  <si>
    <t>G200</t>
  </si>
  <si>
    <t>G250</t>
  </si>
  <si>
    <t>G300</t>
  </si>
  <si>
    <t>G350</t>
  </si>
  <si>
    <t>G400</t>
  </si>
  <si>
    <t>G450</t>
  </si>
  <si>
    <t>G500</t>
  </si>
  <si>
    <t>G550</t>
  </si>
  <si>
    <t>CSHN4</t>
  </si>
  <si>
    <t>Cushion Screw Nut Large</t>
  </si>
  <si>
    <t>Air Viton Piston Seal</t>
  </si>
  <si>
    <t>A15PV</t>
  </si>
  <si>
    <t>A20PV</t>
  </si>
  <si>
    <t>A25PV</t>
  </si>
  <si>
    <t>A32PV</t>
  </si>
  <si>
    <t>A40PV</t>
  </si>
  <si>
    <t>A50PV</t>
  </si>
  <si>
    <t>A60PV</t>
  </si>
  <si>
    <t>A70PV</t>
  </si>
  <si>
    <t>A80PV</t>
  </si>
  <si>
    <t>Air Viton Barrel Seal</t>
  </si>
  <si>
    <t>A15BV</t>
  </si>
  <si>
    <t>A20BV</t>
  </si>
  <si>
    <t>A25BV</t>
  </si>
  <si>
    <t>A32BV</t>
  </si>
  <si>
    <t>A40BV</t>
  </si>
  <si>
    <t>A50BV</t>
  </si>
  <si>
    <t>A60BV</t>
  </si>
  <si>
    <t>A70BV</t>
  </si>
  <si>
    <t>A80BV</t>
  </si>
  <si>
    <t>GAR150</t>
  </si>
  <si>
    <t>Air Retainer</t>
  </si>
  <si>
    <t>GAR200</t>
  </si>
  <si>
    <t>GAR250</t>
  </si>
  <si>
    <t>GAR325</t>
  </si>
  <si>
    <t>GAR400</t>
  </si>
  <si>
    <t>GAR500</t>
  </si>
  <si>
    <t>GAR600</t>
  </si>
  <si>
    <t>GAR800</t>
  </si>
  <si>
    <t>A15MS2REH</t>
  </si>
  <si>
    <t>A15MT1</t>
  </si>
  <si>
    <t>A15REH062</t>
  </si>
  <si>
    <t>A15REH100</t>
  </si>
  <si>
    <t>A20MS2REH</t>
  </si>
  <si>
    <t>A20MT1</t>
  </si>
  <si>
    <t>A20REH062</t>
  </si>
  <si>
    <t>A20REH100</t>
  </si>
  <si>
    <t>A20REH137</t>
  </si>
  <si>
    <t>A25MT1</t>
  </si>
  <si>
    <t>A25REH100</t>
  </si>
  <si>
    <t>A25REH137</t>
  </si>
  <si>
    <t>A25REH175</t>
  </si>
  <si>
    <t>A32MT1</t>
  </si>
  <si>
    <t>A32REH100</t>
  </si>
  <si>
    <t>A32REH137</t>
  </si>
  <si>
    <t>A32REH175</t>
  </si>
  <si>
    <t>A32REH200</t>
  </si>
  <si>
    <t>A40MS2REH</t>
  </si>
  <si>
    <t>A40MT1</t>
  </si>
  <si>
    <t>A40REH137</t>
  </si>
  <si>
    <t>A40REH175</t>
  </si>
  <si>
    <t>A40REH200</t>
  </si>
  <si>
    <t>A50MS2REH</t>
  </si>
  <si>
    <t>A50MT1</t>
  </si>
  <si>
    <t>A50REH100</t>
  </si>
  <si>
    <t>A50REH137</t>
  </si>
  <si>
    <t>A50REH175</t>
  </si>
  <si>
    <t>A50REH200</t>
  </si>
  <si>
    <t>A60MS2REH</t>
  </si>
  <si>
    <t>A60MT1</t>
  </si>
  <si>
    <t>A60REH137</t>
  </si>
  <si>
    <t>A60REH175</t>
  </si>
  <si>
    <t>A60REH200</t>
  </si>
  <si>
    <t>A60REH250</t>
  </si>
  <si>
    <t>A70ME3</t>
  </si>
  <si>
    <t>A70REH137</t>
  </si>
  <si>
    <t>A70REH175</t>
  </si>
  <si>
    <t>A70REH200</t>
  </si>
  <si>
    <t>A70REH250</t>
  </si>
  <si>
    <t>A80ME3</t>
  </si>
  <si>
    <t>A80MS2REH</t>
  </si>
  <si>
    <t>A80MT1</t>
  </si>
  <si>
    <t>A80REH137</t>
  </si>
  <si>
    <t>A80REH175</t>
  </si>
  <si>
    <t>A80REH200</t>
  </si>
  <si>
    <t>A80REH250</t>
  </si>
  <si>
    <t>A15P062</t>
  </si>
  <si>
    <t>A15P100</t>
  </si>
  <si>
    <t>A20P062</t>
  </si>
  <si>
    <t>A20P100</t>
  </si>
  <si>
    <t>A20P137</t>
  </si>
  <si>
    <t>A25P100</t>
  </si>
  <si>
    <t>A25P175</t>
  </si>
  <si>
    <t>A32P100</t>
  </si>
  <si>
    <t>A32P175</t>
  </si>
  <si>
    <t>A32P200</t>
  </si>
  <si>
    <t>A40P137</t>
  </si>
  <si>
    <t>A40P175</t>
  </si>
  <si>
    <t>A40P200</t>
  </si>
  <si>
    <t>A50P100</t>
  </si>
  <si>
    <t>A50P137</t>
  </si>
  <si>
    <t>A50P175</t>
  </si>
  <si>
    <t>A50P200</t>
  </si>
  <si>
    <t>A60P137</t>
  </si>
  <si>
    <t>A60P175</t>
  </si>
  <si>
    <t>A60P200</t>
  </si>
  <si>
    <t>A60P250</t>
  </si>
  <si>
    <t>A70P137</t>
  </si>
  <si>
    <t>A70P175</t>
  </si>
  <si>
    <t>A70P200</t>
  </si>
  <si>
    <t>A70P250</t>
  </si>
  <si>
    <t>A80P137</t>
  </si>
  <si>
    <t>A80P175</t>
  </si>
  <si>
    <t>A80P200</t>
  </si>
  <si>
    <t>A80P250</t>
  </si>
  <si>
    <t>A15PB</t>
  </si>
  <si>
    <t>A20PB</t>
  </si>
  <si>
    <t>A50PB</t>
  </si>
  <si>
    <t>A60PB</t>
  </si>
  <si>
    <t>A70PB</t>
  </si>
  <si>
    <t>A80PB</t>
  </si>
  <si>
    <t>A15BB</t>
  </si>
  <si>
    <t>A20BB</t>
  </si>
  <si>
    <t>A50BB</t>
  </si>
  <si>
    <t>A60BB</t>
  </si>
  <si>
    <t>A70BB</t>
  </si>
  <si>
    <t>A80BB</t>
  </si>
  <si>
    <t>Air MT4</t>
  </si>
  <si>
    <t>A15MT4</t>
  </si>
  <si>
    <t>A20MT4</t>
  </si>
  <si>
    <t>A25MT4</t>
  </si>
  <si>
    <t>A32MT4</t>
  </si>
  <si>
    <t>A40MT4</t>
  </si>
  <si>
    <t>A50MT4</t>
  </si>
  <si>
    <t>A60MT4</t>
  </si>
  <si>
    <t>A70MT4</t>
  </si>
  <si>
    <t>A80MT4</t>
  </si>
  <si>
    <t>A15MF6</t>
  </si>
  <si>
    <t>Air MF6</t>
  </si>
  <si>
    <t>A20MF6</t>
  </si>
  <si>
    <t>A25MF6</t>
  </si>
  <si>
    <t>A32MF6</t>
  </si>
  <si>
    <t>A40MF6</t>
  </si>
  <si>
    <t>A50MF6</t>
  </si>
  <si>
    <t>A60MF6</t>
  </si>
  <si>
    <t>A70MF6</t>
  </si>
  <si>
    <t>A80MF6</t>
  </si>
  <si>
    <t>A15MF5</t>
  </si>
  <si>
    <t>Air MF5</t>
  </si>
  <si>
    <t>A20MF5</t>
  </si>
  <si>
    <t>A25MF5</t>
  </si>
  <si>
    <t>A32MF5</t>
  </si>
  <si>
    <t>A40MF5</t>
  </si>
  <si>
    <t>A50MF5</t>
  </si>
  <si>
    <t>A60MF5</t>
  </si>
  <si>
    <t>A70MF5</t>
  </si>
  <si>
    <t>A80MF5</t>
  </si>
  <si>
    <t>A15MF2</t>
  </si>
  <si>
    <t>Air MF2</t>
  </si>
  <si>
    <t>A20MF2</t>
  </si>
  <si>
    <t>A25MF2</t>
  </si>
  <si>
    <t>A32MF2</t>
  </si>
  <si>
    <t>A40MF2</t>
  </si>
  <si>
    <t>A50MF2</t>
  </si>
  <si>
    <t>A60MF2</t>
  </si>
  <si>
    <t>A70MF2</t>
  </si>
  <si>
    <t>A80MF2</t>
  </si>
  <si>
    <t>A15MF1</t>
  </si>
  <si>
    <t>Air MF1</t>
  </si>
  <si>
    <t>A20MF1</t>
  </si>
  <si>
    <t>A25MF1</t>
  </si>
  <si>
    <t>A32MF1</t>
  </si>
  <si>
    <t>A40MF1</t>
  </si>
  <si>
    <t>A50MF1</t>
  </si>
  <si>
    <t>A60MF1</t>
  </si>
  <si>
    <t>A70MF1</t>
  </si>
  <si>
    <t>A80MF1</t>
  </si>
  <si>
    <t>Air Low Friction Piston Seal</t>
  </si>
  <si>
    <t>A15PL</t>
  </si>
  <si>
    <t>A20PL</t>
  </si>
  <si>
    <t>A25PL</t>
  </si>
  <si>
    <t>A32PL</t>
  </si>
  <si>
    <t>A40PL</t>
  </si>
  <si>
    <t>A50PL</t>
  </si>
  <si>
    <t>A60PL</t>
  </si>
  <si>
    <t>A70PL</t>
  </si>
  <si>
    <t>A80PL</t>
  </si>
  <si>
    <t>ACC062</t>
  </si>
  <si>
    <t>ACC100</t>
  </si>
  <si>
    <t>ACC175</t>
  </si>
  <si>
    <t>ACC200</t>
  </si>
  <si>
    <t>ACC250</t>
  </si>
  <si>
    <t>AB</t>
  </si>
  <si>
    <t>A15CEH</t>
  </si>
  <si>
    <t>A15CEHTT</t>
  </si>
  <si>
    <t>A15MP1</t>
  </si>
  <si>
    <t>A15MP2</t>
  </si>
  <si>
    <t>A15MP3</t>
  </si>
  <si>
    <t>A15MPU3</t>
  </si>
  <si>
    <t>A15MS2CEH</t>
  </si>
  <si>
    <t>A15MT2</t>
  </si>
  <si>
    <t>A20CEH</t>
  </si>
  <si>
    <t>A20CEHTT</t>
  </si>
  <si>
    <t>A20MP1</t>
  </si>
  <si>
    <t>A20MP2</t>
  </si>
  <si>
    <t>A20MP3</t>
  </si>
  <si>
    <t>A20MPU3</t>
  </si>
  <si>
    <t>A20MS2CEH</t>
  </si>
  <si>
    <t>A20MT2</t>
  </si>
  <si>
    <t>A25CEH</t>
  </si>
  <si>
    <t>A25CEHTT</t>
  </si>
  <si>
    <t>A25MP2</t>
  </si>
  <si>
    <t>A25MP3</t>
  </si>
  <si>
    <t>A25MPU3</t>
  </si>
  <si>
    <t>A25MT2</t>
  </si>
  <si>
    <t>A32CEH</t>
  </si>
  <si>
    <t>A32CEHTT</t>
  </si>
  <si>
    <t>A32MP1</t>
  </si>
  <si>
    <t>A32MP2</t>
  </si>
  <si>
    <t>A32MP3</t>
  </si>
  <si>
    <t>A32MPU3</t>
  </si>
  <si>
    <t>A32MT2</t>
  </si>
  <si>
    <t>A40MP1</t>
  </si>
  <si>
    <t>A40MP2</t>
  </si>
  <si>
    <t>A40MP3</t>
  </si>
  <si>
    <t>A40MPU3</t>
  </si>
  <si>
    <t>A40MS2CEH</t>
  </si>
  <si>
    <t>A40MT2</t>
  </si>
  <si>
    <t>A50CEH</t>
  </si>
  <si>
    <t>A50MP1</t>
  </si>
  <si>
    <t>A50MP2</t>
  </si>
  <si>
    <t>A50MP3</t>
  </si>
  <si>
    <t>A50MPU3</t>
  </si>
  <si>
    <t>A50MS2CEH</t>
  </si>
  <si>
    <t>A50MT2</t>
  </si>
  <si>
    <t>A60CEH</t>
  </si>
  <si>
    <t>A60MP1</t>
  </si>
  <si>
    <t>A60MP2</t>
  </si>
  <si>
    <t>A60MP3</t>
  </si>
  <si>
    <t>A60MPU3</t>
  </si>
  <si>
    <t>A60MS2CEH</t>
  </si>
  <si>
    <t>A60MT2</t>
  </si>
  <si>
    <t>A70CEH</t>
  </si>
  <si>
    <t>A70ME4</t>
  </si>
  <si>
    <t>A80CEH</t>
  </si>
  <si>
    <t>A80ME4</t>
  </si>
  <si>
    <t>A80MP1</t>
  </si>
  <si>
    <t>A80MP2</t>
  </si>
  <si>
    <t>A80MP3</t>
  </si>
  <si>
    <t>A80MPU3</t>
  </si>
  <si>
    <t>A80MS2CEH</t>
  </si>
  <si>
    <t>A80MT2</t>
  </si>
  <si>
    <t>CSA</t>
  </si>
  <si>
    <t>150ADJSHORT</t>
  </si>
  <si>
    <t>Part Number</t>
  </si>
  <si>
    <t>Profit</t>
  </si>
  <si>
    <t>Labor Cost</t>
  </si>
  <si>
    <t>Hose</t>
  </si>
  <si>
    <t>Per foot</t>
  </si>
  <si>
    <t>Connector</t>
  </si>
  <si>
    <t>471TC-4-RL</t>
  </si>
  <si>
    <t>471TC-6-RL</t>
  </si>
  <si>
    <t>471TC-8-RL</t>
  </si>
  <si>
    <t>471TC-10-RL</t>
  </si>
  <si>
    <t>471TC-12-RL</t>
  </si>
  <si>
    <t>471TC-16-RL</t>
  </si>
  <si>
    <t>foot Adder</t>
  </si>
  <si>
    <t>1242 Comstock Street Suite A</t>
  </si>
  <si>
    <t>Marne, MI 49435</t>
  </si>
  <si>
    <t>616-677-3475</t>
  </si>
  <si>
    <t>550RWV</t>
  </si>
  <si>
    <t>062RWP</t>
  </si>
  <si>
    <t>062GP</t>
  </si>
  <si>
    <t>Alabama Bearings</t>
  </si>
  <si>
    <t>Advanced Fluid Power Customer</t>
  </si>
  <si>
    <t xml:space="preserve">760 Lowe Ave </t>
  </si>
  <si>
    <t>Wallaceburg, ON N8A 5H5 CANADA</t>
  </si>
  <si>
    <t>AFP</t>
  </si>
  <si>
    <t>200-B Perimeter Park Road</t>
  </si>
  <si>
    <t>Knoxville, TN 37922</t>
  </si>
  <si>
    <t>(865) 693-1751</t>
  </si>
  <si>
    <t>(865 )693-1964</t>
  </si>
  <si>
    <t>ENGINNERED SALES CUSTOMER</t>
  </si>
  <si>
    <t>Air Gas</t>
  </si>
  <si>
    <t>91-102 Kaomi Loop</t>
  </si>
  <si>
    <t>Kapolei, HI 96707</t>
  </si>
  <si>
    <t>CO2 Air's Customer</t>
  </si>
  <si>
    <t>1445 Reeves Street</t>
  </si>
  <si>
    <t>(800) 932-8879</t>
  </si>
  <si>
    <t>Hal Moye</t>
  </si>
  <si>
    <t>Pleasant Prairi, WI 53158</t>
  </si>
  <si>
    <t>Motion Ind - Racine, WI's Customer</t>
  </si>
  <si>
    <t>IBT Merriam, KS cust.</t>
  </si>
  <si>
    <t>IBT - Coffeyville's customer</t>
  </si>
  <si>
    <t>Atlast Fluid Power's Customer</t>
  </si>
  <si>
    <t>B&amp;D Technologies</t>
  </si>
  <si>
    <t>918 Smith Avenue</t>
  </si>
  <si>
    <t>Thomasville, GA 31792</t>
  </si>
  <si>
    <t>229-228-1640</t>
  </si>
  <si>
    <t>229-228-6275</t>
  </si>
  <si>
    <t xml:space="preserve">BMH </t>
  </si>
  <si>
    <t>bvv@bmhhyd.com</t>
  </si>
  <si>
    <t>Complete Automation</t>
  </si>
  <si>
    <t>Copper State Rubber</t>
  </si>
  <si>
    <t>10485 W Roosevelt Street</t>
  </si>
  <si>
    <t>Avondale, AZ 85392</t>
  </si>
  <si>
    <t>Cross City Lumber</t>
  </si>
  <si>
    <t>59 Northeast 132nd Ave</t>
  </si>
  <si>
    <t>Cross City, FL 32628</t>
  </si>
  <si>
    <t>Andy Chesser</t>
  </si>
  <si>
    <t>CTA c/o IBT</t>
  </si>
  <si>
    <t>Cullman Casting - Bill To</t>
  </si>
  <si>
    <t>PO Box 894</t>
  </si>
  <si>
    <t>North Vernon, IN 47265</t>
  </si>
  <si>
    <t>Cullman Casting - Ship To</t>
  </si>
  <si>
    <t>7501 Half Mile Road</t>
  </si>
  <si>
    <t>1426 Natchitoches Street</t>
  </si>
  <si>
    <t>318-537-8111</t>
  </si>
  <si>
    <t>Kenny</t>
  </si>
  <si>
    <t>Energy Hydraulics - BC</t>
  </si>
  <si>
    <t>4500 Industrial Drive Extended</t>
  </si>
  <si>
    <t>HQM SOUTH</t>
  </si>
  <si>
    <t>2700 CLEMENS ROAD</t>
  </si>
  <si>
    <t>HATFIELD, PA 19440</t>
  </si>
  <si>
    <t>MOTION CUSTOMER</t>
  </si>
  <si>
    <t>JIT Military Sales</t>
  </si>
  <si>
    <t>26670 Success Drive</t>
  </si>
  <si>
    <t>Madison, AL 35756</t>
  </si>
  <si>
    <t>256-286-0006</t>
  </si>
  <si>
    <t>256-351-5007</t>
  </si>
  <si>
    <t>John Deere Power Products</t>
  </si>
  <si>
    <t>1630 Hal Henard Road</t>
  </si>
  <si>
    <t>Greeneville, TN 37743</t>
  </si>
  <si>
    <t>Kraft - Springfield</t>
  </si>
  <si>
    <t>2035 East Bennett Street</t>
  </si>
  <si>
    <t>(844) 602-4027</t>
  </si>
  <si>
    <t>BDI Customer</t>
  </si>
  <si>
    <t>MARTIN PLANT SERVICES</t>
  </si>
  <si>
    <t>10000 GA HIGHWAY 34 EAST</t>
  </si>
  <si>
    <t>NEWNAN GA 30265</t>
  </si>
  <si>
    <t>Martin Plant Services</t>
  </si>
  <si>
    <t>Buyer for Delphi Replaced Setech</t>
  </si>
  <si>
    <t>Martin Plant Services @ Mueller Co.</t>
  </si>
  <si>
    <t>Martin Supply Company - Sheffield</t>
  </si>
  <si>
    <t>200 Appleton Ave</t>
  </si>
  <si>
    <t>(800) 828-8116</t>
  </si>
  <si>
    <t>MPS@MUELLER COMPANY - CHATTANOOGA</t>
  </si>
  <si>
    <t>Mueller - Chattanooga</t>
  </si>
  <si>
    <t>1401 Mueller Ave</t>
  </si>
  <si>
    <t>Chattanooga,TN 37408</t>
  </si>
  <si>
    <t>N.U.W.C. - Keyport</t>
  </si>
  <si>
    <t>N00253-10-P-0719 - Naval Undersea Warfare Center - Keyport</t>
  </si>
  <si>
    <t>610 Dowell Street, C/182 BLDG 206</t>
  </si>
  <si>
    <t>Keyport, WA, 98345-7610</t>
  </si>
  <si>
    <t>360-315-6745</t>
  </si>
  <si>
    <t>N65923 Nadep Rec Ofc - Cherry Point</t>
  </si>
  <si>
    <t>Cherry Point,NC 2853</t>
  </si>
  <si>
    <t>Naval Undersea Warfare Center - Peal Harbor</t>
  </si>
  <si>
    <t>1894 WASP BLVD, BLDG 133</t>
  </si>
  <si>
    <t>Pearl Harbor, HI, 96860-5809</t>
  </si>
  <si>
    <t>808-472-0314</t>
  </si>
  <si>
    <t>NEDU</t>
  </si>
  <si>
    <t>Panama City, FL</t>
  </si>
  <si>
    <t>SPM7M0-12-M-6991</t>
  </si>
  <si>
    <t>FB6281 152 AW LGS     CP 775 788 9337    1776 NATIONAL GUARD WAY</t>
  </si>
  <si>
    <t>Reno, NV 89502-4415</t>
  </si>
  <si>
    <t>SPM7M4-11-M-0689 - DLA Columbus</t>
  </si>
  <si>
    <t>Columbus, OH 43218</t>
  </si>
  <si>
    <t>SPM7MC-11-M-0442 - BILL TO</t>
  </si>
  <si>
    <t>PO BOX 3990</t>
  </si>
  <si>
    <t>COLUMBUS, OHIO 403218</t>
  </si>
  <si>
    <t>SPM7MC-11-M-0442 - SHIP TO</t>
  </si>
  <si>
    <t>7537 WARDLEIGH ROAD BLDG 849W</t>
  </si>
  <si>
    <t>HILL AFB, UTAH 84056-5734</t>
  </si>
  <si>
    <t>Timber Automation - Bill To</t>
  </si>
  <si>
    <t>PO Box 22718</t>
  </si>
  <si>
    <t>Timber Automation - Hot Springs</t>
  </si>
  <si>
    <t>Timber Automation - Malvem</t>
  </si>
  <si>
    <t>TRI-MARK CORP</t>
  </si>
  <si>
    <t>500 BAILEY AVE</t>
  </si>
  <si>
    <t>NEW HAMPTON, IA 50659</t>
  </si>
  <si>
    <t>EHA customer</t>
  </si>
  <si>
    <t>TRI-STATE HYDRAULICS</t>
  </si>
  <si>
    <t>1310 CUSHMAN STREET</t>
  </si>
  <si>
    <t>CHATTANOOGA, TN 37406</t>
  </si>
  <si>
    <t>423-698-1515</t>
  </si>
  <si>
    <t>423-698-0618</t>
  </si>
  <si>
    <t>YATES DEALER  GARY</t>
  </si>
  <si>
    <t>WestRock</t>
  </si>
  <si>
    <t>Robert Potter</t>
  </si>
  <si>
    <t>Weyerhaeuser Co - Magnolia</t>
  </si>
  <si>
    <t>WINSTON PLYWOOD AND VENEER</t>
  </si>
  <si>
    <t>1160 SOUTH CHURCH STREET</t>
  </si>
  <si>
    <t>LOUISVILLE, MS 39339</t>
  </si>
  <si>
    <t>PRICE LOG PRO - TIMBER AUTOMATION</t>
  </si>
  <si>
    <t xml:space="preserve">B&amp;D Technologies </t>
  </si>
  <si>
    <t>mbeckham@bdindustrial.com</t>
  </si>
  <si>
    <t>918 Smith Ave</t>
  </si>
  <si>
    <t>YOKOHAMA</t>
  </si>
  <si>
    <t>1 Yokohama Blvd</t>
  </si>
  <si>
    <t>West Point, MS 39773</t>
  </si>
  <si>
    <t>(800) 423-4544</t>
  </si>
  <si>
    <t>Earvin Harmon</t>
  </si>
  <si>
    <t>989-354-1375</t>
  </si>
  <si>
    <t>989-358-7186</t>
  </si>
  <si>
    <t>David Hornick davidho@innovatechsolutionscorp.com</t>
  </si>
  <si>
    <t>3750 US-23 North</t>
  </si>
  <si>
    <t>UNI-CRAFT CORP</t>
  </si>
  <si>
    <t>26178 B Drive North</t>
  </si>
  <si>
    <t>Albion, MI 49224</t>
  </si>
  <si>
    <t>517-630-0486</t>
  </si>
  <si>
    <t>21410 Southwest 89th Road</t>
  </si>
  <si>
    <t>Beatrice, NE 68310</t>
  </si>
  <si>
    <t>402-228-1554</t>
  </si>
  <si>
    <t>2300 Fairlanes Blvd.</t>
  </si>
  <si>
    <t>Borger, TX 79007</t>
  </si>
  <si>
    <t>806-274-6329</t>
  </si>
  <si>
    <t>1084 Fender Trail Northeast</t>
  </si>
  <si>
    <t>601-833-9600</t>
  </si>
  <si>
    <t>4421 South 16th Street</t>
  </si>
  <si>
    <t>Fort Smith, AR 72901</t>
  </si>
  <si>
    <t>479-648-9477</t>
  </si>
  <si>
    <t>198 Continental Avenue</t>
  </si>
  <si>
    <t>Greenville, OH 45331</t>
  </si>
  <si>
    <t>937-316-6160</t>
  </si>
  <si>
    <t>218 Weisenberger Road</t>
  </si>
  <si>
    <t>Madison, MS 39110</t>
  </si>
  <si>
    <t>601-956-2704</t>
  </si>
  <si>
    <t>651 Solano Way</t>
  </si>
  <si>
    <t>Martinez, CA 94553</t>
  </si>
  <si>
    <t>925-229-4350</t>
  </si>
  <si>
    <t>140 Distillery Road</t>
  </si>
  <si>
    <t>Pekin, IL 61554</t>
  </si>
  <si>
    <t>309-346-7515</t>
  </si>
  <si>
    <t>1285 S 300 W</t>
  </si>
  <si>
    <t>Washington, IN 47501</t>
  </si>
  <si>
    <t>812-257-0470</t>
  </si>
  <si>
    <t>721 Sixth Avenue Southeast</t>
  </si>
  <si>
    <t>Winnebago, MN 56098</t>
  </si>
  <si>
    <t>507-893-4944</t>
  </si>
  <si>
    <t>Continental Carbonic - Albion</t>
  </si>
  <si>
    <t>Continental Carbonic - Beatrice</t>
  </si>
  <si>
    <t>Continental Carbonic - Borger</t>
  </si>
  <si>
    <t>Continental Carbonic - Brookhaven</t>
  </si>
  <si>
    <t>Continental Carbonic - Fort Smith</t>
  </si>
  <si>
    <t>Continental Carbonic - Greenville</t>
  </si>
  <si>
    <t>Continental Carbonic - Madison</t>
  </si>
  <si>
    <t>Continental Carbonic - Martinez</t>
  </si>
  <si>
    <t>Continental Carbonic - Pekin</t>
  </si>
  <si>
    <t>Continental Carbonic - Washington</t>
  </si>
  <si>
    <t>Continental Carbonic - Winnebago</t>
  </si>
  <si>
    <t>High Load Seals</t>
  </si>
  <si>
    <t>Buna N +L Seals</t>
  </si>
  <si>
    <t>Viton Seal High Load</t>
  </si>
  <si>
    <t>Viton Seal/High Load</t>
  </si>
  <si>
    <t>18800 WITNESS OAK WAY</t>
  </si>
  <si>
    <t>LITTLE ROCK AR 72210</t>
  </si>
  <si>
    <t>HYDRAULIC SERVICE SOLUTIONS LLC</t>
  </si>
  <si>
    <t>501-779-8975</t>
  </si>
  <si>
    <t>Pneumatic Automation</t>
  </si>
  <si>
    <t>220 Bearden Road</t>
  </si>
  <si>
    <t xml:space="preserve">205-620-1952 </t>
  </si>
  <si>
    <t>Brandon Furgerson</t>
  </si>
  <si>
    <t>Hydrafab Hydraulics</t>
  </si>
  <si>
    <t>6042 Old Tuscaloosa Hwy</t>
  </si>
  <si>
    <t>McCalla, AL 35111</t>
  </si>
  <si>
    <t>205-504-6792</t>
  </si>
  <si>
    <t>jeffdenney28@yahoo.com</t>
  </si>
  <si>
    <t>Jeff Denny</t>
  </si>
  <si>
    <t>COMOSO</t>
  </si>
  <si>
    <t>911 N Poinsettia Street</t>
  </si>
  <si>
    <t>Santa Anna, CA 92701</t>
  </si>
  <si>
    <t>THERMAL PROCESS DEVELOPMENT</t>
  </si>
  <si>
    <t>5665 Atlanta Hwy. Suite 102B-225</t>
  </si>
  <si>
    <t>Alpharetta, Ga. 30004</t>
  </si>
  <si>
    <t>770-203-2772</t>
  </si>
  <si>
    <t>Andrew Berry</t>
  </si>
  <si>
    <t>Panel Craft Inc</t>
  </si>
  <si>
    <t>1308 Industrial Dr SE</t>
  </si>
  <si>
    <t>(256) 773-8844</t>
  </si>
  <si>
    <t>Wink</t>
  </si>
  <si>
    <t>Emsco, Inc</t>
  </si>
  <si>
    <t>1501 Sentinel Drive</t>
  </si>
  <si>
    <t>(256)-835-1700</t>
  </si>
  <si>
    <t>(256)-835-0921</t>
  </si>
  <si>
    <t>bbeason@emsco.com</t>
  </si>
  <si>
    <t>Anniston, AL 36207</t>
  </si>
  <si>
    <t>713-579-7340</t>
  </si>
  <si>
    <t xml:space="preserve">713-579-7301 </t>
  </si>
  <si>
    <t>John May</t>
  </si>
  <si>
    <t>8765 Old Craft Road</t>
  </si>
  <si>
    <t>Ferguson Engineering</t>
  </si>
  <si>
    <t>662-895-5595</t>
  </si>
  <si>
    <t>jaferguson@fergusonhydraulics.com</t>
  </si>
  <si>
    <t>GNB Industrial Power/Exide Technologies</t>
  </si>
  <si>
    <t>3001 Fairfax Traffic Way</t>
  </si>
  <si>
    <t xml:space="preserve">Kansas City, KS 66115 </t>
  </si>
  <si>
    <t>913-321-3561</t>
  </si>
  <si>
    <t>Maria Mckelvy (maria.mckelvy@exide.com)</t>
  </si>
  <si>
    <t>Pratt Hydraulics, LLC</t>
  </si>
  <si>
    <t>1920 Rankin Rd Ste 155</t>
  </si>
  <si>
    <t xml:space="preserve">281-602-3200 </t>
  </si>
  <si>
    <t>Houston, TX 77073</t>
  </si>
  <si>
    <t xml:space="preserve">dherbstjr@dubuquehose.com </t>
  </si>
  <si>
    <t>500 East 14th St.</t>
  </si>
  <si>
    <t>Dubuque, IA 52001</t>
  </si>
  <si>
    <t>563-582-4673</t>
  </si>
  <si>
    <t>563-582-8939</t>
  </si>
  <si>
    <t>Bulloch Hydraulics</t>
  </si>
  <si>
    <t>1555 Foster Williams Rd</t>
  </si>
  <si>
    <t>Register, GA 30452</t>
  </si>
  <si>
    <t>912-488-2550</t>
  </si>
  <si>
    <t>Repair house</t>
  </si>
  <si>
    <t>Phone/Email:</t>
  </si>
  <si>
    <t>Yakima, WA 98902</t>
  </si>
  <si>
    <t>(509) 248-8220</t>
  </si>
  <si>
    <t>(509) 248-8223</t>
  </si>
  <si>
    <t>215 South 4th Avenue</t>
  </si>
  <si>
    <t>Nashville, TN 37210</t>
  </si>
  <si>
    <t>321 Hill Ave</t>
  </si>
  <si>
    <t>Centro - Nashville</t>
  </si>
  <si>
    <t>(615) 255-2220</t>
  </si>
  <si>
    <t>Viton</t>
  </si>
  <si>
    <t>Raymond O’Dell</t>
  </si>
  <si>
    <t>Net 30</t>
  </si>
  <si>
    <t>(205) 384-9088</t>
  </si>
  <si>
    <t>Jeff Hopper</t>
  </si>
  <si>
    <t>Magnum Press</t>
  </si>
  <si>
    <t>Adamsville, TN 38310</t>
  </si>
  <si>
    <t>Thermal Technology</t>
  </si>
  <si>
    <t>TB Services</t>
  </si>
  <si>
    <t>1962 South Van Avenue</t>
  </si>
  <si>
    <t>985-858-2156</t>
  </si>
  <si>
    <t>Wayne</t>
  </si>
  <si>
    <t>725 E Main St</t>
  </si>
  <si>
    <t>(855) 498-7077</t>
  </si>
  <si>
    <t>Mueller Copper Tube - Fulton</t>
  </si>
  <si>
    <t>Fulton, MS 38843</t>
  </si>
  <si>
    <t>400 Mueller Brass Rd</t>
  </si>
  <si>
    <t xml:space="preserve">662-862-1730 </t>
  </si>
  <si>
    <t>1338 Petroleum Parkway</t>
  </si>
  <si>
    <t>Days:</t>
  </si>
  <si>
    <t>Applied Industrial Tech - Lebanon</t>
  </si>
  <si>
    <t>Applied Industrial Tech - Richmond, MS</t>
  </si>
  <si>
    <t>Applied Industrial Tech - Kokomo</t>
  </si>
  <si>
    <t>Applied Industrial Tech - Cleveland, OH</t>
  </si>
  <si>
    <t>1609 James P Rodgers Dr</t>
  </si>
  <si>
    <t>(229) 244-3600</t>
  </si>
  <si>
    <t>Adam Sanders</t>
  </si>
  <si>
    <t>Rainsville Technology Inc</t>
  </si>
  <si>
    <t>189 RTI Drive</t>
  </si>
  <si>
    <t>Rainsville, AL 35986</t>
  </si>
  <si>
    <t>256-638-9760</t>
  </si>
  <si>
    <t xml:space="preserve">Equality, AL 36026 </t>
  </si>
  <si>
    <t>6887 Alabama Hwy 9</t>
  </si>
  <si>
    <t>256-215-8004</t>
  </si>
  <si>
    <t>Central Alabama Wood Products</t>
  </si>
  <si>
    <t>Flodraulic - Atlanta</t>
  </si>
  <si>
    <t>Flodraulic - Greenfield IN</t>
  </si>
  <si>
    <t>Flodraulic - Houston</t>
  </si>
  <si>
    <t>Houston, TX 77064</t>
  </si>
  <si>
    <t>8510 Breen Drive</t>
  </si>
  <si>
    <t xml:space="preserve">832-327-1500 </t>
  </si>
  <si>
    <t>JOHN OLIVIER</t>
  </si>
  <si>
    <t>SEGUIN TEXAS 78155</t>
  </si>
  <si>
    <t xml:space="preserve">1620 SH 123 </t>
  </si>
  <si>
    <t>1928 Hydraulics</t>
  </si>
  <si>
    <t>210-996-3307</t>
  </si>
  <si>
    <t>Springboro, OH 45066</t>
  </si>
  <si>
    <t>734 Pleasant Valley Drive</t>
  </si>
  <si>
    <t>Flodraulic - Springboro</t>
  </si>
  <si>
    <t>937-746-8800</t>
  </si>
  <si>
    <t>Pat Laake</t>
  </si>
  <si>
    <t>20500 Clay Center Dr.</t>
  </si>
  <si>
    <t>Katy, TX 77449</t>
  </si>
  <si>
    <t>713-681-5211</t>
  </si>
  <si>
    <t>713-681-5212</t>
  </si>
  <si>
    <t>MSC - Columbus, MS</t>
  </si>
  <si>
    <t>125 Hemlock Street</t>
  </si>
  <si>
    <t>662-549-8143</t>
  </si>
  <si>
    <t xml:space="preserve">William Meadows </t>
  </si>
  <si>
    <t>Idaho Timber</t>
  </si>
  <si>
    <t>322 N. Oak St</t>
  </si>
  <si>
    <t>Carthage, AR 71725</t>
  </si>
  <si>
    <t>Jayson</t>
  </si>
  <si>
    <t>(870) 254-2213</t>
  </si>
  <si>
    <t>Kaman - Sparks</t>
  </si>
  <si>
    <t>Kaman - Elko</t>
  </si>
  <si>
    <t>Kaman - Houston, TX</t>
  </si>
  <si>
    <t>Kaman - Bessemer</t>
  </si>
  <si>
    <t>Kaman - Machesney Park</t>
  </si>
  <si>
    <t>Kaman - Greenville</t>
  </si>
  <si>
    <t>Kaman - Muscle Shoals</t>
  </si>
  <si>
    <t>Kaman - Mont</t>
  </si>
  <si>
    <t>Kaman - Salt Lake City</t>
  </si>
  <si>
    <t>Kaman - Milford</t>
  </si>
  <si>
    <t>Kaman - Duluth</t>
  </si>
  <si>
    <t>Kaman - Greensboro</t>
  </si>
  <si>
    <t>Kaman - Spokane</t>
  </si>
  <si>
    <t>Kaman - Lubbock</t>
  </si>
  <si>
    <t>Kaman - Pensacola</t>
  </si>
  <si>
    <t>Kaman - Shannon</t>
  </si>
  <si>
    <t>Kaman - Charolette</t>
  </si>
  <si>
    <t>9800-N Southern Pine Blvd</t>
  </si>
  <si>
    <t>Energy Hydraulics - D</t>
  </si>
  <si>
    <t>1325 W Royal Lane</t>
  </si>
  <si>
    <t>Irving, TX 75063</t>
  </si>
  <si>
    <t>972-685-0221</t>
  </si>
  <si>
    <t>Applied Industrial Tech - Appleton</t>
  </si>
  <si>
    <t>Applied Industrial Tech - Bowling Green</t>
  </si>
  <si>
    <t>Applied Industrial Tech - Brewton</t>
  </si>
  <si>
    <t>Applied Industrial Tech - Craig</t>
  </si>
  <si>
    <t>Applied Industrial Tech - Demopolis</t>
  </si>
  <si>
    <t>Applied Industrial Tech - Dothan</t>
  </si>
  <si>
    <t>Applied Industrial Tech - EARTH CITY, MO</t>
  </si>
  <si>
    <t>Applied Industrial Tech - Evansville</t>
  </si>
  <si>
    <t>Applied Industrial Tech - GREENSBORO, NC</t>
  </si>
  <si>
    <t>Applied Industrial Tech - Jax</t>
  </si>
  <si>
    <t>Applied Industrial Tech - Lanham, MD</t>
  </si>
  <si>
    <t>Applied Industrial Tech - Orlando</t>
  </si>
  <si>
    <t>Applied Industrial Tech - Pine Bluff</t>
  </si>
  <si>
    <t>Applied Industrial Tech - Savannah</t>
  </si>
  <si>
    <t>Applied Industrial Tech - Scottsboro</t>
  </si>
  <si>
    <t>Applied Industrial Tech - Stafford</t>
  </si>
  <si>
    <t>Applied Industrial Tech - Thomasville, GA</t>
  </si>
  <si>
    <t>Applied Industrial Tech - Valdosta</t>
  </si>
  <si>
    <t>Applied Industrial Tech - Yakima</t>
  </si>
  <si>
    <t>Applied Industrial Tech - Batesville, AR</t>
  </si>
  <si>
    <t>1620 Sidney Street</t>
  </si>
  <si>
    <t>Batesville, AR 72501</t>
  </si>
  <si>
    <t>870-698-1891</t>
  </si>
  <si>
    <t>Applied Industrial Tech - Conroe</t>
  </si>
  <si>
    <t>Applied Industrial Tech - Spartanburg</t>
  </si>
  <si>
    <t>5220 Industrial Dr S Ste B</t>
  </si>
  <si>
    <t>(870) 247-8500</t>
  </si>
  <si>
    <t>4655 Wright Rd Ste 200</t>
  </si>
  <si>
    <t>1240 Polk Ave</t>
  </si>
  <si>
    <t>232 NW Parkway Dr</t>
  </si>
  <si>
    <t>Riverside, MO 64150</t>
  </si>
  <si>
    <t>Applied Industrial Tech - Riverside</t>
  </si>
  <si>
    <t>(816) 421-0407</t>
  </si>
  <si>
    <t>135 Dishman Ln</t>
  </si>
  <si>
    <t>Bowling Green,KY 42101</t>
  </si>
  <si>
    <t>(270) 781-7262</t>
  </si>
  <si>
    <t>Applied Industrial Tech - Tupelo</t>
  </si>
  <si>
    <t>Applied Industrial Tech - Birmingham</t>
  </si>
  <si>
    <t>Applied Industrial Tech - Nashville</t>
  </si>
  <si>
    <t>IBT - Woodson</t>
  </si>
  <si>
    <t>IBT - Topeka</t>
  </si>
  <si>
    <t>Hydradyne Hydraulics - Grand Prairie</t>
  </si>
  <si>
    <t>Hydradyne Hydraulics - Bossier</t>
  </si>
  <si>
    <t>Hartselle, AL</t>
  </si>
  <si>
    <t>Gilbert Engineered Systems</t>
  </si>
  <si>
    <t>632 Warrenton Embro Road</t>
  </si>
  <si>
    <t>Macon, NC 27551</t>
  </si>
  <si>
    <t xml:space="preserve">252-213-0412 </t>
  </si>
  <si>
    <t>Steve</t>
  </si>
  <si>
    <t>3301 Mallard Fox Dr NW</t>
  </si>
  <si>
    <t>Steel Technologies</t>
  </si>
  <si>
    <t>(256) 350-5025</t>
  </si>
  <si>
    <t>Denison, IA 51442</t>
  </si>
  <si>
    <t>2510 Westcott Rd</t>
  </si>
  <si>
    <t>Continental Carbonic - Denison</t>
  </si>
  <si>
    <t>(712) 574-8680</t>
  </si>
  <si>
    <t>Five Star Hydraulics</t>
  </si>
  <si>
    <t>Brad</t>
  </si>
  <si>
    <t>Blytheville, Ar. 72315</t>
  </si>
  <si>
    <t>870-532-1619</t>
  </si>
  <si>
    <t>West Fraser - Opelika</t>
  </si>
  <si>
    <t>2100 Industrial Drive</t>
  </si>
  <si>
    <t>Opelika, AL 36801</t>
  </si>
  <si>
    <t>334-749-6281</t>
  </si>
  <si>
    <t>Sylvia Harris</t>
  </si>
  <si>
    <t>2924 West Deborah Drive</t>
  </si>
  <si>
    <t>Louisiana Fluid Power</t>
  </si>
  <si>
    <t>Monroe, LA 71201</t>
  </si>
  <si>
    <t>318-376-0850</t>
  </si>
  <si>
    <t>West Fraser - Maplesville</t>
  </si>
  <si>
    <t>7475 Alabama Hwy 22</t>
  </si>
  <si>
    <t>Maplesville, AL 36750</t>
  </si>
  <si>
    <t>334-366-1341</t>
  </si>
  <si>
    <t>Tim Jones</t>
  </si>
  <si>
    <t>Green Bay, WI 54304</t>
  </si>
  <si>
    <t>1130 Ashwaubenon St</t>
  </si>
  <si>
    <t>Astro Hydraulics</t>
  </si>
  <si>
    <t>(920) 336-8886</t>
  </si>
  <si>
    <t>309 Venture Blvd</t>
  </si>
  <si>
    <t>Arrow Equipment</t>
  </si>
  <si>
    <t>Tony</t>
  </si>
  <si>
    <t>3255 Thomason Ave</t>
  </si>
  <si>
    <t>Genpak</t>
  </si>
  <si>
    <t>Miek Mullins</t>
  </si>
  <si>
    <t>K+S Services - Topeka</t>
  </si>
  <si>
    <t>2000 NW Hwy 24</t>
  </si>
  <si>
    <t>Topeka, KS 66618</t>
  </si>
  <si>
    <t>K+S Services - Fayetteville</t>
  </si>
  <si>
    <t>6650 Ramsey Street</t>
  </si>
  <si>
    <t>Mac's Hydraulics</t>
  </si>
  <si>
    <t>5150 S. 100th E Avenue</t>
  </si>
  <si>
    <t>Tulsa, OK 74147</t>
  </si>
  <si>
    <t>918-627-5505</t>
  </si>
  <si>
    <t>Mississippi Silicon</t>
  </si>
  <si>
    <t>80 Co Rd 210</t>
  </si>
  <si>
    <t>Burnsville, MS 38833</t>
  </si>
  <si>
    <t>(662) 696-2600</t>
  </si>
  <si>
    <t>Elwood - Oak Creek</t>
  </si>
  <si>
    <t>414-764-7500</t>
  </si>
  <si>
    <t>414-764-4298</t>
  </si>
  <si>
    <t>Beshert Steel - Houston</t>
  </si>
  <si>
    <t>15355 Jacintoport Blvd</t>
  </si>
  <si>
    <t>Houston, TX 77015</t>
  </si>
  <si>
    <t>(713) 821-2600</t>
  </si>
  <si>
    <t>Motion-McComb</t>
  </si>
  <si>
    <t>Motion-Pine Bluff</t>
  </si>
  <si>
    <t>Motion-Creola</t>
  </si>
  <si>
    <t>Tie Rods</t>
  </si>
  <si>
    <t>Mobex Global Alabama</t>
  </si>
  <si>
    <t>1641 Thompson Rd</t>
  </si>
  <si>
    <t>Stacey</t>
  </si>
  <si>
    <t>Continental Hydraulics - Pine Bluff</t>
  </si>
  <si>
    <t>329 1/2, Verne St</t>
  </si>
  <si>
    <t>White Hall, AR 71602</t>
  </si>
  <si>
    <t>(870) 247-2822</t>
  </si>
  <si>
    <t>Motion-AB05 Edmonton, Canada</t>
  </si>
  <si>
    <t>Motion-AB01 Lethbridge</t>
  </si>
  <si>
    <t>Motion-AB03 Calgary</t>
  </si>
  <si>
    <t>Motion-AB05 Edmonton</t>
  </si>
  <si>
    <t>Motion-AL01 Birmingham</t>
  </si>
  <si>
    <t>Motion-AL02 Mobile</t>
  </si>
  <si>
    <t>Motion-AL03 Decatur</t>
  </si>
  <si>
    <t>Motion-AL04 Montgomery</t>
  </si>
  <si>
    <t>Motion-AL05 Muscle Shoals</t>
  </si>
  <si>
    <t>Motion-AL06 Tuscaloosa</t>
  </si>
  <si>
    <t>Motion-AL07 Gadsden</t>
  </si>
  <si>
    <t>Motion-AL08 Dothan</t>
  </si>
  <si>
    <t>Motion-AL11 Sylacauga</t>
  </si>
  <si>
    <t>Motion-AL12 Pennington</t>
  </si>
  <si>
    <t>MOTION-AL17 HUNTSVILLE</t>
  </si>
  <si>
    <t>Motion-AL46 Brewton</t>
  </si>
  <si>
    <t>Motion-AL47 Monroeville</t>
  </si>
  <si>
    <t>Motion-AL61 Birmingham</t>
  </si>
  <si>
    <t>Motion-AR50 Crossett</t>
  </si>
  <si>
    <t>Motion-AR51 Jonesboro</t>
  </si>
  <si>
    <t>Motion-AR54 Fort Smith</t>
  </si>
  <si>
    <t>Motion-AR55 Texarkana</t>
  </si>
  <si>
    <t>Motion-AR56 Little Rock</t>
  </si>
  <si>
    <t>Motion-AR57 Russellville</t>
  </si>
  <si>
    <t>Motion-AR58 Springdale</t>
  </si>
  <si>
    <t>Motion-AR60 Blytheville</t>
  </si>
  <si>
    <t>Motion-AZ51 Tempe</t>
  </si>
  <si>
    <t>Motion-AZ52 Tucson</t>
  </si>
  <si>
    <t>Motion-AZ54 Yuma</t>
  </si>
  <si>
    <t>Motion-BC21 Delta</t>
  </si>
  <si>
    <t>Motion-CA04 Los Angeles</t>
  </si>
  <si>
    <t>Motion-CA05 San Diego</t>
  </si>
  <si>
    <t>Motion-CA06 Bakersfield</t>
  </si>
  <si>
    <t>Motion-CA07 Santa Clara</t>
  </si>
  <si>
    <t>Motion-CA09 Sacramento</t>
  </si>
  <si>
    <t>Motion-CA10 Fresno</t>
  </si>
  <si>
    <t>Motion-CA11 Anaheim</t>
  </si>
  <si>
    <t>Motion-CA13 Lancaster</t>
  </si>
  <si>
    <t>Motion-CA14 Stockton</t>
  </si>
  <si>
    <t>Motion-CA15 Modesto</t>
  </si>
  <si>
    <t>Motion-CA16 Woodland</t>
  </si>
  <si>
    <t>Motion-CA17 Lodi</t>
  </si>
  <si>
    <t>Motion-CA18 Fontana</t>
  </si>
  <si>
    <t>Motion-CA19 Salinas</t>
  </si>
  <si>
    <t>Motion-CA20 Gardena</t>
  </si>
  <si>
    <t>Motion-CA21 Gilroy</t>
  </si>
  <si>
    <t>Motion-CA22 San Fernando</t>
  </si>
  <si>
    <t>Motion-CA23 Ukiah</t>
  </si>
  <si>
    <t>Motion-CA24 Hayward</t>
  </si>
  <si>
    <t>Motion-CA31 Visalia</t>
  </si>
  <si>
    <t>Motion-CA32 Concord</t>
  </si>
  <si>
    <t>Motion-CA34 City of Industry</t>
  </si>
  <si>
    <t>Motion-CA46 Oxnard</t>
  </si>
  <si>
    <t>Motion-CA55 Irvine</t>
  </si>
  <si>
    <t>Motion-CO16 Denver</t>
  </si>
  <si>
    <t>Motion-CO81 Pueblo</t>
  </si>
  <si>
    <t>Motion-CO83 Denver</t>
  </si>
  <si>
    <t>Motion-CT12 East Windsor</t>
  </si>
  <si>
    <t>Motion-FL30 Pensacola</t>
  </si>
  <si>
    <t>Motion-FL31 Tampa</t>
  </si>
  <si>
    <t>Motion-FL32 Jacksonville</t>
  </si>
  <si>
    <t>Motion-FL33 Miramar</t>
  </si>
  <si>
    <t>Motion-FL34 Bartow</t>
  </si>
  <si>
    <t>Motion-FL35 Panama City</t>
  </si>
  <si>
    <t>Motion-FL36 Orlando</t>
  </si>
  <si>
    <t>Motion-FL39 Repair Shop</t>
  </si>
  <si>
    <t>Motion-FL40 Palatka</t>
  </si>
  <si>
    <t>Motion-FL42 Sarasota</t>
  </si>
  <si>
    <t>Motion-FL43 Clewiston</t>
  </si>
  <si>
    <t>Motion-FL44 Fort Pierce</t>
  </si>
  <si>
    <t>Motion-GA20 Austell</t>
  </si>
  <si>
    <t>Motion-GA21 Augusta</t>
  </si>
  <si>
    <t>Motion-GA22 Brunswick</t>
  </si>
  <si>
    <t>Motion-GA23 Savannah</t>
  </si>
  <si>
    <t>Motion-GA25 Columbus</t>
  </si>
  <si>
    <t>Motion-GA26 Norcross</t>
  </si>
  <si>
    <t>Motion-GA27 Athens</t>
  </si>
  <si>
    <t>Motion-GA28 Albany</t>
  </si>
  <si>
    <t>Motion-GA29 Macon</t>
  </si>
  <si>
    <t>Motion-GA50 Gainesville</t>
  </si>
  <si>
    <t>Motion-GA51 LaGrange</t>
  </si>
  <si>
    <t>Motion-GA52 Cartersville</t>
  </si>
  <si>
    <t>Motion-GA53 Covington</t>
  </si>
  <si>
    <t>Motion-GA55 Valdosta</t>
  </si>
  <si>
    <t>Motion-GA56 Dalton</t>
  </si>
  <si>
    <t>Motion-GA61 McIntyre</t>
  </si>
  <si>
    <t>Motion-HS01 Wichita</t>
  </si>
  <si>
    <t>Motion-IA02 Waterloo</t>
  </si>
  <si>
    <t>Motion-IA04 Sioux City</t>
  </si>
  <si>
    <t>Motion-IA05 Muscatine</t>
  </si>
  <si>
    <t>Motion-IA06 Clinton</t>
  </si>
  <si>
    <t>Motion-IA08 Ottumwa</t>
  </si>
  <si>
    <t>Motion-IA09 Des Moines</t>
  </si>
  <si>
    <t>Motion-IA18 Dubuque</t>
  </si>
  <si>
    <t>Motion-IA19 Fort Madison</t>
  </si>
  <si>
    <t>Motion-IA35 Fort Dodge</t>
  </si>
  <si>
    <t>Motion-IA37 Cedar Rapids</t>
  </si>
  <si>
    <t>Motion-ID09 Boise</t>
  </si>
  <si>
    <t>Motion-ID12 Pocatello</t>
  </si>
  <si>
    <t>Motion-IL01 (South) Chicago</t>
  </si>
  <si>
    <t>Motion-IL03 Joliet</t>
  </si>
  <si>
    <t>Motion-IL04 Melrose Park</t>
  </si>
  <si>
    <t>Motion-IL06 Countryside</t>
  </si>
  <si>
    <t>Motion-IL07 Waukegan</t>
  </si>
  <si>
    <t>Motion-IL08 Rockford</t>
  </si>
  <si>
    <t>Motion-IL09 Chicago Heights</t>
  </si>
  <si>
    <t>Motion-IL10 Addison</t>
  </si>
  <si>
    <t>Motion-IL11 Bourbonnais</t>
  </si>
  <si>
    <t>Motion-IL12 Peru</t>
  </si>
  <si>
    <t>Motion-IL14 Danville</t>
  </si>
  <si>
    <t>Motion-IL15 Oak Lawn</t>
  </si>
  <si>
    <t>Motion-IL16 Moline</t>
  </si>
  <si>
    <t>Motion-IL17 Quincy</t>
  </si>
  <si>
    <t>Motion-IL20 Elgin</t>
  </si>
  <si>
    <t>Motion-IL21 Champaign</t>
  </si>
  <si>
    <t>Motion-IL22 Elk Grove Village</t>
  </si>
  <si>
    <t>Motion-IL32 West Chicago</t>
  </si>
  <si>
    <t>Motion-IL33 Wheeling</t>
  </si>
  <si>
    <t>Motion-IL36 Machesney Park</t>
  </si>
  <si>
    <t>Motion-IL42 Montgomery</t>
  </si>
  <si>
    <t>Motion-IL61 East Peoria</t>
  </si>
  <si>
    <t>Motion-IL62 Decatur</t>
  </si>
  <si>
    <t>Motion-IL63 Springfield</t>
  </si>
  <si>
    <t>Motion-IL64 Mattoon</t>
  </si>
  <si>
    <t>Motion-IL65 Mt. Vernon</t>
  </si>
  <si>
    <t>Motion-IL66 Bloomington</t>
  </si>
  <si>
    <t>Motion-IN01 South Bend</t>
  </si>
  <si>
    <t>Motion-IN03 LaPorte</t>
  </si>
  <si>
    <t>Motion-IN06 Crawfordsville</t>
  </si>
  <si>
    <t>Motion-IN08 Kendallville</t>
  </si>
  <si>
    <t>Motion-IN09 Warsaw</t>
  </si>
  <si>
    <t>Motion-IN11 Lafayette</t>
  </si>
  <si>
    <t>Motion-IN20 (North) Hammond</t>
  </si>
  <si>
    <t>Motion-IN22 Gary</t>
  </si>
  <si>
    <t>Motion-IN50 Indianapolis</t>
  </si>
  <si>
    <t>Motion-IN51 Columbus</t>
  </si>
  <si>
    <t>Motion-IN52 Fort Wayne</t>
  </si>
  <si>
    <t>Motion-IN53 Kokomo</t>
  </si>
  <si>
    <t>Motion-IN54 Muncie</t>
  </si>
  <si>
    <t>Motion-IN55 Richmond</t>
  </si>
  <si>
    <t>Motion-IN57 Madison</t>
  </si>
  <si>
    <t>Motion-IN59 Terre Haute</t>
  </si>
  <si>
    <t>Motion-IN62 Evansville</t>
  </si>
  <si>
    <t>Motion-IN65 Elkhart</t>
  </si>
  <si>
    <t>Motion-KS01 Wichita</t>
  </si>
  <si>
    <t>Motion-KS02 Salina</t>
  </si>
  <si>
    <t>Motion-KS05 Dodge City</t>
  </si>
  <si>
    <t>Motion-KS08 Topeka</t>
  </si>
  <si>
    <t>Motion-KY52 London</t>
  </si>
  <si>
    <t>Motion-KY53 Paducah</t>
  </si>
  <si>
    <t>Motion-KY54 Bowling Green</t>
  </si>
  <si>
    <t>Motion-KY55 Owensboro</t>
  </si>
  <si>
    <t>Motion-KY56 Versailles</t>
  </si>
  <si>
    <t>Motion-KY58 Louisville</t>
  </si>
  <si>
    <t>Motion-LA15 Shreveport</t>
  </si>
  <si>
    <t>Motion-LA18 Lafayette</t>
  </si>
  <si>
    <t>Motion-LA22 Abita Springs</t>
  </si>
  <si>
    <t>Motion-LA30 West Monroe</t>
  </si>
  <si>
    <t>Motion-LA40 New Iberia</t>
  </si>
  <si>
    <t>Motion-LA41 Harvey</t>
  </si>
  <si>
    <t>Motion-LA42 Lafayette</t>
  </si>
  <si>
    <t>Motion-LA43 Baton Rouge</t>
  </si>
  <si>
    <t>Motion-LA44 New Iberia</t>
  </si>
  <si>
    <t>Motion-LA45 Houma</t>
  </si>
  <si>
    <t>Motion-LA46 Abbeville</t>
  </si>
  <si>
    <t>Motion-LA47 Sulphur</t>
  </si>
  <si>
    <t>Motion-LA48 Amelia</t>
  </si>
  <si>
    <t>Motion-LA55 Shreveport</t>
  </si>
  <si>
    <t>Motion-LA60 New Orleans</t>
  </si>
  <si>
    <t>Motion-LA61 Baton Rouge</t>
  </si>
  <si>
    <t>Motion-LA62 West Monroe</t>
  </si>
  <si>
    <t>Motion-LA63 Morgan City</t>
  </si>
  <si>
    <t>Motion-LA64 Harvey</t>
  </si>
  <si>
    <t>Motion-LA65 Gonzales</t>
  </si>
  <si>
    <t>Motion-LA66 Westlake</t>
  </si>
  <si>
    <t>Motion-MA05 Haverhill</t>
  </si>
  <si>
    <t>Motion-MA08 Marlborough</t>
  </si>
  <si>
    <t>Motion-MA20 Somerville</t>
  </si>
  <si>
    <t>Motion-MB20 Brandon</t>
  </si>
  <si>
    <t>Motion-MB21 Winnipeg</t>
  </si>
  <si>
    <t>Motion-MD15 Salisbury</t>
  </si>
  <si>
    <t>Motion-MD73 Baltimore</t>
  </si>
  <si>
    <t>Motion-MD83 Bloomington</t>
  </si>
  <si>
    <t>Motion-ME02 Portland</t>
  </si>
  <si>
    <t>Motion-ME06 Mapleton</t>
  </si>
  <si>
    <t>Motion-ME07 Bangor</t>
  </si>
  <si>
    <t>Motion-ME08 Hinckley</t>
  </si>
  <si>
    <t>Motion-ME11 Rumford</t>
  </si>
  <si>
    <t>Motion-MI01 Warren</t>
  </si>
  <si>
    <t>Motion-MI02 Benton Harbor</t>
  </si>
  <si>
    <t>Motion-MI04 Sterling Heights</t>
  </si>
  <si>
    <t>Motion-MI05 Kalamazoo</t>
  </si>
  <si>
    <t>Motion-MI06 Lansing</t>
  </si>
  <si>
    <t>Motion-MI08 Saginaw</t>
  </si>
  <si>
    <t>Motion-MI09 Livonia</t>
  </si>
  <si>
    <t>Motion-MI10 Alpena</t>
  </si>
  <si>
    <t>Motion-MI11 Jackson</t>
  </si>
  <si>
    <t>Motion-MI12 Troy</t>
  </si>
  <si>
    <t>Motion-MI15 Escanaba</t>
  </si>
  <si>
    <t>Motion-MI26 Kingsford</t>
  </si>
  <si>
    <t>Motion-MI27 Dearborn</t>
  </si>
  <si>
    <t>Motion-MI30 Grand Rapids</t>
  </si>
  <si>
    <t>Motion-MI31 Ludington</t>
  </si>
  <si>
    <t>Motion-MI33 Traverse City</t>
  </si>
  <si>
    <t>Motion-MI70 Ishpeming</t>
  </si>
  <si>
    <t>Motion-MN01 Marshall</t>
  </si>
  <si>
    <t>Motion-MN12 Duluth</t>
  </si>
  <si>
    <t>Motion-MN13 Mountain Iron</t>
  </si>
  <si>
    <t>Motion-MN14 St. Paul</t>
  </si>
  <si>
    <t>Motion-MN24 Mankato</t>
  </si>
  <si>
    <t>Motion-MN28 Waite Park</t>
  </si>
  <si>
    <t>Motion-MN29 Eden Prairie</t>
  </si>
  <si>
    <t>Motion-MO10 Springfield</t>
  </si>
  <si>
    <t>Motion-MO30 Columbia</t>
  </si>
  <si>
    <t>Motion-MO33 Joplin</t>
  </si>
  <si>
    <t>Motion-MO35 St. Louis</t>
  </si>
  <si>
    <t>Motion-MO36 Kansas City</t>
  </si>
  <si>
    <t>Motion-MO37 Sedalia</t>
  </si>
  <si>
    <t>Motion-MS40 Jackson</t>
  </si>
  <si>
    <t>Motion-MS41 Moss Point</t>
  </si>
  <si>
    <t>Motion-MS42 Columbus</t>
  </si>
  <si>
    <t>Motion-MS44 Laurel</t>
  </si>
  <si>
    <t>Motion-MS47 Meridian</t>
  </si>
  <si>
    <t>Motion-MS49 Grenada</t>
  </si>
  <si>
    <t>Motion-MS50 Tupelo</t>
  </si>
  <si>
    <t>Motion-MT01 Billings</t>
  </si>
  <si>
    <t>Motion-NB01 Hartland</t>
  </si>
  <si>
    <t>Motion-NB02 Edmundston</t>
  </si>
  <si>
    <t>Motion-NB03 Moncton</t>
  </si>
  <si>
    <t>Motion-NC17 Raleigh</t>
  </si>
  <si>
    <t>Motion-NC18 Charlotte</t>
  </si>
  <si>
    <t>Motion-NC54 Greenville</t>
  </si>
  <si>
    <t>Motion-NC55 Lumberton</t>
  </si>
  <si>
    <t>Motion-NC58 Kernersville</t>
  </si>
  <si>
    <t>Motion-NC59 Arden</t>
  </si>
  <si>
    <t>Motion-NC61 Gastonia</t>
  </si>
  <si>
    <t>Motion-NC63 Hickory</t>
  </si>
  <si>
    <t>Motion-NC64 Rocky Mount</t>
  </si>
  <si>
    <t>Motion-ND04 Bismarck</t>
  </si>
  <si>
    <t>Motion-ND08 Fargo</t>
  </si>
  <si>
    <t>Motion-ND09 Grand Forks</t>
  </si>
  <si>
    <t>Motion-NE01 Omaha</t>
  </si>
  <si>
    <t>Motion-NE02 Lincoln</t>
  </si>
  <si>
    <t>Motion-NE03 North Platte</t>
  </si>
  <si>
    <t>Motion-NE05 Grand Island</t>
  </si>
  <si>
    <t>Motion-NE07 Columbus</t>
  </si>
  <si>
    <t>Motion-NF01 Wabush</t>
  </si>
  <si>
    <t>Motion-NH04 Manchester</t>
  </si>
  <si>
    <t>Motion-NH05 Berlin</t>
  </si>
  <si>
    <t>Motion-NJ02 Whippany</t>
  </si>
  <si>
    <t>Motion-NJ04 Hasbrouck Heights</t>
  </si>
  <si>
    <t>Motion-NJ05 New Brunswick</t>
  </si>
  <si>
    <t>Motion-NJ06 Trenton</t>
  </si>
  <si>
    <t>Motion-NJ18 Elizabeth</t>
  </si>
  <si>
    <t>Motion-NM18 Albuquerque</t>
  </si>
  <si>
    <t>Motion-NM19 Farmington</t>
  </si>
  <si>
    <t>Motion-NM41 Clovis</t>
  </si>
  <si>
    <t>Motion-NS01 Dartmouth</t>
  </si>
  <si>
    <t>Motion-NS02 New Glasgow</t>
  </si>
  <si>
    <t>Motion-NV25 Reno</t>
  </si>
  <si>
    <t>Motion-NV26 North Las Vegas</t>
  </si>
  <si>
    <t>Motion-NY01 North Tonawanda</t>
  </si>
  <si>
    <t>Motion-NY03 (North) Syracuse</t>
  </si>
  <si>
    <t>Motion-NY04 Albany</t>
  </si>
  <si>
    <t>Motion-NY05 Elmira</t>
  </si>
  <si>
    <t>Motion-NY06 Plattsburgh</t>
  </si>
  <si>
    <t>Motion-NY18 Bronx</t>
  </si>
  <si>
    <t>Motion-OH40 Dayton</t>
  </si>
  <si>
    <t>Motion-OH41 Cincinnati</t>
  </si>
  <si>
    <t>Motion-OH42 Columbus</t>
  </si>
  <si>
    <t>Motion-OH43 Defiance</t>
  </si>
  <si>
    <t>Motion-OH44 Middletown</t>
  </si>
  <si>
    <t>Motion-OH45 Sandusky</t>
  </si>
  <si>
    <t>Motion-OH46 Piqua</t>
  </si>
  <si>
    <t>Motion-OH47 Lancaster</t>
  </si>
  <si>
    <t>Motion-OH48 Findlay</t>
  </si>
  <si>
    <t>Motion-OH49 Toledo</t>
  </si>
  <si>
    <t>Motion-OH60 Chillicothe</t>
  </si>
  <si>
    <t>Motion-OH61 Marysville</t>
  </si>
  <si>
    <t>Motion-OH65 Cleveland</t>
  </si>
  <si>
    <t>Motion-OH66 North Canton</t>
  </si>
  <si>
    <t>Motion-OH68 Marion</t>
  </si>
  <si>
    <t>Motion-OK Broken Arrow</t>
  </si>
  <si>
    <t>Motion-OK01 Oklahoma City</t>
  </si>
  <si>
    <t>Motion-OK03 Tulsa</t>
  </si>
  <si>
    <t>Motion-OK06 Muskogee</t>
  </si>
  <si>
    <t>Motion-OK15 Lawton</t>
  </si>
  <si>
    <t>Motion-ON02 Waterloo</t>
  </si>
  <si>
    <t>Motion-ON04 London</t>
  </si>
  <si>
    <t>Motion-ON05 Sarnia</t>
  </si>
  <si>
    <t>Motion-ON06 Guelph</t>
  </si>
  <si>
    <t>Motion-ON07 Cambridge</t>
  </si>
  <si>
    <t>Motion-ON08 North Bay</t>
  </si>
  <si>
    <t>Motion-ON10 Mississauga</t>
  </si>
  <si>
    <t>Motion-ON11 Markham</t>
  </si>
  <si>
    <t>Motion-ON12 Toronto</t>
  </si>
  <si>
    <t>Motion-ON13 Burlington</t>
  </si>
  <si>
    <t>Motion-ON14 St. Catharines</t>
  </si>
  <si>
    <t>Motion-ON16 Belleville</t>
  </si>
  <si>
    <t>Motion-ON17 Brockville</t>
  </si>
  <si>
    <t>Motion-ON19 Ottawa</t>
  </si>
  <si>
    <t>Motion-ON23 Thunder Bay</t>
  </si>
  <si>
    <t>Motion-OR01 Portland</t>
  </si>
  <si>
    <t>Motion-OR02 Albany</t>
  </si>
  <si>
    <t>Motion-OR07 Medford</t>
  </si>
  <si>
    <t>Motion-PA01 York</t>
  </si>
  <si>
    <t>Motion-PA02 Lancaster</t>
  </si>
  <si>
    <t>Motion-PA03 Reading</t>
  </si>
  <si>
    <t>Motion-PA07 Allentown</t>
  </si>
  <si>
    <t>Motion-PA70 Pittsburgh</t>
  </si>
  <si>
    <t>Motion-PA72 Sharon Hill</t>
  </si>
  <si>
    <t>Motion-PA78 New Castle</t>
  </si>
  <si>
    <t>Motion-PA80 Monroeville</t>
  </si>
  <si>
    <t>Motion-PA84 Altoona</t>
  </si>
  <si>
    <t>Motion-PR01 Toa Baja</t>
  </si>
  <si>
    <t>Motion-QC01 Lachine</t>
  </si>
  <si>
    <t>Motion-QC03 Trois-Rivières</t>
  </si>
  <si>
    <t>Motion-QC04 Sept-Iles/Wabash</t>
  </si>
  <si>
    <t>Motion-QC08 Joliette</t>
  </si>
  <si>
    <t>Motion-QC09 Ste-Foy</t>
  </si>
  <si>
    <t>Motion-QC10 Chicoutimi</t>
  </si>
  <si>
    <t>Motion-QC12 Valleyfield</t>
  </si>
  <si>
    <t>Motion-QC16 Lachine</t>
  </si>
  <si>
    <t>Motion-QC20 Sorel-Tracy</t>
  </si>
  <si>
    <t>Motion-QC24 Sherbrooke</t>
  </si>
  <si>
    <t>Motion-QC26 St. Leonard</t>
  </si>
  <si>
    <t>Motion-QC27 Laval</t>
  </si>
  <si>
    <t>Motion-QC28 St-Hubert</t>
  </si>
  <si>
    <t>Motion-QC29 St-Jean-sur-Richelieu</t>
  </si>
  <si>
    <t>Motion-QC30 St-Hyacinthe</t>
  </si>
  <si>
    <t>Motion-QC31 Rimouski</t>
  </si>
  <si>
    <t>Motion-QC40 St-Georges</t>
  </si>
  <si>
    <t>Motion-RI10 Warwick</t>
  </si>
  <si>
    <t>Motion-SC14 Columbia</t>
  </si>
  <si>
    <t>Motion-SC15 Hanahan</t>
  </si>
  <si>
    <t>Motion-SC16 Florence</t>
  </si>
  <si>
    <t>Motion-SC17 Greenville</t>
  </si>
  <si>
    <t>Motion-SC20 Spartanburg</t>
  </si>
  <si>
    <t>Motion-SD01 Rapid City</t>
  </si>
  <si>
    <t>Motion-SD04 Sioux Falls</t>
  </si>
  <si>
    <t>Motion-SK01 Saskatoon</t>
  </si>
  <si>
    <t>Motion-SK02 Regina</t>
  </si>
  <si>
    <t>Motion-TN60 Tullahoma</t>
  </si>
  <si>
    <t>Motion-TN62 Cookeville</t>
  </si>
  <si>
    <t>Motion-TN70 Chattanooga</t>
  </si>
  <si>
    <t>Motion-TN71 Nashville</t>
  </si>
  <si>
    <t>Motion-TN72 Memphis</t>
  </si>
  <si>
    <t>Motion-TN73 Jackson</t>
  </si>
  <si>
    <t>Motion-TN74 Knoxville</t>
  </si>
  <si>
    <t>Motion-TN75 Morristown</t>
  </si>
  <si>
    <t>Motion-TN77 Columbia</t>
  </si>
  <si>
    <t>Motion-TN78 Kingsport</t>
  </si>
  <si>
    <t>Motion-TN79 Murfreesboro</t>
  </si>
  <si>
    <t>Motion-TX01 Dallas</t>
  </si>
  <si>
    <t>Motion-TX02 Tyler</t>
  </si>
  <si>
    <t>Motion-TX03 Fort Worth</t>
  </si>
  <si>
    <t>Motion-TX04 Lufkin</t>
  </si>
  <si>
    <t>Motion-TX07 Brownwood</t>
  </si>
  <si>
    <t>Motion-TX08 Sherman</t>
  </si>
  <si>
    <t>Motion-TX11 Wichita Falls</t>
  </si>
  <si>
    <t>Motion-TX12 Corpus Christi</t>
  </si>
  <si>
    <t>Motion-TX22 Waco</t>
  </si>
  <si>
    <t>Motion-TX23 El Paso</t>
  </si>
  <si>
    <t>Motion-TX27 Amarillo</t>
  </si>
  <si>
    <t>Motion-TX29 Plainview</t>
  </si>
  <si>
    <t>Motion-TX37 Temple</t>
  </si>
  <si>
    <t>Motion-TX38 Friona</t>
  </si>
  <si>
    <t>Motion-TX40 Bryan</t>
  </si>
  <si>
    <t>Motion-TX42 Brownsville</t>
  </si>
  <si>
    <t>Motion-TX48 Odessa</t>
  </si>
  <si>
    <t>Motion-TX51 McAllen</t>
  </si>
  <si>
    <t>Motion-TX52 Pflugerville</t>
  </si>
  <si>
    <t>Motion-TX57 Laredo</t>
  </si>
  <si>
    <t>Motion-TX58 Victoria</t>
  </si>
  <si>
    <t>Motion-TX59 Houston</t>
  </si>
  <si>
    <t>Motion-TX70 San Antonio</t>
  </si>
  <si>
    <t>Motion-TX80 Houston</t>
  </si>
  <si>
    <t>Motion-TX83 Freeport</t>
  </si>
  <si>
    <t>Motion-TX85 Pasadena</t>
  </si>
  <si>
    <t>Motion-TX87 Groves</t>
  </si>
  <si>
    <t>Motion-TX91 Arlington</t>
  </si>
  <si>
    <t>Motion-TX93 Garland</t>
  </si>
  <si>
    <t>Motion-TX94 Longview</t>
  </si>
  <si>
    <t>Motion-UT01 Salt Lake City</t>
  </si>
  <si>
    <t>Motion-UT04 Ogden</t>
  </si>
  <si>
    <t>Motion-UT05 Logan</t>
  </si>
  <si>
    <t>Motion-VA01 Harrisonburg</t>
  </si>
  <si>
    <t>Motion-VA03 Winchester</t>
  </si>
  <si>
    <t>Motion-VA04 Chesapeake</t>
  </si>
  <si>
    <t>Motion-VA05 Richmond</t>
  </si>
  <si>
    <t>Motion-VA06 Roanoke</t>
  </si>
  <si>
    <t>Motion-VA07 Alexandria</t>
  </si>
  <si>
    <t>Motion-VA09 Lynchburg</t>
  </si>
  <si>
    <t>Motion-VA10 Covington</t>
  </si>
  <si>
    <t>Motion-WA01 Longview</t>
  </si>
  <si>
    <t>Motion-WA02 Seatac</t>
  </si>
  <si>
    <t>Motion-WA03 Spokane</t>
  </si>
  <si>
    <t>Motion-WA05 Pasco</t>
  </si>
  <si>
    <t>Motion-WI01 (South) Milwaukee</t>
  </si>
  <si>
    <t>Motion-WI02 Appleton</t>
  </si>
  <si>
    <t>Motion-WI03 Madison</t>
  </si>
  <si>
    <t>Motion-WI04 Racine</t>
  </si>
  <si>
    <t>Motion-WI06 Wausau</t>
  </si>
  <si>
    <t>Motion-WI07 DePere</t>
  </si>
  <si>
    <t>Motion-WI08 Waukesha</t>
  </si>
  <si>
    <t>Motion-WI09 Sheboygan</t>
  </si>
  <si>
    <t>Motion-WI11 Wisconsin Rapids</t>
  </si>
  <si>
    <t>Motion-WI17 Rhinelander</t>
  </si>
  <si>
    <t>Motion-WI18 LaCrosse</t>
  </si>
  <si>
    <t>Motion-WI19 Fond Du Lac</t>
  </si>
  <si>
    <t>Motion-WI21 Eau Claire</t>
  </si>
  <si>
    <t>Motion-WI22 Janesville</t>
  </si>
  <si>
    <t>Motion-WI25 Neenah</t>
  </si>
  <si>
    <t>Motion-WI27 Marinette</t>
  </si>
  <si>
    <t>Motion-WI30 Portage</t>
  </si>
  <si>
    <t>Motion-WV70 Huntington</t>
  </si>
  <si>
    <t>Motion-WV71 Charleston</t>
  </si>
  <si>
    <t>Motion-WV72 Beckley</t>
  </si>
  <si>
    <t>Motion-WV76 Weirton</t>
  </si>
  <si>
    <t>Motion-WY01 Gillette</t>
  </si>
  <si>
    <t>Motion-WY02 Cheyenne</t>
  </si>
  <si>
    <t>Motion-WY54 Mills</t>
  </si>
  <si>
    <t>Mako Industries</t>
  </si>
  <si>
    <t>510 Industrial Blvd</t>
  </si>
  <si>
    <t>Sugarland, TX 77478</t>
  </si>
  <si>
    <t>NATIONAL MILL MAINTENANCE</t>
  </si>
  <si>
    <t>1321 Pinson Valley Pkwy</t>
  </si>
  <si>
    <t>(205) 783-5114</t>
  </si>
  <si>
    <t>* For Emergency orders please call to verify achievable delivery.                                                                                            JIT Terms of Sale are available at visit www.jitindustries.com/terms.html</t>
  </si>
  <si>
    <t>Conveyour Continental</t>
  </si>
  <si>
    <t>470 Rue St Alphonse-Sud</t>
  </si>
  <si>
    <t>Thetford Mines, QC G6G 3V8, Canada</t>
  </si>
  <si>
    <t>418-338-4682</t>
  </si>
  <si>
    <t>Lyse</t>
  </si>
  <si>
    <t>Barrel</t>
  </si>
  <si>
    <t>CSAL</t>
  </si>
  <si>
    <t>150ADJLONG</t>
  </si>
  <si>
    <t>Integral Oilfield Solutions</t>
  </si>
  <si>
    <t>Martens Machine</t>
  </si>
  <si>
    <t>1414 N Main St</t>
  </si>
  <si>
    <t>Fairview, OK 73737</t>
  </si>
  <si>
    <t>580-227-2734</t>
  </si>
  <si>
    <t>20500 Clay Center Dr</t>
  </si>
  <si>
    <t>Pneumatic and Hydraulic - Katy</t>
  </si>
  <si>
    <t>(713) 681-5211</t>
  </si>
  <si>
    <t>38 Co Rd 370</t>
  </si>
  <si>
    <t>FerroSouth</t>
  </si>
  <si>
    <t>(662) 424-0115</t>
  </si>
  <si>
    <t>11612 Sun Belt Ct</t>
  </si>
  <si>
    <t>Iscola</t>
  </si>
  <si>
    <t>(225) 751-9600</t>
  </si>
  <si>
    <t>225-751-9603</t>
  </si>
  <si>
    <t>Byron Neck</t>
  </si>
  <si>
    <t>IFP Automation</t>
  </si>
  <si>
    <t>3911 Merchant Road</t>
  </si>
  <si>
    <t>Ft. Wayne, IN  46818</t>
  </si>
  <si>
    <t>260-489-4575</t>
  </si>
  <si>
    <t>DXP ENTERPRISES, INC</t>
  </si>
  <si>
    <t>2511 20TH ST</t>
  </si>
  <si>
    <t>ROCKFORD, IL  61109</t>
  </si>
  <si>
    <t>815-399-1748</t>
  </si>
  <si>
    <t>Applied Industrial Tech - De Queen</t>
  </si>
  <si>
    <t>110 W Robinson Road</t>
  </si>
  <si>
    <t>De Queen, AR 71832</t>
  </si>
  <si>
    <t>11274 Threadstone Lane</t>
  </si>
  <si>
    <t>843 Woodall Rd</t>
  </si>
  <si>
    <t>Decatur, AL  35601</t>
  </si>
  <si>
    <t>256-306-0403</t>
  </si>
  <si>
    <t>Grizzly Manufacturing</t>
  </si>
  <si>
    <t>174 NE Cortez Terr.</t>
  </si>
  <si>
    <t>Lake City, FL  32055</t>
  </si>
  <si>
    <t>Knoxville, TN 37932</t>
  </si>
  <si>
    <t>Continental Conveyor Ltd</t>
  </si>
  <si>
    <t>470 Saint-Alphonse S</t>
  </si>
  <si>
    <t>Thetford Mines, Qc, Canada G6G 3V8</t>
  </si>
  <si>
    <t>Lone Star Machine Works</t>
  </si>
  <si>
    <t>2048 S. 3rd St.</t>
  </si>
  <si>
    <t>Mabank, TX 75147</t>
  </si>
  <si>
    <t>972-287-4200</t>
  </si>
  <si>
    <t>Continental Carbonic - Clearfield</t>
  </si>
  <si>
    <t>Clearfield, PA 16830</t>
  </si>
  <si>
    <t>40 Technology Dr W</t>
  </si>
  <si>
    <t>(814) 762-8200</t>
  </si>
  <si>
    <t>Reiter Technical Services, Inc.</t>
  </si>
  <si>
    <t>2426 Airport Rd.</t>
  </si>
  <si>
    <t>Hot Springs, AR  71913</t>
  </si>
  <si>
    <t>501-538-3038</t>
  </si>
  <si>
    <t>Applied Industrial Tech - Fort Wayne</t>
  </si>
  <si>
    <t>3210 Congressional Parkway</t>
  </si>
  <si>
    <t>Fort Wayne, IN  46808</t>
  </si>
  <si>
    <t>260-471-8461</t>
  </si>
  <si>
    <t>Applied Industrial Tech - Stockton</t>
  </si>
  <si>
    <t>202 Val Dervin Pkwy, STE 100</t>
  </si>
  <si>
    <t>Stockton, CA  95206</t>
  </si>
  <si>
    <t>209-983-4740</t>
  </si>
  <si>
    <t>Hydradyne Hydraulics - Norcross</t>
  </si>
  <si>
    <t>3180 Reps Miller Road, Suite 200</t>
  </si>
  <si>
    <t>Norcross, GA  30071</t>
  </si>
  <si>
    <t>770-246-4014</t>
  </si>
  <si>
    <t>JM Miles Construction, Inc.</t>
  </si>
  <si>
    <t>637 Brobston St.</t>
  </si>
  <si>
    <t>Baxley, GA  31515</t>
  </si>
  <si>
    <t>912-367-5747</t>
  </si>
  <si>
    <t>Applied Industrial Tech - Rockford</t>
  </si>
  <si>
    <t>3384 N Publishers Drive, Suite D</t>
  </si>
  <si>
    <t>Rockford, IL  61109</t>
  </si>
  <si>
    <t>815-874-8767</t>
  </si>
  <si>
    <t>4430 Hanson Rd.</t>
  </si>
  <si>
    <t>Madisonville, KY  42431</t>
  </si>
  <si>
    <t>270-825-4361</t>
  </si>
  <si>
    <t>JIT Industries - Blytheville</t>
  </si>
  <si>
    <t>1000 N. Broadway St</t>
  </si>
  <si>
    <t>Applied Industrial Tech - Romeoville</t>
  </si>
  <si>
    <t>1280 Lakeview Drive</t>
  </si>
  <si>
    <t>Romeoville, IL  60446</t>
  </si>
  <si>
    <t>Triad Packaging</t>
  </si>
  <si>
    <t>Athens, AL 35611</t>
  </si>
  <si>
    <t>113 Durham Dr</t>
  </si>
  <si>
    <t>Southern Hydraulic Solutions</t>
  </si>
  <si>
    <t>518 S Jackson Ave</t>
  </si>
  <si>
    <t>El Dorado, AR 71730</t>
  </si>
  <si>
    <t>870-814-8600</t>
  </si>
  <si>
    <t>Chesterfield, MI 48051</t>
  </si>
  <si>
    <t>Eclipse Mold</t>
  </si>
  <si>
    <t>50300 Patricia St</t>
  </si>
  <si>
    <t>Rick Rope</t>
  </si>
  <si>
    <t>586-855-6361</t>
  </si>
  <si>
    <t>Matt McComb</t>
  </si>
  <si>
    <t>Applied Industrial Tech - Harrisonburg</t>
  </si>
  <si>
    <t>785 Pleasant Valley Road</t>
  </si>
  <si>
    <t>540-434-5348</t>
  </si>
  <si>
    <t>540-432-1403</t>
  </si>
  <si>
    <t>Ed Newcomb</t>
  </si>
  <si>
    <t>Hydraquip - Tulsa</t>
  </si>
  <si>
    <t>4130 S 70th East Ave</t>
  </si>
  <si>
    <t>Mac's Hydraulic</t>
  </si>
  <si>
    <t>Tulsa, OK 74146</t>
  </si>
  <si>
    <t>5150 S 100th E Ave</t>
  </si>
  <si>
    <t>(918) 627-5505</t>
  </si>
  <si>
    <t>Sheri</t>
  </si>
  <si>
    <t>Orlando, FL 32837</t>
  </si>
  <si>
    <t>2400 Lake Orange Dr #130</t>
  </si>
  <si>
    <t>DXP Enterprises - Orlando</t>
  </si>
  <si>
    <t>(407) 851-6220</t>
  </si>
  <si>
    <t>Canton, OH 44706</t>
  </si>
  <si>
    <t>4754 Faircrest St. SW</t>
  </si>
  <si>
    <t xml:space="preserve">(330) 484-1999 </t>
  </si>
  <si>
    <t>Applied Industrial Tech - Columbus, IN</t>
  </si>
  <si>
    <t>1720 State St</t>
  </si>
  <si>
    <t xml:space="preserve">(812) 376-4110 </t>
  </si>
  <si>
    <t>Karri Hattabaugh</t>
  </si>
  <si>
    <t>Applied Industrial Tech - Fairmont</t>
  </si>
  <si>
    <t>Fairmont, WV 26554</t>
  </si>
  <si>
    <t>126 Carr Lane</t>
  </si>
  <si>
    <t>304-534-5980</t>
  </si>
  <si>
    <t>Bill Michael</t>
  </si>
  <si>
    <t>Ferguson Industrial – Midsouth District</t>
  </si>
  <si>
    <t>615-209-7266</t>
  </si>
  <si>
    <t>1708 Elm Hill Pike</t>
  </si>
  <si>
    <t>Beckwood Press</t>
  </si>
  <si>
    <t>2086 Fenton Logistics Park BLVD</t>
  </si>
  <si>
    <t>Fenton, MO 63026</t>
  </si>
  <si>
    <t>636-680-5930</t>
  </si>
  <si>
    <t>John</t>
  </si>
  <si>
    <t xml:space="preserve">1300 Industrial Dr. Unit B
</t>
  </si>
  <si>
    <t>Itasca IL 60143</t>
  </si>
  <si>
    <t>630-509-3144</t>
  </si>
  <si>
    <t>Applied Industrial Tech - Fresno</t>
  </si>
  <si>
    <t>3751 S Bagley Ave</t>
  </si>
  <si>
    <t>Fresno, CA 93725</t>
  </si>
  <si>
    <t xml:space="preserve">559-485-7660 </t>
  </si>
  <si>
    <t>Jackson Maley</t>
  </si>
  <si>
    <t>Applied Industrial Tech - Tonawanda</t>
  </si>
  <si>
    <t>579 Sheridan Dr.</t>
  </si>
  <si>
    <t>716-874-2400</t>
  </si>
  <si>
    <t>Tonawanda, NY  14150</t>
  </si>
  <si>
    <t>Applied Industrial Tech - St. Joseph</t>
  </si>
  <si>
    <t>St Joseph, MO 64501</t>
  </si>
  <si>
    <t>624 S 7th St</t>
  </si>
  <si>
    <t>(816) 233-6961</t>
  </si>
  <si>
    <t>5799 Fern Valley Rd.</t>
  </si>
  <si>
    <t>502.968.4822</t>
  </si>
  <si>
    <t>Louisville, KY 40228</t>
  </si>
  <si>
    <t>Applied Industrial Tech - Louisville</t>
  </si>
  <si>
    <t>Milwaukee, WI 53212</t>
  </si>
  <si>
    <t>3760 N Holton St</t>
  </si>
  <si>
    <t>(414) 964-0284</t>
  </si>
  <si>
    <t>Advance Die Cast</t>
  </si>
  <si>
    <t>Hydradyne Hydraulics - Hanover Park</t>
  </si>
  <si>
    <t>R.E. Mason</t>
  </si>
  <si>
    <t xml:space="preserve">4309 Emperor Blvd </t>
  </si>
  <si>
    <t>Durham, NC 27703</t>
  </si>
  <si>
    <t>704-375-4464</t>
  </si>
  <si>
    <t>Alex Kidd</t>
  </si>
  <si>
    <t>Mike</t>
  </si>
  <si>
    <t>Applied Industrial Tech - Sheboygan</t>
  </si>
  <si>
    <t>4618 S Taylor Dr</t>
  </si>
  <si>
    <t>(920) 803-1717</t>
  </si>
  <si>
    <t>MFCP-Springville</t>
  </si>
  <si>
    <t>2057 W 700 South, Ste 200</t>
  </si>
  <si>
    <t>Springville, UT 84663</t>
  </si>
  <si>
    <t>801-499-7826</t>
  </si>
  <si>
    <t>Jay</t>
  </si>
  <si>
    <t>Applied Industrial Tech - Norton Shores</t>
  </si>
  <si>
    <t>6090 Grand Haven Road</t>
  </si>
  <si>
    <t xml:space="preserve">231-798-7750 </t>
  </si>
  <si>
    <t>Norton Shores. MI. 49441</t>
  </si>
  <si>
    <t>Carmen</t>
  </si>
  <si>
    <t>Applied Industrial Tech - Des Moines</t>
  </si>
  <si>
    <t>1761 Guthrie Ave</t>
  </si>
  <si>
    <t>Des Moines, IA 50316</t>
  </si>
  <si>
    <t>(515) 263-1484</t>
  </si>
  <si>
    <t>Applied Industrial Tech - Warren</t>
  </si>
  <si>
    <t>421 South Park Avenue</t>
  </si>
  <si>
    <t>Warren, Ohio  44483</t>
  </si>
  <si>
    <t xml:space="preserve">330-394-1527 </t>
  </si>
  <si>
    <t>AA Resources</t>
  </si>
  <si>
    <t>126 Lester Doss Road</t>
  </si>
  <si>
    <t>Applied Industrial Tech - Victorville</t>
  </si>
  <si>
    <t>15375 Anacapa Road Unit B</t>
  </si>
  <si>
    <t>Victorville, CA 92392</t>
  </si>
  <si>
    <t>760-241-7238</t>
  </si>
  <si>
    <t>Wolverine Tube - Decatur</t>
  </si>
  <si>
    <t>2100 Market St NE</t>
  </si>
  <si>
    <t>PolyFil</t>
  </si>
  <si>
    <t>Huntley, IL 60142</t>
  </si>
  <si>
    <t>11111 Kiley Dr</t>
  </si>
  <si>
    <t>Minden, NV 89423</t>
  </si>
  <si>
    <t>2221 Meridian Blvd</t>
  </si>
  <si>
    <t>(707) 806-8542</t>
  </si>
  <si>
    <t>Brandon, MS 39047</t>
  </si>
  <si>
    <t>233 Chris Lane</t>
  </si>
  <si>
    <t>601-829-4099</t>
  </si>
  <si>
    <t>Reliant Dry Ice - Brandon</t>
  </si>
  <si>
    <t>1301 Corporation Pkwy</t>
  </si>
  <si>
    <t>Applied Industrial Tech - Raleigh</t>
  </si>
  <si>
    <t>Raleigh, NC 27610</t>
  </si>
  <si>
    <t>(919) 231-6030</t>
  </si>
  <si>
    <t>Applied Industrial Tech - Little Rock</t>
  </si>
  <si>
    <t xml:space="preserve">8100 Industry Drive </t>
  </si>
  <si>
    <t xml:space="preserve">(501)955-2090 </t>
  </si>
  <si>
    <t>Dyna Industrial</t>
  </si>
  <si>
    <t xml:space="preserve">277 Sherwood Road </t>
  </si>
  <si>
    <t>Sherwood - McCarthy SK S4K 0A8 Canada</t>
  </si>
  <si>
    <t>(306) 359-7089</t>
  </si>
  <si>
    <t>Ascend Performance - Foley</t>
  </si>
  <si>
    <t>Ascend Performance - Decatur</t>
  </si>
  <si>
    <t>256-552-3332</t>
  </si>
  <si>
    <t>Blake Barbin</t>
  </si>
  <si>
    <t>323 Bibb St</t>
  </si>
  <si>
    <t>(334) 269-4351</t>
  </si>
  <si>
    <t>Applied Industrial Tech - Topeka</t>
  </si>
  <si>
    <t>Topeka, Kansas 66603</t>
  </si>
  <si>
    <t xml:space="preserve">115 NW Jackson St. </t>
  </si>
  <si>
    <t xml:space="preserve">(785) 220-0435 </t>
  </si>
  <si>
    <t>Weyerhaeuser Co - Wright City</t>
  </si>
  <si>
    <t>Weyerhaeuser Co - Dodson</t>
  </si>
  <si>
    <t>Weyerhaeuser Co - Columbus</t>
  </si>
  <si>
    <t>Weyerhaeuser Co - Millport</t>
  </si>
  <si>
    <t>Millport, AL 35576</t>
  </si>
  <si>
    <t>14715 AL-96</t>
  </si>
  <si>
    <t>205-579-9043</t>
  </si>
  <si>
    <t>Chris Perry</t>
  </si>
  <si>
    <t>Bruce, MS 38915</t>
  </si>
  <si>
    <t>289 S Pontotoc Rd</t>
  </si>
  <si>
    <t>Philadelphia, MS 39350</t>
  </si>
  <si>
    <t>1016 Weyerhaeuser St</t>
  </si>
  <si>
    <t>3477 S Frontage Rd</t>
  </si>
  <si>
    <t>Spectrum Wood</t>
  </si>
  <si>
    <t xml:space="preserve">Weyerhaeuser Co - Philadelphia </t>
  </si>
  <si>
    <t>Weyerhaeuser Co - Pine Hill</t>
  </si>
  <si>
    <t>Weyerhaeuser Co - Emerson</t>
  </si>
  <si>
    <t>Weyerhaeuser Co - Mt. Pine</t>
  </si>
  <si>
    <t>Weyerhaeuser Co - North Bend</t>
  </si>
  <si>
    <t>Weyerhaeuser Co - Vailent</t>
  </si>
  <si>
    <t>Applied Industrial Tech - Middletown</t>
  </si>
  <si>
    <t>Middletown, Oh.   45044</t>
  </si>
  <si>
    <t xml:space="preserve">1910 S. University Blvd. </t>
  </si>
  <si>
    <t xml:space="preserve">(513) 424-1845  </t>
  </si>
  <si>
    <t>Applied Industrial Tech - Springdale</t>
  </si>
  <si>
    <t>1005 Sterwin Street</t>
  </si>
  <si>
    <t>(479)751-6455</t>
  </si>
  <si>
    <t>Springdale AR, 72762</t>
  </si>
  <si>
    <t xml:space="preserve">151 Blue Bell Road </t>
  </si>
  <si>
    <t>Greensboro NC,27406</t>
  </si>
  <si>
    <t>Apex Industrial - Greensboro</t>
  </si>
  <si>
    <t>3336-379-0400</t>
  </si>
  <si>
    <t>GunDrill deep</t>
  </si>
  <si>
    <t>Trinity, AL 35673</t>
  </si>
  <si>
    <t>908 Maero St NW</t>
  </si>
  <si>
    <t>Magic Steel</t>
  </si>
  <si>
    <t>(256) 355-8222</t>
  </si>
  <si>
    <t>Polymer Industries</t>
  </si>
  <si>
    <t>Henagar, AL 35978</t>
  </si>
  <si>
    <t>10526 AL-40</t>
  </si>
  <si>
    <t>(256) 657-5197</t>
  </si>
  <si>
    <t>Columbus Roll Shop</t>
  </si>
  <si>
    <t>1949 Airport Rd</t>
  </si>
  <si>
    <t>(662) 798-4149</t>
  </si>
  <si>
    <t>Matzka</t>
  </si>
  <si>
    <t>25255 Mound Rd.</t>
  </si>
  <si>
    <t>(586) 755-6363</t>
  </si>
  <si>
    <t>Jack Daniel Cooperage</t>
  </si>
  <si>
    <t>1649 Cooperage Way</t>
  </si>
  <si>
    <t>(256) 432-4060</t>
  </si>
  <si>
    <t>Purvis Industries</t>
  </si>
  <si>
    <t>1615 Rutherford Lane</t>
  </si>
  <si>
    <t>Austin, TX  78754</t>
  </si>
  <si>
    <t>512-837-7696</t>
  </si>
  <si>
    <t>7240 Brittmoore Rd, Ste. 112</t>
  </si>
  <si>
    <t>Houston, TX  77041</t>
  </si>
  <si>
    <t>713-466-6620</t>
  </si>
  <si>
    <t>Applied Industrial Tech - Houston</t>
  </si>
  <si>
    <t>Applied Industrial Tech - Memphis</t>
  </si>
  <si>
    <t>3895 SOUTH PERKINS RD, STE 1</t>
  </si>
  <si>
    <t>901-368-5550</t>
  </si>
  <si>
    <t>901-368-5556</t>
  </si>
  <si>
    <t>Fox Equipment</t>
  </si>
  <si>
    <t>Green Cove Springs, FL 32043</t>
  </si>
  <si>
    <t>965 Bunker Avenue</t>
  </si>
  <si>
    <t xml:space="preserve">904-531-3150 </t>
  </si>
  <si>
    <t>3011 David J. Berard Rd</t>
  </si>
  <si>
    <t>Logan Industries - New Iberia</t>
  </si>
  <si>
    <t xml:space="preserve">New Iberia, LA 70560 </t>
  </si>
  <si>
    <t>757-277-5254</t>
  </si>
  <si>
    <t>34000 Lakeland Blvd.</t>
  </si>
  <si>
    <t>CPP - Eastlake</t>
  </si>
  <si>
    <t>Eastlake, Ohio 44095</t>
  </si>
  <si>
    <t> (440) 953-0053</t>
  </si>
  <si>
    <t>Applied Industrial Tech - Anderson, SC</t>
  </si>
  <si>
    <t>215 Mcgee Road</t>
  </si>
  <si>
    <t>864 225 3791</t>
  </si>
  <si>
    <t>Applied Industrial Tech - San Juan</t>
  </si>
  <si>
    <t>San Juan ,PR 00907</t>
  </si>
  <si>
    <t xml:space="preserve">787-523-5405 </t>
  </si>
  <si>
    <t>Applied Industrial Tech - Tampa</t>
  </si>
  <si>
    <t>9324 Florida Palm Drive</t>
  </si>
  <si>
    <t>Tampa, Fl 33619</t>
  </si>
  <si>
    <t>813 621 5138</t>
  </si>
  <si>
    <t>Applied Industrial Tech - Muncie</t>
  </si>
  <si>
    <t>3550 S. Hoyt Ave</t>
  </si>
  <si>
    <t>Muncie IN 47302</t>
  </si>
  <si>
    <t>765-284-1425</t>
  </si>
  <si>
    <t>Pugmill Systems</t>
  </si>
  <si>
    <t xml:space="preserve">204 Cemetery Ave  </t>
  </si>
  <si>
    <t xml:space="preserve">931-388-0626 </t>
  </si>
  <si>
    <t>Sealing Specialists</t>
  </si>
  <si>
    <t>2520 Plum Street</t>
  </si>
  <si>
    <t>615-859-3475</t>
  </si>
  <si>
    <t>LaCygne, KS 66140</t>
  </si>
  <si>
    <t>1010 Linnco Dr.</t>
  </si>
  <si>
    <t>Mahr - LaCygne</t>
  </si>
  <si>
    <t>913-829-5959</t>
  </si>
  <si>
    <t>Steel Dynanics - Columbus</t>
  </si>
  <si>
    <t>1945 Airport Rd</t>
  </si>
  <si>
    <t>662-245-4200</t>
  </si>
  <si>
    <t>Huron Technologies</t>
  </si>
  <si>
    <t>989-345-1300</t>
  </si>
  <si>
    <t>3490 US Highway 23 N</t>
  </si>
  <si>
    <t>Applied Industrial Tech - Sidney</t>
  </si>
  <si>
    <t xml:space="preserve">2030 Commerce Drive </t>
  </si>
  <si>
    <t>Sidney OH 45365</t>
  </si>
  <si>
    <t>(937) 492-8180</t>
  </si>
  <si>
    <t>MIM Hydraulics and Pnuematics</t>
  </si>
  <si>
    <t xml:space="preserve">843-437-5311 </t>
  </si>
  <si>
    <t>1920 Dunbar St, Suite A</t>
  </si>
  <si>
    <t>Charleston, SC 29407</t>
  </si>
  <si>
    <t>Applied Industrial Tech - Parkersburg</t>
  </si>
  <si>
    <t>400A Rayon Drive</t>
  </si>
  <si>
    <t>(304) 422-5478</t>
  </si>
  <si>
    <t>Parkersburg, WV 26101</t>
  </si>
  <si>
    <t>Omni Metalcraft</t>
  </si>
  <si>
    <t>989.358.7000</t>
  </si>
  <si>
    <t>4040 US Highway 23 N</t>
  </si>
  <si>
    <t>Power Dynamics</t>
  </si>
  <si>
    <t>1301 Martin Luther King Blvd.</t>
  </si>
  <si>
    <t>Picayune, MS 39466</t>
  </si>
  <si>
    <t xml:space="preserve">(601) 229-0976 </t>
  </si>
  <si>
    <t>Powerflow Systems - Witicha</t>
  </si>
  <si>
    <t>Powerflow Systems - Merriam</t>
  </si>
  <si>
    <t>Topre</t>
  </si>
  <si>
    <t>1580 County Rd 222</t>
  </si>
  <si>
    <t>Cullman, AL 35057</t>
  </si>
  <si>
    <t>256-735-2600</t>
  </si>
  <si>
    <t>552 Mid America Blvd.</t>
  </si>
  <si>
    <t>Hot Springs National Park, AR 71913</t>
  </si>
  <si>
    <t>Denali Wood Solutions</t>
  </si>
  <si>
    <t>501-261-2400</t>
  </si>
  <si>
    <t xml:space="preserve">(620) 241-3873 </t>
  </si>
  <si>
    <t>McPherson, KS 67460</t>
  </si>
  <si>
    <t>2475 Northview Rd</t>
  </si>
  <si>
    <t>PEM</t>
  </si>
  <si>
    <t>Castleberry, AL 36432</t>
  </si>
  <si>
    <t>4970 US-31</t>
  </si>
  <si>
    <t>Weyerhaeuser Co - Castleberry</t>
  </si>
  <si>
    <t>870-393-0004</t>
  </si>
  <si>
    <t>Golden Aluminum</t>
  </si>
  <si>
    <t>Fort Lupton, CO 80621</t>
  </si>
  <si>
    <t>1405 14th St</t>
  </si>
  <si>
    <t>800-838-1004</t>
  </si>
  <si>
    <t>Applied Industrial Tech - Crystal</t>
  </si>
  <si>
    <t>5534 Lakeland Ave N</t>
  </si>
  <si>
    <t>Crystal, MN 55429</t>
  </si>
  <si>
    <t xml:space="preserve">763-519-2100 </t>
  </si>
  <si>
    <t>Applied Industrial Tech - Canton</t>
  </si>
  <si>
    <t>7063 SW 47th Street</t>
  </si>
  <si>
    <t>Miami, FL 33155</t>
  </si>
  <si>
    <t>305-663-4448</t>
  </si>
  <si>
    <t>Ameritek</t>
  </si>
  <si>
    <t>Applied Industrial Tech - Syracuse</t>
  </si>
  <si>
    <t>Syracuse, NY 13204</t>
  </si>
  <si>
    <t>525 Erie Blvd. W</t>
  </si>
  <si>
    <t>570-589-5041</t>
  </si>
  <si>
    <t>Applied Industrial Tech - Pittsburgh</t>
  </si>
  <si>
    <t>PITTSBURGH, PA 15205</t>
  </si>
  <si>
    <t xml:space="preserve">405 PARKWAY VIEW DR </t>
  </si>
  <si>
    <t>724-719-0917</t>
  </si>
  <si>
    <t>702 5th Avenue North</t>
  </si>
  <si>
    <t>Birmingham, AL  35203</t>
  </si>
  <si>
    <t>682-802-2755</t>
  </si>
  <si>
    <t>Mansfield, TX 76063</t>
  </si>
  <si>
    <t>1848 Lone Star Rd unit 208</t>
  </si>
  <si>
    <t xml:space="preserve">Tiaaw Hydraulic Repair </t>
  </si>
  <si>
    <t>Jordan - energy</t>
  </si>
  <si>
    <t>JMS - Holland</t>
  </si>
  <si>
    <t>1010 Productions Court</t>
  </si>
  <si>
    <t>Holland, Michigan 49423</t>
  </si>
  <si>
    <t>(616) 796-2727</t>
  </si>
  <si>
    <t>Applied Industrial Tech - Tacoma</t>
  </si>
  <si>
    <t>1701 E. Portland Ave.</t>
  </si>
  <si>
    <t>Tacoma, WA  98421</t>
  </si>
  <si>
    <t>Acadiana Hydraulic</t>
  </si>
  <si>
    <t>127 Thruway Park Rd</t>
  </si>
  <si>
    <t>Ryan</t>
  </si>
  <si>
    <t>Clanton, AL 35045</t>
  </si>
  <si>
    <t xml:space="preserve">1091 Scott Drive </t>
  </si>
  <si>
    <t>Foley Products Company</t>
  </si>
  <si>
    <t>AFP-Jax</t>
  </si>
  <si>
    <t>Jacksonville, FL  32254</t>
  </si>
  <si>
    <t xml:space="preserve">(904)-781-5337 </t>
  </si>
  <si>
    <t>6730 Suemac Place</t>
  </si>
  <si>
    <t>Net Each</t>
  </si>
  <si>
    <t>R&amp;D Engineering</t>
  </si>
  <si>
    <t>128 Millstone Road</t>
  </si>
  <si>
    <t>337-837-8796</t>
  </si>
  <si>
    <t>R. K. Haskew&amp;Co - Chattanooga</t>
  </si>
  <si>
    <t>Raytheon Engineers - Englewood</t>
  </si>
  <si>
    <t>A&amp;A Resources</t>
  </si>
  <si>
    <t>A&amp;B Machine</t>
  </si>
  <si>
    <t>A&amp;C Hydraulic Inc - Daytona Beach</t>
  </si>
  <si>
    <t>A&amp;D Constructors - Evansville</t>
  </si>
  <si>
    <t>A&amp;H Custom Machine</t>
  </si>
  <si>
    <t>A&amp;T Manufacturing Co Inc - Jeff</t>
  </si>
  <si>
    <t>A Finkle&amp;Sons Co. - Chicago</t>
  </si>
  <si>
    <t>A J Oster&amp;Co - Warwick</t>
  </si>
  <si>
    <t>A-1 Backhoe&amp;Hauling, Inc.</t>
  </si>
  <si>
    <t>A-1 Machine&amp;Welding Inc - Chattanooga</t>
  </si>
  <si>
    <t>Robbins&amp;Bohr's Customer</t>
  </si>
  <si>
    <t xml:space="preserve">Aarkel Tool&amp;Die </t>
  </si>
  <si>
    <t>Abeco Die&amp;Casting - Lewisburg</t>
  </si>
  <si>
    <t>Accurate Bearing&amp;Drive Co</t>
  </si>
  <si>
    <t>Ace Hydraulic Sales&amp;Svc - Fresno</t>
  </si>
  <si>
    <t>Ace Hydraulic Sales&amp;Svc Inc - Bakersfield</t>
  </si>
  <si>
    <t>Acme Block&amp;Concrete Co - Harriman</t>
  </si>
  <si>
    <t>Acme Brick&amp;Block C - Baton Rouge</t>
  </si>
  <si>
    <t>Acme Die&amp;Machine Corp - Gastonia</t>
  </si>
  <si>
    <t>Acme Skid&amp;Plug-Pallet - Silsbee</t>
  </si>
  <si>
    <t>ADAM'S MACHINE&amp;TOOL</t>
  </si>
  <si>
    <t>Advanced Hydraulic&amp;Machines - Casper</t>
  </si>
  <si>
    <t xml:space="preserve">Advanced Hydraulic&amp;Pneumatic </t>
  </si>
  <si>
    <t>Commerce&amp;Bird</t>
  </si>
  <si>
    <t>Air&amp;Hydraulic Components - Oklahoma City</t>
  </si>
  <si>
    <t>Air&amp;Hydraulic Components - Tulsa</t>
  </si>
  <si>
    <t>Air&amp;Hydraulic Engineering - Birmingham</t>
  </si>
  <si>
    <t>Air&amp;Hydraulic Engineering - Daphne</t>
  </si>
  <si>
    <t>Air&amp;Hydraulic Engineering - Doraville</t>
  </si>
  <si>
    <t>Air&amp;Hydraulic Equipment - Brentwood</t>
  </si>
  <si>
    <t>Air&amp;Hydraulic Equipment - Bristol</t>
  </si>
  <si>
    <t>Air&amp;Hydraulic Equipment - Chattanooga</t>
  </si>
  <si>
    <t>Air&amp;Hydraulic Equipment - Cookeville</t>
  </si>
  <si>
    <t>Air&amp;Hydraulic Equipment - Knoxville</t>
  </si>
  <si>
    <t>Air&amp;Hydraulic Equipment - Memphis</t>
  </si>
  <si>
    <t>Air&amp;Hydraulic Equipment - Nashville</t>
  </si>
  <si>
    <t>Air&amp;Hydraulic Mechanical Equip, Inc.</t>
  </si>
  <si>
    <t>Air&amp;Hydraulic Repair Service - Cookville</t>
  </si>
  <si>
    <t>Air&amp;Hydraulic Repair Service - Westmoreland</t>
  </si>
  <si>
    <t>Air&amp;Hydraulics</t>
  </si>
  <si>
    <t>Air Brake&amp;Power Eq - Pottsville</t>
  </si>
  <si>
    <t>Al&amp;John, Inc. - Paterson</t>
  </si>
  <si>
    <t>Alabama Air&amp;Hydraulic - Birmingham</t>
  </si>
  <si>
    <t>Alabama Bolt&amp;Supply</t>
  </si>
  <si>
    <t>Alabama Bolt&amp;Supply-Montgomery</t>
  </si>
  <si>
    <t>Alabama Machinery&amp;Supply</t>
  </si>
  <si>
    <t>Alabama Pine&amp;Pulp - Perdue Hill</t>
  </si>
  <si>
    <t>Alaska Ship&amp;Drydoc - Ketchikan</t>
  </si>
  <si>
    <t>Albert Tool&amp;Die - Omaha</t>
  </si>
  <si>
    <t>Albright&amp;Wilson - Fernald</t>
  </si>
  <si>
    <t>Alcoa Aluminum&amp;Che - Point Comfort</t>
  </si>
  <si>
    <t>Alcoa Wheel&amp;Forged Products - Beliot</t>
  </si>
  <si>
    <t>Alcona Tool&amp;Machine - Harrisville</t>
  </si>
  <si>
    <t>All Balers&amp;Hydraulic Repair - Travelers Rest</t>
  </si>
  <si>
    <t>Allen&amp;Webb - Charleston</t>
  </si>
  <si>
    <t>MO Hwys  7&amp;78</t>
  </si>
  <si>
    <t>Allied Die&amp;Engraving Co - Palatine</t>
  </si>
  <si>
    <t>Allied Tube&amp;Condui - Phoenix</t>
  </si>
  <si>
    <t>Allied Tube&amp;Conduit - AR</t>
  </si>
  <si>
    <t>Alpha Valves&amp;Inst. - Chattanooga</t>
  </si>
  <si>
    <t>American Pipe&amp;Supp - Macon</t>
  </si>
  <si>
    <t>American Punch&amp;Die - Cadillac</t>
  </si>
  <si>
    <t>American Tool&amp;Mold - St Joseph</t>
  </si>
  <si>
    <t>American Valve&amp;Hyd - Beaumont</t>
  </si>
  <si>
    <t>Ameritech Die&amp;Mold - Mooresville</t>
  </si>
  <si>
    <t>30th&amp;Ray Street</t>
  </si>
  <si>
    <t>3401 Hwy.20 W. Bldg. H&amp;I</t>
  </si>
  <si>
    <t>Arctic Ind&amp;Auto Su - Anchorage</t>
  </si>
  <si>
    <t>Associated Welding&amp;- Tualatin</t>
  </si>
  <si>
    <t>Missouri Hwy 7&amp;78</t>
  </si>
  <si>
    <t>Atlantic Drives&amp;Be - Charlotte</t>
  </si>
  <si>
    <t>Atlantic Pneumatics&amp;Hydraulics Inc - Moncton</t>
  </si>
  <si>
    <t>Augusta Lumber&amp;Sup - North Garden</t>
  </si>
  <si>
    <t>Automated Valve&amp;Co - Houston</t>
  </si>
  <si>
    <t>B&amp;B Hydraulics - Darlington</t>
  </si>
  <si>
    <t>B&amp;B Lumber Co - Jamesville</t>
  </si>
  <si>
    <t>B&amp;B Refractories - Santa Fe Springs</t>
  </si>
  <si>
    <t>B&amp;B Technology&amp;S - Wilmington</t>
  </si>
  <si>
    <t>B&amp;B Tool&amp;Die Co - Muncie</t>
  </si>
  <si>
    <t>B&amp;C Engineering Ass. - Akron</t>
  </si>
  <si>
    <t>B&amp;C Industrial Con - Osmond</t>
  </si>
  <si>
    <t>B&amp;C Research Inc - Barberton</t>
  </si>
  <si>
    <t>B&amp;F - New Britain</t>
  </si>
  <si>
    <t xml:space="preserve">B&amp;H Tedford Mach.&amp; - </t>
  </si>
  <si>
    <t>B&amp;S Machine Tool - Aiken</t>
  </si>
  <si>
    <t>B&amp;T Hydraulics - West Sacramento</t>
  </si>
  <si>
    <t>B&amp;T Hydraulics&amp;Pneumatics - Tempe</t>
  </si>
  <si>
    <t>B A Ballou&amp;Co - East Providence</t>
  </si>
  <si>
    <t>Babcock&amp;Wilcox A Mcdermott - Lynchburg</t>
  </si>
  <si>
    <t>Barker Air&amp;Hydraulics - Charlotte</t>
  </si>
  <si>
    <t>Barker Air&amp;Hydraulics - Greenville</t>
  </si>
  <si>
    <t>Bath&amp;Decorative Ru - Scottsboro</t>
  </si>
  <si>
    <t>Bay Welding&amp;Fabric - Newport News</t>
  </si>
  <si>
    <t>Beardsley&amp;Piper - Chicago</t>
  </si>
  <si>
    <t>Bearing&amp;Drive Supply</t>
  </si>
  <si>
    <t>Bearing&amp;Power Transmission</t>
  </si>
  <si>
    <t>Bearing Engr.&amp;Supp - Seattle</t>
  </si>
  <si>
    <t>Bearings&amp;Drive - La Grange</t>
  </si>
  <si>
    <t>Bearings&amp;Drive - Ocala</t>
  </si>
  <si>
    <t>Bearings&amp;Drives - Hapeville</t>
  </si>
  <si>
    <t>Bearings&amp;Drives - Macon</t>
  </si>
  <si>
    <t>Bearings&amp;Drives - Ocala</t>
  </si>
  <si>
    <t>Bearings&amp;Drives - Sandersville</t>
  </si>
  <si>
    <t>Bearings&amp;Drives - Valdosta</t>
  </si>
  <si>
    <t>Bearings&amp;Drives Un - West Hazelton</t>
  </si>
  <si>
    <t>Bearings&amp;Industria - Idaho Falls</t>
  </si>
  <si>
    <t>Bearings&amp;Power Transmission</t>
  </si>
  <si>
    <t>Beck, Harold&amp;Sons - Newtown</t>
  </si>
  <si>
    <t>Bedford Machine&amp;Tool - Bedford</t>
  </si>
  <si>
    <t>Bennett Box&amp;Pallet - Ahoskie</t>
  </si>
  <si>
    <t>Bennett, J. H.&amp;Co., Inc. - Cleveland</t>
  </si>
  <si>
    <t>Birmingham Rail&amp;Lo - Lipscomb</t>
  </si>
  <si>
    <t>Bm Kramer&amp;Co., Inc - Pittsburgh</t>
  </si>
  <si>
    <t>Boise Hydraulic&amp;Ho - Boise</t>
  </si>
  <si>
    <t>Boykin Tool&amp;Supply - Atlanta</t>
  </si>
  <si>
    <t>Bradford&amp;White Co - Middleville</t>
  </si>
  <si>
    <t>Brenner Tool&amp;Die - Bensalem</t>
  </si>
  <si>
    <t>Hwy 55&amp;Old Well</t>
  </si>
  <si>
    <t>Briggs&amp;Stratton - Waliwatosa</t>
  </si>
  <si>
    <t>Briggs&amp;Stratton Co - Statesboro</t>
  </si>
  <si>
    <t>Brighton Block&amp;Concrete - Brighton</t>
  </si>
  <si>
    <t>Brown&amp;Pauley - Gardiner</t>
  </si>
  <si>
    <t>Brown&amp;Roger Automation - Darlington</t>
  </si>
  <si>
    <t>Burton Saw&amp;Machine - Eugene</t>
  </si>
  <si>
    <t>Butler Tool&amp;Design - Goodland</t>
  </si>
  <si>
    <t>C&amp;A Scale Service - Crescent</t>
  </si>
  <si>
    <t>C&amp;C Hydraulics - Terryville</t>
  </si>
  <si>
    <t>C&amp;D Charter Power - Leola</t>
  </si>
  <si>
    <t>C&amp;D Power Systems - Plymouth Mtg.</t>
  </si>
  <si>
    <t>C&amp;G Boat Works Inc - Bayou La Batre</t>
  </si>
  <si>
    <t>C&amp;G Systems - Itasca</t>
  </si>
  <si>
    <t>C&amp;H Die Casting - Temple</t>
  </si>
  <si>
    <t>C&amp;J Machine&amp;Welders</t>
  </si>
  <si>
    <t>C&amp;L Steel Fabricat - Union City</t>
  </si>
  <si>
    <t>C&amp;R Tool</t>
  </si>
  <si>
    <t>C&amp;T Hydraulics</t>
  </si>
  <si>
    <t>Cal-State Seal&amp;Flu - Garden Grove</t>
  </si>
  <si>
    <t>Camac Valves&amp;Controls, Inc.</t>
  </si>
  <si>
    <t>Cameron&amp;Barkley - Knoxville</t>
  </si>
  <si>
    <t>Cameron&amp;Barkley Co - Waynesboro</t>
  </si>
  <si>
    <t>Capital West Syst.&amp;- Henderson</t>
  </si>
  <si>
    <t>Cargill Steel&amp;Wire - Beaumont</t>
  </si>
  <si>
    <t>Carl Rose&amp;Sons - Elkin</t>
  </si>
  <si>
    <t>Carr Hose&amp;Rubber, Inc. **CREDIT HOLD**</t>
  </si>
  <si>
    <t>Cb&amp;I Constructors, - Houston</t>
  </si>
  <si>
    <t>Certified Machine&amp;- Houston</t>
  </si>
  <si>
    <t>Champion Tool&amp;Engi - Mishawaka</t>
  </si>
  <si>
    <t>Charles F Wheelock&amp;Associates - Birmingham</t>
  </si>
  <si>
    <t>Chase&amp;Sons - Randolph</t>
  </si>
  <si>
    <t>Chase Brass&amp;Copper - Montpelier</t>
  </si>
  <si>
    <t>Chesapeake Display&amp;- Winston Salem</t>
  </si>
  <si>
    <t>Chicago Bridge&amp;Iro - Houston</t>
  </si>
  <si>
    <t>Chicago Trans-Axle&amp;- Chicago</t>
  </si>
  <si>
    <t>Church&amp;Dwight Co Inc</t>
  </si>
  <si>
    <t>Clarendon Air&amp;Hydr - Turbeville</t>
  </si>
  <si>
    <t>Clark Refining&amp;Mkt - Port Arthur</t>
  </si>
  <si>
    <t>Cline Hose&amp;Hydraul - Greenville</t>
  </si>
  <si>
    <t>Clutch&amp;Transmissio - Rochester</t>
  </si>
  <si>
    <t>Coldwell&amp;Company</t>
  </si>
  <si>
    <t>COLLUM'S ADMINISTRATION&amp;MAINTENANCE LLC</t>
  </si>
  <si>
    <t>Colonial Tool&amp;Elec - Calredonia</t>
  </si>
  <si>
    <t>Columbia Block&amp;Brick - Columbia</t>
  </si>
  <si>
    <t>Advanced Hyd&amp;Pneumatic Customer</t>
  </si>
  <si>
    <t>Columbia Pipe&amp;Supp - East Peoria</t>
  </si>
  <si>
    <t xml:space="preserve">Comber Tool&amp;Mold - </t>
  </si>
  <si>
    <t>Component Sales&amp;Service - Remlap</t>
  </si>
  <si>
    <t>Com-Tal Machine&amp;Engineering - St. Paul</t>
  </si>
  <si>
    <t>Connecticut Spring&amp;- Farmington</t>
  </si>
  <si>
    <t>Contemporary Machinery&amp;Eng.</t>
  </si>
  <si>
    <t>Continental Conveyor&amp;Equipment - Winfield</t>
  </si>
  <si>
    <t>Control&amp;Power - Decatur</t>
  </si>
  <si>
    <t>Control&amp;Power - Theodore</t>
  </si>
  <si>
    <t>Control&amp;Power Inc - Birmingham</t>
  </si>
  <si>
    <t>Control&amp;Power Inc - Madison</t>
  </si>
  <si>
    <t>Control&amp;Power, Inc - Jackson</t>
  </si>
  <si>
    <t>Cooper Marine&amp;Timberlands - Aliceville</t>
  </si>
  <si>
    <t>Cooper Marine&amp;Timberlands Corp - Quinton</t>
  </si>
  <si>
    <t>Cooper Tire&amp;Rubber - MI</t>
  </si>
  <si>
    <t>Cooper Tire&amp;Rubber - Tupelo</t>
  </si>
  <si>
    <t>Cooper Tire&amp;Rubber Company</t>
  </si>
  <si>
    <t>Copper Tire&amp;Rubber- Albany</t>
  </si>
  <si>
    <t>Crane&amp;Company - Dalton</t>
  </si>
  <si>
    <t>Crown Die&amp;Mold - Cleveland</t>
  </si>
  <si>
    <t>Crown Parts&amp;Machin - Billings</t>
  </si>
  <si>
    <t>Cumberland Lumber&amp;- Mcminnville</t>
  </si>
  <si>
    <t>Cummings&amp;Son, Inc. - Garden City</t>
  </si>
  <si>
    <t>Curtis Fabrication&amp;- Columbia</t>
  </si>
  <si>
    <t>Custom Design&amp;Mold</t>
  </si>
  <si>
    <t>Custom Fab&amp;Machining - St. John</t>
  </si>
  <si>
    <t>Custom Machine&amp;Des - Lincoln</t>
  </si>
  <si>
    <t>Custom Tool&amp;Die - Stevensville</t>
  </si>
  <si>
    <t>Cuyahoga Steel&amp;Wire - Solon</t>
  </si>
  <si>
    <t>D&amp;D Repair - Milton</t>
  </si>
  <si>
    <t>D&amp;E Systems - Birmingham</t>
  </si>
  <si>
    <t>D&amp;F Mold - Bridgman</t>
  </si>
  <si>
    <t>D&amp;G Lumber - Three Forks</t>
  </si>
  <si>
    <t>D&amp;M Hydraulic - Waipahu</t>
  </si>
  <si>
    <t>D&amp;R Auto Parts - Klamath Falls</t>
  </si>
  <si>
    <t>D&amp;S Hydraulics Inc - Bend</t>
  </si>
  <si>
    <t>D&amp;W Wireline</t>
  </si>
  <si>
    <t>D.R. Sperry&amp;Co - North Aurora</t>
  </si>
  <si>
    <t>Dahl Hydraulics&amp;Mechanics Inc - Durango</t>
  </si>
  <si>
    <t>Davidson Sales&amp;Eng - West Valley City</t>
  </si>
  <si>
    <t>Davis Machine&amp;Tool - Edinburgh</t>
  </si>
  <si>
    <t>Day&amp;Zimmerman, Inc - Nash</t>
  </si>
  <si>
    <t>Delaware Machine&amp;Tool - Muncie</t>
  </si>
  <si>
    <t>Delta Machine&amp;Fabr - Daingerfield</t>
  </si>
  <si>
    <t>Delta Machine&amp;Tool - Cleveland</t>
  </si>
  <si>
    <t>Deltic Farm&amp;Timber - Ola</t>
  </si>
  <si>
    <t>Deltic-Farm&amp;Timber - Waldo</t>
  </si>
  <si>
    <t>Derteano&amp;Stucker - Medley</t>
  </si>
  <si>
    <t>Diamond Rug&amp;Carpet - Eton.</t>
  </si>
  <si>
    <t>Diamond Tool&amp;Die - Dayton</t>
  </si>
  <si>
    <t>Dixie Pulp&amp;Paper - Tuscaloosa</t>
  </si>
  <si>
    <t>Dm Sales&amp;Engineering - Indianapolis</t>
  </si>
  <si>
    <t>Down East Machine&amp;- Mechanic Falls</t>
  </si>
  <si>
    <t>Downing Sales&amp;Service - Phillipsburg</t>
  </si>
  <si>
    <t>Dredge&amp;Marine</t>
  </si>
  <si>
    <t>Dubuque Hose&amp;Hydraulic</t>
  </si>
  <si>
    <t>Dunlop Tire&amp;Rubber - Tonawanda</t>
  </si>
  <si>
    <t>Dynamic Tool&amp;Engin - St. James</t>
  </si>
  <si>
    <t>E&amp;E Hydraulics&amp;Ind Maintenance</t>
  </si>
  <si>
    <t>E&amp;R Fabaricating Inc - Bedford</t>
  </si>
  <si>
    <t>E. Kahn's&amp;Sons Com - Cincinnati</t>
  </si>
  <si>
    <t>E.J. Varholy&amp;Sons, Inc.</t>
  </si>
  <si>
    <t>E.M.P Co. - Erie Mill&amp;Press Co, Inc.</t>
  </si>
  <si>
    <t>Eastern Hydraulics&amp;Power - Rocky Mount</t>
  </si>
  <si>
    <t>EC&amp;S Griffin Pipe Products</t>
  </si>
  <si>
    <t>Edco Tool&amp;Die Co - Toledo</t>
  </si>
  <si>
    <t>Efficient Die&amp;Mold - Independence</t>
  </si>
  <si>
    <t>EG&amp;G Defense Material - Tooele</t>
  </si>
  <si>
    <t>Eilers Machine&amp;Wel - Lexington</t>
  </si>
  <si>
    <t>Elite Tool&amp;Design - Columbia</t>
  </si>
  <si>
    <t>Empire Machine&amp;Sup - Norfolk</t>
  </si>
  <si>
    <t>Empire Machinery&amp;S - Hampton</t>
  </si>
  <si>
    <t>Ericson Log&amp;Lumber - New Windsor</t>
  </si>
  <si>
    <t>Eugene Sand&amp;Gravel - Eugene</t>
  </si>
  <si>
    <t>Excel Mold&amp;Die Inc - Greenock</t>
  </si>
  <si>
    <t>F&amp;L Fluid Componen - Camp Hill</t>
  </si>
  <si>
    <t>F.H. Stoltze Land&amp;- Columbia Falls</t>
  </si>
  <si>
    <t>Farmer Mold&amp;Machin - St. Petersburg</t>
  </si>
  <si>
    <t>Ferguson Land&amp;Timb - Rocky Mount</t>
  </si>
  <si>
    <t>FF7 PRODUCTION LLC FAST&amp;FURIIOUS 7</t>
  </si>
  <si>
    <t>Filer&amp;Stowell - Milwaukee</t>
  </si>
  <si>
    <t>Filer&amp;Stowell - Prineville</t>
  </si>
  <si>
    <t>Fischer Tool&amp;Die - Temperence</t>
  </si>
  <si>
    <t>Fisher&amp;Company</t>
  </si>
  <si>
    <t>Florida Rigging&amp;Hydraulic - Riviera Beach</t>
  </si>
  <si>
    <t>Florida Wire&amp;Cable - Jacksonville</t>
  </si>
  <si>
    <t>Fluid Power Systems&amp;Sales LLC</t>
  </si>
  <si>
    <t>Fluid Systems&amp;Components - Overland Park</t>
  </si>
  <si>
    <t>Foundry&amp;Steel Co - Anderson</t>
  </si>
  <si>
    <t>Franchino Mold&amp;Eng - Lansing</t>
  </si>
  <si>
    <t>Frank Casilia&amp;Sons - Bethlehem</t>
  </si>
  <si>
    <t>G&amp;D Industrial Supply - Laredo</t>
  </si>
  <si>
    <t>G&amp;G Lumber CO - Harmony</t>
  </si>
  <si>
    <t>G&amp;G Lumber Company - Union Grove</t>
  </si>
  <si>
    <t>G&amp;G Steel</t>
  </si>
  <si>
    <t>G&amp;HC Company</t>
  </si>
  <si>
    <t>G&amp;J Steel&amp;Tubing - Somerville</t>
  </si>
  <si>
    <t>G&amp;K Machine - Donald</t>
  </si>
  <si>
    <t>G&amp;K Services - Green Bay</t>
  </si>
  <si>
    <t>G&amp;L Manufacturing - Cookeville</t>
  </si>
  <si>
    <t>G&amp;M Machine - Richland</t>
  </si>
  <si>
    <t>G&amp;S Hydraulics</t>
  </si>
  <si>
    <t xml:space="preserve">G&amp;S Hydraulics - Bill to </t>
  </si>
  <si>
    <t>Garden State Engine&amp;Equip Co - Somerville</t>
  </si>
  <si>
    <t>George Koch&amp;Sons - Evansville</t>
  </si>
  <si>
    <t>Georgia Gulf Chemicals&amp;Vinyls LLC - Aberdeen</t>
  </si>
  <si>
    <t>Gibson Custom Welding&amp;Hydraulics</t>
  </si>
  <si>
    <t>Gibson Dye&amp;Stamping - Dallas</t>
  </si>
  <si>
    <t>Gillespie&amp;Powers Inc - Saint Louis</t>
  </si>
  <si>
    <t>Gl&amp;V/Dorr-Oliver - Hazleton</t>
  </si>
  <si>
    <t>GM Tool&amp;Die Co - Stamford</t>
  </si>
  <si>
    <t>Goodyear Tire&amp;Rubber - Akron</t>
  </si>
  <si>
    <t>Goodyear Tire&amp;Rubber - Beaumont</t>
  </si>
  <si>
    <t>Goss&amp;Deleeuw Machine - Kensington</t>
  </si>
  <si>
    <t>Gould Erectors&amp;Rig - Glenmont</t>
  </si>
  <si>
    <t>Great Lakes Dredge&amp;Dock - Oak Brook</t>
  </si>
  <si>
    <t>Great Lakes Pulp&amp;F - Menominee</t>
  </si>
  <si>
    <t>Great South Timber&amp;Lumber</t>
  </si>
  <si>
    <t>Green Machining&amp;Fabrication</t>
  </si>
  <si>
    <t>Greenerd Press&amp;Mac - Nashua</t>
  </si>
  <si>
    <t>Grooms Engine Machine&amp;Parts</t>
  </si>
  <si>
    <t>Gross&amp;James</t>
  </si>
  <si>
    <t>GROSSMAN IRON&amp;STEEL CO.</t>
  </si>
  <si>
    <t>Gulf Coast Air&amp;Hydraulics - Mobile</t>
  </si>
  <si>
    <t>Gulf Hydraulics&amp;Pneumatics - D'Iberville</t>
  </si>
  <si>
    <t>H&amp;H Equipment Co. - Stayton</t>
  </si>
  <si>
    <t>H&amp;H Hydraulics - Fruita</t>
  </si>
  <si>
    <t>H&amp;H Tube - Cheboygan</t>
  </si>
  <si>
    <t>H&amp;H Tube Manufactu - Vanderbilt</t>
  </si>
  <si>
    <t>H&amp;W Emergency Vehicle - Hillsboro</t>
  </si>
  <si>
    <t>H.G. Toler&amp;Son Lumber - Leola</t>
  </si>
  <si>
    <t>Hanson Pipe&amp;Products Inc</t>
  </si>
  <si>
    <t>Harley Valve&amp;Instr - Broken Arrow</t>
  </si>
  <si>
    <t>Harrah's Hose&amp;Hydraulics</t>
  </si>
  <si>
    <t>Hart&amp;Cooley Mfg - Holland</t>
  </si>
  <si>
    <t>Hart&amp;Cooley, Inc.- Huntsville</t>
  </si>
  <si>
    <t>Hawk Industrial&amp;Ma - Arcata</t>
  </si>
  <si>
    <t>Hawkeye Tool&amp;Die I - Jesup</t>
  </si>
  <si>
    <t>Hearth&amp;Home Tech</t>
  </si>
  <si>
    <t>Hebert Valve&amp;Contr - Baton Rouge</t>
  </si>
  <si>
    <t>Heeco Air&amp;Hydrauli - Tampa</t>
  </si>
  <si>
    <t>Held Equip&amp;Constru - Coeur D Alene</t>
  </si>
  <si>
    <t>Hessel Tractor&amp;Equipment - Eugene</t>
  </si>
  <si>
    <t>High&amp;High, Inc.</t>
  </si>
  <si>
    <t>Hi-Tech Mold&amp;Engineering</t>
  </si>
  <si>
    <t>Hobson&amp;Motzer - Durham</t>
  </si>
  <si>
    <t>Hollinsworth&amp;Vose - West Groton</t>
  </si>
  <si>
    <t>A&amp;A Resources Inc's Customer</t>
  </si>
  <si>
    <t>Hoosier Hydraulic&amp;Industrial Supply - La Porte</t>
  </si>
  <si>
    <t>Hose&amp;Equipment Sal - Sumter</t>
  </si>
  <si>
    <t>Huntington Hose&amp;Hyd - South Point</t>
  </si>
  <si>
    <t>Huntington Hose&amp;Hydraulic - Huntington</t>
  </si>
  <si>
    <t>Hydraulic&amp;Air Repair - Beaumont</t>
  </si>
  <si>
    <t>Hydraulic&amp;Automated Systems - Collierville</t>
  </si>
  <si>
    <t>Hydraulic&amp;Bearing - Brawley</t>
  </si>
  <si>
    <t>Hydraulic&amp;Motor Co - Mount Kisco</t>
  </si>
  <si>
    <t>Hydraulic&amp;Pneumatic - Irving</t>
  </si>
  <si>
    <t>HYDRAULIC&amp;PNEUMATIC SERVICE</t>
  </si>
  <si>
    <t>Hydraulic&amp;Pneumatic Services</t>
  </si>
  <si>
    <t>Hydraulic Energy Applications&amp;Technology</t>
  </si>
  <si>
    <t>Hydraulic Parts&amp;Service Inc - Kansas City</t>
  </si>
  <si>
    <t>Hydraulic Repair&amp;D - Kent</t>
  </si>
  <si>
    <t>Hydraulic Repair&amp;Design</t>
  </si>
  <si>
    <t>Hydraulic Repair&amp;Engineering - Blue Springs</t>
  </si>
  <si>
    <t>Hydraulic Sales&amp;Service - Sioux City</t>
  </si>
  <si>
    <t>Hydraulic Sales&amp;Services - Miami</t>
  </si>
  <si>
    <t>Hydraulic Service&amp;Sales - North Fort Myers</t>
  </si>
  <si>
    <t>Hydraulic Service&amp;Supply - Richland</t>
  </si>
  <si>
    <t>Hydraulics&amp;Bearing - Holtville</t>
  </si>
  <si>
    <t>Hydraulics&amp;Pneumatic - Albuquerque</t>
  </si>
  <si>
    <t>Idaho Bearing&amp;Supp - Caldwell</t>
  </si>
  <si>
    <t>Illiana Block&amp;Brick - Michigan City</t>
  </si>
  <si>
    <t>Independent Hydraulics&amp;Machine Inc - Lake Havasu City</t>
  </si>
  <si>
    <t>Industrial Crating&amp;- Tukwilla</t>
  </si>
  <si>
    <t>Industrial Design&amp;Fabricators</t>
  </si>
  <si>
    <t>Industrial Design&amp;Supply - Cleveland</t>
  </si>
  <si>
    <t>Industrial Design&amp;Supply - Perrysburg</t>
  </si>
  <si>
    <t>Industrial Drives&amp;- Elberton</t>
  </si>
  <si>
    <t>Industrial Hose&amp;Hydraulic - Pompano Beach</t>
  </si>
  <si>
    <t>Industrial Machine&amp;- Florence</t>
  </si>
  <si>
    <t>Industrial Machine&amp;Supply</t>
  </si>
  <si>
    <t>Industrial Refuse&amp;- Auburn</t>
  </si>
  <si>
    <t>Inland Paperboard&amp;- Orange</t>
  </si>
  <si>
    <t>Inland Paperboard&amp;Packaging - Rome</t>
  </si>
  <si>
    <t>International Press&amp;Shear - Baxley</t>
  </si>
  <si>
    <t>Int'L Valve&amp;Instru - Springfield</t>
  </si>
  <si>
    <t>Isa / Collins&amp;Aikm - Greenville</t>
  </si>
  <si>
    <t>Ivy Steel&amp;Wire - Jacksonville</t>
  </si>
  <si>
    <t>J&amp;G Equipment</t>
  </si>
  <si>
    <t>J&amp;G Tech Services - Gadsden</t>
  </si>
  <si>
    <t>J&amp;J Corregated - Huntsville</t>
  </si>
  <si>
    <t>J&amp;L Hydraulics - Pasco</t>
  </si>
  <si>
    <t>J&amp;M Hydraulics - Pittsburgh</t>
  </si>
  <si>
    <t>J&amp;M Laboratories - Dawsonville</t>
  </si>
  <si>
    <t>J&amp;M Machine - Muskegon</t>
  </si>
  <si>
    <t>J&amp;M Repair Service - Chesapeake</t>
  </si>
  <si>
    <t>J&amp;S Hydraulics - Hereford</t>
  </si>
  <si>
    <t>J&amp;S Products - Ft. Worth</t>
  </si>
  <si>
    <t xml:space="preserve">J&amp;W EQUIPMENT CO. </t>
  </si>
  <si>
    <t>Jackson Air&amp;Hydraulic - Richland</t>
  </si>
  <si>
    <t>James Eagen&amp;Sons C - Wyoming</t>
  </si>
  <si>
    <t>Jerry G. Williams&amp;- Smithfield</t>
  </si>
  <si>
    <t>J-Fab&amp;Machine Repair, Inc.</t>
  </si>
  <si>
    <t>Jill Spoor&amp;Ass. - Norfolk</t>
  </si>
  <si>
    <t>Joe Cooling&amp;Sons - Cherry Valley</t>
  </si>
  <si>
    <t>Joe N. Miles&amp;Sons - Silver Creek</t>
  </si>
  <si>
    <t>Joseph Metz&amp;Sons - Lyons</t>
  </si>
  <si>
    <t>K&amp;E Technical, Inc</t>
  </si>
  <si>
    <t>K&amp;F Mfg - Chesterland</t>
  </si>
  <si>
    <t>K.F. Seitz&amp;Sons - Torrington</t>
  </si>
  <si>
    <t>Kanawha Scales&amp;Sys - Poca</t>
  </si>
  <si>
    <t>Kent Mold&amp;Die Co - Kent</t>
  </si>
  <si>
    <t>Kerr Brothers&amp;Asso - Nashville</t>
  </si>
  <si>
    <t>Key Hydraulic&amp;Repair -COD Sedalia</t>
  </si>
  <si>
    <t>Kipper&amp;Sons Fabric - Auburn</t>
  </si>
  <si>
    <t>Klenstra Block&amp;Bri - Wood River</t>
  </si>
  <si>
    <t>Klug&amp;Smith Co. - Milwaukee</t>
  </si>
  <si>
    <t>Koz&amp;Co Inc Dba - Aberdeen</t>
  </si>
  <si>
    <t>Kuehne&amp;Nagel - Houston</t>
  </si>
  <si>
    <t>KYLEM RESIDENTIAL&amp;COMMERCIAL WATER</t>
  </si>
  <si>
    <t>L&amp;D New Corp. Inc. - Phoenix</t>
  </si>
  <si>
    <t>L&amp;F Ind - Huntington Park</t>
  </si>
  <si>
    <t>L&amp;G Specialties Inc - West Sacremento</t>
  </si>
  <si>
    <t>L&amp;L Concepts Inc - Hagerstown</t>
  </si>
  <si>
    <t>L&amp;L Mechanical, In - Blackfoot</t>
  </si>
  <si>
    <t>L&amp;P Products - Coleman</t>
  </si>
  <si>
    <t>L&amp;S Electric Inc - Schofield</t>
  </si>
  <si>
    <t>L&amp;S Electric, Inc.</t>
  </si>
  <si>
    <t>L&amp;W Products - Beaverton</t>
  </si>
  <si>
    <t>L.E.D. Tool&amp;Die In - Alsip</t>
  </si>
  <si>
    <t>L.Karp&amp;Sons, Inc. - Elk Grove Village</t>
  </si>
  <si>
    <t>Label Products&amp;Design - Green Bay</t>
  </si>
  <si>
    <t>Lake Tool&amp;Hydraulics, Inc.</t>
  </si>
  <si>
    <t>Lakeland Tool&amp;Engr.</t>
  </si>
  <si>
    <t>Lamberts Cabling&amp;Splicing</t>
  </si>
  <si>
    <t>Lampe&amp;Malphrus Lumber - Smithfield</t>
  </si>
  <si>
    <t>Laredo Machine&amp;Tool - Laredo</t>
  </si>
  <si>
    <t>Larkstur Engineering&amp;Supply</t>
  </si>
  <si>
    <t>Lee Brick&amp;Block - Antioch</t>
  </si>
  <si>
    <t>Leese&amp;Co - Greensburg</t>
  </si>
  <si>
    <t>Lehi Block&amp;Perlite - Lehi</t>
  </si>
  <si>
    <t>Lehmann, Ullman&amp;Barclay - Birmingham</t>
  </si>
  <si>
    <t>Lewis Bolt&amp;Nut - La Junta</t>
  </si>
  <si>
    <t>Lewisburg Rubber&amp;Gasket, LLC</t>
  </si>
  <si>
    <t>Lightning Tool&amp;Des - Elk Grove</t>
  </si>
  <si>
    <t>Lincoln Mold&amp;Die C - Roselle</t>
  </si>
  <si>
    <t>Livingston&amp;Haven - Charlotte</t>
  </si>
  <si>
    <t>Livingston&amp;Haven - Greenville</t>
  </si>
  <si>
    <t>Livingston&amp;Haven - Peachtree City</t>
  </si>
  <si>
    <t>SITE 8 BLD 870 15TH ST E&amp;AVE P</t>
  </si>
  <si>
    <t>15th Street E&amp;Ave P</t>
  </si>
  <si>
    <t>Louisville Gas&amp;Electric</t>
  </si>
  <si>
    <t>Lous Hydraulic Sales&amp;Service - Arcadia</t>
  </si>
  <si>
    <t>Hennepin Plant
Routes I-180&amp;71</t>
  </si>
  <si>
    <t>M&amp;B Metal Products</t>
  </si>
  <si>
    <t>M&amp;d Mechanical Contractors</t>
  </si>
  <si>
    <t>M&amp;E Sales - Laurel</t>
  </si>
  <si>
    <t>M&amp;I Machine - Coloma</t>
  </si>
  <si>
    <t>M&amp;S Steel Corp - Garrett</t>
  </si>
  <si>
    <t>M R&amp;R Enterprises - Janesville</t>
  </si>
  <si>
    <t>Robbins&amp;Bohr - Customer</t>
  </si>
  <si>
    <t>M. Davis&amp;Sons - Willmington</t>
  </si>
  <si>
    <t>M.L. Corley&amp;Sons - Lexington</t>
  </si>
  <si>
    <t>MacMillan&amp;Bloedel - Colbert</t>
  </si>
  <si>
    <t>Madison&amp;Redbank - Cincinnati</t>
  </si>
  <si>
    <t>Madison Pulp&amp;Paper - Madison</t>
  </si>
  <si>
    <t>Magna Machine&amp;Tool - New Castle</t>
  </si>
  <si>
    <t>Magnum Diamond&amp;Mac - Grandview</t>
  </si>
  <si>
    <t>Maintenance Rubber&amp;Pump Co.</t>
  </si>
  <si>
    <t>Mangas Tool&amp;Die - Muscle Shoals</t>
  </si>
  <si>
    <t xml:space="preserve">Mangas Tool&amp;Die Division - </t>
  </si>
  <si>
    <t>Mansell&amp;Associates</t>
  </si>
  <si>
    <t>Martinez&amp;Turek - Rialto</t>
  </si>
  <si>
    <t>Mason&amp;Hanger - Middletown</t>
  </si>
  <si>
    <t>AGGRESSIVE HYDRAULICS PHONE&amp;CUSTOMER</t>
  </si>
  <si>
    <t>Mc Near Brick&amp;Block - San Rafael</t>
  </si>
  <si>
    <t>Mccurdy Tool&amp;Die - Caledonia</t>
  </si>
  <si>
    <t>12th&amp;Oak</t>
  </si>
  <si>
    <t>Meister Log&amp;Lumber - Reedsburg</t>
  </si>
  <si>
    <t>Mercer Machine&amp;Hyd - Reading</t>
  </si>
  <si>
    <t>Merck&amp;Co., Inc.</t>
  </si>
  <si>
    <t>Merz Metal&amp;Machine - Buffalo</t>
  </si>
  <si>
    <t>Micheller&amp;Sons Hyd - Roselle</t>
  </si>
  <si>
    <t>Micks Marine&amp;Machine - Sitka</t>
  </si>
  <si>
    <t>Micro Tool&amp;Machine - Winnipig</t>
  </si>
  <si>
    <t>Mid American Machine&amp;Equipment</t>
  </si>
  <si>
    <t>Mid American Machine&amp;Equipment - Sylacauga, AL</t>
  </si>
  <si>
    <t>Mid-American Machine&amp;Eqipment</t>
  </si>
  <si>
    <t>Midwest Hydraulic Service&amp;Equipment - Grand Island</t>
  </si>
  <si>
    <t>Mill Equipment&amp;Eng - Pittsburgh</t>
  </si>
  <si>
    <t>Mill Sprocket&amp;Machine - Springfield</t>
  </si>
  <si>
    <t>Miller Saw Mill&amp;Lumber Co - Macy</t>
  </si>
  <si>
    <t>Minnesota Pulp&amp;Pap - Brainerd</t>
  </si>
  <si>
    <t>Mkc Machine&amp;Contro - Moncks Corner</t>
  </si>
  <si>
    <t>Moco Engineering&amp;F - Otis Orchards</t>
  </si>
  <si>
    <t>Moco Engineerng&amp;Fa - Spokane</t>
  </si>
  <si>
    <t>Modern Eng&amp;Piping - Roseville</t>
  </si>
  <si>
    <t>Modern Eng.&amp;Piping - Defiance</t>
  </si>
  <si>
    <t>Modern Homes&amp;Equip - Mobile</t>
  </si>
  <si>
    <t>Mohawk Rug&amp;Textile - Dalton</t>
  </si>
  <si>
    <t>Morgantown Machine&amp;- New Philadelphia</t>
  </si>
  <si>
    <t>Muncie Reclamation&amp;- Muncie</t>
  </si>
  <si>
    <t>Munnell&amp;Sherrill - Eugene</t>
  </si>
  <si>
    <t>Munnell&amp;Sherrill Inc - Portland</t>
  </si>
  <si>
    <t>Murray&amp;Associates</t>
  </si>
  <si>
    <t>Muskatine Power&amp;Water</t>
  </si>
  <si>
    <t>N N Ball&amp;Roller Inc - Walterboro</t>
  </si>
  <si>
    <t>Nashville Hydraulic&amp;Automotive - Nashville</t>
  </si>
  <si>
    <t>New Jersey Tool&amp;Di - Kenilworth</t>
  </si>
  <si>
    <t>New Tech Tool&amp;Mfg.</t>
  </si>
  <si>
    <t>Newcor Rubber&amp;Plas - Deckerville</t>
  </si>
  <si>
    <t>Nn Ball&amp;Roller Inc - Erwin</t>
  </si>
  <si>
    <t>Nordon Tool&amp;Mold - Rochester</t>
  </si>
  <si>
    <t>Norfolk&amp;Southern - Hollidaysburg</t>
  </si>
  <si>
    <t>Norfolk&amp;Southern - Norfolk</t>
  </si>
  <si>
    <t>North Texas Die&amp;To - Irving</t>
  </si>
  <si>
    <t>Norton Machine&amp;Val - Taft</t>
  </si>
  <si>
    <t>O'Donnell Tool&amp;Sup - Cedar Rapids</t>
  </si>
  <si>
    <t>OEM Supply&amp;Service</t>
  </si>
  <si>
    <t>Ohio Machine&amp;Mfg C - Los Angeles</t>
  </si>
  <si>
    <t>Ohio Transmission&amp;- Louisville</t>
  </si>
  <si>
    <t>OIl&amp;Gas Valve Service - Lake Charles</t>
  </si>
  <si>
    <t>Okino&amp;Craig - Dixon</t>
  </si>
  <si>
    <t>Orlando Hose&amp;Fluid - Orlando</t>
  </si>
  <si>
    <t>OTTUMWA WATER&amp;HYDRO</t>
  </si>
  <si>
    <t>Pabian, Rosser&amp;Hug - Cordele</t>
  </si>
  <si>
    <t>Pacific Ind Parts&amp;- Calexico</t>
  </si>
  <si>
    <t>Pacific Machine&amp;De - Vancouver</t>
  </si>
  <si>
    <t>Palm Beach Hose&amp;Fittings</t>
  </si>
  <si>
    <t>Park Machine&amp;Supply - Henderson</t>
  </si>
  <si>
    <t>Patco Machine&amp;Fab. - Houston</t>
  </si>
  <si>
    <t>Pauls Machine&amp;Weld - Villa Grove</t>
  </si>
  <si>
    <t>Pelham Machine&amp;Tool - Pelham</t>
  </si>
  <si>
    <t>Penn Air&amp;Hydraulic Corp - York</t>
  </si>
  <si>
    <t>Peppers Machine&amp;Welding</t>
  </si>
  <si>
    <t>Phoenix Hyydraulic&amp;- Myrtle Creek</t>
  </si>
  <si>
    <t>Piping&amp;Equipment - Jacksonville</t>
  </si>
  <si>
    <t>Piping&amp;Equipment Co - Brunswick</t>
  </si>
  <si>
    <t>Piston&amp;Rudder Svc - Petersburg</t>
  </si>
  <si>
    <t>Pittsfield Mold&amp;Tool - Pittsfield</t>
  </si>
  <si>
    <t>Plibarico Sales&amp;Se - Fort Wayne</t>
  </si>
  <si>
    <t>Pneumatic&amp;Hyd. Dist. Hope Co. - Northborough</t>
  </si>
  <si>
    <t>Pneumatic&amp;Hydraulic - Baton Rouge</t>
  </si>
  <si>
    <t>Pneumatic&amp;Hydraulic - Katy</t>
  </si>
  <si>
    <t>Pnuematic&amp;Hydraulic - Broussard</t>
  </si>
  <si>
    <t>Pnuematic&amp;Hydraulic - Gonzales</t>
  </si>
  <si>
    <t>Pnuematic&amp;Hydraulic - Katy</t>
  </si>
  <si>
    <t>Pope&amp;Talbot - New Castle</t>
  </si>
  <si>
    <t>Portsmouth Tool&amp;Di - Portsmouth</t>
  </si>
  <si>
    <t>Power Motion&amp;Industrial Supplies</t>
  </si>
  <si>
    <t>Pratt&amp;Whitney Aircraft - E. Hartford</t>
  </si>
  <si>
    <t>Precision Drives&amp;Control</t>
  </si>
  <si>
    <t>Precision Grinding&amp;- Paris</t>
  </si>
  <si>
    <t>Precision Service&amp;Sales</t>
  </si>
  <si>
    <t>Precision Tool&amp;Die - Richmond</t>
  </si>
  <si>
    <t>Precision Tool&amp;Mac - Mountaintop</t>
  </si>
  <si>
    <t>Premier Tool&amp;Die Cast Corp - Berrien Springs</t>
  </si>
  <si>
    <t>Pro Machine&amp;Engineering - Colorado Springs</t>
  </si>
  <si>
    <t>Process Equipment&amp;- St. Louis</t>
  </si>
  <si>
    <t>Process Technology&amp;Control - Farmington Hills</t>
  </si>
  <si>
    <t>Proctor&amp;Gamble Paper - Oxnard</t>
  </si>
  <si>
    <t>Production Tool&amp;Di - Charlotte</t>
  </si>
  <si>
    <t>Pump&amp;Coil Tubing P - Fort Worth</t>
  </si>
  <si>
    <t>Purcell Tire&amp;Rubber - Potosi</t>
  </si>
  <si>
    <t>Q&amp;D Plastics - Forest Grove</t>
  </si>
  <si>
    <t>Quality Hydraulics&amp;Pneumatics - Cedar Rapids</t>
  </si>
  <si>
    <t>Quality Machine&amp;Tool Inc</t>
  </si>
  <si>
    <t>Quality Mold&amp;Die</t>
  </si>
  <si>
    <t>R&amp;B Falcon Corp. - Humble</t>
  </si>
  <si>
    <t>R&amp;C Valve - Santa Fe Springs</t>
  </si>
  <si>
    <t>R&amp;D Maintenance - Tuscaloosa</t>
  </si>
  <si>
    <t>R&amp;J Metal Fab. Inc - Portland</t>
  </si>
  <si>
    <t>R&amp;M Hydraulic Repair - Cedar Rapids</t>
  </si>
  <si>
    <t>R&amp;W Hydraulic Service</t>
  </si>
  <si>
    <t>US Hwy. 377&amp;Intersection 32</t>
  </si>
  <si>
    <t>Redlon&amp;Johnson - Altoona</t>
  </si>
  <si>
    <t>Reed&amp;Graham - Sacramento</t>
  </si>
  <si>
    <t>Rees Hydraulic Sales&amp;Service - Otho</t>
  </si>
  <si>
    <t>Refractory Sales&amp;Service - Bessemer</t>
  </si>
  <si>
    <t>Reliable Tool&amp;Mach - Kendallville</t>
  </si>
  <si>
    <t>Remington Arms Co., Inc. c/o S&amp;K Ind</t>
  </si>
  <si>
    <t>Bld. #3  26th&amp;Main</t>
  </si>
  <si>
    <t>Reno Hydraulic&amp;Reb - Sparks</t>
  </si>
  <si>
    <t>Rieves&amp;Reynolds Lumber - Louisville</t>
  </si>
  <si>
    <t>Rives&amp;Reynold Lumber - Louisville</t>
  </si>
  <si>
    <t>Robbins&amp;Bohr - Chattanooga</t>
  </si>
  <si>
    <t>Robbins&amp;Bohr - Johnson City</t>
  </si>
  <si>
    <t>Robbins&amp;Bohr - Knoxville</t>
  </si>
  <si>
    <t>13904, Hwy 471&amp;Hwy 50</t>
  </si>
  <si>
    <t>Rogers Block&amp;Wall - Martinsville</t>
  </si>
  <si>
    <t>Rome Machine&amp;Foundry - Rome</t>
  </si>
  <si>
    <t>Rome Tool&amp;Die - Rome</t>
  </si>
  <si>
    <t>Rondy&amp;Co - Barberton</t>
  </si>
  <si>
    <t>Rough&amp;Ready Lumber - Cave Junction</t>
  </si>
  <si>
    <t>Rozic Tool&amp;Die</t>
  </si>
  <si>
    <t>S&amp;E Fabrication - Dubach</t>
  </si>
  <si>
    <t>S&amp;F Custom Sign Corp</t>
  </si>
  <si>
    <t>S&amp;G Packaging - Alsip</t>
  </si>
  <si>
    <t>S&amp;J Industrial Sup - South Holland</t>
  </si>
  <si>
    <t>S&amp;R Industrial - Baker</t>
  </si>
  <si>
    <t>S&amp;S Welding - Fresno</t>
  </si>
  <si>
    <t>S&amp;T Hydraulics Inc - Phoenix</t>
  </si>
  <si>
    <t xml:space="preserve">S.E.C. GAS&amp;GEAR </t>
  </si>
  <si>
    <t>Sammy's Air&amp;Repair - New Iberia</t>
  </si>
  <si>
    <t>Samson Metal&amp;Machine Inc.</t>
  </si>
  <si>
    <t>Sanders Tool&amp;Mold - Hendersonville</t>
  </si>
  <si>
    <t>Sandhills Tool&amp;Mac - Carthage</t>
  </si>
  <si>
    <t>Sargent Controls&amp;A - Tuscon</t>
  </si>
  <si>
    <t>Sealant Equipment&amp;Engineering</t>
  </si>
  <si>
    <t>Sebastopol Bearing&amp;- Sebastopol</t>
  </si>
  <si>
    <t>Select Tool&amp;Die - Baroda</t>
  </si>
  <si>
    <t>Shelby Block&amp;Builders Supply</t>
  </si>
  <si>
    <t>Shelby Tool&amp;Die - Shelbyville</t>
  </si>
  <si>
    <t>Sherman&amp;Reilly - Chattanooga</t>
  </si>
  <si>
    <t>Sierra Machinery&amp;S - Diamond Springs</t>
  </si>
  <si>
    <t>Sizemore&amp;Sons Lumb - Graham</t>
  </si>
  <si>
    <t>Sjoberg Tool&amp;Mfg. Corp - Hartland</t>
  </si>
  <si>
    <t>Skeans Pneu&amp;Auto Sys</t>
  </si>
  <si>
    <t>Skinner Machine&amp;Welding</t>
  </si>
  <si>
    <t>SMI&amp;Hydraulics Inc</t>
  </si>
  <si>
    <t>Smith's Machine&amp;Welding - Brookhaven</t>
  </si>
  <si>
    <t>Solar Tool&amp;Die - Kansas City</t>
  </si>
  <si>
    <t>South Bay Diesel&amp;H - San Diego</t>
  </si>
  <si>
    <t>Specialty Tool&amp;Machine - Omaha</t>
  </si>
  <si>
    <t>Sperry Rubber&amp;Plas - Brookville</t>
  </si>
  <si>
    <t>Spring Tool&amp;Die - Roaring Springs</t>
  </si>
  <si>
    <t>Springfield Tool&amp;D - Duncan</t>
  </si>
  <si>
    <t>Standard Tool&amp;Die - Stevensville</t>
  </si>
  <si>
    <t>Steel&amp;Pipe Supply Co. - CPD</t>
  </si>
  <si>
    <t>Steel Sales&amp;Servic - South Holland</t>
  </si>
  <si>
    <t>Stewart&amp;Stevenson - Houston</t>
  </si>
  <si>
    <t>Straits Steel&amp;Wire - Greenville</t>
  </si>
  <si>
    <t>Suburban Tool&amp;Tie - Erie</t>
  </si>
  <si>
    <t>Sully&amp;Son - Bakersfield</t>
  </si>
  <si>
    <t>Summit Valve&amp;Controls Inc</t>
  </si>
  <si>
    <t>Sumner Tool&amp;Die</t>
  </si>
  <si>
    <t>Sumter Hyd&amp;Ind Supply</t>
  </si>
  <si>
    <t>Sun Refinery&amp;Marke - Tulsa</t>
  </si>
  <si>
    <t>Superior Hydraulic&amp;Industrial Systems</t>
  </si>
  <si>
    <t>Hwy 19&amp;351A</t>
  </si>
  <si>
    <t>Swanton Welding&amp;Ma - Swanton</t>
  </si>
  <si>
    <t>T&amp;B Tube Co - South Holland</t>
  </si>
  <si>
    <t>T&amp;M Hydraulics - Milford</t>
  </si>
  <si>
    <t>T&amp;S Hardwoods - Milledgeville</t>
  </si>
  <si>
    <t>T&amp;S Hardwoods Inc - Sylva</t>
  </si>
  <si>
    <t>T&amp;S Sawmill Inc - Clarendon</t>
  </si>
  <si>
    <t>T S Mfg&amp;Design - Charlotte</t>
  </si>
  <si>
    <t>Tanksley Machine&amp;Tool,Inc</t>
  </si>
  <si>
    <t>Tate&amp;Lyle Na Inc - Chalmette</t>
  </si>
  <si>
    <t>Tcl Equipment&amp;Asso - Americus</t>
  </si>
  <si>
    <t>Technical Marine&amp;Ind</t>
  </si>
  <si>
    <t>Teyseer Industrial Supplies&amp;Services Co.</t>
  </si>
  <si>
    <t>Thomas&amp;Betts - Athens</t>
  </si>
  <si>
    <t>Thomas Hydraulics&amp;- Chico</t>
  </si>
  <si>
    <t>Thomas Repair&amp;Equipment - Patterson</t>
  </si>
  <si>
    <t>Thomas Tool&amp;Mold - Westerville</t>
  </si>
  <si>
    <t>Thompson Tool&amp;Mfg - Wauconda</t>
  </si>
  <si>
    <t>Toler&amp;Sons Lumber - Leola</t>
  </si>
  <si>
    <t>Tri City Tool&amp;Die - Bay City</t>
  </si>
  <si>
    <t>Trinity Rubber&amp;Machine Products</t>
  </si>
  <si>
    <t>Turner Engineering&amp;- Vancouver</t>
  </si>
  <si>
    <t>Turner Tool&amp;Die - Lakewinola</t>
  </si>
  <si>
    <t>U.S. Bearing&amp;Drive - Goshen</t>
  </si>
  <si>
    <t>U.S. Bearings&amp;Driv - Vancouver</t>
  </si>
  <si>
    <t>Uelner Tools&amp;Die - Dubuqu</t>
  </si>
  <si>
    <t>United Gear&amp;Assembly</t>
  </si>
  <si>
    <t>United Tool&amp;Mold I - Easley</t>
  </si>
  <si>
    <t>Utah Bearing&amp;Fab - Ogden</t>
  </si>
  <si>
    <t>V&amp;N Advanced Automation</t>
  </si>
  <si>
    <t>Valley Hydraulics&amp;Air Inc - Bethlehem</t>
  </si>
  <si>
    <t>Val's Machine&amp;Eng. - West Jordan</t>
  </si>
  <si>
    <t>Valve&amp;Pump Spec. - Wilminton</t>
  </si>
  <si>
    <t>Van Leeuwen Pipe&amp;T - Benicia</t>
  </si>
  <si>
    <t>Van Reenan Tool&amp;Die - Rochester</t>
  </si>
  <si>
    <t>Van-Air&amp;Hydraulics - Maple Shade</t>
  </si>
  <si>
    <t>Vast Mold&amp;Tool, Inc.</t>
  </si>
  <si>
    <t>Vector Tool&amp;Engine - Grandview</t>
  </si>
  <si>
    <t>Vicom Products&amp;Dis - Oak Forest</t>
  </si>
  <si>
    <t>Vulcan Signs&amp;Stamps</t>
  </si>
  <si>
    <t>W&amp;W Tool&amp;Die - Midland</t>
  </si>
  <si>
    <t>W R Deacon&amp;Sons Ti - Lexington</t>
  </si>
  <si>
    <t>Walz&amp;Krenzer - Rochester</t>
  </si>
  <si>
    <t>Warrior&amp;Gulf Navig - Chickasaw</t>
  </si>
  <si>
    <t>Western Tube&amp;Condu - Long Beach</t>
  </si>
  <si>
    <t>Whitman Truss&amp;Lumb - Weiser</t>
  </si>
  <si>
    <t>Wieland&amp;Sons Lumber Co.</t>
  </si>
  <si>
    <t>Williams Cylinders&amp;Controls - Indianapolis</t>
  </si>
  <si>
    <t>Wilson Machine&amp;Welding, Inc.</t>
  </si>
  <si>
    <t>Rafael Benitez Carillo</t>
  </si>
  <si>
    <t>Hydradyne Hydraulics - San</t>
  </si>
  <si>
    <t>San Antonio, Tx 78222</t>
  </si>
  <si>
    <t>4235 South W.W. White Road</t>
  </si>
  <si>
    <t>210-229-1170</t>
  </si>
  <si>
    <t xml:space="preserve">3880 Washington Blvd </t>
  </si>
  <si>
    <t>Beaumont, TX 77705</t>
  </si>
  <si>
    <t>409-883-8995</t>
  </si>
  <si>
    <t>Applied Industrial Tech - Albany</t>
  </si>
  <si>
    <t xml:space="preserve">725 Turner Field Road </t>
  </si>
  <si>
    <t>Albany, GA 31707</t>
  </si>
  <si>
    <t xml:space="preserve">(229)435-2063  </t>
  </si>
  <si>
    <t>KRONOSPAN SIMSBORO</t>
  </si>
  <si>
    <t>486 DURAFLAKE RD</t>
  </si>
  <si>
    <t>SIMSBORO, LA 71275</t>
  </si>
  <si>
    <t>R&amp;S Industrial Supply</t>
  </si>
  <si>
    <t>Nogales, Arizona 85621</t>
  </si>
  <si>
    <t>1012 North Grand Avenue, #6</t>
  </si>
  <si>
    <t>520-287-3866</t>
  </si>
  <si>
    <t>mp5</t>
  </si>
  <si>
    <t>mount</t>
  </si>
  <si>
    <t>bore</t>
  </si>
  <si>
    <t>stroke</t>
  </si>
  <si>
    <t>rod</t>
  </si>
  <si>
    <t>qty</t>
  </si>
  <si>
    <t>mf5</t>
  </si>
  <si>
    <t>mt4</t>
  </si>
  <si>
    <t>Algoma Lumber</t>
  </si>
  <si>
    <t>920-487-3511</t>
  </si>
  <si>
    <t>Algoma, Wisconsin 54201</t>
  </si>
  <si>
    <t>IFP - Cedar Rapids</t>
  </si>
  <si>
    <t>IFP - Coal Valley</t>
  </si>
  <si>
    <t>IFP - Olathe</t>
  </si>
  <si>
    <t>1255 N Winchester Street</t>
  </si>
  <si>
    <t>Olathe, KS  66061</t>
  </si>
  <si>
    <t>800-437-4595</t>
  </si>
  <si>
    <t>Applied Industrial Tech - Defiance</t>
  </si>
  <si>
    <t xml:space="preserve">1898 spruce street </t>
  </si>
  <si>
    <t>Defiance ohio 43512</t>
  </si>
  <si>
    <t>419-784-4566</t>
  </si>
  <si>
    <t>2091 Cardinal Ave</t>
  </si>
  <si>
    <t>Medford, OR 977704</t>
  </si>
  <si>
    <t>541-389-2554</t>
  </si>
  <si>
    <t>Applied Industrial Tech - Medford</t>
  </si>
  <si>
    <t>Applied Industrial Tech - Fort Worth</t>
  </si>
  <si>
    <t>5145 Martin Luther King Freeway</t>
  </si>
  <si>
    <t>Fort Worth, TX 76119</t>
  </si>
  <si>
    <t>(817) 446-2054</t>
  </si>
  <si>
    <t>Applied Industrial Tech - Mobile</t>
  </si>
  <si>
    <t>1028 35th St N</t>
  </si>
  <si>
    <t>Birmingham, AL 35234</t>
  </si>
  <si>
    <t>205-644-2896</t>
  </si>
  <si>
    <t>Applied Industrial Tech - Fremont</t>
  </si>
  <si>
    <t>Fremont, CA  94538</t>
  </si>
  <si>
    <t xml:space="preserve">42000 Christy Street </t>
  </si>
  <si>
    <t>510-490-1160</t>
  </si>
  <si>
    <t>Applied Industrial Tech - Montgomery</t>
  </si>
  <si>
    <t>980 Plantation Way</t>
  </si>
  <si>
    <t>Montgomery, AL 36117</t>
  </si>
  <si>
    <t>334-395-7576</t>
  </si>
  <si>
    <t xml:space="preserve">Quote is valid for 60 Days </t>
  </si>
  <si>
    <t>Applied Industrial Tech - South Windsor</t>
  </si>
  <si>
    <t>345 Nutmeg Road Suite C</t>
  </si>
  <si>
    <t>South Windsor, CT 06074</t>
  </si>
  <si>
    <t>(208) 661-9310</t>
  </si>
  <si>
    <t>Miek Flory</t>
  </si>
  <si>
    <t>Scott Cothran</t>
  </si>
  <si>
    <t>Complete Hyd Component Ser</t>
  </si>
  <si>
    <t>10955 Industrial Parkway</t>
  </si>
  <si>
    <t>Bolivar, OH 44612</t>
  </si>
  <si>
    <t xml:space="preserve">330-874-1216 </t>
  </si>
  <si>
    <t>158 East Mountain Dr</t>
  </si>
  <si>
    <t>Applied Industrial Tech - Fayetteville, NC</t>
  </si>
  <si>
    <t>910-323-0508</t>
  </si>
  <si>
    <t>Houston Hydraulics</t>
  </si>
  <si>
    <t>8101 Pinemont Dr.</t>
  </si>
  <si>
    <t>Houston, TX  77040</t>
  </si>
  <si>
    <t>MSC - Mableton</t>
  </si>
  <si>
    <t>6700 Discovery Blvd</t>
  </si>
  <si>
    <t>Mableton, GA 30126</t>
  </si>
  <si>
    <t>Applied Industrial Tech - Beaumont</t>
  </si>
  <si>
    <t>Applied Industrial Tech - Pasco</t>
  </si>
  <si>
    <t>509-547-2421</t>
  </si>
  <si>
    <t>Ty</t>
  </si>
  <si>
    <t>Florida Motion &amp; Control customer</t>
  </si>
  <si>
    <t>Durgin &amp; Crowell Lumber - New London</t>
  </si>
  <si>
    <t>E. Dillion &amp; Co - Swords Creek</t>
  </si>
  <si>
    <t>Florida Motion &amp; Control Cusomer</t>
  </si>
  <si>
    <t>Milliken &amp; Co - Greenville</t>
  </si>
  <si>
    <t>Florida Motion &amp; Control Customer</t>
  </si>
  <si>
    <t>Williamson &amp; Company - Greer</t>
  </si>
  <si>
    <t>Motion-LA51 Ruston</t>
  </si>
  <si>
    <t>Motion-LA52 Alex</t>
  </si>
  <si>
    <t>MOHAWK Ind - OAK RIVER PLANT</t>
  </si>
  <si>
    <t>Florida Motion &amp; Control - PB</t>
  </si>
  <si>
    <t>Florida Motion &amp; Control - Orl</t>
  </si>
  <si>
    <t>Orlando, FL 32839</t>
  </si>
  <si>
    <t>5627 Commerce Dr</t>
  </si>
  <si>
    <t>Jimmy Outside  Brad Bennett Owner</t>
  </si>
  <si>
    <t>Xcel Energy</t>
  </si>
  <si>
    <t>2801 Olson Drive</t>
  </si>
  <si>
    <t>Chippewa Falls, WI  54729</t>
  </si>
  <si>
    <t>Applied Industrial Tech - Charlotte</t>
  </si>
  <si>
    <t>10345 Nations Ford Rd, Suite B</t>
  </si>
  <si>
    <t>Precision-Tech LLC</t>
  </si>
  <si>
    <t>777 S 2nd Rd</t>
  </si>
  <si>
    <t>Hammonton, NJ  08037</t>
  </si>
  <si>
    <t>Applied Industrial Tech - Roanoke</t>
  </si>
  <si>
    <t>310 Shenandoah Ave NE</t>
  </si>
  <si>
    <t>Roanoke, VA  24016</t>
  </si>
  <si>
    <t>Applied Industrial Tech - Spokane</t>
  </si>
  <si>
    <t>301 N. Fancher Rd.</t>
  </si>
  <si>
    <t>Spokane, WA  99212</t>
  </si>
  <si>
    <t>Seal &amp; Cylinder Source, Inc.</t>
  </si>
  <si>
    <t>44250 North Avenue</t>
  </si>
  <si>
    <t>Clinton Township, MI  48036</t>
  </si>
  <si>
    <t>Altex Tube</t>
  </si>
  <si>
    <t>1923 Airport Rd</t>
  </si>
  <si>
    <t>(662) 570-1970</t>
  </si>
  <si>
    <t>Ref:</t>
  </si>
  <si>
    <t>IH</t>
  </si>
  <si>
    <t>IMH</t>
  </si>
  <si>
    <t>IHM</t>
  </si>
  <si>
    <t>M10x1.25</t>
  </si>
  <si>
    <t>M14x1.5</t>
  </si>
  <si>
    <t>M100x3</t>
  </si>
  <si>
    <t>M80x3</t>
  </si>
  <si>
    <t>M64x3</t>
  </si>
  <si>
    <t>M48x2</t>
  </si>
  <si>
    <t>M42x2</t>
  </si>
  <si>
    <t>M33x2</t>
  </si>
  <si>
    <t>M27x2</t>
  </si>
  <si>
    <t>M20x1.5</t>
  </si>
  <si>
    <t>M16x1.5</t>
  </si>
  <si>
    <t>M12x1.25</t>
  </si>
  <si>
    <t>Single Rod Add Per mm of Stroke</t>
  </si>
  <si>
    <t>Extra Rod Per mm</t>
  </si>
  <si>
    <t>Rod Extension Per mm</t>
  </si>
  <si>
    <t>Per mm</t>
  </si>
  <si>
    <t>Tie Rod Extension mm</t>
  </si>
  <si>
    <t>Up to Str</t>
  </si>
  <si>
    <t>Per MM</t>
  </si>
  <si>
    <t>Metric Position Sensing Modifications Options</t>
  </si>
  <si>
    <t>M125x4</t>
  </si>
  <si>
    <t>M160x4</t>
  </si>
  <si>
    <t>Series "IMH" High Pressure Hydraulic Mill Duty Cylinders</t>
  </si>
  <si>
    <t>Applied Industrial Tech - Richmond, VA</t>
  </si>
  <si>
    <t>2203 Tomlynn St</t>
  </si>
  <si>
    <t>Richmond, VA  23230</t>
  </si>
  <si>
    <t>Motion-MS McComb</t>
  </si>
  <si>
    <t>2134 AIRPORT FERNWOOD ROAD</t>
  </si>
  <si>
    <t>MCCOMB, MS  39648</t>
  </si>
  <si>
    <t>Southern Controls - GA</t>
  </si>
  <si>
    <t>912-225-5100</t>
  </si>
  <si>
    <t>CAASI Flow Control</t>
  </si>
  <si>
    <t>5002 Lakeview Drive</t>
  </si>
  <si>
    <t>San Ramon, CA 94582</t>
  </si>
  <si>
    <t>925-470-6600</t>
  </si>
  <si>
    <t>Applied Industrial Tech - Fort Smith</t>
  </si>
  <si>
    <t>7701 Ball Rd</t>
  </si>
  <si>
    <t>Forth Smith, AR  72908</t>
  </si>
  <si>
    <t>US Pipe</t>
  </si>
  <si>
    <t>Bessemer, AL 35020</t>
  </si>
  <si>
    <t>205-296-7349</t>
  </si>
  <si>
    <t>UltraOx</t>
  </si>
  <si>
    <t>Rod Boot</t>
  </si>
  <si>
    <t>WA</t>
  </si>
  <si>
    <t>Seal Kit Pricing 2026</t>
  </si>
  <si>
    <t>Quote</t>
  </si>
  <si>
    <t>Inv</t>
  </si>
  <si>
    <t>Customer</t>
  </si>
  <si>
    <t>Advanced Systems &amp; Integration</t>
  </si>
  <si>
    <t>Fort Wayne, IN 46806</t>
  </si>
  <si>
    <t>4534 Allen Martin Dr</t>
  </si>
  <si>
    <t>260-239-0690</t>
  </si>
  <si>
    <t>Wey Valve - Shannon</t>
  </si>
  <si>
    <t>175 Bryan Blvd</t>
  </si>
  <si>
    <t>Shannon, MS  38868</t>
  </si>
  <si>
    <t xml:space="preserve">Precision Hose &amp; Industrial Supply </t>
  </si>
  <si>
    <t>949 S. Green St</t>
  </si>
  <si>
    <t>Tupelo, MS  38804</t>
  </si>
  <si>
    <t>Applied Industrial Tech - Conyers</t>
  </si>
  <si>
    <t>581 Sigman Road NE, Suite 100</t>
  </si>
  <si>
    <t>Conyers, GA  30013</t>
  </si>
  <si>
    <t>770-922-5700</t>
  </si>
  <si>
    <t>Applied Industrial Tech - Billings</t>
  </si>
  <si>
    <t>916 3rd Ave N</t>
  </si>
  <si>
    <t>Billings, MT 59101-2503</t>
  </si>
  <si>
    <t>406-252-3881</t>
  </si>
  <si>
    <t>Applied Industrial Tech - LaGrange</t>
  </si>
  <si>
    <t>1201 Orchard Hill Rd Suite B</t>
  </si>
  <si>
    <t>Mission Forest Products</t>
  </si>
  <si>
    <t>Corinth, MS 38834</t>
  </si>
  <si>
    <t>70 County Road 277</t>
  </si>
  <si>
    <t>Column1</t>
  </si>
  <si>
    <t>Column2</t>
  </si>
  <si>
    <t>Column3</t>
  </si>
  <si>
    <t>Column4</t>
  </si>
  <si>
    <t>Column5</t>
  </si>
  <si>
    <t>Column6</t>
  </si>
  <si>
    <t>315 NMIS CARENCRO (MFG) LA-1324</t>
  </si>
  <si>
    <t>2900 Highway 93</t>
  </si>
  <si>
    <t>Carencro, LA  70520</t>
  </si>
  <si>
    <t>80:20 Procurement Services America LLC</t>
  </si>
  <si>
    <t>10235 West Little York Road, Suite 250</t>
  </si>
  <si>
    <t>809 EMarket Street</t>
  </si>
  <si>
    <t>A.Y. McDonald Mft - Elizabethton</t>
  </si>
  <si>
    <t>100 McDonald Dr</t>
  </si>
  <si>
    <t>Elizabethton, TN  37643</t>
  </si>
  <si>
    <t>66 Pleasant View Rd</t>
  </si>
  <si>
    <t>Aallied Die Casting of IL</t>
  </si>
  <si>
    <t>3021 Cullerton Dr</t>
  </si>
  <si>
    <t>Franklin Park, IL  60131</t>
  </si>
  <si>
    <t>ABB</t>
  </si>
  <si>
    <t>1910 Baldor Dr</t>
  </si>
  <si>
    <t>Ozark, AR 72949</t>
  </si>
  <si>
    <t>Abel MFG - Appleton</t>
  </si>
  <si>
    <t>Abex- Salisbury</t>
  </si>
  <si>
    <t xml:space="preserve">Acadiana Hyd </t>
  </si>
  <si>
    <t>127 Thru-Way Park Rd</t>
  </si>
  <si>
    <t>Accuride- Henderson</t>
  </si>
  <si>
    <t>Ace Hyd - Bakersfield</t>
  </si>
  <si>
    <t>Acme Alliance</t>
  </si>
  <si>
    <t>3610 Commercial Ave</t>
  </si>
  <si>
    <t>Northbrook, IL  60062</t>
  </si>
  <si>
    <t>Action Hyd - Houma</t>
  </si>
  <si>
    <t>Action Hyd - St Louis</t>
  </si>
  <si>
    <t>Action Hyd - West Palm Beach</t>
  </si>
  <si>
    <t>Active- Plainwell</t>
  </si>
  <si>
    <t>Active Pure</t>
  </si>
  <si>
    <t>109 East Hardin Street</t>
  </si>
  <si>
    <t>Greeneville, TN  37745-3380</t>
  </si>
  <si>
    <t>Adams Air &amp; Hydraulic - Tampa</t>
  </si>
  <si>
    <t>Adams Land Gin</t>
  </si>
  <si>
    <t>402 Main St</t>
  </si>
  <si>
    <t>Leachville, AR 72438</t>
  </si>
  <si>
    <t>870-539-6314</t>
  </si>
  <si>
    <t>110 Kingsbridge Dr</t>
  </si>
  <si>
    <t>Carrolton, GA30117</t>
  </si>
  <si>
    <t>Ads Machinery- Warren</t>
  </si>
  <si>
    <t>Advanced Fluid Power - Theodore</t>
  </si>
  <si>
    <t>Arven no more Al Page</t>
  </si>
  <si>
    <t>Advanced Fluid Systems - Blackwood</t>
  </si>
  <si>
    <t>Advanced Hyd - Chino</t>
  </si>
  <si>
    <t>Advanced Hyd - Skiatook</t>
  </si>
  <si>
    <t>Greer, SC 29650</t>
  </si>
  <si>
    <t>Advanced MFG Systems - Decatur</t>
  </si>
  <si>
    <t>490 Airport Rd.</t>
  </si>
  <si>
    <t>Louisburg, NC  27549</t>
  </si>
  <si>
    <t>Advanced Technology Services - Peoria</t>
  </si>
  <si>
    <t>8201 N University</t>
  </si>
  <si>
    <t>Peoria, IL  61615</t>
  </si>
  <si>
    <t>Aearo- Southbridge</t>
  </si>
  <si>
    <t>Aerial Timber Applicator's Inc</t>
  </si>
  <si>
    <t>90 114th Ave NE</t>
  </si>
  <si>
    <t>Cooperstown, ND  58425</t>
  </si>
  <si>
    <t>AFNA Flexibles North America</t>
  </si>
  <si>
    <t>1815 Marathon Ave</t>
  </si>
  <si>
    <t>Neenah, WI  54956-4023</t>
  </si>
  <si>
    <t>AFP - Knoxville</t>
  </si>
  <si>
    <t>AFP - Summerville</t>
  </si>
  <si>
    <t>1270 Drop Off Drive, Suite A</t>
  </si>
  <si>
    <t>Summerville, SC  29486</t>
  </si>
  <si>
    <t>AGCOoration</t>
  </si>
  <si>
    <t>Aggressive Hydraulic - Cedar</t>
  </si>
  <si>
    <t>18800 ULYSSES STNE</t>
  </si>
  <si>
    <t>Agropur</t>
  </si>
  <si>
    <t>N2915 County Road AB</t>
  </si>
  <si>
    <t>Luxemburg, WI 54217-7713</t>
  </si>
  <si>
    <t>Ahlstrom Munksjo NA Speciallty Solutions</t>
  </si>
  <si>
    <t>100 Main St.</t>
  </si>
  <si>
    <t>Mosinee, WI  54455-1440</t>
  </si>
  <si>
    <t>AHP - Decatur</t>
  </si>
  <si>
    <t>991 McEntire Lane NW</t>
  </si>
  <si>
    <t>(256) 301-9755</t>
  </si>
  <si>
    <t>AHP - Henderson</t>
  </si>
  <si>
    <t>3033 Ohio Dr Suite A</t>
  </si>
  <si>
    <t>AHP - Louisville</t>
  </si>
  <si>
    <t>2550 Blankenbaker Pkwy</t>
  </si>
  <si>
    <t>AHP Huntington</t>
  </si>
  <si>
    <t>2144 Third Ave</t>
  </si>
  <si>
    <t>Huntington, WV 25703</t>
  </si>
  <si>
    <t>304-522-8391</t>
  </si>
  <si>
    <t>AHP Lexington</t>
  </si>
  <si>
    <t>933 Floyd Drive</t>
  </si>
  <si>
    <t>Lexington, KY  40505</t>
  </si>
  <si>
    <t>859-255-6155</t>
  </si>
  <si>
    <t>Air &amp; Hydraulic Components - Oklahoma City</t>
  </si>
  <si>
    <t>Air &amp; Hydraulic Components - Tulsa</t>
  </si>
  <si>
    <t>6848 E41st Street</t>
  </si>
  <si>
    <t>Air &amp; Hydraulic Engineering - Birmingham</t>
  </si>
  <si>
    <t>Air &amp; Hydraulic Equip - Brentwood</t>
  </si>
  <si>
    <t>Air &amp; Hydraulic Equip - Bristol</t>
  </si>
  <si>
    <t>Air &amp; Hydraulic Equip - Chattanooga</t>
  </si>
  <si>
    <t>Air &amp; Hydraulic Equip - Cookeville</t>
  </si>
  <si>
    <t>731 E22nd Street</t>
  </si>
  <si>
    <t>Air &amp; Hydraulic Equip - Knoxville</t>
  </si>
  <si>
    <t>Air &amp; Hydraulic Equip - Memphis</t>
  </si>
  <si>
    <t>Air &amp; Hydraulic Equip - Nashville</t>
  </si>
  <si>
    <t>Air &amp; Hydraulic Mechanical Equip</t>
  </si>
  <si>
    <t>834 South Conception St</t>
  </si>
  <si>
    <t>Air &amp; Hydraulic Repair Service - Westmoreland</t>
  </si>
  <si>
    <t>Air Hyd - St Louis</t>
  </si>
  <si>
    <t>Air Hyd Systems - Minneapolis</t>
  </si>
  <si>
    <t>1104 Glenwood Ave</t>
  </si>
  <si>
    <t>307 Lincoln Ave</t>
  </si>
  <si>
    <t>2873 Chelsea Ave</t>
  </si>
  <si>
    <t>Airgas - Augusta</t>
  </si>
  <si>
    <t>727 Laney Walker Boulevard Ext</t>
  </si>
  <si>
    <t>(706) 722-9200</t>
  </si>
  <si>
    <t>David Fields</t>
  </si>
  <si>
    <t>Airgas - Hopewell</t>
  </si>
  <si>
    <t>Airgas - Kapolei</t>
  </si>
  <si>
    <t>Airgas - Star</t>
  </si>
  <si>
    <t>217 Andrew Jackson Circle</t>
  </si>
  <si>
    <t>Star, MS 39167</t>
  </si>
  <si>
    <t>601-845-3597</t>
  </si>
  <si>
    <t>Will Lyon</t>
  </si>
  <si>
    <t>Air-Hyd - Jackson</t>
  </si>
  <si>
    <t>Airline MFG - Columbus</t>
  </si>
  <si>
    <t>Air-Oil Products- Portland</t>
  </si>
  <si>
    <t>Air-Oil Products- Redmond</t>
  </si>
  <si>
    <t>Ajax Magnethermic- Warren</t>
  </si>
  <si>
    <t>Ak Steel Holding- Middletown</t>
  </si>
  <si>
    <t>1012 Red Valley Road</t>
  </si>
  <si>
    <t>Alaska Hyd - Anchorage</t>
  </si>
  <si>
    <t>500 WPotter Dr</t>
  </si>
  <si>
    <t>Alaska Hyd - Dutch Harbor</t>
  </si>
  <si>
    <t>Alaska Hyd - Kodiak</t>
  </si>
  <si>
    <t>Alba MFG - Hamilton</t>
  </si>
  <si>
    <t>Alco Machine</t>
  </si>
  <si>
    <t>3201  27th AveNo</t>
  </si>
  <si>
    <t>ALCOA USA - Massena</t>
  </si>
  <si>
    <t>121 S Park Ave</t>
  </si>
  <si>
    <t>Massena, NY 13662-1534</t>
  </si>
  <si>
    <t>ALCOAorate Center</t>
  </si>
  <si>
    <t>Alfab Metals- Evansville</t>
  </si>
  <si>
    <t>All Phase Hydraulic</t>
  </si>
  <si>
    <t>3909 Central Pkwy</t>
  </si>
  <si>
    <t>Hudsonville, MI 49426</t>
  </si>
  <si>
    <t>(616) 669-3975</t>
  </si>
  <si>
    <t>Allen Starter &amp; Altenators</t>
  </si>
  <si>
    <t>2328 Moody Parkway</t>
  </si>
  <si>
    <t>Moody, AL  35004</t>
  </si>
  <si>
    <t>PO Box 395</t>
  </si>
  <si>
    <t>(843) 747-7321</t>
  </si>
  <si>
    <t>Allied Die &amp; Engraving - Palatine</t>
  </si>
  <si>
    <t>Allied Die Casting</t>
  </si>
  <si>
    <t>3021 Cullerton Drive</t>
  </si>
  <si>
    <t>Franklin Park, IL 60131</t>
  </si>
  <si>
    <t>Allied Die Casting- Mc Henry</t>
  </si>
  <si>
    <t>Allied Tube &amp; Condui - Phoenix</t>
  </si>
  <si>
    <t>Allied Tube &amp; Conduit - AR</t>
  </si>
  <si>
    <t>Allvanoration - Lavergne</t>
  </si>
  <si>
    <t>Almond Brothers Lumber Co</t>
  </si>
  <si>
    <t>403 Ringgold Ave, Hwy 71 North</t>
  </si>
  <si>
    <t>Coushatta, LA  71019-8155</t>
  </si>
  <si>
    <t>3413 Charleigh D Ford Jr Dr</t>
  </si>
  <si>
    <t>Aluminum Of Amer - Alcoa</t>
  </si>
  <si>
    <t>Am MFG - Dolton</t>
  </si>
  <si>
    <t>AM/NS Spare Parts</t>
  </si>
  <si>
    <t>1 AM/NS Way</t>
  </si>
  <si>
    <t>Calvert, AL 36513</t>
  </si>
  <si>
    <t>Amclyde Engineering - StPaul</t>
  </si>
  <si>
    <t>StPaul,MN 55107</t>
  </si>
  <si>
    <t>2211 Hwy10 South</t>
  </si>
  <si>
    <t>StCloud, MN56304</t>
  </si>
  <si>
    <t>Amcor - North Salt Lake</t>
  </si>
  <si>
    <t>Amcor Flexibles</t>
  </si>
  <si>
    <t>Neenah, WI 54956</t>
  </si>
  <si>
    <t>Amercable</t>
  </si>
  <si>
    <t>174 Bailey Rd</t>
  </si>
  <si>
    <t>El Dorado, AR 71730-3195</t>
  </si>
  <si>
    <t>Amerex- Trussville</t>
  </si>
  <si>
    <t>(423) 625-2072</t>
  </si>
  <si>
    <t>American Axle HHI Formtech</t>
  </si>
  <si>
    <t>2727 W14 Mile Rd</t>
  </si>
  <si>
    <t>Royal Oak, MI  48073-1712</t>
  </si>
  <si>
    <t>American Beverage Corp</t>
  </si>
  <si>
    <t>1 Daily Way</t>
  </si>
  <si>
    <t>Verona, PA  15147-1135</t>
  </si>
  <si>
    <t>American Built Machinery Co</t>
  </si>
  <si>
    <t>1606 Sunset Terrace</t>
  </si>
  <si>
    <t>West Plains, MO  65775</t>
  </si>
  <si>
    <t>American Hardwood</t>
  </si>
  <si>
    <t>567 N Charlotte Ave.</t>
  </si>
  <si>
    <t>Waynesboro, VA  22980-2856</t>
  </si>
  <si>
    <t>American Rheinmetall</t>
  </si>
  <si>
    <t>1115 South Wayne Street</t>
  </si>
  <si>
    <t>St. Mary's OH  45885</t>
  </si>
  <si>
    <t>American Synthetic Rubber</t>
  </si>
  <si>
    <t>4500 Camp Ground Rd</t>
  </si>
  <si>
    <t>Louisville, KY  40216</t>
  </si>
  <si>
    <t>Amerifab and Machine</t>
  </si>
  <si>
    <t>18086 Al Hwy 21</t>
  </si>
  <si>
    <t>Sycamore, AL 35149</t>
  </si>
  <si>
    <t>AMERITEK Industrial Corp</t>
  </si>
  <si>
    <t>Miami, FL  33155</t>
  </si>
  <si>
    <t>Amg Resources- Pittsburgh</t>
  </si>
  <si>
    <t>Amsted Graphite Materials</t>
  </si>
  <si>
    <t>9934 Cost Ave</t>
  </si>
  <si>
    <t>Anmoore, WV 26323</t>
  </si>
  <si>
    <t>ANCO-EAGLIN</t>
  </si>
  <si>
    <t>1420 LORRAINE AVE</t>
  </si>
  <si>
    <t>Anderson Industries</t>
  </si>
  <si>
    <t>5201 Old Pearman Diary Road</t>
  </si>
  <si>
    <t>Wallace</t>
  </si>
  <si>
    <t>Andreworation - Denton</t>
  </si>
  <si>
    <t>Andritz - Pell City</t>
  </si>
  <si>
    <t>Andritz - Roswell</t>
  </si>
  <si>
    <t>Anheuser Busch ConstrField Office</t>
  </si>
  <si>
    <t>750 Schrock Rd</t>
  </si>
  <si>
    <t>Columbus, OH43229</t>
  </si>
  <si>
    <t>Anniston Army Depot</t>
  </si>
  <si>
    <t>ANTHONY FOREST - URBANA</t>
  </si>
  <si>
    <t>1236 URBANA RD</t>
  </si>
  <si>
    <t>EL DORADO, AR  71730-8703</t>
  </si>
  <si>
    <t>1236 Urbana Road</t>
  </si>
  <si>
    <t>Anthony Timberlands</t>
  </si>
  <si>
    <t>170 Mill Rd</t>
  </si>
  <si>
    <t>Mt Holly, AR 71758</t>
  </si>
  <si>
    <t>(870) 554-2466</t>
  </si>
  <si>
    <t>Kirk</t>
  </si>
  <si>
    <t xml:space="preserve">APAC-Kansas     </t>
  </si>
  <si>
    <t>Shears Div-Wichita Branch</t>
  </si>
  <si>
    <t>Apel Extrusions</t>
  </si>
  <si>
    <t>3033 S 59th Ave.</t>
  </si>
  <si>
    <t>Phoenix, AZ  85043-7909</t>
  </si>
  <si>
    <t>Apex Industrial Inc.</t>
  </si>
  <si>
    <t>151 Blue Bell Rd.</t>
  </si>
  <si>
    <t>Greensboro, NC  27406</t>
  </si>
  <si>
    <t>Apollo Plastics</t>
  </si>
  <si>
    <t>7555 Tyler Blvd #10</t>
  </si>
  <si>
    <t>Mentor, OH  44060</t>
  </si>
  <si>
    <t>Appleton Hydraulic - Appleton</t>
  </si>
  <si>
    <t>2625 SLakeland Drive</t>
  </si>
  <si>
    <t>6 Enterprise Dr</t>
  </si>
  <si>
    <t>Albany, NY  12204-2522</t>
  </si>
  <si>
    <t>Applied Industrial Tech - Albany, GA</t>
  </si>
  <si>
    <t>725 Turner Field Rd</t>
  </si>
  <si>
    <t>Albany, GA 31705-1547</t>
  </si>
  <si>
    <t>864-225-3791</t>
  </si>
  <si>
    <t>Applied Industrial Tech - Baton Rouge</t>
  </si>
  <si>
    <t>11627 Industriplex Blvd</t>
  </si>
  <si>
    <t>Baton Rouge, LA  70809-5139</t>
  </si>
  <si>
    <t>225-755-7960</t>
  </si>
  <si>
    <t>3880 WASHINGTON BLVD</t>
  </si>
  <si>
    <t>BEAUMONT TX 77705-</t>
  </si>
  <si>
    <t>(409) 722-4358</t>
  </si>
  <si>
    <t>Applied Industrial Tech - Bossier City</t>
  </si>
  <si>
    <t>4811 Hazel Jones Rd</t>
  </si>
  <si>
    <t>Bossier City, LA  71111-5321</t>
  </si>
  <si>
    <t>Raymond Oâ€™Dell</t>
  </si>
  <si>
    <t>Applied Industrial Tech - Cartersville</t>
  </si>
  <si>
    <t>337 S Erwin St</t>
  </si>
  <si>
    <t>Cartersville, GA  30120-3913</t>
  </si>
  <si>
    <t>Applied Industrial Tech - Cedar Rapids</t>
  </si>
  <si>
    <t>6805 4th St SW STE 100</t>
  </si>
  <si>
    <t>Cedar Rapids, IA 52404-4762</t>
  </si>
  <si>
    <t>319-364-2443</t>
  </si>
  <si>
    <t>Applied Industrial Tech - Commerce</t>
  </si>
  <si>
    <t>3424 Garfield Ave.</t>
  </si>
  <si>
    <t>Commerce, CA  90040-3104</t>
  </si>
  <si>
    <t>Applied Industrial Tech - Crestwood</t>
  </si>
  <si>
    <t>4643 W138th Street</t>
  </si>
  <si>
    <t>Crestwood, IL  60418</t>
  </si>
  <si>
    <t>708-389-1237</t>
  </si>
  <si>
    <t>Applied Industrial Tech - Danville</t>
  </si>
  <si>
    <t>514 Mount Cross Rd</t>
  </si>
  <si>
    <t>Danville, VA  24540-4057</t>
  </si>
  <si>
    <t>Applied Industrial Tech - Dayton</t>
  </si>
  <si>
    <t>2730 Keenan Ave</t>
  </si>
  <si>
    <t>Dayton Ohio, 45414</t>
  </si>
  <si>
    <t>937-276-5340</t>
  </si>
  <si>
    <t>Mark Hutchison</t>
  </si>
  <si>
    <t>3210 Congressional Pkwy</t>
  </si>
  <si>
    <t>Fort Wayne, IN  46808-4414</t>
  </si>
  <si>
    <t>5145 martin Luther King Fwy</t>
  </si>
  <si>
    <t>817-446-2054</t>
  </si>
  <si>
    <t>Applied Industrial Tech - Green Bay</t>
  </si>
  <si>
    <t>1115 Ontario Rd</t>
  </si>
  <si>
    <t>Green Bay, WI 54311-8033</t>
  </si>
  <si>
    <t>Applied Industrial Tech - Greenville</t>
  </si>
  <si>
    <t>100 Station Court, Ste A</t>
  </si>
  <si>
    <t>Greenville, NC  27834-9053</t>
  </si>
  <si>
    <t>785 Pleasant Valley Rd</t>
  </si>
  <si>
    <t>Harrisonburg, VA  22801-9326</t>
  </si>
  <si>
    <t>Applied Industrial Tech - Ishpeming</t>
  </si>
  <si>
    <t>100 Industrial Way</t>
  </si>
  <si>
    <t>Ishpeming, MI  49849-1248</t>
  </si>
  <si>
    <t>906-485-1015</t>
  </si>
  <si>
    <t>Applied Industrial Tech - Kingsport</t>
  </si>
  <si>
    <t>385 Revere St</t>
  </si>
  <si>
    <t>Kingsport, TN  37660-3615</t>
  </si>
  <si>
    <t>Power Park 3200 Dresser R</t>
  </si>
  <si>
    <t>Applied Industrial Tech - Lakeland</t>
  </si>
  <si>
    <t>2755 US 92 East</t>
  </si>
  <si>
    <t>Lakeland, FL  33801-1296</t>
  </si>
  <si>
    <t>Applied Industrial Tech - Long Beach</t>
  </si>
  <si>
    <t>701 W Anaheim St</t>
  </si>
  <si>
    <t>Long Beach, CA  90813-2894</t>
  </si>
  <si>
    <t>(562) 437-2201</t>
  </si>
  <si>
    <t>Applied Industrial Tech - Massena</t>
  </si>
  <si>
    <t>45 County Route 42, Bldg 121S</t>
  </si>
  <si>
    <t>Massena, NY  13662-4249</t>
  </si>
  <si>
    <t>Applied Industrial Tech - Newport News</t>
  </si>
  <si>
    <t>330 Ed Wright Ln</t>
  </si>
  <si>
    <t>Newport News, VA  23606-4369</t>
  </si>
  <si>
    <t>Applied Industrial Tech - North Sioux City</t>
  </si>
  <si>
    <t>610 Freedom Drive, Suite East #10</t>
  </si>
  <si>
    <t>North Sioux City, SD  57049-3152</t>
  </si>
  <si>
    <t>Applied Industrial Tech - Orange</t>
  </si>
  <si>
    <t>7247 Kirk Drive</t>
  </si>
  <si>
    <t>Applied Industrial Tech - Orem</t>
  </si>
  <si>
    <t>1185 South 1480 West</t>
  </si>
  <si>
    <t>Orem, UT  84058-4907</t>
  </si>
  <si>
    <t>427 Oregon Ave</t>
  </si>
  <si>
    <t>Pasco, WA  99301-4237</t>
  </si>
  <si>
    <t>Applied Industrial Tech - Phoenix</t>
  </si>
  <si>
    <t>3618 East Southern Ave Ste 1</t>
  </si>
  <si>
    <t>Phoenix, AZ  85040-9034</t>
  </si>
  <si>
    <t>Applied Industrial Tech - Ponce</t>
  </si>
  <si>
    <t>1301oration Parkway</t>
  </si>
  <si>
    <t>Raleigh, NC  27610-1351</t>
  </si>
  <si>
    <t>Applied Industrial Tech - Rothschild</t>
  </si>
  <si>
    <t>301 Creske Ave., Ste B</t>
  </si>
  <si>
    <t>Rothschild, WI  54474</t>
  </si>
  <si>
    <t>Applied Industrial Tech - Sandusky</t>
  </si>
  <si>
    <t>1850 Superior St</t>
  </si>
  <si>
    <t>Sandusky, OH  44870-1824</t>
  </si>
  <si>
    <t>Kristina Carter</t>
  </si>
  <si>
    <t>Applied Industrial Tech - Shreveport</t>
  </si>
  <si>
    <t>1816 N Market Street</t>
  </si>
  <si>
    <t>Shreveport, LA 71107</t>
  </si>
  <si>
    <t>216-426-4000</t>
  </si>
  <si>
    <t>620 Buffington Rd</t>
  </si>
  <si>
    <t>Applied Industrial Tech - St Joseph</t>
  </si>
  <si>
    <t>624 S 7th Street</t>
  </si>
  <si>
    <t>StJospeh, MO 64501</t>
  </si>
  <si>
    <t>525 Erie Blvd W</t>
  </si>
  <si>
    <t>Syracuse, NY  13204-2422</t>
  </si>
  <si>
    <t>Applied Industrial Tech - Terre Haute</t>
  </si>
  <si>
    <t>200 Poplar St</t>
  </si>
  <si>
    <t>Terre Haute, IN  47807-3435</t>
  </si>
  <si>
    <t>812-238-1611</t>
  </si>
  <si>
    <t>Applied Industrial Tech - Waite Park</t>
  </si>
  <si>
    <t>3000 4th Street South</t>
  </si>
  <si>
    <t>Waite Park, MN  56387-2000</t>
  </si>
  <si>
    <t>Applied Industrial Tech - Wando</t>
  </si>
  <si>
    <t>499-B Jessen Lane</t>
  </si>
  <si>
    <t>Wando, SC 29492</t>
  </si>
  <si>
    <t>843-745-3428</t>
  </si>
  <si>
    <t>Applied Industrial Tech - Warner Robbins</t>
  </si>
  <si>
    <t>20 Green Street, Suite A</t>
  </si>
  <si>
    <t>Warner Robbins, GA  31093-2606</t>
  </si>
  <si>
    <t>478-923-0394</t>
  </si>
  <si>
    <t>421 S Park Ave</t>
  </si>
  <si>
    <t>Warren, OH  44483-5729</t>
  </si>
  <si>
    <t>Applied Industrial Tech - Watsonville</t>
  </si>
  <si>
    <t>57 Hangar Way, Ste C</t>
  </si>
  <si>
    <t>Watsonville, CA  95076</t>
  </si>
  <si>
    <t>(831)722-0243</t>
  </si>
  <si>
    <t>Applied Industrial Tech - Wichita</t>
  </si>
  <si>
    <t>2633 W Pawnee St</t>
  </si>
  <si>
    <t>Wichita, KS  67213-1815</t>
  </si>
  <si>
    <t>316-946-1133</t>
  </si>
  <si>
    <t>Applied Industrial Tech - Winston Salem</t>
  </si>
  <si>
    <t>8151 N Point Blvd</t>
  </si>
  <si>
    <t>Winston Salem, NC  27105-2556</t>
  </si>
  <si>
    <t>Applied Industrial Tech - Wisconsin Rapids</t>
  </si>
  <si>
    <t>2211 Industrial St</t>
  </si>
  <si>
    <t>Wisconsin Rapids, WI  54495-2247</t>
  </si>
  <si>
    <t>Arconic Architectural Prod</t>
  </si>
  <si>
    <t>600 Kawneer</t>
  </si>
  <si>
    <t>Springdale, AR  72764-3754</t>
  </si>
  <si>
    <t>ARLANXEO</t>
  </si>
  <si>
    <t>4647 FARM ROAD 1006</t>
  </si>
  <si>
    <t>ORANGE, TX 77630</t>
  </si>
  <si>
    <t>1735 N Washington St</t>
  </si>
  <si>
    <t>Ascend Performance Material</t>
  </si>
  <si>
    <t>Motion- AL02 Mobile's Customer</t>
  </si>
  <si>
    <t>Ascend Performance Material - Decatur</t>
  </si>
  <si>
    <t>1050 Chemstrand Avenue</t>
  </si>
  <si>
    <t>Ash Grove Cement - Inkom</t>
  </si>
  <si>
    <t>Ashland, KS 67831</t>
  </si>
  <si>
    <t>Astec - Chattanooga</t>
  </si>
  <si>
    <t>Astro Hyd</t>
  </si>
  <si>
    <t>1130 Ashwaubenon Street</t>
  </si>
  <si>
    <t>Green Bay, WI  54304</t>
  </si>
  <si>
    <t>920-336-8886</t>
  </si>
  <si>
    <t>7300 HWY 20 WATTN: STOREROOM 2</t>
  </si>
  <si>
    <t>ATI Specialty Materials</t>
  </si>
  <si>
    <t>4374 Lancaster Hwy</t>
  </si>
  <si>
    <t>Richburg, SC  29729-9060</t>
  </si>
  <si>
    <t>Atkore Plastic Pipe</t>
  </si>
  <si>
    <t>1202 N Bowie Dr</t>
  </si>
  <si>
    <t>Weatherford, TX  76086-1539</t>
  </si>
  <si>
    <t>Atlantic Marine- Jacksonville</t>
  </si>
  <si>
    <t>227 Pacific Ave</t>
  </si>
  <si>
    <t>Atlas Roofing</t>
  </si>
  <si>
    <t>675 Oxford Rd</t>
  </si>
  <si>
    <t>Franklin, OH 45005-3678</t>
  </si>
  <si>
    <t>Atlas Tube - Blytheville</t>
  </si>
  <si>
    <t>5661 E State Hwy 137</t>
  </si>
  <si>
    <t>Blytheville, AR  72315</t>
  </si>
  <si>
    <t>(870) 838-2000</t>
  </si>
  <si>
    <t>ATS c/o Teijin Automotive Tech - Salisbury</t>
  </si>
  <si>
    <t>6701 Statesville Blvd</t>
  </si>
  <si>
    <t>Salisbury, NC  28147</t>
  </si>
  <si>
    <t>ATS Hyd</t>
  </si>
  <si>
    <t>28715 Highway 5</t>
  </si>
  <si>
    <t>Woodstock, AL 35188</t>
  </si>
  <si>
    <t>Brett</t>
  </si>
  <si>
    <t>1177 17 Mile Rd</t>
  </si>
  <si>
    <t>Auto Cast</t>
  </si>
  <si>
    <t>4565 Spartan Industrieal Drive</t>
  </si>
  <si>
    <t>Grandville, MI 49418</t>
  </si>
  <si>
    <t>Automation - W Hartford</t>
  </si>
  <si>
    <t>Automation Engineering - Baton Rouge</t>
  </si>
  <si>
    <t>Automation Engineering - Lafayette</t>
  </si>
  <si>
    <t>Automation Engineering -Broussard</t>
  </si>
  <si>
    <t>Automation Services</t>
  </si>
  <si>
    <t>2111 NLakeshore Drive</t>
  </si>
  <si>
    <t>AVGOL AMERICA</t>
  </si>
  <si>
    <t>178 AVGOL DRIVE</t>
  </si>
  <si>
    <t>MOCKSVILLE, NC 27028</t>
  </si>
  <si>
    <t>4701 110th AveN</t>
  </si>
  <si>
    <t>253 National Avenue Plant #2</t>
  </si>
  <si>
    <t>Staunton, VA 24401-4405</t>
  </si>
  <si>
    <t>1350 North Old Russellville Road</t>
  </si>
  <si>
    <t>Jasper, AL 35503</t>
  </si>
  <si>
    <t>205-384-9088</t>
  </si>
  <si>
    <t>Part of Jasper Lumber</t>
  </si>
  <si>
    <t>35 North Main St</t>
  </si>
  <si>
    <t>Bagcrfat Papercon</t>
  </si>
  <si>
    <t>3400 Bagcraft Blvd</t>
  </si>
  <si>
    <t>Baxter Springs, KS 66713</t>
  </si>
  <si>
    <t>800 WClay Street</t>
  </si>
  <si>
    <t>Ball Lumber</t>
  </si>
  <si>
    <t>7342 Richmond Tappahann</t>
  </si>
  <si>
    <t>Millers Tavern, VA 23115</t>
  </si>
  <si>
    <t>Timber Automation equip</t>
  </si>
  <si>
    <t>BANNER WELDER</t>
  </si>
  <si>
    <t>N117 W18200 Fulton Drive</t>
  </si>
  <si>
    <t>Germantown,Â WIÂ 53022</t>
  </si>
  <si>
    <t>262-253-2900</t>
  </si>
  <si>
    <t>Barbee EngrTesting Systems</t>
  </si>
  <si>
    <t>Bard MFG - Madison</t>
  </si>
  <si>
    <t>Bardenoration - Danbury</t>
  </si>
  <si>
    <t>Bardexoration - Goleta</t>
  </si>
  <si>
    <t>Bardexoration - Houston</t>
  </si>
  <si>
    <t>Barker Air &amp; Hyd - Charlotte</t>
  </si>
  <si>
    <t>Barker Air &amp; Hyd - Greenville</t>
  </si>
  <si>
    <t>BB Diversified</t>
  </si>
  <si>
    <t>34621 State Hwy 11</t>
  </si>
  <si>
    <t>Roseau, MN 56751-8208</t>
  </si>
  <si>
    <t>BDI - Springfield</t>
  </si>
  <si>
    <t>2335 E Chestnut Expressway  Unit A112</t>
  </si>
  <si>
    <t>Springfield, MO  65802-2233</t>
  </si>
  <si>
    <t>BDI - Stevens Point</t>
  </si>
  <si>
    <t>BDI - Waterloo</t>
  </si>
  <si>
    <t>BDI - Winston Salem</t>
  </si>
  <si>
    <t>1570 Brookford Industrial Drive Unit B</t>
  </si>
  <si>
    <t>Kernersville, NC  27284-9412</t>
  </si>
  <si>
    <t>Beariings &amp; Drive - La Grange</t>
  </si>
  <si>
    <t>Beariings &amp; Drive - Ocala</t>
  </si>
  <si>
    <t>3541 SW 7th St</t>
  </si>
  <si>
    <t>Beariings &amp; Drives - Hapeville</t>
  </si>
  <si>
    <t>Beariings &amp; Drives - Macon</t>
  </si>
  <si>
    <t>Beariings &amp; Drives - Ocala</t>
  </si>
  <si>
    <t>Beariings &amp; Drives Un - West Hazelton</t>
  </si>
  <si>
    <t>Bearing &amp; Drive Supply</t>
  </si>
  <si>
    <t>Bearing Headquarters - Broadview</t>
  </si>
  <si>
    <t>Bearing Headquarters - Springfield</t>
  </si>
  <si>
    <t>3045 GECHESTNUT EXPRESSWAY</t>
  </si>
  <si>
    <t>Bearing Service - Decatur</t>
  </si>
  <si>
    <t>Bearings &amp; Power Transmission Inc</t>
  </si>
  <si>
    <t>Beasley Forest Products</t>
  </si>
  <si>
    <t>712 Uvalda Highway</t>
  </si>
  <si>
    <t>Hazlehurst, GA 31539</t>
  </si>
  <si>
    <t>Behco- Toledo</t>
  </si>
  <si>
    <t>Belrick- Swoyersville</t>
  </si>
  <si>
    <t>Bemis Mfg- Sheboygan Falls</t>
  </si>
  <si>
    <t>Mill St</t>
  </si>
  <si>
    <t>Bendix Commercial Vehicle</t>
  </si>
  <si>
    <t>1850 Riverfork Dr PO</t>
  </si>
  <si>
    <t>Huntington, IN 46750-9004</t>
  </si>
  <si>
    <t>10314 Brecksville Rd</t>
  </si>
  <si>
    <t>Besser - Alpena</t>
  </si>
  <si>
    <t>Best MFG - Fayette</t>
  </si>
  <si>
    <t>Beyond New Horizons (BNH)</t>
  </si>
  <si>
    <t>1476 N. Hap Arnold Drive</t>
  </si>
  <si>
    <t>Arnold AFB, TN  37389</t>
  </si>
  <si>
    <t>Bharat Forge America</t>
  </si>
  <si>
    <t>2807 S MLK JrBlvd</t>
  </si>
  <si>
    <t>Bienville Lumber</t>
  </si>
  <si>
    <t>1643 Highway 80</t>
  </si>
  <si>
    <t>Gibsland, LA 71028</t>
  </si>
  <si>
    <t>(318) 639-6530</t>
  </si>
  <si>
    <t>Big Heart Pet Brands</t>
  </si>
  <si>
    <t>2200 Brickyard Road</t>
  </si>
  <si>
    <t>Topeka, KS  66618</t>
  </si>
  <si>
    <t>Big River Steel</t>
  </si>
  <si>
    <t>2027 E State Hwy 198</t>
  </si>
  <si>
    <t>Osceola, AR 72370</t>
  </si>
  <si>
    <t>Bimbo Bakeries</t>
  </si>
  <si>
    <t>7300 Brighton Blvd</t>
  </si>
  <si>
    <t>Commerce City, CO 80022</t>
  </si>
  <si>
    <t>Birmingham Hot Metal Coat</t>
  </si>
  <si>
    <t>1513 Industrial Blvd</t>
  </si>
  <si>
    <t>Birmingham, AL  35221-1622</t>
  </si>
  <si>
    <t>BLASTCRETE Equip</t>
  </si>
  <si>
    <t>2000 COBB AVE</t>
  </si>
  <si>
    <t>Blastcrete Equip</t>
  </si>
  <si>
    <t>Block Tech-Princeton</t>
  </si>
  <si>
    <t>12536  319th AveNW</t>
  </si>
  <si>
    <t>Blue MtLumber Products - Pendleton</t>
  </si>
  <si>
    <t>Bluescope Building North America</t>
  </si>
  <si>
    <t>400 North Weaber Street</t>
  </si>
  <si>
    <t>Annville, PA  17003</t>
  </si>
  <si>
    <t>Bob Monnig Industries</t>
  </si>
  <si>
    <t>400 Industrial Drive</t>
  </si>
  <si>
    <t>Glasgow, MO  65254</t>
  </si>
  <si>
    <t>3500 TREECOURT Ind Blvd</t>
  </si>
  <si>
    <t>Boise Cascade- De Ridder</t>
  </si>
  <si>
    <t>Boise Cascade- Florien</t>
  </si>
  <si>
    <t>Boise Cascade- Havana</t>
  </si>
  <si>
    <t>8007 FL GA HWY</t>
  </si>
  <si>
    <t>Havana, FL  32333-6382</t>
  </si>
  <si>
    <t>Boise Cascade- Jackson</t>
  </si>
  <si>
    <t>4585 INDUSTRIAL RD</t>
  </si>
  <si>
    <t>Jackson, AL  36545</t>
  </si>
  <si>
    <t>Boise Cascade- Lena</t>
  </si>
  <si>
    <t>Boise Cascade- Oakdale</t>
  </si>
  <si>
    <t>140 Van Ply Rd</t>
  </si>
  <si>
    <t>Oakdale,LA 71463-4984</t>
  </si>
  <si>
    <t>Bolzoni Auramo</t>
  </si>
  <si>
    <t>7711 Hwy 278</t>
  </si>
  <si>
    <t>Sulligent, AL 35586</t>
  </si>
  <si>
    <t>Bon L Campo LP- El Campo</t>
  </si>
  <si>
    <t>Bond Fluidaire</t>
  </si>
  <si>
    <t>264 Leonard StNW</t>
  </si>
  <si>
    <t>5506 36Th Street, SE</t>
  </si>
  <si>
    <t>Bond Fluidaire - StJoseph</t>
  </si>
  <si>
    <t>StJoseph,MI 49085</t>
  </si>
  <si>
    <t>1420 SAirport West</t>
  </si>
  <si>
    <t>Bonset America Corp</t>
  </si>
  <si>
    <t>6107 Corporate Park Dr</t>
  </si>
  <si>
    <t>Browns Summit, NC  27214-8301</t>
  </si>
  <si>
    <t>Boral Bricks</t>
  </si>
  <si>
    <t>3895 SChoctaw Ave</t>
  </si>
  <si>
    <t>Braums Ice Cream Plant</t>
  </si>
  <si>
    <t>491 CS 2880</t>
  </si>
  <si>
    <t>Tuttle, OK 73089</t>
  </si>
  <si>
    <t>Brice MFG - Pacoima</t>
  </si>
  <si>
    <t>50 Century Blvd</t>
  </si>
  <si>
    <t>Bruce EquipCorp - Lindenhurst</t>
  </si>
  <si>
    <t>Bryce Corp</t>
  </si>
  <si>
    <t>450 Benton St</t>
  </si>
  <si>
    <t>Searcy, AR  72143-6913</t>
  </si>
  <si>
    <t>BSB MFG</t>
  </si>
  <si>
    <t>Buchanan Lumber - Aliceville</t>
  </si>
  <si>
    <t>Motion- Tuscaloosa, AL Customer</t>
  </si>
  <si>
    <t>Buckhorn</t>
  </si>
  <si>
    <t>2727 North Partnership Blvd</t>
  </si>
  <si>
    <t>Springfield, MO 65803</t>
  </si>
  <si>
    <t>Burford Electric</t>
  </si>
  <si>
    <t>154 Cooper Road</t>
  </si>
  <si>
    <t>662-549-4811</t>
  </si>
  <si>
    <t>SoSan Francisco,CA 9</t>
  </si>
  <si>
    <t>Buzzi Unicem</t>
  </si>
  <si>
    <t>1000 River Cement Rd</t>
  </si>
  <si>
    <t>Festus, MO  63028</t>
  </si>
  <si>
    <t>BWRogers - Evansville, IN</t>
  </si>
  <si>
    <t>1305 SCedar Street</t>
  </si>
  <si>
    <t>CABARRUS PLASTICS</t>
  </si>
  <si>
    <t>2845 ARMENTROUT DR</t>
  </si>
  <si>
    <t>Cabotoration - Ville Platte</t>
  </si>
  <si>
    <t xml:space="preserve">CAE Newnes - </t>
  </si>
  <si>
    <t>CAE Newnes - Covington</t>
  </si>
  <si>
    <t>1113 Vocational Dr</t>
  </si>
  <si>
    <t>Ville Platte, LA 70586</t>
  </si>
  <si>
    <t>(337) 381-0112</t>
  </si>
  <si>
    <t>Canam Steeloration</t>
  </si>
  <si>
    <t>Candleoration of America - Elkin</t>
  </si>
  <si>
    <t>Canfor - New South Lumber</t>
  </si>
  <si>
    <t>4408 MtHerman-Rock Creek Road</t>
  </si>
  <si>
    <t>Graham, NC 27253</t>
  </si>
  <si>
    <t>336-376-3130</t>
  </si>
  <si>
    <t>Capital Hyd - Raleigh</t>
  </si>
  <si>
    <t>Capital Hyd - Tallahassee</t>
  </si>
  <si>
    <t>Capitol Container</t>
  </si>
  <si>
    <t>2555 Container Drive</t>
  </si>
  <si>
    <t>Montgomery, AL 36121</t>
  </si>
  <si>
    <t>Carbo Ceramics</t>
  </si>
  <si>
    <t>36 Arch Drive</t>
  </si>
  <si>
    <t>Eufaula, AL  36027</t>
  </si>
  <si>
    <t>Card Lock</t>
  </si>
  <si>
    <t>967 Washington Ferry Rd</t>
  </si>
  <si>
    <t>Cargill - Maynard</t>
  </si>
  <si>
    <t>Cargill - Odessa</t>
  </si>
  <si>
    <t>3100 Bonanza Road</t>
  </si>
  <si>
    <t>Lake Odessa, MI 48849</t>
  </si>
  <si>
    <t>Cargill - Reserve</t>
  </si>
  <si>
    <t>Cargill - Vernon</t>
  </si>
  <si>
    <t>3501 E Vernon Ave</t>
  </si>
  <si>
    <t>Vernon, CA 90058</t>
  </si>
  <si>
    <t>909-518-1808</t>
  </si>
  <si>
    <t>Cargill - Westwego</t>
  </si>
  <si>
    <t>933 River Rd</t>
  </si>
  <si>
    <t>Westwego, LA  70094-3028</t>
  </si>
  <si>
    <t>Cargill Meat Solutions</t>
  </si>
  <si>
    <t>490 Road 9</t>
  </si>
  <si>
    <t>Schuyler, NE  68661-7113</t>
  </si>
  <si>
    <t>Carlex Glass of Indiana LLC</t>
  </si>
  <si>
    <t>1900 Center St.</t>
  </si>
  <si>
    <t>Auburn, IN  46706-9685</t>
  </si>
  <si>
    <t>Carlstar Group - Martin Intergrated</t>
  </si>
  <si>
    <t>520 JD Yarnell Industrial PKWY</t>
  </si>
  <si>
    <t>Clinton, TN 37716</t>
  </si>
  <si>
    <t>Carmeuse-Longview Opvend</t>
  </si>
  <si>
    <t>665 Hwy 31 S</t>
  </si>
  <si>
    <t>Saginaw, AL  35137</t>
  </si>
  <si>
    <t>Carolina Sunrock - Woodsdale Quarry</t>
  </si>
  <si>
    <t>5280 Woodsdale Road</t>
  </si>
  <si>
    <t>Roxboro, NC  27574-6783</t>
  </si>
  <si>
    <t>Carthage Hardwood</t>
  </si>
  <si>
    <t>1314 Hills Lake Rd</t>
  </si>
  <si>
    <t>Carthage, TX  75633</t>
  </si>
  <si>
    <t>Cascade Die Cast - Atlantic</t>
  </si>
  <si>
    <t>1800 Albertson Road</t>
  </si>
  <si>
    <t>High Point, NC 27260</t>
  </si>
  <si>
    <t>Cascade Hyd</t>
  </si>
  <si>
    <t>Cascade Hyd-Longview, WA</t>
  </si>
  <si>
    <t>1020 Industrial Way</t>
  </si>
  <si>
    <t>18676 NoJefferson St</t>
  </si>
  <si>
    <t>520 JD Yarnell Industrial</t>
  </si>
  <si>
    <t>Column7</t>
  </si>
  <si>
    <t>Column8</t>
  </si>
  <si>
    <t>Column9</t>
  </si>
  <si>
    <t>Column10</t>
  </si>
  <si>
    <t>Status: ACTIVE</t>
  </si>
  <si>
    <t>active</t>
  </si>
  <si>
    <t>337-896-8976</t>
  </si>
  <si>
    <t>2900 Highway 93, Carencro, LA 70520</t>
  </si>
  <si>
    <t>1400 State Docks Rd; Phone: (256) 552-6075</t>
  </si>
  <si>
    <t>Status: CLOSED</t>
  </si>
  <si>
    <t>closed</t>
  </si>
  <si>
    <t>281-743-0793</t>
  </si>
  <si>
    <t>10235 West Little Yor_</t>
  </si>
  <si>
    <t>(303) 287-</t>
  </si>
  <si>
    <t>1485 E 61St Ave; Phone: (303) 287-</t>
  </si>
  <si>
    <t>4000 Crittenden Dr; Phone: (502) 367-_</t>
  </si>
  <si>
    <t>5614 W Ridge Rd, Phone: (814) 835-0080</t>
  </si>
  <si>
    <t>(40.</t>
  </si>
  <si>
    <t>543 Matzinger Rd,</t>
  </si>
  <si>
    <t>41144 Vincenti Ct, Phone: (248) 442-3320</t>
  </si>
  <si>
    <t>(360) 532-2580</t>
  </si>
  <si>
    <t>809 EMarket Street; Phone: nan please respond</t>
  </si>
  <si>
    <t>(386) 239-0840</t>
  </si>
  <si>
    <t>405 Loomis Avenue; Phone:</t>
  </si>
  <si>
    <t>(812)</t>
  </si>
  <si>
    <t>707 Schrader Dr #1, Phone: (812)</t>
  </si>
  <si>
    <t>(905) 333-3695</t>
  </si>
  <si>
    <t>919 Zelco Drive, Phone:</t>
  </si>
  <si>
    <t>4412 South 87Th Street; Phone: (800) 642 _</t>
  </si>
  <si>
    <t>nan, Phone:</t>
  </si>
  <si>
    <t>(423) 547-2890</t>
  </si>
  <si>
    <t>100 McDonald Dr; Phone: na_</t>
  </si>
  <si>
    <t>(256) 612-0868</t>
  </si>
  <si>
    <t>66 Pleasant View Rd, Phone: 256-260_</t>
  </si>
  <si>
    <t>AA Resource contact info</t>
  </si>
  <si>
    <t>(610)</t>
  </si>
  <si>
    <t>847-455-1950</t>
  </si>
  <si>
    <t>3021 Cullerton Dr; Phone: nan pleas_</t>
  </si>
  <si>
    <t>(231) 779-88.</t>
  </si>
  <si>
    <t>201 Haynes St; Phone: (231) 779-88.</t>
  </si>
  <si>
    <t>(519)..-</t>
  </si>
  <si>
    <t>760 Lowe Ave</t>
  </si>
  <si>
    <t>479-667-5744</t>
  </si>
  <si>
    <t>1910 Baldor Dr; Phone: nan please respond with</t>
  </si>
  <si>
    <t>(224) 667-6100</t>
  </si>
  <si>
    <t>100 Abbott Park Rd;</t>
  </si>
  <si>
    <t>205-849-1300</t>
  </si>
  <si>
    <t>900 Huntsville Ave, Tarrant; AL 35217</t>
  </si>
  <si>
    <t>(920)</t>
  </si>
  <si>
    <t>1100 N Mayflower Dr; Phone: (920)</t>
  </si>
  <si>
    <t>(605) 225-8030</t>
  </si>
  <si>
    <t>3570 S Main St, Phone: (704) 637-2010 plea.</t>
  </si>
  <si>
    <t>5020</t>
  </si>
  <si>
    <t>Po Box 779_</t>
  </si>
  <si>
    <t>(337) 837-1600</t>
  </si>
  <si>
    <t>127 Thru-Way Park Rd, Phone</t>
  </si>
  <si>
    <t>111 Ling Rd, Phone: (716) 663-09__</t>
  </si>
  <si>
    <t>(270) 826--</t>
  </si>
  <si>
    <t>2315 Adams Ln; Phone: (270) 826--</t>
  </si>
  <si>
    <t>(661) 327--</t>
  </si>
  <si>
    <t>2901 Gibson St; Phone: (661) 327--</t>
  </si>
  <si>
    <t>507 Saint Joseph St; Phone:</t>
  </si>
  <si>
    <t>1-847-272-9520</t>
  </si>
  <si>
    <t>3610 Commercial Ave; Phone: nan please</t>
  </si>
  <si>
    <t>nan, Phonez</t>
  </si>
  <si>
    <t>(225) 756-3383</t>
  </si>
  <si>
    <t>nan; Phone: nan please</t>
  </si>
  <si>
    <t>202 Trakas Blvd, Phone: (704) 864_</t>
  </si>
  <si>
    <t>(509) 927-9066</t>
  </si>
  <si>
    <t>nan, Phone: nan please respond with</t>
  </si>
  <si>
    <t>nan; Phone: nan please respond with</t>
  </si>
  <si>
    <t>(708)</t>
  </si>
  <si>
    <t>13500</t>
  </si>
  <si>
    <t>14638 Apple Dr; Phone: (616) 842-3500 pleas_</t>
  </si>
  <si>
    <t>nan, Phone: nan please respond with open or _</t>
  </si>
  <si>
    <t>nan, Phone: nan please respond with open or</t>
  </si>
  <si>
    <t>(956) 727-2051</t>
  </si>
  <si>
    <t>nan; Phone: (501) 224-5856</t>
  </si>
  <si>
    <t>5284 East Raines Road, Phone:</t>
  </si>
  <si>
    <t>(985) 868-0077</t>
  </si>
  <si>
    <t>(314) 631</t>
  </si>
  <si>
    <t>8420 Vulcan Street, Phone: (314) 631</t>
  </si>
  <si>
    <t>7257 Westport Place; Phone _</t>
  </si>
  <si>
    <t>4115 Thomas Dr Sw; Phone:</t>
  </si>
  <si>
    <t>(269) 685-2924</t>
  </si>
  <si>
    <t>nan, Phone-</t>
  </si>
  <si>
    <t>109 East Hardin Street, Phone_</t>
  </si>
  <si>
    <t>7209 East Adamo Drive,</t>
  </si>
  <si>
    <t>16090 Flight Path Drive; Phone: nan</t>
  </si>
  <si>
    <t>(870) 539-6314</t>
  </si>
  <si>
    <t>402 Main St, Phone: 870-539-6314 please</t>
  </si>
  <si>
    <t>(269) 465-5000</t>
  </si>
  <si>
    <t>(770) 832-9006</t>
  </si>
  <si>
    <t>110 Kingsbridge Dr; Phone: 770-832 _</t>
  </si>
  <si>
    <t>(217) 424-5200</t>
  </si>
  <si>
    <t>4666 Faries Parkway; Phone: nan</t>
  </si>
  <si>
    <t>600 Ellis St, Phone: (856) 881-4000</t>
  </si>
  <si>
    <t>12710 River Road_</t>
  </si>
  <si>
    <t>(330) 399-.</t>
  </si>
  <si>
    <t>1201 Vine Ave Ne; Phone: (330) 399-.</t>
  </si>
  <si>
    <t>125 W 2950 S #1, Phone:</t>
  </si>
  <si>
    <t>200 E Campus_</t>
  </si>
  <si>
    <t>3857 S Main St, Phone:</t>
  </si>
  <si>
    <t>5780 | 10 Industrial</t>
  </si>
  <si>
    <t>17 Fairmount Avenue,</t>
  </si>
  <si>
    <t>R D # 32, Campbell Road,</t>
  </si>
  <si>
    <t>7040 County Road 20,</t>
  </si>
  <si>
    <t>13568 Vintage PI, Phone: (909) 590-_</t>
  </si>
  <si>
    <t>110 S Osage St; Phone: (918) 396-43._</t>
  </si>
  <si>
    <t>1897 N Oil Field</t>
  </si>
  <si>
    <t>(864) 915-5741</t>
  </si>
  <si>
    <t>1361 F West Wade Hampton_</t>
  </si>
  <si>
    <t>3110 Sexton Road, Phone:</t>
  </si>
  <si>
    <t>(814) 964-1380</t>
  </si>
  <si>
    <t>(919) 335-8415</t>
  </si>
  <si>
    <t>490 Airport Rd , Phone: nan</t>
  </si>
  <si>
    <t>8201 N University;</t>
  </si>
  <si>
    <t>60 Fitchburg Rd, Phone: (978_</t>
  </si>
  <si>
    <t>Contact info not found</t>
  </si>
  <si>
    <t>Phone: nan</t>
  </si>
  <si>
    <t>Contact information available</t>
  </si>
  <si>
    <t>(508) 764-____</t>
  </si>
  <si>
    <t>nan; Phonez</t>
  </si>
  <si>
    <t>90 114th Ave NE, Phone: nan plea__</t>
  </si>
  <si>
    <t>nan, Phone: nan please respond</t>
  </si>
  <si>
    <t>(901) 547-4600</t>
  </si>
  <si>
    <t>3914 WILLOW LAKE BLVD, Phone: na_</t>
  </si>
  <si>
    <t>(515) 295-7234</t>
  </si>
  <si>
    <t>414-764-1160.</t>
  </si>
  <si>
    <t>1815 Marathon Ave; Phone:</t>
  </si>
  <si>
    <t>Dallas, WI, Phone: 414-327-4000</t>
  </si>
  <si>
    <t>200-B Perimeter Park Road, Phone: (865) 693- _</t>
  </si>
  <si>
    <t>nan plea_ E</t>
  </si>
  <si>
    <t>(618) 583-1000</t>
  </si>
  <si>
    <t>501 MONSANTO AVE, Phone: nan</t>
  </si>
  <si>
    <t>763-792-4000</t>
  </si>
  <si>
    <t>8800 ULYSSES STNE; Phone: 763_</t>
  </si>
  <si>
    <t>920-845-2901</t>
  </si>
  <si>
    <t>N2915 County Road AB, Phone: nan please respond</t>
  </si>
  <si>
    <t>715-693-2111</t>
  </si>
  <si>
    <t>100 Main St ,</t>
  </si>
  <si>
    <t>991 McEntire Lane NW; Phone: (256) 301-9755 _</t>
  </si>
  <si>
    <t>3033 Ohio Dr Suite A, Phone: 502-451-1000</t>
  </si>
  <si>
    <t>(502) 451-1000</t>
  </si>
  <si>
    <t>2550 Blankenbaker Pkwy, Phone: (270) 827_</t>
  </si>
  <si>
    <t>2144 Third Ave, Phone: 304-522-8391 please</t>
  </si>
  <si>
    <t>933 Floyd Drive, Phone: 859-255-6155 please</t>
  </si>
  <si>
    <t>9600 NW _</t>
  </si>
  <si>
    <t>(918) 384-6850</t>
  </si>
  <si>
    <t>6848 E41st Street; Phone:</t>
  </si>
  <si>
    <t>3431 Lorma</t>
  </si>
  <si>
    <t>3731 Northcrest Rd, Phon_</t>
  </si>
  <si>
    <t>1433 Redoack Drive; Phone:</t>
  </si>
  <si>
    <t>105</t>
  </si>
  <si>
    <t>(423) 756-2000</t>
  </si>
  <si>
    <t>821 E 11th Street; Phone:</t>
  </si>
  <si>
    <t>731 E2Znd Street; Phone:</t>
  </si>
  <si>
    <t>(865) 558-6060</t>
  </si>
  <si>
    <t>11157 Outlet Drive; Phone:</t>
  </si>
  <si>
    <t>5246 Yellow Cove; Phone:</t>
  </si>
  <si>
    <t>nan, Phone: 615-332-0448</t>
  </si>
  <si>
    <t>airhydmech@aolcom</t>
  </si>
  <si>
    <t>834 South</t>
  </si>
  <si>
    <t>1005 Humble</t>
  </si>
  <si>
    <t>4401</t>
  </si>
  <si>
    <t>(800) 231-5628</t>
  </si>
  <si>
    <t>8110 Scott Hamilton Driv_</t>
  </si>
  <si>
    <t>Air Filtration contact info</t>
  </si>
  <si>
    <t>(314) 487-9100</t>
  </si>
  <si>
    <t>6074 Baumgartner Industrial</t>
  </si>
  <si>
    <t>(952) 361-6800</t>
  </si>
  <si>
    <t>1104 Glenwood Ave; Phone:</t>
  </si>
  <si>
    <t>834 South Conception Street; Phone</t>
  </si>
  <si>
    <t>7004 South 108th Street;</t>
  </si>
  <si>
    <t>900 Darr Park #1,</t>
  </si>
  <si>
    <t>Aircon Corporation information found</t>
  </si>
  <si>
    <t>901-452 __</t>
  </si>
  <si>
    <t>Airdraulics Odessa contact info</t>
  </si>
  <si>
    <t>(915) 367-____</t>
  </si>
  <si>
    <t>Contact info available</t>
  </si>
  <si>
    <t>(713) 548 _</t>
  </si>
  <si>
    <t>833 Johanna Dr</t>
  </si>
  <si>
    <t>Airgas Augusta contact info</t>
  </si>
  <si>
    <t>(706) _ _ _ _</t>
  </si>
  <si>
    <t>Airgas - Hopewell information</t>
  </si>
  <si>
    <t>Airgas - Kapolei contact</t>
  </si>
  <si>
    <t>Airgas contact information</t>
  </si>
  <si>
    <t>Jackson's contact info found</t>
  </si>
  <si>
    <t>Airline MFG in Columbus</t>
  </si>
  <si>
    <t>(662) ****</t>
  </si>
  <si>
    <t>Contact info found</t>
  </si>
  <si>
    <t>(503) 234_</t>
  </si>
  <si>
    <t>Air-Oil Products contact info</t>
  </si>
  <si>
    <t>(425) 881-___</t>
  </si>
  <si>
    <t>Contact information extracted</t>
  </si>
  <si>
    <t>(331) _***_</t>
  </si>
  <si>
    <t>(513) 425-</t>
  </si>
  <si>
    <t>Gulf Marine in Ingleside</t>
  </si>
  <si>
    <t>(361) 776-____</t>
  </si>
  <si>
    <t>Fm Rd 1069 $</t>
  </si>
  <si>
    <t>No contact info found</t>
  </si>
  <si>
    <t>Address: nan;</t>
  </si>
  <si>
    <t>Contact info not provided</t>
  </si>
  <si>
    <t>Alabama Bearings contact info</t>
  </si>
  <si>
    <t>Alabama Industrial Components Remlap</t>
  </si>
  <si>
    <t>1012 Red Valley</t>
  </si>
  <si>
    <t>(907) 562-2200</t>
  </si>
  <si>
    <t>Alaska Hyd Dutch Harbor</t>
  </si>
  <si>
    <t>(907) _</t>
  </si>
  <si>
    <t>Alaska Hyd Kodiak contact</t>
  </si>
  <si>
    <t>(800) 478_</t>
  </si>
  <si>
    <t>Contact info provided</t>
  </si>
  <si>
    <t>(513) 874-055_</t>
  </si>
  <si>
    <t>Kiesland Ct</t>
  </si>
  <si>
    <t>Contact info and details</t>
  </si>
  <si>
    <t>Alco Controls Hazelhurst info</t>
  </si>
  <si>
    <t>Alco Machine contact info</t>
  </si>
  <si>
    <t>3201 27th Ave No</t>
  </si>
  <si>
    <t>Contact information not found</t>
  </si>
  <si>
    <t>Contact info not available</t>
  </si>
  <si>
    <t>Alcoa Mill Products in</t>
  </si>
  <si>
    <t>(319) _</t>
  </si>
  <si>
    <t>ALCOA USA Massena info</t>
  </si>
  <si>
    <t>Tool and machine manufacturer</t>
  </si>
  <si>
    <t>(51_</t>
  </si>
  <si>
    <t>Tool company in Hobbs</t>
  </si>
  <si>
    <t>(505) 392-</t>
  </si>
  <si>
    <t>207 Grimes St</t>
  </si>
  <si>
    <t>(800) 476 _</t>
  </si>
  <si>
    <t>Contact info only available</t>
  </si>
  <si>
    <t>Machine shop in Jonesboro</t>
  </si>
  <si>
    <t>1201 E Johns_</t>
  </si>
  <si>
    <t>Metal supplier in Evansville</t>
  </si>
  <si>
    <t>(812) 867-____</t>
  </si>
  <si>
    <t>4020 Highway 57</t>
  </si>
  <si>
    <t>RENAMED: empty</t>
  </si>
  <si>
    <t>Contact info only</t>
  </si>
  <si>
    <t>Fabrication company in York</t>
  </si>
  <si>
    <t>(717) 846-.</t>
  </si>
  <si>
    <t>265 Queen St</t>
  </si>
  <si>
    <t>(616) 669-____</t>
  </si>
  <si>
    <t>334-______</t>
  </si>
  <si>
    <t>Contact information unknown</t>
  </si>
  <si>
    <t>318-563-4586</t>
  </si>
  <si>
    <t>(205) 640-1295</t>
  </si>
  <si>
    <t>2328 Moody Parkway; Phone: nan</t>
  </si>
  <si>
    <t>816-796-7157</t>
  </si>
  <si>
    <t>MO Hwys 7878, Phone: nan please_</t>
  </si>
  <si>
    <t>nan; Phone: nan please respond</t>
  </si>
  <si>
    <t>861 S Vermont St; Phonez</t>
  </si>
  <si>
    <t>(847) 455-1950</t>
  </si>
  <si>
    <t>3021 Cullerton Drive; Phonez</t>
  </si>
  <si>
    <t>3923 W West Ave; Phone: (815)_</t>
  </si>
  <si>
    <t>(828) 327-3466</t>
  </si>
  <si>
    <t>(828) 724-9393</t>
  </si>
  <si>
    <t>2400</t>
  </si>
  <si>
    <t>(574) 231-2000</t>
  </si>
  <si>
    <t>(602) 272-6606</t>
  </si>
  <si>
    <t>(870) 535-6200</t>
  </si>
  <si>
    <t>4215 Emmett Sanders Road, Phone:</t>
  </si>
  <si>
    <t>nan, Phone: nan</t>
  </si>
  <si>
    <t>(920) 458-2300</t>
  </si>
  <si>
    <t>(440) 998-6300</t>
  </si>
  <si>
    <t>2605 Crane Ave, Phonez</t>
  </si>
  <si>
    <t>(704) 289-4511</t>
  </si>
  <si>
    <t>(803) 789-3595</t>
  </si>
  <si>
    <t>4374 LANCASTE_</t>
  </si>
  <si>
    <t>(615) 459-2511</t>
  </si>
  <si>
    <t>(318) 932-4041</t>
  </si>
  <si>
    <t>403 Ringgold Ave; Hwy 71 North;</t>
  </si>
  <si>
    <t>nan;, Phone: nan please respond</t>
  </si>
  <si>
    <t>(863) 422-1141</t>
  </si>
  <si>
    <t>+52 833 229 0900</t>
  </si>
  <si>
    <t>(352)</t>
  </si>
  <si>
    <t>(865) 594-4700</t>
  </si>
  <si>
    <t>(206) 682-5949</t>
  </si>
  <si>
    <t>14151 Irving Avenue; Phone: (800) 342-6744</t>
  </si>
  <si>
    <t>(251) 289-3000</t>
  </si>
  <si>
    <t>AMINS Way; Phone: nan please</t>
  </si>
  <si>
    <t>(208) 438-2115</t>
  </si>
  <si>
    <t>(419) 739-9904</t>
  </si>
  <si>
    <t>240 East Plato Boulevard, Phone:</t>
  </si>
  <si>
    <t>(320) 251-6030</t>
  </si>
  <si>
    <t>221</t>
  </si>
  <si>
    <t>(801) 936-7628</t>
  </si>
  <si>
    <t>(920) 727-2600</t>
  </si>
  <si>
    <t>1815 Marathon Ave; Phone: nan please</t>
  </si>
  <si>
    <t>(870) 862-4919</t>
  </si>
  <si>
    <t>174 Bailey Rd, Phone: nan please respond with open</t>
  </si>
  <si>
    <t>(205) 655-3271</t>
  </si>
  <si>
    <t>(801) 450-4377</t>
  </si>
  <si>
    <t>(248) 280-4500</t>
  </si>
  <si>
    <t>2727 W14 Mile Rd; Phone: nan</t>
  </si>
  <si>
    <t>nan, Phone: (503) 656-6400 please</t>
  </si>
  <si>
    <t>(412) 828-9020</t>
  </si>
  <si>
    <t>Daily</t>
  </si>
  <si>
    <t>(304) 425-8158</t>
  </si>
  <si>
    <t>(417) 204-5602</t>
  </si>
  <si>
    <t>606 Sunset Terrace; Phone: nan</t>
  </si>
  <si>
    <t>(205) 325-7701</t>
  </si>
  <si>
    <t>(812) 649-4300</t>
  </si>
  <si>
    <t>12540 South Holiday Drive; Unit D,</t>
  </si>
  <si>
    <t>649 North Wayne</t>
  </si>
  <si>
    <t>(970) 524-9700</t>
  </si>
  <si>
    <t>(540) 946-9150</t>
  </si>
  <si>
    <t>567 N Charlotte Ave_, Phone: nan</t>
  </si>
  <si>
    <t>nan; Phone: nan</t>
  </si>
  <si>
    <t>228 Industrial Park Rd, Albertville; AL 35950 |</t>
  </si>
  <si>
    <t>(620) 251-8040</t>
  </si>
  <si>
    <t>nan, Phone_</t>
  </si>
  <si>
    <t>Address: nan</t>
  </si>
  <si>
    <t>nan, Phone</t>
  </si>
  <si>
    <t>nan, Phone: nan please</t>
  </si>
  <si>
    <t>508-295-4907</t>
  </si>
  <si>
    <t>nan, Phone: nan:</t>
  </si>
  <si>
    <t>+1 419-394-3311</t>
  </si>
  <si>
    <t>1115 South Wayne Street, Phone: nan_</t>
  </si>
  <si>
    <t>nan; Phone:</t>
  </si>
  <si>
    <t>812-423-6180</t>
  </si>
  <si>
    <t>855-815-0004</t>
  </si>
  <si>
    <t>PO Box 305004,Phone:</t>
  </si>
  <si>
    <t>1700 Walnut Street;</t>
  </si>
  <si>
    <t>(502) 449-8300</t>
  </si>
  <si>
    <t>4500 Camp Ground Rd, Phone: na_</t>
  </si>
  <si>
    <t>(540) 672-3707</t>
  </si>
  <si>
    <t>(256) 249-3707</t>
  </si>
  <si>
    <t>18086 Al Hwy 21, Phone: nan please</t>
  </si>
  <si>
    <t>(704) 664-0801</t>
  </si>
  <si>
    <t>(305) 663-4448</t>
  </si>
  <si>
    <t>7063 SW 47th Street, Phone: nan</t>
  </si>
  <si>
    <t>2970 Kele St, Phone: (808) 245-7325</t>
  </si>
  <si>
    <t>(412) 331-0770</t>
  </si>
  <si>
    <t>(563) 852-7750</t>
  </si>
  <si>
    <t>+1 304-624-1217</t>
  </si>
  <si>
    <t>9934 Cost Ave; Phone: nan please</t>
  </si>
  <si>
    <t>1-800-872-7245</t>
  </si>
  <si>
    <t>(870) 236-2262</t>
  </si>
  <si>
    <t>1420 LORRAINE AVE, Phone: 336-855-7800</t>
  </si>
  <si>
    <t>(864) 224-8771</t>
  </si>
  <si>
    <t>5201 Old Pearman</t>
  </si>
  <si>
    <t>(940) 898-0802</t>
  </si>
  <si>
    <t>101 Bamberg Drive; Phone: 205-338-3331</t>
  </si>
  <si>
    <t>770.</t>
  </si>
  <si>
    <t>1115 NORTHMEADOW PARKWAY, Phone: 770.</t>
  </si>
  <si>
    <t>(323) 581-6221</t>
  </si>
  <si>
    <t>(614) 888-6644</t>
  </si>
  <si>
    <t>750 Schrock Rd, Phone: nan</t>
  </si>
  <si>
    <t>(713) 675-2311</t>
  </si>
  <si>
    <t>8688 Market Street, Phone:</t>
  </si>
  <si>
    <t>7 FRANKFORD AVE BLDG 380,Phone:</t>
  </si>
  <si>
    <t>(870) 962-3206</t>
  </si>
  <si>
    <t>1236 URBANA RD; Phone: nan</t>
  </si>
  <si>
    <t>(706) 678-7405</t>
  </si>
  <si>
    <t>1236 Urbana Road, Phone:</t>
  </si>
  <si>
    <t>(501) 337-7551</t>
  </si>
  <si>
    <t>170 Mill Rd, Phone: (870) 554-2466</t>
  </si>
  <si>
    <t>2552 Industrial Dr; Phone: (219) 465-1611</t>
  </si>
  <si>
    <t>(920) 356-9900</t>
  </si>
  <si>
    <t>(316) 524-5200</t>
  </si>
  <si>
    <t>Shears Div-Wichita Branch; Phone: Wichita, K</t>
  </si>
  <si>
    <t>nan, Phone: 256-476-5525 please</t>
  </si>
  <si>
    <t>(847) 526-2010</t>
  </si>
  <si>
    <t>3033 S 59th Ave-, Phone: nan please respond</t>
  </si>
  <si>
    <t>(540) 387-3880</t>
  </si>
  <si>
    <t>(800) 861-6805</t>
  </si>
  <si>
    <t>151 Blue Bell Rd,, Phone: nan please</t>
  </si>
  <si>
    <t>(440) 951-7774</t>
  </si>
  <si>
    <t>7555 Tyler Blvd #10, Phone: nan please</t>
  </si>
  <si>
    <t>(402) 564-0400</t>
  </si>
  <si>
    <t>(92.</t>
  </si>
  <si>
    <t>2625 SLakeland Drive, Phone: (92.</t>
  </si>
  <si>
    <t>(209) 982-0160</t>
  </si>
  <si>
    <t>(205) 664-0590</t>
  </si>
  <si>
    <t>(518) 427-5800</t>
  </si>
  <si>
    <t>6 Enterprise Dr; Phone: nan</t>
  </si>
  <si>
    <t>(229) 435-2063</t>
  </si>
  <si>
    <t>725 Turner Field Rd, Phone:</t>
  </si>
  <si>
    <t>1620 Sidney Street, Phon.</t>
  </si>
  <si>
    <t>11627 Industriplex Blvd,</t>
  </si>
  <si>
    <t>3880 WASHINGTON BLVD,</t>
  </si>
  <si>
    <t>(318) 221-4188</t>
  </si>
  <si>
    <t>4811 Hazel Jones Rd,;</t>
  </si>
  <si>
    <t>(330) 484-1999</t>
  </si>
  <si>
    <t>(770) 386-3026</t>
  </si>
  <si>
    <t>337 S Erwin St, Phone: na__</t>
  </si>
  <si>
    <t>6805 4th St SW STE 100,</t>
  </si>
  <si>
    <t>(704) 504-5551</t>
  </si>
  <si>
    <t>15504 Industrial</t>
  </si>
  <si>
    <t>(423) 476-7834</t>
  </si>
  <si>
    <t>(323) 724-5111</t>
  </si>
  <si>
    <t>3424 Garfield Ave-, Phone.</t>
  </si>
  <si>
    <t>936-.</t>
  </si>
  <si>
    <t>970-824-.</t>
  </si>
  <si>
    <t>4643 W138th Street, Phone:</t>
  </si>
  <si>
    <t>(434) 799-9610</t>
  </si>
  <si>
    <t>514 Mount Cross Rd, Phone:</t>
  </si>
  <si>
    <t>93.</t>
  </si>
  <si>
    <t>2730 Keenan Ave; Phone: 93.</t>
  </si>
  <si>
    <t>(870) 642-6444</t>
  </si>
  <si>
    <t>110 W Robinson Road, Phon.</t>
  </si>
  <si>
    <t>3525 RIDER TRAIL</t>
  </si>
  <si>
    <t>2628A North Cullen Ave;</t>
  </si>
  <si>
    <t>7701 Ball Rd, Phone: nan</t>
  </si>
  <si>
    <t>(260) 471-8461</t>
  </si>
  <si>
    <t>3210 Congressional Pkwy_</t>
  </si>
  <si>
    <t>5145 martin Luther King Fwy_</t>
  </si>
  <si>
    <t>(920) 465-3777</t>
  </si>
  <si>
    <t>1115 Ontario Rd, Phone: nan</t>
  </si>
  <si>
    <t>120</t>
  </si>
  <si>
    <t>(252) 756-8000</t>
  </si>
  <si>
    <t>100 Station Court; Ste A,</t>
  </si>
  <si>
    <t>(540) 434-5348</t>
  </si>
  <si>
    <t>785 Pleasant Valley Rd,</t>
  </si>
  <si>
    <t>(906) 485-1015</t>
  </si>
  <si>
    <t>100 Industrial Way; Phone:</t>
  </si>
  <si>
    <t>7037-26 Commonwealth Ave,</t>
  </si>
  <si>
    <t>(423) 247-3167</t>
  </si>
  <si>
    <t>385 Revere St, Phone: nan</t>
  </si>
  <si>
    <t>(865) 573-0022</t>
  </si>
  <si>
    <t>Power Park 3200 Dresser</t>
  </si>
  <si>
    <t>(765) 452-6217</t>
  </si>
  <si>
    <t>1824 TOUBY PIKE SUITE A,</t>
  </si>
  <si>
    <t>(863) 665-6521</t>
  </si>
  <si>
    <t>2755 US 92 East, Phone: nan_</t>
  </si>
  <si>
    <t>(615) 244-6462</t>
  </si>
  <si>
    <t>1001 Maddox Simpson</t>
  </si>
  <si>
    <t>701 W Anaheim St, Phone_</t>
  </si>
  <si>
    <t>(315) 764-4811</t>
  </si>
  <si>
    <t>45 County Route 42, Bldg</t>
  </si>
  <si>
    <t>(541) 779-8613</t>
  </si>
  <si>
    <t>2091 Cardinal Ave; Phone:</t>
  </si>
  <si>
    <t>(513) 424-1845</t>
  </si>
  <si>
    <t>(334) 395-7576</t>
  </si>
  <si>
    <t>(757) 249-0026</t>
  </si>
  <si>
    <t>330 Ed Wright Ln;</t>
  </si>
  <si>
    <t>(605) 232-8754</t>
  </si>
  <si>
    <t>610 Freedom Drive,</t>
  </si>
  <si>
    <t>6150 Grover Street, Phone:</t>
  </si>
  <si>
    <t>(409).</t>
  </si>
  <si>
    <t>7247 Kirk Drive; Phone: (409).</t>
  </si>
  <si>
    <t>(801) 224-9400</t>
  </si>
  <si>
    <t>1185 South 1480 West;</t>
  </si>
  <si>
    <t>3601 Vineland Rd, Suite 10,</t>
  </si>
  <si>
    <t>400A Rayon Drive; Phone:_</t>
  </si>
  <si>
    <t>(509) 547-2421</t>
  </si>
  <si>
    <t>427 Oregon Ave; Phone: nan</t>
  </si>
  <si>
    <t>(602) 470-1444</t>
  </si>
  <si>
    <t>3618 East Southern Ave Ste</t>
  </si>
  <si>
    <t>5220 Industrial Dr S Ste B;</t>
  </si>
  <si>
    <t>(412) 787-1600</t>
  </si>
  <si>
    <t>1-787-848-5660</t>
  </si>
  <si>
    <t>Centro Regional Distribution ,_</t>
  </si>
  <si>
    <t>1301oration Parkway, Phone:_</t>
  </si>
  <si>
    <t>232 NW Parkway Dr; Phone:</t>
  </si>
  <si>
    <t>(715) 359-2265</t>
  </si>
  <si>
    <t>301 Creske Ave-, Ste B, Phon_</t>
  </si>
  <si>
    <t>(419) 626-9381</t>
  </si>
  <si>
    <t>1850 Superior St, Phone: nan_</t>
  </si>
  <si>
    <t>(912) 234-1371</t>
  </si>
  <si>
    <t>2408 e Willow St, Phone:</t>
  </si>
  <si>
    <t>1816 N Market Street, Phone_</t>
  </si>
  <si>
    <t>(860) 528-3771</t>
  </si>
  <si>
    <t>(864) 583-4583</t>
  </si>
  <si>
    <t>620 Buffington Rd, Phone:_</t>
  </si>
  <si>
    <t>(509) 535-2955</t>
  </si>
  <si>
    <t>(479) 751-6455</t>
  </si>
  <si>
    <t>1005 Sterwin Street, Phone:</t>
  </si>
  <si>
    <t>624 S Zth Street; Phone: nan</t>
  </si>
  <si>
    <t>4655 Wright Rd Ste 200,</t>
  </si>
  <si>
    <t>(315) 472-0900</t>
  </si>
  <si>
    <t>525 Erie Blvd W, Phone: nan</t>
  </si>
  <si>
    <t>9324 Florida Palm Drive,</t>
  </si>
  <si>
    <t>(812) 238-1611</t>
  </si>
  <si>
    <t>200 Poplar St; Phone: 812,</t>
  </si>
  <si>
    <t>(785) 232-5508</t>
  </si>
  <si>
    <t>1609 James P Rodgers Dr;</t>
  </si>
  <si>
    <t>(320) 252-3481</t>
  </si>
  <si>
    <t>3000 4th Street South; Phon_</t>
  </si>
  <si>
    <t>(843) 971-3970</t>
  </si>
  <si>
    <t>499-B Jessen Lane; Phone:</t>
  </si>
  <si>
    <t>(478) 923-0394</t>
  </si>
  <si>
    <t>20 Green Street;</t>
  </si>
  <si>
    <t>(330) 394-1527</t>
  </si>
  <si>
    <t>421 S Park Ave; Phone: nan</t>
  </si>
  <si>
    <t>(831) 722-0243</t>
  </si>
  <si>
    <t>57 Hangar Way, Ste C,</t>
  </si>
  <si>
    <t>2633 W Pawnee St, Phone:</t>
  </si>
  <si>
    <t>(336) 661-1199</t>
  </si>
  <si>
    <t>8151 N Point Blvd,</t>
  </si>
  <si>
    <t>(715) 421-1730</t>
  </si>
  <si>
    <t>2211 Industrial St,</t>
  </si>
  <si>
    <t>909 N Front Street, Phone:</t>
  </si>
  <si>
    <t>843-485-4724</t>
  </si>
  <si>
    <t>1219 Front St; Phone: nan please</t>
  </si>
  <si>
    <t>724-537-8383</t>
  </si>
  <si>
    <t>479-756-2740</t>
  </si>
  <si>
    <t>600 Kawneer; Phone: nan please</t>
  </si>
  <si>
    <t>nan; Phone: nan please respond with open or</t>
  </si>
  <si>
    <t>602-269-6307</t>
  </si>
  <si>
    <t>409-883-9990</t>
  </si>
  <si>
    <t>4647 FARM ROAD 1006, Phone: nan please respond</t>
  </si>
  <si>
    <t>601-631-6099</t>
  </si>
  <si>
    <t>1735 N Washington St, Phone: nan_</t>
  </si>
  <si>
    <t>870-226-9521</t>
  </si>
  <si>
    <t>688 Hwy 278 Bypass,</t>
  </si>
  <si>
    <t>760-398-0143</t>
  </si>
  <si>
    <t>515-832-3120</t>
  </si>
  <si>
    <t>336-578-2777</t>
  </si>
  <si>
    <t>251-952-1700</t>
  </si>
  <si>
    <t>518 S</t>
  </si>
  <si>
    <t>256-552-2011</t>
  </si>
  <si>
    <t>1050 Chemstran.</t>
  </si>
  <si>
    <t>208-775-3351</t>
  </si>
  <si>
    <t>620-635-2856</t>
  </si>
  <si>
    <t>South MaingSanta Fe Street, Phone:</t>
  </si>
  <si>
    <t>763-592-2060</t>
  </si>
  <si>
    <t>(800)</t>
  </si>
  <si>
    <t>4101 Jerome Avenue; Phone: (800)</t>
  </si>
  <si>
    <t>410-335-8992</t>
  </si>
  <si>
    <t>1130 Ashwaubenon Street; Phone: 920-336-8886</t>
  </si>
  <si>
    <t>440-946-8171</t>
  </si>
  <si>
    <t>989-386-4523</t>
  </si>
  <si>
    <t>256-728-4222</t>
  </si>
  <si>
    <t>481 FIRE TOWER ROAD, Phone: nan</t>
  </si>
  <si>
    <t>256-722-2300</t>
  </si>
  <si>
    <t>7300 HWY 20 WATTN:</t>
  </si>
  <si>
    <t>803-789-3595</t>
  </si>
  <si>
    <t>4374 Lancaster</t>
  </si>
  <si>
    <t>Sapawe Road, Highway</t>
  </si>
  <si>
    <t>323-563-9975</t>
  </si>
  <si>
    <t>817-594-8791</t>
  </si>
  <si>
    <t>1202 N Bowie Dr; Phone: nan please</t>
  </si>
  <si>
    <t>631-234-3131</t>
  </si>
  <si>
    <t>904-251-3111</t>
  </si>
  <si>
    <t>Phone: 0</t>
  </si>
  <si>
    <t>330-923-4853</t>
  </si>
  <si>
    <t>135 East Ascot Lane_</t>
  </si>
  <si>
    <t>719-948-3040</t>
  </si>
  <si>
    <t>937-746-9941</t>
  </si>
  <si>
    <t>675 Oxford Rd, Phone: nan please respond with</t>
  </si>
  <si>
    <t>(870)</t>
  </si>
  <si>
    <t>5661 E State</t>
  </si>
  <si>
    <t>563-557-</t>
  </si>
  <si>
    <t>65 Main Street, Phone: 563-557-</t>
  </si>
  <si>
    <t>704-797-8744</t>
  </si>
  <si>
    <t>6701 Statesville_</t>
  </si>
  <si>
    <t>205-938-2162</t>
  </si>
  <si>
    <t>28715 Highway 5, Phone: nan please respond with</t>
  </si>
  <si>
    <t>706-693-4774</t>
  </si>
  <si>
    <t>Atwood Forest Products info</t>
  </si>
  <si>
    <t>Atwood Mobile Products information</t>
  </si>
  <si>
    <t>3055 Ohio Drive</t>
  </si>
  <si>
    <t>No information available</t>
  </si>
  <si>
    <t>800-732-8134</t>
  </si>
  <si>
    <t>616-534-4941</t>
  </si>
  <si>
    <t>4565 Spartan Industrieal Drive; Phone: nan please</t>
  </si>
  <si>
    <t>2911 Apache Drive; Phone:</t>
  </si>
  <si>
    <t>723 Virginia Street</t>
  </si>
  <si>
    <t>860-236-5991</t>
  </si>
  <si>
    <t>9941 Mammoth</t>
  </si>
  <si>
    <t>(337)</t>
  </si>
  <si>
    <t>104 Row #3,Phone: (337)</t>
  </si>
  <si>
    <t>33.</t>
  </si>
  <si>
    <t>210 Millstone Rd, Phone: 33.</t>
  </si>
  <si>
    <t>818-241-2844</t>
  </si>
  <si>
    <t>651-.</t>
  </si>
  <si>
    <t>2111 NLakeshore Drive, Phone: 651-.</t>
  </si>
  <si>
    <t>3315 3 Mile Road NW;</t>
  </si>
  <si>
    <t>336-936-2500</t>
  </si>
  <si>
    <t>178 AVGOL DRIVE; Phone: nan please respon_</t>
  </si>
  <si>
    <t>nan; Phone: nan please respond with open or closed</t>
  </si>
  <si>
    <t>727-561-4329</t>
  </si>
  <si>
    <t>4701 11Oth AveN, Phone: nan please respond:</t>
  </si>
  <si>
    <t>(573)</t>
  </si>
  <si>
    <t>915-545-4539</t>
  </si>
  <si>
    <t>540-886-8886</t>
  </si>
  <si>
    <t>253 National Avenue Plant #2, Phone: nan</t>
  </si>
  <si>
    <t>302-573-3900</t>
  </si>
  <si>
    <t>803-648-1826</t>
  </si>
  <si>
    <t>158 Old Wagener Rd, Phone: (803) 64_</t>
  </si>
  <si>
    <t>(916) 0</t>
  </si>
  <si>
    <t>800-463-8240</t>
  </si>
  <si>
    <t>1350 North Old Russellville Road, Phone: 205-384-_</t>
  </si>
  <si>
    <t>434-832-3700</t>
  </si>
  <si>
    <t>Mill Ridge Rd,</t>
  </si>
  <si>
    <t>419-433-.</t>
  </si>
  <si>
    <t>35 North Main St, Phone: 419-433-.</t>
  </si>
  <si>
    <t>620-856-2800</t>
  </si>
  <si>
    <t>3400 Bagcraft Blvd, Phone: nan pleas_</t>
  </si>
  <si>
    <t>(270)</t>
  </si>
  <si>
    <t>800 WClay Street, Phone: 229-226-_</t>
  </si>
  <si>
    <t>765-662-1172</t>
  </si>
  <si>
    <t>804-443-5555</t>
  </si>
  <si>
    <t>7342 Richmond Tappahann, Phone: nan please</t>
  </si>
  <si>
    <t>262-253-</t>
  </si>
  <si>
    <t>N117 W18200 Fulton Drive; Phone: 262-253-</t>
  </si>
  <si>
    <t>616-585-8484</t>
  </si>
  <si>
    <t>751 Design Court Suite B, Phone:</t>
  </si>
  <si>
    <t>(706)</t>
  </si>
  <si>
    <t>1310 Monticello Road, Phone: (706)</t>
  </si>
  <si>
    <t>203-744-2211</t>
  </si>
  <si>
    <t>(805) 964.</t>
  </si>
  <si>
    <t>6338 Lindmar Drive; Phone: (805) 964.</t>
  </si>
  <si>
    <t>713) 465-.</t>
  </si>
  <si>
    <t>8552 Katy Freeway; Phone: 713) 465-.</t>
  </si>
  <si>
    <t>440-498-5800</t>
  </si>
  <si>
    <t>5800 HARPER ROAD, Phone: 800-850_</t>
  </si>
  <si>
    <t>704-792-2900</t>
  </si>
  <si>
    <t>662-726-5841</t>
  </si>
  <si>
    <t>800-349-3157</t>
  </si>
  <si>
    <t>1008 Mcclelland Court Atando</t>
  </si>
  <si>
    <t>(800) 92.</t>
  </si>
  <si>
    <t>1308 Miller Road, Phone: (800) 92.</t>
  </si>
  <si>
    <t>801-917-2000</t>
  </si>
  <si>
    <t>870-853-8288</t>
  </si>
  <si>
    <t>700 Mill Road, Phone: nan please respond wit_</t>
  </si>
  <si>
    <t>Contact info with no</t>
  </si>
  <si>
    <t>Something: ( Phone: 24 BYRNES LAKE CY</t>
  </si>
  <si>
    <t>617-787-1555</t>
  </si>
  <si>
    <t>nan, Phone: nan please respond wit_</t>
  </si>
  <si>
    <t>256-815-8600</t>
  </si>
  <si>
    <t>1834 HALEY DRIVE,_</t>
  </si>
  <si>
    <t>5211 Northrup Avenue; Phone: (800)</t>
  </si>
  <si>
    <t>3701 Government Blvd, Phone:</t>
  </si>
  <si>
    <t>508-758-9221</t>
  </si>
  <si>
    <t>218-463-5080</t>
  </si>
  <si>
    <t>34621 State Hwy 11, Phone: nan please respond</t>
  </si>
  <si>
    <t>816-471-0666</t>
  </si>
  <si>
    <t>1905 Walnut, Phone</t>
  </si>
  <si>
    <t>417-714-7021</t>
  </si>
  <si>
    <t>2335 E Chestnut Expressway Unit A112,</t>
  </si>
  <si>
    <t>715-344-.</t>
  </si>
  <si>
    <t>2916 Borham Ave; Phone: 715-344-.</t>
  </si>
  <si>
    <t>1826 BLACKHAWK ST, Phone: 319-234-6845 plea_</t>
  </si>
  <si>
    <t>336-992-1873</t>
  </si>
  <si>
    <t>1570 Brookford Industrial Drive Unit B.</t>
  </si>
  <si>
    <t>352-732-216.</t>
  </si>
  <si>
    <t>3541 SW Zth St, Phone: 352-732-216.</t>
  </si>
  <si>
    <t>PO Box 4325,Phone: 478-746-7623</t>
  </si>
  <si>
    <t>570-384-7333</t>
  </si>
  <si>
    <t>256-</t>
  </si>
  <si>
    <t>1926 Central Parkway</t>
  </si>
  <si>
    <t>2601 PARKES DRIVE, Phone:</t>
  </si>
  <si>
    <t>3045 GECHESTNUT</t>
  </si>
  <si>
    <t>256-350-4140</t>
  </si>
  <si>
    <t>1317 Commerce Drive NW, Phone:</t>
  </si>
  <si>
    <t>318-424-1447</t>
  </si>
  <si>
    <t>702 Sth Avenue North; Phon_</t>
  </si>
  <si>
    <t>208-522-0266</t>
  </si>
  <si>
    <t>912-375-5174</t>
  </si>
  <si>
    <t>712 Uvalda Highway; Phone: nan</t>
  </si>
  <si>
    <t>262-656-7680</t>
  </si>
  <si>
    <t>Contact information found</t>
  </si>
  <si>
    <t>248-478-6336</t>
  </si>
  <si>
    <t>nan, Phone: (419) 861-3306 please respond</t>
  </si>
  <si>
    <t>259 E Broad St, Phone: (706) 552-3334 please</t>
  </si>
  <si>
    <t>920-822-5661</t>
  </si>
  <si>
    <t>920-467-4621</t>
  </si>
  <si>
    <t>Mill St, Phone: nan please respond_</t>
  </si>
  <si>
    <t>519-623-2001</t>
  </si>
  <si>
    <t>260-356-9720</t>
  </si>
  <si>
    <t>1850 Riverfork Dr PO, Phone: nan</t>
  </si>
  <si>
    <t>231-734-5733</t>
  </si>
  <si>
    <t>10314 Brecksville Rd, Phone: (800)</t>
  </si>
  <si>
    <t>Fluid power supply company</t>
  </si>
  <si>
    <t>8783 WHackamore Dr</t>
  </si>
  <si>
    <t>541-342-1804</t>
  </si>
  <si>
    <t>4686 Isabelle St_</t>
  </si>
  <si>
    <t>281-820-0077</t>
  </si>
  <si>
    <t>3723 Grant Creek Road,</t>
  </si>
  <si>
    <t>7505 Ne Ambassador Place</t>
  </si>
  <si>
    <t>(850) 769-2273</t>
  </si>
  <si>
    <t>5315 W 19th Street, Phone: nan pleas.</t>
  </si>
  <si>
    <t>(413) 344-3113</t>
  </si>
  <si>
    <t>(918) 294-3960</t>
  </si>
  <si>
    <t>605 Timber Drive, Phone:</t>
  </si>
  <si>
    <t>(906) 667-0277</t>
  </si>
  <si>
    <t>801 Johnson Street; Phone: (989) 354-4508</t>
  </si>
  <si>
    <t>(210) 333-1111</t>
  </si>
  <si>
    <t>13521 Quality Dr; Phone: nan please</t>
  </si>
  <si>
    <t>(303) 791-3334</t>
  </si>
  <si>
    <t>(205) 932-3202</t>
  </si>
  <si>
    <t>931 2nd Avenue SE, Phone: nan pleas _</t>
  </si>
  <si>
    <t>(219) 787-2120</t>
  </si>
  <si>
    <t>704</t>
  </si>
  <si>
    <t>(931) 454-3065</t>
  </si>
  <si>
    <t>1476 N. Hap Arnold Drive; Phone:</t>
  </si>
  <si>
    <t>(251) 952-3000</t>
  </si>
  <si>
    <t>1300 W Fern Ave; Phone:</t>
  </si>
  <si>
    <t>2807 S MLK JrBlvd, Phone: nan pleas:</t>
  </si>
  <si>
    <t>(814) 944-5002</t>
  </si>
  <si>
    <t>1643 Highway 80, Phone: (318) 639-6530</t>
  </si>
  <si>
    <t>2200 Brickyard Road, Phone: nan</t>
  </si>
  <si>
    <t>(870) 819-3031</t>
  </si>
  <si>
    <t>2027 E State Hwy 198, Phone: nan please</t>
  </si>
  <si>
    <t>(303) 288-2675</t>
  </si>
  <si>
    <t>7300 Brighton Blvd, Phone: nan please respon_</t>
  </si>
  <si>
    <t>(574) 267-6131</t>
  </si>
  <si>
    <t>(205) 925-0429</t>
  </si>
  <si>
    <t>1513 Industrial Blvd, Phone: nan</t>
  </si>
  <si>
    <t>(205) 424-7245</t>
  </si>
  <si>
    <t>2505 Alexandria Road, Phone: 256-236-9824</t>
  </si>
  <si>
    <t>256-235-270.</t>
  </si>
  <si>
    <t>2000 COBB AVE, Phone: 256-235-270.</t>
  </si>
  <si>
    <t>(763) 389-0709</t>
  </si>
  <si>
    <t>12536 319th AveNW; Phone: nan</t>
  </si>
  <si>
    <t>3280 County Road 437,</t>
  </si>
  <si>
    <t>(541) 276-4304</t>
  </si>
  <si>
    <t>400 North Weaber Street,</t>
  </si>
  <si>
    <t>(412) 481-3000</t>
  </si>
  <si>
    <t>1242 Comstock Street Suite A, Phone: 616-677-3475_</t>
  </si>
  <si>
    <t>(660) 338-2242</t>
  </si>
  <si>
    <t>400 Industrial Drive; Phone: nan pleas:</t>
  </si>
  <si>
    <t>918-423-0880</t>
  </si>
  <si>
    <t>636-225-5011</t>
  </si>
  <si>
    <t>3500 TREECOURT Ind Blvd, Phone: nan pleas_</t>
  </si>
  <si>
    <t>337-462-4300</t>
  </si>
  <si>
    <t>4200 Highway 190 West; Phone: nan</t>
  </si>
  <si>
    <t>318-586-8200</t>
  </si>
  <si>
    <t>Highway 171, Phone: nan please</t>
  </si>
  <si>
    <t>8007 FL GA HWY, Phone: nan please</t>
  </si>
  <si>
    <t>251-246-4461</t>
  </si>
  <si>
    <t>4585 INDUSTRIAL RD, Phone: nan</t>
  </si>
  <si>
    <t>318-793-3300</t>
  </si>
  <si>
    <t>318-335-1500</t>
  </si>
  <si>
    <t>140 Van Ply Rd, Phone: nan please</t>
  </si>
  <si>
    <t>(205) 698-1231</t>
  </si>
  <si>
    <t>7711</t>
  </si>
  <si>
    <t>(219)</t>
  </si>
  <si>
    <t>1955 North Oak Road, Phone: (219)</t>
  </si>
  <si>
    <t>264 Leonard StNW, Phone: 616-776-0008</t>
  </si>
  <si>
    <t>(616</t>
  </si>
  <si>
    <t>5506 36Th Street; SE, Phone: (616</t>
  </si>
  <si>
    <t>(269) 983-2501</t>
  </si>
  <si>
    <t>1656 Hilltop Road, Phone: (616) 983-_</t>
  </si>
  <si>
    <t>(616)</t>
  </si>
  <si>
    <t>1420 SAirport West; Phone: (616)</t>
  </si>
  <si>
    <t>(814) 542-2545</t>
  </si>
  <si>
    <t>336-375-0234</t>
  </si>
  <si>
    <t>6107 Corporate Park Dr; Phone: nan</t>
  </si>
  <si>
    <t>(405) 483-5261</t>
  </si>
  <si>
    <t>3895 SChoctaw Ave; Phone: nan please respond wit_</t>
  </si>
  <si>
    <t>(404) 792-1500</t>
  </si>
  <si>
    <t>(318) 635-5344</t>
  </si>
  <si>
    <t>1401 Finley Island Road, Phone: (256) 353-1151</t>
  </si>
  <si>
    <t>(405) 381-4427</t>
  </si>
  <si>
    <t>491 CS 2880, Phone: nan please</t>
  </si>
  <si>
    <t>(818) 686-0390</t>
  </si>
  <si>
    <t>(615) 441-4300</t>
  </si>
  <si>
    <t>140 Reliance Road, Phone: nan pleas_</t>
  </si>
  <si>
    <t>(615) 793-7581</t>
  </si>
  <si>
    <t>(615.</t>
  </si>
  <si>
    <t>50 Century Blvd, Phone: (615.</t>
  </si>
  <si>
    <t>(770) 787-7400</t>
  </si>
  <si>
    <t>15410 US Hwy 231, Phone:</t>
  </si>
  <si>
    <t>Highway 501, Phone: (336) 599-3141</t>
  </si>
  <si>
    <t>(814) 849-7331</t>
  </si>
  <si>
    <t>(98.</t>
  </si>
  <si>
    <t>330 North Ross Street, Phone: (98.</t>
  </si>
  <si>
    <t>(207.</t>
  </si>
  <si>
    <t>1000 Brunswick Avenue; Phone: (207.</t>
  </si>
  <si>
    <t>313 Akron Street; Phone:</t>
  </si>
  <si>
    <t>(419) 862-2745</t>
  </si>
  <si>
    <t>(501) 278-8700</t>
  </si>
  <si>
    <t>450 Benton St; Phone: nan please respond with open</t>
  </si>
  <si>
    <t>(740) 623-0455</t>
  </si>
  <si>
    <t>(620) 326-3152</t>
  </si>
  <si>
    <t>20 Industrial Avenue; Phone: 6203263152 please</t>
  </si>
  <si>
    <t>(205) 373-8710</t>
  </si>
  <si>
    <t>501 Baptist Line Rd, Phone: nan</t>
  </si>
  <si>
    <t>(417) 869-8878</t>
  </si>
  <si>
    <t>2727 North Partnership Blvd, Phone: nan please</t>
  </si>
  <si>
    <t>(630) 377-1051</t>
  </si>
  <si>
    <t>(253) 284-8000</t>
  </si>
  <si>
    <t>(662) 328-5679</t>
  </si>
  <si>
    <t>154 Cooper Road, Phone: 662-549-4811 pleas</t>
  </si>
  <si>
    <t>(402) 372-2346</t>
  </si>
  <si>
    <t>(806) 863-2669</t>
  </si>
  <si>
    <t>550 South Ellsworth Ave; Phone: 330-332-9913 plea_</t>
  </si>
  <si>
    <t>(219) 297-4531</t>
  </si>
  <si>
    <t>(636) 931-0900</t>
  </si>
  <si>
    <t>1000 River Cement Rd, Phone: nan please respon_</t>
  </si>
  <si>
    <t>(812) 842-5960</t>
  </si>
  <si>
    <t>7414 ENTERPRISE PARK CIR, Phone:</t>
  </si>
  <si>
    <t>251-44.</t>
  </si>
  <si>
    <t>6151 Rangeline Road, Phone: 251-44.</t>
  </si>
  <si>
    <t>No status available</t>
  </si>
  <si>
    <t>62 Wilson Road, Phone: (256) 773-_</t>
  </si>
  <si>
    <t>703 Geneva Avenue; Phone: 256-383-0653 please</t>
  </si>
  <si>
    <t>(517) 374-8055</t>
  </si>
  <si>
    <t>1305 SCedar Street, Phone: 517-374-8055 please</t>
  </si>
  <si>
    <t>(704) 784-2100</t>
  </si>
  <si>
    <t>2845 ARMENTROUT DR, Phone: 704 _</t>
  </si>
  <si>
    <t>(337) 363-2141</t>
  </si>
  <si>
    <t>2066 Cabot Road, Phone: nan please</t>
  </si>
  <si>
    <t>nan, Phone: (250) 833-3012 please respond</t>
  </si>
  <si>
    <t>14500 Lochridge Boulevard, Phone:</t>
  </si>
  <si>
    <t>(334) 875-9101</t>
  </si>
  <si>
    <t>(714) 554-9080</t>
  </si>
  <si>
    <t>(708) 479-2732</t>
  </si>
  <si>
    <t>1113 Vocational Dr; Phone:</t>
  </si>
  <si>
    <t>(604) 661-5241</t>
  </si>
  <si>
    <t>140 Ellis Road South; Phone: 904-781 _</t>
  </si>
  <si>
    <t>Highway 268 East, Phone:</t>
  </si>
  <si>
    <t>4408 MtHerman-Rock Creek Road,</t>
  </si>
  <si>
    <t>Rr 5, Phone: (573) 729-3310 please</t>
  </si>
  <si>
    <t>(830) 625-3405</t>
  </si>
  <si>
    <t>(91.</t>
  </si>
  <si>
    <t>6301 Hillsborough Street; Phone: (91.</t>
  </si>
  <si>
    <t>1105 Capital Circle Northwest; Phone:</t>
  </si>
  <si>
    <t>(512) 385-9500</t>
  </si>
  <si>
    <t>(334) 277-5644</t>
  </si>
  <si>
    <t>2555 Container Drive; Phone: nan please</t>
  </si>
  <si>
    <t>(724) 864-5900</t>
  </si>
  <si>
    <t>(334) 687-7005</t>
  </si>
  <si>
    <t>36 Arch Drive; Phone: nan please respond wit _</t>
  </si>
  <si>
    <t>967 Washington</t>
  </si>
  <si>
    <t>(608) 372-3300</t>
  </si>
  <si>
    <t>(320) 321-5650</t>
  </si>
  <si>
    <t>(616) 374-4545</t>
  </si>
  <si>
    <t>3100 Bonanza Road, Phone: nan please</t>
  </si>
  <si>
    <t>(985) 536-1500</t>
  </si>
  <si>
    <t>3501 E Vernon Ave; Phone: 909-518-1808</t>
  </si>
  <si>
    <t>(504) 436-5800</t>
  </si>
  <si>
    <t>933 River Rd, Phone: nan please respond with_</t>
  </si>
  <si>
    <t>490 Road 9, Phone: nan please</t>
  </si>
  <si>
    <t>(207) 498-2508</t>
  </si>
  <si>
    <t>(260) 925-5656</t>
  </si>
  <si>
    <t>1900 Center St , Phone: nan pleas_</t>
  </si>
  <si>
    <t>(865) 220-6900</t>
  </si>
  <si>
    <t>(318) 861-0539</t>
  </si>
  <si>
    <t>(659) 900-8742</t>
  </si>
  <si>
    <t>665 Hwy 31 S, Phone: nan please</t>
  </si>
  <si>
    <t>9309 Stockport Place,</t>
  </si>
  <si>
    <t>2770 Zion Church Road,</t>
  </si>
  <si>
    <t>(803) 77 .</t>
  </si>
  <si>
    <t>300 Huger Street; Phone: (803) 77 .</t>
  </si>
  <si>
    <t>(336) 498-2654</t>
  </si>
  <si>
    <t>5280 Woodsdale Road,</t>
  </si>
  <si>
    <t>(304) 464-4441</t>
  </si>
  <si>
    <t>(903) 693-9300</t>
  </si>
  <si>
    <t>1314 Hills Lake Rd, Phone: nan pleas_</t>
  </si>
  <si>
    <t>(336) 882-0186</t>
  </si>
  <si>
    <t>1800 Albertson Road, Phone: nan</t>
  </si>
  <si>
    <t>(360) 423-1082</t>
  </si>
  <si>
    <t>nan; Phone: 360-423-1082 please respond with</t>
  </si>
  <si>
    <t>360-.</t>
  </si>
  <si>
    <t>1020 Industrial Way, Phone: 360-.</t>
  </si>
  <si>
    <t>503-472-41 .</t>
  </si>
  <si>
    <t>(910) 895-4033</t>
  </si>
  <si>
    <t>805 Midway Road, Phone: nan please.</t>
  </si>
  <si>
    <t>18676 NoJefferson St, Phone: 256-233-1500 plea_</t>
  </si>
  <si>
    <t>Column11</t>
  </si>
  <si>
    <t>empty</t>
  </si>
  <si>
    <t>(920) 923-3444</t>
  </si>
  <si>
    <t>385 N Pioneer Rd, Phone: 920-923-_</t>
  </si>
  <si>
    <t>nan, Phone: nan please respond with.</t>
  </si>
  <si>
    <t>Caterpillar- Pontiac</t>
  </si>
  <si>
    <t>815-842-6000</t>
  </si>
  <si>
    <t>309-675-2337</t>
  </si>
  <si>
    <t>245 East; Phone: nan please respon.</t>
  </si>
  <si>
    <t>PO Box 7496</t>
  </si>
  <si>
    <t>(406) 728-786.</t>
  </si>
  <si>
    <t>PO Box 7496_</t>
  </si>
  <si>
    <t>Catey Controls- Billings</t>
  </si>
  <si>
    <t>535 Moore Lane, Phone: (406) 259-_</t>
  </si>
  <si>
    <t>Catey Controls- Salt Lake City</t>
  </si>
  <si>
    <t>80 West Truman Avenue_</t>
  </si>
  <si>
    <t>nan, Phone: nan please respond with open 0_</t>
  </si>
  <si>
    <t>nan_</t>
  </si>
  <si>
    <t>832-513-4000</t>
  </si>
  <si>
    <t>CBC Hedging</t>
  </si>
  <si>
    <t>7000 N Valley Drive</t>
  </si>
  <si>
    <t>Las Cruces, NM 88007</t>
  </si>
  <si>
    <t>575-644-7651</t>
  </si>
  <si>
    <t>7000 N Valley Drive, Phone: nan please respond</t>
  </si>
  <si>
    <t>CBC INGS AMERICA</t>
  </si>
  <si>
    <t>3137 East 6th Street</t>
  </si>
  <si>
    <t>Muscle Shoals, AL 35660</t>
  </si>
  <si>
    <t>256-383-7600</t>
  </si>
  <si>
    <t>256-38.</t>
  </si>
  <si>
    <t>3137 East 6th Street, Phone: 256-38.</t>
  </si>
  <si>
    <t>CBPO- Highland</t>
  </si>
  <si>
    <t>877-227-5511</t>
  </si>
  <si>
    <t>(517) 649-0157</t>
  </si>
  <si>
    <t>nan;</t>
  </si>
  <si>
    <t>Celotexoration - Marrero</t>
  </si>
  <si>
    <t>CEMEX USA - Knoxville</t>
  </si>
  <si>
    <t>6212 Cement Plant Rd</t>
  </si>
  <si>
    <t>Knoxville, TN  37924-2721</t>
  </si>
  <si>
    <t>865-541-5500</t>
  </si>
  <si>
    <t>6212 Cement Plant Rd, Phone_</t>
  </si>
  <si>
    <t>(989) 752-6167</t>
  </si>
  <si>
    <t>(256) 215-8004</t>
  </si>
  <si>
    <t>Central Alabama Wood Products - Pole Plant</t>
  </si>
  <si>
    <t>495 Woodlands Drive</t>
  </si>
  <si>
    <t>Goodwater Alabama 35072</t>
  </si>
  <si>
    <t>Pole Plant</t>
  </si>
  <si>
    <t>256-839-1616</t>
  </si>
  <si>
    <t>495 Woodland_</t>
  </si>
  <si>
    <t>23636 N 7th St</t>
  </si>
  <si>
    <t>623-869-2333</t>
  </si>
  <si>
    <t>23636 N 7th St, Phone: nan please</t>
  </si>
  <si>
    <t>Contact information not provided</t>
  </si>
  <si>
    <t>Central Hyd - Daytona Beach</t>
  </si>
  <si>
    <t>1580 North Nova Road, Phone:</t>
  </si>
  <si>
    <t>Central Hyd - Leesburg</t>
  </si>
  <si>
    <t>Central Hyd - StCloud</t>
  </si>
  <si>
    <t>StCloud,MN 56303</t>
  </si>
  <si>
    <t>320-255-1628</t>
  </si>
  <si>
    <t>1841 Avenue H, Phone:</t>
  </si>
  <si>
    <t>405-273-6302</t>
  </si>
  <si>
    <t>5155</t>
  </si>
  <si>
    <t>(815) 544-2191</t>
  </si>
  <si>
    <t>Centric Pipe</t>
  </si>
  <si>
    <t>430 Hamilton Road</t>
  </si>
  <si>
    <t>Bossier City, LA  71111</t>
  </si>
  <si>
    <t>318-741-9936</t>
  </si>
  <si>
    <t>(918) 835-7323</t>
  </si>
  <si>
    <t>Centro - Memphis</t>
  </si>
  <si>
    <t>3315 Overton Crossing</t>
  </si>
  <si>
    <t>Memphis, TN 38127</t>
  </si>
  <si>
    <t>615-256-1888</t>
  </si>
  <si>
    <t>Dennis Rich</t>
  </si>
  <si>
    <t>615-256-188.</t>
  </si>
  <si>
    <t>3315 Overton Crossing, Phone: 615-256-188.</t>
  </si>
  <si>
    <t>(815) 885-1300</t>
  </si>
  <si>
    <t>Route 2 So, Phone</t>
  </si>
  <si>
    <t>(626) 965-5579</t>
  </si>
  <si>
    <t>Certainteed Gypsum Operating Company</t>
  </si>
  <si>
    <t>5145 Mary Ingles Highway</t>
  </si>
  <si>
    <t>Silver Grove, KY  41085</t>
  </si>
  <si>
    <t>(859) 442-3382</t>
  </si>
  <si>
    <t>5145</t>
  </si>
  <si>
    <t>(336) 696-2007</t>
  </si>
  <si>
    <t>(713) 694-1991</t>
  </si>
  <si>
    <t>(800.</t>
  </si>
  <si>
    <t>(952) 894-5700</t>
  </si>
  <si>
    <t>Certified Power,Inc-Fluid Systems</t>
  </si>
  <si>
    <t>888-905-7411</t>
  </si>
  <si>
    <t>2004 Paysphere Circle,</t>
  </si>
  <si>
    <t>(506)</t>
  </si>
  <si>
    <t>Gifford Road, Phone: (506)</t>
  </si>
  <si>
    <t>CFSaver</t>
  </si>
  <si>
    <t>728 Main Street;</t>
  </si>
  <si>
    <t>CGBretting Mfg - Ashland</t>
  </si>
  <si>
    <t>(715) 682-5231</t>
  </si>
  <si>
    <t>3401 East Main Street, Phone</t>
  </si>
  <si>
    <t>(816) 765-4101</t>
  </si>
  <si>
    <t>Challenger Hyd- Chattanooga</t>
  </si>
  <si>
    <t>2003 Watauga St</t>
  </si>
  <si>
    <t>Contact information provided</t>
  </si>
  <si>
    <t>(none)</t>
  </si>
  <si>
    <t>Chand- Mathews</t>
  </si>
  <si>
    <t>(985) 532-2512</t>
  </si>
  <si>
    <t>nan, Phone: nan please respond with open 0._</t>
  </si>
  <si>
    <t>757-654-9330</t>
  </si>
  <si>
    <t>PO Box 10491</t>
  </si>
  <si>
    <t>PO Box 10491, Phone: (800.</t>
  </si>
  <si>
    <t>Charles Ingram Lumber</t>
  </si>
  <si>
    <t>4930 Planer Rd</t>
  </si>
  <si>
    <t>4930 Planer Rd_</t>
  </si>
  <si>
    <t>Charlotte Pipe Foundry Inc</t>
  </si>
  <si>
    <t>4149 County Road 124A</t>
  </si>
  <si>
    <t>Wildwood, FL  24785-7651</t>
  </si>
  <si>
    <t>(352) 748-8100</t>
  </si>
  <si>
    <t>4149 County Road 124A, Phone:</t>
  </si>
  <si>
    <t>(281) 590-8585</t>
  </si>
  <si>
    <t>18911 East Industrial Pkwy,</t>
  </si>
  <si>
    <t>408-383-1888</t>
  </si>
  <si>
    <t>217-446-0742</t>
  </si>
  <si>
    <t>1009 Lynch Road, Phone: nan please respond with</t>
  </si>
  <si>
    <t>610-258-5000</t>
  </si>
  <si>
    <t>Chep USA</t>
  </si>
  <si>
    <t>1540 Amherst Rd</t>
  </si>
  <si>
    <t>Knoxville, TN  37909-1342</t>
  </si>
  <si>
    <t>800-243-7255</t>
  </si>
  <si>
    <t>1540 Amherst Rd, Phone: nan please respond with</t>
  </si>
  <si>
    <t>410-742-4900</t>
  </si>
  <si>
    <t>1445 Lancaster Hwy</t>
  </si>
  <si>
    <t>803-581-7164</t>
  </si>
  <si>
    <t>1445 Lancaster</t>
  </si>
  <si>
    <t>409-886-7491</t>
  </si>
  <si>
    <t>Chevron Phillips Chemical</t>
  </si>
  <si>
    <t>1400 Jefferson Road</t>
  </si>
  <si>
    <t>Pasadena, TX 77501</t>
  </si>
  <si>
    <t>713-475-3621</t>
  </si>
  <si>
    <t>1400 Jefferson Road, Phone: nan</t>
  </si>
  <si>
    <t>Chips - Troy</t>
  </si>
  <si>
    <t>434-589-2424</t>
  </si>
  <si>
    <t>Chomarat-Tech</t>
  </si>
  <si>
    <t>2901 New Pond Rd.</t>
  </si>
  <si>
    <t>Anderson, SC 29624-3194</t>
  </si>
  <si>
    <t>864-328-1700</t>
  </si>
  <si>
    <t>2901 New Pond Rd , Phone: nan please</t>
  </si>
  <si>
    <t>256-260.</t>
  </si>
  <si>
    <t>360-831-9800</t>
  </si>
  <si>
    <t>406-961-4043</t>
  </si>
  <si>
    <t>1607 Anaconda Road, Phone: nan</t>
  </si>
  <si>
    <t>Cincinnati- Harrison</t>
  </si>
  <si>
    <t>513-367-7100</t>
  </si>
  <si>
    <t>513-874-9911</t>
  </si>
  <si>
    <t>9431 Sutton Place; Phone: 513-87_</t>
  </si>
  <si>
    <t>Rt 45 South, Phone: nan please respond with</t>
  </si>
  <si>
    <t>Citgo Petroleum- Lake Charles</t>
  </si>
  <si>
    <t>336-708-6011</t>
  </si>
  <si>
    <t>City of Natchitoches</t>
  </si>
  <si>
    <t>1400 Sabine St</t>
  </si>
  <si>
    <t>Natchitoches, LA  71457-3840</t>
  </si>
  <si>
    <t>318-357-3871</t>
  </si>
  <si>
    <t>1400 Sabine St, Phone: nan please</t>
  </si>
  <si>
    <t>City of Tallahassee TPS</t>
  </si>
  <si>
    <t>4505 B Springhill Rd</t>
  </si>
  <si>
    <t>Tallahassee, FL  32305</t>
  </si>
  <si>
    <t>850-891-1009</t>
  </si>
  <si>
    <t>4505 B Springhill Rd, Phone: nan</t>
  </si>
  <si>
    <t>262-250-4400</t>
  </si>
  <si>
    <t>N118 W18251 Bunsen Drive; Phon_</t>
  </si>
  <si>
    <t>Clack Corp - Distribtion Warehouse</t>
  </si>
  <si>
    <t>4472 Duraform Lane</t>
  </si>
  <si>
    <t>Windsor, WI 53598</t>
  </si>
  <si>
    <t>608-846-3010</t>
  </si>
  <si>
    <t>4472 Duraform Lane, Phone:</t>
  </si>
  <si>
    <t>409-985-1000</t>
  </si>
  <si>
    <t>PO Box</t>
  </si>
  <si>
    <t>660 Conger Street</t>
  </si>
  <si>
    <t>541-343-3395</t>
  </si>
  <si>
    <t>660 Conger Street; Phone: 541-34_</t>
  </si>
  <si>
    <t>918-824-4484</t>
  </si>
  <si>
    <t>4996 S S0th St</t>
  </si>
  <si>
    <t>732-549-1234</t>
  </si>
  <si>
    <t>Clayton HLandisInc</t>
  </si>
  <si>
    <t>215-.</t>
  </si>
  <si>
    <t>476 Meetinghouse Road, Phone: 215-.</t>
  </si>
  <si>
    <t>9446 North 107th Street; Phone: nan please</t>
  </si>
  <si>
    <t>Hwy3248, 963 Power Plant Rd</t>
  </si>
  <si>
    <t>318-484-7400</t>
  </si>
  <si>
    <t>Hwy3248, 963 Power Plant Rd,</t>
  </si>
  <si>
    <t>612-786-6024</t>
  </si>
  <si>
    <t>269-344-3878</t>
  </si>
  <si>
    <t>7025 East K Avenue; Phone: nan please respond</t>
  </si>
  <si>
    <t>Rochester; MN 55902</t>
  </si>
  <si>
    <t>CMC Steel Arkansas</t>
  </si>
  <si>
    <t>100 Columbia  7-B</t>
  </si>
  <si>
    <t>Magnolia, AR  71753-9238</t>
  </si>
  <si>
    <t>870-234-8703</t>
  </si>
  <si>
    <t>100 Columbia 7-B, Phone: nan please:</t>
  </si>
  <si>
    <t>CMC Steel Florida</t>
  </si>
  <si>
    <t>16770 Rebar Road</t>
  </si>
  <si>
    <t>Jacksonville, FL 32234</t>
  </si>
  <si>
    <t>904-266-4261</t>
  </si>
  <si>
    <t>16770 Rebar Road, Phone: nan please respon:</t>
  </si>
  <si>
    <t>2901East Pershing Street; Phone: 920-730-6888</t>
  </si>
  <si>
    <t>715-986-4407</t>
  </si>
  <si>
    <t>316-941-2296</t>
  </si>
  <si>
    <t>3301 South Hoover Road, Phone: nan please</t>
  </si>
  <si>
    <t>Coast Chips, Inc.</t>
  </si>
  <si>
    <t>95 Gum Street</t>
  </si>
  <si>
    <t>Fernandina Beach, FL  32034</t>
  </si>
  <si>
    <t>870-367-9751</t>
  </si>
  <si>
    <t>95 Gum Street; Phone: nan please respond wi__</t>
  </si>
  <si>
    <t>Coastal Hyd - Charleston</t>
  </si>
  <si>
    <t>(843.</t>
  </si>
  <si>
    <t>2251 Technical Parkway, Phone: (843.</t>
  </si>
  <si>
    <t>Coastal Hyd - Deer Park, TX</t>
  </si>
  <si>
    <t>281-478-0989</t>
  </si>
  <si>
    <t>114 Palm Terrace; Phone: nan</t>
  </si>
  <si>
    <t>Coastal Lumber - Frametown</t>
  </si>
  <si>
    <t>304-364-5851</t>
  </si>
  <si>
    <t>850-539-</t>
  </si>
  <si>
    <t>Highway 27 North, Phone: 850-539-</t>
  </si>
  <si>
    <t>207-775-1100</t>
  </si>
  <si>
    <t>8007</t>
  </si>
  <si>
    <t>913-492-8100</t>
  </si>
  <si>
    <t>Coe MFG - Painesville</t>
  </si>
  <si>
    <t>609 Bank Street</t>
  </si>
  <si>
    <t>(440) 352-.</t>
  </si>
  <si>
    <t>609 Bank Street; Phone: (440) 352-.</t>
  </si>
  <si>
    <t>Coe MFG - Portland</t>
  </si>
  <si>
    <t>503-639-3121</t>
  </si>
  <si>
    <t>7930 SW Hunziker Road</t>
  </si>
  <si>
    <t>Coe MFG - Stone Mountain</t>
  </si>
  <si>
    <t>770-938-0192</t>
  </si>
  <si>
    <t>1625 Rock Mountain Boulevard,</t>
  </si>
  <si>
    <t>602-872-7361</t>
  </si>
  <si>
    <t>Coilplus Alabama</t>
  </si>
  <si>
    <t>107 Durham Dr</t>
  </si>
  <si>
    <t>256-233-3550</t>
  </si>
  <si>
    <t>107 Durham Dr; Phone: nan please respond</t>
  </si>
  <si>
    <t>501-982-9463</t>
  </si>
  <si>
    <t>1920 n Redmond, Phone: nan please respond</t>
  </si>
  <si>
    <t>541-884-2241</t>
  </si>
  <si>
    <t>Colonial Engineering</t>
  </si>
  <si>
    <t>6400orate Ave</t>
  </si>
  <si>
    <t>269-323-2495</t>
  </si>
  <si>
    <t>6400orate Ave; Phone: nan please</t>
  </si>
  <si>
    <t>Coloplast- Marietta</t>
  </si>
  <si>
    <t>678-838-5600</t>
  </si>
  <si>
    <t>Colstrip Warehouse Montana (DIP)</t>
  </si>
  <si>
    <t>580 Willow Ave</t>
  </si>
  <si>
    <t>Colstrip, MT  59323-9515</t>
  </si>
  <si>
    <t>406-748-5382</t>
  </si>
  <si>
    <t>580 Willow Ave; Phone: nan</t>
  </si>
  <si>
    <t>601-736-3791</t>
  </si>
  <si>
    <t>Columbia-Wv- Craigsville</t>
  </si>
  <si>
    <t>304-742-5317</t>
  </si>
  <si>
    <t>716-689-5400</t>
  </si>
  <si>
    <t>253-383-8858</t>
  </si>
  <si>
    <t>Commercial Forged Products</t>
  </si>
  <si>
    <t>5757 W 65th St</t>
  </si>
  <si>
    <t>Bedford Park, IL  60638-5503</t>
  </si>
  <si>
    <t>708-458-1220</t>
  </si>
  <si>
    <t>5757 W 65th St; Phone: nan pleas_</t>
  </si>
  <si>
    <t>2143 Technology</t>
  </si>
  <si>
    <t>Commercial Metals - Beaumont</t>
  </si>
  <si>
    <t>409-842-3316</t>
  </si>
  <si>
    <t>Commercial Metals - Jacksonville</t>
  </si>
  <si>
    <t>16770 Rebar Rd</t>
  </si>
  <si>
    <t>Jacksonville, FL  32234-4100</t>
  </si>
  <si>
    <t>16770 Rebar Rd, Phone: nan</t>
  </si>
  <si>
    <t>911 N Poinsettia Street, Phone: 714-541-2244 pleas</t>
  </si>
  <si>
    <t>COMOSO - Bakersfield</t>
  </si>
  <si>
    <t>3946 East Brunsdage Lane; Phone:</t>
  </si>
  <si>
    <t>COMOSO - NHollywood</t>
  </si>
  <si>
    <t>1022 WBurbank Blvd</t>
  </si>
  <si>
    <t>1022 WBurbank Blvd, Phone: 818-238_</t>
  </si>
  <si>
    <t>COMOSO - Phoenix</t>
  </si>
  <si>
    <t>602-437-8799</t>
  </si>
  <si>
    <t>1824 W Broadway, Phone: 480-460-_</t>
  </si>
  <si>
    <t>COMOSO - Santa Ana</t>
  </si>
  <si>
    <t>911 NPoinsettia St</t>
  </si>
  <si>
    <t>714-541-</t>
  </si>
  <si>
    <t>911 NPoinsettia St, Phone: 714-541-</t>
  </si>
  <si>
    <t>260-927-0327</t>
  </si>
  <si>
    <t>260-489-6033</t>
  </si>
  <si>
    <t>6419 Discount Drive; Phone: nan</t>
  </si>
  <si>
    <t>Complete Hyd - Plymouth</t>
  </si>
  <si>
    <t>207-257-2619</t>
  </si>
  <si>
    <t>Complete Hydraulic Component Service</t>
  </si>
  <si>
    <t>10955 Industrial Pkwy</t>
  </si>
  <si>
    <t>Bolivar, OH  44612</t>
  </si>
  <si>
    <t>330-874-1003</t>
  </si>
  <si>
    <t>10955 Industrial</t>
  </si>
  <si>
    <t>205-681-3971</t>
  </si>
  <si>
    <t>281-648-3557</t>
  </si>
  <si>
    <t>Conagra - Commerce City</t>
  </si>
  <si>
    <t>4600 E 64th AVE; Phone: nan please</t>
  </si>
  <si>
    <t>Conagra - Decatur</t>
  </si>
  <si>
    <t>1050 Market StNE</t>
  </si>
  <si>
    <t>256-552-4733</t>
  </si>
  <si>
    <t>1050 Market StNE, Phone: 552-4733 please</t>
  </si>
  <si>
    <t>2050 Market StSE</t>
  </si>
  <si>
    <t>256-552-4703</t>
  </si>
  <si>
    <t>2050 Market StSE; Phone: 552-4703 please</t>
  </si>
  <si>
    <t>Conagra - Fayetteville</t>
  </si>
  <si>
    <t>1100 West 15th Street</t>
  </si>
  <si>
    <t>Fayetteville, AR  72701</t>
  </si>
  <si>
    <t>(479) 443-3451</t>
  </si>
  <si>
    <t>1100 West 1Sth Street, Phone: nan</t>
  </si>
  <si>
    <t>Conagra - Garner</t>
  </si>
  <si>
    <t>4851 Jones Sausage Rd</t>
  </si>
  <si>
    <t>Customer of Motion- Raleigh NC17</t>
  </si>
  <si>
    <t>(919) 772-1511</t>
  </si>
  <si>
    <t>4851 Jones Sausage Rd, Phone: nan please</t>
  </si>
  <si>
    <t>Conagra - Trenton</t>
  </si>
  <si>
    <t>(660) 359-3913</t>
  </si>
  <si>
    <t>1401 Harris Avenue; Phone: nan please</t>
  </si>
  <si>
    <t>Conagra - Vickburg</t>
  </si>
  <si>
    <t>(601) 636-3144</t>
  </si>
  <si>
    <t>461 Haining Road, Phone: nan please</t>
  </si>
  <si>
    <t>(440) 946-0440</t>
  </si>
  <si>
    <t>Concorp</t>
  </si>
  <si>
    <t>8100 NW97th Terrace</t>
  </si>
  <si>
    <t>(816) 891-8000</t>
  </si>
  <si>
    <t>8100 NW9Zth Terrace, Phone: nan please respond</t>
  </si>
  <si>
    <t>(231) 946-7880</t>
  </si>
  <si>
    <t>3263 Dillon Road, Phone:</t>
  </si>
  <si>
    <t>Consolidated Dealer - Pleasant Grove</t>
  </si>
  <si>
    <t>Pleasant Grove,CA 956</t>
  </si>
  <si>
    <t>(916) 655-3635</t>
  </si>
  <si>
    <t>(513) 251-2626</t>
  </si>
  <si>
    <t>Consolidated Precision Products</t>
  </si>
  <si>
    <t>34000 Lakeland Blvd</t>
  </si>
  <si>
    <t xml:space="preserve">Eastlake, OH 44095 </t>
  </si>
  <si>
    <t>(440) 953-0053</t>
  </si>
  <si>
    <t>34000 Lakeland Blvd, Phone:_</t>
  </si>
  <si>
    <t>(803) 771-7920</t>
  </si>
  <si>
    <t>4805 Second St Hwy184 East</t>
  </si>
  <si>
    <t>4805 Second St Hwy184 East; Phone: 256-386-6305</t>
  </si>
  <si>
    <t>2700 Gunter Park Drive W</t>
  </si>
  <si>
    <t>Kaman - Montgomery, AL's Customer</t>
  </si>
  <si>
    <t>(334) 269-8861</t>
  </si>
  <si>
    <t>2700 Gunter Park Drive W, Phone: nan:</t>
  </si>
  <si>
    <t>Con-Tek - StPaul</t>
  </si>
  <si>
    <t>StPaul,MN 55110</t>
  </si>
  <si>
    <t>3575 Hoffman Rd East, Phone: (651) 779-605_</t>
  </si>
  <si>
    <t>551 Roberts Road, Phone: na_</t>
  </si>
  <si>
    <t>(708) 482-7770</t>
  </si>
  <si>
    <t>Continental Conveyor</t>
  </si>
  <si>
    <t>470 St-Alphonse Sud</t>
  </si>
  <si>
    <t>Thetford Mines, QC G6G 5V2</t>
  </si>
  <si>
    <t>(418) 338-4682</t>
  </si>
  <si>
    <t>470 St-Alphonse Sud, Phone:</t>
  </si>
  <si>
    <t>Continental Hyd - Houston</t>
  </si>
  <si>
    <t>(713) 934-2105</t>
  </si>
  <si>
    <t>nan, Phone: 713-934-2105 please</t>
  </si>
  <si>
    <t>Continental Hyd - Salina</t>
  </si>
  <si>
    <t>(785.</t>
  </si>
  <si>
    <t>614 East Pacific Avenue; Phone: (785.</t>
  </si>
  <si>
    <t>Continental Tire The Americas</t>
  </si>
  <si>
    <t>11525 N. Illinois Hwy 142</t>
  </si>
  <si>
    <t>Mt. Vernon, IL  62864</t>
  </si>
  <si>
    <t>(618) 242-7100</t>
  </si>
  <si>
    <t>11525 N. Illinois Hwy 142,</t>
  </si>
  <si>
    <t>(231) 882-1000</t>
  </si>
  <si>
    <t>ContiTech USA</t>
  </si>
  <si>
    <t>SAINT MARYS, OH 45885</t>
  </si>
  <si>
    <t>(419) 394-3311</t>
  </si>
  <si>
    <t>1115 South Wayne Street; Phone: nan please</t>
  </si>
  <si>
    <t>1303 Southfield Drive SE</t>
  </si>
  <si>
    <t>Decatur, AL  35603</t>
  </si>
  <si>
    <t>(256) 350-5052</t>
  </si>
  <si>
    <t>1303 Southfield Drive SE,</t>
  </si>
  <si>
    <t>Control General- Schriever</t>
  </si>
  <si>
    <t>2845 Highway 311, Phone: (985) 872-_</t>
  </si>
  <si>
    <t>Ship UPS Collect-Acct779476 unless noted otherwise</t>
  </si>
  <si>
    <t>7725 S Major Drive</t>
  </si>
  <si>
    <t>7725 S Major Drive; Phone: (800)</t>
  </si>
  <si>
    <t>Controlled Fluids - Broken Arrow</t>
  </si>
  <si>
    <t>2009 North Willow Avenue</t>
  </si>
  <si>
    <t>918-251-7605</t>
  </si>
  <si>
    <t>(918) 251-7065</t>
  </si>
  <si>
    <t>2009 North Willow Avenue,</t>
  </si>
  <si>
    <t>Controlled Fluids - Broussard</t>
  </si>
  <si>
    <t>206 Jared Avenue</t>
  </si>
  <si>
    <t>377-455-0464</t>
  </si>
  <si>
    <t>377-45.</t>
  </si>
  <si>
    <t>206 Jared Avenue; Phone: 377-45.</t>
  </si>
  <si>
    <t>(503) 407-5966</t>
  </si>
  <si>
    <t>(541) 672-5506</t>
  </si>
  <si>
    <t>(303) 373-2035</t>
  </si>
  <si>
    <t>Coombs MFG - Spokane</t>
  </si>
  <si>
    <t>7200 Interstate 30 Dr</t>
  </si>
  <si>
    <t>7200 Interstate 30 Dr;</t>
  </si>
  <si>
    <t>2202 Alliance Road, Phon.</t>
  </si>
  <si>
    <t>COOPER NATURAL RESOURCES</t>
  </si>
  <si>
    <t>(806) 487-6461</t>
  </si>
  <si>
    <t>FM 1066 CEDAR LAKE, Phon:</t>
  </si>
  <si>
    <t>Cooper Tire &amp; Rubber - Romulus</t>
  </si>
  <si>
    <t>(734) 857-7290</t>
  </si>
  <si>
    <t>10725 Harrison Road, Suite</t>
  </si>
  <si>
    <t>Cooper Tire &amp; Rubber - Tupelo</t>
  </si>
  <si>
    <t>1804 S Green St</t>
  </si>
  <si>
    <t>(662) 842.</t>
  </si>
  <si>
    <t>1804 S Green St, Phone: (662) 842.</t>
  </si>
  <si>
    <t>(337) 363-7500</t>
  </si>
  <si>
    <t>(503) 654-3104</t>
  </si>
  <si>
    <t>(602) 269-5927</t>
  </si>
  <si>
    <t>10485 W Roosevelt Street, Phone: na.</t>
  </si>
  <si>
    <t>318 S Tate St</t>
  </si>
  <si>
    <t>662-286-0055</t>
  </si>
  <si>
    <t>318 S Tate St, Phone: 662-286-0055</t>
  </si>
  <si>
    <t>Corporate Fluid Power</t>
  </si>
  <si>
    <t>2715 5th Avenue South</t>
  </si>
  <si>
    <t>Irondale, AL  35210-1241</t>
  </si>
  <si>
    <t>(205) 951-1134</t>
  </si>
  <si>
    <t>2715 Sth Avenue South, Phone: nan</t>
  </si>
  <si>
    <t>Corrigan OSB</t>
  </si>
  <si>
    <t>1923 Hwy 287</t>
  </si>
  <si>
    <t>Corrigan, TX 75939</t>
  </si>
  <si>
    <t>(832) 519-2763</t>
  </si>
  <si>
    <t>1923 Hwy 287, Phone: nan please respond with</t>
  </si>
  <si>
    <t>(330) 638-3232</t>
  </si>
  <si>
    <t>Operating Under New Name:</t>
  </si>
  <si>
    <t>Coushatta Forest Products</t>
  </si>
  <si>
    <t>306 Wilkinson St</t>
  </si>
  <si>
    <t>Coushatta, LA 71019-2802</t>
  </si>
  <si>
    <t>(318) 932-9111</t>
  </si>
  <si>
    <t>306 Wilkinson St; Phone: nan plea.</t>
  </si>
  <si>
    <t>(716) 692-1825</t>
  </si>
  <si>
    <t>600 Main</t>
  </si>
  <si>
    <t>CPIntergrated Ser - Oklahoma</t>
  </si>
  <si>
    <t>(405) 732-0532</t>
  </si>
  <si>
    <t>CPP Cleveland</t>
  </si>
  <si>
    <t>34000 Lakland Blvd</t>
  </si>
  <si>
    <t>Eastlaske, OH 44095</t>
  </si>
  <si>
    <t>34000 Lakland Blvd, Phone: nan please</t>
  </si>
  <si>
    <t>405 Commerce</t>
  </si>
  <si>
    <t>(828) 397-7481</t>
  </si>
  <si>
    <t>Cranberry Lumber</t>
  </si>
  <si>
    <t>(304) 255-2248</t>
  </si>
  <si>
    <t>263 White Oak Drive; Phone: nan please</t>
  </si>
  <si>
    <t>Crawler SupplyInc</t>
  </si>
  <si>
    <t>6413 Airline Highway; Phone: 888-772-9505</t>
  </si>
  <si>
    <t>Cray Valley</t>
  </si>
  <si>
    <t>11455 IH 10</t>
  </si>
  <si>
    <t>Matt Davis</t>
  </si>
  <si>
    <t>(409) 291-7336</t>
  </si>
  <si>
    <t>11455 IH 10, Phone: nan please respond with open 0</t>
  </si>
  <si>
    <t>(586) 757-5722</t>
  </si>
  <si>
    <t>(620) 741-3100</t>
  </si>
  <si>
    <t>(423) 894-4117</t>
  </si>
  <si>
    <t>(952) 445-6813</t>
  </si>
  <si>
    <t>167 Duraflake Rd</t>
  </si>
  <si>
    <t>167 Duraflake Rd, Phone:</t>
  </si>
  <si>
    <t>(318) 812-2800</t>
  </si>
  <si>
    <t>Cross - Columbia</t>
  </si>
  <si>
    <t>nan, Phone: (803) 892-6282 please respond</t>
  </si>
  <si>
    <t>Cross - Greensboro</t>
  </si>
  <si>
    <t>(336)</t>
  </si>
  <si>
    <t>4400 Pidmont Parkway, Phone: (336)</t>
  </si>
  <si>
    <t>223 West Oxmoor Road,</t>
  </si>
  <si>
    <t>(770) 447-8946</t>
  </si>
  <si>
    <t>6665-D Corners IndCT; Phone: nan</t>
  </si>
  <si>
    <t>(603) 752-6111</t>
  </si>
  <si>
    <t>(985) 868-3927</t>
  </si>
  <si>
    <t>(423) 899-5801</t>
  </si>
  <si>
    <t>(985) 868-3928</t>
  </si>
  <si>
    <t>CROSSVILLE Hyd</t>
  </si>
  <si>
    <t>586 WOODLAWN RD</t>
  </si>
  <si>
    <t>586 WOODLAWN RD; Phone: 931-707-9110</t>
  </si>
  <si>
    <t>Cryogenic Processors</t>
  </si>
  <si>
    <t>5101 Charter Oak Drive</t>
  </si>
  <si>
    <t>Paducah, KY  42001</t>
  </si>
  <si>
    <t>(270) 443-8994</t>
  </si>
  <si>
    <t>5101 Charter Oak Drive; Phone: nan</t>
  </si>
  <si>
    <t>Cryovac- Simpsonville</t>
  </si>
  <si>
    <t>(864) 963-4111</t>
  </si>
  <si>
    <t>CS Wind America Inc</t>
  </si>
  <si>
    <t>100 Tower Rd</t>
  </si>
  <si>
    <t>Pueblo, CO  81004-7700</t>
  </si>
  <si>
    <t>(719) 288-2200</t>
  </si>
  <si>
    <t>100 Tower Rd, Phone: nan please</t>
  </si>
  <si>
    <t>(915) 833-8500</t>
  </si>
  <si>
    <t>4656 Ripley, Phone: nan please respond with open o</t>
  </si>
  <si>
    <t>(260) 432-3568</t>
  </si>
  <si>
    <t>Cta - Madison</t>
  </si>
  <si>
    <t>127 Jetplex Cir; Phone: (256) 772-0282 please</t>
  </si>
  <si>
    <t>(618) 244-5353</t>
  </si>
  <si>
    <t>601 South 1Oth, Phone: nan please respond with ope</t>
  </si>
  <si>
    <t>CTM- Grand Rapids</t>
  </si>
  <si>
    <t>(616) 453-2441</t>
  </si>
  <si>
    <t>(256) 735-0900</t>
  </si>
  <si>
    <t>(316) 277-2293</t>
  </si>
  <si>
    <t>Cummins Hyd LTD</t>
  </si>
  <si>
    <t>1250 Gorham Street</t>
  </si>
  <si>
    <t>Newmarket, Ontario  L3Y 8W4</t>
  </si>
  <si>
    <t>905-836-7750</t>
  </si>
  <si>
    <t>1250 Gorham Street, Phone: 905-836-7750</t>
  </si>
  <si>
    <t>(803) 776-2924</t>
  </si>
  <si>
    <t>(270) 692-2109</t>
  </si>
  <si>
    <t>Curtis-Maruyasu Amer</t>
  </si>
  <si>
    <t>665 Metts Drive</t>
  </si>
  <si>
    <t>Lebanon, KY  40033-1969</t>
  </si>
  <si>
    <t>665 Metts Drive, Phone: nan please</t>
  </si>
  <si>
    <t>(414) 483-0491</t>
  </si>
  <si>
    <t>(937) 832-2307</t>
  </si>
  <si>
    <t>140 Harrisburg Drive, Phone: nan</t>
  </si>
  <si>
    <t>Custom Fab- Rockwall</t>
  </si>
  <si>
    <t>StJohn,NB E2M  4X7</t>
  </si>
  <si>
    <t>(506) 648-2226</t>
  </si>
  <si>
    <t>P 0 Box 3038 Station B.</t>
  </si>
  <si>
    <t>(989) 348-5412</t>
  </si>
  <si>
    <t>Custom MFG - Burlington</t>
  </si>
  <si>
    <t>(352) 368-6922</t>
  </si>
  <si>
    <t>(563)</t>
  </si>
  <si>
    <t>86-16th Avenue North, Phone: (563)</t>
  </si>
  <si>
    <t>CVCServices - Sun Valley</t>
  </si>
  <si>
    <t>CWR Contracting</t>
  </si>
  <si>
    <t>290 Lee Place</t>
  </si>
  <si>
    <t>Defuniak Springs, FL  32435</t>
  </si>
  <si>
    <t>(850) 951-0266</t>
  </si>
  <si>
    <t>290 Lee Place, Phone: nan please respond wit_</t>
  </si>
  <si>
    <t>Cycle Shack - SoSan Francisco</t>
  </si>
  <si>
    <t>(650) 583-7014</t>
  </si>
  <si>
    <t>(706) 295-5165</t>
  </si>
  <si>
    <t>Po Box 249,</t>
  </si>
  <si>
    <t>44250 NORTH AVE, SUITE 1</t>
  </si>
  <si>
    <t>(586) 79.</t>
  </si>
  <si>
    <t>44250 NORTH AVE, SUITE 1, Phone: (586) 79.</t>
  </si>
  <si>
    <t>(928) 473-7100</t>
  </si>
  <si>
    <t>(704) 289-8531</t>
  </si>
  <si>
    <t>1610 Airport Road, Phone: 704-289-8531 please</t>
  </si>
  <si>
    <t>Cytec Industries Inc</t>
  </si>
  <si>
    <t>7910 Mt. Joy Road</t>
  </si>
  <si>
    <t>Mount Pleasant, TN  38474</t>
  </si>
  <si>
    <t>931-379-3257</t>
  </si>
  <si>
    <t>7910 Mt: Joy Road, Phone: nan pleas_</t>
  </si>
  <si>
    <t>780-468-6868</t>
  </si>
  <si>
    <t>Daily Electric</t>
  </si>
  <si>
    <t>700 E Eastman Rd</t>
  </si>
  <si>
    <t>Longview, TX  75602-2302</t>
  </si>
  <si>
    <t>903-753-2732</t>
  </si>
  <si>
    <t>700 E Eastman Rd, Phone: nan please respond wit_</t>
  </si>
  <si>
    <t>Dallas Ft Worth International</t>
  </si>
  <si>
    <t>Dallas Industries</t>
  </si>
  <si>
    <t>1013 Park Drive</t>
  </si>
  <si>
    <t>248-583-9400</t>
  </si>
  <si>
    <t>1013 Park Drive; Phone: nan please respond</t>
  </si>
  <si>
    <t>952-881-2260</t>
  </si>
  <si>
    <t>DANA</t>
  </si>
  <si>
    <t>731-784-1100</t>
  </si>
  <si>
    <t>899 DANA DRIVE; Phone: 73-423-4941 please</t>
  </si>
  <si>
    <t>812-526-2674</t>
  </si>
  <si>
    <t>2146 B Hwy25 S</t>
  </si>
  <si>
    <t>Iuka, MS38852</t>
  </si>
  <si>
    <t>662-424-0252</t>
  </si>
  <si>
    <t>2146 B Hwy25 $, Phone: nan please respond with</t>
  </si>
  <si>
    <t>2165 Latham Street; Phone: 901-312-7187 please</t>
  </si>
  <si>
    <t>440-324-2814</t>
  </si>
  <si>
    <t>DC Hyd - Canton</t>
  </si>
  <si>
    <t>734-416-8999</t>
  </si>
  <si>
    <t>42010 Koppernick Road Suite 118,Phone:</t>
  </si>
  <si>
    <t>DC Hyd - Grand Rapids</t>
  </si>
  <si>
    <t>616-984-5520</t>
  </si>
  <si>
    <t>nan, Phone: (616) 984-5520 please</t>
  </si>
  <si>
    <t>1101 4th Avenue SE, Phone: 256-734-4414</t>
  </si>
  <si>
    <t>231-547-5600</t>
  </si>
  <si>
    <t>770-663-4383</t>
  </si>
  <si>
    <t>2000 MCFARLAND 400 BLVD, Phone: nan</t>
  </si>
  <si>
    <t>1-800-307-8496</t>
  </si>
  <si>
    <t>2001 Normandy Drive Door</t>
  </si>
  <si>
    <t>Decostar Industries</t>
  </si>
  <si>
    <t>1 Decoma Drive</t>
  </si>
  <si>
    <t>Carrollton, GA 30117</t>
  </si>
  <si>
    <t>770-801-2900</t>
  </si>
  <si>
    <t>1 Decoma Drive; Phone: nan please</t>
  </si>
  <si>
    <t>334-749-3377</t>
  </si>
  <si>
    <t>2209 Anderson Road;, Phone: nan please respond wi_</t>
  </si>
  <si>
    <t>804-275-9222</t>
  </si>
  <si>
    <t>7611 Whitepine Road; Phone: nan</t>
  </si>
  <si>
    <t>540-362-3741</t>
  </si>
  <si>
    <t>508-854-4931</t>
  </si>
  <si>
    <t>10 New Bond Street Suite 300 B,</t>
  </si>
  <si>
    <t>Del Monte - Pittsburg</t>
  </si>
  <si>
    <t>PO Box 80</t>
  </si>
  <si>
    <t>925-949-2772</t>
  </si>
  <si>
    <t>PO Box 80, Phone: nan please respon _</t>
  </si>
  <si>
    <t>Del Monte- Mendota</t>
  </si>
  <si>
    <t>815-539-9361</t>
  </si>
  <si>
    <t>347 N 43Rd Rd, Phone: (815) 539-936_</t>
  </si>
  <si>
    <t>Del Monte- San Jose</t>
  </si>
  <si>
    <t>408-291-2400</t>
  </si>
  <si>
    <t>801 Auzerais Ave; Phone: (408) 291-_</t>
  </si>
  <si>
    <t>Delafield- Duarte</t>
  </si>
  <si>
    <t>1520 Flower Street; Phone: (626) 303-0740</t>
  </si>
  <si>
    <t>417-451-4772</t>
  </si>
  <si>
    <t>Delkor Systems</t>
  </si>
  <si>
    <t>4300 Round Lake Road West</t>
  </si>
  <si>
    <t>StPaul, MN  55112</t>
  </si>
  <si>
    <t>651-348-6700</t>
  </si>
  <si>
    <t>4300 Round Lake Road West, Phone: nan</t>
  </si>
  <si>
    <t>Full service hydraulic center</t>
  </si>
  <si>
    <t>410-546-9580</t>
  </si>
  <si>
    <t>209 Moonglow Rd</t>
  </si>
  <si>
    <t>PO Box 150</t>
  </si>
  <si>
    <t>PO Box 150,</t>
  </si>
  <si>
    <t>610-833-2070</t>
  </si>
  <si>
    <t>Delta Brands- Irving</t>
  </si>
  <si>
    <t>2204 Century Center Blvd</t>
  </si>
  <si>
    <t>2204 Century Center Blvd, Phone: 972_</t>
  </si>
  <si>
    <t>(216) 524-2477</t>
  </si>
  <si>
    <t>(870) 693-5555</t>
  </si>
  <si>
    <t>Demco MfgInc - Diboll</t>
  </si>
  <si>
    <t>(936) 829-4771</t>
  </si>
  <si>
    <t>Dement Construction</t>
  </si>
  <si>
    <t>300 Patton St</t>
  </si>
  <si>
    <t>300 Patton St, Phone: nan please</t>
  </si>
  <si>
    <t>Hwy21 South</t>
  </si>
  <si>
    <t>(803) 533-0158</t>
  </si>
  <si>
    <t>Hwy21 South, Phone: nan please</t>
  </si>
  <si>
    <t>552 Mid America Blvd</t>
  </si>
  <si>
    <t>Hot Springs Ntl Park, AR  71913</t>
  </si>
  <si>
    <t>(501) 261-2400</t>
  </si>
  <si>
    <t>552 Mid America Blvd, Phone: nan</t>
  </si>
  <si>
    <t>Den-Con Toll Compnay</t>
  </si>
  <si>
    <t>5354 S I-35 Service Road</t>
  </si>
  <si>
    <t>Oklahoma City, OK 73129</t>
  </si>
  <si>
    <t>(405) 670-5942</t>
  </si>
  <si>
    <t>5354 S |-35 Service Road, Phone: nan</t>
  </si>
  <si>
    <t>303-399-.</t>
  </si>
  <si>
    <t>(973) 625-1010</t>
  </si>
  <si>
    <t>Depatie Fluid Power - Holland</t>
  </si>
  <si>
    <t>11274 Lakewood Boulevard, Phon_</t>
  </si>
  <si>
    <t>Depatie Fluid Power - Kalamazoo</t>
  </si>
  <si>
    <t>(269) 324-2850</t>
  </si>
  <si>
    <t>6256 American Avenue;</t>
  </si>
  <si>
    <t>(337) 462-4300</t>
  </si>
  <si>
    <t>4200 Hwy 190 West; Phone: nan please respond wit_</t>
  </si>
  <si>
    <t>242 West Main Street PMB 209,Phon_</t>
  </si>
  <si>
    <t>(541) 354-5300</t>
  </si>
  <si>
    <t>Diamond Pet Foods</t>
  </si>
  <si>
    <t>Route B 4th &amp; Olive</t>
  </si>
  <si>
    <t>Meta, MO 65058</t>
  </si>
  <si>
    <t>Route B 4th &amp; Olive; Phone: nan pleas_</t>
  </si>
  <si>
    <t>Diamond Pro</t>
  </si>
  <si>
    <t>2000 John D Long Dr SE</t>
  </si>
  <si>
    <t>256-502-8787</t>
  </si>
  <si>
    <t>Nathon</t>
  </si>
  <si>
    <t>2000 John D Long Dr SE, Phone: 256-502-8787</t>
  </si>
  <si>
    <t>(989) 893-7790</t>
  </si>
  <si>
    <t>90 Lewis Mill Road, Phone:</t>
  </si>
  <si>
    <t>Dillman Equip - Praire Du Chien</t>
  </si>
  <si>
    <t>34618 County Hwy K</t>
  </si>
  <si>
    <t>Praire Du Chien,WI 53821</t>
  </si>
  <si>
    <t>34618 County Hwy K, Phone:_</t>
  </si>
  <si>
    <t>Dippin' Dotsorporated</t>
  </si>
  <si>
    <t>5101 Charter Oak Drive, Phone: nan</t>
  </si>
  <si>
    <t>(609) 465-5344</t>
  </si>
  <si>
    <t>210 Route 47 South, Phone: nan plea_</t>
  </si>
  <si>
    <t>Dis-Tran Products - Pineville</t>
  </si>
  <si>
    <t>529 Cenla Dr</t>
  </si>
  <si>
    <t>(318) 448-0274</t>
  </si>
  <si>
    <t>529 Cenla Dr; Phone: nan please</t>
  </si>
  <si>
    <t>(931) 967-7418</t>
  </si>
  <si>
    <t>3830 Cowan Highway; Phone: nan_</t>
  </si>
  <si>
    <t>(915) 771-6311</t>
  </si>
  <si>
    <t>1050 Eastside Road, Phone:</t>
  </si>
  <si>
    <t>(337) 948-6177</t>
  </si>
  <si>
    <t>(423) 698-3323</t>
  </si>
  <si>
    <t>(205)</t>
  </si>
  <si>
    <t>(334)</t>
  </si>
  <si>
    <t>Dmc 2 LP- S Plainfield</t>
  </si>
  <si>
    <t>(908) 561-1100</t>
  </si>
  <si>
    <t>DMCortation</t>
  </si>
  <si>
    <t>DMCortation contact info</t>
  </si>
  <si>
    <t>DNC Hyd</t>
  </si>
  <si>
    <t>5219 CR 313</t>
  </si>
  <si>
    <t>Rawson, OH  45881</t>
  </si>
  <si>
    <t>419-963-2800</t>
  </si>
  <si>
    <t>(419) 963-2800</t>
  </si>
  <si>
    <t>5219 CR 313,Phone: 419-963-2800 please respond</t>
  </si>
  <si>
    <t>(402) 474-5115</t>
  </si>
  <si>
    <t>201 Washington Street;</t>
  </si>
  <si>
    <t>Dollywood</t>
  </si>
  <si>
    <t>1130 Wagner Dr</t>
  </si>
  <si>
    <t>Sevierville, TN  37862-3718</t>
  </si>
  <si>
    <t>(800) 365-5996</t>
  </si>
  <si>
    <t>1130 Wagner Dr; Phone: nan please respond with</t>
  </si>
  <si>
    <t>+1 807-822-1818</t>
  </si>
  <si>
    <t>Po Box 2000,Hwy 17,</t>
  </si>
  <si>
    <t>(309) 787-8160</t>
  </si>
  <si>
    <t>(763) 780-0131</t>
  </si>
  <si>
    <t>Donlyn MfgCorporation</t>
  </si>
  <si>
    <t>1490</t>
  </si>
  <si>
    <t>(256)</t>
  </si>
  <si>
    <t>Youngs Street; Phone: (256)</t>
  </si>
  <si>
    <t>(973) 523-3030</t>
  </si>
  <si>
    <t>(207) 345-8111</t>
  </si>
  <si>
    <t>(562) 922-8000</t>
  </si>
  <si>
    <t>(606) 517-2779</t>
  </si>
  <si>
    <t>Drax-Biomass Morehouse Bl</t>
  </si>
  <si>
    <t>7070 Carl Rd</t>
  </si>
  <si>
    <t>Bastrop, LA 71220-6584</t>
  </si>
  <si>
    <t>(318) 351-5140</t>
  </si>
  <si>
    <t>7070 Carl Rd, Phone: nan please</t>
  </si>
  <si>
    <t>(615) 859-5924</t>
  </si>
  <si>
    <t>113 Long Drive, Phone: nan please respond</t>
  </si>
  <si>
    <t>200 Cente_</t>
  </si>
  <si>
    <t>(607) 937-2011</t>
  </si>
  <si>
    <t>1522 5th SE</t>
  </si>
  <si>
    <t>256-340-4200</t>
  </si>
  <si>
    <t>1522 Sth SE, Phone: 256-340-4200</t>
  </si>
  <si>
    <t>DRM- Lake Delton</t>
  </si>
  <si>
    <t>(608) 254-8158</t>
  </si>
  <si>
    <t>(630) 892-4361</t>
  </si>
  <si>
    <t>112 North Grant; Phone: nan please</t>
  </si>
  <si>
    <t>Drywall Supply,Inc-Little</t>
  </si>
  <si>
    <t>651-766-.</t>
  </si>
  <si>
    <t>3225 Country Drive; Phone: 651-766-.</t>
  </si>
  <si>
    <t>Drywall Supply-St</t>
  </si>
  <si>
    <t>StMichael,MN  55376</t>
  </si>
  <si>
    <t>(800) 322-4176</t>
  </si>
  <si>
    <t>5421 Quam Avenue NE, Phone: 800-322-4176_</t>
  </si>
  <si>
    <t>(704) 554-5657</t>
  </si>
  <si>
    <t>DTS Fluid Power - Delta</t>
  </si>
  <si>
    <t>(970) 323-.</t>
  </si>
  <si>
    <t>1820 1600 Road, Phone: (970) 323-.</t>
  </si>
  <si>
    <t>2240 Landmeier Road, Phon_</t>
  </si>
  <si>
    <t>3560 Busch Drive, Phone: (616)</t>
  </si>
  <si>
    <t>(313) 51.</t>
  </si>
  <si>
    <t>11873 Belden Court, Phone: (313) 51.</t>
  </si>
  <si>
    <t>500 E 14th</t>
  </si>
  <si>
    <t>DubuqueIA 52001</t>
  </si>
  <si>
    <t>500 E 14th, Phone: 563-582-4673</t>
  </si>
  <si>
    <t>(334) 745-4695</t>
  </si>
  <si>
    <t>Duer/Carolina Coil</t>
  </si>
  <si>
    <t>2375 Highway 101 S</t>
  </si>
  <si>
    <t>Greer, SC  29651-7206</t>
  </si>
  <si>
    <t>(864) 989-4141</t>
  </si>
  <si>
    <t>2375 Highway 101 S, Phone: nan please</t>
  </si>
  <si>
    <t>(510) 544-3205</t>
  </si>
  <si>
    <t>Duncan Mechanical Inc</t>
  </si>
  <si>
    <t>507 Jonesborough Rd</t>
  </si>
  <si>
    <t>Erwin, TN  37650-4019</t>
  </si>
  <si>
    <t>(423) 743-7712</t>
  </si>
  <si>
    <t>507 Jonesborough Rd; Phone: nan</t>
  </si>
  <si>
    <t>Dunn Construction</t>
  </si>
  <si>
    <t>2201 Pinson Valley Pkwy</t>
  </si>
  <si>
    <t>(205) 849-0069</t>
  </si>
  <si>
    <t>2201 Pinson</t>
  </si>
  <si>
    <t>(714) 693-1041</t>
  </si>
  <si>
    <t>(503) 692-0850</t>
  </si>
  <si>
    <t>Duracap Aspalt Materials</t>
  </si>
  <si>
    <t>9509 Diggs Gap Road</t>
  </si>
  <si>
    <t>Heiskell, TN 37754</t>
  </si>
  <si>
    <t>(865) 938-9845</t>
  </si>
  <si>
    <t>(865)</t>
  </si>
  <si>
    <t>9509 Diggs Gap Road, Phone: (865)</t>
  </si>
  <si>
    <t>(256) 462-3988</t>
  </si>
  <si>
    <t>1205 Evergreen Road, Phone: 256-46_</t>
  </si>
  <si>
    <t>DWBoyd- Norfolk</t>
  </si>
  <si>
    <t>(757) 423-2268</t>
  </si>
  <si>
    <t>DXP ENTERPRISES - ROCKFORD</t>
  </si>
  <si>
    <t>2511 20TH STREET</t>
  </si>
  <si>
    <t>ROCKFORD, IL  61104</t>
  </si>
  <si>
    <t>(815) 399-1748</t>
  </si>
  <si>
    <t>2511 20TH STREET, Phone:</t>
  </si>
  <si>
    <t>DXP ENTERPRISES- DES MOINES</t>
  </si>
  <si>
    <t>2050 DELAWARE AVE</t>
  </si>
  <si>
    <t>(515) 265-9811</t>
  </si>
  <si>
    <t>2050 DELAWARE AVE, Phon_</t>
  </si>
  <si>
    <t>Dyna Cast- New Braunfels</t>
  </si>
  <si>
    <t>(704) 927-2790</t>
  </si>
  <si>
    <t>Dynacast- Lake Center</t>
  </si>
  <si>
    <t>(949) 707-1211</t>
  </si>
  <si>
    <t>(818) 982-1400</t>
  </si>
  <si>
    <t>Dynamic Power Systems</t>
  </si>
  <si>
    <t>6105 S ML King Pkwy</t>
  </si>
  <si>
    <t>Beaumont, TX  77705</t>
  </si>
  <si>
    <t>(409) 838-1409</t>
  </si>
  <si>
    <t>6105 S ML King Pkwy, Phone: nan</t>
  </si>
  <si>
    <t>Dynamic Sand, LLC dba Sand Revolution II, LLC</t>
  </si>
  <si>
    <t>10800 W. Country Rd. 72</t>
  </si>
  <si>
    <t>Midland, TX  79707</t>
  </si>
  <si>
    <t>(432) 234-3495</t>
  </si>
  <si>
    <t>10800</t>
  </si>
  <si>
    <t>Dynamic Technology - Cincinnati</t>
  </si>
  <si>
    <t>2323 Crowne Point Drive,</t>
  </si>
  <si>
    <t>(937) 274-3007</t>
  </si>
  <si>
    <t>2608 Nordic Road, Phone: nan</t>
  </si>
  <si>
    <t>2416-A Over Drive; Phone:</t>
  </si>
  <si>
    <t>StJames,MN 56081</t>
  </si>
  <si>
    <t>(507) 375-3991</t>
  </si>
  <si>
    <t>(847) 537-8800</t>
  </si>
  <si>
    <t>Highway A, Phone: (636) 583-8818</t>
  </si>
  <si>
    <t>(812) 275-0388</t>
  </si>
  <si>
    <t>7087 Texel Cov_</t>
  </si>
  <si>
    <t>Eagle Bend MFG</t>
  </si>
  <si>
    <t>1000 JDYarnell Ind Pkwy</t>
  </si>
  <si>
    <t>(865) 457-3800</t>
  </si>
  <si>
    <t>1000 JDYarnell Ind Pkwy, Phone: nan please</t>
  </si>
  <si>
    <t>(918) 437-7477</t>
  </si>
  <si>
    <t>5700 South 107Th East Ave; Phone:</t>
  </si>
  <si>
    <t>(715) 246-9761</t>
  </si>
  <si>
    <t>555 Saint Croix Ave, Phone:</t>
  </si>
  <si>
    <t>(614) 882-9200</t>
  </si>
  <si>
    <t>8384 Peck Rd, Phone: (616) 754 _</t>
  </si>
  <si>
    <t>(800) 334-6825</t>
  </si>
  <si>
    <t>910 9th Avenue SE, Phone:</t>
  </si>
  <si>
    <t>(610) 682-6361</t>
  </si>
  <si>
    <t>East Tn MFG</t>
  </si>
  <si>
    <t>2455 Snapps Ferry Road</t>
  </si>
  <si>
    <t>Greenville, TN 37744</t>
  </si>
  <si>
    <t>(423) 639-5759</t>
  </si>
  <si>
    <t>2455 Snapps</t>
  </si>
  <si>
    <t>(401) 273-6330</t>
  </si>
  <si>
    <t>(252) 985-1616</t>
  </si>
  <si>
    <t>(818) 782-6445</t>
  </si>
  <si>
    <t>(931) 823-7381</t>
  </si>
  <si>
    <t>132 Industrial Park Cr; Phone: nan please respond</t>
  </si>
  <si>
    <t>Eatonoration</t>
  </si>
  <si>
    <t>8701 WHarrison</t>
  </si>
  <si>
    <t>8701 WHarrison; Phone: nan please respond with</t>
  </si>
  <si>
    <t>Eatonoration- Southfield</t>
  </si>
  <si>
    <t>(248) 226-6200</t>
  </si>
  <si>
    <t>26201 Northwestern Highway; Phone:_</t>
  </si>
  <si>
    <t>EAWood- Oscode</t>
  </si>
  <si>
    <t>(434) 522-4747</t>
  </si>
  <si>
    <t>10 Adams Street; Phone: nan please</t>
  </si>
  <si>
    <t>Economy Block - StAlbans</t>
  </si>
  <si>
    <t>StAlbans,WV 25177</t>
  </si>
  <si>
    <t>Ecovery LLC</t>
  </si>
  <si>
    <t>26320 Railroad Avenue</t>
  </si>
  <si>
    <t>Loxley, AL  36551</t>
  </si>
  <si>
    <t>(251) 272-3630</t>
  </si>
  <si>
    <t>26320 Railroad Avenue; Phone: nan please respon_</t>
  </si>
  <si>
    <t>17471 HWY15 N</t>
  </si>
  <si>
    <t>(662) 837-5500</t>
  </si>
  <si>
    <t>17471 HWY15 N, Phone: 662-837-5500 please</t>
  </si>
  <si>
    <t>Ederer- Seattle</t>
  </si>
  <si>
    <t>(206) 622-4421</t>
  </si>
  <si>
    <t>EDEtnyre - Oregon</t>
  </si>
  <si>
    <t>(815) 732--</t>
  </si>
  <si>
    <t>1333 South Daysville Road; Phone: (815) 732--</t>
  </si>
  <si>
    <t>(616) 393-0101</t>
  </si>
  <si>
    <t>(276) 873-6816</t>
  </si>
  <si>
    <t>(262) 534-5181</t>
  </si>
  <si>
    <t>Edwards Industrial Sales</t>
  </si>
  <si>
    <t>424 Mills Street</t>
  </si>
  <si>
    <t>(269) 349-7737</t>
  </si>
  <si>
    <t>424 Mills Street; Phone: nan please</t>
  </si>
  <si>
    <t>(216) 524-7660</t>
  </si>
  <si>
    <t>(256) 353-0476</t>
  </si>
  <si>
    <t>1102 Brooks Street; Phone: nan please respond</t>
  </si>
  <si>
    <t>nan, Phone: nan please respond with open or closed</t>
  </si>
  <si>
    <t>(435) 843-6900</t>
  </si>
  <si>
    <t>(843) 576-4100</t>
  </si>
  <si>
    <t>Leland, NC28451</t>
  </si>
  <si>
    <t>(919) 622-9600</t>
  </si>
  <si>
    <t>3500 Daniels NE; Phone: nan please</t>
  </si>
  <si>
    <t>(540) 949-2000</t>
  </si>
  <si>
    <t>(308) 324-3751</t>
  </si>
  <si>
    <t>152 H Blades Lane, Phone: 410-760-3344</t>
  </si>
  <si>
    <t>Electrical MechTec - Cleveland</t>
  </si>
  <si>
    <t>(423) 472-8539</t>
  </si>
  <si>
    <t>Electricfil Corporation</t>
  </si>
  <si>
    <t>18831 Carter Circle</t>
  </si>
  <si>
    <t>Elkmont, AL  35620</t>
  </si>
  <si>
    <t>(256) 784-0271</t>
  </si>
  <si>
    <t>18831 Carter Circle; Phone: nan pleas_</t>
  </si>
  <si>
    <t>(870) 862-1515</t>
  </si>
  <si>
    <t>(219) 937-0826</t>
  </si>
  <si>
    <t>(252) 527-5100</t>
  </si>
  <si>
    <t>4850 W Vernon Ave; Phone: nan plea_</t>
  </si>
  <si>
    <t>Electron- Littleton</t>
  </si>
  <si>
    <t>(303) 794-6301</t>
  </si>
  <si>
    <t>Element Resources</t>
  </si>
  <si>
    <t>25102 Holt 250</t>
  </si>
  <si>
    <t>Forest City, MO 64451</t>
  </si>
  <si>
    <t>(660) 446-3321</t>
  </si>
  <si>
    <t>25102 Holt 250, Phone: nan please</t>
  </si>
  <si>
    <t>(803) 691-9990</t>
  </si>
  <si>
    <t>(256) 381-5932</t>
  </si>
  <si>
    <t>(612) 822-7473</t>
  </si>
  <si>
    <t>nan, Phone: na_</t>
  </si>
  <si>
    <t>(763) 441-1581</t>
  </si>
  <si>
    <t>Elkhart Products</t>
  </si>
  <si>
    <t>1255 Oak St.</t>
  </si>
  <si>
    <t>Elkhart, IN  46514</t>
  </si>
  <si>
    <t>(574) 264-3181</t>
  </si>
  <si>
    <t>1255 Oak St, Phone: nan please respond with_</t>
  </si>
  <si>
    <t>Hwy 321 South; Phone: nan please respond</t>
  </si>
  <si>
    <t>(713) 434-5100</t>
  </si>
  <si>
    <t>Elwood-Press Gr - Oak Creek</t>
  </si>
  <si>
    <t>(414) 764-7500</t>
  </si>
  <si>
    <t>195 West Ryan Road, Phone: nan</t>
  </si>
  <si>
    <t>(541) 688-1940</t>
  </si>
  <si>
    <t>Emerson contact info provided</t>
  </si>
  <si>
    <t>162 Park Rd</t>
  </si>
  <si>
    <t xml:space="preserve">Emmco </t>
  </si>
  <si>
    <t>4540 East 71st St</t>
  </si>
  <si>
    <t>Cleveland, OH  44105</t>
  </si>
  <si>
    <t>216-396-0360</t>
  </si>
  <si>
    <t>(216) 429-2020</t>
  </si>
  <si>
    <t>4540 East 71st St; Phone: 216-396-0360 please</t>
  </si>
  <si>
    <t>953 East 12,Phone: 814-454-1581</t>
  </si>
  <si>
    <t>(330) 467-0750</t>
  </si>
  <si>
    <t>635 East Highland Rd, Macedonia, OH 44056</t>
  </si>
  <si>
    <t>3471 Astrozon Court;</t>
  </si>
  <si>
    <t>(757) 888-5812</t>
  </si>
  <si>
    <t>Endurance Equipment</t>
  </si>
  <si>
    <t>251-957-.</t>
  </si>
  <si>
    <t>7501 Half Mile Road, Phone: 251-957-.</t>
  </si>
  <si>
    <t>Enduro Systems</t>
  </si>
  <si>
    <t>16602 Central Green Blvd</t>
  </si>
  <si>
    <t>Houston, TX  77032</t>
  </si>
  <si>
    <t>(713) 358-4000</t>
  </si>
  <si>
    <t>16602 Central Green Blvd, Phone: nan please</t>
  </si>
  <si>
    <t>Energy Hyd - Bossier</t>
  </si>
  <si>
    <t>(318) 629-0322</t>
  </si>
  <si>
    <t>4500 Industrial Drive Extended, Phon_</t>
  </si>
  <si>
    <t>Energy Hyd - Dallas</t>
  </si>
  <si>
    <t>1325 W Royal Lane; Phone: 972-685-._</t>
  </si>
  <si>
    <t>Energy Hyd - Grand Prairie</t>
  </si>
  <si>
    <t>1174 113th</t>
  </si>
  <si>
    <t>Grand Prairie, TX  75050</t>
  </si>
  <si>
    <t>(972) 685-0221</t>
  </si>
  <si>
    <t>1174 113th, Phone: nan please</t>
  </si>
  <si>
    <t>Enersys</t>
  </si>
  <si>
    <t>617 NRidgeview Drive</t>
  </si>
  <si>
    <t>(660) 429-2165</t>
  </si>
  <si>
    <t>617 NRidgeview Drive; Phone: nan please respond</t>
  </si>
  <si>
    <t>Engelhardoration</t>
  </si>
  <si>
    <t>(478) 946-2444</t>
  </si>
  <si>
    <t>1444 Dedrick Road, Phone: nan please respon _</t>
  </si>
  <si>
    <t>(504) 737.</t>
  </si>
  <si>
    <t>170 Hickory Ave; Phone: (504) 737.</t>
  </si>
  <si>
    <t>18 Progress Parkway;</t>
  </si>
  <si>
    <t>Engineered Sales - NKansas City</t>
  </si>
  <si>
    <t>NKansas City,MO 64116</t>
  </si>
  <si>
    <t>1824 Linn Street, Phone: (81_</t>
  </si>
  <si>
    <t>(320) 656-0088</t>
  </si>
  <si>
    <t>1018</t>
  </si>
  <si>
    <t>Engineering Mechanics</t>
  </si>
  <si>
    <t>3518 Riverside Dr, STE 202</t>
  </si>
  <si>
    <t>Columbus, OH  43221</t>
  </si>
  <si>
    <t>(614) 459-3200</t>
  </si>
  <si>
    <t>3518 Riverside Dr; STE 202, Phone: n_</t>
  </si>
  <si>
    <t>(814) 453-6871</t>
  </si>
  <si>
    <t>953 East 12th Street; Phone: 814-454 _</t>
  </si>
  <si>
    <t>Escooration - Portland</t>
  </si>
  <si>
    <t>(503) 228-2141</t>
  </si>
  <si>
    <t>76 South Main Street; Phone: 205-674-0170</t>
  </si>
  <si>
    <t>ESIPower Hyd - Gurnee</t>
  </si>
  <si>
    <t>101 Ambrogio Drive Unit !, Phone:</t>
  </si>
  <si>
    <t>Essity Professional Hygiene NA Neenah Converting</t>
  </si>
  <si>
    <t>984 Winchester Rd</t>
  </si>
  <si>
    <t>Neenah, WI  54956-2047</t>
  </si>
  <si>
    <t>(920) 720-4545</t>
  </si>
  <si>
    <t>984</t>
  </si>
  <si>
    <t>Ethylene</t>
  </si>
  <si>
    <t>4855 Broadmoor Ave</t>
  </si>
  <si>
    <t>Kentwood, MI 49512</t>
  </si>
  <si>
    <t>(616) 554-0900</t>
  </si>
  <si>
    <t>4855 Broadmoor Ave; Phone: nan please respond wi_</t>
  </si>
  <si>
    <t>(208) 347-2111</t>
  </si>
  <si>
    <t>(905) 886-8090</t>
  </si>
  <si>
    <t>1052 Longwoods Rd RR3, Phone: nan please</t>
  </si>
  <si>
    <t>Evolution Alabama</t>
  </si>
  <si>
    <t>511 Mineral Trce Ste 100</t>
  </si>
  <si>
    <t>Hoover, AL  35244-4507</t>
  </si>
  <si>
    <t>(205) 417-4177</t>
  </si>
  <si>
    <t>511 Mineral Trce Ste 100, Phone: nan</t>
  </si>
  <si>
    <t>(719) 561-6000</t>
  </si>
  <si>
    <t>2100 S Freeway; Phone: nan</t>
  </si>
  <si>
    <t>Exide Technologies - KC</t>
  </si>
  <si>
    <t>3001 Fairfax Trafficway</t>
  </si>
  <si>
    <t>Kansas City, KS 66115</t>
  </si>
  <si>
    <t>(913) 321-3561</t>
  </si>
  <si>
    <t>3001 Fairfax Trafficway, Phone: nan</t>
  </si>
  <si>
    <t>Exide Technology Canon Hollow</t>
  </si>
  <si>
    <t>25102 Exide Drive</t>
  </si>
  <si>
    <t>25102 Exide Drive, Phone: na_</t>
  </si>
  <si>
    <t>(281) 834-1000</t>
  </si>
  <si>
    <t>(432) 664-4500</t>
  </si>
  <si>
    <t>EZPipeline Padding - Green River</t>
  </si>
  <si>
    <t>13855 Court Street; Phone: 974-4639 please respon_</t>
  </si>
  <si>
    <t>F/V West Ling fishing</t>
  </si>
  <si>
    <t>(307) 686-2400</t>
  </si>
  <si>
    <t>610 Metz Drive;, Phone: nan please</t>
  </si>
  <si>
    <t>2401 Edmund</t>
  </si>
  <si>
    <t>(845) 895-2055</t>
  </si>
  <si>
    <t>(989) 848-2007</t>
  </si>
  <si>
    <t>763 EAST MILLER ROAD, Phone: nan</t>
  </si>
  <si>
    <t>6353 Norwalk Road, Phone: nan please respond with_</t>
  </si>
  <si>
    <t>(618) 337-5212</t>
  </si>
  <si>
    <t>Family Brands</t>
  </si>
  <si>
    <t>1001 Elm Hill Rd</t>
  </si>
  <si>
    <t>Lenoir City, TN  37771</t>
  </si>
  <si>
    <t>(865) 986-8005</t>
  </si>
  <si>
    <t>1001 Elm Hill Rd; Phone: nan please respond with</t>
  </si>
  <si>
    <t>1746 Commerce Rd</t>
  </si>
  <si>
    <t>(641) 782-8521</t>
  </si>
  <si>
    <t>1746 Commerce Rd, Phone: nan</t>
  </si>
  <si>
    <t>PO Box 137</t>
  </si>
  <si>
    <t>Eva, AL35621</t>
  </si>
  <si>
    <t>(252) 261-9774</t>
  </si>
  <si>
    <t>PO Box 137, Phone: nan please respond with open_</t>
  </si>
  <si>
    <t>(760) 347-5555</t>
  </si>
  <si>
    <t>Fascast</t>
  </si>
  <si>
    <t>6107 W71st St</t>
  </si>
  <si>
    <t>Tulsa, OK  74131</t>
  </si>
  <si>
    <t>(918) 445-7405</t>
  </si>
  <si>
    <t>6107 WZIst St; Phone: nan please respond with ope_</t>
  </si>
  <si>
    <t>Fasson Roll</t>
  </si>
  <si>
    <t>870 Anderson Blvd</t>
  </si>
  <si>
    <t>(317) 462-1988</t>
  </si>
  <si>
    <t>870 Anderson Blvd, Phone: nan please respond with</t>
  </si>
  <si>
    <t>FASTWarehouse - Winter Park</t>
  </si>
  <si>
    <t>216 Hopper Road, Phone:</t>
  </si>
  <si>
    <t>FBWright - Dearborn</t>
  </si>
  <si>
    <t>9999 Mercier; Phone: (313) 843-8250</t>
  </si>
  <si>
    <t>(507) 847-2521</t>
  </si>
  <si>
    <t>(920) 337-0234</t>
  </si>
  <si>
    <t>1700 SUBURBAN DR, Phone: nan please respond</t>
  </si>
  <si>
    <t>Federal Block- New Windsor</t>
  </si>
  <si>
    <t>(845) 561-4108</t>
  </si>
  <si>
    <t>1145 Starkweather; Phone:</t>
  </si>
  <si>
    <t>FEECOorporated</t>
  </si>
  <si>
    <t>3913 Algoma Road, Phone: 920-469-5100</t>
  </si>
  <si>
    <t>Feguson Industrial Group - Theodore</t>
  </si>
  <si>
    <t>5371 Hamilton Blvd</t>
  </si>
  <si>
    <t>Theodore, AL  36582-8515</t>
  </si>
  <si>
    <t>(251) 643-1855</t>
  </si>
  <si>
    <t>5371 Hamilton Blvd, Phon_</t>
  </si>
  <si>
    <t>Felker Brothers Corp</t>
  </si>
  <si>
    <t>125 Beaver Trail</t>
  </si>
  <si>
    <t>Glasgow, KY  42141</t>
  </si>
  <si>
    <t>(270) 678-4143</t>
  </si>
  <si>
    <t>125 Beaver Trail, Phone: nan please</t>
  </si>
  <si>
    <t>1435 Red Hat Road, Phone: 256-301-_</t>
  </si>
  <si>
    <t>Ferguson Engineering Co</t>
  </si>
  <si>
    <t>8222 Industrial Dr.</t>
  </si>
  <si>
    <t>(662) 895-5595</t>
  </si>
  <si>
    <t>James Ferguson</t>
  </si>
  <si>
    <t>8222 Industrial Dr, Phone: (662) 895 _</t>
  </si>
  <si>
    <t>(828) 274-0001</t>
  </si>
  <si>
    <t>Ferguson Enterprises - Nashville</t>
  </si>
  <si>
    <t>(615) 316-1800</t>
  </si>
  <si>
    <t>1708 Elm Hill Pike; Phone: n.</t>
  </si>
  <si>
    <t>(281) 350-3355</t>
  </si>
  <si>
    <t>Ferguson Industrial - Fort Edward</t>
  </si>
  <si>
    <t>Fort Edward, NY  12828</t>
  </si>
  <si>
    <t>21 Sullivan Parkway; Phone:</t>
  </si>
  <si>
    <t>Ferguson Industrial - Newport News</t>
  </si>
  <si>
    <t>Newport News, VA 23602</t>
  </si>
  <si>
    <t>(757) 874-7795</t>
  </si>
  <si>
    <t>Ferguson Industrial 1440 - Morrisville</t>
  </si>
  <si>
    <t>109 International Drive</t>
  </si>
  <si>
    <t>Morrisville, NC  27560-8792</t>
  </si>
  <si>
    <t>109 International Drive,</t>
  </si>
  <si>
    <t>Ferguson Industrial Group - Kingsport</t>
  </si>
  <si>
    <t>1037 Tidewater Ct</t>
  </si>
  <si>
    <t>Kingsport, TN 37660-5482</t>
  </si>
  <si>
    <t>(423) 408-6050</t>
  </si>
  <si>
    <t>1037 Tidewater Ct, Phone_</t>
  </si>
  <si>
    <t>Ferguson Industrial Group - Theodore</t>
  </si>
  <si>
    <t>Ferrousouth</t>
  </si>
  <si>
    <t>662-424-0115</t>
  </si>
  <si>
    <t>38 Co Rd 370, Phone: 662-424-0115 please respo_</t>
  </si>
  <si>
    <t>4554 Glenmeade Lane; Phone: 2483736000 please</t>
  </si>
  <si>
    <t>Fiber Glass Systems - Little Rock</t>
  </si>
  <si>
    <t>(501) 568-4010</t>
  </si>
  <si>
    <t>2700 West 65 St, Phone: nan_</t>
  </si>
  <si>
    <t>Fiber Glass Systems - Wichita</t>
  </si>
  <si>
    <t>(316) 946-3900</t>
  </si>
  <si>
    <t>2501 S West St; Phone: nan please_</t>
  </si>
  <si>
    <t>(802) 257-0365</t>
  </si>
  <si>
    <t>Fibervisions</t>
  </si>
  <si>
    <t>1885 Olympic Drive; Phone: 770-475-1680 please</t>
  </si>
  <si>
    <t>(770) 786-7011</t>
  </si>
  <si>
    <t>FikeFps - Blue Springs</t>
  </si>
  <si>
    <t>(816) 229-3405</t>
  </si>
  <si>
    <t>(414)</t>
  </si>
  <si>
    <t>147 East Becher Street; Phone: (414)</t>
  </si>
  <si>
    <t>(219) 879-3307</t>
  </si>
  <si>
    <t>9542 Hardpan Rd, Phone:</t>
  </si>
  <si>
    <t>Final Controls</t>
  </si>
  <si>
    <t>65 Casey Rd</t>
  </si>
  <si>
    <t>Queensbury, NY 12804</t>
  </si>
  <si>
    <t>(518) 747-2890</t>
  </si>
  <si>
    <t>65 Casey Rd, Phone: 518-747-2890 please respon_</t>
  </si>
  <si>
    <t>(317) 328-5777</t>
  </si>
  <si>
    <t>Finch Automation - Indianapolis</t>
  </si>
  <si>
    <t>7264 Georgetown Road</t>
  </si>
  <si>
    <t>Indianapolis, IN  46268</t>
  </si>
  <si>
    <t>7264 Georgetown Road,</t>
  </si>
  <si>
    <t>First Coast Hydraulic Repair</t>
  </si>
  <si>
    <t>455 Roberts St</t>
  </si>
  <si>
    <t>(904) 781-9064</t>
  </si>
  <si>
    <t>455 Roberts St,Phone: 904-781-_</t>
  </si>
  <si>
    <t>(734) 847-4788</t>
  </si>
  <si>
    <t>Fisher</t>
  </si>
  <si>
    <t>(931) 589-2195</t>
  </si>
  <si>
    <t>766 Squirrel Hollow Drive; Phone: nan please respo</t>
  </si>
  <si>
    <t>Statesboro, GA 30459</t>
  </si>
  <si>
    <t>Five Rivers Hyd</t>
  </si>
  <si>
    <t>New Market, TN</t>
  </si>
  <si>
    <t>865-475-4731</t>
  </si>
  <si>
    <t>nan; Phone: 865-475-4731 please respond wit_</t>
  </si>
  <si>
    <t>Five Star Hyd</t>
  </si>
  <si>
    <t>3005 Floral Plaza St</t>
  </si>
  <si>
    <t>(870) 532-1619</t>
  </si>
  <si>
    <t>3005 Floral Plaza St; Phone: (870) 532-1619 pleas_</t>
  </si>
  <si>
    <t>(231) 587-5076</t>
  </si>
  <si>
    <t>FLECK BEARING</t>
  </si>
  <si>
    <t>3902 A KELLEY ST</t>
  </si>
  <si>
    <t>3902 A KELLEY ST, Phone: 479-751-2844</t>
  </si>
  <si>
    <t>(315) 986-9999</t>
  </si>
  <si>
    <t>Flexcon Industrial Park, Phone: (50_</t>
  </si>
  <si>
    <t>165 Chicago St; Phone: (847) 639-3530 pleas_</t>
  </si>
  <si>
    <t>(847) 272-6370</t>
  </si>
  <si>
    <t>4099 Bf Goodrich Boulevard, Phone:</t>
  </si>
  <si>
    <t>Flippo Lumber- Doswell</t>
  </si>
  <si>
    <t>(804) 876-3311</t>
  </si>
  <si>
    <t>(713) 699-0152</t>
  </si>
  <si>
    <t>1790orate Drive</t>
  </si>
  <si>
    <t>(770) 925-.</t>
  </si>
  <si>
    <t>1790orate Drive; Phone: (770) 925-.</t>
  </si>
  <si>
    <t>(317) 890-3700</t>
  </si>
  <si>
    <t>3539 North 700 West; Phone: 770-92_</t>
  </si>
  <si>
    <t>832-327-1500</t>
  </si>
  <si>
    <t>8510 Breen Drive, Phone: 832-327 -_</t>
  </si>
  <si>
    <t>937.</t>
  </si>
  <si>
    <t>734 Pleasant Valley Drive; Phone: 937.</t>
  </si>
  <si>
    <t>1000 Muirfield Drive; Phone:</t>
  </si>
  <si>
    <t>Flomatic Valve- Glen Falls</t>
  </si>
  <si>
    <t>(518) 761-9797</t>
  </si>
  <si>
    <t>2305 Millpark Drive; Phone:</t>
  </si>
  <si>
    <t>(913)</t>
  </si>
  <si>
    <t>(503) 829-9131</t>
  </si>
  <si>
    <t>(843)</t>
  </si>
  <si>
    <t>(352) 793-4526</t>
  </si>
  <si>
    <t>(352) 629-0674</t>
  </si>
  <si>
    <t>1836 NW 21ST Street, Phone_</t>
  </si>
  <si>
    <t>Florida Hose &amp; Rubber</t>
  </si>
  <si>
    <t>1145 E. 15th Street</t>
  </si>
  <si>
    <t>Panama City, FL  32405</t>
  </si>
  <si>
    <t>(850) 873-8887</t>
  </si>
  <si>
    <t>1145 E.</t>
  </si>
  <si>
    <t>2827 Parkway</t>
  </si>
  <si>
    <t>Florida Mining &amp; Material - Tampa</t>
  </si>
  <si>
    <t>Tampa,FL 33614</t>
  </si>
  <si>
    <t>Florida Motion &amp; Control - Orlando</t>
  </si>
  <si>
    <t>5627 Commerce Drive</t>
  </si>
  <si>
    <t>Brian Dozier</t>
  </si>
  <si>
    <t>5627 Commerce Drive; Phon_</t>
  </si>
  <si>
    <t>20 Morin Street; Phone: 207-282-7749 please</t>
  </si>
  <si>
    <t>1024 11th</t>
  </si>
  <si>
    <t>19222 Fairfax Drive, Phon_</t>
  </si>
  <si>
    <t>2626 WAddison St</t>
  </si>
  <si>
    <t>Ship UPS Collect - Acct# 612895 or Con-Way Transportation</t>
  </si>
  <si>
    <t>(773) 528-2000</t>
  </si>
  <si>
    <t>2626 WAddison St, Phone: (800) 897-_</t>
  </si>
  <si>
    <t>Flowers Baking</t>
  </si>
  <si>
    <t>3100 NW Park Dr</t>
  </si>
  <si>
    <t>Knoxville, TN  37921-1000</t>
  </si>
  <si>
    <t>(865) 362-7530</t>
  </si>
  <si>
    <t>3100 NW Park Dr; Phone: nan please respond</t>
  </si>
  <si>
    <t>(907) 456-4911</t>
  </si>
  <si>
    <t>Flowserve US Company - Pasadena</t>
  </si>
  <si>
    <t>4001 Flowserve Way, Suite 300</t>
  </si>
  <si>
    <t>Pasadena, TX  77503</t>
  </si>
  <si>
    <t>(713) 374-7100</t>
  </si>
  <si>
    <t>4001 Flowserve Way, Suite</t>
  </si>
  <si>
    <t>(785) 232-6036</t>
  </si>
  <si>
    <t>nan, Phone: (256) 737-1998 please</t>
  </si>
  <si>
    <t>Fluid Concepts- Toledo</t>
  </si>
  <si>
    <t>(419) 478-1234</t>
  </si>
  <si>
    <t>444 W Laskey Suite F; Phone: 419-47_</t>
  </si>
  <si>
    <t>(770) 509-5833</t>
  </si>
  <si>
    <t>(323) 642-6456</t>
  </si>
  <si>
    <t>Fluid Motion- Atkinson</t>
  </si>
  <si>
    <t>50 Meditation Lane; Phone: (603) 362_</t>
  </si>
  <si>
    <t>972-437--</t>
  </si>
  <si>
    <t>2920 Congressman Lane; Phone: 972-437--</t>
  </si>
  <si>
    <t>1320 South Guignard Drive; Phone:</t>
  </si>
  <si>
    <t>3159 Hager Road, Phone:</t>
  </si>
  <si>
    <t>302 Turnpike Road; Phone: (508) 481-_</t>
  </si>
  <si>
    <t>1251 Georgetown Road,</t>
  </si>
  <si>
    <t>(360) 496-6888</t>
  </si>
  <si>
    <t>(803) 892-6058</t>
  </si>
  <si>
    <t>Fluid Power Shop</t>
  </si>
  <si>
    <t>2715 Sth Avenue South, Phone: nan please</t>
  </si>
  <si>
    <t>805A North McKenzie St</t>
  </si>
  <si>
    <t>(251) 970-1200</t>
  </si>
  <si>
    <t>805A North McKenzie St, Phone:</t>
  </si>
  <si>
    <t>(801) 972-8316</t>
  </si>
  <si>
    <t>3801 Watman Avenue;</t>
  </si>
  <si>
    <t>608-85.</t>
  </si>
  <si>
    <t>1811 Blue Ridge Trail, Phone: 608-85.</t>
  </si>
  <si>
    <t>(586) 790-8880</t>
  </si>
  <si>
    <t>520 S Bertelsen Road, Phone_</t>
  </si>
  <si>
    <t>8430 NEKillingsworth</t>
  </si>
  <si>
    <t>8430 NEKillingsworth, Phone_</t>
  </si>
  <si>
    <t>10940 Eicher Drive; Phone: (913) 492-3300</t>
  </si>
  <si>
    <t>Fm Group- Sloatsburg</t>
  </si>
  <si>
    <t>(845) 753-6000</t>
  </si>
  <si>
    <t>5599 WGrand River Ave</t>
  </si>
  <si>
    <t>5599 WGrand River Ave; Phone: 517-321-5609 pleas_</t>
  </si>
  <si>
    <t>(662) 566-2382</t>
  </si>
  <si>
    <t>1091 Scott Drive</t>
  </si>
  <si>
    <t>Clanton, AL  35045</t>
  </si>
  <si>
    <t>(205) 755-4758</t>
  </si>
  <si>
    <t>1091 Scott Drive; Phone: nan please</t>
  </si>
  <si>
    <t>Foreman Hyd - Cedar Rapids</t>
  </si>
  <si>
    <t>425 41st Ave Dr SW; Phone: (800)</t>
  </si>
  <si>
    <t>(260) 766-4090</t>
  </si>
  <si>
    <t>Forterra Building Products 10621 - Winter Haven</t>
  </si>
  <si>
    <t>1285 Lucerne Loop Rd NE</t>
  </si>
  <si>
    <t>Winter Haven, FL  33881-9607</t>
  </si>
  <si>
    <t>(863) 401-6802</t>
  </si>
  <si>
    <t>1285 Lucer_</t>
  </si>
  <si>
    <t>(706) 864-8757</t>
  </si>
  <si>
    <t>Forward Technology</t>
  </si>
  <si>
    <t>260 Jenks Ave SW</t>
  </si>
  <si>
    <t>Cokato, MN 55321</t>
  </si>
  <si>
    <t>(320) 286-2578</t>
  </si>
  <si>
    <t>260 Jenks Ave SW, Phone: nan pleas_</t>
  </si>
  <si>
    <t>232 Industrial Park Drive North, Phon_</t>
  </si>
  <si>
    <t>(812) 546-5734</t>
  </si>
  <si>
    <t>Fox Equipment, LLC</t>
  </si>
  <si>
    <t>Green Cove Springs, FL  32043</t>
  </si>
  <si>
    <t>(904) 531-3150</t>
  </si>
  <si>
    <t>965 Bunker Avenue; Phone: nan pleas_</t>
  </si>
  <si>
    <t>(304) 335-6108</t>
  </si>
  <si>
    <t>Fox Valley Metal Tech</t>
  </si>
  <si>
    <t>1201 Parkview Road</t>
  </si>
  <si>
    <t>(920) 337-9303</t>
  </si>
  <si>
    <t>1201 Parkview Road, Phone: nan</t>
  </si>
  <si>
    <t>FPC- Greeneville</t>
  </si>
  <si>
    <t>(423) 638-4533</t>
  </si>
  <si>
    <t>(772) 468-4111</t>
  </si>
  <si>
    <t>1417 Forestdale Boulevard, Phone:</t>
  </si>
  <si>
    <t>(318) 628-3296</t>
  </si>
  <si>
    <t>(434) 832-3000</t>
  </si>
  <si>
    <t>Francisco ANoriegao</t>
  </si>
  <si>
    <t xml:space="preserve">AveJose De Fabrega No15, Apdo0819-05230 </t>
  </si>
  <si>
    <t>Panama, Repof Panama 8120509</t>
  </si>
  <si>
    <t>507-6614-7607</t>
  </si>
  <si>
    <t>AveJose De Fabrega No15, Apdo081_</t>
  </si>
  <si>
    <t>(503) 897-2371</t>
  </si>
  <si>
    <t>Franklin Electrofluid- Memphis</t>
  </si>
  <si>
    <t>3854 Watman Avenue; Phon_</t>
  </si>
  <si>
    <t>Franklin Lumber Company</t>
  </si>
  <si>
    <t>629 Carrville Hwy</t>
  </si>
  <si>
    <t>Franklin, VA  23851</t>
  </si>
  <si>
    <t>757) 304-5200</t>
  </si>
  <si>
    <t>629 Carrville Hwy; Phone: nan please</t>
  </si>
  <si>
    <t>Franklin MFG - Russellville</t>
  </si>
  <si>
    <t>Hwy 243 Industrial Park, Phone: (256)_</t>
  </si>
  <si>
    <t>(337) 233-0303</t>
  </si>
  <si>
    <t>700 East Verot School Rd, Phone: nan_</t>
  </si>
  <si>
    <t>(301) 831-8094</t>
  </si>
  <si>
    <t>4120 Buckeystown Pike; Phone: nan</t>
  </si>
  <si>
    <t>(608) 754-2710</t>
  </si>
  <si>
    <t>(503) 859-2121</t>
  </si>
  <si>
    <t>FRESHPET INC</t>
  </si>
  <si>
    <t>4800 Sterilite Dr.</t>
  </si>
  <si>
    <t>Ennis, TX  75119-7802</t>
  </si>
  <si>
    <t>(469) 988-5757</t>
  </si>
  <si>
    <t>4800 Sterilite Dr, Phone: nan please respond</t>
  </si>
  <si>
    <t>(603) 744-1600</t>
  </si>
  <si>
    <t>(218) 844-4437</t>
  </si>
  <si>
    <t>Frischkorn</t>
  </si>
  <si>
    <t>Tranters Creek Dr</t>
  </si>
  <si>
    <t>Motion- NC54's Customer</t>
  </si>
  <si>
    <t>(252) 946-8071</t>
  </si>
  <si>
    <t>Tranters Creek Dr; Phone: nan please respond with</t>
  </si>
  <si>
    <t>Frischkorn- Hampton</t>
  </si>
  <si>
    <t>757) 262-5000</t>
  </si>
  <si>
    <t>(706) 746-5004</t>
  </si>
  <si>
    <t>121 SWichita Street</t>
  </si>
  <si>
    <t>(316) 796-0930</t>
  </si>
  <si>
    <t>121 SWichita Street, Phone: nan plea_</t>
  </si>
  <si>
    <t>(931) 528-1732</t>
  </si>
  <si>
    <t>(704) 539 .</t>
  </si>
  <si>
    <t>179 Lumber Drive; Phone: (704) 539 .</t>
  </si>
  <si>
    <t>(256) 332-6652</t>
  </si>
  <si>
    <t>(337) 783-7762</t>
  </si>
  <si>
    <t>284 Richert Rd</t>
  </si>
  <si>
    <t>Wood Dale, IL  60191</t>
  </si>
  <si>
    <t>(630) 595-2340</t>
  </si>
  <si>
    <t>284 Richert Rd; Phone: nan please respond</t>
  </si>
  <si>
    <t>(509) 946-3201</t>
  </si>
  <si>
    <t>(205) 685-9003</t>
  </si>
  <si>
    <t>67 Mission Hills Park, Phone: 205-685-9003 please</t>
  </si>
  <si>
    <t>G.H. Tool &amp; Mold Inc</t>
  </si>
  <si>
    <t>28 Chamber Dr</t>
  </si>
  <si>
    <t>Washington, MO  63090-5279</t>
  </si>
  <si>
    <t>(636) 390-2424</t>
  </si>
  <si>
    <t>28 Chamber Dr; Phone: nan please</t>
  </si>
  <si>
    <t>GABraun- Syracuse</t>
  </si>
  <si>
    <t>(800) 432-7286</t>
  </si>
  <si>
    <t>79 General Irwin Boulevard, Syracuse, NY 13212</t>
  </si>
  <si>
    <t>192 Wiggins St</t>
  </si>
  <si>
    <t>(256) 442-1361</t>
  </si>
  <si>
    <t>192 Wiggins St, Phone: 256-442-1361_</t>
  </si>
  <si>
    <t>(802) 483-6550</t>
  </si>
  <si>
    <t>(732) 738-4222</t>
  </si>
  <si>
    <t>(409) 842-1000</t>
  </si>
  <si>
    <t>8825 Eastex Freeway, Phone: nan</t>
  </si>
  <si>
    <t>(814) 535-6766</t>
  </si>
  <si>
    <t>Garcor Supply Co., Inc.</t>
  </si>
  <si>
    <t>1736 S. Miller Ave.</t>
  </si>
  <si>
    <t>Marion, IN  46953</t>
  </si>
  <si>
    <t>(765) 664-0601</t>
  </si>
  <si>
    <t>1736 S. Miller Ave-, Phone: nan pleas_</t>
  </si>
  <si>
    <t>3509 Us</t>
  </si>
  <si>
    <t>(870) 862-4640</t>
  </si>
  <si>
    <t>Gates Rubber - Jefferson</t>
  </si>
  <si>
    <t>101 Gates Ln, Phone: (336) 246-7185</t>
  </si>
  <si>
    <t>Gates Rubber - Siloam Springs</t>
  </si>
  <si>
    <t>(479) 524-8164</t>
  </si>
  <si>
    <t>1801 N Lincoln St, Phone:</t>
  </si>
  <si>
    <t>715 E 9Th St, Phone:</t>
  </si>
  <si>
    <t>Gatlinoration - Brookhaven</t>
  </si>
  <si>
    <t>(601) 833-.</t>
  </si>
  <si>
    <t>58 Hwy 84 East; Phone: (601) 833-.</t>
  </si>
  <si>
    <t>(507) 289-0731</t>
  </si>
  <si>
    <t>461 Haining Rd</t>
  </si>
  <si>
    <t>Vicksburg, MS39180</t>
  </si>
  <si>
    <t>461 Haining Rd; Phone: nan please respond</t>
  </si>
  <si>
    <t>2328 Point Mallard Dr SE</t>
  </si>
  <si>
    <t>Decatur, AL  35601-6742</t>
  </si>
  <si>
    <t>2328 Point Mallard Dr SE, Phone: nan</t>
  </si>
  <si>
    <t>Gear Products</t>
  </si>
  <si>
    <t>1111 N161st East Avenue</t>
  </si>
  <si>
    <t>(918) 298-8300</t>
  </si>
  <si>
    <t>1111 N161st East Avenue; Phone: nan please</t>
  </si>
  <si>
    <t>(989) 658-8557</t>
  </si>
  <si>
    <t>Gen Pak</t>
  </si>
  <si>
    <t>3255 Thomason Avenue</t>
  </si>
  <si>
    <t>(334) 264-5927</t>
  </si>
  <si>
    <t>3255 Thomason Avenue; Phone: nan please respond_</t>
  </si>
  <si>
    <t>7627 Zero Rd, Phone: (573) 834 _</t>
  </si>
  <si>
    <t>(256) 542-1305</t>
  </si>
  <si>
    <t>1410 S Post Rd, Phone: (317_</t>
  </si>
  <si>
    <t>(757) 857-0153</t>
  </si>
  <si>
    <t>(770) 784-2500</t>
  </si>
  <si>
    <t>General Mills - St. Charles</t>
  </si>
  <si>
    <t>3850 Millstone Parkway</t>
  </si>
  <si>
    <t>St. Charles, MO  63301</t>
  </si>
  <si>
    <t>(636) 699-8163</t>
  </si>
  <si>
    <t>3850 Millstone Parkway, Phone: nan</t>
  </si>
  <si>
    <t>General Motors- Oklahoma City</t>
  </si>
  <si>
    <t>GENERAL SHALE BRICK</t>
  </si>
  <si>
    <t>241 HOYAL LN</t>
  </si>
  <si>
    <t>SPRING CITY, TN 37381</t>
  </si>
  <si>
    <t>(423) 365-2444</t>
  </si>
  <si>
    <t>241 HOYAL LN, Phone: nan please</t>
  </si>
  <si>
    <t>(276) 783-3156</t>
  </si>
  <si>
    <t>(919) 774-6533</t>
  </si>
  <si>
    <t>300 Brick Plant Road, Phone: nan</t>
  </si>
  <si>
    <t>(507) 332-7421</t>
  </si>
  <si>
    <t>GENuclear Energy - San Jose</t>
  </si>
  <si>
    <t>(408) 925-1000</t>
  </si>
  <si>
    <t>GEON Performance</t>
  </si>
  <si>
    <t>552 Moore Rd</t>
  </si>
  <si>
    <t>Avon Lake, OH  44012-2313</t>
  </si>
  <si>
    <t>(800) 438-4366</t>
  </si>
  <si>
    <t>552 Moore Rd, Phone: nan please</t>
  </si>
  <si>
    <t>(843) 546-2525</t>
  </si>
  <si>
    <t>Highway 25</t>
  </si>
  <si>
    <t>(404) 894-2000</t>
  </si>
  <si>
    <t>(205) 932-3246</t>
  </si>
  <si>
    <t>545 CO Rd #6, Phone: nan please</t>
  </si>
  <si>
    <t>(936) 398-2511</t>
  </si>
  <si>
    <t>FM 62, Phone: nan please respond wi_</t>
  </si>
  <si>
    <t>(229) 372-5325</t>
  </si>
  <si>
    <t>12551 Highway 273 W, Phon_</t>
  </si>
  <si>
    <t>(281) 592-0563</t>
  </si>
  <si>
    <t>12936 FM 787W, Phone: nan please</t>
  </si>
  <si>
    <t>(601) 736-7181</t>
  </si>
  <si>
    <t>Georgia Pacific - Corrigan</t>
  </si>
  <si>
    <t>800 Industrial Road  Hwy 59 North</t>
  </si>
  <si>
    <t>Corrigan, TX  75939-2204</t>
  </si>
  <si>
    <t>(936) 398-2521</t>
  </si>
  <si>
    <t>800 Industrial Road Hwy 59 North,</t>
  </si>
  <si>
    <t>(352) 498-7227</t>
  </si>
  <si>
    <t>59 NE 132ND Ave; Phone: 352-498_</t>
  </si>
  <si>
    <t>(870) 567-8000</t>
  </si>
  <si>
    <t>100 Mill Supply Rd; Phone: nan pleas</t>
  </si>
  <si>
    <t>2457-B Old Mount Olive Hwy</t>
  </si>
  <si>
    <t>(919) 736-4385</t>
  </si>
  <si>
    <t>2457-B Old Mount Olive Hwy, Phone:</t>
  </si>
  <si>
    <t>(870) 863-4182</t>
  </si>
  <si>
    <t>Georgia Pacific - Fordyce</t>
  </si>
  <si>
    <t>1 Georgia Pacfic Drive</t>
  </si>
  <si>
    <t>Fordyce, AR 71742</t>
  </si>
  <si>
    <t>(870) 352-7252</t>
  </si>
  <si>
    <t>1 Georgia Pacfic Drive; Phone: nan</t>
  </si>
  <si>
    <t>(870) 353-4474</t>
  </si>
  <si>
    <t>(352) 481-0427</t>
  </si>
  <si>
    <t>223 Gordon Chapel Road, Phone:</t>
  </si>
  <si>
    <t>(580) 286-9470</t>
  </si>
  <si>
    <t>(615) 443-3148</t>
  </si>
  <si>
    <t>1001 Maddox Simpson Pkwy, Phone:</t>
  </si>
  <si>
    <t>(662) 773-9211</t>
  </si>
  <si>
    <t>Georgia Pacific - Madison, GA</t>
  </si>
  <si>
    <t>1400 Woodkraft Road</t>
  </si>
  <si>
    <t>Madison, GA 30650</t>
  </si>
  <si>
    <t>Timber Automation/Price Log Pro</t>
  </si>
  <si>
    <t>(706) 342-4300</t>
  </si>
  <si>
    <t>1400 Woodkraft Road, Phone: nan</t>
  </si>
  <si>
    <t>(601) 964-8577</t>
  </si>
  <si>
    <t>215 Co Rd 215</t>
  </si>
  <si>
    <t>3863287669</t>
  </si>
  <si>
    <t>215 Co Rd 215,Phone: 3863287669</t>
  </si>
  <si>
    <t>Georgia Pacific - Pennington</t>
  </si>
  <si>
    <t>7530 Highway 114</t>
  </si>
  <si>
    <t>Pennington, AL 36916-7100</t>
  </si>
  <si>
    <t>(205) 459-1900</t>
  </si>
  <si>
    <t>7530 Highway 114,Phone: nan</t>
  </si>
  <si>
    <t>(601) 322-7241</t>
  </si>
  <si>
    <t>Highway 28 W, Phone: (601) 785-_</t>
  </si>
  <si>
    <t>(706) 663-2275</t>
  </si>
  <si>
    <t>5875 Chipley Highway, Phon_</t>
  </si>
  <si>
    <t>(770) 607-3536</t>
  </si>
  <si>
    <t>Georgia Power - Plant Hammond</t>
  </si>
  <si>
    <t>5963 Alabama HwySw</t>
  </si>
  <si>
    <t>5963 Alabama Hwy Sw; Rome; GA 30165</t>
  </si>
  <si>
    <t>Georgia Power - Scherer</t>
  </si>
  <si>
    <t>10986 GA Hwy 87</t>
  </si>
  <si>
    <t>Juliette, GA 31046</t>
  </si>
  <si>
    <t>10986 GA Hwy 87,Phone: nan please_</t>
  </si>
  <si>
    <t>GEPeebles Test Op - Peebles</t>
  </si>
  <si>
    <t>937-587-4220</t>
  </si>
  <si>
    <t>Gerdan Ameristeel - Calvert</t>
  </si>
  <si>
    <t>Motion- Pudacah, KY's Customer</t>
  </si>
  <si>
    <t>270-395-3100</t>
  </si>
  <si>
    <t>1035 Shor-Cal Road, Phone: nan</t>
  </si>
  <si>
    <t>Gerdau Ameristeel - Baldwin</t>
  </si>
  <si>
    <t>Motion- Jacksonville, FL's Customer</t>
  </si>
  <si>
    <t>16670 Rebar Road, Phone: nan</t>
  </si>
  <si>
    <t>Gerdau Ameristeel - Knoxville</t>
  </si>
  <si>
    <t>1919 Tennessee Avenue</t>
  </si>
  <si>
    <t>Knoxville, TN 37921</t>
  </si>
  <si>
    <t>865-546-0102</t>
  </si>
  <si>
    <t>1919 Tennessee Avenue; Phone:</t>
  </si>
  <si>
    <t>GFPuhl - Goodlettsville</t>
  </si>
  <si>
    <t>615-230-9500</t>
  </si>
  <si>
    <t>GHX Jacksonville Westside</t>
  </si>
  <si>
    <t>6582 Commonwealth Ave</t>
  </si>
  <si>
    <t>Jacksonville, FL  32254-2216</t>
  </si>
  <si>
    <t>904-781-6082</t>
  </si>
  <si>
    <t>6582 Commonwealth Ave, Phone:</t>
  </si>
  <si>
    <t>216-441-8300</t>
  </si>
  <si>
    <t>704-922-3161</t>
  </si>
  <si>
    <t>(405)</t>
  </si>
  <si>
    <t>4235 S Eastern Ave; Phone: (405)</t>
  </si>
  <si>
    <t>Gilbert Engineering Systems</t>
  </si>
  <si>
    <t>252-257-0539</t>
  </si>
  <si>
    <t>Ed</t>
  </si>
  <si>
    <t>632 Warrenton Embro Road, Phon_</t>
  </si>
  <si>
    <t>801-489-0460</t>
  </si>
  <si>
    <t>Gilman - Janesville</t>
  </si>
  <si>
    <t>912-449-6605</t>
  </si>
  <si>
    <t>4804 Gilman Rd, Phone:</t>
  </si>
  <si>
    <t>Gilman Building Products - Dudley</t>
  </si>
  <si>
    <t>3780 Hwy 80 West; Phone:</t>
  </si>
  <si>
    <t>Gilman Building Products - Lake Butler</t>
  </si>
  <si>
    <t>386-496-1463</t>
  </si>
  <si>
    <t>HWY 100 EAST, Phone: na_</t>
  </si>
  <si>
    <t>1509 South Byron Butler Pkwy</t>
  </si>
  <si>
    <t>1509 South Byron Butler Pk_</t>
  </si>
  <si>
    <t>480-435-4828</t>
  </si>
  <si>
    <t>1190 Roby Barton Rd; Phone: nan please respond wi_</t>
  </si>
  <si>
    <t>(419) 238-.</t>
  </si>
  <si>
    <t>1180 Kear Rd, Phone: (419) 238-.</t>
  </si>
  <si>
    <t>734-722-8104</t>
  </si>
  <si>
    <t>27 Allen Street</t>
  </si>
  <si>
    <t>Hudson Falls, NY 12839</t>
  </si>
  <si>
    <t>27 Allen Street, Phone: nan please</t>
  </si>
  <si>
    <t>Glenmarc MFG - Mundelein</t>
  </si>
  <si>
    <t>312-243-0800</t>
  </si>
  <si>
    <t>913-780-0300</t>
  </si>
  <si>
    <t>8000 Global Drive; Phone: nan please</t>
  </si>
  <si>
    <t>Globe Machine MFG</t>
  </si>
  <si>
    <t>701 East D Street, Phone: 253-383-._</t>
  </si>
  <si>
    <t>810-236-5380</t>
  </si>
  <si>
    <t>GM/Major Tooling Lab</t>
  </si>
  <si>
    <t>586-947 --</t>
  </si>
  <si>
    <t>33500 Mound Road, Phone: 586-947 --</t>
  </si>
  <si>
    <t>3001 Fairfa.</t>
  </si>
  <si>
    <t>Golden Aluminum, Inc.</t>
  </si>
  <si>
    <t>1405 East 14th Street</t>
  </si>
  <si>
    <t>1405 East 14th Street, Phone: nan</t>
  </si>
  <si>
    <t>(626) 465-7500</t>
  </si>
  <si>
    <t>640 South 6th Avenue; Phone: nan</t>
  </si>
  <si>
    <t>Golden State Foods - Opelika</t>
  </si>
  <si>
    <t>4801 Northpark Dr.</t>
  </si>
  <si>
    <t>Opelika, AL  36801</t>
  </si>
  <si>
    <t>(334) 610-3335</t>
  </si>
  <si>
    <t>4801 Northpark Dr , Phone: nan</t>
  </si>
  <si>
    <t>Goodyear - Danville</t>
  </si>
  <si>
    <t>1901 Goodyear Blvd</t>
  </si>
  <si>
    <t>Danville, VA 24541</t>
  </si>
  <si>
    <t>(434) 791-9200</t>
  </si>
  <si>
    <t>1901 Goodyear Blvd, Phone: nan</t>
  </si>
  <si>
    <t>Goodyear - Fayetteville</t>
  </si>
  <si>
    <t>Fayetteville, NC 28311</t>
  </si>
  <si>
    <t>910-206-1192</t>
  </si>
  <si>
    <t>Matt Bower</t>
  </si>
  <si>
    <t>6650 Ramsey Street; Phone: 910-206 _</t>
  </si>
  <si>
    <t>Goodyear - Topeka</t>
  </si>
  <si>
    <t>(785) 295-7111</t>
  </si>
  <si>
    <t>2000 NW Hwy 24,Phone: nan please respond_</t>
  </si>
  <si>
    <t>Goodyear Tire &amp; Rubber - Akron</t>
  </si>
  <si>
    <t>1144 East Market Street;</t>
  </si>
  <si>
    <t>500 19th Ave SE, Phone: (25_</t>
  </si>
  <si>
    <t>Gordon</t>
  </si>
  <si>
    <t>318-747-8954</t>
  </si>
  <si>
    <t>5023 Hazel Jones, Phone: nan please respond with</t>
  </si>
  <si>
    <t>(715) 359-6101</t>
  </si>
  <si>
    <t>Got Hydraulics LLC</t>
  </si>
  <si>
    <t>120 Lomax Rd</t>
  </si>
  <si>
    <t>Los Fesnos, TX 78566</t>
  </si>
  <si>
    <t>(956) 350-4588</t>
  </si>
  <si>
    <t>120 Lomax Rd, Phone: nan please</t>
  </si>
  <si>
    <t>(518) 463-0700</t>
  </si>
  <si>
    <t>Goulds Pumps / Turbine Foundry</t>
  </si>
  <si>
    <t>(806) 828-6204</t>
  </si>
  <si>
    <t>1470 Industrial Drive, Phone:</t>
  </si>
  <si>
    <t>Grainger</t>
  </si>
  <si>
    <t>455 Knights Bridge Parkway, Phone: 847-793-6406</t>
  </si>
  <si>
    <t>1-616-884-7100</t>
  </si>
  <si>
    <t>Granges Americas</t>
  </si>
  <si>
    <t>3814 Highway 67 N</t>
  </si>
  <si>
    <t>Newport, AR  72112-2769</t>
  </si>
  <si>
    <t>1-870-523-7300</t>
  </si>
  <si>
    <t>3814 Highway 67 N, Phone: nan please</t>
  </si>
  <si>
    <t>Graphic Packaging</t>
  </si>
  <si>
    <t>1000 Jonesboro Road PLT #31</t>
  </si>
  <si>
    <t>1-318-362-2000</t>
  </si>
  <si>
    <t>1000 Jonesboro Road PLT #31,Phon_</t>
  </si>
  <si>
    <t>1-580-874-2211</t>
  </si>
  <si>
    <t>1-630-574-3000</t>
  </si>
  <si>
    <t>2122 York Road, Phone:</t>
  </si>
  <si>
    <t>Great Lakes Finishing</t>
  </si>
  <si>
    <t>510 West Hackley</t>
  </si>
  <si>
    <t>Muskegon, MI 49444</t>
  </si>
  <si>
    <t>1-231-733-9566</t>
  </si>
  <si>
    <t>510 West</t>
  </si>
  <si>
    <t>1-270-677-2161</t>
  </si>
  <si>
    <t>Great South Timber &amp; Lumber</t>
  </si>
  <si>
    <t>1135 SE State Road 100</t>
  </si>
  <si>
    <t>Lake City, FL 32025</t>
  </si>
  <si>
    <t>1-386-752-3774</t>
  </si>
  <si>
    <t>1135 SE State Road 100,Phone:</t>
  </si>
  <si>
    <t>1-920-433-5000</t>
  </si>
  <si>
    <t>1601 N Quincy Street; Phone_</t>
  </si>
  <si>
    <t>Green Bay Packaging- Pinecrest</t>
  </si>
  <si>
    <t>3610 US 64</t>
  </si>
  <si>
    <t>Plumerville, AR  72127</t>
  </si>
  <si>
    <t>1-501-354-4627</t>
  </si>
  <si>
    <t>3610 US 64,Phone: nan</t>
  </si>
  <si>
    <t>1-603-889-4101</t>
  </si>
  <si>
    <t>1-901-466-7300</t>
  </si>
  <si>
    <t>200 Morgan St, Phone_</t>
  </si>
  <si>
    <t>1-724-834-5210</t>
  </si>
  <si>
    <t>1-606-462-1292</t>
  </si>
  <si>
    <t>746 Muses Mill Road, Phone: nan</t>
  </si>
  <si>
    <t>Greif BrosCorp- Charlotte</t>
  </si>
  <si>
    <t>1-704-588-3895</t>
  </si>
  <si>
    <t>Greif Corp</t>
  </si>
  <si>
    <t>787 Warmington St SW</t>
  </si>
  <si>
    <t>Massillon, OH  44646</t>
  </si>
  <si>
    <t>1-330-879-2102</t>
  </si>
  <si>
    <t>787 Warmington St SW; Phone: nan please respond</t>
  </si>
  <si>
    <t>Griffin Lumber - Cordell</t>
  </si>
  <si>
    <t>1603 Drayton Road</t>
  </si>
  <si>
    <t>1-229-273-3113</t>
  </si>
  <si>
    <t>1603 Drayton Road; Phone: nan pleas_</t>
  </si>
  <si>
    <t>1-434-845-8021</t>
  </si>
  <si>
    <t>Griffin Tool</t>
  </si>
  <si>
    <t>2951 Johnson Road</t>
  </si>
  <si>
    <t>Stevensville, MI 49127</t>
  </si>
  <si>
    <t>1-269-429-4077</t>
  </si>
  <si>
    <t>2951 Johnson Road, Phone: nan please respond wit_</t>
  </si>
  <si>
    <t>1-319-523-6000</t>
  </si>
  <si>
    <t>611</t>
  </si>
  <si>
    <t>1-217-482-5479</t>
  </si>
  <si>
    <t>400 East Cotton St</t>
  </si>
  <si>
    <t>1-903-693-2311</t>
  </si>
  <si>
    <t>400 East Cotton St, Phone: 903-407-5494 please</t>
  </si>
  <si>
    <t>207 Prospect Avenue; Phone: (314_</t>
  </si>
  <si>
    <t>7301 Pinemont Dr</t>
  </si>
  <si>
    <t>1-713-675-4747</t>
  </si>
  <si>
    <t>7301 Pinemont Dr; Phone: 713-934- _</t>
  </si>
  <si>
    <t>1-865-481-0222</t>
  </si>
  <si>
    <t>5050 S Town Drive; Phone: (800) 261-_</t>
  </si>
  <si>
    <t>GTS</t>
  </si>
  <si>
    <t>1587 College Park Business Center Road</t>
  </si>
  <si>
    <t>Orlando, FL 32804, USA</t>
  </si>
  <si>
    <t>(407) 532-7600</t>
  </si>
  <si>
    <t>1-407-532-7600</t>
  </si>
  <si>
    <t>1587</t>
  </si>
  <si>
    <t>1-440-232-5887</t>
  </si>
  <si>
    <t>(800).</t>
  </si>
  <si>
    <t>1-337-365-0459</t>
  </si>
  <si>
    <t>7608</t>
  </si>
  <si>
    <t>1-281-219-0465</t>
  </si>
  <si>
    <t>2650 Matilda Drive, Phone: nan</t>
  </si>
  <si>
    <t>Gulf States Hyd</t>
  </si>
  <si>
    <t>3111 Jack Brooks Rdoff Hwy90 East</t>
  </si>
  <si>
    <t>1-337-365-4342</t>
  </si>
  <si>
    <t>3111 Jack Brooks Rdoff Hwy90 East; Phone:</t>
  </si>
  <si>
    <t>Gulf States Paper - Demopolis</t>
  </si>
  <si>
    <t>1-334-289-1242</t>
  </si>
  <si>
    <t>28270 Us Highway 80 West;</t>
  </si>
  <si>
    <t>11201 US Hwy 431,Phon_</t>
  </si>
  <si>
    <t>1-509-758-5558</t>
  </si>
  <si>
    <t>575 37th Street North, Phone: (205)</t>
  </si>
  <si>
    <t>912 19 1/2 Road, Phone: (970) 858-7442</t>
  </si>
  <si>
    <t>1-989-983-2800</t>
  </si>
  <si>
    <t>Warren, MIÂ  48091</t>
  </si>
  <si>
    <t>Easley, SC 29642</t>
  </si>
  <si>
    <t>Haasco - Evansville</t>
  </si>
  <si>
    <t>Evansville; IN 47711</t>
  </si>
  <si>
    <t>Haasco - Henderson</t>
  </si>
  <si>
    <t>27 US Highway 41 S, Phone: (800) 73_</t>
  </si>
  <si>
    <t>(860) 632-2211</t>
  </si>
  <si>
    <t>200 General Street, Phone: nan pleas_</t>
  </si>
  <si>
    <t>(301) 733-3510</t>
  </si>
  <si>
    <t>Haier US Appliance Solution</t>
  </si>
  <si>
    <t>2328 Point Mallard Drive, Phone:</t>
  </si>
  <si>
    <t>Hajocaoration - Emporia</t>
  </si>
  <si>
    <t>506 Funston St, Phone: (316) 342-71_</t>
  </si>
  <si>
    <t>(503) 842-6641</t>
  </si>
  <si>
    <t>(336) 593-2022</t>
  </si>
  <si>
    <t>804E Park Ave</t>
  </si>
  <si>
    <t>(847) 990-7700</t>
  </si>
  <si>
    <t>804E Park</t>
  </si>
  <si>
    <t>Hanson Mold - StJoseph</t>
  </si>
  <si>
    <t>(269) 429-5555</t>
  </si>
  <si>
    <t>(301) 621-1657</t>
  </si>
  <si>
    <t>7970 Waterloo Road, Phone: nan</t>
  </si>
  <si>
    <t>Han-Tek - Victor</t>
  </si>
  <si>
    <t>(585) 924-2200</t>
  </si>
  <si>
    <t>2595 Ensley / Pleasant Grove Rd</t>
  </si>
  <si>
    <t>(205) 787-2691</t>
  </si>
  <si>
    <t>2595 Ensley</t>
  </si>
  <si>
    <t>Harrah's Hose &amp; Hyd</t>
  </si>
  <si>
    <t>4430 Hanson Rd</t>
  </si>
  <si>
    <t>Madisonville, KY 42431</t>
  </si>
  <si>
    <t>127082543.</t>
  </si>
  <si>
    <t>4430 Hanson Rd, Phone: 127082543.</t>
  </si>
  <si>
    <t>Jekyll Road, Phone: (912) 367-466_</t>
  </si>
  <si>
    <t>nan, Phone: nan_</t>
  </si>
  <si>
    <t>(256) 859-3660</t>
  </si>
  <si>
    <t>4910 Moores Mill Road NE, Phone:</t>
  </si>
  <si>
    <t>(616) 392-7855</t>
  </si>
  <si>
    <t>(734) 475-8628</t>
  </si>
  <si>
    <t>HAVCO Wood Products</t>
  </si>
  <si>
    <t>150 Oak Drive</t>
  </si>
  <si>
    <t>Vonore, TN  37885</t>
  </si>
  <si>
    <t>(423) 884-6641</t>
  </si>
  <si>
    <t>150 Oak Drive; Phone: nan please</t>
  </si>
  <si>
    <t>Haven MFG - Brunswick</t>
  </si>
  <si>
    <t>(912) 265-7536</t>
  </si>
  <si>
    <t>(808) 676-0214</t>
  </si>
  <si>
    <t>803 Ahua Street, Phone: nan</t>
  </si>
  <si>
    <t>400 Dairy Road, Phone:</t>
  </si>
  <si>
    <t>(319) 394-3197</t>
  </si>
  <si>
    <t>(608) 534-6156</t>
  </si>
  <si>
    <t>23830 E Ath Street, Phone: nan pleas_</t>
  </si>
  <si>
    <t>Hawkeye Products</t>
  </si>
  <si>
    <t>551 3rd Ave SE</t>
  </si>
  <si>
    <t>Britt, IA 50423</t>
  </si>
  <si>
    <t>641-843-4431</t>
  </si>
  <si>
    <t>(641) 843-4431</t>
  </si>
  <si>
    <t>551 3rd Ave SE, Phone: 641-843-4431_</t>
  </si>
  <si>
    <t>Hayes MFG - Pineville</t>
  </si>
  <si>
    <t>(318) 487-0100</t>
  </si>
  <si>
    <t>106 Pelican Drive; Phone: nan please</t>
  </si>
  <si>
    <t>(660) 827-3640</t>
  </si>
  <si>
    <t>(765) 456-6012</t>
  </si>
  <si>
    <t>2000 West</t>
  </si>
  <si>
    <t>Haynes International - Arcadia</t>
  </si>
  <si>
    <t>(318)</t>
  </si>
  <si>
    <t>3786 2Nd St, Phone: (318)</t>
  </si>
  <si>
    <t>Haynes International - Kokomo</t>
  </si>
  <si>
    <t>1020 W Park Ave; Phone:</t>
  </si>
  <si>
    <t>(706) 275-0345</t>
  </si>
  <si>
    <t>(651) 345-5631</t>
  </si>
  <si>
    <t>300 Park Place_</t>
  </si>
  <si>
    <t>HEBrowder Veneer Co</t>
  </si>
  <si>
    <t>14751 Lapine Hwy</t>
  </si>
  <si>
    <t>Highland Home, AL 36041</t>
  </si>
  <si>
    <t>(334) 537-4454</t>
  </si>
  <si>
    <t>(334) 537 --</t>
  </si>
  <si>
    <t>14751 Lapine Hwy, Phone: (334) 537 --</t>
  </si>
  <si>
    <t>Henry APetter Supply - MtVernon</t>
  </si>
  <si>
    <t>MtVernon,IL 62864</t>
  </si>
  <si>
    <t>618-242-8987</t>
  </si>
  <si>
    <t>(502)</t>
  </si>
  <si>
    <t>Henry MWood - Cincinnati</t>
  </si>
  <si>
    <t>3151 Eastern Avenue; Phone: (800)</t>
  </si>
  <si>
    <t>Henry MWood - Dayton</t>
  </si>
  <si>
    <t>614-330-4279</t>
  </si>
  <si>
    <t>135 West Dorothy Lane Suite 105,</t>
  </si>
  <si>
    <t>Henry MWood - Indianapolis</t>
  </si>
  <si>
    <t>5172 E65th Street</t>
  </si>
  <si>
    <t>(317)</t>
  </si>
  <si>
    <t>5172 E65th Street; Phone: (317)</t>
  </si>
  <si>
    <t>Henry MWood - Lexington</t>
  </si>
  <si>
    <t>(859) 277-</t>
  </si>
  <si>
    <t>312 Crillon Drive, Phone: (859) 277-</t>
  </si>
  <si>
    <t>Henry MWood - Worthington</t>
  </si>
  <si>
    <t>808 High Street; Phone: (614) 888- _</t>
  </si>
  <si>
    <t>Heraeus Metal Processing</t>
  </si>
  <si>
    <t>1975 Knoxville Hwy</t>
  </si>
  <si>
    <t>Wartburg, TN  37887-3726</t>
  </si>
  <si>
    <t>423-346-8200</t>
  </si>
  <si>
    <t>1975 Knoxville Hwy; Phone: nan pleas_</t>
  </si>
  <si>
    <t>Hercules- Brunswick</t>
  </si>
  <si>
    <t>912-265-3550</t>
  </si>
  <si>
    <t>Hercules Hyd - Clearwater</t>
  </si>
  <si>
    <t>1016 NBelcher Road</t>
  </si>
  <si>
    <t>1016 NBelcher Road, Phone: (800)</t>
  </si>
  <si>
    <t>Hettinga Equip - Clive</t>
  </si>
  <si>
    <t>(515) 270-.</t>
  </si>
  <si>
    <t>2123 Nw 111St Ct; Phone: (515) 270-.</t>
  </si>
  <si>
    <t>HEVannatter - Detroit</t>
  </si>
  <si>
    <t>(256) 355 .</t>
  </si>
  <si>
    <t>3300 Mallard Fox Drive NW, Phone: (256) 355 .</t>
  </si>
  <si>
    <t>870-765-2211</t>
  </si>
  <si>
    <t>Motion- Sheboygan's Customer</t>
  </si>
  <si>
    <t>725 Fremont Street; Phone: nan please respond with</t>
  </si>
  <si>
    <t>Hi TEQ - Miamisburg</t>
  </si>
  <si>
    <t>937-847-0630</t>
  </si>
  <si>
    <t>Hickman Lumber - Emlenton</t>
  </si>
  <si>
    <t>4965 Emlenton - Clintonville Rd</t>
  </si>
  <si>
    <t>724-867-9441</t>
  </si>
  <si>
    <t>4965 Emlenton</t>
  </si>
  <si>
    <t xml:space="preserve">High Level Forest Pr - </t>
  </si>
  <si>
    <t>, T0H 1Z0</t>
  </si>
  <si>
    <t>604-895-2700</t>
  </si>
  <si>
    <t>Old Macon Rdoff Hwy158 West of Vaughn</t>
  </si>
  <si>
    <t>Old Macon Rdoff Hwy158 West of Vaughn, Phone:</t>
  </si>
  <si>
    <t>985 Old Mason Hwy</t>
  </si>
  <si>
    <t>434-949-7707</t>
  </si>
  <si>
    <t>985 Old Mason Hwy, Phone: nan please respond wit_</t>
  </si>
  <si>
    <t>618-654-2103</t>
  </si>
  <si>
    <t>Highland Threads</t>
  </si>
  <si>
    <t>11700 Gloger</t>
  </si>
  <si>
    <t>800-847-5713</t>
  </si>
  <si>
    <t>11700 Gloger; Phone: nan please respond wit_</t>
  </si>
  <si>
    <t xml:space="preserve">Hikae Aluminum </t>
  </si>
  <si>
    <t>615 Industrial Park Drive</t>
  </si>
  <si>
    <t>Ashville, AL  35953</t>
  </si>
  <si>
    <t>615 Industrial Park Drive; Phone: nan please</t>
  </si>
  <si>
    <t>Hiland Dairy Foods</t>
  </si>
  <si>
    <t>1133 E Kearney St</t>
  </si>
  <si>
    <t>Springfield, MO  65803</t>
  </si>
  <si>
    <t>417-862-9311</t>
  </si>
  <si>
    <t>1133 E Kearney St; Phone: nan please_</t>
  </si>
  <si>
    <t>8389 Zuercher Road, Phone: nan</t>
  </si>
  <si>
    <t>Hillshire Brands - Rome</t>
  </si>
  <si>
    <t>10 Darlington Dr SW</t>
  </si>
  <si>
    <t>Rome, GA  30161-4708</t>
  </si>
  <si>
    <t>706-378-3600</t>
  </si>
  <si>
    <t>10 Darlington Dr SW, Phone: nan</t>
  </si>
  <si>
    <t>918-252-6000</t>
  </si>
  <si>
    <t>14520 NE 91st Ct</t>
  </si>
  <si>
    <t>(425) 883-.</t>
  </si>
  <si>
    <t>14520 NE 91st Ct, Phone: (425) 883-.</t>
  </si>
  <si>
    <t>Hitachi - Edmore</t>
  </si>
  <si>
    <t>Edmore,MI 48829</t>
  </si>
  <si>
    <t>989-427-5151</t>
  </si>
  <si>
    <t>Hitachi Automotive Systems</t>
  </si>
  <si>
    <t>301 Mayde Rd</t>
  </si>
  <si>
    <t>Berea, KY  40403</t>
  </si>
  <si>
    <t>859-986-2359</t>
  </si>
  <si>
    <t>301 Mayde Rd; Phone: nan please</t>
  </si>
  <si>
    <t>912-366-9848</t>
  </si>
  <si>
    <t>820 Mississippi Street; Phone: (800)</t>
  </si>
  <si>
    <t>1000 INDUSTRIAL PARK, Phone:</t>
  </si>
  <si>
    <t>HMT Machine Tools, Inc.</t>
  </si>
  <si>
    <t>449 Deanna Lane</t>
  </si>
  <si>
    <t>Charleston, SC 29492</t>
  </si>
  <si>
    <t>843-832-4410</t>
  </si>
  <si>
    <t>449 Deanna Lane, Phone: nan please</t>
  </si>
  <si>
    <t>662-369-6153</t>
  </si>
  <si>
    <t>704 Highway 2_</t>
  </si>
  <si>
    <t>978-448-5812</t>
  </si>
  <si>
    <t>Hollywood MFG - Mandeville</t>
  </si>
  <si>
    <t>(985) 809-____</t>
  </si>
  <si>
    <t>Hollywood MfgCompany</t>
  </si>
  <si>
    <t>21507 Bayou Court; Phone: 985-893-_</t>
  </si>
  <si>
    <t>Holnam- Morgan</t>
  </si>
  <si>
    <t>801-829-3421</t>
  </si>
  <si>
    <t>618-337-8400</t>
  </si>
  <si>
    <t>Holten Meat Company - Sauget</t>
  </si>
  <si>
    <t>1682 Sauget Business Blvd</t>
  </si>
  <si>
    <t>Sauget, IL 62206</t>
  </si>
  <si>
    <t>1682 Sauget Business Blvd,</t>
  </si>
  <si>
    <t>Homan Forest Sawmill</t>
  </si>
  <si>
    <t>105 Homan Rd</t>
  </si>
  <si>
    <t>6662-862-2145</t>
  </si>
  <si>
    <t>Pat and Kendra</t>
  </si>
  <si>
    <t>662-862-2145</t>
  </si>
  <si>
    <t>105 Homan Rd, Phone: 6662-862-214_</t>
  </si>
  <si>
    <t>(513) 755-7200</t>
  </si>
  <si>
    <t>3520 Westmoor St</t>
  </si>
  <si>
    <t>+1 574-231-2000</t>
  </si>
  <si>
    <t>3520 Westmoor St, Phone_</t>
  </si>
  <si>
    <t>Hood - Wiggins</t>
  </si>
  <si>
    <t>(601) 928-7241</t>
  </si>
  <si>
    <t>Hood Container</t>
  </si>
  <si>
    <t>Winston Salem, NC  27107-3201</t>
  </si>
  <si>
    <t>(336) 784-0445</t>
  </si>
  <si>
    <t>555 Aureole St</t>
  </si>
  <si>
    <t>555 Aureole St; Phone: nan please respond</t>
  </si>
  <si>
    <t>(937) 382-6681</t>
  </si>
  <si>
    <t>1033 South Reynolds St</t>
  </si>
  <si>
    <t>(912) 487-3260</t>
  </si>
  <si>
    <t>1033 South Reynolds St, Phone: nan please respond</t>
  </si>
  <si>
    <t>(318) 932-5761</t>
  </si>
  <si>
    <t>711 Daytona</t>
  </si>
  <si>
    <t>(507) 437-5611</t>
  </si>
  <si>
    <t>nan; Phone: (507) 377-1400 please respond</t>
  </si>
  <si>
    <t>(803) 773-0532</t>
  </si>
  <si>
    <t>HosePower - El Paso</t>
  </si>
  <si>
    <t>9300 Billy the Kid Suite EE</t>
  </si>
  <si>
    <t>El Paso, TX 79907</t>
  </si>
  <si>
    <t>(915) 591-1400</t>
  </si>
  <si>
    <t>9300 Billy the Kid Suite EE, Phone: na_</t>
  </si>
  <si>
    <t>Houston Hydraulic</t>
  </si>
  <si>
    <t>8101 Pinemont Dr</t>
  </si>
  <si>
    <t>713-692-4421</t>
  </si>
  <si>
    <t>8101 Pinemont Dr; Phone: 713-692-4421</t>
  </si>
  <si>
    <t>(713) 675-7400</t>
  </si>
  <si>
    <t>(540) 740-4700</t>
  </si>
  <si>
    <t>Howmet Aerospace Inc</t>
  </si>
  <si>
    <t>17465 198th Ave NW</t>
  </si>
  <si>
    <t>Big Lake, MN  55309-4685</t>
  </si>
  <si>
    <t>(651) 635-4100</t>
  </si>
  <si>
    <t>17465 198th Ave NW; Phone: nan</t>
  </si>
  <si>
    <t>HPHyd - Thomasville</t>
  </si>
  <si>
    <t>1020 National Highway, Phone: (336)_</t>
  </si>
  <si>
    <t>(303) 449-9861</t>
  </si>
  <si>
    <t>(215) 368-2500</t>
  </si>
  <si>
    <t>2700 CLEMENS ROAD, Phone: nan please respond_</t>
  </si>
  <si>
    <t>(651) 423-6401</t>
  </si>
  <si>
    <t>Hub Plastics Midwest</t>
  </si>
  <si>
    <t>1700 Stahl Road</t>
  </si>
  <si>
    <t>Barnhart, MO  63012</t>
  </si>
  <si>
    <t>(636) 464-7100</t>
  </si>
  <si>
    <t>1700 Stahl Road, Phone: nan please</t>
  </si>
  <si>
    <t>Huber- Broussard</t>
  </si>
  <si>
    <t>(337) 837-3800</t>
  </si>
  <si>
    <t>Huber Engineered Woods</t>
  </si>
  <si>
    <t>2365 Cawood Rd</t>
  </si>
  <si>
    <t>Spring City, TN  37381-5659</t>
  </si>
  <si>
    <t>(423) 365-5556</t>
  </si>
  <si>
    <t>2365 Cawood Rd; Phone: nan please</t>
  </si>
  <si>
    <t>Humbolt Wedag- Pelham</t>
  </si>
  <si>
    <t>(985) 345-6181</t>
  </si>
  <si>
    <t>48177 Highway 51, Phone: nan</t>
  </si>
  <si>
    <t>Highway 51 North; Phone: nan please_</t>
  </si>
  <si>
    <t>1860 Hwy924</t>
  </si>
  <si>
    <t>(318) 765-3564</t>
  </si>
  <si>
    <t>1860 Hwy924, Phone: nan please</t>
  </si>
  <si>
    <t>628 South Oakview Ave</t>
  </si>
  <si>
    <t>(706) 322-0648</t>
  </si>
  <si>
    <t>628 South Oakview Ave; Phone: nan</t>
  </si>
  <si>
    <t>Huntington Aluminum</t>
  </si>
  <si>
    <t>1605 River Fork Drive</t>
  </si>
  <si>
    <t>Huntington, IN  46750</t>
  </si>
  <si>
    <t>1605 River Fork Drive; Phone: nan</t>
  </si>
  <si>
    <t>764 County Rd 60 Sand R_</t>
  </si>
  <si>
    <t>2144 3rd</t>
  </si>
  <si>
    <t>(989) 453-3933</t>
  </si>
  <si>
    <t>Huron Hyd - Port Huron</t>
  </si>
  <si>
    <t>(810) 984-0121</t>
  </si>
  <si>
    <t>2709 24th Street, Phone: (810) 982-_</t>
  </si>
  <si>
    <t>+1 262 513 4200.</t>
  </si>
  <si>
    <t>2239 Pewaukee Road, Phone: nan</t>
  </si>
  <si>
    <t>(724) 935-5666</t>
  </si>
  <si>
    <t>17137 PLEASURE HEIGHTS,</t>
  </si>
  <si>
    <t>Hutchinson Sealing Sys</t>
  </si>
  <si>
    <t>455 Industry Drive</t>
  </si>
  <si>
    <t>Wytheville, VA  24382</t>
  </si>
  <si>
    <t>nan please_</t>
  </si>
  <si>
    <t>HWM-HWC-INV-MAIN</t>
  </si>
  <si>
    <t>PLT 3, IRS-132838093,  One Misco Drive</t>
  </si>
  <si>
    <t>Whitehall, MI  49461</t>
  </si>
  <si>
    <t>(231) 894-5686</t>
  </si>
  <si>
    <t>PLT 3, IRS-132838093, One Misco</t>
  </si>
  <si>
    <t>Hy-Air</t>
  </si>
  <si>
    <t>Alexandria, LA 71301</t>
  </si>
  <si>
    <t>(318) 442-0228</t>
  </si>
  <si>
    <t>6611 Masonic Drive; Phone: 318-442-0228 please</t>
  </si>
  <si>
    <t>Hyd &amp; Pneumatic - Albuquerque</t>
  </si>
  <si>
    <t>(505) 884-1110</t>
  </si>
  <si>
    <t>Hyd of Texas - Houston</t>
  </si>
  <si>
    <t>1729 Brittmore SteA</t>
  </si>
  <si>
    <t>(713) 722-7200</t>
  </si>
  <si>
    <t>1729 Brittmore SteA, Phone: (800) 77_</t>
  </si>
  <si>
    <t>Hydradyne Hyd - Adamsville</t>
  </si>
  <si>
    <t>4300 Veterans Memorial Drive,</t>
  </si>
  <si>
    <t>Hydradyne Hyd - Alex</t>
  </si>
  <si>
    <t>318-442 -.</t>
  </si>
  <si>
    <t>6611 Masonic Drive, Phone: 318-442 -.</t>
  </si>
  <si>
    <t>Hydradyne Hyd - Arlington</t>
  </si>
  <si>
    <t>1185 Westorate Drive</t>
  </si>
  <si>
    <t>(817)</t>
  </si>
  <si>
    <t>1185 Westorate Drive; Phone: (817)</t>
  </si>
  <si>
    <t>Hydradyne Hyd - Bossier City</t>
  </si>
  <si>
    <t>4710A Viking Dr</t>
  </si>
  <si>
    <t>(318) 221-0500</t>
  </si>
  <si>
    <t>4710A Viking Dr; Phone: 318-221-_</t>
  </si>
  <si>
    <t>Hydradyne Hyd - Brookhaven</t>
  </si>
  <si>
    <t>58 Highway 84 E</t>
  </si>
  <si>
    <t>Brookhaven, MS 39601-8445</t>
  </si>
  <si>
    <t>58 Highway 84 E, Phone: nan plea_</t>
  </si>
  <si>
    <t>Hydradyne Hyd - Charlotte</t>
  </si>
  <si>
    <t>(704) 392 .</t>
  </si>
  <si>
    <t>2537 1-85 South, Phone: (704) 392 .</t>
  </si>
  <si>
    <t>Hydradyne Hyd - El Dorado</t>
  </si>
  <si>
    <t>1925 A West Ave</t>
  </si>
  <si>
    <t>870-862-1515</t>
  </si>
  <si>
    <t>1925 A West Ave; Phone: 870-862 -_</t>
  </si>
  <si>
    <t>Hydradyne Hyd - Fort Worth</t>
  </si>
  <si>
    <t>15050 FAA Blvd</t>
  </si>
  <si>
    <t>Fort Worth, TX 76155</t>
  </si>
  <si>
    <t>(817) 786-2100</t>
  </si>
  <si>
    <t>15050 FAA Blvd, Phone: (817) 786 _</t>
  </si>
  <si>
    <t>Hydradyne Hyd - Ft Lauderdale</t>
  </si>
  <si>
    <t>2821 SW 23rd Terr</t>
  </si>
  <si>
    <t>Fort Lauderdale, FL 33312</t>
  </si>
  <si>
    <t>(954) 947-6386</t>
  </si>
  <si>
    <t>2821 SW 23rd Terr; Phone:</t>
  </si>
  <si>
    <t>Hydradyne Hyd - Grand Prairie</t>
  </si>
  <si>
    <t>950 WNorth Carrier Pkwy</t>
  </si>
  <si>
    <t>Grand Prairie, TX75050</t>
  </si>
  <si>
    <t>(972) 206-0421</t>
  </si>
  <si>
    <t>950 WNorth Carrier Pkwy; Phone:</t>
  </si>
  <si>
    <t>Hydradyne Hyd - Hanover Park</t>
  </si>
  <si>
    <t>Hydradyne Hyd - Harvey</t>
  </si>
  <si>
    <t>(504) 227-.</t>
  </si>
  <si>
    <t>2801 Peters Road; Phone: (504) 227-.</t>
  </si>
  <si>
    <t>Hydradyne Hyd - Houston</t>
  </si>
  <si>
    <t>1019 Rankin Road, Houston; TX 77073</t>
  </si>
  <si>
    <t>Hydradyne Hyd - Jacksonville</t>
  </si>
  <si>
    <t>5035 Saint Augustine Road; Phone_</t>
  </si>
  <si>
    <t>Hydradyne Hyd - Lafayette</t>
  </si>
  <si>
    <t>2937 Highway 90 E</t>
  </si>
  <si>
    <t>Broussard, LA  70518-3235</t>
  </si>
  <si>
    <t>337-839-8612</t>
  </si>
  <si>
    <t>(337) 839-8612</t>
  </si>
  <si>
    <t>2937 Highway 90 E, Phone: 337-839-_</t>
  </si>
  <si>
    <t>Hydradyne Hyd - Little Rock</t>
  </si>
  <si>
    <t>(501)</t>
  </si>
  <si>
    <t>9514 Interstate 30,Phone: (501)</t>
  </si>
  <si>
    <t>Hydradyne Hyd - Miami</t>
  </si>
  <si>
    <t>(305)</t>
  </si>
  <si>
    <t>7795 NW 53rd Street, Phone: (305)</t>
  </si>
  <si>
    <t>Hydradyne Hyd - Odessa</t>
  </si>
  <si>
    <t>11005 W County Road 128</t>
  </si>
  <si>
    <t>Odessa, TX 79765</t>
  </si>
  <si>
    <t>432-333-3233</t>
  </si>
  <si>
    <t>(432) 333-3231</t>
  </si>
  <si>
    <t>11005 W County Road 128,Phone:</t>
  </si>
  <si>
    <t>Hydradyne Hyd - Oklahoma City</t>
  </si>
  <si>
    <t>2701 SE 15th Street, Phone:</t>
  </si>
  <si>
    <t>Hydradyne Hyd - Orlando</t>
  </si>
  <si>
    <t>3450 Vineland Road</t>
  </si>
  <si>
    <t>Orlando, FL 32811</t>
  </si>
  <si>
    <t>407-422-2317</t>
  </si>
  <si>
    <t>3450 Vineland Road, Phone: 407-422 _</t>
  </si>
  <si>
    <t>Hydradyne Hyd - Richmond</t>
  </si>
  <si>
    <t>(804)</t>
  </si>
  <si>
    <t>310 Stockton Street; Phone: (804)</t>
  </si>
  <si>
    <t>Hydradyne Hyd - Tampa</t>
  </si>
  <si>
    <t>(813)</t>
  </si>
  <si>
    <t>3001 North SOth Street, Phone: (813)</t>
  </si>
  <si>
    <t>Hydradyne Hyd - Theodore</t>
  </si>
  <si>
    <t>(251)</t>
  </si>
  <si>
    <t>6285 Rangeline Road; Phone: (251)</t>
  </si>
  <si>
    <t>Hydradyne Hyd - Tucker</t>
  </si>
  <si>
    <t>(770).</t>
  </si>
  <si>
    <t>4840 Hammermill Road, Phone: (770).</t>
  </si>
  <si>
    <t>Hydradyne Hyd - West Monroe</t>
  </si>
  <si>
    <t>598 Downing Pines Road</t>
  </si>
  <si>
    <t>(318) 325-0433</t>
  </si>
  <si>
    <t>598 Downing Pines Road,</t>
  </si>
  <si>
    <t>5445 Ne 122Nd Avenue,</t>
  </si>
  <si>
    <t>Hydraquip - Grand Prairie</t>
  </si>
  <si>
    <t>905 NW Carrier Pkwy</t>
  </si>
  <si>
    <t>Grand Prairie, TX 75050</t>
  </si>
  <si>
    <t>(972) 314-5270</t>
  </si>
  <si>
    <t>905 NW Carrier Pkwy; Phone: 972-66_</t>
  </si>
  <si>
    <t>16330 Central Green Blvd</t>
  </si>
  <si>
    <t>16330 Central Green Blvd, Phone: (71_</t>
  </si>
  <si>
    <t>4130 S 70th East Avenue</t>
  </si>
  <si>
    <t>Tulsa, OK  74145</t>
  </si>
  <si>
    <t>918-663-3661</t>
  </si>
  <si>
    <t>4130 S ZOth East Avenue; Phone: 918-663-36_</t>
  </si>
  <si>
    <t>(318) 323-8289</t>
  </si>
  <si>
    <t>Hydraulic &amp; Air Repair - Beaumont</t>
  </si>
  <si>
    <t>5820 College Street; Phone:</t>
  </si>
  <si>
    <t>Hydraulic &amp; Automated Systems - Collierville</t>
  </si>
  <si>
    <t>485 East South_</t>
  </si>
  <si>
    <t>Hydraulic &amp; Pneumatic Services</t>
  </si>
  <si>
    <t>1528 Pelzer Hwy; Phone: nan_</t>
  </si>
  <si>
    <t>485 East South StSuite 107</t>
  </si>
  <si>
    <t>485 East South StSuite 107,</t>
  </si>
  <si>
    <t>1760 SSpringdale Rd</t>
  </si>
  <si>
    <t>1760 SSpringdale R=</t>
  </si>
  <si>
    <t>(330) 273-5180</t>
  </si>
  <si>
    <t>(601)</t>
  </si>
  <si>
    <t>Po Box 1023,Phone: (601)</t>
  </si>
  <si>
    <t>Hydraulic Controls - Chula Vista</t>
  </si>
  <si>
    <t>(619) 691-0215</t>
  </si>
  <si>
    <t>1596 Jayken Way, Phone:</t>
  </si>
  <si>
    <t>POC - Frank Hagey  fhagey@hydraulic-controlscom</t>
  </si>
  <si>
    <t>(303) 295-7500</t>
  </si>
  <si>
    <t>10550 East 54th Avenue; Phone:</t>
  </si>
  <si>
    <t>(510) 658-8300</t>
  </si>
  <si>
    <t>4700 San Pablo Ave; Phone:</t>
  </si>
  <si>
    <t>Hydraulic Controls - National City</t>
  </si>
  <si>
    <t>402 W35th St, Suite C</t>
  </si>
  <si>
    <t>402 W3Sth St, Suite C, Phone_</t>
  </si>
  <si>
    <t>Hydraulic Controls- Phoenix</t>
  </si>
  <si>
    <t>(602) 278-6088</t>
  </si>
  <si>
    <t>4221 West Adams Street, Phone:</t>
  </si>
  <si>
    <t>1407 Industrial Pkwy</t>
  </si>
  <si>
    <t>Saraland, AL  36571</t>
  </si>
  <si>
    <t>Hydraulic Cylinder Repair</t>
  </si>
  <si>
    <t xml:space="preserve">285 International Woodyard Road </t>
  </si>
  <si>
    <t>Moncure, NC 27559</t>
  </si>
  <si>
    <t>Cindy</t>
  </si>
  <si>
    <t>285 International Woodyard Road_</t>
  </si>
  <si>
    <t>900 Independence Drive,</t>
  </si>
  <si>
    <t>898 Commercial Street, Phone:</t>
  </si>
  <si>
    <t>1300 Industrial Drive Unit B</t>
  </si>
  <si>
    <t>Itasca, IL  60143</t>
  </si>
  <si>
    <t>(630) 509-3144</t>
  </si>
  <si>
    <t>1 site</t>
  </si>
  <si>
    <t>(303) 333-7442</t>
  </si>
  <si>
    <t>(510) 661-0151</t>
  </si>
  <si>
    <t>1342 West Church Street, Phone: (40.</t>
  </si>
  <si>
    <t>(916) 631-9275</t>
  </si>
  <si>
    <t>(253) 604-0400</t>
  </si>
  <si>
    <t>Hydraulic Repairoration - Portsmouth</t>
  </si>
  <si>
    <t>(757) 397-7789</t>
  </si>
  <si>
    <t>2503 Detroit Street, Phon_</t>
  </si>
  <si>
    <t>3700 Northwest South River Dr</t>
  </si>
  <si>
    <t>(305) 633-4677</t>
  </si>
  <si>
    <t>3700 Northwest South River</t>
  </si>
  <si>
    <t>Hydraulic Service - Colorado Spings</t>
  </si>
  <si>
    <t>3315-B Chelton Loop N,</t>
  </si>
  <si>
    <t>Hydraulic Service - Warren</t>
  </si>
  <si>
    <t>(586) 758-.</t>
  </si>
  <si>
    <t>21251 Ryan Road; Phone: (586) 758-.</t>
  </si>
  <si>
    <t>HYDRAULIC SERVICE SOLUTIONS</t>
  </si>
  <si>
    <t>501-626-0092</t>
  </si>
  <si>
    <t>gee@Hydscom</t>
  </si>
  <si>
    <t>(501) 626-0092</t>
  </si>
  <si>
    <t>18800 WITNESS OAK WAY,</t>
  </si>
  <si>
    <t>Hydraulic Services - Berkeley</t>
  </si>
  <si>
    <t>Berkeley,CA 94702</t>
  </si>
  <si>
    <t>(510) 548-5400</t>
  </si>
  <si>
    <t>Hydraulic Services - Green Bay</t>
  </si>
  <si>
    <t>3171 Yeager Drive, Phone:</t>
  </si>
  <si>
    <t>(740) 922-3343</t>
  </si>
  <si>
    <t>Hydraulic Supply</t>
  </si>
  <si>
    <t>(954) 845-1040</t>
  </si>
  <si>
    <t>nan; Phone: 954-914-8851 please respond wit_</t>
  </si>
  <si>
    <t>(308) 382-0262</t>
  </si>
  <si>
    <t>(904) 783-4401</t>
  </si>
  <si>
    <t>30 South Lane Avenue; Phon_</t>
  </si>
  <si>
    <t>11015 Iota Drive</t>
  </si>
  <si>
    <t>San Antonio, Texas 78217</t>
  </si>
  <si>
    <t>(210) 654-6475</t>
  </si>
  <si>
    <t>Bob</t>
  </si>
  <si>
    <t>11015 Iota Drive, Phone: (210) 654 _</t>
  </si>
  <si>
    <t>(281) 356-5660</t>
  </si>
  <si>
    <t>11100 Park _</t>
  </si>
  <si>
    <t>25 CHROME DR</t>
  </si>
  <si>
    <t>1528 Pelzer Hwy, Phone: nan_</t>
  </si>
  <si>
    <t>2987 South Highway 29,Phone:</t>
  </si>
  <si>
    <t>4530 NE 35th Street, Phone: 352-236 _</t>
  </si>
  <si>
    <t>Hydro Power - Pearl, MS</t>
  </si>
  <si>
    <t>318 Airport Blvd, Phone: 601-939-697_</t>
  </si>
  <si>
    <t>Hydro Power- Jackson</t>
  </si>
  <si>
    <t>318 Airport Road South, Phone: (601)_</t>
  </si>
  <si>
    <t>Hydro Precision Tubing N.A.</t>
  </si>
  <si>
    <t>100 Gus Hipp Blvd.</t>
  </si>
  <si>
    <t>Rockledge, FL  32955</t>
  </si>
  <si>
    <t>321-636-8147</t>
  </si>
  <si>
    <t>100 Gus Hipp Blvd , Phone: nan</t>
  </si>
  <si>
    <t>(513) 881-7000</t>
  </si>
  <si>
    <t>(626) 443-1860</t>
  </si>
  <si>
    <t>(779) 210-2778</t>
  </si>
  <si>
    <t>1959 EPhelps St</t>
  </si>
  <si>
    <t>(417) 866-2723</t>
  </si>
  <si>
    <t>1959 EPhelps St, Phone: (800) 779-_</t>
  </si>
  <si>
    <t>IAC</t>
  </si>
  <si>
    <t>318 Pappy Dunn Blvd</t>
  </si>
  <si>
    <t>Anniston, AL  36205</t>
  </si>
  <si>
    <t>318 Pappy Dunn Blvd; Phone: nan please respond</t>
  </si>
  <si>
    <t>(574) 722-8652</t>
  </si>
  <si>
    <t>210 Noth Taylor; Phone: 806-376-1466 please</t>
  </si>
  <si>
    <t>4291 South Santa Fe; Phone: (800) 283-3536</t>
  </si>
  <si>
    <t>(620) 251-9300</t>
  </si>
  <si>
    <t>IBT - Dodge City</t>
  </si>
  <si>
    <t>606 South 2nd Avenue</t>
  </si>
  <si>
    <t>Dodge City, KS  67801</t>
  </si>
  <si>
    <t>(620) 227-2340</t>
  </si>
  <si>
    <t>606 South Znd Avenue; Phone: nan please</t>
  </si>
  <si>
    <t>619 Strong Highway; Phone: (800) 722-0151</t>
  </si>
  <si>
    <t>6915 Industrial Avenue; Phone: 915-781-2020</t>
  </si>
  <si>
    <t>(620) 343-6161</t>
  </si>
  <si>
    <t>(620) 277-2135</t>
  </si>
  <si>
    <t>236 Wroberts St,Ste B</t>
  </si>
  <si>
    <t>236 Wroberts St,Ste B, Phone: 308-384-9942</t>
  </si>
  <si>
    <t>2503 East 14th Street, Phone: 620-662-4446</t>
  </si>
  <si>
    <t>(573) 635-1042</t>
  </si>
  <si>
    <t>2401 Industrial Drive; Phone: 573-635_</t>
  </si>
  <si>
    <t>2701 West 13th Street; Phone: 417-781-2112 please</t>
  </si>
  <si>
    <t>7029  SO107th Street</t>
  </si>
  <si>
    <t>(402) 592-2626</t>
  </si>
  <si>
    <t>7029 SO1O7th Street; Phone: 402-331-3104 pleas_</t>
  </si>
  <si>
    <t>516 East 8th Street, Phone: 785-841-5771</t>
  </si>
  <si>
    <t>14805 West 99th St, Phone: (913) 492-2110 pleas_</t>
  </si>
  <si>
    <t>5620 Fletcher Avenue; Phone: 402-466-1166 pleas_</t>
  </si>
  <si>
    <t>8203 Distribution Drive; Phone: 501-568-5700</t>
  </si>
  <si>
    <t>1401 Avenue F; Phone: 806-747-0090 please</t>
  </si>
  <si>
    <t>5420 England Ave</t>
  </si>
  <si>
    <t>(913) 428-2858</t>
  </si>
  <si>
    <t>5420 England Ave; Phone: (800) 444-8202 please</t>
  </si>
  <si>
    <t>IBT - MtVernon</t>
  </si>
  <si>
    <t>601 South 1Oth; Phone: 618-244-5353 please</t>
  </si>
  <si>
    <t>1903 North 11th Street; Phone: (918) 683-090_</t>
  </si>
  <si>
    <t>(636) 614-3400</t>
  </si>
  <si>
    <t>1225 Tom Ginnever Ave, Phone: nan please</t>
  </si>
  <si>
    <t>(405) 236-2416</t>
  </si>
  <si>
    <t>(918) 825-8215</t>
  </si>
  <si>
    <t>1265 2nd Street; Phone: nan please respond with</t>
  </si>
  <si>
    <t>(785) 825-6234</t>
  </si>
  <si>
    <t>217 East Avenue A, Phone: 800-423-0264 please</t>
  </si>
  <si>
    <t>3453 I-35 North Suite 340</t>
  </si>
  <si>
    <t>210-225-.</t>
  </si>
  <si>
    <t>3453 |-35 North Suite 340,Phone: 210-225-.</t>
  </si>
  <si>
    <t>9400 West 55th Street, Phone: 913-677-3151</t>
  </si>
  <si>
    <t>712 WRandall Wobbe Ln</t>
  </si>
  <si>
    <t>(417) 869-0722</t>
  </si>
  <si>
    <t>IBT - St Louis</t>
  </si>
  <si>
    <t>4323</t>
  </si>
  <si>
    <t>IBT - StJoseph</t>
  </si>
  <si>
    <t>StJoseph,MO 64501</t>
  </si>
  <si>
    <t>1226 South 6th Street; Phone: 816-233-0233</t>
  </si>
  <si>
    <t>(785) 233-1381</t>
  </si>
  <si>
    <t>5819 West Harry Street; Phone: (316) 943-3434</t>
  </si>
  <si>
    <t>(409) 842-9765</t>
  </si>
  <si>
    <t>(843) 744-7448</t>
  </si>
  <si>
    <t>2819 Industrial Avenue; Phone: nan</t>
  </si>
  <si>
    <t>(815) 895-5181</t>
  </si>
  <si>
    <t>PO BOX 1127,Phone: 423-434-1230</t>
  </si>
  <si>
    <t>IER- Macedonia</t>
  </si>
  <si>
    <t>330-425-7121</t>
  </si>
  <si>
    <t>IFP AUTOMATION</t>
  </si>
  <si>
    <t>3911 Merchant Rd</t>
  </si>
  <si>
    <t>Fort Wayne,IN  46818</t>
  </si>
  <si>
    <t>2260-489-4575</t>
  </si>
  <si>
    <t>3911 Merchant Rd, Phone: 2260-489-4575</t>
  </si>
  <si>
    <t>IFP Motion Solutions Inc - Cedar Rapids</t>
  </si>
  <si>
    <t>(319) 395-7000</t>
  </si>
  <si>
    <t>1610 Blairs</t>
  </si>
  <si>
    <t>IFP Motion Solutions Inc - Olathe</t>
  </si>
  <si>
    <t>1255 N Winchester St.</t>
  </si>
  <si>
    <t>(913) 768-7008</t>
  </si>
  <si>
    <t>1255 N Winchester St , Phon_</t>
  </si>
  <si>
    <t>(360) 988-9103</t>
  </si>
  <si>
    <t>219-872-7277</t>
  </si>
  <si>
    <t>Imperial Aluminum</t>
  </si>
  <si>
    <t>7525 Roy Owens Blvd</t>
  </si>
  <si>
    <t>Scottsboro, AL 35768</t>
  </si>
  <si>
    <t>(256) 259-3650</t>
  </si>
  <si>
    <t>7525 Roy Owens Blvd, Phone: (256)</t>
  </si>
  <si>
    <t>615-325-9224</t>
  </si>
  <si>
    <t>(276) 773-3744</t>
  </si>
  <si>
    <t>407 Lumber Lane; Phone:</t>
  </si>
  <si>
    <t>Independence Construction Materials</t>
  </si>
  <si>
    <t>4045 State Rd</t>
  </si>
  <si>
    <t>Devault, PA 19432</t>
  </si>
  <si>
    <t>610-296-3900</t>
  </si>
  <si>
    <t>61.</t>
  </si>
  <si>
    <t>4045 State Rd,Phone: 61.</t>
  </si>
  <si>
    <t>2000 Independence Ave NW</t>
  </si>
  <si>
    <t>800-376-6000</t>
  </si>
  <si>
    <t>Ken Seaborg</t>
  </si>
  <si>
    <t>256-340-7420</t>
  </si>
  <si>
    <t>2000 Independence Ave NW; Phone:</t>
  </si>
  <si>
    <t>410-272-0090</t>
  </si>
  <si>
    <t>417-588-4151</t>
  </si>
  <si>
    <t>1078 S Jefferson, Phone: nan please respond</t>
  </si>
  <si>
    <t>(713) 465-0045</t>
  </si>
  <si>
    <t xml:space="preserve">495 Woodlands Drive </t>
  </si>
  <si>
    <t>(256) 839-1616</t>
  </si>
  <si>
    <t>425-226-9200</t>
  </si>
  <si>
    <t>419-666-8784</t>
  </si>
  <si>
    <t>29102 Glenwood Rd,</t>
  </si>
  <si>
    <t>(706) 213-6300</t>
  </si>
  <si>
    <t>Industrial Hyd - Indianapolis</t>
  </si>
  <si>
    <t>1005 Western Drivve; Phone: (800)</t>
  </si>
  <si>
    <t>(850) 435-0998</t>
  </si>
  <si>
    <t>PO Box 1313</t>
  </si>
  <si>
    <t>Hendersonville, TN37072</t>
  </si>
  <si>
    <t>PO Box 1313,Phone: 615-72_</t>
  </si>
  <si>
    <t>Industrial Machine Products</t>
  </si>
  <si>
    <t>2499 Hummingbird Road</t>
  </si>
  <si>
    <t>Ozark, MO 65721</t>
  </si>
  <si>
    <t>(417) 581-6398</t>
  </si>
  <si>
    <t>2499 Hummingbird Road, Phone:</t>
  </si>
  <si>
    <t>(706) 769-7962</t>
  </si>
  <si>
    <t>989 Imeson Park Blvd-Bldg100</t>
  </si>
  <si>
    <t>989 Imeson Park Blvd-Bldg100, Phon_</t>
  </si>
  <si>
    <t>Industrial Power - Fayetteville</t>
  </si>
  <si>
    <t>(910) 483-4230</t>
  </si>
  <si>
    <t>Industrial Power - Fayetteville, NC</t>
  </si>
  <si>
    <t>703 Whitfield Street, Phone:</t>
  </si>
  <si>
    <t>Industrial Power - Russellville, AR</t>
  </si>
  <si>
    <t>635 Sweeden Road, Phone:</t>
  </si>
  <si>
    <t>253-735-5543</t>
  </si>
  <si>
    <t>(435) 789-0136</t>
  </si>
  <si>
    <t>1224 Cordova St</t>
  </si>
  <si>
    <t>Billings, MT  59101</t>
  </si>
  <si>
    <t>406-652-7600</t>
  </si>
  <si>
    <t>1224 Cordova St, Phone: 406-652-76_</t>
  </si>
  <si>
    <t>Industrial Service Solutions</t>
  </si>
  <si>
    <t>West Monroe, LA  71292</t>
  </si>
  <si>
    <t>318-812-2863</t>
  </si>
  <si>
    <t>318 .</t>
  </si>
  <si>
    <t>228 Industrial Street, Phone: 318 .</t>
  </si>
  <si>
    <t>(586) 296-0960</t>
  </si>
  <si>
    <t>Industrial Supply</t>
  </si>
  <si>
    <t>1905 Westwood Ave</t>
  </si>
  <si>
    <t>(804) 355-8041</t>
  </si>
  <si>
    <t>1905 Westwood Ave; Phone: nan please</t>
  </si>
  <si>
    <t>(757) 858-0825</t>
  </si>
  <si>
    <t>(704) 636-4241</t>
  </si>
  <si>
    <t>Industrial Systems AssocStrategic Dist</t>
  </si>
  <si>
    <t>313 Bethany Rd</t>
  </si>
  <si>
    <t>Albermarle, NC28001</t>
  </si>
  <si>
    <t>(704) 984-6459</t>
  </si>
  <si>
    <t>313 Bethany Rd,</t>
  </si>
  <si>
    <t>(860) 289-1551</t>
  </si>
  <si>
    <t>(864) 224-8147</t>
  </si>
  <si>
    <t>5100 Old Pearman</t>
  </si>
  <si>
    <t>Infiltrator Systems Ogden info</t>
  </si>
  <si>
    <t>(859) 744-7140</t>
  </si>
  <si>
    <t>1315 Enterprise Drive; Phone_</t>
  </si>
  <si>
    <t>(815) 987-6000</t>
  </si>
  <si>
    <t>2141 2nd Avenue Southwest, Phone:</t>
  </si>
  <si>
    <t>(231) 775-6543</t>
  </si>
  <si>
    <t>Inland Paperboard &amp; Packaging - Rome</t>
  </si>
  <si>
    <t>380 Mayes Bridge</t>
  </si>
  <si>
    <t>(409) 746-2441</t>
  </si>
  <si>
    <t>(800) 580-1383</t>
  </si>
  <si>
    <t>(269) 782-9154</t>
  </si>
  <si>
    <t>29160 Middle Crossing; Phone: nan please</t>
  </si>
  <si>
    <t>Innovative Fluid Power - Cedar Rapid</t>
  </si>
  <si>
    <t>319-395-7000</t>
  </si>
  <si>
    <t>Innovative Fluid Power - Coon Rapid</t>
  </si>
  <si>
    <t>nan, Phone: 763-252-118_</t>
  </si>
  <si>
    <t>Innovative Fluid Power - Shakopee</t>
  </si>
  <si>
    <t>901 Goldenrod Lane; Phone:</t>
  </si>
  <si>
    <t>9380 Holly StNW Suite B</t>
  </si>
  <si>
    <t>9380 Holly StNW Suite B, Phone:</t>
  </si>
  <si>
    <t>(630) 232-1808</t>
  </si>
  <si>
    <t>INNOVATIVE PLASTICS</t>
  </si>
  <si>
    <t>118 CELTIC CIRCLE, Phone: 256-464-_</t>
  </si>
  <si>
    <t>(330) 478-1825</t>
  </si>
  <si>
    <t>(936) 258-7625</t>
  </si>
  <si>
    <t>(904) 544-7269</t>
  </si>
  <si>
    <t>1 Wiremil Road, Phone: nan please</t>
  </si>
  <si>
    <t>(256) 353-1046</t>
  </si>
  <si>
    <t>162 VALLEY PARK DRIVE,</t>
  </si>
  <si>
    <t>Integral Oilfield Services</t>
  </si>
  <si>
    <t>Sugar Land, TX  77478</t>
  </si>
  <si>
    <t>12633 Reed Rd, Sugar Land, TX 77478</t>
  </si>
  <si>
    <t>12249-B FM 529</t>
  </si>
  <si>
    <t>Houston, TX77041</t>
  </si>
  <si>
    <t>713-579-730.</t>
  </si>
  <si>
    <t>12249-B FM 529, Phone: 713-579-730.</t>
  </si>
  <si>
    <t>Interfor US</t>
  </si>
  <si>
    <t>218 Midway Route</t>
  </si>
  <si>
    <t>Monticello, AR 71655</t>
  </si>
  <si>
    <t>870-224-7200</t>
  </si>
  <si>
    <t>218 Midway Route; Phone: nan please respond with</t>
  </si>
  <si>
    <t>10601 SJackson RDSte200</t>
  </si>
  <si>
    <t>Pharr , TX78577</t>
  </si>
  <si>
    <t>956-843-9004</t>
  </si>
  <si>
    <t>10601 SJackson RDSte2o0, Phone:</t>
  </si>
  <si>
    <t>970-249-0812</t>
  </si>
  <si>
    <t>International Automotive Components</t>
  </si>
  <si>
    <t>256-405-4700</t>
  </si>
  <si>
    <t>318 Pappy Dunn Blvd,</t>
  </si>
  <si>
    <t>509-371-2500</t>
  </si>
  <si>
    <t>251-866-8054</t>
  </si>
  <si>
    <t>20025 Odom Road; Phone: nan pleas_</t>
  </si>
  <si>
    <t>Hwy67 N  #1 IP Lane</t>
  </si>
  <si>
    <t>870-353-4474</t>
  </si>
  <si>
    <t>Hwy67 N #1 IP Lane; Phone: nan</t>
  </si>
  <si>
    <t>16504 County Road 150,</t>
  </si>
  <si>
    <t>International Paper - Gurdon</t>
  </si>
  <si>
    <t>Hwy67 North #1 IP Lane</t>
  </si>
  <si>
    <t>Hwy67 North #1 IP Lane; Phone:</t>
  </si>
  <si>
    <t>609 Industrial Drive, Phone:</t>
  </si>
  <si>
    <t>International Paper - Henderson, KY</t>
  </si>
  <si>
    <t>1500 Commonwealth Dr</t>
  </si>
  <si>
    <t>Henderson, KY 42420-4478</t>
  </si>
  <si>
    <t>270-831-6000</t>
  </si>
  <si>
    <t>1500 Commonwealth Dr;</t>
  </si>
  <si>
    <t>International Paper - Oglethorpe</t>
  </si>
  <si>
    <t>2449 Stagecoach Rd</t>
  </si>
  <si>
    <t>Oglethorpe, GA  31068-8425</t>
  </si>
  <si>
    <t>478-472-2527</t>
  </si>
  <si>
    <t>2449 Stagecoach Rd, Phone:_</t>
  </si>
  <si>
    <t>903-796-7101</t>
  </si>
  <si>
    <t>9978 FM Road 3129,Phone:</t>
  </si>
  <si>
    <t>910-655-2211</t>
  </si>
  <si>
    <t>601 County Road 7_</t>
  </si>
  <si>
    <t>International Paper - Springhill</t>
  </si>
  <si>
    <t>3000 S Arkansas St</t>
  </si>
  <si>
    <t>Springhill, LA  71075-4432</t>
  </si>
  <si>
    <t>318-994-6262</t>
  </si>
  <si>
    <t>3000 S Arkansas St, Phone:</t>
  </si>
  <si>
    <t>904-695-3800</t>
  </si>
  <si>
    <t>109 Halsema Road South,</t>
  </si>
  <si>
    <t>34040 Union Camp Dr</t>
  </si>
  <si>
    <t>757-569-4321</t>
  </si>
  <si>
    <t>34040 Union Camp Dr;</t>
  </si>
  <si>
    <t>901-419-9000</t>
  </si>
  <si>
    <t>PO Box 2259,Phone: nan please</t>
  </si>
  <si>
    <t>Invista SARL - Orange, TX</t>
  </si>
  <si>
    <t>409-886-7411</t>
  </si>
  <si>
    <t>2739 FM 1006,Phone: nan please</t>
  </si>
  <si>
    <t>Iowa Fluid Power - Coal Valley</t>
  </si>
  <si>
    <t>2108 E Znd Street, Phone:</t>
  </si>
  <si>
    <t>Iowa Parts &amp; Equipment</t>
  </si>
  <si>
    <t>Cedar Rapids, IA  52404</t>
  </si>
  <si>
    <t>319-286-1125</t>
  </si>
  <si>
    <t>808 Wilson Ave SW</t>
  </si>
  <si>
    <t>808 Wilson Ave SW, Phone: nan pleas_</t>
  </si>
  <si>
    <t>641-484-2220</t>
  </si>
  <si>
    <t>3337 "L" Avenue, Phone: nan please respond</t>
  </si>
  <si>
    <t>504-469-3666</t>
  </si>
  <si>
    <t>989 Imeson Park Blvd, Build 100,</t>
  </si>
  <si>
    <t>354 Twin Oaks Rd</t>
  </si>
  <si>
    <t>704-878-5430</t>
  </si>
  <si>
    <t>354 Twin Oaks Rd, Phone: na_</t>
  </si>
  <si>
    <t>518-747-4151</t>
  </si>
  <si>
    <t>EDDY STREET, Phone: nan please respond</t>
  </si>
  <si>
    <t>Island Hydraulic Supply</t>
  </si>
  <si>
    <t>496 Jack Carley Cswy</t>
  </si>
  <si>
    <t>Memphis, TN  38106</t>
  </si>
  <si>
    <t>901-946-1500</t>
  </si>
  <si>
    <t>901-94.</t>
  </si>
  <si>
    <t>496 Jack Carley Cswy, Phone: 901-94.</t>
  </si>
  <si>
    <t>503-492-2105</t>
  </si>
  <si>
    <t>450-587-8600</t>
  </si>
  <si>
    <t>3900 Routes Des Acieries, Phone: na.</t>
  </si>
  <si>
    <t>ISSI - Wilmington</t>
  </si>
  <si>
    <t>185 Park Drive, Unit C</t>
  </si>
  <si>
    <t>800-686-2332</t>
  </si>
  <si>
    <t>185 Park Drive; Unit C, Wilmington; OH 45177</t>
  </si>
  <si>
    <t>912-367-1761</t>
  </si>
  <si>
    <t>ITT Lear- Roscommon</t>
  </si>
  <si>
    <t>989-275-5141</t>
  </si>
  <si>
    <t>912-562-4441</t>
  </si>
  <si>
    <t>3101 Sexton Road, Phone: 256-355-5850 please</t>
  </si>
  <si>
    <t>904-354-8552</t>
  </si>
  <si>
    <t>J &amp; J Lumber</t>
  </si>
  <si>
    <t>29 Sawmill Ln</t>
  </si>
  <si>
    <t>Amity, AR 71921-9148</t>
  </si>
  <si>
    <t>870-342-9502</t>
  </si>
  <si>
    <t>29 Sawmill Ln; Phone: nan please respond with</t>
  </si>
  <si>
    <t>787 Mount Zion Rd NW,</t>
  </si>
  <si>
    <t>(912) 367-5747</t>
  </si>
  <si>
    <t>FtWorth,TX 76136</t>
  </si>
  <si>
    <t>1-800-255-7011</t>
  </si>
  <si>
    <t>4330 RD703</t>
  </si>
  <si>
    <t>256-775-0102</t>
  </si>
  <si>
    <t>4330 RD703,Phone: 256-775-0102/256-297-0827</t>
  </si>
  <si>
    <t>nan, Phone: (601) 939-3471</t>
  </si>
  <si>
    <t>325 Iris Drive; Phone: 931-738-2800 please</t>
  </si>
  <si>
    <t>251-246-2492</t>
  </si>
  <si>
    <t>640 Clolinger RD, Phone: nan please</t>
  </si>
  <si>
    <t>1500 PERIMETER PARKWAY 4TH</t>
  </si>
  <si>
    <t>570-693-2100</t>
  </si>
  <si>
    <t>JAMES HARDIE BUILDING PRODUCTS</t>
  </si>
  <si>
    <t>809 S WOODROW WILSON STREET</t>
  </si>
  <si>
    <t>PLANT CITY FL 33563</t>
  </si>
  <si>
    <t>888-542-7343</t>
  </si>
  <si>
    <t>809 S WOODROW WILSO.</t>
  </si>
  <si>
    <t>(812) 482-5239</t>
  </si>
  <si>
    <t>205-486-9999</t>
  </si>
  <si>
    <t>3124 State Hw_</t>
  </si>
  <si>
    <t>(719) 594-6363</t>
  </si>
  <si>
    <t>JBK Enterprises</t>
  </si>
  <si>
    <t>787 MtZion Road</t>
  </si>
  <si>
    <t>787 MtZion Road, Phone: 423-476-9900 pleas_</t>
  </si>
  <si>
    <t>(209) 333-5295</t>
  </si>
  <si>
    <t>JCIM</t>
  </si>
  <si>
    <t>734-947-5000</t>
  </si>
  <si>
    <t>9800 Inkster Rd (MO00037) , Phone: nan please</t>
  </si>
  <si>
    <t>734-289-4740</t>
  </si>
  <si>
    <t>1833 Frenchtown Center Drive, Phone_</t>
  </si>
  <si>
    <t>JD Cahill - Tuscaloosa</t>
  </si>
  <si>
    <t>1500 Commerce Drive, Phone: (205)</t>
  </si>
  <si>
    <t>JD Rinaldi Fabrica - Creswell</t>
  </si>
  <si>
    <t>(541) 686-1331</t>
  </si>
  <si>
    <t>JDS International</t>
  </si>
  <si>
    <t>15482 Herriman Blvd</t>
  </si>
  <si>
    <t>15482 Herriman Blvd, Phone: 317-776-1501</t>
  </si>
  <si>
    <t>(541) 855-1512</t>
  </si>
  <si>
    <t>1000 Marquette Road, Phone: 770-68_</t>
  </si>
  <si>
    <t>Jefferson Wood Reel</t>
  </si>
  <si>
    <t>1030 FM728</t>
  </si>
  <si>
    <t>Jefferson, TX 75657</t>
  </si>
  <si>
    <t>903-665-3966</t>
  </si>
  <si>
    <t>1030 FM728,Phone: 903-665-3966</t>
  </si>
  <si>
    <t>JEGrote - Black Lick</t>
  </si>
  <si>
    <t>614-868-8414</t>
  </si>
  <si>
    <t>Jeld-Wen Fiber of Louisiana</t>
  </si>
  <si>
    <t>465 Tannehill Rd</t>
  </si>
  <si>
    <t>Dodson, LA  71422-3271</t>
  </si>
  <si>
    <t>318-648-0518</t>
  </si>
  <si>
    <t>465 Tannehill Rd; Phone: nan plea_</t>
  </si>
  <si>
    <t>JELD-WEN, Inc - Towanda</t>
  </si>
  <si>
    <t>825 Shiner Rd</t>
  </si>
  <si>
    <t>Towanda, PA  18848-9207</t>
  </si>
  <si>
    <t>570-265-9121</t>
  </si>
  <si>
    <t>825 Shiner Rd; Phone: nan please</t>
  </si>
  <si>
    <t>(989) 345-1180</t>
  </si>
  <si>
    <t>208-507-1615</t>
  </si>
  <si>
    <t>Jemison Metals</t>
  </si>
  <si>
    <t>914 Marco Street NW</t>
  </si>
  <si>
    <t>Trinity, AL, 35673</t>
  </si>
  <si>
    <t>800-634-2753</t>
  </si>
  <si>
    <t>914 Marco Street NW, Phone: 800-634-2753</t>
  </si>
  <si>
    <t>500 WEST 4TH ST</t>
  </si>
  <si>
    <t>(918) 255-6500</t>
  </si>
  <si>
    <t>500 WEST 4TH ST, Phone: nan please_</t>
  </si>
  <si>
    <t>(334) 263-6660</t>
  </si>
  <si>
    <t>804-344-8101</t>
  </si>
  <si>
    <t>JGibson Mcilvain - White Marsh</t>
  </si>
  <si>
    <t>410-335-9600</t>
  </si>
  <si>
    <t>JGILS</t>
  </si>
  <si>
    <t>37159 Ben Thomas Road</t>
  </si>
  <si>
    <t>Slidell, LA 70460</t>
  </si>
  <si>
    <t>985-645-0739</t>
  </si>
  <si>
    <t>37159 Ben Thomas Road, Phone: 985-645-0739</t>
  </si>
  <si>
    <t>(248) 596-5100</t>
  </si>
  <si>
    <t>nan; Phone: (800) 726-0117 please respond</t>
  </si>
  <si>
    <t>22975 Venture Drive, Phone: (800) 83_</t>
  </si>
  <si>
    <t>Jimmy Ward Hardwood open</t>
  </si>
  <si>
    <t>(864) 260-9548</t>
  </si>
  <si>
    <t>(870) 278-3896</t>
  </si>
  <si>
    <t>JIT Industries - Columbus</t>
  </si>
  <si>
    <t>1431 MS-69</t>
  </si>
  <si>
    <t>(256) 345-1260</t>
  </si>
  <si>
    <t>1431 MS-69,Phone: nan please</t>
  </si>
  <si>
    <t>Jm Huber- Etowah</t>
  </si>
  <si>
    <t>(423) 263-2241</t>
  </si>
  <si>
    <t>JM MFG</t>
  </si>
  <si>
    <t>2894 Marion Monk Rd</t>
  </si>
  <si>
    <t>(225) 492-2133</t>
  </si>
  <si>
    <t>2894 Marion Monk Rd; Phone: nan please respond</t>
  </si>
  <si>
    <t>JMCoconkey - Garden Grove</t>
  </si>
  <si>
    <t>(714) 894-0581</t>
  </si>
  <si>
    <t>JMGrimstad - Blue Grass</t>
  </si>
  <si>
    <t>(319) 359-.</t>
  </si>
  <si>
    <t>17 Sandpiper Dr; Phone: (319) 359-.</t>
  </si>
  <si>
    <t>JMGrimstad - Cedar Falls</t>
  </si>
  <si>
    <t>(319)</t>
  </si>
  <si>
    <t>6203 Chancellor Drive; Phone: (319)</t>
  </si>
  <si>
    <t>JMGrimstad - Green Bay</t>
  </si>
  <si>
    <t>2251 Hutson Road, Phone: (920) 429 _</t>
  </si>
  <si>
    <t>JMGrimstad - Milwaukee</t>
  </si>
  <si>
    <t>1001 South 84th St, Phone: (414) 258_</t>
  </si>
  <si>
    <t>JMGrimstad - Minneapolis</t>
  </si>
  <si>
    <t>(763)</t>
  </si>
  <si>
    <t>1100 Zane Avenue N, Phone: (763)</t>
  </si>
  <si>
    <t>JMGrimstad - Muskego</t>
  </si>
  <si>
    <t>S84 W18887 Enterprise Dr</t>
  </si>
  <si>
    <t>584 W18887 Enterprise Dr; Phone: 41 _</t>
  </si>
  <si>
    <t>JMHuber</t>
  </si>
  <si>
    <t>530 Beck Blvd</t>
  </si>
  <si>
    <t>(706) 335-5151</t>
  </si>
  <si>
    <t>530 Beck Blvd, Phone: nan please respond with ope_</t>
  </si>
  <si>
    <t>JMMold South - Easley</t>
  </si>
  <si>
    <t>(864) 855-0450</t>
  </si>
  <si>
    <t>JMS of Holland</t>
  </si>
  <si>
    <t>Holland, MI 49423</t>
  </si>
  <si>
    <t>1010 Productions Court; Phone: nan please</t>
  </si>
  <si>
    <t>(256) 308-0580</t>
  </si>
  <si>
    <t>(601) 886-7844</t>
  </si>
  <si>
    <t>(256) 552- .</t>
  </si>
  <si>
    <t>25700 AL Hwy 24,Phone: (256) 552- .</t>
  </si>
  <si>
    <t>JOGalloup - Kalamazoo</t>
  </si>
  <si>
    <t>(269) 382-1190</t>
  </si>
  <si>
    <t>John Day</t>
  </si>
  <si>
    <t>20805 Eaton Ave</t>
  </si>
  <si>
    <t>20805 Eaton Ave; Phone: 651-463-9182 please</t>
  </si>
  <si>
    <t>(920) 485-4411</t>
  </si>
  <si>
    <t>2000 Westfield Ave</t>
  </si>
  <si>
    <t>Waterloo,IA 50701-1200</t>
  </si>
  <si>
    <t>(319) 292-7667</t>
  </si>
  <si>
    <t>2000 Westfield Ave; Phone: nan pleas_</t>
  </si>
  <si>
    <t>(423) 787-6100</t>
  </si>
  <si>
    <t>1630 Hal Henard Road, Phone: na_</t>
  </si>
  <si>
    <t>(973) 366-7500</t>
  </si>
  <si>
    <t>John H Backus</t>
  </si>
  <si>
    <t>5410 Haley St</t>
  </si>
  <si>
    <t>Vermilion, OH  44089</t>
  </si>
  <si>
    <t>5410 Haley St; Phone: 800-850-5162 please</t>
  </si>
  <si>
    <t>John HCarter - Metairie</t>
  </si>
  <si>
    <t>2728 NArnoult Rd</t>
  </si>
  <si>
    <t>2728 NArnoult Rd, Phone: (504) 887-_</t>
  </si>
  <si>
    <t>JOHN HCARTER CO</t>
  </si>
  <si>
    <t>17630 PERKINS ROAD</t>
  </si>
  <si>
    <t>Baton Rouge, LA  70810</t>
  </si>
  <si>
    <t>(225) 751-3788</t>
  </si>
  <si>
    <t>17630 PERKINS ROAD, Phone: nan</t>
  </si>
  <si>
    <t>(919) 552-0233</t>
  </si>
  <si>
    <t>(603) 222-2400</t>
  </si>
  <si>
    <t>JOHNSON CONTROLS INJECTION MOLDING</t>
  </si>
  <si>
    <t>6900 JEFFERSON METROPOLITIAN PKWY</t>
  </si>
  <si>
    <t>ATTN: MRCHUCK CAMPBELL</t>
  </si>
  <si>
    <t>6900</t>
  </si>
  <si>
    <t>(814) 432-8844</t>
  </si>
  <si>
    <t>318 Wilson Mtn</t>
  </si>
  <si>
    <t>256-482-8900</t>
  </si>
  <si>
    <t>318 Wilson Mtn, Phone: 256-482-8900/256-.</t>
  </si>
  <si>
    <t>(508) 580-1270</t>
  </si>
  <si>
    <t>(770) 358-5930</t>
  </si>
  <si>
    <t>(910) 439-6121</t>
  </si>
  <si>
    <t>Jordan MFG</t>
  </si>
  <si>
    <t>(256) 332-1554</t>
  </si>
  <si>
    <t>1688 County Rd 192, Phone: nan please respond</t>
  </si>
  <si>
    <t>(864) 984-7541</t>
  </si>
  <si>
    <t>(920) 563-5521</t>
  </si>
  <si>
    <t>5200 East Mo Kinney Road, Phone: 281-383-2525</t>
  </si>
  <si>
    <t>JTEKT Automotive</t>
  </si>
  <si>
    <t>56 Excellence Way, Plant 2</t>
  </si>
  <si>
    <t>Vonore, TN  37885-2122</t>
  </si>
  <si>
    <t>(423) 884-9200</t>
  </si>
  <si>
    <t>56 Excellence Way; Plant 2, Phone: nan please_</t>
  </si>
  <si>
    <t>(410) 883-3111</t>
  </si>
  <si>
    <t>JVWells - Sharptown</t>
  </si>
  <si>
    <t>(251) 542-9211</t>
  </si>
  <si>
    <t>(252) 771-2497</t>
  </si>
  <si>
    <t>(440) 729-3733</t>
  </si>
  <si>
    <t>922 Jackson Liberty DrSW</t>
  </si>
  <si>
    <t>Brookhaven, MS  39601</t>
  </si>
  <si>
    <t>601-823-0017</t>
  </si>
  <si>
    <t>(601) 823-0017</t>
  </si>
  <si>
    <t>922 Jackson Liberty DrSW; Phone: 60_</t>
  </si>
  <si>
    <t>K+S Services</t>
  </si>
  <si>
    <t>15677 Noecker Way</t>
  </si>
  <si>
    <t>Southgate, MI 48195</t>
  </si>
  <si>
    <t>(734) 374-0400</t>
  </si>
  <si>
    <t>15677 Noecker Way, Phone: nan please respond</t>
  </si>
  <si>
    <t>(910) 488-9295</t>
  </si>
  <si>
    <t>6650 Ramsey Street; Phone: nan</t>
  </si>
  <si>
    <t>2000 NW Hwy 24, Phone: nan please</t>
  </si>
  <si>
    <t>K-2- Vashon</t>
  </si>
  <si>
    <t>K3 Supply</t>
  </si>
  <si>
    <t>1350 Grey Hill Rd</t>
  </si>
  <si>
    <t>Green Pond, AL 35074</t>
  </si>
  <si>
    <t>205-938-2424</t>
  </si>
  <si>
    <t>1350 Grey Hill Rd, Phone: 205-938-2424 please</t>
  </si>
  <si>
    <t>Kaman - BHM</t>
  </si>
  <si>
    <t>5551 Parkwest Drive; Phone: 205-497-2250 please_</t>
  </si>
  <si>
    <t>KAMAN - Bossier City</t>
  </si>
  <si>
    <t>4811 Hazel Jones Road</t>
  </si>
  <si>
    <t>Bossier City, LA 7111</t>
  </si>
  <si>
    <t>318-507-3976</t>
  </si>
  <si>
    <t>318-.</t>
  </si>
  <si>
    <t>4811 Hazel Jones Road, Phone: 318-.</t>
  </si>
  <si>
    <t>Kaman - Denver</t>
  </si>
  <si>
    <t>4236 Carson Street Bldg 5</t>
  </si>
  <si>
    <t>303-320-5240</t>
  </si>
  <si>
    <t>KAMAN INDUSTRIAL TECHNOLOGIES</t>
  </si>
  <si>
    <t>KAMAN - Greenfield</t>
  </si>
  <si>
    <t>3802 N 600 W, BLDG 100 Ste B</t>
  </si>
  <si>
    <t>(317) 703-2000</t>
  </si>
  <si>
    <t>3802 N 600 W, BLDG 100 Ste B, Phon_</t>
  </si>
  <si>
    <t>3012 South Elm Eugene St</t>
  </si>
  <si>
    <t>3012 South Elm Eugene St, Phone:</t>
  </si>
  <si>
    <t>Kaman - Greenville MS</t>
  </si>
  <si>
    <t>2337 Paradise Lane; Phone: 662-332-_</t>
  </si>
  <si>
    <t>9009 North Loop East, Suite 140,</t>
  </si>
  <si>
    <t>9929 NAlpine Road</t>
  </si>
  <si>
    <t>9929 NAlpine Road, Phone: 815-636 _</t>
  </si>
  <si>
    <t>Kaman - Milford, CT</t>
  </si>
  <si>
    <t>203-882-5906</t>
  </si>
  <si>
    <t>2778 Gunter Park DrBldg C Unit F</t>
  </si>
  <si>
    <t>Montgomery,AL 36109</t>
  </si>
  <si>
    <t>334-263-.</t>
  </si>
  <si>
    <t>2778 Gunter Park DrBldg C Unit F; Phone: 334-263-.</t>
  </si>
  <si>
    <t>Kaman - Morristown</t>
  </si>
  <si>
    <t>3022 Cherokee Park Road</t>
  </si>
  <si>
    <t>606-573-3025</t>
  </si>
  <si>
    <t>3022 Cherokee Park Road, Phone: 60_</t>
  </si>
  <si>
    <t>Kaman - Muscle Shoals, AL</t>
  </si>
  <si>
    <t>2827 Avalon Avenue; Phone: 256 _</t>
  </si>
  <si>
    <t>10102 NoPalafox St</t>
  </si>
  <si>
    <t>850-484- .</t>
  </si>
  <si>
    <t>10102 NoPalafox St, Phone: 850-484- .</t>
  </si>
  <si>
    <t>E4115 Trent</t>
  </si>
  <si>
    <t>E4115 Trent; Phone: 509-535-1611 please</t>
  </si>
  <si>
    <t>(503) 257-7584</t>
  </si>
  <si>
    <t>Kampi Components</t>
  </si>
  <si>
    <t>88 Canal Road</t>
  </si>
  <si>
    <t>Fairless Hills, PA 19030</t>
  </si>
  <si>
    <t>(215) 736-2000</t>
  </si>
  <si>
    <t>88 Canal Road; Phone: nan please</t>
  </si>
  <si>
    <t>304-755-8321</t>
  </si>
  <si>
    <t>Kason Industries</t>
  </si>
  <si>
    <t>57 Amlajack Blvd</t>
  </si>
  <si>
    <t>Newman, GA 30265</t>
  </si>
  <si>
    <t>770-304-3000</t>
  </si>
  <si>
    <t>57 Amlajack Blvd; Phone: nan please respond_</t>
  </si>
  <si>
    <t>203-249-6760</t>
  </si>
  <si>
    <t>KD Supply - NTonawanda</t>
  </si>
  <si>
    <t>NTonawanda,NY 14120</t>
  </si>
  <si>
    <t>641 Erie Ave; Phone: (716) 693-7600</t>
  </si>
  <si>
    <t>(585) 426-8260</t>
  </si>
  <si>
    <t>(315)</t>
  </si>
  <si>
    <t>Kearse MFG - Olar</t>
  </si>
  <si>
    <t>(803) 368-8130</t>
  </si>
  <si>
    <t>Kegley Machine</t>
  </si>
  <si>
    <t>615 Main St</t>
  </si>
  <si>
    <t>309-346-8914</t>
  </si>
  <si>
    <t>615 Main St; Phone: 309-346-8914 please</t>
  </si>
  <si>
    <t>Keller North America</t>
  </si>
  <si>
    <t>7989 Cherrywood Loop</t>
  </si>
  <si>
    <t>Kiowa, CO  80117-8953</t>
  </si>
  <si>
    <t>303-627-1100</t>
  </si>
  <si>
    <t>7989 Cherrywood Loop, Phone: nan</t>
  </si>
  <si>
    <t>(815) 235-4185</t>
  </si>
  <si>
    <t>Kelly Supply - Fort Collins</t>
  </si>
  <si>
    <t>2135 East Mulberry Street; Phone:</t>
  </si>
  <si>
    <t>Kelly Supply - North Platte</t>
  </si>
  <si>
    <t>Kenco Hyd</t>
  </si>
  <si>
    <t>2280 Amber Dr</t>
  </si>
  <si>
    <t>Hatfield, PA 19440</t>
  </si>
  <si>
    <t>(215) 368-3779</t>
  </si>
  <si>
    <t>2280 Amber Dr; Phone: (215) 368-3779 please</t>
  </si>
  <si>
    <t>(270) 786-2111</t>
  </si>
  <si>
    <t>Kennametal</t>
  </si>
  <si>
    <t>(423) 928-7251</t>
  </si>
  <si>
    <t>128 Roweland Drive; Phone: nan please respond wit_</t>
  </si>
  <si>
    <t>Kennametal - Huntsville</t>
  </si>
  <si>
    <t>7300 Madison Blvd</t>
  </si>
  <si>
    <t>Huntsville, AL  35806</t>
  </si>
  <si>
    <t>(256) 837-1311</t>
  </si>
  <si>
    <t>7300 Madison Blvd, Phone: nan pleas_</t>
  </si>
  <si>
    <t>(330) 673-3469</t>
  </si>
  <si>
    <t>Kentucky Utilities - Ghent Generating System</t>
  </si>
  <si>
    <t>9485 US Hwy 42 East</t>
  </si>
  <si>
    <t>Ghent, KY  41045</t>
  </si>
  <si>
    <t>(502) 347-5383</t>
  </si>
  <si>
    <t>9485 US Hwy 42</t>
  </si>
  <si>
    <t>+1 478-552-6995</t>
  </si>
  <si>
    <t>(662) 343-8311</t>
  </si>
  <si>
    <t>230 Douglas Road, Phone:</t>
  </si>
  <si>
    <t>10600 West Glenbrook Ct, Phone: nan pleas_</t>
  </si>
  <si>
    <t>(708) 371-1470</t>
  </si>
  <si>
    <t>Keymarkoration of Florida</t>
  </si>
  <si>
    <t>2540 Knights Station Rd</t>
  </si>
  <si>
    <t>Lakeland, FL  33810</t>
  </si>
  <si>
    <t>(863) 858-5500</t>
  </si>
  <si>
    <t>2540 Knights Station Rd, Phone:</t>
  </si>
  <si>
    <t>120 Unico Drive_XOOOD_</t>
  </si>
  <si>
    <t>Keystone Precision Cylinder LLC</t>
  </si>
  <si>
    <t>51 King Street</t>
  </si>
  <si>
    <t>Myerstown, PA  17067</t>
  </si>
  <si>
    <t>717-866-4042</t>
  </si>
  <si>
    <t>717 -</t>
  </si>
  <si>
    <t>51 King Street, Phone: 717 -</t>
  </si>
  <si>
    <t>(828) 891-8115</t>
  </si>
  <si>
    <t>(865) 988-7000</t>
  </si>
  <si>
    <t>Kimberly-Clark</t>
  </si>
  <si>
    <t>(803) 827-1100</t>
  </si>
  <si>
    <t>246 Old Jackson Highway; Phone: nan please</t>
  </si>
  <si>
    <t>Kimberly-Clark - Loudon</t>
  </si>
  <si>
    <t>5899 Sugarlimb Road</t>
  </si>
  <si>
    <t>Loudon' TN 37774</t>
  </si>
  <si>
    <t>5899 Sugarlimb Road, Phone: nan</t>
  </si>
  <si>
    <t>Kimwood- Cottage Grove</t>
  </si>
  <si>
    <t>4905 Junction</t>
  </si>
  <si>
    <t>Kinecor - Calgary</t>
  </si>
  <si>
    <t>5711 -</t>
  </si>
  <si>
    <t>Kinecor - Nisku</t>
  </si>
  <si>
    <t>1403 "5" Street; Phone: (780) 955-2155 pleas_</t>
  </si>
  <si>
    <t>Kinecor- Saskatoon</t>
  </si>
  <si>
    <t>3028 Millar Ave; Phone: (306) 934- _</t>
  </si>
  <si>
    <t>(570) 474-6371</t>
  </si>
  <si>
    <t>PO Box 1479,Phone: (601) 469-3271</t>
  </si>
  <si>
    <t>(253) 856-2625</t>
  </si>
  <si>
    <t>55 Waugh Drive_XOOOD_</t>
  </si>
  <si>
    <t>(318) 645-6159</t>
  </si>
  <si>
    <t>10020 Hwy 483D, Phone: nan please respond</t>
  </si>
  <si>
    <t>(601) 894-2021</t>
  </si>
  <si>
    <t>(601) 885-6001</t>
  </si>
  <si>
    <t>(540) 982-3573</t>
  </si>
  <si>
    <t>KMT Huntsville HV01</t>
  </si>
  <si>
    <t>Huntsville, AL  35806-2063</t>
  </si>
  <si>
    <t>(256) 721-4187</t>
  </si>
  <si>
    <t>(203) 888-0511</t>
  </si>
  <si>
    <t>20 Deer Park Lane</t>
  </si>
  <si>
    <t>Troy, MO 63379</t>
  </si>
  <si>
    <t>(636) 462-1245</t>
  </si>
  <si>
    <t>(636) 462 -.</t>
  </si>
  <si>
    <t>20 Deer Park Lane; Phone: (636) 462 -.</t>
  </si>
  <si>
    <t>(865) 524-3351</t>
  </si>
  <si>
    <t>Knudson MFG</t>
  </si>
  <si>
    <t>10401 W120th Avenue</t>
  </si>
  <si>
    <t>Broomfield, 80021</t>
  </si>
  <si>
    <t>10401 W12Oth Avenue; Phone: nan please respon_</t>
  </si>
  <si>
    <t>(724) 539-3181</t>
  </si>
  <si>
    <t>Koehn Earth Moving</t>
  </si>
  <si>
    <t>2050 Georgia Mountain Rd</t>
  </si>
  <si>
    <t>Guntersville, AL 35976</t>
  </si>
  <si>
    <t>(256) 724-2747</t>
  </si>
  <si>
    <t>2050 Georgia Mountain Rd; Phone:</t>
  </si>
  <si>
    <t>176 Cochran Rd</t>
  </si>
  <si>
    <t>(256) 461-1500</t>
  </si>
  <si>
    <t>176 Cochran Rd, Phone: 256-461-1500 please_</t>
  </si>
  <si>
    <t>(615) 452-9191</t>
  </si>
  <si>
    <t>11930 Elmhurst Pkwy, Phone: nan</t>
  </si>
  <si>
    <t>Komo Machine - Sauk Rapids</t>
  </si>
  <si>
    <t>11 Industrila Blvd</t>
  </si>
  <si>
    <t>11 Industrila Blvd, Phone: nan</t>
  </si>
  <si>
    <t>Koppers Inc - Camden</t>
  </si>
  <si>
    <t>2292 Old Smackover Rd</t>
  </si>
  <si>
    <t>Camden, AR  71701-6647</t>
  </si>
  <si>
    <t>(870) 818-8041</t>
  </si>
  <si>
    <t>2292 Old Smackover Rd, Phone: nan</t>
  </si>
  <si>
    <t>KR West - Kaukauna</t>
  </si>
  <si>
    <t>(920) 766-0113</t>
  </si>
  <si>
    <t>(844) 602-.</t>
  </si>
  <si>
    <t>2035 East Bennett Street; Phone: (844) 602-.</t>
  </si>
  <si>
    <t>Kraft Foods - Chicago</t>
  </si>
  <si>
    <t>(864) 226-9135</t>
  </si>
  <si>
    <t>Kronospan Simsboro LLC</t>
  </si>
  <si>
    <t>486 Duraflake Rd</t>
  </si>
  <si>
    <t>Simsboro, LA  71275-3375</t>
  </si>
  <si>
    <t>486 Duraflake Rd; Phone: nan please</t>
  </si>
  <si>
    <t>KTG USA</t>
  </si>
  <si>
    <t>400 MAHANNAH AVE</t>
  </si>
  <si>
    <t>MEMPHIS, TN  38107</t>
  </si>
  <si>
    <t>(901) 260-3900</t>
  </si>
  <si>
    <t>400 MAHANNAH AVE, Phone: nan please respond</t>
  </si>
  <si>
    <t>32500 Excellance Ave</t>
  </si>
  <si>
    <t>(719) 948-4477</t>
  </si>
  <si>
    <t>32500 Excellance Ave; Phone: nan please respond_</t>
  </si>
  <si>
    <t>(713) 685-5700</t>
  </si>
  <si>
    <t>18719 Highway 11 North, Phone: (205) 553-8593</t>
  </si>
  <si>
    <t>(806) 743-5733</t>
  </si>
  <si>
    <t>1470 INDUSTRIAL_</t>
  </si>
  <si>
    <t>(989) 465-0287</t>
  </si>
  <si>
    <t>1810 Cty Hwy XX, Phone: 715-359-3450 please</t>
  </si>
  <si>
    <t>5101 Mesker Street, Phone: (715) 24_</t>
  </si>
  <si>
    <t>608-785-7550</t>
  </si>
  <si>
    <t>650 Charcole Plant Rd</t>
  </si>
  <si>
    <t>318-590-9986</t>
  </si>
  <si>
    <t>650 Charcole Plant Rd, Phone: nan_</t>
  </si>
  <si>
    <t>463 Judge Street, Phone: nan please</t>
  </si>
  <si>
    <t>Lake County Hyd</t>
  </si>
  <si>
    <t>12726 WWadsworth Rd</t>
  </si>
  <si>
    <t>12726 WWadsworth Rd, Phone: 847-249-740_</t>
  </si>
  <si>
    <t>2939 6th Avenue North; Phone: nan</t>
  </si>
  <si>
    <t>509-547-8851</t>
  </si>
  <si>
    <t>231-533-8646</t>
  </si>
  <si>
    <t>1001 South 2nd Street, Phone: (563)</t>
  </si>
  <si>
    <t>Langboard- Quitman</t>
  </si>
  <si>
    <t>229-263-8943</t>
  </si>
  <si>
    <t>1106 Old Clyattville Rd,</t>
  </si>
  <si>
    <t>Lantis- Salinas</t>
  </si>
  <si>
    <t>Lanxess</t>
  </si>
  <si>
    <t>409-883-4338</t>
  </si>
  <si>
    <t>FM 1006,Phone: nan please respond with open or</t>
  </si>
  <si>
    <t>Lanxess - South Plant Hwy 167 S</t>
  </si>
  <si>
    <t>324 Southfield Cutoff</t>
  </si>
  <si>
    <t>870-862-1355</t>
  </si>
  <si>
    <t>324 Southfield Cutoff; Phone_</t>
  </si>
  <si>
    <t>586-771-4820</t>
  </si>
  <si>
    <t>Lapine Metal Products</t>
  </si>
  <si>
    <t>5232 Azo Court</t>
  </si>
  <si>
    <t>Kalamazoo, MI 49048</t>
  </si>
  <si>
    <t>269-388-5900</t>
  </si>
  <si>
    <t>5232 Azo Court, Phone: nan please</t>
  </si>
  <si>
    <t>3800 WHwy 13</t>
  </si>
  <si>
    <t>3800 WHwy 13, Phone: nan please_</t>
  </si>
  <si>
    <t>4255 Santa Fe Dr; Phone: nan please respond with</t>
  </si>
  <si>
    <t>301-317-0300</t>
  </si>
  <si>
    <t>5401 Van Dusen Rd, Phone: nan plea_</t>
  </si>
  <si>
    <t>888-322-2380</t>
  </si>
  <si>
    <t>937-652-1418</t>
  </si>
  <si>
    <t>630-257-2204</t>
  </si>
  <si>
    <t>Lennard AG</t>
  </si>
  <si>
    <t>450 West 750 North</t>
  </si>
  <si>
    <t>Howe, IN  46746</t>
  </si>
  <si>
    <t>@</t>
  </si>
  <si>
    <t>(905) 427-1441</t>
  </si>
  <si>
    <t>Status: OPEN</t>
  </si>
  <si>
    <t>(636) 946-6525</t>
  </si>
  <si>
    <t>StCharles, MO 63301</t>
  </si>
  <si>
    <t>(719) 384-5400</t>
  </si>
  <si>
    <t>(931) 359-8067</t>
  </si>
  <si>
    <t>(318) 549-1187</t>
  </si>
  <si>
    <t>LHaberny - Chargrin Falls</t>
  </si>
  <si>
    <t>(440) 543-5999</t>
  </si>
  <si>
    <t>10115 Queensway; Phone: nan please_</t>
  </si>
  <si>
    <t xml:space="preserve">Lhoist North America </t>
  </si>
  <si>
    <t>350 APG Ln</t>
  </si>
  <si>
    <t>New Braunfels, TX 78132</t>
  </si>
  <si>
    <t>(830) 625-2327</t>
  </si>
  <si>
    <t>350 APG Ln; Phone: (830) 625-2327</t>
  </si>
  <si>
    <t>Lhoist North America - Ocala</t>
  </si>
  <si>
    <t>11661 NW Gainesville Road</t>
  </si>
  <si>
    <t>Ocala, FL 34482</t>
  </si>
  <si>
    <t>(352) 629-7997</t>
  </si>
  <si>
    <t>11661 NW Gainesville Road, Phon_</t>
  </si>
  <si>
    <t>(317) 392-7000</t>
  </si>
  <si>
    <t>Liberty Equip Service</t>
  </si>
  <si>
    <t>554 County Rd119</t>
  </si>
  <si>
    <t>877-699-.</t>
  </si>
  <si>
    <t>554 County Rd119, Phone: 877-699-.</t>
  </si>
  <si>
    <t>Liberty Forge- Liberty</t>
  </si>
  <si>
    <t>(936) 336-5785</t>
  </si>
  <si>
    <t>(912) 884-3386</t>
  </si>
  <si>
    <t>2366-4 Interstate Road, Phone: nan please</t>
  </si>
  <si>
    <t>Life Tile- Lake Wales</t>
  </si>
  <si>
    <t>(863) 824-1289</t>
  </si>
  <si>
    <t>(251) 457-1359</t>
  </si>
  <si>
    <t>(334) 824-7488</t>
  </si>
  <si>
    <t>(813) 655-0806</t>
  </si>
  <si>
    <t>(336) 269-2284</t>
  </si>
  <si>
    <t>315 MacArthur Lane; Phone: (800)_</t>
  </si>
  <si>
    <t>(269) 849-2700</t>
  </si>
  <si>
    <t>Linde Gas &amp; Equipment</t>
  </si>
  <si>
    <t>19 2nd Street</t>
  </si>
  <si>
    <t>Palmer MA 01069</t>
  </si>
  <si>
    <t>4138134316</t>
  </si>
  <si>
    <t>19 2nd Street, Phone: 4138134316</t>
  </si>
  <si>
    <t>(724) 336-1490</t>
  </si>
  <si>
    <t>158 LINDSAY RD; Phone: nan please respond</t>
  </si>
  <si>
    <t>Linear Products- Vancouver</t>
  </si>
  <si>
    <t>Lined Valve - Ocala</t>
  </si>
  <si>
    <t>(352) 687-4363</t>
  </si>
  <si>
    <t>10333 SE 11Oth Ave; Phone: 352-687-_</t>
  </si>
  <si>
    <t>Lined Valve,Inc - WA</t>
  </si>
  <si>
    <t>360-225- .</t>
  </si>
  <si>
    <t>675 Mitchell Avenue; Phone: 360-225- .</t>
  </si>
  <si>
    <t>(763) 559-2911</t>
  </si>
  <si>
    <t>(843) 873-5800</t>
  </si>
  <si>
    <t>Lion Elastomers</t>
  </si>
  <si>
    <t>5713 FM 1006</t>
  </si>
  <si>
    <t>Orange, TX  77630</t>
  </si>
  <si>
    <t>(409) 924-4500</t>
  </si>
  <si>
    <t>5713 FM 1006,Phone: nan please respond wi_</t>
  </si>
  <si>
    <t>Little Rapids- Shawano</t>
  </si>
  <si>
    <t>(715) 526-2181</t>
  </si>
  <si>
    <t>W7575 Poplar Road At Hwy Mm,</t>
  </si>
  <si>
    <t>(765) 789-4456</t>
  </si>
  <si>
    <t>(662)</t>
  </si>
  <si>
    <t>Old Moulton Road, Phone: (256)</t>
  </si>
  <si>
    <t>(704)</t>
  </si>
  <si>
    <t>11616 Wilmar Blvd, Phone: (704)</t>
  </si>
  <si>
    <t>101</t>
  </si>
  <si>
    <t>Fulton Court, Phone:</t>
  </si>
  <si>
    <t>(847) 593-5700</t>
  </si>
  <si>
    <t>(661) 572-2974</t>
  </si>
  <si>
    <t>(503) 235-3146</t>
  </si>
  <si>
    <t>LMC Industries</t>
  </si>
  <si>
    <t>100 Manufacturers Dr</t>
  </si>
  <si>
    <t>Arnold, MO  63010</t>
  </si>
  <si>
    <t>(636) 282-8080</t>
  </si>
  <si>
    <t>100 Manufacturers Dr; Phone: nan please</t>
  </si>
  <si>
    <t>LOC PERFORMANCE</t>
  </si>
  <si>
    <t>13505 HAGGERTY RD</t>
  </si>
  <si>
    <t>PLYMOUTH, MI  48170</t>
  </si>
  <si>
    <t>734-453-2300</t>
  </si>
  <si>
    <t>(734) 453-2300</t>
  </si>
  <si>
    <t>13505 HAGGERTY RD, Phone: 734-45_</t>
  </si>
  <si>
    <t>Loc Performance - StMary's</t>
  </si>
  <si>
    <t>StMary's, OH  45885</t>
  </si>
  <si>
    <t>1115 South Wayne Street, Phone:</t>
  </si>
  <si>
    <t>(863) 647-0423</t>
  </si>
  <si>
    <t>PO Box 33082, Phone: nan please</t>
  </si>
  <si>
    <t>Lockheed Martin- San Diego</t>
  </si>
  <si>
    <t>(858) 267-5328</t>
  </si>
  <si>
    <t xml:space="preserve">Loc-StMary's </t>
  </si>
  <si>
    <t>(270) 755-6000</t>
  </si>
  <si>
    <t>Logan Industries</t>
  </si>
  <si>
    <t>3011 David J Berard Rd</t>
  </si>
  <si>
    <t>New Iberia, LA  70560</t>
  </si>
  <si>
    <t>(713) 849-2979</t>
  </si>
  <si>
    <t>3011 David J Berard Rd; Phone: nan please</t>
  </si>
  <si>
    <t>(330) 633-6163</t>
  </si>
  <si>
    <t>(573) 335-5591</t>
  </si>
  <si>
    <t>2048 S3rd St</t>
  </si>
  <si>
    <t>Mabank, TX  75147</t>
  </si>
  <si>
    <t>(972) 287-4200</t>
  </si>
  <si>
    <t>2048 S3rd St, Phone: nan please</t>
  </si>
  <si>
    <t>(989) 435-9226</t>
  </si>
  <si>
    <t>Lopez Foods</t>
  </si>
  <si>
    <t>9500 NW 4th St.</t>
  </si>
  <si>
    <t>Oklahoma City, OK  73127</t>
  </si>
  <si>
    <t>(405) 789-7500</t>
  </si>
  <si>
    <t>9500 NW 4th St,, Phone: nan please respond with</t>
  </si>
  <si>
    <t>Louis Dreyfus- Portland</t>
  </si>
  <si>
    <t>Louisa Foods</t>
  </si>
  <si>
    <t>1918 Switzer</t>
  </si>
  <si>
    <t>St Louis, MO  63136</t>
  </si>
  <si>
    <t>(314) 868-3000</t>
  </si>
  <si>
    <t>1918 Switzer; Phone: nan please respond with ope_</t>
  </si>
  <si>
    <t>(318) 339-7378</t>
  </si>
  <si>
    <t>(318) 376-0850</t>
  </si>
  <si>
    <t>318-445-.</t>
  </si>
  <si>
    <t>7549 Hwy 71 South; Phone: 318-445-.</t>
  </si>
  <si>
    <t>(318) 445-7722</t>
  </si>
  <si>
    <t>(337) 457-4181</t>
  </si>
  <si>
    <t>Highway 787 East; Phone: nan please respon _</t>
  </si>
  <si>
    <t>902 Main St. S.E.</t>
  </si>
  <si>
    <t>Hanceville,  AL  35077-5419</t>
  </si>
  <si>
    <t>(256) 352-0311</t>
  </si>
  <si>
    <t>902 Main St. S.E,, Phone: nan</t>
  </si>
  <si>
    <t>Louisiana Pacific - Newberry</t>
  </si>
  <si>
    <t>7299 North County Road 403</t>
  </si>
  <si>
    <t>Newberry, MI  49868</t>
  </si>
  <si>
    <t>(906) 293-3265</t>
  </si>
  <si>
    <t>7299 North County Road 403,</t>
  </si>
  <si>
    <t>(336) 696-2751</t>
  </si>
  <si>
    <t>Louisiana Pacific - Thomasville</t>
  </si>
  <si>
    <t>1500 North Clarke Industrial Rd</t>
  </si>
  <si>
    <t>Thomasville, AL  36784</t>
  </si>
  <si>
    <t>(334) 637-3500</t>
  </si>
  <si>
    <t>1500 North Clarke Industrial</t>
  </si>
  <si>
    <t>Highway 92 North; Phone: nan</t>
  </si>
  <si>
    <t>(502) 627-2000</t>
  </si>
  <si>
    <t>5252 Cane Run Rd Ent #3,Phone: nan_</t>
  </si>
  <si>
    <t>121 South Desot_</t>
  </si>
  <si>
    <t>LREquipment - Beaverton</t>
  </si>
  <si>
    <t>(503) 747-0622</t>
  </si>
  <si>
    <t>(586) 247-6500</t>
  </si>
  <si>
    <t>(919) 782-3511</t>
  </si>
  <si>
    <t>Lucky MFG</t>
  </si>
  <si>
    <t>103 Winchester RdNE</t>
  </si>
  <si>
    <t>(256) 651-0541</t>
  </si>
  <si>
    <t>103 Winchester RdNE, Phone: 256-651-0541 please</t>
  </si>
  <si>
    <t>(330) 264-4000</t>
  </si>
  <si>
    <t>LULA-WESTFIELD SUGAR FACTORY</t>
  </si>
  <si>
    <t>451 HWY 1005</t>
  </si>
  <si>
    <t>PAINCOURTVILLE, LA 70391</t>
  </si>
  <si>
    <t>(985) 369-6450</t>
  </si>
  <si>
    <t>451 HWY 1005,Phone: na_</t>
  </si>
  <si>
    <t>(912) 447-9000</t>
  </si>
  <si>
    <t>Lunt MFG C - Schaumburg</t>
  </si>
  <si>
    <t>(336) 578-8440</t>
  </si>
  <si>
    <t>235 Riverbend Road, Phone: nan</t>
  </si>
  <si>
    <t>lWALLACE CONSTRUCTION CO</t>
  </si>
  <si>
    <t>(405) 745-4424</t>
  </si>
  <si>
    <t>14220 SOUTH MERIDIAN AV_</t>
  </si>
  <si>
    <t>2128 Sabinal Rd</t>
  </si>
  <si>
    <t>(210) 674-8848</t>
  </si>
  <si>
    <t>2128 Sabinal Rd, Phone: nan pleas_</t>
  </si>
  <si>
    <t>(334) 687-3546</t>
  </si>
  <si>
    <t>1313 Parkway Dr</t>
  </si>
  <si>
    <t>(205) 699-2171</t>
  </si>
  <si>
    <t>1313 Parkway Dr; Phone: 205-699-21_</t>
  </si>
  <si>
    <t>1810 Sherman Street SE, Phone:</t>
  </si>
  <si>
    <t>316orate Place</t>
  </si>
  <si>
    <t>(423) 821-3302</t>
  </si>
  <si>
    <t>316orate Place; Phone: nan please respond with ope</t>
  </si>
  <si>
    <t>(260) 357-5184</t>
  </si>
  <si>
    <t>M.I.M. Hydraulics and Pneumatic, LLC</t>
  </si>
  <si>
    <t>1920 Dunbar St Suite A</t>
  </si>
  <si>
    <t>(843) 437-5311</t>
  </si>
  <si>
    <t>1920 Dunbar St Suite A,</t>
  </si>
  <si>
    <t>(479) 646-0223</t>
  </si>
  <si>
    <t>5225 Planters Road, Phone: nan plea_</t>
  </si>
  <si>
    <t>(812) 526-9743</t>
  </si>
  <si>
    <t>(865) 588-7473</t>
  </si>
  <si>
    <t>MachiningOf A - Barberton</t>
  </si>
  <si>
    <t>(330) 745-9000</t>
  </si>
  <si>
    <t>(352) 343-3449</t>
  </si>
  <si>
    <t>23902 County Road 561, Phone: nan</t>
  </si>
  <si>
    <t>(252) 793-2950</t>
  </si>
  <si>
    <t>(517) 541-1100</t>
  </si>
  <si>
    <t>1200 Buckley; Phone: nan please</t>
  </si>
  <si>
    <t>MacMillin Hydraulic Engineering- Skokie</t>
  </si>
  <si>
    <t>(847) 676-2300</t>
  </si>
  <si>
    <t>7355 N Lawndale</t>
  </si>
  <si>
    <t>Maco Bag- Victor</t>
  </si>
  <si>
    <t>(315) 226-1000</t>
  </si>
  <si>
    <t>(205) 338-7341</t>
  </si>
  <si>
    <t>19051 HIGHWAY 174,Phone: nan please respond</t>
  </si>
  <si>
    <t>Macoration - Grand Prairie</t>
  </si>
  <si>
    <t>(972) 790-7800</t>
  </si>
  <si>
    <t>(573) 783-6444</t>
  </si>
  <si>
    <t>nan; Phone_</t>
  </si>
  <si>
    <t>(608) 244-3581</t>
  </si>
  <si>
    <t>201 Waubesa Street, Phone: nan please respond</t>
  </si>
  <si>
    <t>570-784-4100</t>
  </si>
  <si>
    <t>Magline- Pinconning</t>
  </si>
  <si>
    <t>989-512-1000</t>
  </si>
  <si>
    <t>419-324-3387</t>
  </si>
  <si>
    <t>800 Nathan Street; Phone: nan please respond with</t>
  </si>
  <si>
    <t>Magnif- Mentor</t>
  </si>
  <si>
    <t>440-255-9366</t>
  </si>
  <si>
    <t>Magnode Products</t>
  </si>
  <si>
    <t>5601 Kennel Rd.</t>
  </si>
  <si>
    <t>Trenton, OH  45067-1599</t>
  </si>
  <si>
    <t>513-988-6351</t>
  </si>
  <si>
    <t>5601 Kennel Rd,, Phone: nan please</t>
  </si>
  <si>
    <t>Magnum MFG - Harrisburg</t>
  </si>
  <si>
    <t>503-995-8214</t>
  </si>
  <si>
    <t>725 E Main Street</t>
  </si>
  <si>
    <t>855-498-7077</t>
  </si>
  <si>
    <t>725 E Main Street; Phone: nan please respond_</t>
  </si>
  <si>
    <t>2360 Industrial Park Road, Phone: 93_</t>
  </si>
  <si>
    <t>131 West Outter Rd, Phone: nan pleas_</t>
  </si>
  <si>
    <t>847-637-3333</t>
  </si>
  <si>
    <t>ManashaOrbis Div1 Plastic Lane</t>
  </si>
  <si>
    <t>319-465-5438</t>
  </si>
  <si>
    <t>Plastic Lane, Phone: nan</t>
  </si>
  <si>
    <t>Manchester Fluid Power</t>
  </si>
  <si>
    <t>108 W Clark Street</t>
  </si>
  <si>
    <t>Pinewood, SC 29125</t>
  </si>
  <si>
    <t>803-452-7000</t>
  </si>
  <si>
    <t>108 W Clark Street; Phone: 803-452-_</t>
  </si>
  <si>
    <t>Manosh Hardwoods - NoHyde Park</t>
  </si>
  <si>
    <t>NoHyde Park,VT 56</t>
  </si>
  <si>
    <t>102 Maryland Street</t>
  </si>
  <si>
    <t>102 Maryland Street; Phone: 256-366- _</t>
  </si>
  <si>
    <t>860-953-1144</t>
  </si>
  <si>
    <t>Manufacturing Solutions</t>
  </si>
  <si>
    <t>9485 College St.</t>
  </si>
  <si>
    <t>Beaumont, TX  77707-2705</t>
  </si>
  <si>
    <t>409-842-4404</t>
  </si>
  <si>
    <t>9485 College St, Phone: nan please</t>
  </si>
  <si>
    <t>503-285-4541</t>
  </si>
  <si>
    <t>708-333-6250</t>
  </si>
  <si>
    <t>PO Box 278_XOOOD_</t>
  </si>
  <si>
    <t>Marine Hyd</t>
  </si>
  <si>
    <t>256 Herman Melville Blvd</t>
  </si>
  <si>
    <t>256 Herman Melville Blvd, Phone: 508-990-2866</t>
  </si>
  <si>
    <t>620-382-3775</t>
  </si>
  <si>
    <t>2121 North Magnolia Avenue,</t>
  </si>
  <si>
    <t>(402) 734-6734.</t>
  </si>
  <si>
    <t>715-339-2191</t>
  </si>
  <si>
    <t>1300 NAirport Rd</t>
  </si>
  <si>
    <t>1300 NAirport Rd, Phone: (715) 339-_</t>
  </si>
  <si>
    <t>614-878-7241</t>
  </si>
  <si>
    <t>5115 Fisher Rd, Phone: nan please respond with</t>
  </si>
  <si>
    <t>5100 Porter</t>
  </si>
  <si>
    <t>1555 Harbor Ave</t>
  </si>
  <si>
    <t>901-946-1124</t>
  </si>
  <si>
    <t>1555 Harbor Ave; Phone: nan please respond</t>
  </si>
  <si>
    <t>318-427-6806</t>
  </si>
  <si>
    <t>192 Pawnee Road; Phone: nan please respond with</t>
  </si>
  <si>
    <t>318-346-2726</t>
  </si>
  <si>
    <t>116</t>
  </si>
  <si>
    <t>Martco- Lemoyen</t>
  </si>
  <si>
    <t>318-379-2855</t>
  </si>
  <si>
    <t>1695 HWY 490, Phone: nan please respond</t>
  </si>
  <si>
    <t>192 Pawnee Road, Phone: nan please_</t>
  </si>
  <si>
    <t>Martens Machine Shop</t>
  </si>
  <si>
    <t>Fairview, OK  73737</t>
  </si>
  <si>
    <t>1414 N Main St; Phone: nan please</t>
  </si>
  <si>
    <t>Martin Block- Lansing</t>
  </si>
  <si>
    <t>517-484-4426</t>
  </si>
  <si>
    <t>MARTIN INTEGRATED SUPPLY</t>
  </si>
  <si>
    <t>520 JD YARNELL INDUSTRIAL</t>
  </si>
  <si>
    <t>CLINTON, TN 37716</t>
  </si>
  <si>
    <t>865-220-6900</t>
  </si>
  <si>
    <t>520 JD YARNELL</t>
  </si>
  <si>
    <t>717-354-1370</t>
  </si>
  <si>
    <t>501-844-4388</t>
  </si>
  <si>
    <t>4202 Highway 270 West; Phone: nan</t>
  </si>
  <si>
    <t>PO 790</t>
  </si>
  <si>
    <t>PO 790, Phone: 256-383-3131 pleas_</t>
  </si>
  <si>
    <t>956 Industrial Blvd</t>
  </si>
  <si>
    <t>Martin Supply</t>
  </si>
  <si>
    <t>125 N Court St</t>
  </si>
  <si>
    <t>Florence, AL 35630-4739</t>
  </si>
  <si>
    <t>125 N Court St, Phone: nan please respond with</t>
  </si>
  <si>
    <t>300 South Cedar Avenue; Phone: (909_</t>
  </si>
  <si>
    <t>(301) 683-3100</t>
  </si>
  <si>
    <t>1805 SO CLUB DRIVE; Phone: nan please respond</t>
  </si>
  <si>
    <t>(310) 674-5030</t>
  </si>
  <si>
    <t>Marvin Window</t>
  </si>
  <si>
    <t>401 State Ave N</t>
  </si>
  <si>
    <t>Warroad, MN  56763-2709</t>
  </si>
  <si>
    <t>(888) 537-7828</t>
  </si>
  <si>
    <t>401 State Ave N, Phone: nan please respond</t>
  </si>
  <si>
    <t>(979) 233-3111</t>
  </si>
  <si>
    <t>Mason Dynamics - Comstock Park</t>
  </si>
  <si>
    <t>5247 6 Mile Court NW</t>
  </si>
  <si>
    <t>Comstock Park,MI 49321</t>
  </si>
  <si>
    <t>800-653-1382</t>
  </si>
  <si>
    <t>(616) 784-0610</t>
  </si>
  <si>
    <t>5247 6 Mile Court NW, Phon_</t>
  </si>
  <si>
    <t>(765) 294-3390</t>
  </si>
  <si>
    <t>(817) 293-.</t>
  </si>
  <si>
    <t>(708) 485-6602</t>
  </si>
  <si>
    <t>(317) 745-7263</t>
  </si>
  <si>
    <t>Materials Transportation Company</t>
  </si>
  <si>
    <t>1408 South Commerec Str. Blg G</t>
  </si>
  <si>
    <t>Temple TX 76504</t>
  </si>
  <si>
    <t>(254) 298-2900</t>
  </si>
  <si>
    <t>1408 South Commerec Str:</t>
  </si>
  <si>
    <t>Matheson - Albion</t>
  </si>
  <si>
    <t>26178 B Drive North; Phone: 517-630-0486</t>
  </si>
  <si>
    <t>Matheson - Beatrice</t>
  </si>
  <si>
    <t>21410 SW 89th Road</t>
  </si>
  <si>
    <t>21410 SW 89th Road, Phone: 402-22_</t>
  </si>
  <si>
    <t>Matheson - Borger</t>
  </si>
  <si>
    <t>2300 Fairlanes Blvd</t>
  </si>
  <si>
    <t>2300 Fairlanes Blvd, Phone: 806-274-6329</t>
  </si>
  <si>
    <t>Matheson - Brookhaven</t>
  </si>
  <si>
    <t>1084 Fender Trail Northeast, Phone:</t>
  </si>
  <si>
    <t>Matheson - Clearfield, PA</t>
  </si>
  <si>
    <t>40 Technology Dr W; Phone: (814) 76_</t>
  </si>
  <si>
    <t>Matheson - Denison</t>
  </si>
  <si>
    <t>712-263-4313</t>
  </si>
  <si>
    <t>712-263-.</t>
  </si>
  <si>
    <t>2510 Westcott Rd, Phone: 712-263-.</t>
  </si>
  <si>
    <t>Matheson - El Dorado</t>
  </si>
  <si>
    <t>628 El Dorado Chemical Plant Rd</t>
  </si>
  <si>
    <t>John Jackson</t>
  </si>
  <si>
    <t>(870) 862-2144</t>
  </si>
  <si>
    <t>628 El Dorado Chemical Plant Rd,</t>
  </si>
  <si>
    <t>Matheson - Greenville</t>
  </si>
  <si>
    <t>198 Continental Avenue; Phone: 937-_</t>
  </si>
  <si>
    <t>Matheson - Loudon</t>
  </si>
  <si>
    <t>194 Blair Bend Road</t>
  </si>
  <si>
    <t>Loudon, TN 37774</t>
  </si>
  <si>
    <t>865-458-7196</t>
  </si>
  <si>
    <t>865-458-.</t>
  </si>
  <si>
    <t>194 Blair Bend Road, Phone: 865-458-.</t>
  </si>
  <si>
    <t>Matheson - Madison</t>
  </si>
  <si>
    <t>(601) 856-2704</t>
  </si>
  <si>
    <t>218</t>
  </si>
  <si>
    <t>Matheson - Martinez</t>
  </si>
  <si>
    <t>(925) 229-4350</t>
  </si>
  <si>
    <t>651 Solano Way; Phone: 925-229-435_</t>
  </si>
  <si>
    <t>Matheson - Pekin</t>
  </si>
  <si>
    <t>140 Distillery Road, Phone: 309-346-7515</t>
  </si>
  <si>
    <t>Matheson - St Louis</t>
  </si>
  <si>
    <t>1950 S 3rd Street</t>
  </si>
  <si>
    <t>St Louis, MO 63104</t>
  </si>
  <si>
    <t>314-524-5888</t>
  </si>
  <si>
    <t>Jason Shaw</t>
  </si>
  <si>
    <t>(314) 241-1151</t>
  </si>
  <si>
    <t>1950 S 3rd Street, Phone: 314-524- ._</t>
  </si>
  <si>
    <t>Matheson - StFrancis</t>
  </si>
  <si>
    <t>4250 South Nevada Avenue</t>
  </si>
  <si>
    <t>StFrancis, WI  53235</t>
  </si>
  <si>
    <t>414-294-4330</t>
  </si>
  <si>
    <t>4250 South Nevada Avenue; Phone:</t>
  </si>
  <si>
    <t>Matheson - Washington</t>
  </si>
  <si>
    <t>1285 S 300 W; Phone: 812-257-0470</t>
  </si>
  <si>
    <t>Matheson - Winnebago</t>
  </si>
  <si>
    <t>(507) 893-4944</t>
  </si>
  <si>
    <t>721 Sixth Avenue Southeast, Phone:</t>
  </si>
  <si>
    <t>(831) 757-5261</t>
  </si>
  <si>
    <t>Matzkaorportated</t>
  </si>
  <si>
    <t>25255 Mound Road</t>
  </si>
  <si>
    <t>Warren, MI  48091</t>
  </si>
  <si>
    <t>586-755-6363</t>
  </si>
  <si>
    <t>25255 Mound Road, Phone: 586-755-6363</t>
  </si>
  <si>
    <t>Maxcess AmericasDBA Fife</t>
  </si>
  <si>
    <t>222 WMemorial Rd</t>
  </si>
  <si>
    <t>Oklahoma City, OK 73114</t>
  </si>
  <si>
    <t>(405) 755-1600</t>
  </si>
  <si>
    <t>222 WMemorial Rd, Phone: nan</t>
  </si>
  <si>
    <t>(541) 926-4449</t>
  </si>
  <si>
    <t>Maximum Hyd Center - Hickory</t>
  </si>
  <si>
    <t>2122 24th Street Northeast;</t>
  </si>
  <si>
    <t>nan, Phone: (828) 325-3567 please</t>
  </si>
  <si>
    <t>(903) 675-9321</t>
  </si>
  <si>
    <t>Mayfield Trucking</t>
  </si>
  <si>
    <t>4148 US-31</t>
  </si>
  <si>
    <t>(256) 784-5999</t>
  </si>
  <si>
    <t>Jerry</t>
  </si>
  <si>
    <t>4148 US-31, Phone: (256) 784-5999 please</t>
  </si>
  <si>
    <t>(704) 289-5413</t>
  </si>
  <si>
    <t>(715) 342-8100</t>
  </si>
  <si>
    <t>McCain Foods - Plover Plant</t>
  </si>
  <si>
    <t>10973 State Highway 54 E</t>
  </si>
  <si>
    <t>Wisconsin Rapids, WI  54494-8718</t>
  </si>
  <si>
    <t>(715) 421-3400</t>
  </si>
  <si>
    <t>10973 State Highway 54 E, Phone:_</t>
  </si>
  <si>
    <t>McCaw Hyd</t>
  </si>
  <si>
    <t>(256) 739-1662</t>
  </si>
  <si>
    <t>1416 Sportsman Lake Road; Phone: 800-461-7881_</t>
  </si>
  <si>
    <t>1416 Sportsman Lake RdNW</t>
  </si>
  <si>
    <t>256-739-651.</t>
  </si>
  <si>
    <t>1416 Sportsman Lake RdNW; Phone: 256-739-651.</t>
  </si>
  <si>
    <t>(712) 322-1400</t>
  </si>
  <si>
    <t>5025 Magnolia Ridge Rd,</t>
  </si>
  <si>
    <t>McComb-MS SWL</t>
  </si>
  <si>
    <t>2056 Jessie Hall Memorial Rd</t>
  </si>
  <si>
    <t>Magnolia, MS  39652</t>
  </si>
  <si>
    <t>(601) 250-1348</t>
  </si>
  <si>
    <t>2056 Jessie Hall Memorial Rd, Phone: nan</t>
  </si>
  <si>
    <t>(706) 356-8212</t>
  </si>
  <si>
    <t>(816) 640-2276</t>
  </si>
  <si>
    <t>McCormick Lane; Phone: nan pleas_</t>
  </si>
  <si>
    <t>1421 South West End Blvd</t>
  </si>
  <si>
    <t>Cape Girardeau, MO  63703</t>
  </si>
  <si>
    <t>(573) 334-2851</t>
  </si>
  <si>
    <t>1421 South West End Blvd,</t>
  </si>
  <si>
    <t>MCDixon Lumber - Eufaula</t>
  </si>
  <si>
    <t>McDonough MFG - Eau Claire</t>
  </si>
  <si>
    <t>(715)</t>
  </si>
  <si>
    <t>2320 Melby Street; Phone: (715)</t>
  </si>
  <si>
    <t>McGee Lumber - Aliceville</t>
  </si>
  <si>
    <t>(205.</t>
  </si>
  <si>
    <t>1305 Baptist Lane Road, Phone: (205.</t>
  </si>
  <si>
    <t>McGee Lumber - Tuscaloosa</t>
  </si>
  <si>
    <t>705 Bear Creek Cutoff Road, Phon_</t>
  </si>
  <si>
    <t>563 Rd1339</t>
  </si>
  <si>
    <t>256-736-</t>
  </si>
  <si>
    <t>563 Rd1339,Phone: nan please</t>
  </si>
  <si>
    <t>(812) 275-5956</t>
  </si>
  <si>
    <t>McIntyre Lumber</t>
  </si>
  <si>
    <t>882 NoHwy 100</t>
  </si>
  <si>
    <t>(770) 574-2292</t>
  </si>
  <si>
    <t>882 NoHwy 100, Phone: nan please respond</t>
  </si>
  <si>
    <t>Mcjunkin- Monroe</t>
  </si>
  <si>
    <t>@info is Address: nan; Phone: nan</t>
  </si>
  <si>
    <t>1801 South 16th Street</t>
  </si>
  <si>
    <t>La Porte, TX 77571</t>
  </si>
  <si>
    <t>713-289-3977</t>
  </si>
  <si>
    <t>1801 South 16th Street; La Porte; TX 77571</t>
  </si>
  <si>
    <t>505-972-2100</t>
  </si>
  <si>
    <t>McLaughlin Services</t>
  </si>
  <si>
    <t>1316 Albion St</t>
  </si>
  <si>
    <t>Avilla, IN  46710</t>
  </si>
  <si>
    <t>260-897-4328</t>
  </si>
  <si>
    <t>1316 Albion St; Phone: nan please</t>
  </si>
  <si>
    <t>281-443-2777</t>
  </si>
  <si>
    <t>MCM Composites</t>
  </si>
  <si>
    <t>1315 S 41st Street</t>
  </si>
  <si>
    <t>Manitowoc, WI 54220</t>
  </si>
  <si>
    <t>920-684-7800</t>
  </si>
  <si>
    <t>1315 S 41st Street; Phone: nan please respon_</t>
  </si>
  <si>
    <t>MCT Industries</t>
  </si>
  <si>
    <t>500 Tierra Montana Loop</t>
  </si>
  <si>
    <t>Bernalillo, NM  87004</t>
  </si>
  <si>
    <t>505-345-8651</t>
  </si>
  <si>
    <t>500 Tierra Montana Loop, Phone: nan please</t>
  </si>
  <si>
    <t>3600 Richard Arrington JrBlvdNo</t>
  </si>
  <si>
    <t>3600 Richard Arrington JrBlvdNo,</t>
  </si>
  <si>
    <t>McWane Poles Ohio</t>
  </si>
  <si>
    <t>592 Clow Lane</t>
  </si>
  <si>
    <t>Coshocton, OH 43812</t>
  </si>
  <si>
    <t>Cody McVay</t>
  </si>
  <si>
    <t>740-202-7482</t>
  </si>
  <si>
    <t>592 Clow Lane; Phone: nan please</t>
  </si>
  <si>
    <t>410-651-1266</t>
  </si>
  <si>
    <t>1230 Pottertown Road, Phon_</t>
  </si>
  <si>
    <t>302-998-3385</t>
  </si>
  <si>
    <t>540-376-3287</t>
  </si>
  <si>
    <t>Meadow Gold Dairies</t>
  </si>
  <si>
    <t>11 Railroad Ave</t>
  </si>
  <si>
    <t>Hilo, HI 96720-4564</t>
  </si>
  <si>
    <t>808-935-5481</t>
  </si>
  <si>
    <t>11 Railroad Ave, Phone: nan please</t>
  </si>
  <si>
    <t>MEAInc- Elk Grove Village</t>
  </si>
  <si>
    <t>2600 American Lane; Phone: (800)</t>
  </si>
  <si>
    <t>401-946-4400</t>
  </si>
  <si>
    <t>920-929-5000</t>
  </si>
  <si>
    <t>Mega MFG - Hutchinson</t>
  </si>
  <si>
    <t>401 SWashington</t>
  </si>
  <si>
    <t>(800) 338-.</t>
  </si>
  <si>
    <t>401 SWashington, Phone: (800) 338-.</t>
  </si>
  <si>
    <t>920-336-5715</t>
  </si>
  <si>
    <t>Meherrin River Forest Products</t>
  </si>
  <si>
    <t>985 Old Macon Hwy</t>
  </si>
  <si>
    <t>985 Old Macon Hwy, Phone:</t>
  </si>
  <si>
    <t>Macon, NC  27551</t>
  </si>
  <si>
    <t>559-655-4921</t>
  </si>
  <si>
    <t>1200 MARKET STNE</t>
  </si>
  <si>
    <t>256-552-7411</t>
  </si>
  <si>
    <t>1200 MARKET STNE, Phone: nan</t>
  </si>
  <si>
    <t>2840 Leiszs Bridge Road,</t>
  </si>
  <si>
    <t>Merck/Vallen</t>
  </si>
  <si>
    <t>West Point, PA  19486</t>
  </si>
  <si>
    <t>215-652-6100</t>
  </si>
  <si>
    <t>770 Sumneytown Pike, Phone: nan please respon_</t>
  </si>
  <si>
    <t>900 So68th Street</t>
  </si>
  <si>
    <t>913-281-4900</t>
  </si>
  <si>
    <t>900 So68th Street; Phone: nan please_</t>
  </si>
  <si>
    <t>828-687-2000</t>
  </si>
  <si>
    <t>423-587-2290</t>
  </si>
  <si>
    <t>Rockwell Drive; Phone: nan pleas_</t>
  </si>
  <si>
    <t>716-893-7786</t>
  </si>
  <si>
    <t>Mesker Door</t>
  </si>
  <si>
    <t>3440 Stanwood Blvd</t>
  </si>
  <si>
    <t>3440 Stanwood Blvd, Phone: 256-851-6670 please_</t>
  </si>
  <si>
    <t>513 1St Street South; Phone:_</t>
  </si>
  <si>
    <t>970-686-1599</t>
  </si>
  <si>
    <t>Tri-State Commerce Park-Bldg 1020, Phone: luka,</t>
  </si>
  <si>
    <t>989-826-2301</t>
  </si>
  <si>
    <t>Metal Impact South</t>
  </si>
  <si>
    <t>795 Sam T Barkley Dr</t>
  </si>
  <si>
    <t>New Albany, MS  38652-9537</t>
  </si>
  <si>
    <t>662-538-6500</t>
  </si>
  <si>
    <t>795 Sam T Barkley Dr; Phone: nan</t>
  </si>
  <si>
    <t>260-679-2525</t>
  </si>
  <si>
    <t>3093 Hager; Phone: nan</t>
  </si>
  <si>
    <t>606-523-0461</t>
  </si>
  <si>
    <t>Metal Source LLC - Huntington</t>
  </si>
  <si>
    <t>Huntington IN  46750</t>
  </si>
  <si>
    <t>(260) 563-8833.</t>
  </si>
  <si>
    <t>1605 River Fork Drive; Phone_</t>
  </si>
  <si>
    <t>Metal Source LLC - Scottsboro</t>
  </si>
  <si>
    <t>Scottsboro, AL  35768</t>
  </si>
  <si>
    <t>260-504-8298</t>
  </si>
  <si>
    <t>7525</t>
  </si>
  <si>
    <t>Metal Source LLC - Wabash</t>
  </si>
  <si>
    <t>231 W Canal Street</t>
  </si>
  <si>
    <t>Wabash, IN  46992</t>
  </si>
  <si>
    <t>260-274-7270</t>
  </si>
  <si>
    <t>231 W Canal Street; Phone: nan</t>
  </si>
  <si>
    <t>Metals USA</t>
  </si>
  <si>
    <t>4309 US-311</t>
  </si>
  <si>
    <t>Randleman, NC 27317</t>
  </si>
  <si>
    <t>336-498-8900</t>
  </si>
  <si>
    <t>4309 US-311, Phone: nan please respond with open</t>
  </si>
  <si>
    <t>216-881-7900</t>
  </si>
  <si>
    <t>101 Metco DrSW</t>
  </si>
  <si>
    <t>101 Metco DrSW; Phone: 256-773-01 _</t>
  </si>
  <si>
    <t>844-882-4016</t>
  </si>
  <si>
    <t>662-328-3841</t>
  </si>
  <si>
    <t>617 Yorkville Park Square, Phone: (662) 329- _</t>
  </si>
  <si>
    <t>920-997-1200</t>
  </si>
  <si>
    <t>1615 Matthews Street; Phone: nan</t>
  </si>
  <si>
    <t>509-452-3330</t>
  </si>
  <si>
    <t>MFCP</t>
  </si>
  <si>
    <t>4395 North Hwy 91</t>
  </si>
  <si>
    <t>Smithfield, UT 84335</t>
  </si>
  <si>
    <t>435-563-3275</t>
  </si>
  <si>
    <t>4395 North Hwy 91, Phone: nan please respond with.</t>
  </si>
  <si>
    <t>MFCP - Oregon</t>
  </si>
  <si>
    <t>1855 W 2nd Ave Unit C</t>
  </si>
  <si>
    <t>Eugene, OR  97402-4179</t>
  </si>
  <si>
    <t>541-343-1229</t>
  </si>
  <si>
    <t>1855 W 2nd Ave Unit C, Phone: nan please</t>
  </si>
  <si>
    <t>11445 Gulf Stream Dr</t>
  </si>
  <si>
    <t>Contact info for MFT</t>
  </si>
  <si>
    <t>9 Rocky Hill Rd, Phone: 800-232-7071_</t>
  </si>
  <si>
    <t>MichAutoCompress - Parma</t>
  </si>
  <si>
    <t>(517) 796-3200</t>
  </si>
  <si>
    <t>3792 Mance Newton Rd,</t>
  </si>
  <si>
    <t>1-248-347-7900.</t>
  </si>
  <si>
    <t>4556 Spartan Industrial # D,</t>
  </si>
  <si>
    <t>25445 Brest Road, Phone:</t>
  </si>
  <si>
    <t>(231) 775-1316</t>
  </si>
  <si>
    <t>400 McMunn Street;</t>
  </si>
  <si>
    <t>+1</t>
  </si>
  <si>
    <t>(888</t>
  </si>
  <si>
    <t>Mid American Machine &amp; Equip - Leroy</t>
  </si>
  <si>
    <t>815 East 6th St</t>
  </si>
  <si>
    <t>(877) 964-2156</t>
  </si>
  <si>
    <t>815 East 6th St,</t>
  </si>
  <si>
    <t>Mid American Machine &amp; Equip - Sylacauga</t>
  </si>
  <si>
    <t>(256) 245-2693</t>
  </si>
  <si>
    <t>48150 US HW_</t>
  </si>
  <si>
    <t>503-788-4847</t>
  </si>
  <si>
    <t>Mid South Hyd</t>
  </si>
  <si>
    <t>950 Larkin St</t>
  </si>
  <si>
    <t>Hydrant services provider</t>
  </si>
  <si>
    <t>Mid South HydPleasant Grove</t>
  </si>
  <si>
    <t>PO Box 699, Phone: nan please</t>
  </si>
  <si>
    <t>Simsboro, LA 71275</t>
  </si>
  <si>
    <t>Mid-American Machine &amp; Eqipment</t>
  </si>
  <si>
    <t>815 E6th St</t>
  </si>
  <si>
    <t>815 E6th St; Phone: 620-964- _</t>
  </si>
  <si>
    <t>+1 410-682-1500</t>
  </si>
  <si>
    <t>103 Chesapeake Park Plaza, Phon_</t>
  </si>
  <si>
    <t>(570) 474-5935</t>
  </si>
  <si>
    <t>Midland Hydraulics</t>
  </si>
  <si>
    <t>805 AL 178</t>
  </si>
  <si>
    <t>Grove Hill, AL  36451</t>
  </si>
  <si>
    <t>(251) 275-5560</t>
  </si>
  <si>
    <t>805 AL 178, Phone: nan please</t>
  </si>
  <si>
    <t>(803) 408-0800</t>
  </si>
  <si>
    <t>PO Box 216</t>
  </si>
  <si>
    <t>PO Box 216,Phone: (317) 85_</t>
  </si>
  <si>
    <t>(574) 264-3521</t>
  </si>
  <si>
    <t>Mid-States Wood Preserves</t>
  </si>
  <si>
    <t>147 Shelby Road</t>
  </si>
  <si>
    <t>Simsboro, AL 71275</t>
  </si>
  <si>
    <t>318-247-3741</t>
  </si>
  <si>
    <t>147 Shelby Road, Phone: nan plea_</t>
  </si>
  <si>
    <t>(315) 797-6660</t>
  </si>
  <si>
    <t>11505 Cannonsville Rd, Phone: 616-984-2690_</t>
  </si>
  <si>
    <t>Midwest Agency Lake Havasu</t>
  </si>
  <si>
    <t>Phone_</t>
  </si>
  <si>
    <t>(847) 215-1563</t>
  </si>
  <si>
    <t>1400 Busch_</t>
  </si>
  <si>
    <t>Midwest Hyd - Thunder Bay</t>
  </si>
  <si>
    <t>(807)</t>
  </si>
  <si>
    <t>1112 Russell Street; Phone: (807)</t>
  </si>
  <si>
    <t>Midwest Hyd - Winnipeg</t>
  </si>
  <si>
    <t>1476 Wellington</t>
  </si>
  <si>
    <t>(231) 547-4000</t>
  </si>
  <si>
    <t>105 Stover; Phone: nan please respon _</t>
  </si>
  <si>
    <t>66th Ave SW;</t>
  </si>
  <si>
    <t>(219) 762-3131</t>
  </si>
  <si>
    <t>105 NW Lower Silver Lake Rd, Phone:_</t>
  </si>
  <si>
    <t>Mikes Service &amp; Repair</t>
  </si>
  <si>
    <t>111 Halsell Drive</t>
  </si>
  <si>
    <t>West Monroe, La  71291</t>
  </si>
  <si>
    <t>423-708-9283</t>
  </si>
  <si>
    <t>111 Halsell Drive; Phone: 423-708-_</t>
  </si>
  <si>
    <t>Mikron MFG - Colorado Springs</t>
  </si>
  <si>
    <t>(716) 542-5515</t>
  </si>
  <si>
    <t>4165 Half Acre Road, Phone: (513) 487-5923</t>
  </si>
  <si>
    <t>(708) 344-5480</t>
  </si>
  <si>
    <t>Milestone Contracting</t>
  </si>
  <si>
    <t>5245 N Indianapolis Road Plant 32</t>
  </si>
  <si>
    <t>Colubus, IN 47203-9439</t>
  </si>
  <si>
    <t>(812) 579-5248</t>
  </si>
  <si>
    <t>5245 N Indianapolis Road Plant 32,</t>
  </si>
  <si>
    <t>MillcreekPower - Harlan</t>
  </si>
  <si>
    <t>350 Elkin Wildlife Road, Phone:</t>
  </si>
  <si>
    <t>8014 Redwood Court, Phone: (847_</t>
  </si>
  <si>
    <t>(989) 793-8881</t>
  </si>
  <si>
    <t>Rr 2, Phone: (765) 985-2688</t>
  </si>
  <si>
    <t>Miller T R Mill - Brewton</t>
  </si>
  <si>
    <t>Po Box 708,Phone: (251) 867-4331</t>
  </si>
  <si>
    <t>Miller T R Mill - Castleberry</t>
  </si>
  <si>
    <t>nan, Phone: (251) 966-5580 please</t>
  </si>
  <si>
    <t>Millport-AL SWL</t>
  </si>
  <si>
    <t>14715 Hwy 96</t>
  </si>
  <si>
    <t>Millport, AL  35576</t>
  </si>
  <si>
    <t>(205) 596-3311</t>
  </si>
  <si>
    <t>14715 Hwy 96,Phone: nan please respond wi_</t>
  </si>
  <si>
    <t>Mills Machinery Bradley unknown</t>
  </si>
  <si>
    <t>Mills Products</t>
  </si>
  <si>
    <t>2530 Northridge Dr</t>
  </si>
  <si>
    <t>Athens, TN  37303-5043</t>
  </si>
  <si>
    <t>(423) 745-9090</t>
  </si>
  <si>
    <t>2530 Northridge Dr; Phone: nan please respon_</t>
  </si>
  <si>
    <t>80 South</t>
  </si>
  <si>
    <t>(608) 643-8565</t>
  </si>
  <si>
    <t>(630) 232-3129</t>
  </si>
  <si>
    <t>(952) 927-1400</t>
  </si>
  <si>
    <t>+52 899 929 3600</t>
  </si>
  <si>
    <t>Minnesota Rubber-Iowa</t>
  </si>
  <si>
    <t>(641) 424-8222</t>
  </si>
  <si>
    <t>1700 15th Street SW; Phone: nan</t>
  </si>
  <si>
    <t>(662) 603-6910</t>
  </si>
  <si>
    <t>Mississippi Lime - SteGenevieve</t>
  </si>
  <si>
    <t>SteGenevieve,MO 63</t>
  </si>
  <si>
    <t>(573) 883-4023</t>
  </si>
  <si>
    <t>80 Co Rd 210,Phone: (662) 696-2600 please</t>
  </si>
  <si>
    <t>Mississippi Steel Processing</t>
  </si>
  <si>
    <t>400 North Steel Road</t>
  </si>
  <si>
    <t>(662) 327-3150</t>
  </si>
  <si>
    <t>400 North Steel Road, Phone: (662_</t>
  </si>
  <si>
    <t>Missouri Cooperage Co</t>
  </si>
  <si>
    <t>(417) 588-4151</t>
  </si>
  <si>
    <t>1078 South Jefferson St, Phone: nan</t>
  </si>
  <si>
    <t>(314) 275-1500</t>
  </si>
  <si>
    <t>(330) 427-8900</t>
  </si>
  <si>
    <t>(412) 269-6629</t>
  </si>
  <si>
    <t>500 Cherringto_</t>
  </si>
  <si>
    <t>Mity-Lite- Orem</t>
  </si>
  <si>
    <t>190 Simmons Avenue</t>
  </si>
  <si>
    <t>(608) 244-3511</t>
  </si>
  <si>
    <t>201 WAUBESA ST, Phone: nan please respond with</t>
  </si>
  <si>
    <t>MMC- Belgrade</t>
  </si>
  <si>
    <t>(406) 388-1983</t>
  </si>
  <si>
    <t>(636) 343-9970</t>
  </si>
  <si>
    <t>(608) 764-5416</t>
  </si>
  <si>
    <t>101 Grand Avenue, Phone: n_</t>
  </si>
  <si>
    <t>1641 Thompson Rd; Phone: (256) 77_</t>
  </si>
  <si>
    <t>(409)</t>
  </si>
  <si>
    <t>1795 Burt St, Phone: (409)</t>
  </si>
  <si>
    <t>(989) 435-9071</t>
  </si>
  <si>
    <t>Modern Plating Coatings &amp; Finish</t>
  </si>
  <si>
    <t>204 Ring Rd</t>
  </si>
  <si>
    <t>Elizabethtown, KY 42701</t>
  </si>
  <si>
    <t>(270) 769-2088</t>
  </si>
  <si>
    <t>204 Ring Rd; Phone: nan</t>
  </si>
  <si>
    <t>(541) 917-8980</t>
  </si>
  <si>
    <t>MOHAWK - Bennettsville</t>
  </si>
  <si>
    <t>2118 MARLBORO RD; Phone: nan</t>
  </si>
  <si>
    <t>(706) 695-9611</t>
  </si>
  <si>
    <t>260 Hudson River Road, Phone: nan</t>
  </si>
  <si>
    <t>(607) 753-6001</t>
  </si>
  <si>
    <t>(256) 301-5730</t>
  </si>
  <si>
    <t>1425 Red Hat Road, Phone: 256-301-_</t>
  </si>
  <si>
    <t>(502) 695-7766</t>
  </si>
  <si>
    <t>2011 Hoover Blvd, Phone: 502-695_</t>
  </si>
  <si>
    <t>(631) 471-7800</t>
  </si>
  <si>
    <t>Monterey Mushrooms</t>
  </si>
  <si>
    <t>19748 Highyway 72</t>
  </si>
  <si>
    <t>19748 Highyway 72, Phone: nan plea_</t>
  </si>
  <si>
    <t>Monterey Mushrooms - Zellwood</t>
  </si>
  <si>
    <t>5949 Sadler Rd</t>
  </si>
  <si>
    <t>Zellwood, FL  32798</t>
  </si>
  <si>
    <t>(407) 905-4000</t>
  </si>
  <si>
    <t>5949 Sadler Rd, Phone: nan</t>
  </si>
  <si>
    <t>(606) 348-8663</t>
  </si>
  <si>
    <t>Moog</t>
  </si>
  <si>
    <t>47495 Clipper Street</t>
  </si>
  <si>
    <t>Plymouth, MI  48170</t>
  </si>
  <si>
    <t>734-738-5863</t>
  </si>
  <si>
    <t>47495 Clipper Street; Phone: 734-738-5863 please</t>
  </si>
  <si>
    <t>(716) 774-0700</t>
  </si>
  <si>
    <t>(704) 663-4240</t>
  </si>
  <si>
    <t>242 Rolling Hills Rd; Phone: nan pleas_</t>
  </si>
  <si>
    <t>(989) 866-2381</t>
  </si>
  <si>
    <t>Morehead Industrial Services</t>
  </si>
  <si>
    <t>1583 US Route 20</t>
  </si>
  <si>
    <t>Skaneateles, NY  13152</t>
  </si>
  <si>
    <t>(315) 685-8905</t>
  </si>
  <si>
    <t>1583 US Route 20,Phone: nan</t>
  </si>
  <si>
    <t>(434) 735-8151</t>
  </si>
  <si>
    <t>Morgan Olson</t>
  </si>
  <si>
    <t>1801 S Nottawa Road</t>
  </si>
  <si>
    <t>Sturgis, MI 49091</t>
  </si>
  <si>
    <t>(269) 659-0200</t>
  </si>
  <si>
    <t>1801 S Nottawa Road, Phone: nan please respond_</t>
  </si>
  <si>
    <t>Morgen MFG - Yankton</t>
  </si>
  <si>
    <t>Moriroku - Rainsville</t>
  </si>
  <si>
    <t>189 Rti Dr</t>
  </si>
  <si>
    <t>Michael Sparks</t>
  </si>
  <si>
    <t>189 Rti Dr; Phone: 256-638-9760</t>
  </si>
  <si>
    <t>(530) 473-3600</t>
  </si>
  <si>
    <t>(253) 735-8922</t>
  </si>
  <si>
    <t>(309) 266-7176</t>
  </si>
  <si>
    <t>(620) 669-0401</t>
  </si>
  <si>
    <t>1000 Morton Drive; Phone: nan</t>
  </si>
  <si>
    <t>(503) 364-2277</t>
  </si>
  <si>
    <t>(502) 266-8880</t>
  </si>
  <si>
    <t>10933 Electron Drive; Phone:_</t>
  </si>
  <si>
    <t>(334) 484-9671</t>
  </si>
  <si>
    <t>621 West Willow Street; Phone: 256-259-5322</t>
  </si>
  <si>
    <t>(704) 596-8717</t>
  </si>
  <si>
    <t>MO-TECH</t>
  </si>
  <si>
    <t>2920 Grenada Ave N</t>
  </si>
  <si>
    <t>Oakdale, MN 55128</t>
  </si>
  <si>
    <t>(651) 770-1515</t>
  </si>
  <si>
    <t>2920 Grenada Ave N; Phone: nan please respond wit_</t>
  </si>
  <si>
    <t>Motion - AB05 Edmonton, Canada</t>
  </si>
  <si>
    <t>5736 59TH Street, Phone: 78_</t>
  </si>
  <si>
    <t>1427 Chaffee DrSuite 5</t>
  </si>
  <si>
    <t>Titusville, FL32780</t>
  </si>
  <si>
    <t>1427 Chaffee DrSuite 5, Phone: 321-_</t>
  </si>
  <si>
    <t>Motion Ind C/O TRC US</t>
  </si>
  <si>
    <t>PO Box 4044130</t>
  </si>
  <si>
    <t>Atlanta, GA 30384-4130</t>
  </si>
  <si>
    <t>(800) 526-9328</t>
  </si>
  <si>
    <t>PO Box 4044130, Phone: nan please</t>
  </si>
  <si>
    <t>205-25.</t>
  </si>
  <si>
    <t>824 North 31st Street, Phone: 205-25.</t>
  </si>
  <si>
    <t>825 Lakeside Drive, Phone: 251-661-_</t>
  </si>
  <si>
    <t>256-.</t>
  </si>
  <si>
    <t>205-759-.</t>
  </si>
  <si>
    <t>111 South First Street, Phone: 256-54_</t>
  </si>
  <si>
    <t>31191 Hwy 31, Phone: 251-867-6363</t>
  </si>
  <si>
    <t>824 N31st St , B-AL61</t>
  </si>
  <si>
    <t>824 N31st St</t>
  </si>
  <si>
    <t>Motion-AL62</t>
  </si>
  <si>
    <t>179 N Industrial Park Drive</t>
  </si>
  <si>
    <t>Demopolis, AL 36732</t>
  </si>
  <si>
    <t>334-287-0611</t>
  </si>
  <si>
    <t>Herman Stephens</t>
  </si>
  <si>
    <t>179 N Industrial Park Drive; Phone: 334-287-0611</t>
  </si>
  <si>
    <t>Motion-AL62 Monroeville</t>
  </si>
  <si>
    <t>520 Hornady Dr</t>
  </si>
  <si>
    <t>520 Hornady Dr; Phone: 251-743-481_</t>
  </si>
  <si>
    <t>Motion-AR53 Pine Bluff</t>
  </si>
  <si>
    <t>510 Commerce Rd</t>
  </si>
  <si>
    <t xml:space="preserve"> Pine Bluff, AR 71601</t>
  </si>
  <si>
    <t>510 Commerce Rd, Phone: 870-534- _</t>
  </si>
  <si>
    <t>479-.</t>
  </si>
  <si>
    <t>5312 West 65th Street, Phone: 501-_</t>
  </si>
  <si>
    <t>1809 S Elmira Avenue; Phone: 479-96_</t>
  </si>
  <si>
    <t>3733 EHwy 18</t>
  </si>
  <si>
    <t>3733</t>
  </si>
  <si>
    <t>(480) 921-9800</t>
  </si>
  <si>
    <t>1802 West Grant, Suite 107, Phone:</t>
  </si>
  <si>
    <t>4274 E30th Place</t>
  </si>
  <si>
    <t>(870) 774-2547</t>
  </si>
  <si>
    <t>4274 E3Oth Place; Phone: 928-782 -_</t>
  </si>
  <si>
    <t>Motion-AZ58 Tempe</t>
  </si>
  <si>
    <t>6955 S Priest Drive</t>
  </si>
  <si>
    <t>Tempe, AZ  85283</t>
  </si>
  <si>
    <t>(480) 281-0650</t>
  </si>
  <si>
    <t>6955 S Priest Drive, Phone: nan pleas_</t>
  </si>
  <si>
    <t>323-.</t>
  </si>
  <si>
    <t>2041 Saybrook Avenue; Phone: 323-.</t>
  </si>
  <si>
    <t>7445 Raytheon Road, Phone: 858-565_</t>
  </si>
  <si>
    <t>1142 North Gilbert St</t>
  </si>
  <si>
    <t>1142 North Gilbert St, Phone: 714-78_</t>
  </si>
  <si>
    <t>45313 23rd Street West; Phone: 661-_</t>
  </si>
  <si>
    <t>(831) 758-3345</t>
  </si>
  <si>
    <t>8000 West Doe Ave, Ste300</t>
  </si>
  <si>
    <t>8000 West Doe Ave; Ste300, Phone:</t>
  </si>
  <si>
    <t>2355 Whitman Rd, Unit F</t>
  </si>
  <si>
    <t>925-.</t>
  </si>
  <si>
    <t>2355 Whitman Rd, Unit F; Phone: 925-.</t>
  </si>
  <si>
    <t>1217 John Reed Ct</t>
  </si>
  <si>
    <t>626-</t>
  </si>
  <si>
    <t>1217 John Reed Ct, Phone: 626-</t>
  </si>
  <si>
    <t>Motion-FC10 Lakeland</t>
  </si>
  <si>
    <t>5275 Drane Field Rd  Suite 100</t>
  </si>
  <si>
    <t>Lakeland, FL  33811</t>
  </si>
  <si>
    <t>(863) 701-9500</t>
  </si>
  <si>
    <t>5275 Drane Field Rd Suite 100, Phon_</t>
  </si>
  <si>
    <t>Motion-FL02 Jacksonville</t>
  </si>
  <si>
    <t>2653 Port Industrial DrSuite 201</t>
  </si>
  <si>
    <t>BM - Bill Horn, Jr OPS - Betty Heers</t>
  </si>
  <si>
    <t>2653 Port Industrial DrSuite 201,</t>
  </si>
  <si>
    <t>3131 WNAVY BLVD</t>
  </si>
  <si>
    <t>3131 WNAVY BLVD; Phone: 850-433- _</t>
  </si>
  <si>
    <t>6545 Bayline Drive</t>
  </si>
  <si>
    <t>Panama City, FL 32404</t>
  </si>
  <si>
    <t>850-769-</t>
  </si>
  <si>
    <t>6545 Bayline Drive; Phone: 850-769-</t>
  </si>
  <si>
    <t>Motion-GA11 Augusta</t>
  </si>
  <si>
    <t>705 McKnight Industrial Blvd</t>
  </si>
  <si>
    <t>Augusta, GA 30907</t>
  </si>
  <si>
    <t>705 McKnight Industrial Blvd, Phone:</t>
  </si>
  <si>
    <t>77.</t>
  </si>
  <si>
    <t>706-.</t>
  </si>
  <si>
    <t>706-353-.</t>
  </si>
  <si>
    <t>545 Olympic Drive, Phone: 706-353-.</t>
  </si>
  <si>
    <t>229-.</t>
  </si>
  <si>
    <t>1906 Lukken Ind. Dr. W</t>
  </si>
  <si>
    <t>1906 Lukken Ind. Dr: W, Phone: 706-.</t>
  </si>
  <si>
    <t>2000 MFG Drive</t>
  </si>
  <si>
    <t>2000 MFG Drive; Phone: 563-243-667._</t>
  </si>
  <si>
    <t>BM - Dick Oâ€™Hearne  OPS - Jeff George</t>
  </si>
  <si>
    <t>Motion-IA16 Davenport</t>
  </si>
  <si>
    <t>5620 Carey Ave</t>
  </si>
  <si>
    <t>Davenport, IA  52807</t>
  </si>
  <si>
    <t>563-391-8888</t>
  </si>
  <si>
    <t>5620 Carey Ave; Phone: nan please</t>
  </si>
  <si>
    <t>208-233-.</t>
  </si>
  <si>
    <t>2711 Garrett Way; Phone: 208-233-.</t>
  </si>
  <si>
    <t>2150 N15th Ave</t>
  </si>
  <si>
    <t>708-344-443.</t>
  </si>
  <si>
    <t>2150 N1Sth Ave; Phone: 708-344-443.</t>
  </si>
  <si>
    <t>708-.</t>
  </si>
  <si>
    <t>2011 Charleston Avenue; Phone: 217-_</t>
  </si>
  <si>
    <t>Motion-IL65 MtVernon</t>
  </si>
  <si>
    <t>2222 So10th Street</t>
  </si>
  <si>
    <t>MtVernon, IL 62864</t>
  </si>
  <si>
    <t>2222 So1Oth Street; Phone: 618-241-_</t>
  </si>
  <si>
    <t>2466 NState Road 39</t>
  </si>
  <si>
    <t>2466 NState Road 39,Phone: 219-36_</t>
  </si>
  <si>
    <t>3333 East Washington Blvd, Phone:</t>
  </si>
  <si>
    <t>2820 SState Road 63</t>
  </si>
  <si>
    <t>2820 SState Road 63,Phone: 812-23_</t>
  </si>
  <si>
    <t>1200 NWillow Rd, Suite 102</t>
  </si>
  <si>
    <t>1200 NWillow Rd, Suite 102, Phone:</t>
  </si>
  <si>
    <t>1880 SFlorence Court</t>
  </si>
  <si>
    <t>1880 SFlorence Court; Phone: 316-94_</t>
  </si>
  <si>
    <t>116 SEMonroe</t>
  </si>
  <si>
    <t>116 SEMonroe; Phone: 785-233-6500</t>
  </si>
  <si>
    <t>7280 WBert Kouns Industrial Loop</t>
  </si>
  <si>
    <t>7280 WBert Kouns Industrial Loop,</t>
  </si>
  <si>
    <t>Motion-LA17  DeRidder</t>
  </si>
  <si>
    <t>170 Jodie Williams Rd</t>
  </si>
  <si>
    <t>DeRidder, LA  70634</t>
  </si>
  <si>
    <t>337-348-5092</t>
  </si>
  <si>
    <t>170 Jodie Williams Rd, Phone: 337-_</t>
  </si>
  <si>
    <t>318-651-0101</t>
  </si>
  <si>
    <t>900 Independence Drive; Phone:</t>
  </si>
  <si>
    <t>401 WStPeter Street</t>
  </si>
  <si>
    <t>401 WStPeter Street, Phone: 337-364- _</t>
  </si>
  <si>
    <t>1020 MacArthur Ave</t>
  </si>
  <si>
    <t>504-818-0468</t>
  </si>
  <si>
    <t>1020 MacArthur Ave; Harvey; LA 70058</t>
  </si>
  <si>
    <t>7746 SCommerce Ave</t>
  </si>
  <si>
    <t>225-.</t>
  </si>
  <si>
    <t>7746 SCommerce</t>
  </si>
  <si>
    <t>902 North John MHardy Dr</t>
  </si>
  <si>
    <t>902 North John MHardy Dr; Phone:</t>
  </si>
  <si>
    <t>109 NCities Service Hwy</t>
  </si>
  <si>
    <t>109 NCities Service Hwy; Phone: 337-_</t>
  </si>
  <si>
    <t>2317 Hwy662 South</t>
  </si>
  <si>
    <t>2317 Hwy662 South, Phone: 985-631-_</t>
  </si>
  <si>
    <t>Ruston, LA  71270</t>
  </si>
  <si>
    <t>1308 Commerce Street, Phone: 318-_</t>
  </si>
  <si>
    <t>Motion-LA52 Alexandria</t>
  </si>
  <si>
    <t>6127 Masonic Drive, Phone: 318-445 _</t>
  </si>
  <si>
    <t>7320 Julia Francis Dr</t>
  </si>
  <si>
    <t>318-687.</t>
  </si>
  <si>
    <t>7320 Julia Francis Dr; Phone: 318-687.</t>
  </si>
  <si>
    <t>804 PPG BldgE-1</t>
  </si>
  <si>
    <t>804 PPG BldgE-1, Phone: 337-882 _</t>
  </si>
  <si>
    <t>34 Saint Martin Dr</t>
  </si>
  <si>
    <t>34 Saint Martin Dr; Phone: 508-22_</t>
  </si>
  <si>
    <t>1643 Dublin Avenue; Phone: 204-694- _</t>
  </si>
  <si>
    <t>17 Hamill Ave</t>
  </si>
  <si>
    <t>301-786-.</t>
  </si>
  <si>
    <t>17 Hamill Ave; Phone: 301-786-.</t>
  </si>
  <si>
    <t>207 --</t>
  </si>
  <si>
    <t>21 Industrial Park Road, Phone: 207 --</t>
  </si>
  <si>
    <t>2450 SM139</t>
  </si>
  <si>
    <t>2450 SM139,Phone: 269-926-721_</t>
  </si>
  <si>
    <t>1805 Brinston Dr, Dock A</t>
  </si>
  <si>
    <t>1805 Brinston Dr; Dock A, Phone: 248-680-47 _</t>
  </si>
  <si>
    <t>821 East Blvd</t>
  </si>
  <si>
    <t>821 East Blvd, Phone: 906-774-1100</t>
  </si>
  <si>
    <t>5140 Progress Dr</t>
  </si>
  <si>
    <t>Motion-MI31 Ludington active</t>
  </si>
  <si>
    <t>231-845-xxxx</t>
  </si>
  <si>
    <t>8405 Enterprise Drive North; Phon_</t>
  </si>
  <si>
    <t>Motion-MN14 StPaul</t>
  </si>
  <si>
    <t>StPaul, MN 55113-3601</t>
  </si>
  <si>
    <t>2580 North Cleveland Avenue; Phone:_</t>
  </si>
  <si>
    <t>4109 Waco Road, SteB</t>
  </si>
  <si>
    <t>573-.</t>
  </si>
  <si>
    <t>4109 Waco Road, SteB, Phone: 573-.</t>
  </si>
  <si>
    <t>2209 West Main Street; Phone: 660 _</t>
  </si>
  <si>
    <t>662-.</t>
  </si>
  <si>
    <t>Motion-MS54 McComb</t>
  </si>
  <si>
    <t>2134 Airport Fernwood Rd</t>
  </si>
  <si>
    <t>McComb, MS  39648</t>
  </si>
  <si>
    <t>2134 Airport Fernwood Rd, Phone: 60_</t>
  </si>
  <si>
    <t>270 Baig Blvd, Unit A-3</t>
  </si>
  <si>
    <t>506-.</t>
  </si>
  <si>
    <t>270 Baig Blvd, Unit A-3,Phone: 506-.</t>
  </si>
  <si>
    <t>1249 Sheilds Rd</t>
  </si>
  <si>
    <t>2012 Garner Station Blvd</t>
  </si>
  <si>
    <t>2012 Garner Station Blvd, Phone: 919_</t>
  </si>
  <si>
    <t>1903 Godwin Avenue; Phone: 910-73_</t>
  </si>
  <si>
    <t>4434 16th Ave, North Circle</t>
  </si>
  <si>
    <t>4434 16th Ave; North Circle; Phone:</t>
  </si>
  <si>
    <t>5501 N 57th StSte300</t>
  </si>
  <si>
    <t>402-</t>
  </si>
  <si>
    <t>5501 N 57th StSte300, Phone: 402-</t>
  </si>
  <si>
    <t>1952 East 12th Ave</t>
  </si>
  <si>
    <t>402-562-.</t>
  </si>
  <si>
    <t>1952 East 12th Ave; Phone: 402-562-.</t>
  </si>
  <si>
    <t>22 2nd Ave</t>
  </si>
  <si>
    <t>22 2nd Ave; Phone: 709-282-5085</t>
  </si>
  <si>
    <t>53-B  SJefferson Rd</t>
  </si>
  <si>
    <t>973-428-</t>
  </si>
  <si>
    <t>53-B SJefferson Rd, Phone: 973-428-</t>
  </si>
  <si>
    <t>60 Railroad Ave</t>
  </si>
  <si>
    <t>60 Railroad</t>
  </si>
  <si>
    <t>28 Industrial DrUnit B</t>
  </si>
  <si>
    <t>28 Industrial DrUnit B, Phone: 609-58_</t>
  </si>
  <si>
    <t>48 Westfield Ave</t>
  </si>
  <si>
    <t>48 Westfield Ave; Phone: 908-354-38_</t>
  </si>
  <si>
    <t>50 Akerley Blvd, Unit 4</t>
  </si>
  <si>
    <t>50 Akerley Blvd, Unit 4, Phone: 902 -_</t>
  </si>
  <si>
    <t>4724 Mitchell St, Suite G</t>
  </si>
  <si>
    <t>4724 Mitchell St, Suite G,</t>
  </si>
  <si>
    <t>3780 Commerce Ct, Suite 400</t>
  </si>
  <si>
    <t>3780 Commerce Ct, Suite 40_</t>
  </si>
  <si>
    <t>6420 Deere Road, STE 2</t>
  </si>
  <si>
    <t>(North) Syracuse, NY 13206</t>
  </si>
  <si>
    <t>6420 Deere Road, STE 2,</t>
  </si>
  <si>
    <t>GA Pacific - 327 Margaret St</t>
  </si>
  <si>
    <t>GA Pacific -</t>
  </si>
  <si>
    <t>2964 Lafayette Ave</t>
  </si>
  <si>
    <t>2964 Lafayette Ave, Phone: 718-931 -_</t>
  </si>
  <si>
    <t>918-459-6919</t>
  </si>
  <si>
    <t>13685E 61st Street South, Phone: na_</t>
  </si>
  <si>
    <t>3905 Tull Ave</t>
  </si>
  <si>
    <t>3905 Tull Ave; Phone: 918-682-3611</t>
  </si>
  <si>
    <t>650 Woodlawn Road West, Units</t>
  </si>
  <si>
    <t>1177 Franklin Blvd, Unit 18</t>
  </si>
  <si>
    <t>1177 Franklin Blvd, Unit 18, Phone:</t>
  </si>
  <si>
    <t>600 Gormanville Rd, RPO Algonquin</t>
  </si>
  <si>
    <t>600 Gormanville Rd, RPO Algonquin,</t>
  </si>
  <si>
    <t>5511 Tomken Rd#21</t>
  </si>
  <si>
    <t>5511 Tomken Rd#21, Phone: 905-238_</t>
  </si>
  <si>
    <t>30 Royal Crest Ct, Unit #8</t>
  </si>
  <si>
    <t>30 Royal Crest Ct, Unit #8, Phone: 90_</t>
  </si>
  <si>
    <t>905-.</t>
  </si>
  <si>
    <t>2260, Industrial Street; Phone: 905-.</t>
  </si>
  <si>
    <t>Motion-ON14 StCatharines</t>
  </si>
  <si>
    <t>636 Welland Ave</t>
  </si>
  <si>
    <t>StCatharines, Ontario L2M 5V6</t>
  </si>
  <si>
    <t>636 Welland</t>
  </si>
  <si>
    <t>333 California Ave, Unit #16</t>
  </si>
  <si>
    <t>333 California Ave, Unit #16, Phone:</t>
  </si>
  <si>
    <t>1656 Woodward Dr</t>
  </si>
  <si>
    <t>613-723-.</t>
  </si>
  <si>
    <t>1656 Woodward Dr; Phone: 613-723-.</t>
  </si>
  <si>
    <t>1112, Russell St, Unit #4</t>
  </si>
  <si>
    <t>807--</t>
  </si>
  <si>
    <t>1112, Russell St; Unit #4, Phone: 807--</t>
  </si>
  <si>
    <t>910 NE 57th Ave, Suite 100</t>
  </si>
  <si>
    <t>910 NE S7th</t>
  </si>
  <si>
    <t>Motion-OR25 Roseburg</t>
  </si>
  <si>
    <t>428 Industrial Drive</t>
  </si>
  <si>
    <t>Roseburg, OR  97471</t>
  </si>
  <si>
    <t>541-784-9003</t>
  </si>
  <si>
    <t>428 Industrial Drive, Phone: nan pleas_</t>
  </si>
  <si>
    <t>7562 Penn Dr</t>
  </si>
  <si>
    <t>7562 Penn Dr; Phone: 610-366-9034</t>
  </si>
  <si>
    <t>RR #6,Box 1470, Suite 1,Phone: 814- _</t>
  </si>
  <si>
    <t>Carr #2 KM-166, Suite 364</t>
  </si>
  <si>
    <t>Carr #2 KM-166, Suite 364,Phone: 78_</t>
  </si>
  <si>
    <t>495, rue NoÃ«l</t>
  </si>
  <si>
    <t>4186, boulIndustriel</t>
  </si>
  <si>
    <t>4186, boullndustriel, Phone: 819-563-_</t>
  </si>
  <si>
    <t>Motion-QC26 StLeonard</t>
  </si>
  <si>
    <t>StLeonard, Quebec H1R 1Z4</t>
  </si>
  <si>
    <t>514 .</t>
  </si>
  <si>
    <t>4571 Metropolitain East; Phone: 514 .</t>
  </si>
  <si>
    <t>BM - AndrÃ© Ranger  OPS - Johanne Raymond</t>
  </si>
  <si>
    <t>6755, boulChoquette, Porte 5</t>
  </si>
  <si>
    <t>6755, boulChoquette, Porte 5, Phone:</t>
  </si>
  <si>
    <t>205 Hallene Rd, Unit 320</t>
  </si>
  <si>
    <t>205 Hallene Rd, Unit 320,Phone: 401-_</t>
  </si>
  <si>
    <t>111orate Drive</t>
  </si>
  <si>
    <t>111orate Drive, Phone: 864-578-1470</t>
  </si>
  <si>
    <t>Motion-SC76 Fort Mill</t>
  </si>
  <si>
    <t>7107 Logistics Lane, Suite 112</t>
  </si>
  <si>
    <t>Fort Mill, SC 29715</t>
  </si>
  <si>
    <t>704-413-2560</t>
  </si>
  <si>
    <t>7107 Logistics Lane; Suite 112,Phon_</t>
  </si>
  <si>
    <t>Motion-TN06 Knoxville</t>
  </si>
  <si>
    <t>Knoxville, TN  37932</t>
  </si>
  <si>
    <t>11274 Threadstone Lane; Phone: 865_</t>
  </si>
  <si>
    <t>Motion-TN07 Kingsport</t>
  </si>
  <si>
    <t>119 Regional Park Dr.</t>
  </si>
  <si>
    <t>Kingsport, TN  37660</t>
  </si>
  <si>
    <t>119 Regional Park Dr,, Phone: nan</t>
  </si>
  <si>
    <t>100 Johnston St</t>
  </si>
  <si>
    <t>100 Johnston St, Phone: 931-454-090_</t>
  </si>
  <si>
    <t>3740 Powers Court Dr</t>
  </si>
  <si>
    <t>3740 Powers Court Dr; Phone: 423-_</t>
  </si>
  <si>
    <t>1202 Indiana, Phone: 940-766-3328</t>
  </si>
  <si>
    <t>Motion-TX12us Christi</t>
  </si>
  <si>
    <t>(361) 826-2500.</t>
  </si>
  <si>
    <t>917 Corn Products, Phone: 361-289- _</t>
  </si>
  <si>
    <t>979-822-1656</t>
  </si>
  <si>
    <t>610 West Carson; Phone: nan please</t>
  </si>
  <si>
    <t>Motion-TX41 Tyler</t>
  </si>
  <si>
    <t>2500 W NW Loop 323</t>
  </si>
  <si>
    <t>2500 W NW Loop 323,Phone: nan please</t>
  </si>
  <si>
    <t>16074 Central Commerce Dr, Bldg A103</t>
  </si>
  <si>
    <t>16074 Central Commerce Dr; Bldg</t>
  </si>
  <si>
    <t>1414 South Gladiola St, Suite 300</t>
  </si>
  <si>
    <t>1414 South Gladiola St, Suite 300,</t>
  </si>
  <si>
    <t>390 North 1000 West; Phone: 435-75_</t>
  </si>
  <si>
    <t>3719 Tom Andrews Rd, Suite 1</t>
  </si>
  <si>
    <t>3719 Tom Andrews Rd, Suite 1, Phon_</t>
  </si>
  <si>
    <t>175 North Maple Ave</t>
  </si>
  <si>
    <t>175 North Maple</t>
  </si>
  <si>
    <t>18900 Des Moines Memorial Dr, Bldg4</t>
  </si>
  <si>
    <t>18900 Des Moines Memorial Dr; Bldg_</t>
  </si>
  <si>
    <t>116 West Bonneville St</t>
  </si>
  <si>
    <t>509-.</t>
  </si>
  <si>
    <t>116 West Bonneville St, Phone: 509-.</t>
  </si>
  <si>
    <t>2125 SStoughton Road</t>
  </si>
  <si>
    <t>608-.</t>
  </si>
  <si>
    <t>2125 SStoughton Road, Phone: 608-.</t>
  </si>
  <si>
    <t>W229 N1687 Westwood Dr Unit C</t>
  </si>
  <si>
    <t>W229 N1687 Westwood Dr Unit C,</t>
  </si>
  <si>
    <t>600 Parkway Rd, Southridge BusPark</t>
  </si>
  <si>
    <t>600 Parkway Rd, Southridge BusPark,</t>
  </si>
  <si>
    <t>311 Progress Circle Ste1</t>
  </si>
  <si>
    <t>311 Progress Circle Stel, Phone: 307 -_</t>
  </si>
  <si>
    <t>970-929-5225</t>
  </si>
  <si>
    <t>276-676-0381</t>
  </si>
  <si>
    <t>24416 Regal Dr; Phone:</t>
  </si>
  <si>
    <t>Moyer - Elkhart</t>
  </si>
  <si>
    <t>574-264-3119</t>
  </si>
  <si>
    <t>226 Basher Drive; Phone: nan please respond with</t>
  </si>
  <si>
    <t>608-764-5416</t>
  </si>
  <si>
    <t>101 Grand Avenue; Phone: nan please_</t>
  </si>
  <si>
    <t>MPS - SOUTHWIRE</t>
  </si>
  <si>
    <t>4155 HELTON DRIVE</t>
  </si>
  <si>
    <t>FLORENCE, AL 35630</t>
  </si>
  <si>
    <t>256-768-7786</t>
  </si>
  <si>
    <t>Jared Pullen</t>
  </si>
  <si>
    <t>4155 HELTON DRIVE, Phone: 256-768_</t>
  </si>
  <si>
    <t>MPS@MUELLER - CHATTANOOGA</t>
  </si>
  <si>
    <t>1401 MUELLER AVE</t>
  </si>
  <si>
    <t>423-698-8811</t>
  </si>
  <si>
    <t>1401 MUELLER AVE, Phone:</t>
  </si>
  <si>
    <t>MRC Global - Monessen</t>
  </si>
  <si>
    <t>1000 Maronda Way, Building A</t>
  </si>
  <si>
    <t>Monessen, PA  15062</t>
  </si>
  <si>
    <t>724-684-2100</t>
  </si>
  <si>
    <t>1000 Maronda Way; Building A, Phon_</t>
  </si>
  <si>
    <t>MRC GLOBAL (US)#087</t>
  </si>
  <si>
    <t>519 LANEY WALKER BLVD</t>
  </si>
  <si>
    <t>AUGUSTA, GA  30901</t>
  </si>
  <si>
    <t>706-724-7666</t>
  </si>
  <si>
    <t>519 LANEY WALKER BLVD, Phone:</t>
  </si>
  <si>
    <t>MRC GLOBAL (US)#093</t>
  </si>
  <si>
    <t>1801 SOUTH 16TH STREET</t>
  </si>
  <si>
    <t>LA PORTE TX 77571</t>
  </si>
  <si>
    <t>713-577-3000</t>
  </si>
  <si>
    <t>HUNTERPRUDE@MRCGLOBALCOM</t>
  </si>
  <si>
    <t>1801 SOUTH 16TH STREET, Phone:</t>
  </si>
  <si>
    <t>260-373-0850</t>
  </si>
  <si>
    <t>Mrtin Plant Services</t>
  </si>
  <si>
    <t>PO Box 790,Phone: 256-383-3131</t>
  </si>
  <si>
    <t>125 Hemlock</t>
  </si>
  <si>
    <t>Heath Simpson</t>
  </si>
  <si>
    <t>662-328-0971</t>
  </si>
  <si>
    <t>125 Hemlock; Phone: nan please</t>
  </si>
  <si>
    <t>MSC - San Antonio</t>
  </si>
  <si>
    <t>121 Interpark Blvd, Suite 1203</t>
  </si>
  <si>
    <t>San Antonio, TX  78216</t>
  </si>
  <si>
    <t>210-930-2912</t>
  </si>
  <si>
    <t>121 Interpark Blvd, Suite 1203,Phone: 210-93_</t>
  </si>
  <si>
    <t>734-847-3875</t>
  </si>
  <si>
    <t>7100 Industrial Dr; Temperance; MI 48182</t>
  </si>
  <si>
    <t>MTSSystems - Eden Prairie</t>
  </si>
  <si>
    <t>(952) 937-4000</t>
  </si>
  <si>
    <t>14000</t>
  </si>
  <si>
    <t>Mueller - Albertville</t>
  </si>
  <si>
    <t>Albertville Al35950</t>
  </si>
  <si>
    <t>256-894-2481</t>
  </si>
  <si>
    <t>256-878-7930</t>
  </si>
  <si>
    <t>956 Industrial Blvd, Phone: 256-894-_</t>
  </si>
  <si>
    <t>1401 Mueller Ave; Phone: nan please</t>
  </si>
  <si>
    <t>8285 Tournament Drive Suite 150, Phone: (90_</t>
  </si>
  <si>
    <t>Mueller Copper Tube</t>
  </si>
  <si>
    <t>400 Mueller Rd</t>
  </si>
  <si>
    <t>(662) 862-1700</t>
  </si>
  <si>
    <t>400 Mueller Rd, Phone: (662) 862-170_</t>
  </si>
  <si>
    <t>(260) 747-3149</t>
  </si>
  <si>
    <t>(507) 663-8000</t>
  </si>
  <si>
    <t>1150 Sheldahl Road, Phone: nan</t>
  </si>
  <si>
    <t>(601) 854-1232</t>
  </si>
  <si>
    <t>148 Michel Street; Phone: nan please</t>
  </si>
  <si>
    <t>541-459-4545</t>
  </si>
  <si>
    <t>(563) 263-2631</t>
  </si>
  <si>
    <t>1700 Industrial Connector; Phone: na_</t>
  </si>
  <si>
    <t>(253) 474-0685</t>
  </si>
  <si>
    <t>(314) 771-7160</t>
  </si>
  <si>
    <t>233 Wolfner Drive; Phone: nan please respond wit_</t>
  </si>
  <si>
    <t>(360) 396-2699</t>
  </si>
  <si>
    <t>1604 Industrial Rd, Phone: (843)</t>
  </si>
  <si>
    <t>(936) 569-1994</t>
  </si>
  <si>
    <t>470 Matthews St; Phone: (860) 584-9359</t>
  </si>
  <si>
    <t>(808) 473-1490</t>
  </si>
  <si>
    <t>(225)</t>
  </si>
  <si>
    <t>140 E Beulah Rd, Phone: (84_</t>
  </si>
  <si>
    <t>615-743-2800</t>
  </si>
  <si>
    <t>Natchitoches Wood Products</t>
  </si>
  <si>
    <t>234 Industrial Ave</t>
  </si>
  <si>
    <t>Natchitoches, LA 71457</t>
  </si>
  <si>
    <t>(314) 357-1424</t>
  </si>
  <si>
    <t>234 Industrial Ave; Phone: nan</t>
  </si>
  <si>
    <t>(630) 574-1512</t>
  </si>
  <si>
    <t>2122 York Road;</t>
  </si>
  <si>
    <t>(810) 341-5050</t>
  </si>
  <si>
    <t>National Gypsum - Medicine</t>
  </si>
  <si>
    <t>(620) 886-5613</t>
  </si>
  <si>
    <t>Plant Warehouse; Phone: nan</t>
  </si>
  <si>
    <t>National Gypsum - National City</t>
  </si>
  <si>
    <t>989-756-2741</t>
  </si>
  <si>
    <t>7169 EPleasant Valley Road</t>
  </si>
  <si>
    <t>7169 EPleasant Valley</t>
  </si>
  <si>
    <t>1321 Pinson Valley Pkwy,</t>
  </si>
  <si>
    <t>(562) 862-8163</t>
  </si>
  <si>
    <t>(714) 879-6110</t>
  </si>
  <si>
    <t>8526 L St; Phone: (402) 339-4050</t>
  </si>
  <si>
    <t>(803) 377-2995</t>
  </si>
  <si>
    <t>ND Paper Rumford Div</t>
  </si>
  <si>
    <t>(207) 364-4521</t>
  </si>
  <si>
    <t>35 Hartford Street; Phone: nan please_</t>
  </si>
  <si>
    <t>(541) 476-3289</t>
  </si>
  <si>
    <t>(307) 467-5252</t>
  </si>
  <si>
    <t>Nekoosa</t>
  </si>
  <si>
    <t>841 Market St</t>
  </si>
  <si>
    <t>Nekoosa, WI  54457-1134</t>
  </si>
  <si>
    <t>877-</t>
  </si>
  <si>
    <t>841 Market St, Phone: nan please respond with open</t>
  </si>
  <si>
    <t>(731) 352-</t>
  </si>
  <si>
    <t>1373 Rochelle RD, Phone: (731) 352-</t>
  </si>
  <si>
    <t>New Enterprise - Ormond Hot Mix Asphalt</t>
  </si>
  <si>
    <t>2475 Willow St.</t>
  </si>
  <si>
    <t>Coplay, PA  18037-2001</t>
  </si>
  <si>
    <t>(800) 543-3860</t>
  </si>
  <si>
    <t>2475 Willow St ,</t>
  </si>
  <si>
    <t>(908) 245-0020</t>
  </si>
  <si>
    <t>New Millenium Bldg Sys</t>
  </si>
  <si>
    <t>2535 Diuguids Ln</t>
  </si>
  <si>
    <t>Salem, VA  25153-2272</t>
  </si>
  <si>
    <t>540-389-0211</t>
  </si>
  <si>
    <t>2535 Diuguids Ln; Salem; VA 24153-2272</t>
  </si>
  <si>
    <t>803-432-3142</t>
  </si>
  <si>
    <t>Highway</t>
  </si>
  <si>
    <t>New SouthGraha - Graham</t>
  </si>
  <si>
    <t>4380 EBaldwin Road</t>
  </si>
  <si>
    <t>810-694-5426</t>
  </si>
  <si>
    <t>4380 EBaldwin Road, Phone: nan</t>
  </si>
  <si>
    <t>859-292-6000</t>
  </si>
  <si>
    <t>27602 EAdmiral Pl</t>
  </si>
  <si>
    <t>918-266-6205 ext102</t>
  </si>
  <si>
    <t>918-266-6205</t>
  </si>
  <si>
    <t>27602 EAdmiral Pl, Phone: 918-266-6205</t>
  </si>
  <si>
    <t>2101 JM MORRIS BLVD</t>
  </si>
  <si>
    <t>IOWA FLUID POWER CUST</t>
  </si>
  <si>
    <t>563-328-3600</t>
  </si>
  <si>
    <t>2101 JM</t>
  </si>
  <si>
    <t>Nix Forest Industries</t>
  </si>
  <si>
    <t>14732 State Hwy 87</t>
  </si>
  <si>
    <t>Timpson, TX 75975</t>
  </si>
  <si>
    <t>(936) 254-2441</t>
  </si>
  <si>
    <t>Jimmy Hicks</t>
  </si>
  <si>
    <t>14732 State Hwy 87,Phone: (936) 25_</t>
  </si>
  <si>
    <t>423-743-9151</t>
  </si>
  <si>
    <t>317-738-2558</t>
  </si>
  <si>
    <t>(662) 348-2800</t>
  </si>
  <si>
    <t>Nordam</t>
  </si>
  <si>
    <t>11045 E Newton St</t>
  </si>
  <si>
    <t>Tulsa, OK  74116</t>
  </si>
  <si>
    <t>11045 E Newton St; Phone: nan please respond with</t>
  </si>
  <si>
    <t>585-546-6200</t>
  </si>
  <si>
    <t>Nordstorm Valve- Sulphur Springs</t>
  </si>
  <si>
    <t>1511 Jefferson St E, Phone:</t>
  </si>
  <si>
    <t>757 -</t>
  </si>
  <si>
    <t>110 North Centerville Turnpike, Phone: 757 -</t>
  </si>
  <si>
    <t>Norman Equip - Bridgeview</t>
  </si>
  <si>
    <t>(708) 430-4000</t>
  </si>
  <si>
    <t>9850 South Industrial Dr; Phone:</t>
  </si>
  <si>
    <t>Norman Equip - New Berlin</t>
  </si>
  <si>
    <t>(262) 784-1700</t>
  </si>
  <si>
    <t>16150 W Rogers Dr; Phone: (800) 759_</t>
  </si>
  <si>
    <t>North Alabama Fabricating Co</t>
  </si>
  <si>
    <t>4632 Richard Arrington Jr</t>
  </si>
  <si>
    <t>North Alabama Fabricating-Cullman</t>
  </si>
  <si>
    <t>256-737-1111</t>
  </si>
  <si>
    <t>1540 CR 222,Phone: nan_</t>
  </si>
  <si>
    <t>5000 Commerce Avenue;</t>
  </si>
  <si>
    <t>North American Stainless</t>
  </si>
  <si>
    <t>6870 Hwy 42E</t>
  </si>
  <si>
    <t>Ghent, KY  41045-9615</t>
  </si>
  <si>
    <t>(502) 347-6000</t>
  </si>
  <si>
    <t>6870 Hwy 42E, Phone: nan please</t>
  </si>
  <si>
    <t>(850) 643-2238</t>
  </si>
  <si>
    <t>Highway 12 South, Phone: 850-26_</t>
  </si>
  <si>
    <t>269-925-5026</t>
  </si>
  <si>
    <t>North Shore MFG</t>
  </si>
  <si>
    <t>4706 N M-63</t>
  </si>
  <si>
    <t>Coloma, MI 49038</t>
  </si>
  <si>
    <t>4706 N M-63,Phone: nan please respond with_</t>
  </si>
  <si>
    <t>360-736-2811</t>
  </si>
  <si>
    <t>Northeast Industrial Tech</t>
  </si>
  <si>
    <t>13420 Reese Blvd West</t>
  </si>
  <si>
    <t>Huntersville, NC 28078</t>
  </si>
  <si>
    <t>800-574-2191</t>
  </si>
  <si>
    <t>13420 Reese Blvd West; Phone: nan</t>
  </si>
  <si>
    <t>440-974-9667</t>
  </si>
  <si>
    <t>Northwest Pipe</t>
  </si>
  <si>
    <t>303-289-4080</t>
  </si>
  <si>
    <t>6030 N Washington St, Phone: nan please</t>
  </si>
  <si>
    <t>+1 651-415-3400</t>
  </si>
  <si>
    <t>nou Systems, Inc.</t>
  </si>
  <si>
    <t>+1 256-327-5541</t>
  </si>
  <si>
    <t>105A Commerce Circle Suite A2</t>
  </si>
  <si>
    <t>Madison, AL  35758</t>
  </si>
  <si>
    <t>105A Commerce Circle Suite A2, Phone: nan</t>
  </si>
  <si>
    <t>NOV Fiber Systems</t>
  </si>
  <si>
    <t>2700 West 65th Street</t>
  </si>
  <si>
    <t>Little Rock, AR  72209</t>
  </si>
  <si>
    <t>+1 501-568-4010</t>
  </si>
  <si>
    <t>2700 West 65th Street, Phone: nan</t>
  </si>
  <si>
    <t>Novartis Crop Protec - StGabriel</t>
  </si>
  <si>
    <t>StGabriel,LA 70776</t>
  </si>
  <si>
    <t>+1 225-642-1100</t>
  </si>
  <si>
    <t>NOV-DOWNHOLE</t>
  </si>
  <si>
    <t>16211 Air Center Blvd</t>
  </si>
  <si>
    <t>Houston, TX  77032-5119</t>
  </si>
  <si>
    <t>+1 281-784-4360</t>
  </si>
  <si>
    <t>16211 Air Center Blvd, Phone: nan please</t>
  </si>
  <si>
    <t>+1 805-684-8780</t>
  </si>
  <si>
    <t>Nucor Cold Mill</t>
  </si>
  <si>
    <t>+1 256-301-3500</t>
  </si>
  <si>
    <t>Redhat Road; Phone: 256-560-4685 please</t>
  </si>
  <si>
    <t>+1 256-560-4143</t>
  </si>
  <si>
    <t>4301 Iverson Blvd, Phone: 256-560-4143 please</t>
  </si>
  <si>
    <t>300 Steel Mill Rd</t>
  </si>
  <si>
    <t>Darlington, SC29540</t>
  </si>
  <si>
    <t>+1 843-393-5841</t>
  </si>
  <si>
    <t>300 Steel Mill Rd; Phone: nan please respond with</t>
  </si>
  <si>
    <t>Nucor Steel - BHM</t>
  </si>
  <si>
    <t>2301 F1 Shuttlesworth Drive</t>
  </si>
  <si>
    <t>+1 205-250-7426</t>
  </si>
  <si>
    <t>2301 F1 Shuttlesworth Drive, Phone: nan</t>
  </si>
  <si>
    <t>3401 WHWY20, BLDGM</t>
  </si>
  <si>
    <t>3401 WHWY2O,BLDGM; Phone: 256-.</t>
  </si>
  <si>
    <t>(256) 301-3500.</t>
  </si>
  <si>
    <t>4301 IVERSON BLVD;</t>
  </si>
  <si>
    <t>7301 ECounty Road 142</t>
  </si>
  <si>
    <t>+1 870-762-2100</t>
  </si>
  <si>
    <t>7301 ECounty Road 142, Phone: nan</t>
  </si>
  <si>
    <t>+1 256-560-4800</t>
  </si>
  <si>
    <t>3401 Process Drive; Phone: nan pleas_</t>
  </si>
  <si>
    <t>Nucor Steel Div - Jewett</t>
  </si>
  <si>
    <t>8812 Hwy 79 W</t>
  </si>
  <si>
    <t>+1 903-626-4461</t>
  </si>
  <si>
    <t>8812 Hwy 79 W, Phone: nan please</t>
  </si>
  <si>
    <t>Nucor Steel- Huger</t>
  </si>
  <si>
    <t>(843) 336-6000.</t>
  </si>
  <si>
    <t>1455 Hagan Avenue; Phone: nan</t>
  </si>
  <si>
    <t>Nucor Tubular Products Inc.</t>
  </si>
  <si>
    <t>160 Montgomery Road</t>
  </si>
  <si>
    <t>+1 502-466-6397</t>
  </si>
  <si>
    <t>160 Montgomery Road, Phone: na:</t>
  </si>
  <si>
    <t>+1 803-214-5800</t>
  </si>
  <si>
    <t>+1 818-768-1200</t>
  </si>
  <si>
    <t>7915 Ajay Drive, Phone: nan</t>
  </si>
  <si>
    <t>+1 510-893-7644</t>
  </si>
  <si>
    <t>+1 319-395-7770</t>
  </si>
  <si>
    <t>+1 503-986-2900</t>
  </si>
  <si>
    <t>885 Airport Rd Se, Phone: (503) 986-_</t>
  </si>
  <si>
    <t>ODS International</t>
  </si>
  <si>
    <t>10375 Richmond AveSuite 800</t>
  </si>
  <si>
    <t>713-.</t>
  </si>
  <si>
    <t>10375 Richmond AveSuite 800,Phone: 713-.</t>
  </si>
  <si>
    <t>+1 910-270-3969</t>
  </si>
  <si>
    <t>16881 US Hwy 17 North-Unit F; Phone_</t>
  </si>
  <si>
    <t>Offshore Energy SCVS</t>
  </si>
  <si>
    <t>5900 US HWY90 East</t>
  </si>
  <si>
    <t>+1 337-837-1024</t>
  </si>
  <si>
    <t>5900 US HWY9O East, Phone: nan</t>
  </si>
  <si>
    <t>3521 Brookdale Dr $, Phone: (800)</t>
  </si>
  <si>
    <t>+1 803-648-8386</t>
  </si>
  <si>
    <t>Ohio Hyd- Cincinnati</t>
  </si>
  <si>
    <t>2510 ESharon Road</t>
  </si>
  <si>
    <t>+1 513-771-2590</t>
  </si>
  <si>
    <t>2510 ESharon Road; Phone: (513) 77_</t>
  </si>
  <si>
    <t>Ohio Willowwood - MtSterling</t>
  </si>
  <si>
    <t>MtSterling,OH 43</t>
  </si>
  <si>
    <t>+1 740-869-3377</t>
  </si>
  <si>
    <t>Oil States Ind</t>
  </si>
  <si>
    <t>+1 713-445-2262</t>
  </si>
  <si>
    <t>5819 Almeda Genoa, Phone: nan please respond</t>
  </si>
  <si>
    <t>4208 Waterwood Drive,</t>
  </si>
  <si>
    <t>Oil-Air Products - Hamel</t>
  </si>
  <si>
    <t>PO Box 129, 295 Highway 55</t>
  </si>
  <si>
    <t>+1 763-478-8744</t>
  </si>
  <si>
    <t>PO Box 129,295 Highway 55, Phone:</t>
  </si>
  <si>
    <t>Oilquip - Baton Rouge</t>
  </si>
  <si>
    <t>6720</t>
  </si>
  <si>
    <t>Oilquip - Lake Charles</t>
  </si>
  <si>
    <t>1001 Ist Ave; Phone: (800) 624-5704</t>
  </si>
  <si>
    <t>Oilquip- Shreveport</t>
  </si>
  <si>
    <t>+1 318-424-2845</t>
  </si>
  <si>
    <t>212 Agurs Street; Phone: (800) 737-_</t>
  </si>
  <si>
    <t>Oldcastle</t>
  </si>
  <si>
    <t>144 Cassville Rd</t>
  </si>
  <si>
    <t>Cartersville, GA  30120-2636</t>
  </si>
  <si>
    <t>+1 770-386-9373</t>
  </si>
  <si>
    <t>144 Cassville Rd; Phone: nan please respond with</t>
  </si>
  <si>
    <t>+1 618-258-2000</t>
  </si>
  <si>
    <t>427 No Shamrock St, Phone: nan</t>
  </si>
  <si>
    <t>+1 503-755-2445</t>
  </si>
  <si>
    <t>Olympic Products LLC</t>
  </si>
  <si>
    <t>4100 Pleasant Garden Rd</t>
  </si>
  <si>
    <t>Greensboro, NC  27406-7604</t>
  </si>
  <si>
    <t>+1 336-378-9620</t>
  </si>
  <si>
    <t>4100 Pleasant Garden Rd, Phone: nan_</t>
  </si>
  <si>
    <t>OMAR Associates</t>
  </si>
  <si>
    <t>625 North State Route 4</t>
  </si>
  <si>
    <t>Attica, OH 44807</t>
  </si>
  <si>
    <t>+1 419-426-0610</t>
  </si>
  <si>
    <t>625 North State Route 4, Phone: nan please</t>
  </si>
  <si>
    <t>402-895-6666</t>
  </si>
  <si>
    <t>14012 Giles Rd, Omaha, NE 68138</t>
  </si>
  <si>
    <t>434-736-9291</t>
  </si>
  <si>
    <t>Orco Block - Oceanside</t>
  </si>
  <si>
    <t>3501 Oceanside Blvd, Phone: (800)</t>
  </si>
  <si>
    <t>(908) 558-1600</t>
  </si>
  <si>
    <t>Orion MfgCompany</t>
  </si>
  <si>
    <t>480 Apple Tree Dr</t>
  </si>
  <si>
    <t>(616) 527-5994</t>
  </si>
  <si>
    <t>480 Apple Tree Dr; Phone: nan please</t>
  </si>
  <si>
    <t>230 TURNER DRIVE, Phone: 641-_</t>
  </si>
  <si>
    <t>(716) 879-6700</t>
  </si>
  <si>
    <t>Overton Industries - Franklin</t>
  </si>
  <si>
    <t>2155 McClain Drive</t>
  </si>
  <si>
    <t>Franklin, IN  46131</t>
  </si>
  <si>
    <t>336-764-2900</t>
  </si>
  <si>
    <t>300 SUNSHINE RD</t>
  </si>
  <si>
    <t>913-281 .</t>
  </si>
  <si>
    <t>300 SUNSHINE RD, Phone: 913-281 .</t>
  </si>
  <si>
    <t>616-698-1052</t>
  </si>
  <si>
    <t>913-281-9400</t>
  </si>
  <si>
    <t>300 Sunshine Road, Phone: nan</t>
  </si>
  <si>
    <t>nan; Phone: nan please respond with. _</t>
  </si>
  <si>
    <t>719 Columbus StEast</t>
  </si>
  <si>
    <t>719 Columbus StEast, Phone: (205)</t>
  </si>
  <si>
    <t>OXARC - Pasco</t>
  </si>
  <si>
    <t>500 South Main Ave</t>
  </si>
  <si>
    <t>5095472494</t>
  </si>
  <si>
    <t>500 South Main Ave, Phone: 5095472494</t>
  </si>
  <si>
    <t>Ozark Shavings</t>
  </si>
  <si>
    <t>200 Staples Ln</t>
  </si>
  <si>
    <t>Lickings, MO  65542</t>
  </si>
  <si>
    <t>573-674-2710</t>
  </si>
  <si>
    <t>200 Staples Ln; Phone: nan please respond</t>
  </si>
  <si>
    <t>330-923-5254</t>
  </si>
  <si>
    <t>5750 Hillside Ave</t>
  </si>
  <si>
    <t>513-9.</t>
  </si>
  <si>
    <t>5750 Hillside Ave, Phone:</t>
  </si>
  <si>
    <t>4744 Payne Ave</t>
  </si>
  <si>
    <t>(937) 27 .</t>
  </si>
  <si>
    <t>4744 Payne Ave, Phone: (937) 27 .</t>
  </si>
  <si>
    <t>(989) 792-9500</t>
  </si>
  <si>
    <t>3170</t>
  </si>
  <si>
    <t>6460 Sims Rd</t>
  </si>
  <si>
    <t>586-977-6900</t>
  </si>
  <si>
    <t>6460 Sims Rd, Phone:</t>
  </si>
  <si>
    <t>Paccar - Columbus</t>
  </si>
  <si>
    <t>1000 Paccar Drive</t>
  </si>
  <si>
    <t>662-329-6700</t>
  </si>
  <si>
    <t>1000 Paccar Drive, Phone: nan plea.</t>
  </si>
  <si>
    <t>573-735-4567</t>
  </si>
  <si>
    <t>Pace Industries</t>
  </si>
  <si>
    <t>513 Hwy 62/65 Bypass N</t>
  </si>
  <si>
    <t>Harrison, AR 72601</t>
  </si>
  <si>
    <t>870-741-8255</t>
  </si>
  <si>
    <t>513 Hwy 62/65 Bypass N,</t>
  </si>
  <si>
    <t>nan; Phone=</t>
  </si>
  <si>
    <t>530-533-4311</t>
  </si>
  <si>
    <t>2881 Saturn Street, Suite A, Phon.</t>
  </si>
  <si>
    <t>nan; Phone: nan please respond with._</t>
  </si>
  <si>
    <t>541-679-7061</t>
  </si>
  <si>
    <t>Pacific PowerTech</t>
  </si>
  <si>
    <t>520 SBertelsen Rd</t>
  </si>
  <si>
    <t>520 SBertelsen Rd, Phone: 541-485-6414</t>
  </si>
  <si>
    <t>Pacificcorp ElecOp - Castle Dale</t>
  </si>
  <si>
    <t>1-888-221-7070</t>
  </si>
  <si>
    <t>Pack MfgCompany</t>
  </si>
  <si>
    <t>931-473-9980</t>
  </si>
  <si>
    <t>1219 Belmont Drive, Phone: nan</t>
  </si>
  <si>
    <t>Packaging Corp of America</t>
  </si>
  <si>
    <t>2000 Richmond Hwy</t>
  </si>
  <si>
    <t>Richmond, VA  23224-7608</t>
  </si>
  <si>
    <t>804-232-1292</t>
  </si>
  <si>
    <t>2000 Richmond Hwy; Phone: nan</t>
  </si>
  <si>
    <t>Packaging Devices</t>
  </si>
  <si>
    <t>866-. -</t>
  </si>
  <si>
    <t>61 Homestead Ln East, Phone: 866-. -</t>
  </si>
  <si>
    <t>PackagingOf A - Ackerman</t>
  </si>
  <si>
    <t>662-285-4208</t>
  </si>
  <si>
    <t>920-468-4000</t>
  </si>
  <si>
    <t>1330 Lime Kiln Road, Phon:-</t>
  </si>
  <si>
    <t>3555 Fiscal CtSuite 1</t>
  </si>
  <si>
    <t>Riviera Beach, FL33404</t>
  </si>
  <si>
    <t>3555 Fiscal CtSuite 1, Phone: 561 ._</t>
  </si>
  <si>
    <t>517-279-8051</t>
  </si>
  <si>
    <t>Pangborn - Atl</t>
  </si>
  <si>
    <t>4630 Coates Drive</t>
  </si>
  <si>
    <t>Fairburn, GA  30123</t>
  </si>
  <si>
    <t>404-665-5700</t>
  </si>
  <si>
    <t>4630 Coates Drive, Phone: nan please respond</t>
  </si>
  <si>
    <t>920-494-5601</t>
  </si>
  <si>
    <t>2300 South Ashland</t>
  </si>
  <si>
    <t>Paper Cutters- Greenville</t>
  </si>
  <si>
    <t>864-834-3193</t>
  </si>
  <si>
    <t>Paper MFG Specialty Products - Decatur</t>
  </si>
  <si>
    <t>3440</t>
  </si>
  <si>
    <t>864-427-0371</t>
  </si>
  <si>
    <t>435-753-2404</t>
  </si>
  <si>
    <t>6401 Long Point Rd #104, Phone:  _</t>
  </si>
  <si>
    <t>(20.</t>
  </si>
  <si>
    <t>1474 Atlanta St, Phone: (20.</t>
  </si>
  <si>
    <t>541-689-9111</t>
  </si>
  <si>
    <t>29289 AIRPORT ROAD, Phone: nan</t>
  </si>
  <si>
    <t>828-682-9664</t>
  </si>
  <si>
    <t>Parker Industrial Supply</t>
  </si>
  <si>
    <t>7323 Greenbrier Rd Building C</t>
  </si>
  <si>
    <t>256-350-0749</t>
  </si>
  <si>
    <t>7323 Greenbrier Rd Building C, Pho.</t>
  </si>
  <si>
    <t>615-444-0191</t>
  </si>
  <si>
    <t>104 Hartman DR 3, Phone: nan please respond</t>
  </si>
  <si>
    <t>828-287-4257</t>
  </si>
  <si>
    <t>PARTS</t>
  </si>
  <si>
    <t>678-325-6950</t>
  </si>
  <si>
    <t>210 ANDREW DRIVE,</t>
  </si>
  <si>
    <t>920-897-3959</t>
  </si>
  <si>
    <t>Paul Mueller - Springfield</t>
  </si>
  <si>
    <t>PO Box 828</t>
  </si>
  <si>
    <t>PO Box 828, Phone: (800) 683-5537</t>
  </si>
  <si>
    <t>(815) 282-7575</t>
  </si>
  <si>
    <t>PE Techonlogies</t>
  </si>
  <si>
    <t>745 Woodall Rd</t>
  </si>
  <si>
    <t>745 Woodall Rd, Phone: 256-355-9198 please</t>
  </si>
  <si>
    <t>225-869-2321</t>
  </si>
  <si>
    <t>520 WCecil St</t>
  </si>
  <si>
    <t>920-727-4100</t>
  </si>
  <si>
    <t>520 WCecil St, Phone: nan</t>
  </si>
  <si>
    <t>360-734-9180</t>
  </si>
  <si>
    <t>205-663-0566</t>
  </si>
  <si>
    <t>Pell City Ind Services</t>
  </si>
  <si>
    <t>205-338-.</t>
  </si>
  <si>
    <t>144 Thomas Lane; Phone: 205-338-.</t>
  </si>
  <si>
    <t>Pendu MFG, - New Holland</t>
  </si>
  <si>
    <t>717-354-4348</t>
  </si>
  <si>
    <t>(330) 923-5254</t>
  </si>
  <si>
    <t>Pensacola Rubber &amp; Gasket</t>
  </si>
  <si>
    <t>4312 N. Palafox Str</t>
  </si>
  <si>
    <t>Pensacola, FL  32505</t>
  </si>
  <si>
    <t>850.435.9512.</t>
  </si>
  <si>
    <t>4312 N. Palafox Str; Phone: nan</t>
  </si>
  <si>
    <t>502 Indiana Ave</t>
  </si>
  <si>
    <t>920-457-9435</t>
  </si>
  <si>
    <t>502 Indiana Ave; Phone: nan please</t>
  </si>
  <si>
    <t>(803) 649-7901</t>
  </si>
  <si>
    <t>(601) 833-3038</t>
  </si>
  <si>
    <t>23 Auburn Dr; Phone: nan please</t>
  </si>
  <si>
    <t>Perfection- Geneva</t>
  </si>
  <si>
    <t>440-415-1600</t>
  </si>
  <si>
    <t>Performance Hyd</t>
  </si>
  <si>
    <t>205-428-.</t>
  </si>
  <si>
    <t>918 Industrial Park Circle, Phone: 205-428-.</t>
  </si>
  <si>
    <t>Perma-Pipe DivMIDWESCO</t>
  </si>
  <si>
    <t>615-444-4910</t>
  </si>
  <si>
    <t>1310 Quarles Drive; Phone: nan</t>
  </si>
  <si>
    <t>29408 Airport Road, Phone: (541) 68_</t>
  </si>
  <si>
    <t>787-846-4300</t>
  </si>
  <si>
    <t>PFM MFG</t>
  </si>
  <si>
    <t>(318) 254-8350</t>
  </si>
  <si>
    <t>167 Duraflake Road, Phone: nan plea_</t>
  </si>
  <si>
    <t>Phc - FtWayne</t>
  </si>
  <si>
    <t>FtWayne,IN 46803</t>
  </si>
  <si>
    <t>260-422-7471</t>
  </si>
  <si>
    <t>Philadelphia-MS SWL</t>
  </si>
  <si>
    <t>1016 Weyerhaeuser Rd</t>
  </si>
  <si>
    <t>601-650-7200</t>
  </si>
  <si>
    <t>1016 Weyerhaeuser Rd; Phone: nan</t>
  </si>
  <si>
    <t>Phoenix Trading</t>
  </si>
  <si>
    <t>640 Lofstrand Lane</t>
  </si>
  <si>
    <t>Rockville, MD  20850</t>
  </si>
  <si>
    <t>240-396-1988</t>
  </si>
  <si>
    <t>640 Lofstrand Lane; Phone: 240-396-1988</t>
  </si>
  <si>
    <t>1730 Old Gray Station Rd</t>
  </si>
  <si>
    <t>1730 Old Gray Station Rd, Phone: 423-282-9900</t>
  </si>
  <si>
    <t>601-544-1321</t>
  </si>
  <si>
    <t>1505 HWY 11 North, Phone: nan</t>
  </si>
  <si>
    <t>503-808-9110</t>
  </si>
  <si>
    <t>Pierce Pump - Dallas</t>
  </si>
  <si>
    <t>214-320-3604</t>
  </si>
  <si>
    <t>3300 Dilido Street; Phone: nan please_</t>
  </si>
  <si>
    <t>Pile Hammer Equip</t>
  </si>
  <si>
    <t>2002 Industrial BLVD SW</t>
  </si>
  <si>
    <t>Ft Payne, AL 35968</t>
  </si>
  <si>
    <t>706-398-1178</t>
  </si>
  <si>
    <t>2002 Industrial BLVD SW, Phone: 706-.</t>
  </si>
  <si>
    <t xml:space="preserve">Pilgrim's </t>
  </si>
  <si>
    <t>4234 Hwy 31 S</t>
  </si>
  <si>
    <t>Falkville, AL  35622</t>
  </si>
  <si>
    <t>Pilgrim's Pride - Mount Pleasant</t>
  </si>
  <si>
    <t>1220 Pilgrim St.</t>
  </si>
  <si>
    <t>Mount Pleasant, TX  75455-5926</t>
  </si>
  <si>
    <t>(903) 572-8567</t>
  </si>
  <si>
    <t>1220 Pilgrim St , Mount Pleasant; TX 75455-5926</t>
  </si>
  <si>
    <t>(520) 796-1098</t>
  </si>
  <si>
    <t>Pine Log</t>
  </si>
  <si>
    <t>118 Traditional Living RD</t>
  </si>
  <si>
    <t>118 Traditional Living RD, Phone: 336-366-2770</t>
  </si>
  <si>
    <t>Pioneer - Brooklyn</t>
  </si>
  <si>
    <t>+1 516-628-7038</t>
  </si>
  <si>
    <t>(207) 784-9111</t>
  </si>
  <si>
    <t>Pionite Road, Phone: nan please</t>
  </si>
  <si>
    <t>(307) 875-9868</t>
  </si>
  <si>
    <t>Pixelle Specialty Solutions</t>
  </si>
  <si>
    <t>300 Riley Road</t>
  </si>
  <si>
    <t>Jay, ME 04239</t>
  </si>
  <si>
    <t>(207) 897-1220</t>
  </si>
  <si>
    <t>300</t>
  </si>
  <si>
    <t>(806) 747-3434</t>
  </si>
  <si>
    <t>Plains Bearing</t>
  </si>
  <si>
    <t>2313 Ave F</t>
  </si>
  <si>
    <t>Lubbock, TX 79404</t>
  </si>
  <si>
    <t>806-747-0883</t>
  </si>
  <si>
    <t>Kevin</t>
  </si>
  <si>
    <t>2313 Ave F; Phone: 806-747-0883 please</t>
  </si>
  <si>
    <t>(860) 589-5595</t>
  </si>
  <si>
    <t>Plant Engineering Service</t>
  </si>
  <si>
    <t>3205 Cannongate Dr</t>
  </si>
  <si>
    <t>(260) 482-1436</t>
  </si>
  <si>
    <t>3205 Cannongate Dr; Phone: nan</t>
  </si>
  <si>
    <t>5963 Alabama Hwy, SW</t>
  </si>
  <si>
    <t>(404) 506-6526</t>
  </si>
  <si>
    <t>5963 Alabama Hwy, SW; Phone: nan please</t>
  </si>
  <si>
    <t>(616) 396-1411</t>
  </si>
  <si>
    <t>(248) 924-2200</t>
  </si>
  <si>
    <t>3195 Wilson Dr; Phone: nan please_</t>
  </si>
  <si>
    <t>(608)</t>
  </si>
  <si>
    <t>1017 Park St, Phone: (608)</t>
  </si>
  <si>
    <t>113 Certainteed Dr; Phone: (919) 693 _</t>
  </si>
  <si>
    <t>(318) 648-3347</t>
  </si>
  <si>
    <t>Plum Creek-MfgPlan - Columbia Falls</t>
  </si>
  <si>
    <t>892-2111</t>
  </si>
  <si>
    <t>PLUS-MARK</t>
  </si>
  <si>
    <t>101 American Rd.</t>
  </si>
  <si>
    <t>Afton, TN  37616-5755</t>
  </si>
  <si>
    <t>(423) 639-7878</t>
  </si>
  <si>
    <t>101 American Rd:</t>
  </si>
  <si>
    <t>Pneumatic &amp; Hyd - Arcata</t>
  </si>
  <si>
    <t>Pneumatic &amp; Hyd -</t>
  </si>
  <si>
    <t>(707) 826-____</t>
  </si>
  <si>
    <t>Pneumatic &amp; Hyd - Broussard</t>
  </si>
  <si>
    <t>1338 Petroleum Pkwy</t>
  </si>
  <si>
    <t>1338 Petroleum Pkwy; Phone: 337_</t>
  </si>
  <si>
    <t>220 Bearden Rod</t>
  </si>
  <si>
    <t>205-620-1952</t>
  </si>
  <si>
    <t>220 Bearden Rod, Phone: 205620195_</t>
  </si>
  <si>
    <t>70 Bearfoot Rd</t>
  </si>
  <si>
    <t>70 Bearfoo_</t>
  </si>
  <si>
    <t>800-762-.</t>
  </si>
  <si>
    <t>2443 North Street, Phone: 800-762-.</t>
  </si>
  <si>
    <t>2343 WYale Ave</t>
  </si>
  <si>
    <t>2343 WYale Ave; Phone: (30_</t>
  </si>
  <si>
    <t>39222 Hwy 621,Phone: 225-644 -_</t>
  </si>
  <si>
    <t>Pollard Lumber - Appling</t>
  </si>
  <si>
    <t>(706) 541-1343</t>
  </si>
  <si>
    <t>(585) 426-1811</t>
  </si>
  <si>
    <t>Polymer Industries - Henegar</t>
  </si>
  <si>
    <t>10526 Alabama Hwy 40</t>
  </si>
  <si>
    <t>Henagar, AL  35978</t>
  </si>
  <si>
    <t>256-657-5197</t>
  </si>
  <si>
    <t>10526 Alabama Hwy 40, Phone:</t>
  </si>
  <si>
    <t>Polymer Industries - Rod Dept</t>
  </si>
  <si>
    <t>10526 Burton Drive</t>
  </si>
  <si>
    <t>10526 Burton Drive; Phone</t>
  </si>
  <si>
    <t>(260) 473-2333</t>
  </si>
  <si>
    <t>Polypipe LLC</t>
  </si>
  <si>
    <t>1050 S Industrial Dr</t>
  </si>
  <si>
    <t>Erwin, TN  37650-3602</t>
  </si>
  <si>
    <t>(423) 743-9116</t>
  </si>
  <si>
    <t>1050</t>
  </si>
  <si>
    <t>(410) 574-0680</t>
  </si>
  <si>
    <t>Poly-Valve</t>
  </si>
  <si>
    <t>4855 Broadmore</t>
  </si>
  <si>
    <t>(616) 554-4600</t>
  </si>
  <si>
    <t>4855 Broadmore; Phone: nan</t>
  </si>
  <si>
    <t>877-342-3728</t>
  </si>
  <si>
    <t>940 AERO DR</t>
  </si>
  <si>
    <t>940 AERO DR, Phone: 318-254-8350</t>
  </si>
  <si>
    <t>nan; Phone: nan please respond with open</t>
  </si>
  <si>
    <t>3054 N30th St</t>
  </si>
  <si>
    <t>(602) 269-</t>
  </si>
  <si>
    <t>3054 N3Oth St; Phone: (602) 269-</t>
  </si>
  <si>
    <t>19</t>
  </si>
  <si>
    <t>Potlachdeltic</t>
  </si>
  <si>
    <t>1720 Hwy 82 W</t>
  </si>
  <si>
    <t>Waldo, AR 71770</t>
  </si>
  <si>
    <t>1720 Hwy 82 W; Phonez</t>
  </si>
  <si>
    <t>Potlatchoration - Warren</t>
  </si>
  <si>
    <t>908 W Pine St</t>
  </si>
  <si>
    <t>(870) 226-2611</t>
  </si>
  <si>
    <t>908 W Pine St, Phone: nan please</t>
  </si>
  <si>
    <t>(304) 252-9947</t>
  </si>
  <si>
    <t>Power Dynamics Innovations</t>
  </si>
  <si>
    <t>1301 Martin Luther King Blvd</t>
  </si>
  <si>
    <t>Picayune, MS  39466</t>
  </si>
  <si>
    <t>601-229-0960</t>
  </si>
  <si>
    <t>1301 Martin Luther King Blvd,</t>
  </si>
  <si>
    <t>215 S 4th Ave</t>
  </si>
  <si>
    <t>509-248-8220</t>
  </si>
  <si>
    <t>215</t>
  </si>
  <si>
    <t>(856) 663-6121</t>
  </si>
  <si>
    <t>Power Systems</t>
  </si>
  <si>
    <t>5169 Belle Wood Court</t>
  </si>
  <si>
    <t>Buford, GA 30518</t>
  </si>
  <si>
    <t>Jim Breeding</t>
  </si>
  <si>
    <t>5169 Belle Wood Court; Phone: 770-475-1680_</t>
  </si>
  <si>
    <t>Power Systems of Florida</t>
  </si>
  <si>
    <t>1417 Chaffee DrSuite 9</t>
  </si>
  <si>
    <t>321-</t>
  </si>
  <si>
    <t>1417 Chaffee DrSuite</t>
  </si>
  <si>
    <t>7029 South 107th Street, Phone: 402-_</t>
  </si>
  <si>
    <t>5420 England, Phone: 913-342-7024</t>
  </si>
  <si>
    <t>PPG- Lexington</t>
  </si>
  <si>
    <t>PRAIRIE BELTING</t>
  </si>
  <si>
    <t>396 WHWY 2</t>
  </si>
  <si>
    <t>(620) 842-3761</t>
  </si>
  <si>
    <t>396 WHWY 2, Phone: nan please</t>
  </si>
  <si>
    <t>820-3351</t>
  </si>
  <si>
    <t>Pratt Hyd</t>
  </si>
  <si>
    <t>1920 Rankin Rd Suite 155</t>
  </si>
  <si>
    <t>(281) 602-3201</t>
  </si>
  <si>
    <t>920 Rankin Rd Suite</t>
  </si>
  <si>
    <t>Pratt Hydraulics LLC - Conroe</t>
  </si>
  <si>
    <t>408 Bryant Road</t>
  </si>
  <si>
    <t>Conroe, TX 77303</t>
  </si>
  <si>
    <t>281-602-3201</t>
  </si>
  <si>
    <t>(281) 602-3200</t>
  </si>
  <si>
    <t>408 Bryant Road, Phone: 281-602-_</t>
  </si>
  <si>
    <t>Pratt Paper LLC</t>
  </si>
  <si>
    <t>1800-A Sarasota Business Mill Division</t>
  </si>
  <si>
    <t>Conyers, GA 30013-5775</t>
  </si>
  <si>
    <t>(770) 922-5400</t>
  </si>
  <si>
    <t>1800</t>
  </si>
  <si>
    <t>(651) 633-6781</t>
  </si>
  <si>
    <t>(901) 867-0966</t>
  </si>
  <si>
    <t>501</t>
  </si>
  <si>
    <t>Precision Fabrics Group</t>
  </si>
  <si>
    <t>200 Patton Ave.</t>
  </si>
  <si>
    <t>Greensboro, NC  27406-2904</t>
  </si>
  <si>
    <t>(336) 510-8000</t>
  </si>
  <si>
    <t>200 Patton Ave:</t>
  </si>
  <si>
    <t>3224 Langenheder St</t>
  </si>
  <si>
    <t>(308) 382-6544</t>
  </si>
  <si>
    <t>3224 Langenheder St, Phone: nan</t>
  </si>
  <si>
    <t>Precision MFG - Longmont</t>
  </si>
  <si>
    <t>(303) 772-8100</t>
  </si>
  <si>
    <t>(317) 882-1852</t>
  </si>
  <si>
    <t>823 South Lincoln St; Phone: 479-770_</t>
  </si>
  <si>
    <t>(323) 475-3200</t>
  </si>
  <si>
    <t>PRECISION THERMOPLASTIC COMPONENTS</t>
  </si>
  <si>
    <t>3765 STJOHNS RD</t>
  </si>
  <si>
    <t>(419) 434-3100</t>
  </si>
  <si>
    <t>3765</t>
  </si>
  <si>
    <t>(706) 876-1860</t>
  </si>
  <si>
    <t>234 Lowy Drive; Phone: nan</t>
  </si>
  <si>
    <t>Prent- Janesville</t>
  </si>
  <si>
    <t>Press</t>
  </si>
  <si>
    <t>5330 Manchester Ave</t>
  </si>
  <si>
    <t>(423) 586-2406</t>
  </si>
  <si>
    <t>5330 Manchester Ave; Phone: nan</t>
  </si>
  <si>
    <t>(402) 572-6929</t>
  </si>
  <si>
    <t>Price Engineering- Waukesha</t>
  </si>
  <si>
    <t>(414.</t>
  </si>
  <si>
    <t>22577 Johnson Drive; Phone: (414.</t>
  </si>
  <si>
    <t>Primary Products Investments LLC</t>
  </si>
  <si>
    <t>198 Blair Bend Dr</t>
  </si>
  <si>
    <t>Loudon, TN  37774-6562</t>
  </si>
  <si>
    <t>(865) 458-5681</t>
  </si>
  <si>
    <t>198 Blair Bend Dr; Phone: na_</t>
  </si>
  <si>
    <t>Print Pack</t>
  </si>
  <si>
    <t>(770) 459-1641</t>
  </si>
  <si>
    <t>285 Andrew Way; Phone: nan please respond with_</t>
  </si>
  <si>
    <t>41 Omands Creek Blvd; Phone: RZRZ_</t>
  </si>
  <si>
    <t>23688</t>
  </si>
  <si>
    <t>Professional Hyd - Florence</t>
  </si>
  <si>
    <t>2204 National Avenue</t>
  </si>
  <si>
    <t>2204 National Avenue; Phone:</t>
  </si>
  <si>
    <t>(313) 299-7880</t>
  </si>
  <si>
    <t>3924 California Street NE</t>
  </si>
  <si>
    <t>Columbia, MN 55421</t>
  </si>
  <si>
    <t>(763) 788-6418</t>
  </si>
  <si>
    <t>3924 California Street NE, Phone: nan</t>
  </si>
  <si>
    <t>(205) 655-8875</t>
  </si>
  <si>
    <t>Progressive Foundry</t>
  </si>
  <si>
    <t>1503 3rd Street</t>
  </si>
  <si>
    <t>Perry, IA  50220</t>
  </si>
  <si>
    <t>(515) 465-5697</t>
  </si>
  <si>
    <t>1503 3rd Street, Phone: nan please</t>
  </si>
  <si>
    <t>(330) 630-9660</t>
  </si>
  <si>
    <t>(920) 969-4000</t>
  </si>
  <si>
    <t>Proofcert</t>
  </si>
  <si>
    <t>23133 Hwy 46</t>
  </si>
  <si>
    <t>Pembroke, GA 31321</t>
  </si>
  <si>
    <t>(912) 964-9465</t>
  </si>
  <si>
    <t>23133 Hwy 46, Phone: (912) 964-9465 please</t>
  </si>
  <si>
    <t>Prosys - Reagent Chemical Research</t>
  </si>
  <si>
    <t>426 East Fountain Road</t>
  </si>
  <si>
    <t>Webb City, MO  64870</t>
  </si>
  <si>
    <t>(417) 673-5551</t>
  </si>
  <si>
    <t>426 East Fountain Road,</t>
  </si>
  <si>
    <t>12130 GALVESTON RD (HWY 3) BLDG4</t>
  </si>
  <si>
    <t>(281) 741-3919</t>
  </si>
  <si>
    <t>12130 GALVESTON RD (HWY 3)</t>
  </si>
  <si>
    <t>PRS - Alabaster</t>
  </si>
  <si>
    <t>150 Scotland Drive</t>
  </si>
  <si>
    <t>Alabaster, AL  35007</t>
  </si>
  <si>
    <t>(205) 252-8181</t>
  </si>
  <si>
    <t>50 Scotland Drive; Phone: nan please respon</t>
  </si>
  <si>
    <t>PRS - Mobile</t>
  </si>
  <si>
    <t>1951 W I-65 Service Road N</t>
  </si>
  <si>
    <t>Mobile, AL 36618</t>
  </si>
  <si>
    <t>(251) 405-6411</t>
  </si>
  <si>
    <t>1951 W |-65 Service Road</t>
  </si>
  <si>
    <t>PRS - Tuscaloosa</t>
  </si>
  <si>
    <t>3601 Resource Drive</t>
  </si>
  <si>
    <t>3601</t>
  </si>
  <si>
    <t>Pruitt Lumber - Louisburg</t>
  </si>
  <si>
    <t>(919) 496-3153</t>
  </si>
  <si>
    <t>Prysmian Cables and Systems 26 USA LLC</t>
  </si>
  <si>
    <t>20213 Whitfield Rd</t>
  </si>
  <si>
    <t>Sedalia, MO  65301</t>
  </si>
  <si>
    <t>20213 Whitfield Rd,</t>
  </si>
  <si>
    <t>Prystup Packaging Products - Demopolis</t>
  </si>
  <si>
    <t>125 Industrial _</t>
  </si>
  <si>
    <t>(251) 957-2113</t>
  </si>
  <si>
    <t>7555 Half Mile Road</t>
  </si>
  <si>
    <t>PTC Liberty Tubulars</t>
  </si>
  <si>
    <t>1100 FM 3361 Rd</t>
  </si>
  <si>
    <t>Liberty, TX  77575-8810</t>
  </si>
  <si>
    <t>(713) 289-5555</t>
  </si>
  <si>
    <t>1100 FM 3361 Rd, Phone: nan please</t>
  </si>
  <si>
    <t>Puget Sound Hyd - Seattle</t>
  </si>
  <si>
    <t xml:space="preserve">40% DiscPOC: Mike Woods (email: mwoodspsh@escheloncom) </t>
  </si>
  <si>
    <t>(206) 283-0966</t>
  </si>
  <si>
    <t>nan; Phone: 877-702-3109 please</t>
  </si>
  <si>
    <t>(305) 261-0261</t>
  </si>
  <si>
    <t>Purdue University</t>
  </si>
  <si>
    <t>1205 W State Street</t>
  </si>
  <si>
    <t>West Lafayette, IN 47907</t>
  </si>
  <si>
    <t>(765) 494-7053</t>
  </si>
  <si>
    <t>1205 W State Street, Phone: nan please</t>
  </si>
  <si>
    <t>Pureflex</t>
  </si>
  <si>
    <t>4855 Broadmoor</t>
  </si>
  <si>
    <t>Kentwood, MI  49512</t>
  </si>
  <si>
    <t>(616) 554-1100</t>
  </si>
  <si>
    <t>4855 Broadmoor; Phone: nan please respond with</t>
  </si>
  <si>
    <t>Purvis Industries - Texarkana</t>
  </si>
  <si>
    <t>3101 W. 7th Street</t>
  </si>
  <si>
    <t>Texarkana, TX  75501</t>
  </si>
  <si>
    <t>(903) 794-3333</t>
  </si>
  <si>
    <t>3101 W: Zth Street; Phone: nan</t>
  </si>
  <si>
    <t>Purvis Industries, LTD</t>
  </si>
  <si>
    <t>7804 NW Loop 224</t>
  </si>
  <si>
    <t>Nacogdoches, TX  75961</t>
  </si>
  <si>
    <t>(936) 564-4810</t>
  </si>
  <si>
    <t>7804 NW Loop 224, Phone: nan pleas</t>
  </si>
  <si>
    <t>3990 EMiraloma Ave</t>
  </si>
  <si>
    <t>3990 EMiraloma Ave; Phone__</t>
  </si>
  <si>
    <t>(706) 568-</t>
  </si>
  <si>
    <t>2700 12th Ave_XOOOD</t>
  </si>
  <si>
    <t>121 Royal Dr</t>
  </si>
  <si>
    <t>121 Royal Dr; Phone: (800) 282-9784</t>
  </si>
  <si>
    <t>Q Boration - Salmon</t>
  </si>
  <si>
    <t>(208) 756-4248</t>
  </si>
  <si>
    <t>(503) 357 -</t>
  </si>
  <si>
    <t>1812 16Th Ave; Phone: (503) 357 -</t>
  </si>
  <si>
    <t>QPI Multipress- Columbus</t>
  </si>
  <si>
    <t>560 WNationwide Blvd</t>
  </si>
  <si>
    <t>(618) 262-8666</t>
  </si>
  <si>
    <t>560 WNationwide Blvd, Phone: (614)_</t>
  </si>
  <si>
    <t>QSI Automation</t>
  </si>
  <si>
    <t>4585 S. State RD 9-57</t>
  </si>
  <si>
    <t>Churubusco, IN  46723</t>
  </si>
  <si>
    <t>(260) 693</t>
  </si>
  <si>
    <t>4585</t>
  </si>
  <si>
    <t>(304) 260-7000</t>
  </si>
  <si>
    <t>11609 Hickman Mills Dr</t>
  </si>
  <si>
    <t>11609 Hickman Mills Dr;</t>
  </si>
  <si>
    <t>QUAIL RIDGE ENGINEERING</t>
  </si>
  <si>
    <t>122 RAILROAD AVENUE</t>
  </si>
  <si>
    <t>GUNTOWN, MS 38849</t>
  </si>
  <si>
    <t>(662) 348-2003</t>
  </si>
  <si>
    <t>122 RAILROAD AVENUE, Phone: n_</t>
  </si>
  <si>
    <t>Qualiform- Wadsworth</t>
  </si>
  <si>
    <t>(330) 336-6777</t>
  </si>
  <si>
    <t>nan, Phone: nan please respond with _</t>
  </si>
  <si>
    <t>452 E Bath Rd, Phon_</t>
  </si>
  <si>
    <t>(714) 639-8191</t>
  </si>
  <si>
    <t>820 N Cypress St; Orange; CA 92867-6608</t>
  </si>
  <si>
    <t>Quality Carpet Cushion Solution First</t>
  </si>
  <si>
    <t>110 West McCarter Rd</t>
  </si>
  <si>
    <t>(706) 638-5678</t>
  </si>
  <si>
    <t>110 West McCarter Rd,</t>
  </si>
  <si>
    <t>Quality Equip &amp; Parts</t>
  </si>
  <si>
    <t>4894 NW, US-41</t>
  </si>
  <si>
    <t>(386) 754-6186</t>
  </si>
  <si>
    <t>Mike Bowers</t>
  </si>
  <si>
    <t>4894 NW; US-41, Phone: (386) 754- _</t>
  </si>
  <si>
    <t>3631 West US Hwy80</t>
  </si>
  <si>
    <t>Contact info extracted</t>
  </si>
  <si>
    <t>Address: 3631 West US Hwy80</t>
  </si>
  <si>
    <t>Quality Hyd - Mundelein</t>
  </si>
  <si>
    <t>1415 Wilhelm Road, Phone: (847) 680_</t>
  </si>
  <si>
    <t>PO Box 1949 US 90 East</t>
  </si>
  <si>
    <t>3631</t>
  </si>
  <si>
    <t>RENAMED: MCTD, Inc</t>
  </si>
  <si>
    <t>219-872-5551</t>
  </si>
  <si>
    <t>200 Winski Dr</t>
  </si>
  <si>
    <t>MCTD, Inc</t>
  </si>
  <si>
    <t>RENAMED: Quality Machine Fabrication (QMF)</t>
  </si>
  <si>
    <t>573-729-6458</t>
  </si>
  <si>
    <t>1301 Industrial Dr; Salem, MO 65560</t>
  </si>
  <si>
    <t>Quality Machine Fabrication (QMF)</t>
  </si>
  <si>
    <t>Open with sister division</t>
  </si>
  <si>
    <t>225-869-7360</t>
  </si>
  <si>
    <t>3451 LA-3125, Paulina; LA 70763</t>
  </si>
  <si>
    <t>Precision plastic injection molds</t>
  </si>
  <si>
    <t>(256) 370-7301</t>
  </si>
  <si>
    <t>11640 Highway 72</t>
  </si>
  <si>
    <t>Primary pork processing facility</t>
  </si>
  <si>
    <t>507-434-6300</t>
  </si>
  <si>
    <t>711 Hormel Century Parkway</t>
  </si>
  <si>
    <t>Precision machining services</t>
  </si>
  <si>
    <t>(513) 874-0111</t>
  </si>
  <si>
    <t>125 Constitution Dr #2</t>
  </si>
  <si>
    <t>Quikrete - Birmingham PLT 110</t>
  </si>
  <si>
    <t>301 Citation CT</t>
  </si>
  <si>
    <t>Birmingham, AL  35211-4432</t>
  </si>
  <si>
    <t>Concrete manufacturing facility</t>
  </si>
  <si>
    <t>205-945-8404</t>
  </si>
  <si>
    <t>301 Citation Ct, Birmingham; AL 35211</t>
  </si>
  <si>
    <t>RENAMED: Barkley Fluid Power</t>
  </si>
  <si>
    <t>602-265-4821</t>
  </si>
  <si>
    <t>14237 N 24TH Avenue; Phoenix, AZ</t>
  </si>
  <si>
    <t>Barkley Fluid Power</t>
  </si>
  <si>
    <t>Fully open and active.</t>
  </si>
  <si>
    <t>R Nestco Hyd</t>
  </si>
  <si>
    <t>4018 Broadway</t>
  </si>
  <si>
    <t>RENAMED: R'Nestco Hydraulics, Inc</t>
  </si>
  <si>
    <t>(478) 788-6115</t>
  </si>
  <si>
    <t>R'Nestco Hydraulics, Inc</t>
  </si>
  <si>
    <t>Operating industrial valve services</t>
  </si>
  <si>
    <t>(562) 903-7744</t>
  </si>
  <si>
    <t>13179 Sandoval St; Suite Santa Fe Springs, CA 90670</t>
  </si>
  <si>
    <t>Fully open and active</t>
  </si>
  <si>
    <t>503-285-0277</t>
  </si>
  <si>
    <t>9939 Vancouver Way</t>
  </si>
  <si>
    <t>723 31st Ave SW</t>
  </si>
  <si>
    <t>176 Brownee Lane</t>
  </si>
  <si>
    <t>(256) 751-3845</t>
  </si>
  <si>
    <t>Closed with no active</t>
  </si>
  <si>
    <t>1132 Mapleview</t>
  </si>
  <si>
    <t>High Point, NC 27265</t>
  </si>
  <si>
    <t>7963 Turnpike Rd, Archdale; NC 27263</t>
  </si>
  <si>
    <t>Fully operational vessel</t>
  </si>
  <si>
    <t>310-519-3172</t>
  </si>
  <si>
    <t>820 Seaside Ave, San Pedro</t>
  </si>
  <si>
    <t>Râ€™Nestco Hyd</t>
  </si>
  <si>
    <t>Macon, GA  31206</t>
  </si>
  <si>
    <t>RENAMED: R'Nestco Hydraulics, Inc.</t>
  </si>
  <si>
    <t>R'Nestco Hydraulics, Inc.</t>
  </si>
  <si>
    <t>RA Fence</t>
  </si>
  <si>
    <t>30455 Commerce Blvd</t>
  </si>
  <si>
    <t>New Baltimore, MI 48051</t>
  </si>
  <si>
    <t>Matt</t>
  </si>
  <si>
    <t>RENAMED: Radiance Aluminum Fence, Inc.</t>
  </si>
  <si>
    <t>586-749-1050</t>
  </si>
  <si>
    <t>Radiance Aluminum Fence, Inc.</t>
  </si>
  <si>
    <t>RA Yancey Lumber</t>
  </si>
  <si>
    <t>6317 Rockfish Gap TPKE</t>
  </si>
  <si>
    <t>Crozet, VA 22932</t>
  </si>
  <si>
    <t>Family-owned sawmill since 1949</t>
  </si>
  <si>
    <t>434-823-4107</t>
  </si>
  <si>
    <t>6317 Rockfish Gap Turnpike</t>
  </si>
  <si>
    <t>Formally dissolved operations</t>
  </si>
  <si>
    <t>6750 Arnold Miller Pkwy</t>
  </si>
  <si>
    <t>Rafael Benitez Carrillo, Inc</t>
  </si>
  <si>
    <t>715 Estado Street</t>
  </si>
  <si>
    <t>San Juan, PR  00907</t>
  </si>
  <si>
    <t>RENAMED: Applied Industrial Technologies</t>
  </si>
  <si>
    <t>787-725-7635</t>
  </si>
  <si>
    <t>715 Calle Estado, Miramar; San Juan, PR 00907</t>
  </si>
  <si>
    <t>Applied Industrial Technologies</t>
  </si>
  <si>
    <t>OPEN and operating</t>
  </si>
  <si>
    <t>253-846-0242</t>
  </si>
  <si>
    <t>8220 Eustis Hunt Rd</t>
  </si>
  <si>
    <t>Rainsville Technology</t>
  </si>
  <si>
    <t>(256) 638-9760</t>
  </si>
  <si>
    <t>RENAMED: Moriroku Technology North America</t>
  </si>
  <si>
    <t>189 RTI Dr; Rainsville, AL 35986</t>
  </si>
  <si>
    <t>Moriroku Technology North America</t>
  </si>
  <si>
    <t>formerly ceased operations</t>
  </si>
  <si>
    <t>696 Jade Road; Toney; AL 35773</t>
  </si>
  <si>
    <t>Family-owned luxury lakefront contractor</t>
  </si>
  <si>
    <t>157 Big Bend Road</t>
  </si>
  <si>
    <t>Ralph AHiller - Erie</t>
  </si>
  <si>
    <t>Ralph AHiller Company closed</t>
  </si>
  <si>
    <t>(812) 838-9877</t>
  </si>
  <si>
    <t>221 West SOTh Street</t>
  </si>
  <si>
    <t>Ralph AHiller - Export</t>
  </si>
  <si>
    <t>RENAMED: Trillium Valve Actuators (Hiller Brand)</t>
  </si>
  <si>
    <t>(724)</t>
  </si>
  <si>
    <t>6005 Enterprise Drive, Export; PA 15632</t>
  </si>
  <si>
    <t>Trillium Valve Actuators (Hiller Brand)</t>
  </si>
  <si>
    <t>RENAMED: Nestle Purina PetCare</t>
  </si>
  <si>
    <t>678-479-3510</t>
  </si>
  <si>
    <t>5001 Fayetteville Rd</t>
  </si>
  <si>
    <t>Nestle Purina PetCare</t>
  </si>
  <si>
    <t>RAMiller Hardwood - North Tonowanda</t>
  </si>
  <si>
    <t>Formally closed independent operations</t>
  </si>
  <si>
    <t>716-694-0562</t>
  </si>
  <si>
    <t>35 Industrial Dr; North Tonawanda, NY 14120</t>
  </si>
  <si>
    <t>Ramoration - Nashville</t>
  </si>
  <si>
    <t>RENAMED: RAM Corporation, Inc.</t>
  </si>
  <si>
    <t>RAM Corporation, Inc.</t>
  </si>
  <si>
    <t>Local government road maintenance</t>
  </si>
  <si>
    <t>406-363-2733</t>
  </si>
  <si>
    <t>244 Fairgrounds Rd, Hamilton; MT 59840</t>
  </si>
  <si>
    <t>Ray Carroll County Grain - Growers Corder</t>
  </si>
  <si>
    <t>26194 Hwy 20 North</t>
  </si>
  <si>
    <t>Corder, MO  64021</t>
  </si>
  <si>
    <t>Fully active branch elevator</t>
  </si>
  <si>
    <t>660-394-8888</t>
  </si>
  <si>
    <t>26194 Hwy 20</t>
  </si>
  <si>
    <t>8796 Hwy297</t>
  </si>
  <si>
    <t>RENAMED: Interfor U.S. Inc (Swainsboro Division)</t>
  </si>
  <si>
    <t>8796 State Highway 297, Swainsboro, GA 30401</t>
  </si>
  <si>
    <t>Interfor U.S. Inc (Swainsboro Division)</t>
  </si>
  <si>
    <t>Raytheon Engineers closed</t>
  </si>
  <si>
    <t>(720) 482-9173</t>
  </si>
  <si>
    <t>5555 Greenwood Plaza Blvd, Greenwood Village, CO 80111</t>
  </si>
  <si>
    <t>RENAMED: North American Foods</t>
  </si>
  <si>
    <t>2500 Mill Road, Grand Forks, ND 58203</t>
  </si>
  <si>
    <t>North American Foods</t>
  </si>
  <si>
    <t>Real Alloy Recycling</t>
  </si>
  <si>
    <t>388 Williamson Road</t>
  </si>
  <si>
    <t>Darrly Marlow Motion</t>
  </si>
  <si>
    <t>Primary aluminum recycling</t>
  </si>
  <si>
    <t>865-458-2007</t>
  </si>
  <si>
    <t>388 Williamson Dr; Loudon; TN 37774</t>
  </si>
  <si>
    <t>Precision manufacturing tool maker</t>
  </si>
  <si>
    <t>573-682-6822</t>
  </si>
  <si>
    <t>599 W Wilson St, Centralia, MO 65240</t>
  </si>
  <si>
    <t>207-438-1000 (Base Switchboard) | Naval Sea Logistics Center: 207-438-5106</t>
  </si>
  <si>
    <t>Building 170, Portsmouth Naval Shipyard, Kittery; ME 03904</t>
  </si>
  <si>
    <t>Recovering Hyd - Memphis</t>
  </si>
  <si>
    <t>No longer operates</t>
  </si>
  <si>
    <t>778 Jackson Avenue, Memphis, TN 38107</t>
  </si>
  <si>
    <t>Red Dotoration - Seattle</t>
  </si>
  <si>
    <t>Global HQ in Puyallup</t>
  </si>
  <si>
    <t>+12065753840</t>
  </si>
  <si>
    <t>2504 Main Ave; Puyallup; WA 98372</t>
  </si>
  <si>
    <t>RENAMED: RRG Inc. dba Red River Grain</t>
  </si>
  <si>
    <t>580-564-2324</t>
  </si>
  <si>
    <t>1706 Rocky Point Rd; Kingston; OK 73439 (Mailing: PO Box 98,Kingston; OK 73439)</t>
  </si>
  <si>
    <t>RRG Inc. dba Red River Grain</t>
  </si>
  <si>
    <t>Permanently closed facility</t>
  </si>
  <si>
    <t>Independent corporate operations closed</t>
  </si>
  <si>
    <t>REF Alabama</t>
  </si>
  <si>
    <t>301 Industrial Parkway</t>
  </si>
  <si>
    <t>Greeenville, AL 36037</t>
  </si>
  <si>
    <t>Operates as Hubbell division</t>
  </si>
  <si>
    <t>334-382-3148</t>
  </si>
  <si>
    <t>301 Industrial Pkwy; Greenville; AL 36037</t>
  </si>
  <si>
    <t>Reflexite Technology Center still</t>
  </si>
  <si>
    <t>(860) 676-7100</t>
  </si>
  <si>
    <t>120 Darling Dr; Avon, CT 06001</t>
  </si>
  <si>
    <t>1750 Highway</t>
  </si>
  <si>
    <t>737-3028</t>
  </si>
  <si>
    <t>2424 Industrial Drive Southwest; Phone: (256)_</t>
  </si>
  <si>
    <t>Reinke Mfg- Deshler</t>
  </si>
  <si>
    <t>(402) 365-7251</t>
  </si>
  <si>
    <t>(260) 347-4000</t>
  </si>
  <si>
    <t>Reliant Processing</t>
  </si>
  <si>
    <t>1584 Market Ave</t>
  </si>
  <si>
    <t>Galva, TX  51020</t>
  </si>
  <si>
    <t>584 Market Ave; Phone: nan</t>
  </si>
  <si>
    <t>(865) 671-2925</t>
  </si>
  <si>
    <t>REMCO</t>
  </si>
  <si>
    <t>(816) 966-8717</t>
  </si>
  <si>
    <t>3903 NORBY ROAD</t>
  </si>
  <si>
    <t>Bld#3 26theMain; Phone: nan</t>
  </si>
  <si>
    <t>(231) 775-0108</t>
  </si>
  <si>
    <t>251Bell Avenue; Phone: nan please</t>
  </si>
  <si>
    <t>Renite - Columbus</t>
  </si>
  <si>
    <t>2500 EFifth Ave</t>
  </si>
  <si>
    <t>2500 EFifth Ave; Phone: (614) 253-5509</t>
  </si>
  <si>
    <t>Rental Men</t>
  </si>
  <si>
    <t>3704 Gordon Terry Pkwy</t>
  </si>
  <si>
    <t>(256) 260-6827</t>
  </si>
  <si>
    <t>3704 Gordon Terry Pkwy; Phone: (256) 260-6827</t>
  </si>
  <si>
    <t>No information found</t>
  </si>
  <si>
    <t>(785) 233-6431</t>
  </si>
  <si>
    <t>3167 SE 1Oth; Phone: nan please</t>
  </si>
  <si>
    <t>Resinoid Eng- Hebron</t>
  </si>
  <si>
    <t>(740) 928-6115</t>
  </si>
  <si>
    <t>RESOLUTE FP US</t>
  </si>
  <si>
    <t>5428 JUNCTION CITY HWY</t>
  </si>
  <si>
    <t>EL DORADO, AR 71730-9079</t>
  </si>
  <si>
    <t>5428 JUNCTION CITY HWY, Phone: nan pleas.</t>
  </si>
  <si>
    <t>(423) 336-2211</t>
  </si>
  <si>
    <t>5020 HIGHWAY 11</t>
  </si>
  <si>
    <t>RESOLUTE FP US - Cross City</t>
  </si>
  <si>
    <t>40 SW 10th Street</t>
  </si>
  <si>
    <t>(352) 498-3363</t>
  </si>
  <si>
    <t>40 SW 1Oth Street, Phone: nan</t>
  </si>
  <si>
    <t>Retech Systems - Ukiah</t>
  </si>
  <si>
    <t>7u444 Getty Road, Phone: na:</t>
  </si>
  <si>
    <t>Revere</t>
  </si>
  <si>
    <t>401 E. Elm Street</t>
  </si>
  <si>
    <t>Clyde, OH 43410</t>
  </si>
  <si>
    <t>(419) 547-6918</t>
  </si>
  <si>
    <t>401</t>
  </si>
  <si>
    <t>REX LUMBER BRISTOL</t>
  </si>
  <si>
    <t>18601 NW COUNTY ROAD 12, Phone:_</t>
  </si>
  <si>
    <t>Rex Lumber Graceville</t>
  </si>
  <si>
    <t>850-64.</t>
  </si>
  <si>
    <t>5299 Alabama Street, Phone: 850-64.</t>
  </si>
  <si>
    <t>nan; Phone: (205) 822-7708 please respond with op_</t>
  </si>
  <si>
    <t>Reyco Granning</t>
  </si>
  <si>
    <t>1205 Industrial Park Drive</t>
  </si>
  <si>
    <t>Mount Vernon, MO 65712</t>
  </si>
  <si>
    <t>1205 Industrial Park Drive, Phone: nan</t>
  </si>
  <si>
    <t>(318) 377-2289</t>
  </si>
  <si>
    <t>Rheem MFG</t>
  </si>
  <si>
    <t>2600 Gunter Park Drive East</t>
  </si>
  <si>
    <t>2600 Gunter Park Drive East, Phone: nan</t>
  </si>
  <si>
    <t>RHM Fluid Power(East) - Westland</t>
  </si>
  <si>
    <t>375 Manufactureres Drive,</t>
  </si>
  <si>
    <t>RHM Fluid Power(West) - Grand Rapids</t>
  </si>
  <si>
    <t>5329 Clay AveSW</t>
  </si>
  <si>
    <t>5329 Clay AveSW, _</t>
  </si>
  <si>
    <t>Richland</t>
  </si>
  <si>
    <t>(931) 424-3900</t>
  </si>
  <si>
    <t>905 Mines Road, Phone: 931-424-3900 please</t>
  </si>
  <si>
    <t>2806</t>
  </si>
  <si>
    <t>Ridge</t>
  </si>
  <si>
    <t>Riggins Co - Hampton</t>
  </si>
  <si>
    <t>(757) 826-0525</t>
  </si>
  <si>
    <t>Riggs Tractor-Little Rodk</t>
  </si>
  <si>
    <t>9125 Interstate 30, Phone: (800) 759-_</t>
  </si>
  <si>
    <t>Riggs Tractor-Texarkana</t>
  </si>
  <si>
    <t>3201 East Broad St</t>
  </si>
  <si>
    <t>800-467-</t>
  </si>
  <si>
    <t>3201 East Broad St, Phone: 800-467-</t>
  </si>
  <si>
    <t>(916) 645-3383</t>
  </si>
  <si>
    <t>Rkcoration - Cheboygan</t>
  </si>
  <si>
    <t>1918 Dayton Blvd</t>
  </si>
  <si>
    <t>423-875-9122</t>
  </si>
  <si>
    <t>1918 Dayton Blvd, Phone: (423) 875-_</t>
  </si>
  <si>
    <t>RLBEST</t>
  </si>
  <si>
    <t>824 BEV ROAD; Phone: 330-758-8601 please respon</t>
  </si>
  <si>
    <t>Robbins &amp; Bohr - Chattanooga</t>
  </si>
  <si>
    <t>423-756-4430</t>
  </si>
  <si>
    <t>420 Hudson Road, Phone:</t>
  </si>
  <si>
    <t>Robbins &amp; Bohr - Johnson City</t>
  </si>
  <si>
    <t>423-756-4430.</t>
  </si>
  <si>
    <t>815 #1 Fieldcrest Circle,</t>
  </si>
  <si>
    <t>Robbins &amp; Bohr - Knoxville</t>
  </si>
  <si>
    <t>800 Worlds Fair Park Drive, Phone: _</t>
  </si>
  <si>
    <t>Robbins Equip - Kent</t>
  </si>
  <si>
    <t>253-872-0500</t>
  </si>
  <si>
    <t>813-971-3040</t>
  </si>
  <si>
    <t>Robert E. Mason &amp; Associates, Inc.</t>
  </si>
  <si>
    <t>757 Old Clemson Road</t>
  </si>
  <si>
    <t>Columbia, SC  29229</t>
  </si>
  <si>
    <t>757 Old Clemson Road,</t>
  </si>
  <si>
    <t>407-313-8110</t>
  </si>
  <si>
    <t>Roberts Oxygen - Bridgeville</t>
  </si>
  <si>
    <t>16223 Sussex Hwy</t>
  </si>
  <si>
    <t>Bridgeville, DE 19933</t>
  </si>
  <si>
    <t>(302) 337-9666</t>
  </si>
  <si>
    <t>(302)</t>
  </si>
  <si>
    <t>16223 Sussex Hwy; Phone: (302)</t>
  </si>
  <si>
    <t>Roberts Oxygen - Winchester</t>
  </si>
  <si>
    <t>221 Brick Kiln Road</t>
  </si>
  <si>
    <t>Winchester, VA  22603</t>
  </si>
  <si>
    <t>221 Brick Kiln Road, Phone: nan</t>
  </si>
  <si>
    <t>903-458-.</t>
  </si>
  <si>
    <t>1100 US HWY 271</t>
  </si>
  <si>
    <t>200 Stephens Dr</t>
  </si>
  <si>
    <t>Motion- Versailles, KY's Customer</t>
  </si>
  <si>
    <t>859-885-6021</t>
  </si>
  <si>
    <t>200 Stephens Dr; Phone: nan please</t>
  </si>
  <si>
    <t>1611 County Rd 85,Phone: 256-437-_</t>
  </si>
  <si>
    <t>Rockten- Franklin Park</t>
  </si>
  <si>
    <t>719-473-3100</t>
  </si>
  <si>
    <t>719-561-6000</t>
  </si>
  <si>
    <t>2100</t>
  </si>
  <si>
    <t>Rogers Group</t>
  </si>
  <si>
    <t>931-363-2544</t>
  </si>
  <si>
    <t>2212 Bethel Road; Phone: nan please respond wit_</t>
  </si>
  <si>
    <t>502-633-4435</t>
  </si>
  <si>
    <t>Rolling Pin MfgCorp</t>
  </si>
  <si>
    <t>870-.</t>
  </si>
  <si>
    <t>5215 Industrial Drive So, Phone: 870-.</t>
  </si>
  <si>
    <t>706-291-5459</t>
  </si>
  <si>
    <t>380 Mayes Bridge Road, Phone: nan please</t>
  </si>
  <si>
    <t>706-234-6743</t>
  </si>
  <si>
    <t>Romeo Rim</t>
  </si>
  <si>
    <t>74000 Van Dyke Ave</t>
  </si>
  <si>
    <t>586-336-5800</t>
  </si>
  <si>
    <t xml:space="preserve">74000 Van Dyke Ave; Phone: nan please respond wit </t>
  </si>
  <si>
    <t>Ronco Engineering - La Crosse</t>
  </si>
  <si>
    <t>507-454-.</t>
  </si>
  <si>
    <t>1755 Ronco Ave; Phone: 507-454-.</t>
  </si>
  <si>
    <t>Service Center with no</t>
  </si>
  <si>
    <t>256-350-4241</t>
  </si>
  <si>
    <t>1019 Cedar Lake Road SW; Phone: (256) 350-._</t>
  </si>
  <si>
    <t>Roper Whitney- Rockford</t>
  </si>
  <si>
    <t>815-962-3011</t>
  </si>
  <si>
    <t>2833 Huffman Blvd, Phone: (815) 962_</t>
  </si>
  <si>
    <t>541-433-9629</t>
  </si>
  <si>
    <t>Roseburg Forest Prod - El Dorado</t>
  </si>
  <si>
    <t>1165 Del Tin Hwy</t>
  </si>
  <si>
    <t>El Dorado, AR  71730-3150</t>
  </si>
  <si>
    <t>870-309-3127</t>
  </si>
  <si>
    <t>1165 Del Tin</t>
  </si>
  <si>
    <t>541-679-3311</t>
  </si>
  <si>
    <t>843-567-3201</t>
  </si>
  <si>
    <t>1118 Russell Store Rd, Phone: nan</t>
  </si>
  <si>
    <t>Roseburg Forest Products - Simsboro</t>
  </si>
  <si>
    <t>Anthony Gibbens</t>
  </si>
  <si>
    <t>318-247-6923</t>
  </si>
  <si>
    <t>486 Duraflake Rd, Phone:</t>
  </si>
  <si>
    <t>Rossoration - Chehalis</t>
  </si>
  <si>
    <t>205-174-8160</t>
  </si>
  <si>
    <t>Rotam Tooling</t>
  </si>
  <si>
    <t>11606 North State Road 15</t>
  </si>
  <si>
    <t>North Manchester, IN  46962</t>
  </si>
  <si>
    <t>260-982-7555</t>
  </si>
  <si>
    <t>11606 North State Road 15,Phone: nan pleas_</t>
  </si>
  <si>
    <t>Roth MFG - New London</t>
  </si>
  <si>
    <t>419-929-1554</t>
  </si>
  <si>
    <t>19421 Northfield Blvd</t>
  </si>
  <si>
    <t>651-437-2423</t>
  </si>
  <si>
    <t>19421 Northfield Blvd, Phone: nan please</t>
  </si>
  <si>
    <t>601-322-7241</t>
  </si>
  <si>
    <t>Roy OMartin Lumber</t>
  </si>
  <si>
    <t>192 Pawnee Rd</t>
  </si>
  <si>
    <t>192 Pawnee Rd, Phone: nan please</t>
  </si>
  <si>
    <t>201-343-0121</t>
  </si>
  <si>
    <t>440-487-4532</t>
  </si>
  <si>
    <t>38335 Apollo Pkwy, Phone: nan please respo_</t>
  </si>
  <si>
    <t>605-574-2512</t>
  </si>
  <si>
    <t>256-773-1607</t>
  </si>
  <si>
    <t>Russell Forest Products,Inc</t>
  </si>
  <si>
    <t>Railroad Street; Phone: 256-773-_</t>
  </si>
  <si>
    <t>Russell TGilman - Grafton</t>
  </si>
  <si>
    <t>1230 Cheyenne Ave</t>
  </si>
  <si>
    <t>262-377-2434</t>
  </si>
  <si>
    <t>1230 Cheyenne</t>
  </si>
  <si>
    <t>801-566-7878</t>
  </si>
  <si>
    <t>Ruston Ind Supplies - Ruston</t>
  </si>
  <si>
    <t>31.</t>
  </si>
  <si>
    <t>1308 Commerce Street, Phone: 31.</t>
  </si>
  <si>
    <t>Ruston Ind Supplies-Alex</t>
  </si>
  <si>
    <t>6127 Masonic Drive, Phone: 318-445- __</t>
  </si>
  <si>
    <t>Ruston Ind Supply - McComb</t>
  </si>
  <si>
    <t>2134 Airport Fernwood Rd, Phone:</t>
  </si>
  <si>
    <t>Ruston Industrial - Pine Bluff</t>
  </si>
  <si>
    <t>510 Commerce Road, Phone: 870- _</t>
  </si>
  <si>
    <t>Ruston Industrial Supplie - Creola</t>
  </si>
  <si>
    <t>10095 B  Hwy33</t>
  </si>
  <si>
    <t>251.</t>
  </si>
  <si>
    <t>10095 B Hwy33,Phone: 251.</t>
  </si>
  <si>
    <t>706-792-1618</t>
  </si>
  <si>
    <t>918-587-0046</t>
  </si>
  <si>
    <t>816-471-3500</t>
  </si>
  <si>
    <t>525 Industrial Park Drive</t>
  </si>
  <si>
    <t>317-398-3398</t>
  </si>
  <si>
    <t>525 Industrial Park Drive, Phone:</t>
  </si>
  <si>
    <t>207-238-3000</t>
  </si>
  <si>
    <t>318-777-8221</t>
  </si>
  <si>
    <t>1806 Highway 36 East, Phone: 800-448-4073</t>
  </si>
  <si>
    <t>(602) 997 -</t>
  </si>
  <si>
    <t>9230 North 14th Avenue; Phone: (602) 997 -</t>
  </si>
  <si>
    <t>SACO AEI POLYMERS</t>
  </si>
  <si>
    <t>3220 Crocker Ave</t>
  </si>
  <si>
    <t>920-803-0778</t>
  </si>
  <si>
    <t>3220 Crocker Ave; Phone: nan please</t>
  </si>
  <si>
    <t>256-332-9020</t>
  </si>
  <si>
    <t>475 Wanut Gate Rd, Phone: nan pleas_</t>
  </si>
  <si>
    <t>424 Industrial Park Rd</t>
  </si>
  <si>
    <t>501-362-9500</t>
  </si>
  <si>
    <t>424 Industrial Park Rd; Phone: nan please respond_</t>
  </si>
  <si>
    <t>337-364-5997</t>
  </si>
  <si>
    <t>SAMSON Controls- Baytown</t>
  </si>
  <si>
    <t>4111 Cedar Boulevard, Phone: (28_</t>
  </si>
  <si>
    <t>920-494-3451</t>
  </si>
  <si>
    <t>San Antonio Belting</t>
  </si>
  <si>
    <t>211 W Cevallos</t>
  </si>
  <si>
    <t>San Antonio, TX 78204</t>
  </si>
  <si>
    <t>(210) 225-2671</t>
  </si>
  <si>
    <t>211 W Cevallos, Phone: (210) 225-_</t>
  </si>
  <si>
    <t>Sanders Hyd - Grand Junction</t>
  </si>
  <si>
    <t>66 Pleasant View Rd, Phone: 256-260.</t>
  </si>
  <si>
    <t>662-328-4000</t>
  </si>
  <si>
    <t>Tuffy Lane; Phone:</t>
  </si>
  <si>
    <t>219-879-0241</t>
  </si>
  <si>
    <t>843-546-4171</t>
  </si>
  <si>
    <t>Sappi Fine Paper</t>
  </si>
  <si>
    <t>1329 Waterville Rd</t>
  </si>
  <si>
    <t>Skowhegan, ME  04976-4908</t>
  </si>
  <si>
    <t>1329 Waterville Rd, Phone: nan please respon_</t>
  </si>
  <si>
    <t>920-829-5251</t>
  </si>
  <si>
    <t>Satec Systems- Grove City</t>
  </si>
  <si>
    <t>724-458-9610</t>
  </si>
  <si>
    <t>912-964-1113</t>
  </si>
  <si>
    <t>(989) 667-0370</t>
  </si>
  <si>
    <t>1834 HALEY DRIVE, Phone:</t>
  </si>
  <si>
    <t>(423) 476-2201</t>
  </si>
  <si>
    <t>Schweitzer-Mauduit - Ancram Mill</t>
  </si>
  <si>
    <t>2424 Route 82</t>
  </si>
  <si>
    <t>Ancram, NY 12502</t>
  </si>
  <si>
    <t>(518) 329-4222</t>
  </si>
  <si>
    <t>(518)</t>
  </si>
  <si>
    <t>2424 Route 82, Phone: (518)</t>
  </si>
  <si>
    <t>(651) 429-0999</t>
  </si>
  <si>
    <t>(256) 772-4080</t>
  </si>
  <si>
    <t>Scotch Plywood - Beatrice</t>
  </si>
  <si>
    <t>14883 Hwy 21 N</t>
  </si>
  <si>
    <t>Beatrice, AL  36425</t>
  </si>
  <si>
    <t>(251) 789-2112</t>
  </si>
  <si>
    <t>14883 Hwy 21 N, Phone: nan please</t>
  </si>
  <si>
    <t>(707) 764-1780</t>
  </si>
  <si>
    <t>Scott Equip - Charlotte</t>
  </si>
  <si>
    <t>10800 Twin Lakes Pkwy</t>
  </si>
  <si>
    <t>10800 Twin Lakes Pkwy, Phone: (800.</t>
  </si>
  <si>
    <t>PO Box 1387</t>
  </si>
  <si>
    <t>PO Box 1387,Phone: (937) 233-8146</t>
  </si>
  <si>
    <t>(419) 445-3015</t>
  </si>
  <si>
    <t>(574) 935-5175</t>
  </si>
  <si>
    <t>Scrap Mgmt of Oklahoma</t>
  </si>
  <si>
    <t>5200 SE 59th</t>
  </si>
  <si>
    <t>Oklahoma City, OK 73135</t>
  </si>
  <si>
    <t>(405) 898-6464</t>
  </si>
  <si>
    <t>5200 SE S9th, Phone: nan please</t>
  </si>
  <si>
    <t>Seadrift Coke, LP- North Seadrift</t>
  </si>
  <si>
    <t>(361) 552-8887</t>
  </si>
  <si>
    <t>Seago Lumber</t>
  </si>
  <si>
    <t>614 W Presley Blvd</t>
  </si>
  <si>
    <t>McComb, MS 39648</t>
  </si>
  <si>
    <t>(601) 684-3000</t>
  </si>
  <si>
    <t>614 W Presley Blvd, Phone: nan please respo_</t>
  </si>
  <si>
    <t>44250 North Avenue; Phone: nan</t>
  </si>
  <si>
    <t>(734) 459-8600</t>
  </si>
  <si>
    <t>45677 Helm Street, Phone: 734-45_</t>
  </si>
  <si>
    <t>Sealed Power- Dowagiac</t>
  </si>
  <si>
    <t>(269) 782-2141</t>
  </si>
  <si>
    <t>(707) 823-2997</t>
  </si>
  <si>
    <t>105 GOLF COURSE RD, Phone: 706-376-6833</t>
  </si>
  <si>
    <t>nan; Phone: nan please respond with open or _</t>
  </si>
  <si>
    <t>nan, Phone: nan please respond with_</t>
  </si>
  <si>
    <t>843-881-9664</t>
  </si>
  <si>
    <t>Service to Sawmills</t>
  </si>
  <si>
    <t>55 West Bayshore Dr</t>
  </si>
  <si>
    <t>Many, LA  71449</t>
  </si>
  <si>
    <t>Service to Sawmills information</t>
  </si>
  <si>
    <t>Setech - Cinciinnati</t>
  </si>
  <si>
    <t>765-438-4703</t>
  </si>
  <si>
    <t>Setech - Murfree</t>
  </si>
  <si>
    <t>903 Industrial Dr</t>
  </si>
  <si>
    <t>903 Industrial Dr; Phone: 615-890-1755 pleas_</t>
  </si>
  <si>
    <t>801-621-4117</t>
  </si>
  <si>
    <t>Seven Star</t>
  </si>
  <si>
    <t>190 Admiral Kalbfus Rd</t>
  </si>
  <si>
    <t>Newport, RI  02840</t>
  </si>
  <si>
    <t>401-683-6222</t>
  </si>
  <si>
    <t>190 Admiral Kalbfus Rd, Phone: 401-683-6222 pleas_</t>
  </si>
  <si>
    <t>100 Industrial Park Rd, Phone: 662- _</t>
  </si>
  <si>
    <t>Sexton Can</t>
  </si>
  <si>
    <t>(256) 355-585.</t>
  </si>
  <si>
    <t>3101 Sexton Road Southeast; Phone: (256) 355-585.</t>
  </si>
  <si>
    <t>Sgl Carbon- Morganton</t>
  </si>
  <si>
    <t>828-437-3221</t>
  </si>
  <si>
    <t>SGMorris - Cleveland</t>
  </si>
  <si>
    <t>(440) 473-.</t>
  </si>
  <si>
    <t>699 Miner Road; Phone: (440) 473-.</t>
  </si>
  <si>
    <t>337-365-5050</t>
  </si>
  <si>
    <t>(713) 937-500.</t>
  </si>
  <si>
    <t>12950 West Little York, Phone: (713) 937-500.</t>
  </si>
  <si>
    <t>Shaw - Winchester</t>
  </si>
  <si>
    <t>Shaw Ind</t>
  </si>
  <si>
    <t>136 East Frontage RdPlt78</t>
  </si>
  <si>
    <t>803-641-7083</t>
  </si>
  <si>
    <t>136 East Frontage RdPlt78, Phone: nan please</t>
  </si>
  <si>
    <t>334-832-9030</t>
  </si>
  <si>
    <t>1695 Parallel Street; Phone: nan</t>
  </si>
  <si>
    <t>22281 Walnut Ave</t>
  </si>
  <si>
    <t>319-885-4302</t>
  </si>
  <si>
    <t>22281 Walnut</t>
  </si>
  <si>
    <t>Shelly Materials</t>
  </si>
  <si>
    <t>8505 State Route 14</t>
  </si>
  <si>
    <t>Streetsboro, OH 44241</t>
  </si>
  <si>
    <t>330-626-3816</t>
  </si>
  <si>
    <t>8505 State Route 14, Phone: nan please</t>
  </si>
  <si>
    <t>410-876-3900</t>
  </si>
  <si>
    <t>1025 Meadow Branch Road, Phone:</t>
  </si>
  <si>
    <t>763-784-3920</t>
  </si>
  <si>
    <t>989-781-3052</t>
  </si>
  <si>
    <t>1320 S Graham Rd M 52,</t>
  </si>
  <si>
    <t>205-491-6200</t>
  </si>
  <si>
    <t>205-252-5157</t>
  </si>
  <si>
    <t>1041 11TH COURT WEST, Phone: nan_</t>
  </si>
  <si>
    <t>Shot Control Systems</t>
  </si>
  <si>
    <t>3033 Ohio Drive  Suite A</t>
  </si>
  <si>
    <t>3033 Ohio Drive Suite A, Phone: nan</t>
  </si>
  <si>
    <t>SI Milcut</t>
  </si>
  <si>
    <t>740 W Annoreno Drive</t>
  </si>
  <si>
    <t>Addison, IL 60101</t>
  </si>
  <si>
    <t>630-628-6121</t>
  </si>
  <si>
    <t>740 W Annoreno Drive; Phone: nan please respond</t>
  </si>
  <si>
    <t>317-773-8119</t>
  </si>
  <si>
    <t>17450 Bataan Court; Phone:</t>
  </si>
  <si>
    <t>444 Highway 49 South, Phone: (601)</t>
  </si>
  <si>
    <t>815-338-7300</t>
  </si>
  <si>
    <t>Silgan Plastics</t>
  </si>
  <si>
    <t>5225 WLakeshore Dr/ Suite 460</t>
  </si>
  <si>
    <t>800-274-5426</t>
  </si>
  <si>
    <t>5225 WLakeshore Dr/ Suite 460,Phone: nan</t>
  </si>
  <si>
    <t>952-854-7700</t>
  </si>
  <si>
    <t>352 South Avenue; Bloomington; MN 55425</t>
  </si>
  <si>
    <t>Silliman Fluid Power in</t>
  </si>
  <si>
    <t>(941) 360-</t>
  </si>
  <si>
    <t>614-253-1996</t>
  </si>
  <si>
    <t>Simcoe Wood Products</t>
  </si>
  <si>
    <t>3730 Hwy69 North</t>
  </si>
  <si>
    <t>3730 Hwy69 North; Phone: 256-796-_</t>
  </si>
  <si>
    <t>Similcut LLC</t>
  </si>
  <si>
    <t>740 W Annoreno Dr</t>
  </si>
  <si>
    <t>740 W Annoreno Dr; Phone: nan please respond</t>
  </si>
  <si>
    <t>Simmons Feed Mill - Decatur</t>
  </si>
  <si>
    <t>2565 N Highway 59</t>
  </si>
  <si>
    <t>Decatur, AR 72722-8002</t>
  </si>
  <si>
    <t>479-752-8028</t>
  </si>
  <si>
    <t>2565 N Highway 59,Phone: nan</t>
  </si>
  <si>
    <t>262-512-4000</t>
  </si>
  <si>
    <t>Simply MFG</t>
  </si>
  <si>
    <t>608-643-6656</t>
  </si>
  <si>
    <t>E11259 County Road PF; Phone: nan please</t>
  </si>
  <si>
    <t>751 Shoreline Drive; Phone: (630) 978_</t>
  </si>
  <si>
    <t>2423 South Alston Avenue; Phone:</t>
  </si>
  <si>
    <t>SISIndustrial Se - North Bend</t>
  </si>
  <si>
    <t>Six C Fabrications</t>
  </si>
  <si>
    <t>349 Thomas Mill Rd</t>
  </si>
  <si>
    <t>Winnfield, LA  71483</t>
  </si>
  <si>
    <t>(318) 628-2764</t>
  </si>
  <si>
    <t>349 Thomas Mill Rd, Phone: nan please</t>
  </si>
  <si>
    <t>535 South Industrial Drive,</t>
  </si>
  <si>
    <t>Skarda Equip - Edwardsville</t>
  </si>
  <si>
    <t>10139 Kaw Drive, Phone: (913) 63_</t>
  </si>
  <si>
    <t>Skarda Equip - Omaha</t>
  </si>
  <si>
    <t>2563 Farnam Street; Phone: (800) 22_</t>
  </si>
  <si>
    <t>1900 Brigantine Drive; Phone: 604-77_</t>
  </si>
  <si>
    <t>1990 Kirby Bridge Rd</t>
  </si>
  <si>
    <t>1990 Kirby Bridge Rd; Phone: 256-773_</t>
  </si>
  <si>
    <t>828-891-2515</t>
  </si>
  <si>
    <t>(662) 423-2101</t>
  </si>
  <si>
    <t>5 COUNTY ROAD 486 PORT OF</t>
  </si>
  <si>
    <t>Skyworks Equip Rental</t>
  </si>
  <si>
    <t>93 Refreshment Pl</t>
  </si>
  <si>
    <t>256-351-7500</t>
  </si>
  <si>
    <t>93 Refreshment Pl, Phone: nan pleas_</t>
  </si>
  <si>
    <t>803-936-3700</t>
  </si>
  <si>
    <t>SMISteel - West Columbia</t>
  </si>
  <si>
    <t>Smith Machine Worx</t>
  </si>
  <si>
    <t>11825 Highway 280, TAG:7142-24090-3</t>
  </si>
  <si>
    <t>Sterrett, AL  35147</t>
  </si>
  <si>
    <t>205-620-4455</t>
  </si>
  <si>
    <t>11825 Highway 280, TAG.7142-24090_</t>
  </si>
  <si>
    <t>412-231-1200</t>
  </si>
  <si>
    <t>100 Sandusky St; Phone: nan plea_</t>
  </si>
  <si>
    <t>(440.</t>
  </si>
  <si>
    <t>8341 Tyler Boulevard, Phone: (440.</t>
  </si>
  <si>
    <t>Smuckers</t>
  </si>
  <si>
    <t>1200 Market St NE</t>
  </si>
  <si>
    <t>256-552-7418</t>
  </si>
  <si>
    <t>1200 Market St NE, Phone: 256-552-7418 please</t>
  </si>
  <si>
    <t>(205) 854-4523</t>
  </si>
  <si>
    <t>3200 PINSON VALLEY PKWAY</t>
  </si>
  <si>
    <t>(912) 487-5251</t>
  </si>
  <si>
    <t>Highway 84 East, Phone: nan please</t>
  </si>
  <si>
    <t>Motion- Columbus' Customer</t>
  </si>
  <si>
    <t>(740) 335-7938</t>
  </si>
  <si>
    <t>1010 MEAD Street, Phone_</t>
  </si>
  <si>
    <t>Snyder Hyd - Tampa</t>
  </si>
  <si>
    <t>14729 McGrady Road, Phone: (813)</t>
  </si>
  <si>
    <t>Hwy 20, Phone: (256) 350-1756 please respo_</t>
  </si>
  <si>
    <t>Solo Cup- Highland Park</t>
  </si>
  <si>
    <t>(847) 831-4801</t>
  </si>
  <si>
    <t>Courtland Hwy, Phone: (256) 552-2011 please_</t>
  </si>
  <si>
    <t>(828) 245-0118</t>
  </si>
  <si>
    <t>Sonoco - Newport</t>
  </si>
  <si>
    <t>766 Industrial Rd</t>
  </si>
  <si>
    <t>Newport, TN  37821-8112</t>
  </si>
  <si>
    <t>(423) 623-8611</t>
  </si>
  <si>
    <t>766 Industrial Rd, Phone: nan please respond</t>
  </si>
  <si>
    <t>Sonoco Hartselle</t>
  </si>
  <si>
    <t>(256) 773</t>
  </si>
  <si>
    <t>1901 John D Long Drive; Phone: (256) 773</t>
  </si>
  <si>
    <t>Sonoco Metal Packaging</t>
  </si>
  <si>
    <t>2719 AJ Bush Dr</t>
  </si>
  <si>
    <t>Dandridge, TN  37725-7111</t>
  </si>
  <si>
    <t>(865) 413-0805</t>
  </si>
  <si>
    <t>2719 AJ Bush Dr; Phone: nan please</t>
  </si>
  <si>
    <t>SOSCylinders - Hamilton</t>
  </si>
  <si>
    <t>299 Keswick Court, Hamilton, ONT L8K 2S6</t>
  </si>
  <si>
    <t>Southeast Forest Products</t>
  </si>
  <si>
    <t>99 Planer Mill Rd</t>
  </si>
  <si>
    <t>Louisville, AL  36048</t>
  </si>
  <si>
    <t>334-266-5153</t>
  </si>
  <si>
    <t>334-266- .</t>
  </si>
  <si>
    <t>99 Planer Mill Rd, Phone: 334-266- .</t>
  </si>
  <si>
    <t>(615) 410-3806</t>
  </si>
  <si>
    <t>Southeastern Timber Products</t>
  </si>
  <si>
    <t>240 Pca Rd</t>
  </si>
  <si>
    <t>Ackerman, MS 39735</t>
  </si>
  <si>
    <t>(662) 285-3291</t>
  </si>
  <si>
    <t>240 Pca Rd; Phone: (662) 28_</t>
  </si>
  <si>
    <t>(601) 482-8518</t>
  </si>
  <si>
    <t>Southern Cellulose Prod</t>
  </si>
  <si>
    <t>West 45th  Central Ave</t>
  </si>
  <si>
    <t>(423) 821-1561</t>
  </si>
  <si>
    <t>West 45th Central</t>
  </si>
  <si>
    <t>(205) 655-1063</t>
  </si>
  <si>
    <t>Southern Controls, Inc - Garden City</t>
  </si>
  <si>
    <t>3911 Old Louisville Road  Unit 111</t>
  </si>
  <si>
    <t>Garden City, GA  31408</t>
  </si>
  <si>
    <t>3911 Old Louisville Road</t>
  </si>
  <si>
    <t>nan; Phone: 864-787-7932 please</t>
  </si>
  <si>
    <t>(423) 510-0205</t>
  </si>
  <si>
    <t>2900 Dodds Avenue; Phone:</t>
  </si>
  <si>
    <t>(615) 238-2380</t>
  </si>
  <si>
    <t>1830 Air Lane Drive; Phone:</t>
  </si>
  <si>
    <t>Southern Hyd - Bessemer</t>
  </si>
  <si>
    <t>521 Alliance Road,, Phone: (205) 436-_</t>
  </si>
  <si>
    <t xml:space="preserve">409 East 2nd Street </t>
  </si>
  <si>
    <t>(870) 639-1572</t>
  </si>
  <si>
    <t>409 East 2nd Street</t>
  </si>
  <si>
    <t>601-248-.</t>
  </si>
  <si>
    <t>200 Wisteria Drive; Phone: 601-248-.</t>
  </si>
  <si>
    <t>(704) 983-4792</t>
  </si>
  <si>
    <t>Southern Packaging, Inc-W</t>
  </si>
  <si>
    <t>872 Depot St</t>
  </si>
  <si>
    <t>Woodville, MS  39669-3591</t>
  </si>
  <si>
    <t>(601) 888-7774</t>
  </si>
  <si>
    <t>872 Depot St, Phone: nan please</t>
  </si>
  <si>
    <t>(409) 866-1409</t>
  </si>
  <si>
    <t>Southwark Metal Mfg Co</t>
  </si>
  <si>
    <t>255 Bessie Rd</t>
  </si>
  <si>
    <t>Piedmont, SC  29673-8828</t>
  </si>
  <si>
    <t>(864) 845-4929</t>
  </si>
  <si>
    <t>255 Bessie Rd, Phone: nan please</t>
  </si>
  <si>
    <t>(210) 684-5111</t>
  </si>
  <si>
    <t>Southwestern Controls- Dallas</t>
  </si>
  <si>
    <t>8808 Sovereign Row; Phone:</t>
  </si>
  <si>
    <t>Southwestern Controls- Houston</t>
  </si>
  <si>
    <t>6720 Sands Point; Suite 201,</t>
  </si>
  <si>
    <t>Southwestern Controls- San Antonio</t>
  </si>
  <si>
    <t>(210) 723-1795</t>
  </si>
  <si>
    <t>859 Isom Road, Phone:</t>
  </si>
  <si>
    <t>(936) 756-4471</t>
  </si>
  <si>
    <t>(864)</t>
  </si>
  <si>
    <t>(812) 937-4561</t>
  </si>
  <si>
    <t>(587) 870-5359</t>
  </si>
  <si>
    <t>5711</t>
  </si>
  <si>
    <t>1408 STh Street.</t>
  </si>
  <si>
    <t>SRC Electrical</t>
  </si>
  <si>
    <t>2401 ESunshine Street</t>
  </si>
  <si>
    <t>800-634-2858</t>
  </si>
  <si>
    <t>2401 ESunshine Street; Phone: nan please respon_</t>
  </si>
  <si>
    <t>562-495-8659</t>
  </si>
  <si>
    <t>SSD Control Technologies</t>
  </si>
  <si>
    <t>1801 S Main St</t>
  </si>
  <si>
    <t>South Bend, IN  46613</t>
  </si>
  <si>
    <t>574-289-5942</t>
  </si>
  <si>
    <t>1801</t>
  </si>
  <si>
    <t>SSMD Hydraulics</t>
  </si>
  <si>
    <t>1205 8th St West</t>
  </si>
  <si>
    <t>Birmingham, AL  35204</t>
  </si>
  <si>
    <t>205-319-6022</t>
  </si>
  <si>
    <t>1205 8th St West; Phone: nan please respond</t>
  </si>
  <si>
    <t>425-257-9702</t>
  </si>
  <si>
    <t>Stack Metallurgical Service</t>
  </si>
  <si>
    <t>5938 N Basin Ave</t>
  </si>
  <si>
    <t>Portland, OR  97217</t>
  </si>
  <si>
    <t>503-285-7703</t>
  </si>
  <si>
    <t>5938 N Basin Ave; Phone: nan</t>
  </si>
  <si>
    <t>920-685-6830</t>
  </si>
  <si>
    <t>704-953-</t>
  </si>
  <si>
    <t>4811 Persimmon Court, Phone: 704 _</t>
  </si>
  <si>
    <t>989-732-5121</t>
  </si>
  <si>
    <t>1850 Highway 17-92 North</t>
  </si>
  <si>
    <t>Davenport, FL  33837</t>
  </si>
  <si>
    <t>1850 Highway 17-92 North; Phone: n=</t>
  </si>
  <si>
    <t>330-833-8548</t>
  </si>
  <si>
    <t>Stanek Tool- New Berlin</t>
  </si>
  <si>
    <t>262-786-0120</t>
  </si>
  <si>
    <t>320-243-3613</t>
  </si>
  <si>
    <t>53-</t>
  </si>
  <si>
    <t>Stanley MProctor - Twinsburg</t>
  </si>
  <si>
    <t>2016 Midway Drive</t>
  </si>
  <si>
    <t>2016 Midway Drive, Phone: (800)</t>
  </si>
  <si>
    <t>513-766-4300</t>
  </si>
  <si>
    <t>Steel Dynamics - Columbus</t>
  </si>
  <si>
    <t>1945 Airport Road</t>
  </si>
  <si>
    <t>Columbus, MS  39701</t>
  </si>
  <si>
    <t>1945 Airport Road, Phone: nan</t>
  </si>
  <si>
    <t>Steel Dynamics - Sinton</t>
  </si>
  <si>
    <t>8534 Hwy 89</t>
  </si>
  <si>
    <t>Sinton, TX  78387-2147</t>
  </si>
  <si>
    <t>361-424-6200</t>
  </si>
  <si>
    <t>8534 Hwy 89, Phone: nan please</t>
  </si>
  <si>
    <t>Steel Dynanics- Butler</t>
  </si>
  <si>
    <t>(260) 868-8000</t>
  </si>
  <si>
    <t>Steel EquipSpecialists - Alliance</t>
  </si>
  <si>
    <t>1507 Beeson St, Phone: (330_</t>
  </si>
  <si>
    <t>STEEL FAB</t>
  </si>
  <si>
    <t>389 STEEL VIEW DR</t>
  </si>
  <si>
    <t>334-863-7311</t>
  </si>
  <si>
    <t>389 STEEL VIEW DR; Phone: nan please respond wit_</t>
  </si>
  <si>
    <t>Steel N Roots</t>
  </si>
  <si>
    <t>5465 Prospect Ct</t>
  </si>
  <si>
    <t>High Point, NC  27263</t>
  </si>
  <si>
    <t>336-307-3724</t>
  </si>
  <si>
    <t>5465 Prospect Ct, Phone: nan please respond with _</t>
  </si>
  <si>
    <t>502-845-4202</t>
  </si>
  <si>
    <t>Steelcase Inc.</t>
  </si>
  <si>
    <t>214 Durham Drive</t>
  </si>
  <si>
    <t>Athens, AL  35611</t>
  </si>
  <si>
    <t>256-232-8112</t>
  </si>
  <si>
    <t>214 Durham Drive; Phone: nan please respond wit_</t>
  </si>
  <si>
    <t>608-328-4109</t>
  </si>
  <si>
    <t>1810 12th Ave; Phone: nan please</t>
  </si>
  <si>
    <t>Stella-Jones</t>
  </si>
  <si>
    <t>10020 Highway 483 D</t>
  </si>
  <si>
    <t>Converse, LA  71419</t>
  </si>
  <si>
    <t>318-645-7530</t>
  </si>
  <si>
    <t>10020 Highway 483 D, Phone: nan please respond:</t>
  </si>
  <si>
    <t>4256 Ridge</t>
  </si>
  <si>
    <t>Stericycle</t>
  </si>
  <si>
    <t>128 Rex Bryan Dr</t>
  </si>
  <si>
    <t>Sarepta, LA,  71071</t>
  </si>
  <si>
    <t>128 Rex Bryan Dr; Phone: nan please respond with</t>
  </si>
  <si>
    <t>Steves &amp; Sons Inc - Brigham City</t>
  </si>
  <si>
    <t>1080 N Main Street</t>
  </si>
  <si>
    <t>Brigham City, UT  84302</t>
  </si>
  <si>
    <t>435-538-9448</t>
  </si>
  <si>
    <t>1080 N Main Street; Phone:</t>
  </si>
  <si>
    <t>Steves &amp; Sons Inc - Lebanon</t>
  </si>
  <si>
    <t>301 Hartmann Dr</t>
  </si>
  <si>
    <t>Lebanon, TN 37087</t>
  </si>
  <si>
    <t>615-444-7693</t>
  </si>
  <si>
    <t>301 Hartmann Dr; Phone: nan</t>
  </si>
  <si>
    <t>510-215-7000</t>
  </si>
  <si>
    <t>Stone Container- Abbeville</t>
  </si>
  <si>
    <t>Highway 173,Phone: (334) 585-3078</t>
  </si>
  <si>
    <t>843-873-9689</t>
  </si>
  <si>
    <t>256-724-7022</t>
  </si>
  <si>
    <t>4950 GILM ER ST, Phone: nan please respond</t>
  </si>
  <si>
    <t>Stricklands Hyd - Lancaster</t>
  </si>
  <si>
    <t>2706 Charlotte Highway, Phone:</t>
  </si>
  <si>
    <t>9180 LA 3</t>
  </si>
  <si>
    <t>Plain Dealing, LA  71064-0574</t>
  </si>
  <si>
    <t>Strongwell- Chatfield</t>
  </si>
  <si>
    <t>1610 Highway 52 So</t>
  </si>
  <si>
    <t>507-867-3479</t>
  </si>
  <si>
    <t>1610 Highway 52 So, Phone: nan</t>
  </si>
  <si>
    <t>276-645-8000</t>
  </si>
  <si>
    <t>2301 SPlatte Dr</t>
  </si>
  <si>
    <t>(303) 935- .</t>
  </si>
  <si>
    <t>2301 SPlatte Dr; Phone: (303) 935- .</t>
  </si>
  <si>
    <t>(276) 694-4547</t>
  </si>
  <si>
    <t>Stuart Hose &amp; Pipe</t>
  </si>
  <si>
    <t>2621 Irving Blvd</t>
  </si>
  <si>
    <t>Dallas, TX  75207</t>
  </si>
  <si>
    <t>214-631-6682</t>
  </si>
  <si>
    <t>2621 Irving Blvd; Phone: nan please</t>
  </si>
  <si>
    <t>(814) 833-4882</t>
  </si>
  <si>
    <t>256-830-7000</t>
  </si>
  <si>
    <t>Summit Industrial Solutions</t>
  </si>
  <si>
    <t>105 Baldwin Dr.</t>
  </si>
  <si>
    <t>Albany, GA  31707</t>
  </si>
  <si>
    <t>(229) 500-1462</t>
  </si>
  <si>
    <t>105 Baldwin Dr, Phone: nan pleas_</t>
  </si>
  <si>
    <t>Summit Line</t>
  </si>
  <si>
    <t>4284 E. Early Rd</t>
  </si>
  <si>
    <t>Casa Grande, AZ 85194</t>
  </si>
  <si>
    <t>385-375-0244</t>
  </si>
  <si>
    <t>4284 E: Early Rd, Phone: 385-375-0244 please</t>
  </si>
  <si>
    <t>(570) 455-5551</t>
  </si>
  <si>
    <t>(269) 324-9330</t>
  </si>
  <si>
    <t>6717 Sprinkle Road, Phone: nan</t>
  </si>
  <si>
    <t>(269) 651-1643</t>
  </si>
  <si>
    <t>212 Durham St</t>
  </si>
  <si>
    <t>212 Durham St; Phone: 615-452-0636 please</t>
  </si>
  <si>
    <t>844-532-3639</t>
  </si>
  <si>
    <t>Sunco</t>
  </si>
  <si>
    <t>69 Washington Street</t>
  </si>
  <si>
    <t>Menasha, WI 54952</t>
  </si>
  <si>
    <t>69 Washington Street; Phone: nan please respond</t>
  </si>
  <si>
    <t>205-750-2004</t>
  </si>
  <si>
    <t>Sunol Asphalt</t>
  </si>
  <si>
    <t>7999 Athenour Way</t>
  </si>
  <si>
    <t>Sunol, CA  94586</t>
  </si>
  <si>
    <t>(925) 533-6007</t>
  </si>
  <si>
    <t>7999 Athenour Way, Phone: nan please respond</t>
  </si>
  <si>
    <t>Sunrise MFG International</t>
  </si>
  <si>
    <t>4035 Correia Drive</t>
  </si>
  <si>
    <t>Zephyrhills, FL  33542</t>
  </si>
  <si>
    <t>(813) 788-1910</t>
  </si>
  <si>
    <t>4035 Correia Drive, Phone: nan pleas_</t>
  </si>
  <si>
    <t>(562) 809-8300</t>
  </si>
  <si>
    <t>(850) 379-8892</t>
  </si>
  <si>
    <t>Hwy 65 No</t>
  </si>
  <si>
    <t>SunSource</t>
  </si>
  <si>
    <t>PO Box 26260 /Att: AcctsPayable</t>
  </si>
  <si>
    <t>952-563- .</t>
  </si>
  <si>
    <t>PO Box 26260 /Att: AcctsPayable; Phone: 952-563- .</t>
  </si>
  <si>
    <t>Sunsource - Madison Heights</t>
  </si>
  <si>
    <t>1450 EAvis Ave</t>
  </si>
  <si>
    <t>1450 EAvis Ave, Phone: (248) 585- ._</t>
  </si>
  <si>
    <t>5109 Taravella Road, Phone: (504) 34_</t>
  </si>
  <si>
    <t>(586) 977-6900</t>
  </si>
  <si>
    <t>6460 Sims Road, Phone: nan please</t>
  </si>
  <si>
    <t>5390 EPonce De Leon Ave, Suite E</t>
  </si>
  <si>
    <t>(800) 228-5800</t>
  </si>
  <si>
    <t>5390 EPonce De Leon Ave, Suite E,</t>
  </si>
  <si>
    <t>1231 NBarsten Way</t>
  </si>
  <si>
    <t>1231 NBarsten Way, Phone:</t>
  </si>
  <si>
    <t>5390 EPonce DeLeon Ave</t>
  </si>
  <si>
    <t>5390 EPonce DeLeon Ave; Phone: 77.</t>
  </si>
  <si>
    <t>5918 Havenridge Rd, Phone: 586-749 _</t>
  </si>
  <si>
    <t>Superior Hyd - Sparks</t>
  </si>
  <si>
    <t>(775) 358-3331</t>
  </si>
  <si>
    <t>5035 Belton Hwy</t>
  </si>
  <si>
    <t>(864) 224-2316</t>
  </si>
  <si>
    <t>5035 Belton Hwy, Phone:</t>
  </si>
  <si>
    <t>(501) 362-9500</t>
  </si>
  <si>
    <t>424 Industrial Park Drive; Phone: nan please</t>
  </si>
  <si>
    <t>(541) 832-1115</t>
  </si>
  <si>
    <t>(843) 468-9200</t>
  </si>
  <si>
    <t>692 N Cashua Road, Phone: nan please</t>
  </si>
  <si>
    <t>Superior Mfg- Moselle</t>
  </si>
  <si>
    <t>(601) 544-8119</t>
  </si>
  <si>
    <t>139 Baxter Road, Phone: nan please respond</t>
  </si>
  <si>
    <t>(708) 496-1196</t>
  </si>
  <si>
    <t>Poplar Street; Phone: (662)</t>
  </si>
  <si>
    <t>(703) 777-7150</t>
  </si>
  <si>
    <t>Sur-Formoration</t>
  </si>
  <si>
    <t>18401 Malyn; Phone: 586-285-0310 please</t>
  </si>
  <si>
    <t>Surftran- Madison Heights</t>
  </si>
  <si>
    <t>30250 Stephenson Highway; Phone:</t>
  </si>
  <si>
    <t>Sutter Home Winery - StHelena</t>
  </si>
  <si>
    <t>StHelena,CA 94574</t>
  </si>
  <si>
    <t>(707) 302-3296</t>
  </si>
  <si>
    <t>Suwannee Lumber Co found</t>
  </si>
  <si>
    <t>Hwy 198351A</t>
  </si>
  <si>
    <t>(321) 868-8902</t>
  </si>
  <si>
    <t>Swaggerty Sausage</t>
  </si>
  <si>
    <t>2827 Swaggerty Road</t>
  </si>
  <si>
    <t>Kodak, TN 37764</t>
  </si>
  <si>
    <t>(865) 933-2625</t>
  </si>
  <si>
    <t>2827 Swaggerty Road, Phone: nan</t>
  </si>
  <si>
    <t>Swan EngrMachine - Bettendorf</t>
  </si>
  <si>
    <t>(563) 355-2671</t>
  </si>
  <si>
    <t>Swift Lumber - Atmore</t>
  </si>
  <si>
    <t>(251) 368-8801</t>
  </si>
  <si>
    <t>Sylvamo</t>
  </si>
  <si>
    <t>Ticonderoga, NY  12883-2890</t>
  </si>
  <si>
    <t>(518) 585-5300</t>
  </si>
  <si>
    <t>568 Shore Airport Rd; Phone: nan please respond wi</t>
  </si>
  <si>
    <t>(843) 650-2225</t>
  </si>
  <si>
    <t>6920 SJordan Road, Suite C</t>
  </si>
  <si>
    <t>6920 SJordan Road, Suite_</t>
  </si>
  <si>
    <t>(517) 543-.</t>
  </si>
  <si>
    <t>2250 Otto Rd, Phone: (517) 543-.</t>
  </si>
  <si>
    <t>293 Harrisburg Rd SW, Phone_</t>
  </si>
  <si>
    <t>(501) 968-.</t>
  </si>
  <si>
    <t>915 S Elmira Ave; Phone: (501) 968-.</t>
  </si>
  <si>
    <t>Taco - Cranston</t>
  </si>
  <si>
    <t>1160 Cranston St, Phone: (401) 942-8000</t>
  </si>
  <si>
    <t>FtWorth,TX 76115</t>
  </si>
  <si>
    <t>Talen Energy Colstrip WHSE</t>
  </si>
  <si>
    <t>Colstrip, MT  59323</t>
  </si>
  <si>
    <t>(406) 748-5382</t>
  </si>
  <si>
    <t>580 Willow Ave; Phone: nan please_</t>
  </si>
  <si>
    <t>Talladega Machinery - Dega</t>
  </si>
  <si>
    <t>301 Johnson Avenue North</t>
  </si>
  <si>
    <t>Talladega, AL 35160</t>
  </si>
  <si>
    <t>256-480-5060</t>
  </si>
  <si>
    <t>(256) 480-5060</t>
  </si>
  <si>
    <t>301 Johnson Avenue North, Phon_</t>
  </si>
  <si>
    <t>770-227 --</t>
  </si>
  <si>
    <t>1112 Anne Street; Phone: 770-227 --</t>
  </si>
  <si>
    <t>(417) 682-3533</t>
  </si>
  <si>
    <t>601 West 17th St, Phone: nan please respond</t>
  </si>
  <si>
    <t>TAMKO Building</t>
  </si>
  <si>
    <t>2506 Johnson Street</t>
  </si>
  <si>
    <t>(865) 637-0145</t>
  </si>
  <si>
    <t>2506 Johnson Street; Phone: nan please</t>
  </si>
  <si>
    <t>TAMKO Builiding Products - Joplin</t>
  </si>
  <si>
    <t>601 N High Ave</t>
  </si>
  <si>
    <t>Joplin, MO  64801-1935</t>
  </si>
  <si>
    <t>(417) 624-6644</t>
  </si>
  <si>
    <t>601 N High Ave; Phone: nan</t>
  </si>
  <si>
    <t>(804) 232-4500</t>
  </si>
  <si>
    <t>281-</t>
  </si>
  <si>
    <t>24501 Hufsmith Kohrville Suite 200,Phone: 281-</t>
  </si>
  <si>
    <t>Taurus Salt,Inc</t>
  </si>
  <si>
    <t>(435) 529-4020</t>
  </si>
  <si>
    <t>1520 South 550 West; Phone: nan please</t>
  </si>
  <si>
    <t>Taylor Aviation</t>
  </si>
  <si>
    <t>149 Signal Point Rd</t>
  </si>
  <si>
    <t>Fort Benton, MT 59442</t>
  </si>
  <si>
    <t>406-622-5682</t>
  </si>
  <si>
    <t>149 Signal Point Rd, Phone: 406-622-5682</t>
  </si>
  <si>
    <t>Taylor Newcomb - Cincinnati</t>
  </si>
  <si>
    <t>Phone: [insert phone number]</t>
  </si>
  <si>
    <t>Taylor Newcomb - Columbus</t>
  </si>
  <si>
    <t>4140 Perimeter Drive; Phone: (614_</t>
  </si>
  <si>
    <t>Taylor Newcomb - Louisville</t>
  </si>
  <si>
    <t>11534 Commonwealth Drive;</t>
  </si>
  <si>
    <t>985-851-1047</t>
  </si>
  <si>
    <t>(985) 851-1047</t>
  </si>
  <si>
    <t>1962 South Van Avenue; Phone: 985-851-1047 pleas.</t>
  </si>
  <si>
    <t>Tdk Ferrites- Shawnee</t>
  </si>
  <si>
    <t>5900 N Harrison Ave; Phone: (405)</t>
  </si>
  <si>
    <t>Teal Jones-Plain Dealing LLC</t>
  </si>
  <si>
    <t>(318) 326-5000</t>
  </si>
  <si>
    <t>9180 LA 3, Phone: nan please</t>
  </si>
  <si>
    <t>(615) 333-2181</t>
  </si>
  <si>
    <t>Tec-Hackett- Fort Wayne</t>
  </si>
  <si>
    <t>(260) 471-7116</t>
  </si>
  <si>
    <t>3418 Cavalier Drive; Phone: (219) 471_</t>
  </si>
  <si>
    <t>Tech-Max Machine</t>
  </si>
  <si>
    <t>1170 West Ardmore Ave</t>
  </si>
  <si>
    <t>(630) 875-0054</t>
  </si>
  <si>
    <t>1170 West Ardmore Ave; Phone: nan</t>
  </si>
  <si>
    <t>(216) 281-9500</t>
  </si>
  <si>
    <t>8259 Causeway Blvd, Suite B</t>
  </si>
  <si>
    <t>(813) 612-9544</t>
  </si>
  <si>
    <t>8259 Causeway Blvd, Suite B, Phone:</t>
  </si>
  <si>
    <t>Techni-Cast- South Gate</t>
  </si>
  <si>
    <t>(562) 923-4585</t>
  </si>
  <si>
    <t>481 Degravelle Road, Phone: nan</t>
  </si>
  <si>
    <t>(813) 228-4111</t>
  </si>
  <si>
    <t>TECOoration</t>
  </si>
  <si>
    <t>(608) 222-3282</t>
  </si>
  <si>
    <t>4610 Femrite Drive, Phone: nan please respond wi__</t>
  </si>
  <si>
    <t>6920 SJordan RdSuite C</t>
  </si>
  <si>
    <t>6920 SJordan RdSuite C,</t>
  </si>
  <si>
    <t>Teijin Automotive</t>
  </si>
  <si>
    <t>2050 8th St</t>
  </si>
  <si>
    <t>Seguin, TX 78155-2576</t>
  </si>
  <si>
    <t>(830) 326-5000</t>
  </si>
  <si>
    <t>2050 8th St; Phone: nan please respond with</t>
  </si>
  <si>
    <t>Temple Inland - Buna</t>
  </si>
  <si>
    <t>(409) 994-5911</t>
  </si>
  <si>
    <t>(936) 829-6698</t>
  </si>
  <si>
    <t>100 MLK Street, Phone: nan please</t>
  </si>
  <si>
    <t>Temple Inland- Buna</t>
  </si>
  <si>
    <t>(337) 786-1300</t>
  </si>
  <si>
    <t>Temple-Inland - Rome</t>
  </si>
  <si>
    <t>305 Mays Bridge RdSW</t>
  </si>
  <si>
    <t>706 -.</t>
  </si>
  <si>
    <t>305 Mays Bridge RdSW; Phone: 706 -.</t>
  </si>
  <si>
    <t>Tenax</t>
  </si>
  <si>
    <t>200 Miller Sellers Road</t>
  </si>
  <si>
    <t>Evergreen, AL 36401</t>
  </si>
  <si>
    <t>(251) 578-1215</t>
  </si>
  <si>
    <t>200 Miller Sellers Road, Phone: nan please respond</t>
  </si>
  <si>
    <t>(402) 733-3333</t>
  </si>
  <si>
    <t>Tennessee Aluminum Processors</t>
  </si>
  <si>
    <t>205 spurline Dr</t>
  </si>
  <si>
    <t>256- .</t>
  </si>
  <si>
    <t>205 spurline Dr; Phone: 256- .</t>
  </si>
  <si>
    <t>(423) 942-1020</t>
  </si>
  <si>
    <t>256-353-.</t>
  </si>
  <si>
    <t>17 East Moulton St, Phone: 256-353-.</t>
  </si>
  <si>
    <t>(931) 934-2211</t>
  </si>
  <si>
    <t>6926 Smithville Hwy, Phone: nan please respond</t>
  </si>
  <si>
    <t>(403) 236-3412</t>
  </si>
  <si>
    <t>Tesla, Inc.</t>
  </si>
  <si>
    <t>1 Electric Avenue</t>
  </si>
  <si>
    <t>Sparks, NV  89437</t>
  </si>
  <si>
    <t>(888) 518-3752</t>
  </si>
  <si>
    <t>Electric Avenue; Phone: nan please respond with</t>
  </si>
  <si>
    <t>Tessy Plastics- Elbridge</t>
  </si>
  <si>
    <t>(315) 689-3924</t>
  </si>
  <si>
    <t>(337) 882-1280</t>
  </si>
  <si>
    <t>1100 PPG Drive; Phone: nan pleas_</t>
  </si>
  <si>
    <t>713-465-</t>
  </si>
  <si>
    <t>Tex-A-Draulics North - FtWorth</t>
  </si>
  <si>
    <t>1220 EFelix
Suite 104</t>
  </si>
  <si>
    <t>1220 EFelix_</t>
  </si>
  <si>
    <t>903-.</t>
  </si>
  <si>
    <t>251 South Eastman Rd, Phone: 903-.</t>
  </si>
  <si>
    <t>251 S Eastman Rd</t>
  </si>
  <si>
    <t>Longview, TX  75602</t>
  </si>
  <si>
    <t>903-7578211</t>
  </si>
  <si>
    <t>(903) 757-8211</t>
  </si>
  <si>
    <t>251</t>
  </si>
  <si>
    <t>Texas Lehigh Cement Co.</t>
  </si>
  <si>
    <t>701 Cement Plant Road</t>
  </si>
  <si>
    <t>Buda, TX  78610</t>
  </si>
  <si>
    <t>(800) 252-5408</t>
  </si>
  <si>
    <t>701 Cement Plant Road, Phone: nan</t>
  </si>
  <si>
    <t>PO Box 40523</t>
  </si>
  <si>
    <t>+974 4458 5400</t>
  </si>
  <si>
    <t>PO Box 40523,Phone:</t>
  </si>
  <si>
    <t>TG Missouri Corporation</t>
  </si>
  <si>
    <t>2200 Plattin Road</t>
  </si>
  <si>
    <t>Perryville, MO  63775</t>
  </si>
  <si>
    <t>(573) 547-1041</t>
  </si>
  <si>
    <t>2200 Plattin Road, Phone: nan please_</t>
  </si>
  <si>
    <t>(860) 442-5349</t>
  </si>
  <si>
    <t>The Bowlin, - Shreveport</t>
  </si>
  <si>
    <t>The Carlstar Group</t>
  </si>
  <si>
    <t>CLINTON, TN 37716-</t>
  </si>
  <si>
    <t>520 JD Yarnell Industrial, Phone: nan</t>
  </si>
  <si>
    <t>The City of Tuscaloosa - DOT</t>
  </si>
  <si>
    <t>(205) 248-5380</t>
  </si>
  <si>
    <t>1000 28TH Avenue; Phone: nan</t>
  </si>
  <si>
    <t>The Macton- Oxford</t>
  </si>
  <si>
    <t>(330) 259-8555</t>
  </si>
  <si>
    <t>(575) 887-2888</t>
  </si>
  <si>
    <t>The Monarch Cement</t>
  </si>
  <si>
    <t>449 1200 St</t>
  </si>
  <si>
    <t>Humboldt, KS  66748</t>
  </si>
  <si>
    <t>(620) 473-2222</t>
  </si>
  <si>
    <t>449 1200 St; Phone: nan please</t>
  </si>
  <si>
    <t>(864) 949-6899</t>
  </si>
  <si>
    <t>(309) 343-0146</t>
  </si>
  <si>
    <t>The Teaford</t>
  </si>
  <si>
    <t>2000 McFarland /400 Blvd</t>
  </si>
  <si>
    <t>2000 McFarland /400 Blvd, Phone: 770-475-5250</t>
  </si>
  <si>
    <t>The Thames Shipyard &amp; Repair Co Inc</t>
  </si>
  <si>
    <t>50 Farnsworth St</t>
  </si>
  <si>
    <t>New London, CT  06320-4104</t>
  </si>
  <si>
    <t>50 Farnsworth St, Phone:</t>
  </si>
  <si>
    <t>Thermal - Murrysville</t>
  </si>
  <si>
    <t>(724) 325-6100</t>
  </si>
  <si>
    <t>221 Weaaver St</t>
  </si>
  <si>
    <t>(620) 343-2308</t>
  </si>
  <si>
    <t>221 Weaaver St, Phone: 620-343-2308 please</t>
  </si>
  <si>
    <t>(910) 944-3636</t>
  </si>
  <si>
    <t>5665 Atlanta HwySuite 102B-225</t>
  </si>
  <si>
    <t>Alpharetta, Ga30004</t>
  </si>
  <si>
    <t>5665 Atlanta HwySuite</t>
  </si>
  <si>
    <t>(315) 697-8410</t>
  </si>
  <si>
    <t>12805 E31st Street</t>
  </si>
  <si>
    <t>Tulsa, OK74146</t>
  </si>
  <si>
    <t>(918) 663-7580</t>
  </si>
  <si>
    <t>12805 E31st Street; Phone: nan please respo_</t>
  </si>
  <si>
    <t>(618) 327-4131</t>
  </si>
  <si>
    <t>(336) 249-0153</t>
  </si>
  <si>
    <t>Thomasville Lumber</t>
  </si>
  <si>
    <t>4922 Highway 5</t>
  </si>
  <si>
    <t>334-636-9622</t>
  </si>
  <si>
    <t>4922 Highway 5,Phone: 334-636-962_</t>
  </si>
  <si>
    <t>(208) 838-2200</t>
  </si>
  <si>
    <t>(724) 776-7000</t>
  </si>
  <si>
    <t>nan; Phone: na.</t>
  </si>
  <si>
    <t>Thunderbird Metals</t>
  </si>
  <si>
    <t>235 Riverbend Rd</t>
  </si>
  <si>
    <t>Graham, NC  27253</t>
  </si>
  <si>
    <t>(743) 205-1900</t>
  </si>
  <si>
    <t>235 Riverbend Rd, Phone: nan please</t>
  </si>
  <si>
    <t>Thunderbird Molding</t>
  </si>
  <si>
    <t>7205 Cessna Drive</t>
  </si>
  <si>
    <t>Greensboro, NC  27409</t>
  </si>
  <si>
    <t>(336) 668-3636</t>
  </si>
  <si>
    <t>7205 Cessna Drive; Phone: nan pleas_</t>
  </si>
  <si>
    <t>251-289- .</t>
  </si>
  <si>
    <t>6450 Trippel Road, Phone: 251-289- .</t>
  </si>
  <si>
    <t>(260) 622-7900</t>
  </si>
  <si>
    <t>1200 Baker DR/Tool Crib, Phone: nan please</t>
  </si>
  <si>
    <t>Tiaaw Hydraulic Repair and Service</t>
  </si>
  <si>
    <t>1848 Lone Star Rd  Unit 208</t>
  </si>
  <si>
    <t>(682) 802-2755</t>
  </si>
  <si>
    <t>1848 Lone Star Rd Unit 208,</t>
  </si>
  <si>
    <t>568 Shore Airport Rd; Phone: nan please</t>
  </si>
  <si>
    <t>(229) 382-7330</t>
  </si>
  <si>
    <t>Tiger MFG - Lee's Summit</t>
  </si>
  <si>
    <t>100 SWScherer Road</t>
  </si>
  <si>
    <t>100 SWScherer Road, Phone: nan</t>
  </si>
  <si>
    <t>Timber Automation - Baxley</t>
  </si>
  <si>
    <t>419 Frost Ind Blvd</t>
  </si>
  <si>
    <t>Baxley, GA 31513</t>
  </si>
  <si>
    <t>(912) 366-9848</t>
  </si>
  <si>
    <t>419 Frost Ind Blvd, Phone: 912-36_</t>
  </si>
  <si>
    <t>(501) 844-4260</t>
  </si>
  <si>
    <t>314 Reynolds Road #31, Phone:</t>
  </si>
  <si>
    <t>(503) 691-0162</t>
  </si>
  <si>
    <t>Timber Producers - Selma</t>
  </si>
  <si>
    <t>127 Selma Mill Loop</t>
  </si>
  <si>
    <t>Tillar, AR  71670-9414</t>
  </si>
  <si>
    <t>127 Selma Mill Loop; Phone: nan</t>
  </si>
  <si>
    <t>(906) 452-6221</t>
  </si>
  <si>
    <t>Timberline Fluid Power</t>
  </si>
  <si>
    <t>12807 Capricorn Drive; Phone: 281 -_</t>
  </si>
  <si>
    <t>5829 West Sam Houston Parkway</t>
  </si>
  <si>
    <t>5700 Valley RdTS-106-F</t>
  </si>
  <si>
    <t>(205) 783-4150</t>
  </si>
  <si>
    <t>5700</t>
  </si>
  <si>
    <t>Tingley Rubber - SPlainfield</t>
  </si>
  <si>
    <t>SPlainfield,NY 7080</t>
  </si>
  <si>
    <t>(908) 757-7474</t>
  </si>
  <si>
    <t>TITAN</t>
  </si>
  <si>
    <t>9900</t>
  </si>
  <si>
    <t>Titan Tire- Des Moines</t>
  </si>
  <si>
    <t>Titan Wheel International</t>
  </si>
  <si>
    <t>2701 Spruce Street</t>
  </si>
  <si>
    <t>(217) 228-6011</t>
  </si>
  <si>
    <t>2701 Spruce Street; Phone: nan pleas_</t>
  </si>
  <si>
    <t>Titeflex- Springfield</t>
  </si>
  <si>
    <t>+1-815-886-</t>
  </si>
  <si>
    <t>6203-6207 Jim Snow Way PO Box 22847</t>
  </si>
  <si>
    <t>6203-6207 Jim Snow Way PO Box</t>
  </si>
  <si>
    <t>Tlc Polyform - Phoenix</t>
  </si>
  <si>
    <t>(602) 269-.</t>
  </si>
  <si>
    <t>3935 W Adams St, Phone: (602) 269-.</t>
  </si>
  <si>
    <t>TM Engineering</t>
  </si>
  <si>
    <t>6501 River Farm Dr</t>
  </si>
  <si>
    <t>6501 River Farm Dr; Phone: 314-846-3801</t>
  </si>
  <si>
    <t>TMR - Fort Myers</t>
  </si>
  <si>
    <t>3550 Old Metro Parkway</t>
  </si>
  <si>
    <t>Fort Myers, FL  33916</t>
  </si>
  <si>
    <t>(239) 677-3346</t>
  </si>
  <si>
    <t>3550 Old Metro Parkway; Phone=</t>
  </si>
  <si>
    <t>(800) 835-3357</t>
  </si>
  <si>
    <t>TNT Crust</t>
  </si>
  <si>
    <t>(636) 242-5250</t>
  </si>
  <si>
    <t>3850 Millstone Parkway, Phone: nan please respond</t>
  </si>
  <si>
    <t>(870) 765-2211</t>
  </si>
  <si>
    <t>1204 Pilgrim Rd</t>
  </si>
  <si>
    <t>Plymouth WI 53073</t>
  </si>
  <si>
    <t>(920) 458-8008</t>
  </si>
  <si>
    <t>1204 Pilgrim Rd,</t>
  </si>
  <si>
    <t>(203) 281-6790</t>
  </si>
  <si>
    <t>Tone Brothers- Ankeny</t>
  </si>
  <si>
    <t>2301 SETone'S Drive</t>
  </si>
  <si>
    <t>(515) 965-2711</t>
  </si>
  <si>
    <t>2301 SETone'S Drive,</t>
  </si>
  <si>
    <t>2305 Missouri Street, Phone: (256)</t>
  </si>
  <si>
    <t>Tootsie Roll - Chicago</t>
  </si>
  <si>
    <t>(773) 838-3400</t>
  </si>
  <si>
    <t>Topre America</t>
  </si>
  <si>
    <t>Joe</t>
  </si>
  <si>
    <t>1580 County Rd 222, Phone: 256-735-2600</t>
  </si>
  <si>
    <t>Toray Composite</t>
  </si>
  <si>
    <t>2030 AL-20</t>
  </si>
  <si>
    <t>(256) 260-2626</t>
  </si>
  <si>
    <t>2030 AL-2O, Phone: nan please respond with</t>
  </si>
  <si>
    <t>Torrington, The - Honea Path</t>
  </si>
  <si>
    <t>(864) 369-6262</t>
  </si>
  <si>
    <t>4612 Commercial</t>
  </si>
  <si>
    <t>TOTAL MFG</t>
  </si>
  <si>
    <t>7777 STCLAIR AVE</t>
  </si>
  <si>
    <t>(440) 205-9700</t>
  </si>
  <si>
    <t>7777 STCLAIR AVE, Phone: nan please respond</t>
  </si>
  <si>
    <t>(231) 946-1032</t>
  </si>
  <si>
    <t>Townley Industrial Products</t>
  </si>
  <si>
    <t>10333 SE 110th Avenue</t>
  </si>
  <si>
    <t>Ocala, FL 34472</t>
  </si>
  <si>
    <t>Ron</t>
  </si>
  <si>
    <t>heavy-duty slurry pumps and</t>
  </si>
  <si>
    <t>10551 SE 11Oth Street Road; Candler; FL 32111</t>
  </si>
  <si>
    <t>Townley MFG</t>
  </si>
  <si>
    <t>10551 SE</t>
  </si>
  <si>
    <t>Townley MFG - Eldorado</t>
  </si>
  <si>
    <t>Manufactures mining equipment</t>
  </si>
  <si>
    <t>(618) 273-8271</t>
  </si>
  <si>
    <t>Tpi Powder Metallurg - StCharles</t>
  </si>
  <si>
    <t>StCharles,MI 48655</t>
  </si>
  <si>
    <t>Powder metal services provider</t>
  </si>
  <si>
    <t>(989) 865-9921</t>
  </si>
  <si>
    <t>12030 Beaver Rd, St. Charles, MI 48655</t>
  </si>
  <si>
    <t>TPR Federal-Mogul Tenness</t>
  </si>
  <si>
    <t>201 Helton Dr</t>
  </si>
  <si>
    <t>Lawrenceburg, TN  38464-2255</t>
  </si>
  <si>
    <t>(931) 762-3321</t>
  </si>
  <si>
    <t>201 Helton Dr; Phone: nan please</t>
  </si>
  <si>
    <t>Trace Die</t>
  </si>
  <si>
    <t>445 Plum Springs Loop</t>
  </si>
  <si>
    <t>Bowling Green, KY  42101-9180</t>
  </si>
  <si>
    <t>(270) 781-0049</t>
  </si>
  <si>
    <t>445 Plum Springs Loop, Phone: nan please respond</t>
  </si>
  <si>
    <t>RENAMED: United Rentals</t>
  </si>
  <si>
    <t>United Rentals</t>
  </si>
  <si>
    <t>(903) 730-4000</t>
  </si>
  <si>
    <t>6200 Troup HWY, Phone: 903-581-3047 please</t>
  </si>
  <si>
    <t>Administratively dissolved</t>
  </si>
  <si>
    <t>13277 NW 11th Ter; Miami, FL 33182</t>
  </si>
  <si>
    <t>Transcontinental TVL</t>
  </si>
  <si>
    <t>1308 Blair St</t>
  </si>
  <si>
    <t>Thomasville, NC  27360-3249</t>
  </si>
  <si>
    <t>(336) 476-3131</t>
  </si>
  <si>
    <t>1308 Blair St; Phone: nan please</t>
  </si>
  <si>
    <t>Trans-Cycle Ind</t>
  </si>
  <si>
    <t>101 Parkway East; Phone: 205-338-9997</t>
  </si>
  <si>
    <t>TransducersDirectCom - Cincinnati</t>
  </si>
  <si>
    <t>1120 Cottonwood Dr</t>
  </si>
  <si>
    <t>1120 Cottonwood Dr; Phone:_</t>
  </si>
  <si>
    <t>Industrial supply house closed</t>
  </si>
  <si>
    <t>22601</t>
  </si>
  <si>
    <t>Transportation Tech Center</t>
  </si>
  <si>
    <t>55500 DOT Road</t>
  </si>
  <si>
    <t>Andrew Hawk</t>
  </si>
  <si>
    <t>(719) 842-7150</t>
  </si>
  <si>
    <t>55500 DOT Road;</t>
  </si>
  <si>
    <t>Formally Applied Controls Equip</t>
  </si>
  <si>
    <t>Travis Lumber</t>
  </si>
  <si>
    <t>Hwy71 South</t>
  </si>
  <si>
    <t>TRC Hyd - Dartmouth</t>
  </si>
  <si>
    <t>TRC Hyd - Dieppe</t>
  </si>
  <si>
    <t>TRC Hyd - Inman</t>
  </si>
  <si>
    <t>9 Nesbitt Dr</t>
  </si>
  <si>
    <t>Inman, SC 29349</t>
  </si>
  <si>
    <t>TRC Hyd - Mount Pearl</t>
  </si>
  <si>
    <t>Trelleborg, Ysh- Sandusky</t>
  </si>
  <si>
    <t>Tri City Extrusion</t>
  </si>
  <si>
    <t>136 Lamar St. / Plant 2</t>
  </si>
  <si>
    <t>Bristol, TN  37620</t>
  </si>
  <si>
    <t>Tri Star Molding</t>
  </si>
  <si>
    <t>51540 M-40 North</t>
  </si>
  <si>
    <t>Marcellus, MI  49067</t>
  </si>
  <si>
    <t>Tri State Hyd - Charleroi</t>
  </si>
  <si>
    <t>Tri State Hyd - Decatur</t>
  </si>
  <si>
    <t>Triangle Tool LLC</t>
  </si>
  <si>
    <t>8609 West Port Avenue</t>
  </si>
  <si>
    <t>Milwaukee, WI  53224</t>
  </si>
  <si>
    <t>TriContinent Scientific</t>
  </si>
  <si>
    <t>Trinity Tugs</t>
  </si>
  <si>
    <t>111 West 194th Street</t>
  </si>
  <si>
    <t>Galliano, LA  70354</t>
  </si>
  <si>
    <t>985-315-2887</t>
  </si>
  <si>
    <t>1119 CALHOUN ST</t>
  </si>
  <si>
    <t>Tri-State Hyd - Chattanooga</t>
  </si>
  <si>
    <t>True MFG - O'Fallon</t>
  </si>
  <si>
    <t>4902 NMaryvale Ave</t>
  </si>
  <si>
    <t>TUCKER MFG</t>
  </si>
  <si>
    <t>Tuftcooration - Chattanooga</t>
  </si>
  <si>
    <t>18155 120th Ave</t>
  </si>
  <si>
    <t>616-837-9428</t>
  </si>
  <si>
    <t>Nancy Hatfield</t>
  </si>
  <si>
    <t>Turbine Engine Components Tech DBA Pursuit Aerospace</t>
  </si>
  <si>
    <t>8273 Halsey Rd</t>
  </si>
  <si>
    <t>Whitesboro, NY  13492-3803</t>
  </si>
  <si>
    <t>Twin Power- Wichita</t>
  </si>
  <si>
    <t>Tyson Foods - Cullman</t>
  </si>
  <si>
    <t>Tyson Foods - Dakota City</t>
  </si>
  <si>
    <t>1131 DAKOTA AVE. SS #96</t>
  </si>
  <si>
    <t>DAKOTA CITY NE 68731</t>
  </si>
  <si>
    <t>Tyson Foods - Fayetteville</t>
  </si>
  <si>
    <t>2615 S School Ave</t>
  </si>
  <si>
    <t>Fayetteville, AR 72701</t>
  </si>
  <si>
    <t>Tyson Foods - Sanford</t>
  </si>
  <si>
    <t>800 E Main St</t>
  </si>
  <si>
    <t>Sanford,NC 27332-9708</t>
  </si>
  <si>
    <t>Tyson Foods - Springdale</t>
  </si>
  <si>
    <t>600 Berry Street</t>
  </si>
  <si>
    <t>Tyson Foods Tyson Fresh Meats</t>
  </si>
  <si>
    <t>1009 Richland St.</t>
  </si>
  <si>
    <t>Storm Lake, IA  50588</t>
  </si>
  <si>
    <t>Tyson Fresh Meats Inc</t>
  </si>
  <si>
    <t>501 N Elk Run Rd Bldg 2, BLDG 2501</t>
  </si>
  <si>
    <t>Waterloo, IA 50703-9471</t>
  </si>
  <si>
    <t>UBE MACHINERY</t>
  </si>
  <si>
    <t>5700 SState Street</t>
  </si>
  <si>
    <t>UEI</t>
  </si>
  <si>
    <t>2771 West River Dr</t>
  </si>
  <si>
    <t>Ukiah Oxygen</t>
  </si>
  <si>
    <t>3470 North State Street</t>
  </si>
  <si>
    <t>Ukiah , CA  95482</t>
  </si>
  <si>
    <t>Co2 Customer</t>
  </si>
  <si>
    <t>UNI-CRAFT</t>
  </si>
  <si>
    <t>3750 US-23 NORTH</t>
  </si>
  <si>
    <t>ALPENA, MI 49707</t>
  </si>
  <si>
    <t>(989) 354-1375</t>
  </si>
  <si>
    <t>davidho@innovatechsolutionscorpcom</t>
  </si>
  <si>
    <t>Union Carbide- Institute</t>
  </si>
  <si>
    <t>Uniroyal Goodrich Tire - Scottsville</t>
  </si>
  <si>
    <t>Uniroyal Goodrich Tire - Tuscaloosa</t>
  </si>
  <si>
    <t>United Defense LP- Fremont</t>
  </si>
  <si>
    <t>106 Second St</t>
  </si>
  <si>
    <t>Upper Iowa Beef</t>
  </si>
  <si>
    <t>13851 Highway 9</t>
  </si>
  <si>
    <t>Lime Springs, IA  52155-8137</t>
  </si>
  <si>
    <t>UPS Machinery Services</t>
  </si>
  <si>
    <t>806 Seaco Court</t>
  </si>
  <si>
    <t>Deer Park, TX  77536</t>
  </si>
  <si>
    <t>281-479-6000</t>
  </si>
  <si>
    <t>US Alliance Coosa - Westover</t>
  </si>
  <si>
    <t>US Battery Manufacturing Co.</t>
  </si>
  <si>
    <t>1675 Sampson Ave.</t>
  </si>
  <si>
    <t>Corona, CA  92879</t>
  </si>
  <si>
    <t>800-695-0945</t>
  </si>
  <si>
    <t>US Gypsum - Sperry</t>
  </si>
  <si>
    <t>US Gypsum - Sweetwater</t>
  </si>
  <si>
    <t>1 USG Rd</t>
  </si>
  <si>
    <t>Sweetwater, TX 79556-2880</t>
  </si>
  <si>
    <t>US Hyd - Manchester</t>
  </si>
  <si>
    <t>2620 Melon Street</t>
  </si>
  <si>
    <t>Florence, SC  29501</t>
  </si>
  <si>
    <t>843-656-0167</t>
  </si>
  <si>
    <t>US Pipe - Bessemer</t>
  </si>
  <si>
    <t>2101 18th Ave North</t>
  </si>
  <si>
    <t>Paul</t>
  </si>
  <si>
    <t>US Steel- Gary</t>
  </si>
  <si>
    <t>USACE - Selma</t>
  </si>
  <si>
    <t>201 NTHIRD AVE</t>
  </si>
  <si>
    <t>USCG SFLC</t>
  </si>
  <si>
    <t>2401 Hawkins Point Road RM BLDG 88</t>
  </si>
  <si>
    <t>Baltimore, MD 21226</t>
  </si>
  <si>
    <t>USNR - Baxley</t>
  </si>
  <si>
    <t>419 Frost Industrial Blvd</t>
  </si>
  <si>
    <t>Baxley, GA  31513</t>
  </si>
  <si>
    <t>6630 Broadway Avenue</t>
  </si>
  <si>
    <t>JACKSONVILLE, FL 32254</t>
  </si>
  <si>
    <t>558 Robinson Rd</t>
  </si>
  <si>
    <t>Motion- OR22 Customer</t>
  </si>
  <si>
    <t>415 Gus Hipp Blvd</t>
  </si>
  <si>
    <t>Rockledge, FL32955</t>
  </si>
  <si>
    <t>VAE Nortrak</t>
  </si>
  <si>
    <t>3930 Valley EInd Drive</t>
  </si>
  <si>
    <t>2705 SState St</t>
  </si>
  <si>
    <t>VALLEN</t>
  </si>
  <si>
    <t>6200 TROUP HWY</t>
  </si>
  <si>
    <t>TYLER, TX 75707</t>
  </si>
  <si>
    <t>903-730-4691</t>
  </si>
  <si>
    <t xml:space="preserve">HayleeKishpaugh@vallencom </t>
  </si>
  <si>
    <t>Vallen / Albemarle</t>
  </si>
  <si>
    <t>2270 Highway 79 S</t>
  </si>
  <si>
    <t>Magnolia, AR 71753</t>
  </si>
  <si>
    <t>Vallen Distribution</t>
  </si>
  <si>
    <t>Alpharetta, GA  30023</t>
  </si>
  <si>
    <t>VALLEN Integrated Supply</t>
  </si>
  <si>
    <t>333 Earle Ovington Blvd, Suite 608</t>
  </si>
  <si>
    <t>Uniondale, NY  11553</t>
  </si>
  <si>
    <t>VALLEY ASPHALT</t>
  </si>
  <si>
    <t>250 DYE MILL RD</t>
  </si>
  <si>
    <t xml:space="preserve">Valley Corporation </t>
  </si>
  <si>
    <t>28001 Ida Circle</t>
  </si>
  <si>
    <t>Valey, NE  68064-8013</t>
  </si>
  <si>
    <t>26 Pinder Rd</t>
  </si>
  <si>
    <t>3899 Hwy31 North</t>
  </si>
  <si>
    <t>Valmont - Mccook</t>
  </si>
  <si>
    <t>Valmont - Valley</t>
  </si>
  <si>
    <t>Valmont Ind</t>
  </si>
  <si>
    <t>Varn Wood Prod- Hoboken</t>
  </si>
  <si>
    <t>107 NoBrantley St</t>
  </si>
  <si>
    <t>Vast Mold &amp; Tool</t>
  </si>
  <si>
    <t>7154 Industrial Park Blvd</t>
  </si>
  <si>
    <t>Velan Valve- Williston</t>
  </si>
  <si>
    <t>Versa - MtSterling</t>
  </si>
  <si>
    <t>MtSterling,OH 431</t>
  </si>
  <si>
    <t>Versabar Inc</t>
  </si>
  <si>
    <t>11903 FM 529 Road</t>
  </si>
  <si>
    <t>Vertex MFG</t>
  </si>
  <si>
    <t>Vi Plastics- Springfield</t>
  </si>
  <si>
    <t>Vibracoustic Adhesive</t>
  </si>
  <si>
    <t>3564 US Hwy 60 East</t>
  </si>
  <si>
    <t>Morganfield, KY  42437</t>
  </si>
  <si>
    <t>Vicksburg Marine</t>
  </si>
  <si>
    <t>4477 Hwy61 South</t>
  </si>
  <si>
    <t>Virco MFG - Torrance</t>
  </si>
  <si>
    <t>Vonore Fiber Products LLC</t>
  </si>
  <si>
    <t>200 Industrial Park</t>
  </si>
  <si>
    <t>Vonore, TN  37885-2444</t>
  </si>
  <si>
    <t>Voss Automotive - FtWayne</t>
  </si>
  <si>
    <t>FtWayne,IN 46825</t>
  </si>
  <si>
    <t>Vulcan Materials Co - Calera Quarry</t>
  </si>
  <si>
    <t>1614 Highway 84</t>
  </si>
  <si>
    <t>Calera, AL  35040-5362</t>
  </si>
  <si>
    <t>Vulcan-Calera Quarry</t>
  </si>
  <si>
    <t>Vulcan-Ensley Machine Shop</t>
  </si>
  <si>
    <t>1000 Avenue E</t>
  </si>
  <si>
    <t>Birmingham, AL35218</t>
  </si>
  <si>
    <t>Vulcraft - StJoe</t>
  </si>
  <si>
    <t>6610 Co Rd 60</t>
  </si>
  <si>
    <t>StJoe, IN  46785</t>
  </si>
  <si>
    <t>Wa Whitney MfgCo - Rockford</t>
  </si>
  <si>
    <t>Wabash National- Lafayette</t>
  </si>
  <si>
    <t>3000 Main St Suite 2</t>
  </si>
  <si>
    <t>Lafayette,IN 47904</t>
  </si>
  <si>
    <t>Walz &amp; Krenzer</t>
  </si>
  <si>
    <t>91 Willenbrock Road</t>
  </si>
  <si>
    <t>Oxford, CT 06478</t>
  </si>
  <si>
    <t>203-267-5712</t>
  </si>
  <si>
    <t>Ward - Monessen</t>
  </si>
  <si>
    <t>Warren Timbers Company LLC</t>
  </si>
  <si>
    <t>146 US Highway 63 S</t>
  </si>
  <si>
    <t>Warren, AR  71671-9300</t>
  </si>
  <si>
    <t>Warsaw Machinery</t>
  </si>
  <si>
    <t>610 SDetroit St</t>
  </si>
  <si>
    <t>Warsaw, IN  46580</t>
  </si>
  <si>
    <t>Waste Processing Equip - Rainsville</t>
  </si>
  <si>
    <t>Waste Technology- Jacksonville</t>
  </si>
  <si>
    <t>Waterous</t>
  </si>
  <si>
    <t>125 Hardman Ave South</t>
  </si>
  <si>
    <t>South StPaul, MN 55075</t>
  </si>
  <si>
    <t>651-450-5088</t>
  </si>
  <si>
    <t>3312 Lakeshore Dr</t>
  </si>
  <si>
    <t>Waupaca Foundry - Tell City</t>
  </si>
  <si>
    <t>9856 State Hwy 66   Plant 5</t>
  </si>
  <si>
    <t>Tell City, IN 47586</t>
  </si>
  <si>
    <t>WDC ACQUISITION</t>
  </si>
  <si>
    <t>1746 COMMERCE</t>
  </si>
  <si>
    <t>WEG Transformers USA Inc</t>
  </si>
  <si>
    <t>1 Pauwels Dr.</t>
  </si>
  <si>
    <t>Washington, MO  63090-1134</t>
  </si>
  <si>
    <t>Weimer Bearing - Eau Claire</t>
  </si>
  <si>
    <t>1210 Lowater Road</t>
  </si>
  <si>
    <t>Weimer Bearing &amp; Transmission, Inc</t>
  </si>
  <si>
    <t>N112 W13131 Mequon Road</t>
  </si>
  <si>
    <t>Germantown, WI 53022</t>
  </si>
  <si>
    <t>Welded Tubes</t>
  </si>
  <si>
    <t>135 Penniman Rd</t>
  </si>
  <si>
    <t>Orwell, OH  44076-9535</t>
  </si>
  <si>
    <t>Weldrite Closures</t>
  </si>
  <si>
    <t xml:space="preserve">WELEXORPORATED </t>
  </si>
  <si>
    <t>Welles MFG - Northvale</t>
  </si>
  <si>
    <t>WESCO Integrated Supply</t>
  </si>
  <si>
    <t>West Coast Industrial - Pilot Rock</t>
  </si>
  <si>
    <t>West Fraser - Dudley</t>
  </si>
  <si>
    <t>3780 HWY #80 West</t>
  </si>
  <si>
    <t>Dudley GA 31022</t>
  </si>
  <si>
    <t>478-772-5077</t>
  </si>
  <si>
    <t>George</t>
  </si>
  <si>
    <t>West Fraser - Henderson</t>
  </si>
  <si>
    <t>609 Industrial Dr.</t>
  </si>
  <si>
    <t>Henderson, TX  75652-5527</t>
  </si>
  <si>
    <t>West Fraser - Jacksonville</t>
  </si>
  <si>
    <t>109 Halsema Road S</t>
  </si>
  <si>
    <t>West Fraser - Joyce</t>
  </si>
  <si>
    <t>West Fraser - Lake Butler</t>
  </si>
  <si>
    <t>9022 SE 186th Place</t>
  </si>
  <si>
    <t>Lake Butler, FL 32054</t>
  </si>
  <si>
    <t>904-290-6202</t>
  </si>
  <si>
    <t>James Redmond</t>
  </si>
  <si>
    <t>West Fraser - Leola</t>
  </si>
  <si>
    <t>1400 Main Street</t>
  </si>
  <si>
    <t>Leola, AR 72084</t>
  </si>
  <si>
    <t>West Fraser - Maxville</t>
  </si>
  <si>
    <t>6640 County Road CR218</t>
  </si>
  <si>
    <t>Maxville, FL 32234</t>
  </si>
  <si>
    <t>904-479-4705</t>
  </si>
  <si>
    <t>Justin Birdsall</t>
  </si>
  <si>
    <t>West Fraser - Perry</t>
  </si>
  <si>
    <t>1509 South Byron Butler PWY</t>
  </si>
  <si>
    <t>Perry, FL 32348</t>
  </si>
  <si>
    <t>850-601-2573</t>
  </si>
  <si>
    <t>West Fraser - Russellville Ar</t>
  </si>
  <si>
    <t>2401 S Arkansas Ave</t>
  </si>
  <si>
    <t>Russellville, AR 72802</t>
  </si>
  <si>
    <t>(479) 968-4986</t>
  </si>
  <si>
    <t>Westcoast Cylinders</t>
  </si>
  <si>
    <t>2803 NORTH 7THAVE</t>
  </si>
  <si>
    <t>Weston - New Orleans</t>
  </si>
  <si>
    <t>WestRock - Hodge</t>
  </si>
  <si>
    <t>100 Mill Street</t>
  </si>
  <si>
    <t>Hodge, LA 71247</t>
  </si>
  <si>
    <t>WestRock - North Charleston</t>
  </si>
  <si>
    <t>5600 Virginia Avenue</t>
  </si>
  <si>
    <t>North Charleston, SC  29406</t>
  </si>
  <si>
    <t>WestRock - Panama City</t>
  </si>
  <si>
    <t>One S Everitt Ave</t>
  </si>
  <si>
    <t>WestRock - Roanoke Rapids</t>
  </si>
  <si>
    <t>100 Gaston Rd</t>
  </si>
  <si>
    <t>Roanoke Rapids, NC  27870</t>
  </si>
  <si>
    <t>WestRock - Springfield</t>
  </si>
  <si>
    <t>320 Parker St</t>
  </si>
  <si>
    <t>Springfield, MA  01129-1026</t>
  </si>
  <si>
    <t>WestRock - Stevenson</t>
  </si>
  <si>
    <t>Wet &amp; Wild Emerald Pointe</t>
  </si>
  <si>
    <t>3910 South Holden Rd.</t>
  </si>
  <si>
    <t>Wey Valve</t>
  </si>
  <si>
    <t>Shannon, MS 38868</t>
  </si>
  <si>
    <t>662-963-2020</t>
  </si>
  <si>
    <t>Weyerhaeuser - Bruce</t>
  </si>
  <si>
    <t>Bruce,MS 38915</t>
  </si>
  <si>
    <t>Weyerhaeuser - Dierks</t>
  </si>
  <si>
    <t>13051 Hwy 278 N</t>
  </si>
  <si>
    <t>Dierks, AR 71833</t>
  </si>
  <si>
    <t>Weyerhaeuser - Dodson</t>
  </si>
  <si>
    <t>706 US Hwy167</t>
  </si>
  <si>
    <t>Weyerhaeuser - Elkin</t>
  </si>
  <si>
    <t>Weyerhaeuser - Idabel</t>
  </si>
  <si>
    <t>5500 NW Texas St.</t>
  </si>
  <si>
    <t>Idabel, OK 74745-2500</t>
  </si>
  <si>
    <t>Weyerhaeuser - Little Rock</t>
  </si>
  <si>
    <t>Weyerhaeuser - Magnolia</t>
  </si>
  <si>
    <t>2056 JESSE HALL MEM RD</t>
  </si>
  <si>
    <t>601-783-4006</t>
  </si>
  <si>
    <t>Yvette Holmes</t>
  </si>
  <si>
    <t>Weyerhaeuser - Pine Hill</t>
  </si>
  <si>
    <t>7616 Hwy10 West</t>
  </si>
  <si>
    <t>Weyerhauser - North Bend</t>
  </si>
  <si>
    <t>Weyerhauser - Zwolle</t>
  </si>
  <si>
    <t>600 S Main Street</t>
  </si>
  <si>
    <t>Zwolle, LA 71486</t>
  </si>
  <si>
    <t>WGBenjey - Alpena</t>
  </si>
  <si>
    <t>Wheatland Tube LLC</t>
  </si>
  <si>
    <t>3900 Pinson Valley Pkwy</t>
  </si>
  <si>
    <t>Birmingham, AL  35217-1856</t>
  </si>
  <si>
    <t>Wheel Systems</t>
  </si>
  <si>
    <t>4220 15th Street East</t>
  </si>
  <si>
    <t>Bradenton, FL 34203</t>
  </si>
  <si>
    <t>920-313-9203</t>
  </si>
  <si>
    <t>Whirlpool - Lavergne</t>
  </si>
  <si>
    <t>215 Park AveWest</t>
  </si>
  <si>
    <t>Wilco Molding</t>
  </si>
  <si>
    <t>2435 Rock Island Blvd</t>
  </si>
  <si>
    <t>Wilkes Lumber</t>
  </si>
  <si>
    <t>371 Harris Road</t>
  </si>
  <si>
    <t>Washington, GA 30673</t>
  </si>
  <si>
    <t>WILKES-BARRE MATERIAL</t>
  </si>
  <si>
    <t>Williams Equip - Olathe</t>
  </si>
  <si>
    <t>Williams Equip - Springfield</t>
  </si>
  <si>
    <t>221 ESunshine Road Suite G</t>
  </si>
  <si>
    <t>Williams Welding</t>
  </si>
  <si>
    <t>1197 S 6th Street</t>
  </si>
  <si>
    <t>Willman - Cedar Grove</t>
  </si>
  <si>
    <t>338 South Main Street</t>
  </si>
  <si>
    <t>Cedar Grove,WI 53013</t>
  </si>
  <si>
    <t>704 S Wilson Dam Road</t>
  </si>
  <si>
    <t>Florence, AL 35630</t>
  </si>
  <si>
    <t>256-5223</t>
  </si>
  <si>
    <t>Wolverine Tube</t>
  </si>
  <si>
    <t>2100 Market Street NE</t>
  </si>
  <si>
    <t>Decatur, AL 35609</t>
  </si>
  <si>
    <t>Wolverine Tube - Ardmore</t>
  </si>
  <si>
    <t>30500 Railroad StW</t>
  </si>
  <si>
    <t>Ardmore, TN 38449</t>
  </si>
  <si>
    <t>256-653-1606</t>
  </si>
  <si>
    <t>1417 Forestdale Blvd</t>
  </si>
  <si>
    <t>Woodland Pulp LLC</t>
  </si>
  <si>
    <t>144 Main St</t>
  </si>
  <si>
    <t>Baileyville, ME 04694</t>
  </si>
  <si>
    <t>WPI South</t>
  </si>
  <si>
    <t>2601 McDonald Ave</t>
  </si>
  <si>
    <t>Ruston, LA 71270</t>
  </si>
  <si>
    <t>228 Industrial Drive</t>
  </si>
  <si>
    <t>WYKO Tire Technology</t>
  </si>
  <si>
    <t>6435 Highway 411 S</t>
  </si>
  <si>
    <t>Greenback, TN  37742-4476</t>
  </si>
  <si>
    <t>Ferguson Industrial â€“ Midsouth District</t>
  </si>
  <si>
    <t>AHP - Parker Store Bowling Green</t>
  </si>
  <si>
    <t>159 Ambassador Drive</t>
  </si>
  <si>
    <t>Bowling Green, KY  42101</t>
  </si>
  <si>
    <t>Aluminum Dynamics, LLC</t>
  </si>
  <si>
    <t>American Cementing - Odessa</t>
  </si>
  <si>
    <t>6165 W Murphy St</t>
  </si>
  <si>
    <t>Odessa, TX  79763-7511</t>
  </si>
  <si>
    <t>American Hardwood - Augusta Lumber</t>
  </si>
  <si>
    <t>4307 Plank Rd</t>
  </si>
  <si>
    <t>North Garden, VA  22959-2045</t>
  </si>
  <si>
    <t>Andritz - Starkville</t>
  </si>
  <si>
    <t>401 Hwy 12 West</t>
  </si>
  <si>
    <t>Starkville, MS  39759</t>
  </si>
  <si>
    <t>Applied Industrial Tech - Greenville MS</t>
  </si>
  <si>
    <t>257 S Walnut St</t>
  </si>
  <si>
    <t>Greenvilee, MS  38701-4004</t>
  </si>
  <si>
    <t>Artcobell Corp.</t>
  </si>
  <si>
    <t>3016 Center St.</t>
  </si>
  <si>
    <t>Temple, TX  76504</t>
  </si>
  <si>
    <t>BAR-S-FOODS CO - Altus</t>
  </si>
  <si>
    <t>500 S. Bar S Blvd</t>
  </si>
  <si>
    <t>Altus, OK  73521-5876</t>
  </si>
  <si>
    <t>Clarksville Tool - Clarksville</t>
  </si>
  <si>
    <t>601 Kraft St Ste 105</t>
  </si>
  <si>
    <t>Clarksville, TN  37040-3059</t>
  </si>
  <si>
    <t>Clearwater Paper Corp</t>
  </si>
  <si>
    <t>5082 Hwy 4 N</t>
  </si>
  <si>
    <t>Arkansas City, AR 71630</t>
  </si>
  <si>
    <t>Detweiler Forest Products</t>
  </si>
  <si>
    <t>10476 Co Rd 300S</t>
  </si>
  <si>
    <t xml:space="preserve"> Rockville, IN 47872</t>
  </si>
  <si>
    <t>12698 N US 131</t>
  </si>
  <si>
    <t>G H Tool &amp; Mold Inc</t>
  </si>
  <si>
    <t>Gateway Energy &amp; Coke Co.</t>
  </si>
  <si>
    <t>2585 Edwardsville Rd.</t>
  </si>
  <si>
    <t>Granite City, IL  62040</t>
  </si>
  <si>
    <t>Gildan Yarns LLC</t>
  </si>
  <si>
    <t>820 NC Highway 211 W</t>
  </si>
  <si>
    <t>Clarkton, NC 28433-7536</t>
  </si>
  <si>
    <t>Glenn Machine Works</t>
  </si>
  <si>
    <t>734 US-45</t>
  </si>
  <si>
    <t>662-328-4611</t>
  </si>
  <si>
    <t>Hapco/American Flagpole</t>
  </si>
  <si>
    <t>26252 Hillman Hwy</t>
  </si>
  <si>
    <t>Abingdon, VA  24210-7616</t>
  </si>
  <si>
    <t>Hydradyne Hyd - Birmingham</t>
  </si>
  <si>
    <t>25 Commerce Ave Ste 101</t>
  </si>
  <si>
    <t>Hueytown, AL  35023-2858</t>
  </si>
  <si>
    <t>Hydraulic Crane Specialists, Inc</t>
  </si>
  <si>
    <t>International Paper - Prattville</t>
  </si>
  <si>
    <t>100 Jensen Rd</t>
  </si>
  <si>
    <t>Prattvilee, AL  36067</t>
  </si>
  <si>
    <t>Jones Machine &amp; Welding Co, Inc</t>
  </si>
  <si>
    <t>309 Plant Street</t>
  </si>
  <si>
    <t>Oakman, AL  35579</t>
  </si>
  <si>
    <t>Kentucky Aluminum  Processors</t>
  </si>
  <si>
    <t>540 W. Industrial Park Dr.</t>
  </si>
  <si>
    <t>Russellville, KY  42276</t>
  </si>
  <si>
    <t>Land O Lakes - Melrose</t>
  </si>
  <si>
    <t>1000 Kraft Dr SE</t>
  </si>
  <si>
    <t>Melrose, MN  56352-1456</t>
  </si>
  <si>
    <t>Mauser - Mason Plant</t>
  </si>
  <si>
    <t>1229 Castle Dr</t>
  </si>
  <si>
    <t>Mason, OH  45040-9672</t>
  </si>
  <si>
    <t xml:space="preserve">Mississippi Steel Processing </t>
  </si>
  <si>
    <t>400 N Steel Road</t>
  </si>
  <si>
    <t>Motion-ME17 Union</t>
  </si>
  <si>
    <t>437 Sennebec Rd</t>
  </si>
  <si>
    <t>Union, ME 04862</t>
  </si>
  <si>
    <t>Motion-NC12 Kernersville</t>
  </si>
  <si>
    <t>New Enterprise Stone &amp; Lime Co. Wescosville</t>
  </si>
  <si>
    <t>619 Schantz Rd.</t>
  </si>
  <si>
    <t>Allentown, PA  18104</t>
  </si>
  <si>
    <t>Precision Hose &amp; Industrial Supply - Tupelo</t>
  </si>
  <si>
    <t>949 S Green St</t>
  </si>
  <si>
    <t>Tupelo, MS 38804</t>
  </si>
  <si>
    <t>Precision Plating - JIT</t>
  </si>
  <si>
    <t>980 N Pine Hill Rd</t>
  </si>
  <si>
    <t>Profile Products</t>
  </si>
  <si>
    <t>60 Davy Crockett Park Rd</t>
  </si>
  <si>
    <t>Limestone, TN  37681-6028</t>
  </si>
  <si>
    <t>PT Coupling</t>
  </si>
  <si>
    <t>356 Langston Circle / Golden Ind Park</t>
  </si>
  <si>
    <t>Purvis Industries - Nacogdoches</t>
  </si>
  <si>
    <t>1100 Industrial Dr</t>
  </si>
  <si>
    <t>Nacogdoches, TX  75964</t>
  </si>
  <si>
    <t>Quality Machine &amp; Tool</t>
  </si>
  <si>
    <t>600 N. Nance Street</t>
  </si>
  <si>
    <t>Osceola,NE 68651</t>
  </si>
  <si>
    <t>Saturn Materials LLC</t>
  </si>
  <si>
    <t>350 Yorkville Park Square</t>
  </si>
  <si>
    <t>Southern Controls - Montgomery</t>
  </si>
  <si>
    <t>3511 Wetumpka Highway</t>
  </si>
  <si>
    <t>Montgomery, AL  36110</t>
  </si>
  <si>
    <t>Standard Bearings - North Sioux City</t>
  </si>
  <si>
    <t>600 N Derby Lane, Ste 110</t>
  </si>
  <si>
    <t>North Sioux City, SD  57049</t>
  </si>
  <si>
    <t>Swan Surfaces</t>
  </si>
  <si>
    <t>200 Swan Ave</t>
  </si>
  <si>
    <t>Centralia, IL  62801</t>
  </si>
  <si>
    <t>The Servo Group - Alpharetta</t>
  </si>
  <si>
    <t>4040 Nine McFarland Drive, Suite 800</t>
  </si>
  <si>
    <t>Alpharetta, GA  30004</t>
  </si>
  <si>
    <t>Turner Hydraulics</t>
  </si>
  <si>
    <t>1605 Industrial Drive</t>
  </si>
  <si>
    <t>Carlisle, PA  17013</t>
  </si>
  <si>
    <t>Vallen Distribution - Smyrna</t>
  </si>
  <si>
    <t>983 Nissan Dr  Gate 9 Dock 6</t>
  </si>
  <si>
    <t>Smyrna, TN  37167-4405</t>
  </si>
  <si>
    <t>1620 SH 123</t>
  </si>
  <si>
    <t>426 River St; Phone: (517) 631-0400 please</t>
  </si>
  <si>
    <t>9550 Flair Dr #505,Phone:</t>
  </si>
  <si>
    <t>502).</t>
  </si>
  <si>
    <t>2011 N Southport Ave; Phone: (77_</t>
  </si>
  <si>
    <t>(860) 247-</t>
  </si>
  <si>
    <t>140 Huyshope Ave; Phone: (860) 247-</t>
  </si>
  <si>
    <t>300 Centerville Rd #300E, Phone: (40_</t>
  </si>
  <si>
    <t>126 Lester Doss Rd, Phone: 205-590-4298</t>
  </si>
  <si>
    <t>809 E_</t>
  </si>
  <si>
    <t>A&amp;L Hyd - Omaha</t>
  </si>
  <si>
    <t>A&amp;L Hyd - Souix Falls</t>
  </si>
  <si>
    <t>4412 South 87Th Street, Phone: (800).</t>
  </si>
  <si>
    <t>A&amp;T MFG Co - Jeff</t>
  </si>
  <si>
    <t>RENAMED: A&amp;T MFG Co</t>
  </si>
  <si>
    <t>A&amp;T MFG Co</t>
  </si>
  <si>
    <t>A-1 Backhoe&amp;Hauling</t>
  </si>
  <si>
    <t>(817) 589-7101</t>
  </si>
  <si>
    <t>2327 Handley Ederville, Rd,</t>
  </si>
  <si>
    <t>(80.</t>
  </si>
  <si>
    <t>3136 Country Dr; Phone: (80.</t>
  </si>
  <si>
    <t>527 Signal</t>
  </si>
  <si>
    <t>120 PARR STREET, Phone:</t>
  </si>
  <si>
    <t>(706) 673-9663</t>
  </si>
  <si>
    <t>188 Cottonwood Mill Rd, Phone: nan please</t>
  </si>
  <si>
    <t>PO. Box 1899, Phone: (610)</t>
  </si>
  <si>
    <t>RENAMED: Testek Solutions</t>
  </si>
  <si>
    <t>(714) 223-5100</t>
  </si>
  <si>
    <t>3200 Enterprise St</t>
  </si>
  <si>
    <t>Testek Solutions</t>
  </si>
  <si>
    <t>1100 Mckinley Rd, Phone: (419) 394-7840</t>
  </si>
  <si>
    <t>12221 N Houston Rosslyn Rd,</t>
  </si>
  <si>
    <t>3993 Highway 8 E, Phone: (208) 835-3270</t>
  </si>
  <si>
    <t>(931).</t>
  </si>
  <si>
    <t>1424 Higgs Rd, Phone: (931).</t>
  </si>
  <si>
    <t>17717 E Admiral Pl, Phon_</t>
  </si>
  <si>
    <t>405 Commerce_</t>
  </si>
  <si>
    <t>309 McConnell Road, Phone:_</t>
  </si>
  <si>
    <t>211 Seegers Ave; Phone: (847) 69_</t>
  </si>
  <si>
    <t>508-792-</t>
  </si>
  <si>
    <t>92 Gardner Street, Phone: 508-792-</t>
  </si>
  <si>
    <t>(219) 825.</t>
  </si>
  <si>
    <t>219 Us Highway 20,Phone: (219) 825.</t>
  </si>
  <si>
    <t>A-C Valve Inc in</t>
  </si>
  <si>
    <t>Address: 127 Thruway Park Rd</t>
  </si>
  <si>
    <t>Tool company in Gladwin</t>
  </si>
  <si>
    <t>(517) 426-</t>
  </si>
  <si>
    <t>Ace Hydraulic Sales&amp;Svc -</t>
  </si>
  <si>
    <t>(559) _***</t>
  </si>
  <si>
    <t>Ace Hydraulic Sales&amp;Svc Inc</t>
  </si>
  <si>
    <t>2901 Gibson</t>
  </si>
  <si>
    <t>Newport location found</t>
  </si>
  <si>
    <t>(423) 626-????</t>
  </si>
  <si>
    <t>Phone: [inserted phone number]</t>
  </si>
  <si>
    <t>Acme Die&amp;Machine- Gastonia</t>
  </si>
  <si>
    <t>(409) ...</t>
  </si>
  <si>
    <t>Basic company info provided</t>
  </si>
  <si>
    <t>7526 Akzo Ask</t>
  </si>
  <si>
    <t>ACT Inc Amory contact</t>
  </si>
  <si>
    <t>(662) 257-995_</t>
  </si>
  <si>
    <t>@contact info is Phone: nan</t>
  </si>
  <si>
    <t>Phone number and address</t>
  </si>
  <si>
    <t>(314) Ask anything</t>
  </si>
  <si>
    <t>action supply co sharon</t>
  </si>
  <si>
    <t>(610) 534-____</t>
  </si>
  <si>
    <t>ACV INC contact info</t>
  </si>
  <si>
    <t>262-502-010</t>
  </si>
  <si>
    <t>Ada Metal Products Inc</t>
  </si>
  <si>
    <t>Phone_ (extracted phone number or empty)</t>
  </si>
  <si>
    <t>ADAMS MACHINERTOOL contact info</t>
  </si>
  <si>
    <t>615-325_</t>
  </si>
  <si>
    <t>Addison Smith Mechanical contact</t>
  </si>
  <si>
    <t>770-832 _</t>
  </si>
  <si>
    <t>(770) ...</t>
  </si>
  <si>
    <t>11 S Th St #A</t>
  </si>
  <si>
    <t>Die cast company in</t>
  </si>
  <si>
    <t>Advance Hydraulics info extracted</t>
  </si>
  <si>
    <t>Advanced Coil Technology Inc.</t>
  </si>
  <si>
    <t>801 N Cedar</t>
  </si>
  <si>
    <t>@Lafayette (no phone number mentioned)</t>
  </si>
  <si>
    <t>1201 E South (street address only, no city/state)</t>
  </si>
  <si>
    <t>@ (no phone number provided)</t>
  </si>
  <si>
    <t>751 Ask anything</t>
  </si>
  <si>
    <t>3rd&amp;Green Street</t>
  </si>
  <si>
    <t>3rd&amp;Green Street; Phone:</t>
  </si>
  <si>
    <t>Company contact information available</t>
  </si>
  <si>
    <t>17 Fairmount</t>
  </si>
  <si>
    <t>Contact info only, no</t>
  </si>
  <si>
    <t>Hydraulic company in Skiatook</t>
  </si>
  <si>
    <t>(918) _</t>
  </si>
  <si>
    <t>Advanced Hydraulics Inc info</t>
  </si>
  <si>
    <t>Phone: (unextracted)</t>
  </si>
  <si>
    <t>Phone: [insert phone number here]</t>
  </si>
  <si>
    <t>Advanced Sawmill Machinery Holt</t>
  </si>
  <si>
    <t>___</t>
  </si>
  <si>
    <t>Aep Ind Inc -</t>
  </si>
  <si>
    <t>(570) 474-____</t>
  </si>
  <si>
    <t>(817) 267-5993.</t>
  </si>
  <si>
    <t>650 Wheat</t>
  </si>
  <si>
    <t>364 Ringgold Road, Phone:</t>
  </si>
  <si>
    <t>200-B Perimeter Park Road, Phone: (865) 693-1751</t>
  </si>
  <si>
    <t>(904) 781-5337</t>
  </si>
  <si>
    <t>6730 Suemac Place; Phone: (904)-781-5337 please</t>
  </si>
  <si>
    <t>(651) 683-8190</t>
  </si>
  <si>
    <t>(763) 792-4000</t>
  </si>
  <si>
    <t>PO Box 490665, Phone: nan pleas_</t>
  </si>
  <si>
    <t>(502) 863-7575</t>
  </si>
  <si>
    <t>596 Triport Rd, Phone: nan please</t>
  </si>
  <si>
    <t>4250 Pilot Drive; Phone:</t>
  </si>
  <si>
    <t>(808) 682-3065</t>
  </si>
  <si>
    <t>91-102 Kaomi Loop, Phone: nan please respond with_</t>
  </si>
  <si>
    <t>(804) 458-9971</t>
  </si>
  <si>
    <t>103 INDUSTRIAL STREET, Phone: nan_</t>
  </si>
  <si>
    <t>Air Hyd&amp;Mechanical Eq</t>
  </si>
  <si>
    <t>307 Lincoln Ave-, Phone: (215) 67_</t>
  </si>
  <si>
    <t>6074 Baumgartner Industrial Drive,</t>
  </si>
  <si>
    <t>1104</t>
  </si>
  <si>
    <t>(251) 694-0909</t>
  </si>
  <si>
    <t>834 South Conception</t>
  </si>
  <si>
    <t>3033 Ohoi Dr: Suite A, Phone: 502-_</t>
  </si>
  <si>
    <t>3405 Robards Court; Phone: (270)</t>
  </si>
  <si>
    <t>(631)</t>
  </si>
  <si>
    <t>142 Freeman Ave; Phone: (631)</t>
  </si>
  <si>
    <t>9600 NW</t>
  </si>
  <si>
    <t>6848 E. 41st Street, Phone:</t>
  </si>
  <si>
    <t>29000 Highway 98 #201A,</t>
  </si>
  <si>
    <t>1433 Redoack Drive,</t>
  </si>
  <si>
    <t>(423) 968-4477</t>
  </si>
  <si>
    <t>105 B Cox Street; Phone: (80_</t>
  </si>
  <si>
    <t>821 E 11th</t>
  </si>
  <si>
    <t>731</t>
  </si>
  <si>
    <t>11157 Outlet Drive, Phone_</t>
  </si>
  <si>
    <t>5246 Yellow Cove; Phone:_</t>
  </si>
  <si>
    <t>nan, Phone: 615-332-044_</t>
  </si>
  <si>
    <t>834 South Conception St ,_</t>
  </si>
  <si>
    <t>901-452- .</t>
  </si>
  <si>
    <t>2873 Chelsea Ave , Phone: 901-452- .</t>
  </si>
  <si>
    <t>550 Willow Ct; Phone: (219)</t>
  </si>
  <si>
    <t>103 Industrial Street; Phone: 804-458-9971 please_</t>
  </si>
  <si>
    <t>727 LANEYWALKER BLVD EXT, Phone_</t>
  </si>
  <si>
    <t>2922 W Superior St, Phone:</t>
  </si>
  <si>
    <t>(517) 787-.</t>
  </si>
  <si>
    <t>545 Hupp Ave; Phone: (517) 787-.</t>
  </si>
  <si>
    <t>2400 E Burnside St, Phone:</t>
  </si>
  <si>
    <t>(423) 881-1490</t>
  </si>
  <si>
    <t>14968 Ne 31St Cir; Phone:</t>
  </si>
  <si>
    <t>1120 N Dupage Ave; Phone: (800) 544-8775</t>
  </si>
  <si>
    <t>1700 E 4Th Street Rd, Phone: (812_</t>
  </si>
  <si>
    <t>4440 E 4 Mile Rd, Phone:</t>
  </si>
  <si>
    <t>(330) 724-6999</t>
  </si>
  <si>
    <t>151 W Dartmore Ave; Phone: 330-724_</t>
  </si>
  <si>
    <t>(973) 521-7928</t>
  </si>
  <si>
    <t>3176 Mulga Loop Road,</t>
  </si>
  <si>
    <t>(205) 759-1991</t>
  </si>
  <si>
    <t>nan, Phone: 205-759-1991 please</t>
  </si>
  <si>
    <t>630 Airbase Blvd, Phone: 33.</t>
  </si>
  <si>
    <t>205-681-3971.</t>
  </si>
  <si>
    <t>557 Ridgewood</t>
  </si>
  <si>
    <t>43 Sherman Dr; Phone:</t>
  </si>
  <si>
    <t>323 Bibb St, Phone: (334) 269-435_</t>
  </si>
  <si>
    <t>(205) 497-0621</t>
  </si>
  <si>
    <t>6608 Post Oak Drive; Phone:</t>
  </si>
  <si>
    <t>(713) 682-9444</t>
  </si>
  <si>
    <t>nan, Phone: 713-682-9444 please respond wit _</t>
  </si>
  <si>
    <t>500 W. Potter Dr, Phone:</t>
  </si>
  <si>
    <t>2315 Airport Beach Rd, Phon_</t>
  </si>
  <si>
    <t>(907) 486-5970</t>
  </si>
  <si>
    <t>410 Shelikof Street; Phone: (800) 478_</t>
  </si>
  <si>
    <t>RENAMED: Alaska Ship&amp;Drydoc Ketchikan</t>
  </si>
  <si>
    <t>Alaska Ship&amp;Drydoc Ketchikan</t>
  </si>
  <si>
    <t>(410)</t>
  </si>
  <si>
    <t>8531 Pulaski Hwy, Phone: (410)</t>
  </si>
  <si>
    <t>300 Albany St; Phone: (843)</t>
  </si>
  <si>
    <t>205- .</t>
  </si>
  <si>
    <t>3201</t>
  </si>
  <si>
    <t>(502) 775-4300</t>
  </si>
  <si>
    <t>2827 Hale Avenue; Phone: nan please_</t>
  </si>
  <si>
    <t>53 Pottsville St, Phone:</t>
  </si>
  <si>
    <t>6949 S</t>
  </si>
  <si>
    <t>One Reynolds Drive, Phon_</t>
  </si>
  <si>
    <t>(231)</t>
  </si>
  <si>
    <t>2750 Aero Park Dr; Phone: (231)</t>
  </si>
  <si>
    <t>(920) 487-3511</t>
  </si>
  <si>
    <t>1400 Perry Street; Phone: nan please</t>
  </si>
  <si>
    <t>(705) 945-2351</t>
  </si>
  <si>
    <t>130 Nickerson St #307,</t>
  </si>
  <si>
    <t>(501) 945-5763</t>
  </si>
  <si>
    <t>309 Phillips Road; Phone: nan please respond__</t>
  </si>
  <si>
    <t>nan; Phone: (864)</t>
  </si>
  <si>
    <t>1255 E 2250 N, Phone: (801) 621-132,</t>
  </si>
  <si>
    <t>(423) 538-9006</t>
  </si>
  <si>
    <t>nan, Phone: (423) 279-0011 pleas_</t>
  </si>
  <si>
    <t>101 Belton Drive PO Box 336_</t>
  </si>
  <si>
    <t>861</t>
  </si>
  <si>
    <t>(800) 882-5543</t>
  </si>
  <si>
    <t>4225 Miller Rd #245,Phone: 810-813_</t>
  </si>
  <si>
    <t>1535 E Naomi St__</t>
  </si>
  <si>
    <t>423-752-2581</t>
  </si>
  <si>
    <t>1119 Riverfront Pkwy, Phone: nan please</t>
  </si>
  <si>
    <t>245 E Elm St; Phone: (860) 482-7626</t>
  </si>
  <si>
    <t>1923 Airport Rd, Phone: (662) 570-1970 please</t>
  </si>
  <si>
    <t>42312 State Road 19,Phone: (352_</t>
  </si>
  <si>
    <t>865-977-2011</t>
  </si>
  <si>
    <t>217 Roosevelt Street; Phone:_</t>
  </si>
  <si>
    <t>9301 Olive Blvd, Phone: (314) 993-_</t>
  </si>
  <si>
    <t>(434) 582-1200</t>
  </si>
  <si>
    <t>1320 Wards</t>
  </si>
  <si>
    <t>320-251-6030</t>
  </si>
  <si>
    <t>2211 Hwy: 10 South, Phone: 320-529-6952 please</t>
  </si>
  <si>
    <t>801-936-7628</t>
  </si>
  <si>
    <t>256-773-3051</t>
  </si>
  <si>
    <t>Hwy 31,Phone: nan please respond</t>
  </si>
  <si>
    <t>345 Chemwood Drive, Phone: nan</t>
  </si>
  <si>
    <t>1501 31St</t>
  </si>
  <si>
    <t>320-677-2243</t>
  </si>
  <si>
    <t>311 FRONT ST,,</t>
  </si>
  <si>
    <t>200 Bates Industrial Drive,</t>
  </si>
  <si>
    <t>2412 Hwy: 169,Phone: nan please</t>
  </si>
  <si>
    <t>1170 County Road 508 PO.</t>
  </si>
  <si>
    <t>121 Nixon St: SW, Phone: nan please respond with_</t>
  </si>
  <si>
    <t>3Oth&amp;Ray Street; Phone: nan please</t>
  </si>
  <si>
    <t>1965 A 33RD STREET, Phone: 303-44_</t>
  </si>
  <si>
    <t>336-855 .</t>
  </si>
  <si>
    <t>120 N. Chimney Rock Rd , Phone: 336-855 .</t>
  </si>
  <si>
    <t>(714) 538-8400</t>
  </si>
  <si>
    <t>770-640.</t>
  </si>
  <si>
    <t>1115 NORTHMEADOW PARKWAY, Phone: 770-640.</t>
  </si>
  <si>
    <t>101 Bamberg Drive; Phone: 205-338-3331 please</t>
  </si>
  <si>
    <t>316-524-5200</t>
  </si>
  <si>
    <t>Shears Division-Wichita Branch, Phon_</t>
  </si>
  <si>
    <t>256-248-3321</t>
  </si>
  <si>
    <t>2345 2nd Avenue Northwest, Phone:</t>
  </si>
  <si>
    <t>2850 e. Coronado St , Phone:_</t>
  </si>
  <si>
    <t>3401 Hwy.20 W: Bldg: H&amp;l, Phone:</t>
  </si>
  <si>
    <t>3336 .</t>
  </si>
  <si>
    <t>151 Blue Bell Road _</t>
  </si>
  <si>
    <t>2625 S. Lakeland Drive,</t>
  </si>
  <si>
    <t>3727 Westgate Road, Phone:_</t>
  </si>
  <si>
    <t>215 Mcgee Road, Phone:</t>
  </si>
  <si>
    <t>2400 No. Sandra St_, Phone:</t>
  </si>
  <si>
    <t>409-722-4358</t>
  </si>
  <si>
    <t>3880 Washington Blvd</t>
  </si>
  <si>
    <t>916 3rd Ave N, Phone: 406-._</t>
  </si>
  <si>
    <t>1028 35th St. NO, Phone:</t>
  </si>
  <si>
    <t>135 Dishman Ln,</t>
  </si>
  <si>
    <t>251-867-7962</t>
  </si>
  <si>
    <t>32189 Hwy 31, Phone: 251 -_</t>
  </si>
  <si>
    <t>1284 California Ave. SW,,</t>
  </si>
  <si>
    <t>4754 Faircrest St. SW; Phone_</t>
  </si>
  <si>
    <t>10345 Nations Ford Rd, Suit_</t>
  </si>
  <si>
    <t>1485 Blythe</t>
  </si>
  <si>
    <t>(812) 376-4110</t>
  </si>
  <si>
    <t>1720 State St; Phone: (81_</t>
  </si>
  <si>
    <t>4OHilbig Road, Phone: 936-.</t>
  </si>
  <si>
    <t>581 Sigman Road NE, Suite</t>
  </si>
  <si>
    <t>536 East Ist St , Phone: 970-824-.</t>
  </si>
  <si>
    <t>763-519-2100</t>
  </si>
  <si>
    <t>5534 Lakeland Ave N, Phone_</t>
  </si>
  <si>
    <t>1898 spruce street</t>
  </si>
  <si>
    <t>1812 Highway 80 East; Phon_</t>
  </si>
  <si>
    <t>5454 Havana St. Unit 714,</t>
  </si>
  <si>
    <t>1761 Guthrie Ave; Phone:</t>
  </si>
  <si>
    <t>2253 3rd Ave; Dothan; AL 36301-5303</t>
  </si>
  <si>
    <t>126 Carr Lane; Phone: 304- _</t>
  </si>
  <si>
    <t>158 East Mountain Dr;</t>
  </si>
  <si>
    <t>479-648-3597</t>
  </si>
  <si>
    <t>3210 Congressional</t>
  </si>
  <si>
    <t>5145 Martin Luther King</t>
  </si>
  <si>
    <t>42000 Christy Street</t>
  </si>
  <si>
    <t>559-485-7660</t>
  </si>
  <si>
    <t>3751 S Bagley Ave; Phone:</t>
  </si>
  <si>
    <t>785 Pleasant Valley Road,</t>
  </si>
  <si>
    <t>Applied Industrial Tech - Hibbing</t>
  </si>
  <si>
    <t>3030 East Beltline, Suite 1</t>
  </si>
  <si>
    <t>Hibbing, MN  55746-3063</t>
  </si>
  <si>
    <t>7240 Brittmoore Rd, Ste. 112_</t>
  </si>
  <si>
    <t>865) 573-0022</t>
  </si>
  <si>
    <t>(706) 568-4941</t>
  </si>
  <si>
    <t>1201 Orchard Hill Rd Suite B;</t>
  </si>
  <si>
    <t>4611</t>
  </si>
  <si>
    <t>1001 Maddox Simpson Pkwy_</t>
  </si>
  <si>
    <t>(501)955-2090</t>
  </si>
  <si>
    <t>8100 Industry Drive , Phone:</t>
  </si>
  <si>
    <t>502-968-4822</t>
  </si>
  <si>
    <t>5799 Fern</t>
  </si>
  <si>
    <t>3895 SOUTH PERKINS RD;</t>
  </si>
  <si>
    <t>1910 S. University Blvd.</t>
  </si>
  <si>
    <t>1028 35th St N, Phone: 205-_</t>
  </si>
  <si>
    <t>980 Plantation Way; Phon_</t>
  </si>
  <si>
    <t>3550 S. Hoyt</t>
  </si>
  <si>
    <t>615- .</t>
  </si>
  <si>
    <t>1240 Polk Ave; Phone: 615- .</t>
  </si>
  <si>
    <t>231-798-7750</t>
  </si>
  <si>
    <t>6090 Grand Haven_</t>
  </si>
  <si>
    <t>407-422-2115</t>
  </si>
  <si>
    <t>nan, Phone: 509-547-2421</t>
  </si>
  <si>
    <t>405 PARKWAY VIEW DR _</t>
  </si>
  <si>
    <t>Basic company info found</t>
  </si>
  <si>
    <t>1301 Corporation PkWy</t>
  </si>
  <si>
    <t>Industrial technology services</t>
  </si>
  <si>
    <t>Industrial technology company in</t>
  </si>
  <si>
    <t>Industrial technology company</t>
  </si>
  <si>
    <t>3384 N Publishers Drive; Suit_</t>
  </si>
  <si>
    <t>(630) 226-1200</t>
  </si>
  <si>
    <t>1280 Lakeview Drive,</t>
  </si>
  <si>
    <t>787-523-5405</t>
  </si>
  <si>
    <t>nan, Phone: 787-523-5405</t>
  </si>
  <si>
    <t>1050 West Lathrop Ave-,</t>
  </si>
  <si>
    <t>4618 S Taylor Dr; Phone:</t>
  </si>
  <si>
    <t>2030 Commerce Drive</t>
  </si>
  <si>
    <t>345 Nutmeg Roa_</t>
  </si>
  <si>
    <t>620 Buffington Rd,, Phone_</t>
  </si>
  <si>
    <t>301 N. Fancher Rd,, Phone:</t>
  </si>
  <si>
    <t>(816)</t>
  </si>
  <si>
    <t>624 S 7th St; Phone: (816)</t>
  </si>
  <si>
    <t>202 Val Dervin Pkwy, STE 10_</t>
  </si>
  <si>
    <t>570- .</t>
  </si>
  <si>
    <t>525 Erie Blvd. W, Phone: 570- .</t>
  </si>
  <si>
    <t>(253) 383-5363</t>
  </si>
  <si>
    <t>1701 E. Portland Ave., Phone_</t>
  </si>
  <si>
    <t>813-621-5138</t>
  </si>
  <si>
    <t>1021 W. Jackson</t>
  </si>
  <si>
    <t>579 Sheridan Dr, Phone:</t>
  </si>
  <si>
    <t>115 NW Jackson St.</t>
  </si>
  <si>
    <t>855 MITCHELL ROAD; Phone_</t>
  </si>
  <si>
    <t>15375 Anacapa Road Unit B,</t>
  </si>
  <si>
    <t>330-394-1527</t>
  </si>
  <si>
    <t>421 South Park Avenue;</t>
  </si>
  <si>
    <t>7209 Sheridan RD,</t>
  </si>
  <si>
    <t>(409) 722-5020</t>
  </si>
  <si>
    <t>(919) 735-457.</t>
  </si>
  <si>
    <t>1200 W Ash St, Phone: (919) 735-457.</t>
  </si>
  <si>
    <t>INTERSTATE 10 AT VINTON</t>
  </si>
  <si>
    <t>(708) 339-6810</t>
  </si>
  <si>
    <t>1735 N Washington St,, Phone: na_</t>
  </si>
  <si>
    <t>(937) 274-8043</t>
  </si>
  <si>
    <t>3336 LODGE AVE, Phone: nan</t>
  </si>
  <si>
    <t>885 Almota</t>
  </si>
  <si>
    <t>(586) 282-5000</t>
  </si>
  <si>
    <t>AMSTA-AQ-HAD, Phone: nan please</t>
  </si>
  <si>
    <t>205-349-.</t>
  </si>
  <si>
    <t>2919 11th Avenue; Phone: 205-349-.</t>
  </si>
  <si>
    <t>(985) 851-7169</t>
  </si>
  <si>
    <t>309 Venture Blvd, Phone: nan please respond</t>
  </si>
  <si>
    <t>nan, Phone: 256-552-3332</t>
  </si>
  <si>
    <t>(620) 433-3500</t>
  </si>
  <si>
    <t>1801 North Santa Fe, Phone:</t>
  </si>
  <si>
    <t>1801 North Santa Fe, Phone: nan</t>
  </si>
  <si>
    <t>Ashland Feed&amp;Seed</t>
  </si>
  <si>
    <t>South Main&amp;Santa Fe Street</t>
  </si>
  <si>
    <t>1130 Ashwaubenon St; Phone: (920) 336-888,_</t>
  </si>
  <si>
    <t>(931) 454-7773</t>
  </si>
  <si>
    <t>1476 Avenue E; Phone: 931-454-7773 please respon_</t>
  </si>
  <si>
    <t>(256) 722-2300</t>
  </si>
  <si>
    <t>7300 HWY 20 W: ATTN:</t>
  </si>
  <si>
    <t>(807) 929-1557</t>
  </si>
  <si>
    <t>(816) 796-7101</t>
  </si>
  <si>
    <t>Missouri Hwy 7878,Phone:</t>
  </si>
  <si>
    <t>Fluid power company information</t>
  </si>
  <si>
    <t>(phone number not provided)</t>
  </si>
  <si>
    <t>Atlantic Pneumatics&amp;Hyd - Moncton</t>
  </si>
  <si>
    <t>227 Pacific Ave _</t>
  </si>
  <si>
    <t>(773) 646-4500</t>
  </si>
  <si>
    <t>1855 East 122nd Street; Phone: nan please</t>
  </si>
  <si>
    <t>(616) 696-0081</t>
  </si>
  <si>
    <t>1177 17 Mile Rd., Phone: nan please</t>
  </si>
  <si>
    <t>(270) 830-6622</t>
  </si>
  <si>
    <t>(715) 341-6501</t>
  </si>
  <si>
    <t>(828) 754-4662</t>
  </si>
  <si>
    <t>2000 Brant Street, Phone:</t>
  </si>
  <si>
    <t>(225) 927-4972</t>
  </si>
  <si>
    <t>104 Row #3,</t>
  </si>
  <si>
    <t>(337) 839-9262</t>
  </si>
  <si>
    <t>210 Millstone Rd, Phone:</t>
  </si>
  <si>
    <t>(651) 345-5753</t>
  </si>
  <si>
    <t>2111 N.Lakeshore Drive, Phone: 651-_</t>
  </si>
  <si>
    <t>(931) 647-8394</t>
  </si>
  <si>
    <t>(605) 610-7282</t>
  </si>
  <si>
    <t>(727) 561-4329</t>
  </si>
  <si>
    <t>4701 11Oth Ave: N, Phone: nan please respon_</t>
  </si>
  <si>
    <t>850</t>
  </si>
  <si>
    <t>501 W Chapin St, Phone: (956) 38_</t>
  </si>
  <si>
    <t>800 Waterman Ave; Phone:</t>
  </si>
  <si>
    <t>nan; Phone: (907) 659-3101</t>
  </si>
  <si>
    <t>(216)</t>
  </si>
  <si>
    <t>7900 Empire Pkwy, Phone: (216)</t>
  </si>
  <si>
    <t>B&amp;B Contracting</t>
  </si>
  <si>
    <t>Florence Darlington;, Phone: (843)</t>
  </si>
  <si>
    <t>4800 Solvay Rd, Phone: (315) 492-_</t>
  </si>
  <si>
    <t>(765) 288-.</t>
  </si>
  <si>
    <t>2601</t>
  </si>
  <si>
    <t>411 Wolf Ledges</t>
  </si>
  <si>
    <t>(330) 848-</t>
  </si>
  <si>
    <t>918 Smith Ave; Phone: 229-228-1640</t>
  </si>
  <si>
    <t>(905) 885-6281</t>
  </si>
  <si>
    <t>B&amp;T Hyd - West Sacramento</t>
  </si>
  <si>
    <t>B&amp;T Hyd contact info</t>
  </si>
  <si>
    <t>B&amp;T Shavings</t>
  </si>
  <si>
    <t>7414 ENTERPRISE PARK CIR_</t>
  </si>
  <si>
    <t>419-433-</t>
  </si>
  <si>
    <t>35 North Main St , Phone: 419-433-</t>
  </si>
  <si>
    <t>(920) 403-7808</t>
  </si>
  <si>
    <t>3161 CORONET WAY, Phone: 920- _</t>
  </si>
  <si>
    <t>(715) 582-4551.</t>
  </si>
  <si>
    <t>200 W Front St, Phone: (715)_</t>
  </si>
  <si>
    <t>(270).</t>
  </si>
  <si>
    <t>279 Shaw Station Rd, Phone: (270).</t>
  </si>
  <si>
    <t>PO Box 128, Phone: (800) 548-6914</t>
  </si>
  <si>
    <t>(219) 663-.</t>
  </si>
  <si>
    <t>980 Crown Court; Phone: (219) 663-.</t>
  </si>
  <si>
    <t>(229) 226-0611</t>
  </si>
  <si>
    <t>800 W. Clay Street, Phone: 229-22_</t>
  </si>
  <si>
    <t>56 Dunsmore Rd; Phone: nan please respond with</t>
  </si>
  <si>
    <t>(252) 240-2829.</t>
  </si>
  <si>
    <t>135 Little</t>
  </si>
  <si>
    <t>708 E 25Th St, Phone:</t>
  </si>
  <si>
    <t>(770) 233-8000</t>
  </si>
  <si>
    <t>1680 Marietta Road, Gate 8, Phon_</t>
  </si>
  <si>
    <t>(503) 324-2681</t>
  </si>
  <si>
    <t>(716) 689-8960</t>
  </si>
  <si>
    <t>(805)</t>
  </si>
  <si>
    <t>6338 Lindmar Drive; Phone: (805)</t>
  </si>
  <si>
    <t>713)</t>
  </si>
  <si>
    <t>8552 Katy Freeway, Phone: 713)</t>
  </si>
  <si>
    <t>BARDONS&amp;OLIVER</t>
  </si>
  <si>
    <t>901 Buggs Ferry Rd.</t>
  </si>
  <si>
    <t>1008 Mcclelland Court Atan_</t>
  </si>
  <si>
    <t>1308 Miller Road, Phone:</t>
  </si>
  <si>
    <t>(815) 964-8661</t>
  </si>
  <si>
    <t>(225) 683-1250</t>
  </si>
  <si>
    <t>10278 Hwy 422, Phone: nan please</t>
  </si>
  <si>
    <t>1001 East Main Street; Phone: (870)</t>
  </si>
  <si>
    <t>4709 Paris Gravel Road, Phone: (573) _</t>
  </si>
  <si>
    <t>(731) 627-0001</t>
  </si>
  <si>
    <t>106 Hwy 77 East; Phone: (901) 627-_</t>
  </si>
  <si>
    <t>(620) 232-2911</t>
  </si>
  <si>
    <t>700 East Jefferson Street, Phone:</t>
  </si>
  <si>
    <t>134 Airport Industrial Drive, Phone:</t>
  </si>
  <si>
    <t>1837 East Pacific, Phone: (417) 869 _</t>
  </si>
  <si>
    <t>(409) 883-9990</t>
  </si>
  <si>
    <t>(251) 666-8666</t>
  </si>
  <si>
    <t>(319) 234-6845</t>
  </si>
  <si>
    <t>1826 BLACKHAWK ST, Phone: 319-234-6845 please</t>
  </si>
  <si>
    <t>(216) 642-9100</t>
  </si>
  <si>
    <t>PO Box 5931, Phone: nan please respond with open</t>
  </si>
  <si>
    <t>2916 Borham Ave; Phone: 715-344-8956 plea_</t>
  </si>
  <si>
    <t>(708) 681-4400</t>
  </si>
  <si>
    <t>2601 PARKES DRIVE,</t>
  </si>
  <si>
    <t>(417) 865-8771</t>
  </si>
  <si>
    <t>3045</t>
  </si>
  <si>
    <t>(256) 350-4140</t>
  </si>
  <si>
    <t>1347 Commerce Drive; Phone: nan</t>
  </si>
  <si>
    <t>(256) 350-3638</t>
  </si>
  <si>
    <t>BearingseDrive info not found</t>
  </si>
  <si>
    <t>3541 SW 7th</t>
  </si>
  <si>
    <t>404-766-1605</t>
  </si>
  <si>
    <t>(352) 732-2166.</t>
  </si>
  <si>
    <t>3541 SW 7th St , Phone: 352-732-216_</t>
  </si>
  <si>
    <t>702 Sth Avenue North, Phon_</t>
  </si>
  <si>
    <t>950 Pratt Blvd, Phone: (800)</t>
  </si>
  <si>
    <t>636-343-4100</t>
  </si>
  <si>
    <t>2086 Fenton Logistics Park BLVD, Phone: 636_</t>
  </si>
  <si>
    <t>(248)</t>
  </si>
  <si>
    <t>32613 Folsom Road, Phone: (248)</t>
  </si>
  <si>
    <t>nan, Phone: (419) 861-3306 please</t>
  </si>
  <si>
    <t>622 Fertilla St , Phone: 770-834-4033 please</t>
  </si>
  <si>
    <t>(920) 467-4621</t>
  </si>
  <si>
    <t>Mill St,, Phone: nan please respon_</t>
  </si>
  <si>
    <t>10314 Brecksville Rd,, Phone_</t>
  </si>
  <si>
    <t>Bennett, JH&amp;- Cleveland</t>
  </si>
  <si>
    <t>(574) 534-1499</t>
  </si>
  <si>
    <t>8783 WHackamore Dr_x005F_x000D_
Suite 9</t>
  </si>
  <si>
    <t>8783 W. Hackamore Dr._x005F_x000D_
Suite 9</t>
  </si>
  <si>
    <t>8783 W. Hackamore</t>
  </si>
  <si>
    <t>3570 Roger B. Chaffee,</t>
  </si>
  <si>
    <t>East 3200 Trent Bldg: B, Suit_</t>
  </si>
  <si>
    <t>8810 Etiwan_</t>
  </si>
  <si>
    <t>6321 Baum Drive; Phone: (800) 251 -_</t>
  </si>
  <si>
    <t>15355 Jacintoport Blvd, Phone: (713)_</t>
  </si>
  <si>
    <t>801 Johnson Street; Phone: (989) 35_</t>
  </si>
  <si>
    <t>5101 21st. Street, Phone: 205-391-_</t>
  </si>
  <si>
    <t>900 4Th Ave #1725,Phone:</t>
  </si>
  <si>
    <t>(517) 393-5300</t>
  </si>
  <si>
    <t>2807 S MLK Jr: Blvd , Phone: nan</t>
  </si>
  <si>
    <t>nan, Phone: 352-629-8000 please respond wit_</t>
  </si>
  <si>
    <t>(505) 877-1092</t>
  </si>
  <si>
    <t>(770) 387-3300</t>
  </si>
  <si>
    <t>384 Old Grassdale RD NE_</t>
  </si>
  <si>
    <t>(314) 343-.</t>
  </si>
  <si>
    <t>1642 Manufactruers Drive, Phone: (314) 343-.</t>
  </si>
  <si>
    <t>2505 Alexandria Road, Phone: 256- .</t>
  </si>
  <si>
    <t>2000 COBB AVE:</t>
  </si>
  <si>
    <t>(847) 689-8900</t>
  </si>
  <si>
    <t>(763) 241-0229</t>
  </si>
  <si>
    <t>12700 208th Ave NW; Phone: nan please</t>
  </si>
  <si>
    <t>624 E. St. Crusher Road, Phone:</t>
  </si>
  <si>
    <t>(636) 225-5011</t>
  </si>
  <si>
    <t>BOHN&amp;DAWSON</t>
  </si>
  <si>
    <t>(318) 335-7043</t>
  </si>
  <si>
    <t>(318) 586-8200</t>
  </si>
  <si>
    <t>Highway 171,</t>
  </si>
  <si>
    <t>4200 Highway 190 West;</t>
  </si>
  <si>
    <t>(318) 793-3300</t>
  </si>
  <si>
    <t>Boise Hydraulic&amp;Hose - Boise</t>
  </si>
  <si>
    <t>4200 HWY 190 W, Phone: nan please respond_</t>
  </si>
  <si>
    <t>(816) 232 .</t>
  </si>
  <si>
    <t>802 South 9th, Phone: (816) 232 .</t>
  </si>
  <si>
    <t>(712) XXXXXXX</t>
  </si>
  <si>
    <t>5506 36Th Street, S.E , Phone: (61_</t>
  </si>
  <si>
    <t>(231) 933-1107</t>
  </si>
  <si>
    <t>1420 S. Airport West, Phone: (616)_</t>
  </si>
  <si>
    <t>264 Leonard St. NW; Phone: 616-776- _</t>
  </si>
  <si>
    <t>252-823-6777</t>
  </si>
  <si>
    <t>1989 McNair Rd; Tarboro, NC 27886</t>
  </si>
  <si>
    <t>866-259-6263</t>
  </si>
  <si>
    <t>3895 S. Choctaw Ave; Phone: nan please</t>
  </si>
  <si>
    <t>269-795-3364</t>
  </si>
  <si>
    <t>870-226-.</t>
  </si>
  <si>
    <t>822 Fullerton Street; Phone: 870-226-.</t>
  </si>
  <si>
    <t>Main Street; Phone: (724) 864-1170 please</t>
  </si>
  <si>
    <t>306-791-3333</t>
  </si>
  <si>
    <t>870-678-2317</t>
  </si>
  <si>
    <t>1858 HWY 128, Phone: nan please</t>
  </si>
  <si>
    <t>610-374-5109</t>
  </si>
  <si>
    <t>501 Melanie Dr,, Phone: nan pleas_</t>
  </si>
  <si>
    <t>Bridgestone Firestone location</t>
  </si>
  <si>
    <t>(615) _???_</t>
  </si>
  <si>
    <t>931-668-5500</t>
  </si>
  <si>
    <t>Hwy 55&amp;Old Well; Phone: nan</t>
  </si>
  <si>
    <t>610-913-6585</t>
  </si>
  <si>
    <t>256-776-7786</t>
  </si>
  <si>
    <t>15185 Industrial Park Road, Phone_</t>
  </si>
  <si>
    <t>508-995-2662</t>
  </si>
  <si>
    <t>256-778-8756</t>
  </si>
  <si>
    <t>1274 Gravel Ridge Road, Phone: 778 _</t>
  </si>
  <si>
    <t>16851 Hwy 96 West; Phone: 205-596- _</t>
  </si>
  <si>
    <t>1400 Mount Pleasant Street,</t>
  </si>
  <si>
    <t>616-695-1216</t>
  </si>
  <si>
    <t>251-433-9567</t>
  </si>
  <si>
    <t>501 Baptist Line__</t>
  </si>
  <si>
    <t>1555 Foster Williams Rd, Phone: 912-488-255_</t>
  </si>
  <si>
    <t>PO. Box 1039,Phone: (334) 874-2700 please</t>
  </si>
  <si>
    <t>330-337-0000</t>
  </si>
  <si>
    <t>256-773-3233</t>
  </si>
  <si>
    <t>62 Wilson Rd , Phone: 773-3233 pleas_</t>
  </si>
  <si>
    <t>(256) 773-</t>
  </si>
  <si>
    <t>62 Wilson Road; Phone: (256) 773-</t>
  </si>
  <si>
    <t>C&amp;T Hyd</t>
  </si>
  <si>
    <t>1305 S. Cedar Street; Phone: 517-374-8055</t>
  </si>
  <si>
    <t>864-288-3211</t>
  </si>
  <si>
    <t>728 Main Street; Phone: nan please respond with</t>
  </si>
  <si>
    <t>Closed business location</t>
  </si>
  <si>
    <t>1415 Burlingame Ave SW</t>
  </si>
  <si>
    <t>RENAMED: C.A. Lawton, division of Lawton Standard</t>
  </si>
  <si>
    <t>C.A. Lawton, division of Lawton Standard</t>
  </si>
  <si>
    <t>5002 Lakeview Drive; Phone: 925-470_</t>
  </si>
  <si>
    <t>2845 ARMENTROU_</t>
  </si>
  <si>
    <t>nan; Phone: (250) 833-3012 please respond</t>
  </si>
  <si>
    <t>4500 Lochridge Boulevard; Phon_</t>
  </si>
  <si>
    <t>324 Mill Street; Phone: 205-926-9797 please</t>
  </si>
  <si>
    <t>245 North Street; Phone: (407) 331-_</t>
  </si>
  <si>
    <t>5875 Mining Terrace, Suite 108,</t>
  </si>
  <si>
    <t>Cameron Valves&amp;Measurement</t>
  </si>
  <si>
    <t>(814) 623-9073</t>
  </si>
  <si>
    <t>141 Uzzle Industrial Dr; Clayton, NC 27520</t>
  </si>
  <si>
    <t>(850) 576-0194</t>
  </si>
  <si>
    <t>(334) 365-9787</t>
  </si>
  <si>
    <t>967 Washington Ferry Rd:</t>
  </si>
  <si>
    <t>(815) 786-1686</t>
  </si>
  <si>
    <t>1014 West Jefferson Street; Phon_</t>
  </si>
  <si>
    <t>(336) 835-7506</t>
  </si>
  <si>
    <t>Ikin Wildlife Road; Phone: (336) 835 _</t>
  </si>
  <si>
    <t>1401 Industri__</t>
  </si>
  <si>
    <t>5990 Unity Dr: Suite G.</t>
  </si>
  <si>
    <t>1226 Trapper Circle, Phon _</t>
  </si>
  <si>
    <t>1211</t>
  </si>
  <si>
    <t>405 Commerce Place; Phone: nan</t>
  </si>
  <si>
    <t>(256) 353-7867</t>
  </si>
  <si>
    <t>2600 Beltline Roa_</t>
  </si>
  <si>
    <t>(901) 854-3000</t>
  </si>
  <si>
    <t>97 South Byhalia Road, Phone: na_</t>
  </si>
  <si>
    <t>(770) 838-7757</t>
  </si>
  <si>
    <t>212 Brumbelow Road, Phone: 770-83_</t>
  </si>
  <si>
    <t>nan; Phone: 360-423-1082 please</t>
  </si>
  <si>
    <t>(360) 423-</t>
  </si>
  <si>
    <t>420 Industrial Way, Phone:</t>
  </si>
  <si>
    <t>CNH Industrial relocated out</t>
  </si>
  <si>
    <t>6900 Veterans Blvd; Burr Ridge, IL 60527</t>
  </si>
  <si>
    <t>2400 7th Avenue Southwest; Phone:</t>
  </si>
  <si>
    <t>(256) 233</t>
  </si>
  <si>
    <t>18676 No. Jefferson St , Phone: 256-233-1500 _</t>
  </si>
  <si>
    <t>881</t>
  </si>
  <si>
    <t>(815) 842-6000</t>
  </si>
  <si>
    <t>PO. Box 7496,Phone: (406) 728-7860_</t>
  </si>
  <si>
    <t>535 Moore Lane; Phone: (406) 259_</t>
  </si>
  <si>
    <t>(801) 566-4333</t>
  </si>
  <si>
    <t>80 West Truman Avenue;</t>
  </si>
  <si>
    <t>109 Main St,, Phone: nan please respond with_</t>
  </si>
  <si>
    <t>(319) 363-3511</t>
  </si>
  <si>
    <t>(502) 845-4569</t>
  </si>
  <si>
    <t>495 Sawmill Road, Phone: 502-84_</t>
  </si>
  <si>
    <t>(505) 842-5556</t>
  </si>
  <si>
    <t>245 WOODWARD RD, SE, Phone: nan</t>
  </si>
  <si>
    <t>(334) 289-</t>
  </si>
  <si>
    <t>1617 Arcola Road, Phone: (334) 289-</t>
  </si>
  <si>
    <t>116 Southside</t>
  </si>
  <si>
    <t>2273 South</t>
  </si>
  <si>
    <t>6887 Alabama Hwy 9, Phone</t>
  </si>
  <si>
    <t>(623) 869-2333</t>
  </si>
  <si>
    <t>23636 N. Zth St, Phone: nan please</t>
  </si>
  <si>
    <t>1580 North Nova Road,</t>
  </si>
  <si>
    <t>(352)-</t>
  </si>
  <si>
    <t>820 Thomas Avenue; Phone: (352)-</t>
  </si>
  <si>
    <t>500 Trillium Drive Unit 2,</t>
  </si>
  <si>
    <t>844 East Jackson Street;</t>
  </si>
  <si>
    <t>321 Hill Ave; Phone: (615) 255-2220 please</t>
  </si>
  <si>
    <t>1099 Thompson Road SE, Phone: (25_</t>
  </si>
  <si>
    <t>(800) 999.</t>
  </si>
  <si>
    <t>4035 Fee Fee Road, Phone: (800) 999.</t>
  </si>
  <si>
    <t>12117 Riverwood Drive; Phone:</t>
  </si>
  <si>
    <t>(281) 227-7444</t>
  </si>
  <si>
    <t>1601 Peach Leaf Street; Phone: 281-227-7444 pleas_</t>
  </si>
  <si>
    <t>2003</t>
  </si>
  <si>
    <t>843-66.</t>
  </si>
  <si>
    <t>4930 Planer Road_</t>
  </si>
  <si>
    <t>59 Industrial Drive, Phone: 215.230.4260</t>
  </si>
  <si>
    <t>Charles F Wheelock&amp;Associates</t>
  </si>
  <si>
    <t>(205) 665-0365</t>
  </si>
  <si>
    <t>PO. Box</t>
  </si>
  <si>
    <t>(843) 662-1483</t>
  </si>
  <si>
    <t>4930 Planer Rd:</t>
  </si>
  <si>
    <t>(205) 665-1251</t>
  </si>
  <si>
    <t>7444 Highway 25, Phone: nan please</t>
  </si>
  <si>
    <t>(803) 581-7164</t>
  </si>
  <si>
    <t>1445 Lancaster Hwy-, Phone: 803-374_</t>
  </si>
  <si>
    <t>(704) 629-5973</t>
  </si>
  <si>
    <t>327 Jim</t>
  </si>
  <si>
    <t>(814) 333-6331</t>
  </si>
  <si>
    <t>Redhat Road, Phone: 256-560-4685</t>
  </si>
  <si>
    <t>256-560-</t>
  </si>
  <si>
    <t>4301 Iverson Blvd , Phone: 256-560-</t>
  </si>
  <si>
    <t>Choice Fab, Inc contact</t>
  </si>
  <si>
    <t>1303 Shoal Creek Rd, Phone: 256-_</t>
  </si>
  <si>
    <t>(574) 658-4101</t>
  </si>
  <si>
    <t>410 North Higbee Street, PO. Box 2000, Milford, IN</t>
  </si>
  <si>
    <t>(636) 585-2214</t>
  </si>
  <si>
    <t>833 Booneslick Road, Phone: nan</t>
  </si>
  <si>
    <t>(816) 380-2557</t>
  </si>
  <si>
    <t>(229) 226-2718</t>
  </si>
  <si>
    <t>PO Box 1791</t>
  </si>
  <si>
    <t>(318) 686-0590</t>
  </si>
  <si>
    <t>(541) 343-3395</t>
  </si>
  <si>
    <t>(901) 522-9663</t>
  </si>
  <si>
    <t>1245 North Zth Street, Phone.</t>
  </si>
  <si>
    <t>(814) 654-7156</t>
  </si>
  <si>
    <t>(414) 365-1200</t>
  </si>
  <si>
    <t>(937) 839-4278</t>
  </si>
  <si>
    <t>(318) 872-1773</t>
  </si>
  <si>
    <t>Hwy: 3248,963 Power Plant Rd.</t>
  </si>
  <si>
    <t>(864) 456-3494</t>
  </si>
  <si>
    <t>3917 Highway 61 North,</t>
  </si>
  <si>
    <t>148 Williman Street, Phone: (843)</t>
  </si>
  <si>
    <t>(269) 344-3878</t>
  </si>
  <si>
    <t>(770) 889-2489</t>
  </si>
  <si>
    <t>1445 Ventura Drive; Phone:</t>
  </si>
  <si>
    <t>2251 Technical Parkway;</t>
  </si>
  <si>
    <t>(281) 478-0989</t>
  </si>
  <si>
    <t>114 Palm Terrace, Phone: na_</t>
  </si>
  <si>
    <t>(850) 539-6432</t>
  </si>
  <si>
    <t>609 Bank Street_x005F_x000D_
P.O. Box 250</t>
  </si>
  <si>
    <t>609 Bank Street_XOOOD_</t>
  </si>
  <si>
    <t>1625 Rock Mountain</t>
  </si>
  <si>
    <t>(812) 232-0276</t>
  </si>
  <si>
    <t>1227 Mulberry, Phone: nan please</t>
  </si>
  <si>
    <t>753 South Raceway Road, Greenville, MS 38703</t>
  </si>
  <si>
    <t>(803) 584-3451</t>
  </si>
  <si>
    <t>1723 Barnwell Hwy, Allendale, SC 29810</t>
  </si>
  <si>
    <t>1723 Barnwell Highway, Phone:</t>
  </si>
  <si>
    <t>539 32 Road, Phone: (97_</t>
  </si>
  <si>
    <t>(828) 724-4191</t>
  </si>
  <si>
    <t>369 Columbia Carolina Rd, Phone: n_.</t>
  </si>
  <si>
    <t>Military Road, Phone: (662)</t>
  </si>
  <si>
    <t>West L Behan Road,</t>
  </si>
  <si>
    <t>1949 Airport Rd, Phone: (662) 798-_</t>
  </si>
  <si>
    <t>(409) 842-3316</t>
  </si>
  <si>
    <t>860-482-</t>
  </si>
  <si>
    <t>65 Grant Street, Phone: 860-482-</t>
  </si>
  <si>
    <t>(828) 241-3142</t>
  </si>
  <si>
    <t>(714) 541-2244</t>
  </si>
  <si>
    <t>Address; Phone: Phone please respond with open or</t>
  </si>
  <si>
    <t>330-874-1003.</t>
  </si>
  <si>
    <t>10955 Industrial Parkway;</t>
  </si>
  <si>
    <t>970 Campus Drive; Phone_</t>
  </si>
  <si>
    <t>651-483-2611</t>
  </si>
  <si>
    <t>5000 Township</t>
  </si>
  <si>
    <t>660-359-3913</t>
  </si>
  <si>
    <t>1401 Harris Avenue; Phone: nan please respond with</t>
  </si>
  <si>
    <t>919-772-1511</t>
  </si>
  <si>
    <t>4851 Jones Sausage Rd,, Phone: nan please respon_</t>
  </si>
  <si>
    <t>1050 Market St: NE; Phone: 552-4733 please</t>
  </si>
  <si>
    <t>601-636-3144</t>
  </si>
  <si>
    <t>461 Haining Road, Phone: na_</t>
  </si>
  <si>
    <t>4600 E 64th AVE; Phone: nan please respond with</t>
  </si>
  <si>
    <t>8100 N.W. 97th Terrace; Phone: nan please respon_</t>
  </si>
  <si>
    <t>1971 McCollum Parkway NW;</t>
  </si>
  <si>
    <t>256-386-6305.</t>
  </si>
  <si>
    <t>4805 Second St Hwy.184 East; Phone: 256-386-6305.</t>
  </si>
  <si>
    <t>2700 Gunter Park Drive W_, Phone: na_</t>
  </si>
  <si>
    <t>(386) 439-4814.</t>
  </si>
  <si>
    <t>517--</t>
  </si>
  <si>
    <t>26178 B Drive North, Phone: 517--</t>
  </si>
  <si>
    <t>21410 Southwest 89th Road,</t>
  </si>
  <si>
    <t>806-.</t>
  </si>
  <si>
    <t>2300 Fairlanes Blvd , Phone: 806-.</t>
  </si>
  <si>
    <t>1084 Fender Trail Northeast;</t>
  </si>
  <si>
    <t>40 Technology Dr W, Phone_</t>
  </si>
  <si>
    <t>2510 Westcott Rd, Phone:</t>
  </si>
  <si>
    <t>4421 South 16th Street,</t>
  </si>
  <si>
    <t>198 Continental Avenue,</t>
  </si>
  <si>
    <t>218 Weisenberger Road,</t>
  </si>
  <si>
    <t>651 Solano Way; Phone: 925__</t>
  </si>
  <si>
    <t>140 Distillery Road, Phone:</t>
  </si>
  <si>
    <t>81.</t>
  </si>
  <si>
    <t>1285 S 300 W, Phone: 81.</t>
  </si>
  <si>
    <t>721 Sixth Avenue</t>
  </si>
  <si>
    <t>140 Distillery Road , Phone:</t>
  </si>
  <si>
    <t>418-.</t>
  </si>
  <si>
    <t>470 Saint-Alphonse $, Phone: 418-.</t>
  </si>
  <si>
    <t>438 Industrial Dr__.</t>
  </si>
  <si>
    <t>nan, Phone: 713-934-2105</t>
  </si>
  <si>
    <t>329 1/2, Verne St, Phone:</t>
  </si>
  <si>
    <t>570-455-7781</t>
  </si>
  <si>
    <t>1084 Fender Trail NE, Phon_</t>
  </si>
  <si>
    <t>Contractor Service&amp;Fabrication</t>
  </si>
  <si>
    <t>5510 Mainway; Phone: 905-.</t>
  </si>
  <si>
    <t>Control&amp;Power Decatur info extracted</t>
  </si>
  <si>
    <t>110 Leggett Drive; Phone:</t>
  </si>
  <si>
    <t>PO Drawer 1914, Phone: 409-833-_</t>
  </si>
  <si>
    <t>5829 West Sam Houston</t>
  </si>
  <si>
    <t>(604.</t>
  </si>
  <si>
    <t>101-7562 Progress Way, Phone: (604.</t>
  </si>
  <si>
    <t>480-</t>
  </si>
  <si>
    <t>1824 W Broadway; Phone: 480-</t>
  </si>
  <si>
    <t>3946 East</t>
  </si>
  <si>
    <t>1022 W:</t>
  </si>
  <si>
    <t>911 N. Poinsettia St ,</t>
  </si>
  <si>
    <t>526 NE Chestnut St; Phone: 541-672_</t>
  </si>
  <si>
    <t>470 Rue St Alphonse-Sud, Phone:</t>
  </si>
  <si>
    <t>7200 Interstate 30</t>
  </si>
  <si>
    <t>Cooper Marine&amp;Timberlands- Quinton</t>
  </si>
  <si>
    <t>10725 Harrison Road, Suite 300,_</t>
  </si>
  <si>
    <t>1804 S Green St , Phone:</t>
  </si>
  <si>
    <t>7211 East Michigan Avenue, Phone:</t>
  </si>
  <si>
    <t>1641 Thompson Road, Phone: (25_</t>
  </si>
  <si>
    <t>3178 West Hills Road,</t>
  </si>
  <si>
    <t>4992 Middle Ridge Road, Phone: na_.</t>
  </si>
  <si>
    <t>500 Trillium Drive, Unit 2, Phone:</t>
  </si>
  <si>
    <t>5155 Timberlea Blvd, Phone.</t>
  </si>
  <si>
    <t>CPI Automation LtdC/O M&amp;M Forwarding</t>
  </si>
  <si>
    <t>8593 Highway 77, Phone: (800)</t>
  </si>
  <si>
    <t>(413) 684-2600</t>
  </si>
  <si>
    <t>604 Goff Industrial</t>
  </si>
  <si>
    <t>7070 Cretex Ave-, Phone: n_</t>
  </si>
  <si>
    <t>318-25.</t>
  </si>
  <si>
    <t>2700 McDonald Ave, Phone: 318-25.</t>
  </si>
  <si>
    <t>167 Duraflake</t>
  </si>
  <si>
    <t>228 Industrial St,_</t>
  </si>
  <si>
    <t>(352) 578-8078</t>
  </si>
  <si>
    <t>59 Northeast 132nd Ave, Phone: nan_.</t>
  </si>
  <si>
    <t>(803) 755-6630</t>
  </si>
  <si>
    <t>nan, Phone: (803) 892-6282 plea_.</t>
  </si>
  <si>
    <t>4400 Pidmont Parkway;</t>
  </si>
  <si>
    <t>1950-A South Van Ave , Phone: nan</t>
  </si>
  <si>
    <t>1962 S Van Ave, Phone: nan please</t>
  </si>
  <si>
    <t>(931) 707-9110</t>
  </si>
  <si>
    <t>586 WOODLAWN RD., Phone: 931,</t>
  </si>
  <si>
    <t>(256) 772-02.</t>
  </si>
  <si>
    <t>127 Jetplex Cir; Phone: (256) 772-02.</t>
  </si>
  <si>
    <t>251 County Rd 490, Phone: nan</t>
  </si>
  <si>
    <t>4020 45th Court SE, Phone_</t>
  </si>
  <si>
    <t>Custom Fab&amp;Machining - StJohn</t>
  </si>
  <si>
    <t>3991 Green Park Road,</t>
  </si>
  <si>
    <t>109 EJ</t>
  </si>
  <si>
    <t>309 Old Wrightsboro Road,</t>
  </si>
  <si>
    <t>(586)</t>
  </si>
  <si>
    <t>44250 NORTH AVE , SUITE 1, Phone: (586)</t>
  </si>
  <si>
    <t>(541) 389-8003</t>
  </si>
  <si>
    <t>(337) 237-3990</t>
  </si>
  <si>
    <t>1717 Renaud RD, Phone: 337-234-1665 pleas_</t>
  </si>
  <si>
    <t>(231) 547-5600</t>
  </si>
  <si>
    <t>112 North Grant, Phone: nan_</t>
  </si>
  <si>
    <t>1647 Oakhurs_</t>
  </si>
  <si>
    <t>211 South</t>
  </si>
  <si>
    <t>(256) 306-5000</t>
  </si>
  <si>
    <t>905 State Docks Road, Phone: (256) 306-_</t>
  </si>
  <si>
    <t>(205) 932-8944</t>
  </si>
  <si>
    <t>1470 County Road 21 South, Phone: nan</t>
  </si>
  <si>
    <t>(260) 347-1768</t>
  </si>
  <si>
    <t>865-933.</t>
  </si>
  <si>
    <t>2633 Rutledge Pike, Phone: 865-933.</t>
  </si>
  <si>
    <t>(864) 295-8200</t>
  </si>
  <si>
    <t>(610) 371-7202</t>
  </si>
  <si>
    <t>(731) 784-1100</t>
  </si>
  <si>
    <t>899 DANA DRIVE, Phone: 73-423-4941 please</t>
  </si>
  <si>
    <t>(662) 424-0252</t>
  </si>
  <si>
    <t>2146 B Hwy: 25 S., Phone: nan please respon __</t>
  </si>
  <si>
    <t>(901) 312-7187</t>
  </si>
  <si>
    <t>(520) 228-0135</t>
  </si>
  <si>
    <t>5020 E Arizola St, Phone: nan pleas_</t>
  </si>
  <si>
    <t>42010 Koppernick Road Suite 118,</t>
  </si>
  <si>
    <t>(616) 984-5520.</t>
  </si>
  <si>
    <t>nan, Phone: (616) 984-5520.</t>
  </si>
  <si>
    <t>(256) 876-0642</t>
  </si>
  <si>
    <t>BLDG 4505 Suite 301, Phone: nan please</t>
  </si>
  <si>
    <t>1809 Fashion Court Suite 110,</t>
  </si>
  <si>
    <t>(903) 334-4349</t>
  </si>
  <si>
    <t>1OTH STREET AND K AVE, Phone:</t>
  </si>
  <si>
    <t>25600 S Chrisman Road,</t>
  </si>
  <si>
    <t>(248) 393-2304</t>
  </si>
  <si>
    <t>1597 ATLANTIC__</t>
  </si>
  <si>
    <t>(614) 692-7217</t>
  </si>
  <si>
    <t>PO Box 3990, Phone: nan</t>
  </si>
  <si>
    <t>Defense Supply Center in</t>
  </si>
  <si>
    <t>700</t>
  </si>
  <si>
    <t>(804) 279-3861</t>
  </si>
  <si>
    <t>8000</t>
  </si>
  <si>
    <t>(229) 896-2201</t>
  </si>
  <si>
    <t>(815) 539-.</t>
  </si>
  <si>
    <t>347 N 43Rd Rd, Phone: (815) 539-.</t>
  </si>
  <si>
    <t>(408)</t>
  </si>
  <si>
    <t>801 Auzerais Ave, Phone: (408)</t>
  </si>
  <si>
    <t>PO. Box 80, Phone: nan</t>
  </si>
  <si>
    <t>(626) 30.</t>
  </si>
  <si>
    <t>1520 Flower Street, Phone: (626) 30.</t>
  </si>
  <si>
    <t>(925) 949-2772</t>
  </si>
  <si>
    <t>PO. Box 150,</t>
  </si>
  <si>
    <t>3440 Kauloos_</t>
  </si>
  <si>
    <t>4605 Airport Road,</t>
  </si>
  <si>
    <t>97.</t>
  </si>
  <si>
    <t>2204 Century Center Blvd , Phone: 97.</t>
  </si>
  <si>
    <t>1608 South 96th St , Phone: 206-763-2383</t>
  </si>
  <si>
    <t>9415 Stockport Place, Phone: 704 588 6600</t>
  </si>
  <si>
    <t>(731) 424-6306</t>
  </si>
  <si>
    <t>300 Patton St , Phone: nan please</t>
  </si>
  <si>
    <t>803-533-0158</t>
  </si>
  <si>
    <t>Hwy: 21 South; Phone: nan please</t>
  </si>
  <si>
    <t>552 Mid America Blvd , Phone: 501-_</t>
  </si>
  <si>
    <t>Hwy 20, Phone: (256) 353-6351 please respo_</t>
  </si>
  <si>
    <t>800.348.9030.</t>
  </si>
  <si>
    <t>265 TINSLEY ROAD, Phone: nan</t>
  </si>
  <si>
    <t>6708 East 47th Ave-, Phone: 303-399-.</t>
  </si>
  <si>
    <t>(616) 748-4673</t>
  </si>
  <si>
    <t>11274 Lakewood Boulevard,</t>
  </si>
  <si>
    <t>941 Magnolia Drive South; Phone: 601-928-4133</t>
  </si>
  <si>
    <t>281-890-4715</t>
  </si>
  <si>
    <t>1-800-756-4571</t>
  </si>
  <si>
    <t>PO. BOX 369031, Phone: nan please</t>
  </si>
  <si>
    <t>PO Box 118054, Phone:</t>
  </si>
  <si>
    <t>PO. Box 182264, Columbus; OH 43218-2264</t>
  </si>
  <si>
    <t>2000 MCFARLAND 400 BLVD,</t>
  </si>
  <si>
    <t>(219) 931-6344</t>
  </si>
  <si>
    <t>511 Staplesd Drive/Ind Park; Phone: 256-766 _</t>
  </si>
  <si>
    <t>318-448-0274</t>
  </si>
  <si>
    <t>529 Cenla Dr_, Phone: nan</t>
  </si>
  <si>
    <t>105 N Liberty St; Phone: (800) 884_</t>
  </si>
  <si>
    <t>3510 N. Orchard Knob, Phone: nan please respond</t>
  </si>
  <si>
    <t>PO Box 20646, Phone: (205)</t>
  </si>
  <si>
    <t>Airport Industrial Park; Phone: 620-251-2000 pleas</t>
  </si>
  <si>
    <t>605 W Washington St; Phone: (334)</t>
  </si>
  <si>
    <t>1-800-903-6610</t>
  </si>
  <si>
    <t>2401 West 26th Street; Phone: nan please</t>
  </si>
  <si>
    <t>ZGA ARTHUR AIGELTINGER, Phone:</t>
  </si>
  <si>
    <t>419-477-533.</t>
  </si>
  <si>
    <t>2515 Township Road 36,Phone: 419-477-533.</t>
  </si>
  <si>
    <t>7920-14Th Street West;</t>
  </si>
  <si>
    <t>1490 94th Lane NE, Phone: nan please respon_</t>
  </si>
  <si>
    <t>2996 Progress Street, Phone: (800)</t>
  </si>
  <si>
    <t>12214 Lakewood Blvd , Phone: nan please</t>
  </si>
  <si>
    <t>(501) 568-3116</t>
  </si>
  <si>
    <t>(256) 350.</t>
  </si>
  <si>
    <t>412 8th Avenue NE; Phone: (256) 350.</t>
  </si>
  <si>
    <t>DRSperry&amp;- North Aurora</t>
  </si>
  <si>
    <t>763-428-</t>
  </si>
  <si>
    <t>5421 Quam Avenue NE, Phone: 800-_</t>
  </si>
  <si>
    <t>804-.</t>
  </si>
  <si>
    <t>8000 Jefferson Davis Highway; Phone: 804-.</t>
  </si>
  <si>
    <t>PO Box 3990,Phone: 614- _</t>
  </si>
  <si>
    <t>(970) 874-7571</t>
  </si>
  <si>
    <t>1820 1600 Road, Phone: (970) 32_</t>
  </si>
  <si>
    <t>Dubuque Hose&amp;Hyd</t>
  </si>
  <si>
    <t>563-582-.</t>
  </si>
  <si>
    <t>500 East 14th St,, Phone: 563-582-.</t>
  </si>
  <si>
    <t>205-849-0069</t>
  </si>
  <si>
    <t>1112 West Charity Road, Phone:</t>
  </si>
  <si>
    <t>2400 Lake Orange Dr #130,Phone:</t>
  </si>
  <si>
    <t>2511 20TH ST, Phone: 815-399-1748</t>
  </si>
  <si>
    <t>2050 DELAWARE_</t>
  </si>
  <si>
    <t>(713) 996-4883</t>
  </si>
  <si>
    <t>PO BOX 1697,Phone: nan</t>
  </si>
  <si>
    <t>277 Sherwood Road</t>
  </si>
  <si>
    <t>831 Ind Blvd , Phone: (979) 823-2690</t>
  </si>
  <si>
    <t>4018 Bishop Lane, Phone:</t>
  </si>
  <si>
    <t>2323 Crowne Point Drive;</t>
  </si>
  <si>
    <t>Dynamic Tool&amp;Engin - StJames</t>
  </si>
  <si>
    <t>(708) 333-9300</t>
  </si>
  <si>
    <t>12809 South Homa_</t>
  </si>
  <si>
    <t>1320 Stylemaster Dr,, Phone:_</t>
  </si>
  <si>
    <t>(989) 739-9118</t>
  </si>
  <si>
    <t>1333 South Daysville Road, Phone:</t>
  </si>
  <si>
    <t>152 H Blades Lane, Phone: 410-760 _</t>
  </si>
  <si>
    <t>953 East 12, Phone: 814-454_</t>
  </si>
  <si>
    <t>101 Ambrogio Drive Unit !,</t>
  </si>
  <si>
    <t>(432) 333-9587</t>
  </si>
  <si>
    <t>816-.</t>
  </si>
  <si>
    <t>11 SW Industrial Drive, Phone: 816-.</t>
  </si>
  <si>
    <t>600 S Washington</t>
  </si>
  <si>
    <t>(405) 273-2260</t>
  </si>
  <si>
    <t>8701 W. Harrison; Phone: nan please respond_</t>
  </si>
  <si>
    <t>26201 Northwestern Highway;</t>
  </si>
  <si>
    <t>(586) 792-3320</t>
  </si>
  <si>
    <t>50300 Patricia St; Phone: 586-855-6361 please</t>
  </si>
  <si>
    <t>17471 HWY: 15 N, Phone: 662-837-5500 please</t>
  </si>
  <si>
    <t>11818 James</t>
  </si>
  <si>
    <t>EDillion&amp;- Swords Creek</t>
  </si>
  <si>
    <t>1760 Kivingston Avenue; Phone:</t>
  </si>
  <si>
    <t>8540.</t>
  </si>
  <si>
    <t>EJVarholy&amp;Sons</t>
  </si>
  <si>
    <t>1620 Blairs Ferry</t>
  </si>
  <si>
    <t>Hwy 20 East; Phone: nan please</t>
  </si>
  <si>
    <t>828 4th St,, Phone: nan please respon_</t>
  </si>
  <si>
    <t>EMP - Erie Mill&amp;Press</t>
  </si>
  <si>
    <t>1501</t>
  </si>
  <si>
    <t>5 Rutledge Circle, Phone: (704) 68_</t>
  </si>
  <si>
    <t>1426 Natchitoches Street, Phone: 318-537- _</t>
  </si>
  <si>
    <t>972-685 .</t>
  </si>
  <si>
    <t>1325 W Royal Lane; Phone: 972-685 .</t>
  </si>
  <si>
    <t>660-429-2165</t>
  </si>
  <si>
    <t>617 N. Ridgeview Drive; Phone: nan please respon_</t>
  </si>
  <si>
    <t>573-334-0563</t>
  </si>
  <si>
    <t>1421 SOUTH WEST END BLVD; Phone: nan</t>
  </si>
  <si>
    <t>Erie Mill&amp;Press (EMPCO)</t>
  </si>
  <si>
    <t>802-266-3355</t>
  </si>
  <si>
    <t>4540 Beidler Road, Phone: 440-946- _</t>
  </si>
  <si>
    <t>2400 6Th _</t>
  </si>
  <si>
    <t>2100 S. Freeway, Phone: nan_</t>
  </si>
  <si>
    <t>660-446-3321</t>
  </si>
  <si>
    <t>25102</t>
  </si>
  <si>
    <t>2950 Northwest 17th Terrac_</t>
  </si>
  <si>
    <t>256-974-4639</t>
  </si>
  <si>
    <t>407-736-2000</t>
  </si>
  <si>
    <t>PO Box 385_x005F_x000D_
1009 Portwood Drive</t>
  </si>
  <si>
    <t>(256) 878-5010</t>
  </si>
  <si>
    <t>PO Box 385_XOOOD_</t>
  </si>
  <si>
    <t>40384 Hwy: 31, Phone: 256-784-6284_</t>
  </si>
  <si>
    <t>641-782-8521</t>
  </si>
  <si>
    <t>252-261-3564</t>
  </si>
  <si>
    <t>PO. Box 137, Phone: nan please respond with ope_</t>
  </si>
  <si>
    <t>620-241-3532.</t>
  </si>
  <si>
    <t>500 N 81 Bypass, Phone: nan please respond wit_</t>
  </si>
  <si>
    <t>8765 Old Craft Road, Phone: 662-895 _</t>
  </si>
  <si>
    <t>615-316-1800</t>
  </si>
  <si>
    <t>1708 Elm Hill Pike_</t>
  </si>
  <si>
    <t>877-450-2518</t>
  </si>
  <si>
    <t>248-373-6000</t>
  </si>
  <si>
    <t>1200</t>
  </si>
  <si>
    <t>1113 Hatley Road, Phone: (662) 256-9665</t>
  </si>
  <si>
    <t>2501 S West St, Phone: nan please</t>
  </si>
  <si>
    <t>501-568-4010</t>
  </si>
  <si>
    <t>2700 West 65 St, Phone: nan please</t>
  </si>
  <si>
    <t>1885 Olympic Drive; Phone: 770-475-1680</t>
  </si>
  <si>
    <t>65</t>
  </si>
  <si>
    <t>904- .</t>
  </si>
  <si>
    <t>455 Roberts St , Phone: 904- .</t>
  </si>
  <si>
    <t>766 Squirrel Hollow Drive; Phone: nan please</t>
  </si>
  <si>
    <t>1006 West Old Andrew</t>
  </si>
  <si>
    <t>3902 A KELLEY ST:</t>
  </si>
  <si>
    <t>100 Michael Angelo Way, Phone: 512-834-200_</t>
  </si>
  <si>
    <t>707 Lehman, Phone: nan please</t>
  </si>
  <si>
    <t>(770)</t>
  </si>
  <si>
    <t>1790 Corporate Drive, Phone: (770)</t>
  </si>
  <si>
    <t>14802 W. 117th Street; Phone: (913)</t>
  </si>
  <si>
    <t>4400 South Irby Street; Phon_</t>
  </si>
  <si>
    <t>(863) 425-2100</t>
  </si>
  <si>
    <t>407-.</t>
  </si>
  <si>
    <t>5627 Commerce Dr; Phone: 407-.</t>
  </si>
  <si>
    <t>(904) 693-7205</t>
  </si>
  <si>
    <t>19222 Fairfax</t>
  </si>
  <si>
    <t>Flow Dynamics&amp;Automation- Birmingham</t>
  </si>
  <si>
    <t>Flow Dynamics&amp;Automation- Fairhope</t>
  </si>
  <si>
    <t>(800) 89.</t>
  </si>
  <si>
    <t>2626 W: Addison St , Phone: (800) 89.</t>
  </si>
  <si>
    <t>2101 NW Brickyard Road, Phone: 7852326036 pleas_</t>
  </si>
  <si>
    <t>849 Pickens Ind Dr , Suite 7, Phone:</t>
  </si>
  <si>
    <t>(603)</t>
  </si>
  <si>
    <t>50 Meditation Lane, Phone: (603)</t>
  </si>
  <si>
    <t>803) 773-1825.</t>
  </si>
  <si>
    <t>(508) 481-8881 .</t>
  </si>
  <si>
    <t>Unit A5</t>
  </si>
  <si>
    <t>5217 Augusta Highway; _</t>
  </si>
  <si>
    <t>805A North McKenzie St , Phone:</t>
  </si>
  <si>
    <t>PO. Box 16552,Phone: (601)_</t>
  </si>
  <si>
    <t>337-330-0200</t>
  </si>
  <si>
    <t>133 Fouct Road, Phone: 337-_</t>
  </si>
  <si>
    <t>PO. Box 11037,Phone:</t>
  </si>
  <si>
    <t>2315 South 170Th</t>
  </si>
  <si>
    <t>(816) 777-1273</t>
  </si>
  <si>
    <t>7819 Cons_</t>
  </si>
  <si>
    <t>8430 N.E: Killingsworth;</t>
  </si>
  <si>
    <t>Operating Under</t>
  </si>
  <si>
    <t>5599 W: Grand River Ave; Phone: 517-321-5609 plea_</t>
  </si>
  <si>
    <t>(706) 563-7882</t>
  </si>
  <si>
    <t>(708) 479-3500</t>
  </si>
  <si>
    <t>9150 191st Street, Phone: (708) 479-_</t>
  </si>
  <si>
    <t>nan, Phone: 706-864-8757 please respond wit _</t>
  </si>
  <si>
    <t>Adolph Road; Phone: 304-335-6108 please respon_</t>
  </si>
  <si>
    <t>(256) 845-2460</t>
  </si>
  <si>
    <t>7205 Gault Ave N, Phone: 256-845-_</t>
  </si>
  <si>
    <t>5867 W. Grand River Ave;</t>
  </si>
  <si>
    <t>+507 6614-7607</t>
  </si>
  <si>
    <t>Ave</t>
  </si>
  <si>
    <t>1074 Bry Hollow Road,</t>
  </si>
  <si>
    <t>1468 Northpark Drive; Phone: 256-308-1110</t>
  </si>
  <si>
    <t>1035 Hwy: 59 South, Phone: (218) 84_</t>
  </si>
  <si>
    <t>Tranters Creek Dr, Phone: nan please respond wit_</t>
  </si>
  <si>
    <t>351-643.</t>
  </si>
  <si>
    <t>4172 Halls Mill Road, Phone: 351-643.</t>
  </si>
  <si>
    <t>1700 Suburban Dr_, Phone: nan please respond with</t>
  </si>
  <si>
    <t>316-796-0930</t>
  </si>
  <si>
    <t>121 S. Wichita Street, Phone: nan</t>
  </si>
  <si>
    <t>251-943-7587</t>
  </si>
  <si>
    <t>G&amp;G Lumber - Harmony</t>
  </si>
  <si>
    <t>PO Box 53,Phone: (704)</t>
  </si>
  <si>
    <t>243 Industrial Park, Phone: nan please respond_</t>
  </si>
  <si>
    <t>West Mill Street; Phone: nan please respond</t>
  </si>
  <si>
    <t>G&amp;M Die Casting</t>
  </si>
  <si>
    <t>G&amp;S Hyd</t>
  </si>
  <si>
    <t>2003 Timber Lane; Phone: 205-682 _</t>
  </si>
  <si>
    <t>(615) 230-9500</t>
  </si>
  <si>
    <t>92 Wiggins St_, Phone: 256-442-136._</t>
  </si>
  <si>
    <t>12273 Al Highway 75, Phone: (256)</t>
  </si>
  <si>
    <t>(386) 325-2001</t>
  </si>
  <si>
    <t>234 Comfort Road, Phone:</t>
  </si>
  <si>
    <t>(973)</t>
  </si>
  <si>
    <t>950 River Dr; Phone: (973)</t>
  </si>
  <si>
    <t>(508)</t>
  </si>
  <si>
    <t>1199 W Central St, Phone: (508)</t>
  </si>
  <si>
    <t>111 Ouachita 30_</t>
  </si>
  <si>
    <t>11 Nw 4th Ave; Phone:</t>
  </si>
  <si>
    <t>101 Gates Ln, Phone: (336) 246- _</t>
  </si>
  <si>
    <t>(601) 802-8896</t>
  </si>
  <si>
    <t>461 Haining Rd,, Phone: nan please respond</t>
  </si>
  <si>
    <t>(812) 334-1144</t>
  </si>
  <si>
    <t>2328 Point Mallard Drive; Phone: (256) 552-1305</t>
  </si>
  <si>
    <t>GEA DPO - Dock 6 M&amp;R</t>
  </si>
  <si>
    <t>(918) 234-3044</t>
  </si>
  <si>
    <t>1111 N. 161st East Avenue; Phone: nan pleas_</t>
  </si>
  <si>
    <t>(870).</t>
  </si>
  <si>
    <t>200 General St, Phone: (870).</t>
  </si>
  <si>
    <t>701 N 2Oth Street, Phone: (314)_</t>
  </si>
  <si>
    <t>3255 Thomason Ave; Phone: nan please respond wit_</t>
  </si>
  <si>
    <t>801 Ferst Drive, Phone: 678-_</t>
  </si>
  <si>
    <t>(919) 734-6286</t>
  </si>
  <si>
    <t>2457-B Old Mount Olive</t>
  </si>
  <si>
    <t>5482 Junction City</t>
  </si>
  <si>
    <t>Hwy 67 N. #1 IP Lane, Phone:</t>
  </si>
  <si>
    <t>234 Comfort Road_</t>
  </si>
  <si>
    <t>(870) 415-6363</t>
  </si>
  <si>
    <t>100 Mill Supply Rd; Phone: nan</t>
  </si>
  <si>
    <t>PO Box 3115 _</t>
  </si>
  <si>
    <t>(706) 290-6252</t>
  </si>
  <si>
    <t>5963 Alabama_</t>
  </si>
  <si>
    <t>(904) 266-4261</t>
  </si>
  <si>
    <t>16670 Rebar Road, Phone: nan pleas_</t>
  </si>
  <si>
    <t>(870) 597-4317</t>
  </si>
  <si>
    <t>7084</t>
  </si>
  <si>
    <t>16209 North Florida Avenue; Phone:</t>
  </si>
  <si>
    <t>10785 Pleasure Heights Rd , Phone: nan plea_</t>
  </si>
  <si>
    <t>(314) 423-9460</t>
  </si>
  <si>
    <t>9550 True Drive, Phone: (800_</t>
  </si>
  <si>
    <t>(850) 584-3401</t>
  </si>
  <si>
    <t>509 South Byron Butler</t>
  </si>
  <si>
    <t>(478) 772-5060</t>
  </si>
  <si>
    <t>3780</t>
  </si>
  <si>
    <t>478-772-5060.</t>
  </si>
  <si>
    <t>Highway #80 West; Phone: 478-676- _</t>
  </si>
  <si>
    <t>contact info only</t>
  </si>
  <si>
    <t>(912) 449-6605</t>
  </si>
  <si>
    <t>4804 Gilman Rd,</t>
  </si>
  <si>
    <t>(850) 584-2370</t>
  </si>
  <si>
    <t>1509 So. Byron Butler PWY,_</t>
  </si>
  <si>
    <t>GL&amp;V USA - Hudson Falls</t>
  </si>
  <si>
    <t>1203 Ozark; Phone: 816-221-4774</t>
  </si>
  <si>
    <t>(253) 383-2584</t>
  </si>
  <si>
    <t>PO Box 2274,Phone: nan please</t>
  </si>
  <si>
    <t>586-.</t>
  </si>
  <si>
    <t>33500 Mound Road, Phone: 586-.</t>
  </si>
  <si>
    <t>652 Glenbrook Rd #8, Phone: (203_</t>
  </si>
  <si>
    <t>(913) 321-4600</t>
  </si>
  <si>
    <t>1715 Amity Hill Road,</t>
  </si>
  <si>
    <t>960 Powell Ave; Phone: (204) 697-12__</t>
  </si>
  <si>
    <t>111 Airport Drive_</t>
  </si>
  <si>
    <t>716-879-8200</t>
  </si>
  <si>
    <t>1144 East Market Street,</t>
  </si>
  <si>
    <t>(409) 794-5200</t>
  </si>
  <si>
    <t>5023 Hazel Jones, Phone: nan please respond wit_</t>
  </si>
  <si>
    <t>PO. Box 48778, Phone: 847-793-6344 please</t>
  </si>
  <si>
    <t>455 Knights Bridge Parkway; Phone: 847-793-640__</t>
  </si>
  <si>
    <t>State Road 100, Phone-</t>
  </si>
  <si>
    <t>(765) 521-8000</t>
  </si>
  <si>
    <t>415 Gerrard, Phone: 256-764-0995_</t>
  </si>
  <si>
    <t>281-470-4400</t>
  </si>
  <si>
    <t>10700 Strang Road, Phone: nan pleas_</t>
  </si>
  <si>
    <t>812-659-3399</t>
  </si>
  <si>
    <t>7111 Griffin Road, Phone: (913)</t>
  </si>
  <si>
    <t>174 NE Cortez Terr , Phone: 386-755- _</t>
  </si>
  <si>
    <t>989-453-2322</t>
  </si>
  <si>
    <t>903-693-231</t>
  </si>
  <si>
    <t>400 East Cotton St , Phone: 903-407-5494 please</t>
  </si>
  <si>
    <t>(314) 231-9423</t>
  </si>
  <si>
    <t>5 N MARKET ST, Phone_</t>
  </si>
  <si>
    <t>(614) 868-8414</t>
  </si>
  <si>
    <t>7301 Pinemont Dr , Phone: 713-934 _</t>
  </si>
  <si>
    <t>6209</t>
  </si>
  <si>
    <t>3415 Halls Mill Road, Phone:_</t>
  </si>
  <si>
    <t>5201 Tampa West Blvd,</t>
  </si>
  <si>
    <t>10420 Lamey</t>
  </si>
  <si>
    <t>39611 West | 55 Service Roa_</t>
  </si>
  <si>
    <t>337-365-4342</t>
  </si>
  <si>
    <t>3111 Jack Brooks Rd. off</t>
  </si>
  <si>
    <t>(815) 964-7124</t>
  </si>
  <si>
    <t>41-</t>
  </si>
  <si>
    <t>5508 Jug Factory Rd, Phone:</t>
  </si>
  <si>
    <t>H&amp;H Equipment Co.</t>
  </si>
  <si>
    <t>H&amp;H Hyd - Fruita</t>
  </si>
  <si>
    <t>21251 Ryan Road , Phone: (586) 758-_</t>
  </si>
  <si>
    <t>1020 National Highway; Phone:</t>
  </si>
  <si>
    <t>(800) 73</t>
  </si>
  <si>
    <t>27 US Highway 41 $</t>
  </si>
  <si>
    <t>2601 Beltline Road, Phone:</t>
  </si>
  <si>
    <t>573 State Circle, Phone: (734_</t>
  </si>
  <si>
    <t>804E Park Ave, Phone: nan please respond</t>
  </si>
  <si>
    <t>309-478</t>
  </si>
  <si>
    <t>1701 Boone Blvd, Phone: nan please respond</t>
  </si>
  <si>
    <t>108 South Nursery Road, Phone: Pho.</t>
  </si>
  <si>
    <t>4430 Hanson Rd , Phone: 270-825- _</t>
  </si>
  <si>
    <t>Hart&amp;Cooley- Huntsville</t>
  </si>
  <si>
    <t>4910 Moores Mill Road NE, Phone _</t>
  </si>
  <si>
    <t>6967 US</t>
  </si>
  <si>
    <t>2000 West Deffenbaugh, Phone: nan _</t>
  </si>
  <si>
    <t>800 W. Jefferson Street; Phone: nan</t>
  </si>
  <si>
    <t>(618) 662-4402</t>
  </si>
  <si>
    <t>#5 Industrial Park, Phone: nan please</t>
  </si>
  <si>
    <t>533 Trinity Lane; Phone: 355-9568</t>
  </si>
  <si>
    <t>2305 Taylorsville Road, Phone: (502)</t>
  </si>
  <si>
    <t>(513) 755-4060</t>
  </si>
  <si>
    <t>3151 Eastern Avenue; Phone_</t>
  </si>
  <si>
    <t>(937) 623-3082</t>
  </si>
  <si>
    <t>(317) 431-6020</t>
  </si>
  <si>
    <t>5172 E. 65th Street; Phone:</t>
  </si>
  <si>
    <t>(812) 202-9446</t>
  </si>
  <si>
    <t>312 Crillon Drive; Phone: (85_</t>
  </si>
  <si>
    <t>(614) 330-4279</t>
  </si>
  <si>
    <t>808 High Street; Phone: (614_</t>
  </si>
  <si>
    <t>(800) 777-5617</t>
  </si>
  <si>
    <t>1016 N. Belcher Road_</t>
  </si>
  <si>
    <t>Highway 92 $, Phone: (405)</t>
  </si>
  <si>
    <t>(440)</t>
  </si>
  <si>
    <t>1201 Taylor Street; Phone: (440)</t>
  </si>
  <si>
    <t>Hg Toler&amp;Son Lumber - Leola</t>
  </si>
  <si>
    <t>(920) 894-2221</t>
  </si>
  <si>
    <t>(724) 867-9441</t>
  </si>
  <si>
    <t>4965 Emlenton - Clintonville</t>
  </si>
  <si>
    <t>High&amp;High</t>
  </si>
  <si>
    <t>(252) 257-2390</t>
  </si>
  <si>
    <t>985 Old Mason Hwy-, Phone: nan please</t>
  </si>
  <si>
    <t>(602) 484-9331</t>
  </si>
  <si>
    <t>43 North 48th Ave, Phone: nan pleas _</t>
  </si>
  <si>
    <t>(330) 359-5721</t>
  </si>
  <si>
    <t>14520 NE 91st Ct , Phone: (425) 883-_</t>
  </si>
  <si>
    <t>400 Aviation</t>
  </si>
  <si>
    <t>419 Frost Industrial Boulevard,</t>
  </si>
  <si>
    <t>931-962-333.</t>
  </si>
  <si>
    <t>466 Baxter Lane; Phone: 931-962-333.</t>
  </si>
  <si>
    <t>(832) 237-2787</t>
  </si>
  <si>
    <t>(603) 746-4691</t>
  </si>
  <si>
    <t>(724) 459-5090</t>
  </si>
  <si>
    <t>(252) 492-7541</t>
  </si>
  <si>
    <t>(800) 257-9491</t>
  </si>
  <si>
    <t>(205) 854-4330</t>
  </si>
  <si>
    <t>3300 Pinson Valley Parkway;</t>
  </si>
  <si>
    <t>3520 Westmoor St_, Phon_</t>
  </si>
  <si>
    <t>961 Rombach Ave; Phone: nan pleas _</t>
  </si>
  <si>
    <t>(229) 228-0707</t>
  </si>
  <si>
    <t>1033 South Reynolds St_, Phone: nan please respond</t>
  </si>
  <si>
    <t>306 Wilkerson, Phone: nan please respond wit_</t>
  </si>
  <si>
    <t>(402) 753-3200</t>
  </si>
  <si>
    <t>900 South Platte Avenue; Phone:</t>
  </si>
  <si>
    <t>(713) 692-4421</t>
  </si>
  <si>
    <t>8101 Pinemont Dr , Phone: nan pleas_</t>
  </si>
  <si>
    <t>9909 Wallisville Rd_, Phon_</t>
  </si>
  <si>
    <t>(757) 838-4680</t>
  </si>
  <si>
    <t>1020 National Hwy, Phone: (336)</t>
  </si>
  <si>
    <t>1020 N.W. 6Th Street; Buildin_</t>
  </si>
  <si>
    <t>1203 Ozark, Phone: (816) 221-4774 _</t>
  </si>
  <si>
    <t>Hst Inc - Rochester</t>
  </si>
  <si>
    <t>4860 Biscayne Avenue; Phone: nan</t>
  </si>
  <si>
    <t>(337) 837-4114</t>
  </si>
  <si>
    <t>728 Hill Street; Phone: 504-733-0900</t>
  </si>
  <si>
    <t>3100 Morgan Road, Bessemer; AL 35022</t>
  </si>
  <si>
    <t>985-345-6181</t>
  </si>
  <si>
    <t>318-765-3564</t>
  </si>
  <si>
    <t>860 Hwy: 924,Phone: nan please</t>
  </si>
  <si>
    <t>706-322-0648</t>
  </si>
  <si>
    <t>628 South Oakview Ave., Phone: nan</t>
  </si>
  <si>
    <t>3490 US Highway 23 N, Phone: 989- _</t>
  </si>
  <si>
    <t>203 South Main, Phone: (573) 374 _</t>
  </si>
  <si>
    <t>479-365-6610</t>
  </si>
  <si>
    <t>nan, Phone: 800-529-0854 please</t>
  </si>
  <si>
    <t>37505 Browns Villiage Road; Phone: 985-645-872_</t>
  </si>
  <si>
    <t>4300 Veterans Memorial</t>
  </si>
  <si>
    <t>661-</t>
  </si>
  <si>
    <t>1185 West Corporate Drive,</t>
  </si>
  <si>
    <t>5308 Industrial Drive; Phone _</t>
  </si>
  <si>
    <t>2537 |-85 South, Phone: (704_</t>
  </si>
  <si>
    <t>950 W: North Carrier</t>
  </si>
  <si>
    <t>1000 Muirfield Drive,</t>
  </si>
  <si>
    <t>2801 Peters Road; Phone:</t>
  </si>
  <si>
    <t>1019 Rankin Road, Phone:</t>
  </si>
  <si>
    <t>5035 Saint Augustine Roa_</t>
  </si>
  <si>
    <t>9514 Interstate 30,Phone:</t>
  </si>
  <si>
    <t>7795 NW 53rd Street, Phone: (305_</t>
  </si>
  <si>
    <t>(770) 986-9999</t>
  </si>
  <si>
    <t>3180 Reps Miller Road, Suite_</t>
  </si>
  <si>
    <t>2701 SE 1Sth Street,</t>
  </si>
  <si>
    <t>310 Stockton Street; Phone:</t>
  </si>
  <si>
    <t>4235 South W.W: White Road,</t>
  </si>
  <si>
    <t>3001 North SOth Street;</t>
  </si>
  <si>
    <t>6285 Rangeline Road, Phone_</t>
  </si>
  <si>
    <t>4840 Hammermill Road,</t>
  </si>
  <si>
    <t>1499 Natchitoches Street_</t>
  </si>
  <si>
    <t>6042 Old Tuscaloosa Hwy, Phone: 20._</t>
  </si>
  <si>
    <t>210 Fortson Street, Phone: (318) 221 _</t>
  </si>
  <si>
    <t>(732) 739-2122</t>
  </si>
  <si>
    <t>Hydraulic services at Fort</t>
  </si>
  <si>
    <t>Hydra-Motion Winnipeg contact info</t>
  </si>
  <si>
    <t>(204) 696-XXXX</t>
  </si>
  <si>
    <t>Hydra-Power Systems in Birmingham</t>
  </si>
  <si>
    <t>Hydraquip Arlington contact info</t>
  </si>
  <si>
    <t>(972) 660-____</t>
  </si>
  <si>
    <t>HYDRAQUIP location</t>
  </si>
  <si>
    <t>1122 W North Carrier</t>
  </si>
  <si>
    <t>Hydraquip Houston contact info</t>
  </si>
  <si>
    <t>(713) 680-191_</t>
  </si>
  <si>
    <t>(504) 471 _</t>
  </si>
  <si>
    <t>Hydraquip Longview contact info</t>
  </si>
  <si>
    <t>(210) E</t>
  </si>
  <si>
    <t>Hydraquip Tulsa details found</t>
  </si>
  <si>
    <t>4130 S 7Oth East Ave</t>
  </si>
  <si>
    <t>(863) 293-981_</t>
  </si>
  <si>
    <t>Hydraulic and Pneumatic Sales</t>
  </si>
  <si>
    <t>Ask anything (no specific phone number given)</t>
  </si>
  <si>
    <t>11100 Park _ E</t>
  </si>
  <si>
    <t>Hydraulic Automated Systems contact</t>
  </si>
  <si>
    <t>Hydraulic component services found</t>
  </si>
  <si>
    <t>8010 New E</t>
  </si>
  <si>
    <t>Hydraulic component services</t>
  </si>
  <si>
    <t>1760 Springdale Rd</t>
  </si>
  <si>
    <t>Hydraulic component specialists</t>
  </si>
  <si>
    <t>5446 Barker E</t>
  </si>
  <si>
    <t>Hydraulic Controls Denver info</t>
  </si>
  <si>
    <t>Hydraulic Controls Inc found</t>
  </si>
  <si>
    <t>303-____</t>
  </si>
  <si>
    <t>10550 East S4th Avenue</t>
  </si>
  <si>
    <t>Hydraulic Controls Inc info</t>
  </si>
  <si>
    <t>619-</t>
  </si>
  <si>
    <t>402 W. 35th St</t>
  </si>
  <si>
    <t>Hydraulic cylinder repair services</t>
  </si>
  <si>
    <t>Hydraulic Energy info available</t>
  </si>
  <si>
    <t>Hydraulic Engineering Services-COD contact</t>
  </si>
  <si>
    <t>Hydraulic Hose and Cylinder</t>
  </si>
  <si>
    <t>Hydraulic Parts and Service</t>
  </si>
  <si>
    <t>816-221-____</t>
  </si>
  <si>
    <t>Hydraulic Repair Corporation</t>
  </si>
  <si>
    <t>2503 Detroit E</t>
  </si>
  <si>
    <t>Hydraulic Repair&amp;Design info found</t>
  </si>
  <si>
    <t>253-</t>
  </si>
  <si>
    <t>Hydraulic repair and engineering</t>
  </si>
  <si>
    <t>3660 Southwest [insert street number] E, [insert city]</t>
  </si>
  <si>
    <t>Phonez</t>
  </si>
  <si>
    <t>Hydraulic sales and service</t>
  </si>
  <si>
    <t>E (phone number not provided)</t>
  </si>
  <si>
    <t>Hydraulic Service Company</t>
  </si>
  <si>
    <t>3315-B Chelton E</t>
  </si>
  <si>
    <t>(586) E</t>
  </si>
  <si>
    <t>Hydraulic service and sales</t>
  </si>
  <si>
    <t>none</t>
  </si>
  <si>
    <t>4445 Hancock E</t>
  </si>
  <si>
    <t>Hydraulic service and supply</t>
  </si>
  <si>
    <t>(863) E</t>
  </si>
  <si>
    <t>Hydraulic Services Inc in</t>
  </si>
  <si>
    <t>(E)</t>
  </si>
  <si>
    <t>Hydraulic Specialists Inc -</t>
  </si>
  <si>
    <t>Hydraulic Specialty location</t>
  </si>
  <si>
    <t>Hydraulic Specialty info</t>
  </si>
  <si>
    <t>Hydraulic supply company</t>
  </si>
  <si>
    <t>(954) XXXXXXX</t>
  </si>
  <si>
    <t>300 Internationab Pkwy;</t>
  </si>
  <si>
    <t>Hydraulic Supply Co. contact</t>
  </si>
  <si>
    <t>Hydraulic Supply contact info</t>
  </si>
  <si>
    <t xml:space="preserve">Hydraulic Supply&amp;Service </t>
  </si>
  <si>
    <t>Hydraulic and Air Repair</t>
  </si>
  <si>
    <t>485 East South_ E</t>
  </si>
  <si>
    <t>Hydraulic&amp;Pneumatic Sales - Charlotte</t>
  </si>
  <si>
    <t>HYDRAULIC&amp;PNEUMATIC SERVICE info</t>
  </si>
  <si>
    <t>HYDRAULIC&amp;PNEUMATIC SERVICE information requested</t>
  </si>
  <si>
    <t>Hydraulics of Texas contact</t>
  </si>
  <si>
    <t>Phonez_ E (assuming this is a phone number format)</t>
  </si>
  <si>
    <t>(800)-</t>
  </si>
  <si>
    <t>540 Carson Road North; Phone: (800)-</t>
  </si>
  <si>
    <t>1724 Chico Ave , Phone: nan please respond with</t>
  </si>
  <si>
    <t>0661 Widmer Rd; Phone: (913) 469-0880</t>
  </si>
  <si>
    <t>(800) 779-.</t>
  </si>
  <si>
    <t>959 E: Phelps St, Phone: (800) 779-.</t>
  </si>
  <si>
    <t>1367 S. ANNA, Phone: (800) 234-104_</t>
  </si>
  <si>
    <t>(806) 376-1466</t>
  </si>
  <si>
    <t>2311 W: Eighth St, Phone: 620-251-_</t>
  </si>
  <si>
    <t>1925 West 6th Street, Phone: 800-950-9983 pleas_</t>
  </si>
  <si>
    <t>360F Donaldson Road, Phone: 859-371-7358</t>
  </si>
  <si>
    <t>3845 West Jones, Phone: 800-362-2198 pleas _</t>
  </si>
  <si>
    <t>(308) 384-9942</t>
  </si>
  <si>
    <t>236 W.roberts St_Ste B, Phone: 308-384-9942_</t>
  </si>
  <si>
    <t>5101 &amp;th Street, Phone: 800-333-5916 please</t>
  </si>
  <si>
    <t>(417) 781-2112</t>
  </si>
  <si>
    <t>(816) 842-1963</t>
  </si>
  <si>
    <t>1700 Cherry; Phone: 816-842-1963 please</t>
  </si>
  <si>
    <t>7029 SO. 1O7th Street, Phone: 402-331-3104</t>
  </si>
  <si>
    <t>(800) 688-9148</t>
  </si>
  <si>
    <t>1111 East Znd Street; Phone: 800-688-9148 please</t>
  </si>
  <si>
    <t>(402) 466-1166</t>
  </si>
  <si>
    <t>(806) 747-0090</t>
  </si>
  <si>
    <t>9400 West 55th Street, Phone: (800) 444-8202</t>
  </si>
  <si>
    <t>512 North Douglas Avenue; Phone:</t>
  </si>
  <si>
    <t>7029 South 1O7th street, Phone: 402-592-2626</t>
  </si>
  <si>
    <t>(870) 247-5900</t>
  </si>
  <si>
    <t>5515 Jefferson Parkway; Phone: 800-272-220_</t>
  </si>
  <si>
    <t>2509 West Sth Street, Phone: 806-293-0090</t>
  </si>
  <si>
    <t>(210) 225-0090</t>
  </si>
  <si>
    <t>3453 |-35 North; Phone: 210-225-0090 please</t>
  </si>
  <si>
    <t>410 North State Fair Rd., Phone: 660-827-4280</t>
  </si>
  <si>
    <t>(479) 756-9980</t>
  </si>
  <si>
    <t>712 W.Randall Wobbe Ln, Phone: 479-756-99_</t>
  </si>
  <si>
    <t>1358 E. Chestnut</t>
  </si>
  <si>
    <t>1226 South 6th Street, Phone: 816-233-0233</t>
  </si>
  <si>
    <t>(314) 428-4284</t>
  </si>
  <si>
    <t>4323 Woodson Road, Phone: 314-428-4284 pleas</t>
  </si>
  <si>
    <t>305 East Crane; Phone: 785-233-1381 please</t>
  </si>
  <si>
    <t>(918) 438-8100</t>
  </si>
  <si>
    <t>11221 East Pine; Phone: 918-438-8100 please</t>
  </si>
  <si>
    <t>4323 Woodson, Phone: 314-428-4284 please</t>
  </si>
  <si>
    <t>337 Oakdale PI, Phone: (610) 328- _</t>
  </si>
  <si>
    <t>1610 Blairs Ferry Road, Phone: (800) 333-700,_</t>
  </si>
  <si>
    <t>2108 E Znd Street; Phone: (309) 799-1100</t>
  </si>
  <si>
    <t>1255 N Winchester Street, Phone: 800-437-4595 _</t>
  </si>
  <si>
    <t>3911 Merchant Road, Phone: 260-489-4575</t>
  </si>
  <si>
    <t>818-718-1414 .</t>
  </si>
  <si>
    <t>21040 OSBORNE STREET, Phone: 818-718-1414 .</t>
  </si>
  <si>
    <t>915-400</t>
  </si>
  <si>
    <t>25589 Highway 1, Phone: nan please</t>
  </si>
  <si>
    <t>1010</t>
  </si>
  <si>
    <t>IndusTREE Pole&amp;Piling - Goodwater</t>
  </si>
  <si>
    <t>(828) 466-2260</t>
  </si>
  <si>
    <t>1229 Commerce St SW, Phone: 828-_</t>
  </si>
  <si>
    <t>(931) 582-8844</t>
  </si>
  <si>
    <t>350 Fortner Road; Phone: 931-582._</t>
  </si>
  <si>
    <t>(954) 960-031</t>
  </si>
  <si>
    <t>943 West Copans_</t>
  </si>
  <si>
    <t>(615) 727-2270</t>
  </si>
  <si>
    <t>PO. Box 1313,Phone: 615- _</t>
  </si>
  <si>
    <t>1005 Western Drive; Phone:</t>
  </si>
  <si>
    <t>(904) 714-6950</t>
  </si>
  <si>
    <t>989 Imeson Park Blvd-Bldg: 100,</t>
  </si>
  <si>
    <t>(479) 498-2001</t>
  </si>
  <si>
    <t>635 Sweeden Road_</t>
  </si>
  <si>
    <t>703 Whitfield Street;</t>
  </si>
  <si>
    <t>1217 E: 1500 South; Vernal, Utah 84078</t>
  </si>
  <si>
    <t>Industrial Sales&amp;Service</t>
  </si>
  <si>
    <t>839 South Street, Phone:</t>
  </si>
  <si>
    <t>1905 Westwood Ave-, Phone: nan</t>
  </si>
  <si>
    <t>(706) 291-5459</t>
  </si>
  <si>
    <t>763-.</t>
  </si>
  <si>
    <t>9140 Zachary LN N, Phone: 763-.</t>
  </si>
  <si>
    <t>(612)</t>
  </si>
  <si>
    <t>901 Goldenrod Lane, Phone: (612)</t>
  </si>
  <si>
    <t>(763) 252-1181</t>
  </si>
  <si>
    <t>nan, Phone: 763-252-1181 please</t>
  </si>
  <si>
    <t>.</t>
  </si>
  <si>
    <t>1610 Blairs Ferry Road NE, Phone:.</t>
  </si>
  <si>
    <t>9380 Holly St. NW Suite B, Phone.</t>
  </si>
  <si>
    <t>(256) 464-3131</t>
  </si>
  <si>
    <t>118 CELTIC CIRCLE, Phone: 256-_</t>
  </si>
  <si>
    <t>INSTRUMENT&amp;VALVE SERVICES</t>
  </si>
  <si>
    <t>(713) 579-7300</t>
  </si>
  <si>
    <t>510 Industrial Blvd, Phone: 713-579-_</t>
  </si>
  <si>
    <t>(956) 843-9004</t>
  </si>
  <si>
    <t>10601 S. Jackson RD. Ste. 200, Phon_</t>
  </si>
  <si>
    <t>67 N #IIP Lane; Phon__.</t>
  </si>
  <si>
    <t>(757) 569-4321</t>
  </si>
  <si>
    <t>34040 Union Camp Dr,,</t>
  </si>
  <si>
    <t>(916) 927-3861</t>
  </si>
  <si>
    <t>(956) 725-8200</t>
  </si>
  <si>
    <t>13512 N Unitec Dr; Laredo, TX 78045</t>
  </si>
  <si>
    <t>(251) 662-4400</t>
  </si>
  <si>
    <t>12400 Highway 43 North, Phone: 251-662 _</t>
  </si>
  <si>
    <t>(828) 264-8861</t>
  </si>
  <si>
    <t>nan; Phone: nan please respond with open 0=</t>
  </si>
  <si>
    <t>(704) 878-5430</t>
  </si>
  <si>
    <t>354 Twin Oaks Rd , Phone:</t>
  </si>
  <si>
    <t>(269) 323-2441</t>
  </si>
  <si>
    <t>nan, Phone: nan please respond wit_.</t>
  </si>
  <si>
    <t>11612 Sun Belt Ct, Phone: (225) 751-9600 please</t>
  </si>
  <si>
    <t>(301) 994-9800</t>
  </si>
  <si>
    <t>16424 Piney Point Rd, Phone: 301 _</t>
  </si>
  <si>
    <t>(541) 756-5141</t>
  </si>
  <si>
    <t>1110 Bankhead Aveneu; Phone: 662-.</t>
  </si>
  <si>
    <t>(256) 739-3560</t>
  </si>
  <si>
    <t>1725 Orphans Home Road, Phone: 256-739 -_</t>
  </si>
  <si>
    <t>205-</t>
  </si>
  <si>
    <t>1500 Commerce Drive, Phone: 205-</t>
  </si>
  <si>
    <t>1600 Kinnard Drive, Phone: 615-791-1884</t>
  </si>
  <si>
    <t>J&amp;S Products - FtWorth</t>
  </si>
  <si>
    <t xml:space="preserve">J&amp;W Equip </t>
  </si>
  <si>
    <t>256-775-.</t>
  </si>
  <si>
    <t>4330 CO. RD. 703, Phone: 256-775-.</t>
  </si>
  <si>
    <t>(205) 535-3942</t>
  </si>
  <si>
    <t>1500 Commerce Drive, Phone:</t>
  </si>
  <si>
    <t>(250) 428-7106</t>
  </si>
  <si>
    <t>22975 Venture Drive, Phone: (800_</t>
  </si>
  <si>
    <t>17 Sandpiper Dr; Phone: (319) 359_</t>
  </si>
  <si>
    <t>6203 Chancellor Drive, Phone:</t>
  </si>
  <si>
    <t>2251 Hutson Road, Phone: (920)</t>
  </si>
  <si>
    <t>1001 South 84th St, Phone: (414)</t>
  </si>
  <si>
    <t>(763</t>
  </si>
  <si>
    <t>1100 Zane Avenue N, Phone: (763</t>
  </si>
  <si>
    <t>(414) 422-2300</t>
  </si>
  <si>
    <t>S84 W18887 Enterprise Dr, Phone:</t>
  </si>
  <si>
    <t>(478) 553-3501</t>
  </si>
  <si>
    <t>530 Beck Blvd , Phone: nan please respond with _</t>
  </si>
  <si>
    <t>1649 Cooperage Way; Phone: (256)</t>
  </si>
  <si>
    <t>(256) 716-4649</t>
  </si>
  <si>
    <t>(256) 544-2121</t>
  </si>
  <si>
    <t xml:space="preserve">Building 4656, Component Development Area, George </t>
  </si>
  <si>
    <t>2700 HWY 78 West,</t>
  </si>
  <si>
    <t>955 Elkton Dr; Colorado Springs, CO 80907</t>
  </si>
  <si>
    <t>423-476-.</t>
  </si>
  <si>
    <t>787 Mt.Zion Road, Phone: 423-476-.</t>
  </si>
  <si>
    <t>(734) 947-5000</t>
  </si>
  <si>
    <t>(317) 776-2064</t>
  </si>
  <si>
    <t>5482 Herriman Blvd , Phone: 317-77_</t>
  </si>
  <si>
    <t>(770) 684-1228</t>
  </si>
  <si>
    <t>2182 South Dam Rd; Phone:</t>
  </si>
  <si>
    <t>(620) 251-5700</t>
  </si>
  <si>
    <t>500 WEST 4TH ST, Phone: nan pleas _</t>
  </si>
  <si>
    <t>1228 N. McDonough St:</t>
  </si>
  <si>
    <t>(816) 471-3721</t>
  </si>
  <si>
    <t>1123 Swift, Phone: nan please respon_</t>
  </si>
  <si>
    <t>(586) 755-1269</t>
  </si>
  <si>
    <t>24295 Gibson Drive; Phone: 586-_</t>
  </si>
  <si>
    <t xml:space="preserve">JHBennett &amp;Co - </t>
  </si>
  <si>
    <t>JHBennett &amp;Co - Novi</t>
  </si>
  <si>
    <t>1017-A-</t>
  </si>
  <si>
    <t>1000 N. Broadway St, Phone: nan</t>
  </si>
  <si>
    <t>26670 Success Drive; Phone: 256-286-0006</t>
  </si>
  <si>
    <t>(610) 590-2333</t>
  </si>
  <si>
    <t>9 Macdade Blvd, Phone: 610-590-2333 please</t>
  </si>
  <si>
    <t>637 Brobston St , Phone: 912-367-_</t>
  </si>
  <si>
    <t>(256) 355-7674</t>
  </si>
  <si>
    <t>1702 Sth Ave SE, Phone: 256-355-767_</t>
  </si>
  <si>
    <t>1312 COMMERCE DR: NW, Phone:</t>
  </si>
  <si>
    <t>Joe NMiles&amp;Sons - Silver Creek</t>
  </si>
  <si>
    <t>(651) 463-9182</t>
  </si>
  <si>
    <t>20805 Eaton Ave , Phone: 651-463-_</t>
  </si>
  <si>
    <t>(319) 292-4150</t>
  </si>
  <si>
    <t>7300 ENGLE ROAD; Phone: 800-_</t>
  </si>
  <si>
    <t>(31.</t>
  </si>
  <si>
    <t>4700 Le Bourget Drive; Phone: (31.</t>
  </si>
  <si>
    <t>(816) 445-6902</t>
  </si>
  <si>
    <t>4722 Pear Street East, Phone=</t>
  </si>
  <si>
    <t>(205) 477-4225</t>
  </si>
  <si>
    <t>(256) 482-8900</t>
  </si>
  <si>
    <t>318 Wilson Mtn , Phone: 256-482-8900/256-.</t>
  </si>
  <si>
    <t>752 Grove Street, Phone: nan please</t>
  </si>
  <si>
    <t>Hwy: 109,Phone: nan please respond_</t>
  </si>
  <si>
    <t>(662) 423-.</t>
  </si>
  <si>
    <t>Airport Road, Phone: (662) 423-.</t>
  </si>
  <si>
    <t>330-734-300.</t>
  </si>
  <si>
    <t>820 Glaser Pkwy; Phone: 330-734-300.</t>
  </si>
  <si>
    <t>(563) 922-2981</t>
  </si>
  <si>
    <t>503 GAY STREET, Phone: 31_</t>
  </si>
  <si>
    <t>(256) 462-3248</t>
  </si>
  <si>
    <t>1472 Highway 17, Phone: nan</t>
  </si>
  <si>
    <t>(618) 932-2245</t>
  </si>
  <si>
    <t>432 State Highway 37 South, Phone: 618-932-_</t>
  </si>
  <si>
    <t>K&amp;S Industrial Repair</t>
  </si>
  <si>
    <t>(732) 388-2300</t>
  </si>
  <si>
    <t>(800) 288-6628</t>
  </si>
  <si>
    <t>9800-N Southern Pine Blvd, Phone:</t>
  </si>
  <si>
    <t>(336) 333-9992</t>
  </si>
  <si>
    <t>(713) 678-8500</t>
  </si>
  <si>
    <t>(256) 883-1019</t>
  </si>
  <si>
    <t>2101 West Ferry</t>
  </si>
  <si>
    <t>(806) 747-0882</t>
  </si>
  <si>
    <t>2313 AVENUE F; Phone: 806-747-0882 please</t>
  </si>
  <si>
    <t>(815) 636-5980</t>
  </si>
  <si>
    <t>9929 N. Alpine Road, Phone: 815-636_</t>
  </si>
  <si>
    <t>(334) 263-2400</t>
  </si>
  <si>
    <t>3300 Hayneville Road, Phone: 334-263-2400 pleas _</t>
  </si>
  <si>
    <t>(850) 484-7000</t>
  </si>
  <si>
    <t>10102 No. Palafox St, Phone: 850-48_</t>
  </si>
  <si>
    <t>4370 W 1750 $, Phone: (801) 975-20__</t>
  </si>
  <si>
    <t>1439 Pettyjohn Road; Phone: 800-292-4028</t>
  </si>
  <si>
    <t>(775) 355-0555</t>
  </si>
  <si>
    <t>(509) 535-1611</t>
  </si>
  <si>
    <t>E. 4115 Trent; Phone: 509-535-1611 please</t>
  </si>
  <si>
    <t>Kane Test</t>
  </si>
  <si>
    <t>Test</t>
  </si>
  <si>
    <t>53 Pixley Industrial</t>
  </si>
  <si>
    <t>6700 Thompson Road; Phone: (315)</t>
  </si>
  <si>
    <t>1209 West Market Street;</t>
  </si>
  <si>
    <t>(414) 256-8160</t>
  </si>
  <si>
    <t>128 Roweland Drive; Phone: nan please</t>
  </si>
  <si>
    <t>(602)</t>
  </si>
  <si>
    <t>4830 South 33rd Street, Phone: (602)</t>
  </si>
  <si>
    <t>311_</t>
  </si>
  <si>
    <t>4751 South Limit Avenue;</t>
  </si>
  <si>
    <t>(814) 886-2116</t>
  </si>
  <si>
    <t>120 Unico Drive_x005F_x000D_
Valmont Industrial Park</t>
  </si>
  <si>
    <t>(256) 351-0070</t>
  </si>
  <si>
    <t>Hwy 20 W; Phone: (256) 353- _</t>
  </si>
  <si>
    <t>10102 N. Palafox Street;</t>
  </si>
  <si>
    <t>1439 Pettyjohn Road, Phone:_</t>
  </si>
  <si>
    <t>3300 Hayneville Road; Phone_</t>
  </si>
  <si>
    <t>2827 East Avalon Avenue;</t>
  </si>
  <si>
    <t>5899 Sugarlimb Rd , Phone: nan plea_</t>
  </si>
  <si>
    <t>246 Old Jackson Highway, Phone: na_</t>
  </si>
  <si>
    <t>1403</t>
  </si>
  <si>
    <t>55 Waugh Drive_x005F_x000D_
Suite 1000</t>
  </si>
  <si>
    <t>601 Carpenter St , Phone: nan</t>
  </si>
  <si>
    <t>89 Zips Road, Phone: (636) 338-4031</t>
  </si>
  <si>
    <t>586-726-6821</t>
  </si>
  <si>
    <t>2709 Hamlin; Phone: 586-726-6821/586-726-_</t>
  </si>
  <si>
    <t>(303) 469-2101</t>
  </si>
  <si>
    <t>10401 W: 12Oth Avenue; Phone: na_</t>
  </si>
  <si>
    <t>933 Industry Rd #105, Phone: (504__</t>
  </si>
  <si>
    <t>176 Chocran Rd, Phone: 256-461-1500 please.</t>
  </si>
  <si>
    <t>(614) 836-2366</t>
  </si>
  <si>
    <t>(320) 252-9887</t>
  </si>
  <si>
    <t>11 Industrila Blvd , Phone: na_</t>
  </si>
  <si>
    <t>(417) 881-2701</t>
  </si>
  <si>
    <t>2035 East Bennett, Phone</t>
  </si>
  <si>
    <t>32500 Excellance Ave , Phone: nan please respon_</t>
  </si>
  <si>
    <t>L&amp;D NewInc- Phoenix</t>
  </si>
  <si>
    <t>(323) 588-.</t>
  </si>
  <si>
    <t>2110 Belgrave Ave, Phone: (323) 588-.</t>
  </si>
  <si>
    <t>L&amp;S Electric</t>
  </si>
  <si>
    <t>(715) 359-3155</t>
  </si>
  <si>
    <t>PO Box 740,Phone: 715-241-3452</t>
  </si>
  <si>
    <t>1810 Cty</t>
  </si>
  <si>
    <t>(405) 703-2713</t>
  </si>
  <si>
    <t>(318) 590-9986</t>
  </si>
  <si>
    <t>650 Charcole Plant Rd , Phone: na_</t>
  </si>
  <si>
    <t>(231) 839-7102</t>
  </si>
  <si>
    <t>(847) 263-1880</t>
  </si>
  <si>
    <t>12726 W: Wadsworth Rd , Phone: 847_</t>
  </si>
  <si>
    <t>2801 E: Napoleon; Phone: 337-625-._</t>
  </si>
  <si>
    <t>(763) 422-8866</t>
  </si>
  <si>
    <t>6952 Woodlane; Phone_</t>
  </si>
  <si>
    <t>2221 South Wesleyan Blvd, Phone:___</t>
  </si>
  <si>
    <t>(419) 448-0812</t>
  </si>
  <si>
    <t>202 Martin Luther King Blvd, Phone:</t>
  </si>
  <si>
    <t>(856) 795-7100</t>
  </si>
  <si>
    <t>4703 Ritchie Highway,</t>
  </si>
  <si>
    <t>FM 1006,Phone: nan please respond with op_</t>
  </si>
  <si>
    <t>(952) 888-4204</t>
  </si>
  <si>
    <t>3800 W:</t>
  </si>
  <si>
    <t>(928) 757-8424</t>
  </si>
  <si>
    <t>(574) 223-3181</t>
  </si>
  <si>
    <t>blank</t>
  </si>
  <si>
    <t>3685 Nebo Road, Phone: (270) 821-_</t>
  </si>
  <si>
    <t>2908 Claimo.</t>
  </si>
  <si>
    <t>801 N Tennessee Street; Phone: (972)_</t>
  </si>
  <si>
    <t>(636) 916-2400</t>
  </si>
  <si>
    <t>3030 Hwy 94, Phone: nan please respond wit_</t>
  </si>
  <si>
    <t>140 Woodside Avenue; Phon__</t>
  </si>
  <si>
    <t>5404 Industrial Drive Ext - BI_</t>
  </si>
  <si>
    <t>(877) 699-8632</t>
  </si>
  <si>
    <t>554 County Rd: 119,Phone: 877-699-_</t>
  </si>
  <si>
    <t>(972) 623-0927</t>
  </si>
  <si>
    <t>2338 Doreen Street; Phone: 972-623-_</t>
  </si>
  <si>
    <t>PO. BOX 176,Phone: 251-45_</t>
  </si>
  <si>
    <t>4302 E. 1Oth Ave; Suite #401,</t>
  </si>
  <si>
    <t>9368 Highway 269,Phone: 205-686-9233</t>
  </si>
  <si>
    <t>(360) 225-1230</t>
  </si>
  <si>
    <t>675 Mitchell Avenue; Phone: 360-225- _</t>
  </si>
  <si>
    <t>10333 SE 11Oth Ave; Phone: 352-_</t>
  </si>
  <si>
    <t>180 Westside, Phone: (563) 556-2551_</t>
  </si>
  <si>
    <t>(502) 331-9900</t>
  </si>
  <si>
    <t>705 Wilson Parkway; Phone: 800-442-4892 _</t>
  </si>
  <si>
    <t>1718 McCain Blvd, Phone: 501-920-6567</t>
  </si>
  <si>
    <t>1818 Highway 25,Phone:</t>
  </si>
  <si>
    <t>LKarp&amp;Sons- Elk Grove Village</t>
  </si>
  <si>
    <t>SITE 8 BLD 870 1STH ST E&amp;AVE P; Phone: nan pleas.</t>
  </si>
  <si>
    <t>711 Ogden Avenue; Phone: (630) 964- _</t>
  </si>
  <si>
    <t>1Sth Street E&amp;Ave P Phone: nan</t>
  </si>
  <si>
    <t>(757) 277-5254</t>
  </si>
  <si>
    <t>301-</t>
  </si>
  <si>
    <t>405 Home Ave, Phone: nan please</t>
  </si>
  <si>
    <t>(256) 734-1153</t>
  </si>
  <si>
    <t>1828 Burgundy Lane NW; Phone: 256-734-1153_</t>
  </si>
  <si>
    <t>2924 West Deborah Drive; Phone: 318_</t>
  </si>
  <si>
    <t>143 East Park Dr , Phone: nan</t>
  </si>
  <si>
    <t>(256) 352-3100</t>
  </si>
  <si>
    <t>Hwy 268 PO Box 98,Phone:</t>
  </si>
  <si>
    <t>(337) 882-7000</t>
  </si>
  <si>
    <t>61658 Hwy 51,Phone: nan please</t>
  </si>
  <si>
    <t>143 East Park Dr, Phone: nan please</t>
  </si>
  <si>
    <t>Hennepin Plant _</t>
  </si>
  <si>
    <t>50485 Utica Drive; Phone: na_</t>
  </si>
  <si>
    <t>103 Winchester Rd: N.E, Phone: 256-.</t>
  </si>
  <si>
    <t>(406) 285-3286</t>
  </si>
  <si>
    <t>55 Queens Plate Drive; Phone:</t>
  </si>
  <si>
    <t>2128 Sabinal Rd , Phone: nan</t>
  </si>
  <si>
    <t>1313 Parkway Dr,, Phone: 205-699-_</t>
  </si>
  <si>
    <t>M&amp;M Ind</t>
  </si>
  <si>
    <t>423-821-3302</t>
  </si>
  <si>
    <t>316 Corporate Place; Phone: nan please respond</t>
  </si>
  <si>
    <t>M&amp;S Steel- Garrett</t>
  </si>
  <si>
    <t>2815 Overpass Road, Phone: (813)</t>
  </si>
  <si>
    <t>(847) 766-9040</t>
  </si>
  <si>
    <t>2600 American Lane; Phone: (800)_</t>
  </si>
  <si>
    <t>406-388-1983</t>
  </si>
  <si>
    <t>14000 Technology Drive; Phone:</t>
  </si>
  <si>
    <t>(256) 462-1700</t>
  </si>
  <si>
    <t>6640 County Road 1101, Phone: 462-1700 please</t>
  </si>
  <si>
    <t>5905 Weisbrook Lane;</t>
  </si>
  <si>
    <t>5150 S. 1OOth E Avenue; Phone: 918-627-550_</t>
  </si>
  <si>
    <t>908 Maero St NW, Phone: (256) 355-8222 please</t>
  </si>
  <si>
    <t>725 E Main St, Phone: (855) 498-7077 please</t>
  </si>
  <si>
    <t>(931) 363-7471</t>
  </si>
  <si>
    <t>(908) 527-8200</t>
  </si>
  <si>
    <t>(913) 829-5959</t>
  </si>
  <si>
    <t>1010 Linnco Dr_, Phone: 913-829-5959 please</t>
  </si>
  <si>
    <t>4295 Cromwell Rd. Wuite 60_</t>
  </si>
  <si>
    <t>81 Hwy</t>
  </si>
  <si>
    <t>510 Industrial Blvd, Phone: 713-579-7340</t>
  </si>
  <si>
    <t>1383 Industrial Blvd , Phone: 931-456-3419</t>
  </si>
  <si>
    <t>(256) 383-7300</t>
  </si>
  <si>
    <t>2721 Avalon Ave; Phone: 256-383-_</t>
  </si>
  <si>
    <t>(256) 366-9325</t>
  </si>
  <si>
    <t>551 Spring Valley Rd, Phone: 256-366_</t>
  </si>
  <si>
    <t>(662) 728-6242</t>
  </si>
  <si>
    <t>909 County Road 9, Phone:</t>
  </si>
  <si>
    <t>PO Box 278_x005F_x000D_
111 West Taft Drive</t>
  </si>
  <si>
    <t>P.O. Box 278_x005F_x000D_
111 West Taft Drive</t>
  </si>
  <si>
    <t>PO. Box 278_XOOOD_</t>
  </si>
  <si>
    <t>(508) 990-2866</t>
  </si>
  <si>
    <t>256 Herman Melville Blvd_, Phone: 508-990-_</t>
  </si>
  <si>
    <t>4771 G Street; Phone: (402) 734-6734.</t>
  </si>
  <si>
    <t>134 Joseph Zatzman; Phone_</t>
  </si>
  <si>
    <t>(715) 339.</t>
  </si>
  <si>
    <t>1300 N. Airport Rd,, Phone: (715) 339.</t>
  </si>
  <si>
    <t>(843) 493-5111</t>
  </si>
  <si>
    <t>(901) 946-1124</t>
  </si>
  <si>
    <t>555 Harbor Ave , Phone: nan please respond_</t>
  </si>
  <si>
    <t>(318) 427-6806</t>
  </si>
  <si>
    <t>Fluid Power company Marietta</t>
  </si>
  <si>
    <t>1720 Cumberland Point Dr: Suite 1</t>
  </si>
  <si>
    <t>(256) 383-3131</t>
  </si>
  <si>
    <t>nan, Phone: 256-383-3131 please _</t>
  </si>
  <si>
    <t>956 Industrial Blvd , Phon_</t>
  </si>
  <si>
    <t>(304) 429-5534</t>
  </si>
  <si>
    <t>(256) 383-3132</t>
  </si>
  <si>
    <t>200 Appleton Ave; Phone:</t>
  </si>
  <si>
    <t>(615) 212-0586</t>
  </si>
  <si>
    <t>ONE</t>
  </si>
  <si>
    <t>(616) 785-8534</t>
  </si>
  <si>
    <t>922 West River Center Dr: NE; Phone: 616-785_</t>
  </si>
  <si>
    <t>300 UTILITIES ROAD; Phone: 763-.</t>
  </si>
  <si>
    <t>3021 Wichita Ct , Phone: (817) 293-.</t>
  </si>
  <si>
    <t>898 S. State Road 39,Phone: nan</t>
  </si>
  <si>
    <t>23 2nd St SW, Phone: (256) 353-0271_</t>
  </si>
  <si>
    <t>25255 Mound Rd., Phone: (586) 755-6363 please</t>
  </si>
  <si>
    <t>(936) 441-2100</t>
  </si>
  <si>
    <t>2122 24th Street</t>
  </si>
  <si>
    <t>(256) 739-6511</t>
  </si>
  <si>
    <t>1416 Sportsman Lake Rd. NW; Phone: 256-73_</t>
  </si>
  <si>
    <t>McCoy Construction&amp;Forestry</t>
  </si>
  <si>
    <t>Po Box 967, Phone: 704) 289-5413_</t>
  </si>
  <si>
    <t>1305 Baptist Lane Road,</t>
  </si>
  <si>
    <t>705 Bear Cre_</t>
  </si>
  <si>
    <t>(256) 737-9034</t>
  </si>
  <si>
    <t>563 Co. Rd. 1339,Phone: nan please</t>
  </si>
  <si>
    <t>(770) 258-3394</t>
  </si>
  <si>
    <t>882 No.</t>
  </si>
  <si>
    <t>PO Box 513, Phone: nan please respond with</t>
  </si>
  <si>
    <t>(205) 375-6277</t>
  </si>
  <si>
    <t>(205) 241-4255</t>
  </si>
  <si>
    <t>3600 Richard Arrington Jr Blvd. No</t>
  </si>
  <si>
    <t>(423) 422-4731</t>
  </si>
  <si>
    <t>MDavis&amp;Sons - Willmington</t>
  </si>
  <si>
    <t>(256) 437-2161</t>
  </si>
  <si>
    <t>1611 County Road 85,Phone_</t>
  </si>
  <si>
    <t>12th&amp;Oak, Phone: 620-325-2673</t>
  </si>
  <si>
    <t>620-325-.</t>
  </si>
  <si>
    <t>1400 West Main St, Phone: 620-325-.</t>
  </si>
  <si>
    <t>119 White Oak Drive, Phone: 860-828-6531</t>
  </si>
  <si>
    <t>856-224</t>
  </si>
  <si>
    <t>152 Berkely Rd, Phone: 856-224</t>
  </si>
  <si>
    <t>401 S. Washington, Phone:</t>
  </si>
  <si>
    <t>431-</t>
  </si>
  <si>
    <t>(256) 381-8999</t>
  </si>
  <si>
    <t>475 Spring Valley Rd., Phone: 256-381-8999 pleas_</t>
  </si>
  <si>
    <t>(256) 552-7411</t>
  </si>
  <si>
    <t>1200 MARKET ST NE, Phone: nan</t>
  </si>
  <si>
    <t>(612) 529-7791</t>
  </si>
  <si>
    <t>4401 Lyndale Ave N, Phone:</t>
  </si>
  <si>
    <t>(256) 851-6670</t>
  </si>
  <si>
    <t>3440 Stanwood Blvd , Phone: 256-851-6670 _</t>
  </si>
  <si>
    <t>(276) 669-3711</t>
  </si>
  <si>
    <t>(708) 594-7553</t>
  </si>
  <si>
    <t>256-773-.</t>
  </si>
  <si>
    <t>101 Metco Dr: SW; Phone: 256-773-.</t>
  </si>
  <si>
    <t>2111 North Sandra Street, Phone: (920) 733- _</t>
  </si>
  <si>
    <t>801-499-.</t>
  </si>
  <si>
    <t>2057 W 700 South, Ste 200,Phone: 801-499-.</t>
  </si>
  <si>
    <t>(901) 867-3000</t>
  </si>
  <si>
    <t>1445 Gulf Stream Dr , Phone: nan please respond</t>
  </si>
  <si>
    <t>14760 Sarabeth Driv_</t>
  </si>
  <si>
    <t>(248) 583-.</t>
  </si>
  <si>
    <t>nan; Phone: (248) 583-.</t>
  </si>
  <si>
    <t>401-232-7070.</t>
  </si>
  <si>
    <t>Rocky Hill Road, Phone:</t>
  </si>
  <si>
    <t>AttnACS-Plant 3 Juarez MX .</t>
  </si>
  <si>
    <t>Parkway East; Phone:</t>
  </si>
  <si>
    <t>5101 21st Street; Phone:</t>
  </si>
  <si>
    <t>(734) 946-9948</t>
  </si>
  <si>
    <t>(586) 755-0179</t>
  </si>
  <si>
    <t>24295 Gibson Drive, Phone:</t>
  </si>
  <si>
    <t>815 East 6th St , Phone: 270- _</t>
  </si>
  <si>
    <t>48150 US</t>
  </si>
  <si>
    <t>950 Larkin St , Phone: 205-744-2059</t>
  </si>
  <si>
    <t>PO Box 699,Phone__</t>
  </si>
  <si>
    <t>(620) 964-2156</t>
  </si>
  <si>
    <t>815 E. 6th St. , Phone: 620-_</t>
  </si>
  <si>
    <t>Mid-Nebraska Automation, Inc.</t>
  </si>
  <si>
    <t>3981 Reuting Road</t>
  </si>
  <si>
    <t>Grand Island, NE  68803</t>
  </si>
  <si>
    <t>308-384-8264</t>
  </si>
  <si>
    <t>PO. Box 216,Phone: (317)</t>
  </si>
  <si>
    <t>5702 Opportunity Drive; Phone:</t>
  </si>
  <si>
    <t>1925 E 4th St; Grand Island, NE 68801</t>
  </si>
  <si>
    <t>1112 Russell Street, Phone:</t>
  </si>
  <si>
    <t>1476 Wellington Ave; Phone:</t>
  </si>
  <si>
    <t>(319) 366-6264</t>
  </si>
  <si>
    <t>3111 W 167th Street; Phone: (708)</t>
  </si>
  <si>
    <t>South Westmoreland Drive, Orlando, FL, 32805</t>
  </si>
  <si>
    <t>812-422-2864</t>
  </si>
  <si>
    <t>2685 Reynolds Circle; Columbiaville; MI 48421</t>
  </si>
  <si>
    <t>Po Box 708, Phone: (251)</t>
  </si>
  <si>
    <t>Milliken&amp;- Greenville</t>
  </si>
  <si>
    <t>1920 Dunbar St, Suite A,</t>
  </si>
  <si>
    <t>1200 East State Street, Phon_</t>
  </si>
  <si>
    <t>1700 1Sth Street SW, Phone:</t>
  </si>
  <si>
    <t>70 County Road 277, Phone: nan</t>
  </si>
  <si>
    <t>1920 N.</t>
  </si>
  <si>
    <t>(262) 691-3100</t>
  </si>
  <si>
    <t>(256) 552-7425</t>
  </si>
  <si>
    <t>1200 Market Street NE, Phone: 552-7425 please</t>
  </si>
  <si>
    <t>(843) 528-3211</t>
  </si>
  <si>
    <t>2118 MARLBORO RD, Phone:_</t>
  </si>
  <si>
    <t>(604) 760-3999</t>
  </si>
  <si>
    <t>(888) 467-2669</t>
  </si>
  <si>
    <t>117 Frontage Rd N. Bldg, Phone: 253-735-892_</t>
  </si>
  <si>
    <t>(321) 385-9087</t>
  </si>
  <si>
    <t>1427 Chaffee Dr. Suite 5, Phone: 321-_</t>
  </si>
  <si>
    <t>403-32.</t>
  </si>
  <si>
    <t>236 36th Street North, Phone: 403-32.</t>
  </si>
  <si>
    <t>(403) 236-5581</t>
  </si>
  <si>
    <t>#16,4155- 75th avenue SE, Phone:</t>
  </si>
  <si>
    <t>5736 59 St , Phone: 780-414-1873</t>
  </si>
  <si>
    <t>(780) 465-0821</t>
  </si>
  <si>
    <t>5736 59TH Street; Phone: 78_</t>
  </si>
  <si>
    <t>(251) 661-7800</t>
  </si>
  <si>
    <t>226 Woodall Road SW, Phone: 256-.</t>
  </si>
  <si>
    <t>(334) 262-5786</t>
  </si>
  <si>
    <t>540 Trade Center Street, Phone: 334-_</t>
  </si>
  <si>
    <t>802 E. Second Street, Phone: 256-.</t>
  </si>
  <si>
    <t>3721 1Ith Avenue; Phone: 205-759-.</t>
  </si>
  <si>
    <t>(256) 543-3441</t>
  </si>
  <si>
    <t>334-794-274.</t>
  </si>
  <si>
    <t>1950 Wise Drive; Phone: 334-794-274.</t>
  </si>
  <si>
    <t>241-</t>
  </si>
  <si>
    <t>150 Ida Drive; Phone: 205-654-2975</t>
  </si>
  <si>
    <t>(256) 858-5020</t>
  </si>
  <si>
    <t>5848 RE PARK BLVD SUIT _</t>
  </si>
  <si>
    <t>(251) 743-4814</t>
  </si>
  <si>
    <t>2 Hornady Drive, Phone: 251-743-481_</t>
  </si>
  <si>
    <t>824 N. 31st St</t>
  </si>
  <si>
    <t>870 -.</t>
  </si>
  <si>
    <t>2717 Highway 82 West; Phone: 870 -.</t>
  </si>
  <si>
    <t>6217 East</t>
  </si>
  <si>
    <t>(479) 646-6868</t>
  </si>
  <si>
    <t>5903 South 26th Circle, Phone: 479-_</t>
  </si>
  <si>
    <t>2301 East 9th Street, Phone: 870-774 -_</t>
  </si>
  <si>
    <t>(479) 968-3422</t>
  </si>
  <si>
    <t>(479) 756-6905</t>
  </si>
  <si>
    <t>402 S Thompson Suite 9, Phone: 479-_</t>
  </si>
  <si>
    <t>(870) 763-6880</t>
  </si>
  <si>
    <t>3733 E: Hwy 18, Phone: 870-763-688__</t>
  </si>
  <si>
    <t>2611 S. Roosevelt; Suite 102,Phone:</t>
  </si>
  <si>
    <t>(520) 882-6800</t>
  </si>
  <si>
    <t>(928) 782-3919</t>
  </si>
  <si>
    <t>4274 E. 30th Place, Phone: 928-782-_</t>
  </si>
  <si>
    <t>(604) 521-3207</t>
  </si>
  <si>
    <t>#6, 1600 Derwent Way, Phone: 604- _</t>
  </si>
  <si>
    <t>(858) 565-0092</t>
  </si>
  <si>
    <t>661-32.</t>
  </si>
  <si>
    <t>5001 Standard Street, Phone: 661-32.</t>
  </si>
  <si>
    <t>(408) 727-6408</t>
  </si>
  <si>
    <t>2705 Lafayette Street; Phone: 408-72,</t>
  </si>
  <si>
    <t>916-</t>
  </si>
  <si>
    <t>3473 Ramona Avenue; Phone: 916-</t>
  </si>
  <si>
    <t>559-237.</t>
  </si>
  <si>
    <t>2680 Church Avenue; Phone: 559-237.</t>
  </si>
  <si>
    <t>(714) 780-1791</t>
  </si>
  <si>
    <t>1142 North Gilbert St , Phone: 714-78_</t>
  </si>
  <si>
    <t>(661) 948-8436</t>
  </si>
  <si>
    <t>209-</t>
  </si>
  <si>
    <t>704 East Hazelton Street; Phone: 209-</t>
  </si>
  <si>
    <t>209-529-.</t>
  </si>
  <si>
    <t>448 Mitchell Road, Phone: 209-529-.</t>
  </si>
  <si>
    <t>301 Harter Avenu</t>
  </si>
  <si>
    <t>Original facility closed</t>
  </si>
  <si>
    <t>10887 Commerce Way</t>
  </si>
  <si>
    <t>Relocated down the road</t>
  </si>
  <si>
    <t>600 Work linas</t>
  </si>
  <si>
    <t>RENAMED: Webster Industries</t>
  </si>
  <si>
    <t>Webster Industries</t>
  </si>
  <si>
    <t>RENAMED: Automall Gilrov (no new name found)</t>
  </si>
  <si>
    <t>(408) 848-3099</t>
  </si>
  <si>
    <t>6450 Automa Pkwy; Ste Gilroy 95020</t>
  </si>
  <si>
    <t>Automall Gilrov (no new name found)</t>
  </si>
  <si>
    <t>Physical facility and operations</t>
  </si>
  <si>
    <t>(818) 365-0300</t>
  </si>
  <si>
    <t>Motion Industries location</t>
  </si>
  <si>
    <t>50 W Lake Blvd, Suite, Ukiah, 95482</t>
  </si>
  <si>
    <t>RENAMED: Motion-CA24 Newark (or officially listed CA24-MOTION)</t>
  </si>
  <si>
    <t>28976 Hopkins Street; Suite H</t>
  </si>
  <si>
    <t>Motion-CA24 Newark (or officially listed CA24-MOTION)</t>
  </si>
  <si>
    <t>RENAMED: Motion Industries</t>
  </si>
  <si>
    <t>(559) 651-0111</t>
  </si>
  <si>
    <t>9644 W Nicholas Ave</t>
  </si>
  <si>
    <t>Motion Industries</t>
  </si>
  <si>
    <t>2441 Sprig Court</t>
  </si>
  <si>
    <t>Branch remains actively open</t>
  </si>
  <si>
    <t>210 Auto Center Drive Suite 125</t>
  </si>
  <si>
    <t>permanently closed</t>
  </si>
  <si>
    <t>Operating under new location</t>
  </si>
  <si>
    <t>5885 Stapleton Drive</t>
  </si>
  <si>
    <t>Operating under new name</t>
  </si>
  <si>
    <t>2923 Gran</t>
  </si>
  <si>
    <t>Fluid Power Repair services</t>
  </si>
  <si>
    <t>Motion-Creola contact info found</t>
  </si>
  <si>
    <t>10095 Hwy</t>
  </si>
  <si>
    <t>Open business location</t>
  </si>
  <si>
    <t>860-292-609</t>
  </si>
  <si>
    <t>The FL30 ensacola branch</t>
  </si>
  <si>
    <t>(850) 432-8092 (850) 433-0021</t>
  </si>
  <si>
    <t>313 W Navy Blvd, Pensacola, 32505</t>
  </si>
  <si>
    <t>Industrial provider open</t>
  </si>
  <si>
    <t>813-626-119</t>
  </si>
  <si>
    <t>Operating hours available.</t>
  </si>
  <si>
    <t>401 Zoo PkWv</t>
  </si>
  <si>
    <t>2501 SW 160th Ave Ste 100</t>
  </si>
  <si>
    <t>Operating at new location</t>
  </si>
  <si>
    <t>Permanently closed branch</t>
  </si>
  <si>
    <t>RENAMED: MOTION INDUSTRIES</t>
  </si>
  <si>
    <t>MOTION INDUSTRIES</t>
  </si>
  <si>
    <t>Operating fluid power repair</t>
  </si>
  <si>
    <t>401 Zoo Pkwy</t>
  </si>
  <si>
    <t>formerly Motion-FE Palatka</t>
  </si>
  <si>
    <t>436 Highway North</t>
  </si>
  <si>
    <t>Motion-FE Sarasota branch open</t>
  </si>
  <si>
    <t>2525 Trailmate Drive #102</t>
  </si>
  <si>
    <t>RENAMED: Motion-FE</t>
  </si>
  <si>
    <t>326 W.C. Owen Ave</t>
  </si>
  <si>
    <t>Motion-FE</t>
  </si>
  <si>
    <t>Operating under original name</t>
  </si>
  <si>
    <t>(772) 464-5537</t>
  </si>
  <si>
    <t>Lead distributor for MRO</t>
  </si>
  <si>
    <t>8145 Troon Circle Suite G Austell GA 30168</t>
  </si>
  <si>
    <t>Active Motion-GA2 Augusta</t>
  </si>
  <si>
    <t>Operating and open business</t>
  </si>
  <si>
    <t>111 Kev Drive</t>
  </si>
  <si>
    <t>Operating as usual</t>
  </si>
  <si>
    <t>912-236-159</t>
  </si>
  <si>
    <t>RENAMED: Motion Fluid Power Solutions (Hydraulic Supply Company)</t>
  </si>
  <si>
    <t>506 Manchester Expressway Ste.B-1, Columbus, GA 31904</t>
  </si>
  <si>
    <t>Motion Fluid Power Solutions (Hydraulic Supply Company)</t>
  </si>
  <si>
    <t>The Motion-GA26 Norcross facility</t>
  </si>
  <si>
    <t>5695 Oakbrook Pkwy; Norcross;</t>
  </si>
  <si>
    <t>Motion-GA28 Albany info found</t>
  </si>
  <si>
    <t>650 Woodlawn Road West, Units 11&amp;12</t>
  </si>
  <si>
    <t>N N Ball&amp;Roller - Walterboro</t>
  </si>
  <si>
    <t>New Tech Tool&amp;Mfg</t>
  </si>
  <si>
    <t>Nn Ball&amp;Roller - Erwin</t>
  </si>
  <si>
    <t>Pneumatic&amp;HydDistHope - Northborough</t>
  </si>
  <si>
    <t>Pneumatic&amp;Hydraulic</t>
  </si>
  <si>
    <t>Pnuematics&amp;Hyd - Gonzales</t>
  </si>
  <si>
    <t>Power Motion&amp;Ind Sales</t>
  </si>
  <si>
    <t>Profile Tool&amp;Engineering</t>
  </si>
  <si>
    <t>2700 12th Ave_x005F_x000D_
c/o Jordan Mills</t>
  </si>
  <si>
    <t>2700 12th Ave._x005F_x000D_
c/o Jordan Mills</t>
  </si>
  <si>
    <t>R&amp;J Metal FabInc - Portland</t>
  </si>
  <si>
    <t>Operating as R&amp;J Metal</t>
  </si>
  <si>
    <t>R&amp;R - Hartselle</t>
  </si>
  <si>
    <t>R&amp;W Hydraulic Services</t>
  </si>
  <si>
    <t>Raytheon Engineers&amp;- Englewood</t>
  </si>
  <si>
    <t>US Hwy377&amp;Intersection 32</t>
  </si>
  <si>
    <t>Remington Armsc/o S&amp;K Ind</t>
  </si>
  <si>
    <t>Bld#3  26th&amp;Main</t>
  </si>
  <si>
    <t>RKHaskew&amp;- Chattanooga</t>
  </si>
  <si>
    <t>S&amp;F Custom Sign</t>
  </si>
  <si>
    <t>S&amp;T Hyd - Phoenix</t>
  </si>
  <si>
    <t>Sealant Equip&amp;Engineering</t>
  </si>
  <si>
    <t xml:space="preserve">SECGAS&amp;GEAR </t>
  </si>
  <si>
    <t>***Stamp Location Name into Head&amp;on paperwork</t>
  </si>
  <si>
    <t>SHOOK&amp;FLETCHER</t>
  </si>
  <si>
    <t>Sjoberg Tool&amp;MfgCorp - Hartland</t>
  </si>
  <si>
    <t>Standard Sand&amp;Silica</t>
  </si>
  <si>
    <t>Andy&amp;Matt</t>
  </si>
  <si>
    <t>Texas Air Hydraulic Service&amp;Supply</t>
  </si>
  <si>
    <t>Teyseer Industrial Supplies&amp;Services</t>
  </si>
  <si>
    <t>3727 Westgate Road, Grand Island, NE 68803 |</t>
  </si>
  <si>
    <t>479-928-4446</t>
  </si>
  <si>
    <t>Hwy71 South, Phone: nan please respond with op_</t>
  </si>
  <si>
    <t>Mosher; Phone: (902) 468-4605</t>
  </si>
  <si>
    <t>855 Champlain St; Phone: (506) 853-1986</t>
  </si>
  <si>
    <t>(864) 310-6000</t>
  </si>
  <si>
    <t>9 Nesbitt Dr; Phone: nan please respond with</t>
  </si>
  <si>
    <t>84 Glencoe Drive, Phone: (709) 364-_</t>
  </si>
  <si>
    <t>(423) 764-8931</t>
  </si>
  <si>
    <t>136 Lamar St.</t>
  </si>
  <si>
    <t>(269) 646-0062.</t>
  </si>
  <si>
    <t>51540 M-40 North; Phone: nan please respon _</t>
  </si>
  <si>
    <t>(724) 483-1790</t>
  </si>
  <si>
    <t>1250 McKean Ave, Phone: nan please_</t>
  </si>
  <si>
    <t>(256) 777-9612</t>
  </si>
  <si>
    <t>3158 Hwy 20 West Building 4, Phone:_</t>
  </si>
  <si>
    <t>(937) 832-4041</t>
  </si>
  <si>
    <t>(414) 357-7117</t>
  </si>
  <si>
    <t>8609 West Port Avenue; Phone: nan please</t>
  </si>
  <si>
    <t>530-273-8888</t>
  </si>
  <si>
    <t>12555 Loma Rica Drive, Phone: 530- _</t>
  </si>
  <si>
    <t>(530) 623-5561</t>
  </si>
  <si>
    <t>(985) 315-2887</t>
  </si>
  <si>
    <t>111 West 194th Street, Phone: 985-315-2887 please</t>
  </si>
  <si>
    <t>(541) 367-4969</t>
  </si>
  <si>
    <t>1119 CALHOUN ST, Phone: 501-376-3623 please</t>
  </si>
  <si>
    <t>1310 CUSHMAN STREET, Phone:</t>
  </si>
  <si>
    <t>R D 24, Phone: (717) 840-1770 please respon_</t>
  </si>
  <si>
    <t>(941) 747-4461</t>
  </si>
  <si>
    <t>748 Highway 67 S, Phone:</t>
  </si>
  <si>
    <t>3510 Central Parkway SW; Phone: 256-350-1002</t>
  </si>
  <si>
    <t>(636) 240-2400</t>
  </si>
  <si>
    <t>(570) 459-1000</t>
  </si>
  <si>
    <t>4902 NMaryvale</t>
  </si>
  <si>
    <t>(905) 664-9220</t>
  </si>
  <si>
    <t>117 GOLF COURSE RD, Phone: 706-376-6833</t>
  </si>
  <si>
    <t>(706) 277-1110</t>
  </si>
  <si>
    <t>100 West Industrial Blvd, Phone:</t>
  </si>
  <si>
    <t>(423) 698-8601</t>
  </si>
  <si>
    <t>18155 12Oth Ave; Phone: 616-837-_</t>
  </si>
  <si>
    <t>(315) 768-8072</t>
  </si>
  <si>
    <t>Pursuit Aerospace - CD&amp;R</t>
  </si>
  <si>
    <t>(360) 567-0403</t>
  </si>
  <si>
    <t>763-497-7000</t>
  </si>
  <si>
    <t>3839 County Road 116, Hamel, MN 55340</t>
  </si>
  <si>
    <t>4600 21St Street, Phone: (262) 638-4000</t>
  </si>
  <si>
    <t>414 North Rock Island, Phone: (800)</t>
  </si>
  <si>
    <t>913-428-2575</t>
  </si>
  <si>
    <t>580-384-5587</t>
  </si>
  <si>
    <t>3 Miles South Hwy 1, Phone: nan</t>
  </si>
  <si>
    <t>704-283-7571</t>
  </si>
  <si>
    <t>256-734-7100</t>
  </si>
  <si>
    <t>2011 OLD HANCEVILLE HWY, Phone:</t>
  </si>
  <si>
    <t>605-235-2061</t>
  </si>
  <si>
    <t>1131 DAKOTA AVE: SS #96,Phone:</t>
  </si>
  <si>
    <t>479-521-0677</t>
  </si>
  <si>
    <t>2615 S School Ave; Phone: nan pleas_</t>
  </si>
  <si>
    <t>919-774-7925</t>
  </si>
  <si>
    <t>800 E Main St; Phone: nan please</t>
  </si>
  <si>
    <t>479-750-5316</t>
  </si>
  <si>
    <t>600</t>
  </si>
  <si>
    <t>712-749-5224</t>
  </si>
  <si>
    <t>1009 Richland St , Phone: na_</t>
  </si>
  <si>
    <t>316-263-8106</t>
  </si>
  <si>
    <t>501 N Elk Run Rd Bldg 2,BLDG 2501,</t>
  </si>
  <si>
    <t>5700 SState Street, Phone: 734-741-7000</t>
  </si>
  <si>
    <t>315-492-9316</t>
  </si>
  <si>
    <t>616-889-3526</t>
  </si>
  <si>
    <t>2771 West River Dr; Phone: nan please respond with</t>
  </si>
  <si>
    <t>563-583-5125</t>
  </si>
  <si>
    <t>707-462-8674</t>
  </si>
  <si>
    <t>3470 North State Street; Phone: nan please respo_</t>
  </si>
  <si>
    <t>435-637-5692</t>
  </si>
  <si>
    <t>3750 US-23 NORTH, Phone: (989) 354-1375 please</t>
  </si>
  <si>
    <t>323-264-5200</t>
  </si>
  <si>
    <t>Route 25,Phone: (304) 747-7000</t>
  </si>
  <si>
    <t>(217) 429-5148</t>
  </si>
  <si>
    <t>800 Bird St, Phone: (804) 28_</t>
  </si>
  <si>
    <t>5101 21St St; Phone: (205)</t>
  </si>
  <si>
    <t>510-794-2200</t>
  </si>
  <si>
    <t>1700 Livingstone road, Phone: nan</t>
  </si>
  <si>
    <t>(513) 874-2004.</t>
  </si>
  <si>
    <t>3401 Hwy 20 West Warehouse 0,</t>
  </si>
  <si>
    <t>770-479-7230</t>
  </si>
  <si>
    <t>100 Universal Studios Plaza_x005F_x000D_
Technical Services</t>
  </si>
  <si>
    <t>407-363-8000</t>
  </si>
  <si>
    <t>100 Universal Studios</t>
  </si>
  <si>
    <t>106 Second St; Phone: 865-426-6776</t>
  </si>
  <si>
    <t>231-824-6025</t>
  </si>
  <si>
    <t>563-566-2202</t>
  </si>
  <si>
    <t>13851 Highway 9, Phone: nan please respond_</t>
  </si>
  <si>
    <t>281-479-60.</t>
  </si>
  <si>
    <t>806 Seaco Court; Phone: 281-479-60.</t>
  </si>
  <si>
    <t>256-378-5541</t>
  </si>
  <si>
    <t>1675 Sampson Ave-, Phone: 800-_</t>
  </si>
  <si>
    <t>(325) 236-7700</t>
  </si>
  <si>
    <t>1 USG Rd, Sweetwater; TX 79556-2880</t>
  </si>
  <si>
    <t>(603) 626-1466</t>
  </si>
  <si>
    <t>US Hydraulic&amp;Pneumatic</t>
  </si>
  <si>
    <t>843-656-.</t>
  </si>
  <si>
    <t>2620 Melon Street; Phone: 843-656-.</t>
  </si>
  <si>
    <t>(205) 296-7349</t>
  </si>
  <si>
    <t>2101 18th Ave North; Phone: 205-296_</t>
  </si>
  <si>
    <t>(412) 433-1121</t>
  </si>
  <si>
    <t>(334) 875-8760</t>
  </si>
  <si>
    <t>509-527--</t>
  </si>
  <si>
    <t>201 NTHIRD AVE, Phone: 509-527--</t>
  </si>
  <si>
    <t>(601) 631-7707</t>
  </si>
  <si>
    <t>4155 Clay Street; Phone: 601-631-770_</t>
  </si>
  <si>
    <t>(410) 762-6700</t>
  </si>
  <si>
    <t>2401 Hawkins Point Road RM BLDG 88,Phone: nan</t>
  </si>
  <si>
    <t>(907) 683-2226</t>
  </si>
  <si>
    <t>419 Frost Industrial Blvd, Phone: nan please</t>
  </si>
  <si>
    <t>(888) 982-2683</t>
  </si>
  <si>
    <t>(904) 354-2301</t>
  </si>
  <si>
    <t>6630 Broadway Avenue; Phone: nan</t>
  </si>
  <si>
    <t>(360) 225-8267</t>
  </si>
  <si>
    <t>558 Robinson Rd; Phone: nan please respond</t>
  </si>
  <si>
    <t>(321) 504-6440</t>
  </si>
  <si>
    <t>415 Gus Hipp Blvd, Phone: nan</t>
  </si>
  <si>
    <t>(860) 627-7015</t>
  </si>
  <si>
    <t>(865) 481-3342</t>
  </si>
  <si>
    <t>1003 Alvin Weinberg Drive; Phone: nan please</t>
  </si>
  <si>
    <t>(205) 854-2884</t>
  </si>
  <si>
    <t>3930 Valley Elnd Drive, Phone: 205-854-2884 plea.</t>
  </si>
  <si>
    <t>2705 SState St, Phone: 708-.</t>
  </si>
  <si>
    <t>(903) 730-4691</t>
  </si>
  <si>
    <t>6200 TROUP HWY, Phone: 903-730-4691 please</t>
  </si>
  <si>
    <t>(870) 235-6216</t>
  </si>
  <si>
    <t>2270 Highway 79 S, Phone: nan please respo_</t>
  </si>
  <si>
    <t>(800) 932-3746</t>
  </si>
  <si>
    <t>(516) 484-6070</t>
  </si>
  <si>
    <t>333 Earle Ovington Blvd, Suite 608,</t>
  </si>
  <si>
    <t>(937) 335-3664</t>
  </si>
  <si>
    <t>250 DYE MILL RD, Phone: 937-926-3497 pleas_</t>
  </si>
  <si>
    <t>(402) 359-2578</t>
  </si>
  <si>
    <t>28001 Ida Circle; Phone: nan please</t>
  </si>
  <si>
    <t>(540) 389-2301</t>
  </si>
  <si>
    <t>26 Pinder Rd, Phone: (800)</t>
  </si>
  <si>
    <t>(706) 866-8812</t>
  </si>
  <si>
    <t>(256) 784-5231</t>
  </si>
  <si>
    <t>3899 Hwy31 North; Phone: 256-784-5231 please</t>
  </si>
  <si>
    <t>(308) 345-2223</t>
  </si>
  <si>
    <t>(402) 359-2201</t>
  </si>
  <si>
    <t>Valmont Ind, Phone: nan please respond with</t>
  </si>
  <si>
    <t>(651) 463-8990</t>
  </si>
  <si>
    <t>20805 Eaton Avenue; Phone: nan</t>
  </si>
  <si>
    <t>(912) 458-2187</t>
  </si>
  <si>
    <t>107 NoBrantley St; Phone: nan please_</t>
  </si>
  <si>
    <t>(440) 942-7585</t>
  </si>
  <si>
    <t>7154 Industrial Park Blvd, Phone: 440-942-75_</t>
  </si>
  <si>
    <t>(336) 835-2670</t>
  </si>
  <si>
    <t>(931)</t>
  </si>
  <si>
    <t>171 Industrial Drive; Phone: (931)</t>
  </si>
  <si>
    <t>(816) 966-1901</t>
  </si>
  <si>
    <t>94 Avenue C, Phone: (802) 863-2562</t>
  </si>
  <si>
    <t>(253) 854-2660</t>
  </si>
  <si>
    <t>@info (no phone number)</t>
  </si>
  <si>
    <t>(713) 937-3100</t>
  </si>
  <si>
    <t>11903 FM 529 Road; Phone: nan please respond</t>
  </si>
  <si>
    <t>(250) 766-1432</t>
  </si>
  <si>
    <t>8341 Industrial Drive, Phone: 662-895-6263 please</t>
  </si>
  <si>
    <t>270-389-1800</t>
  </si>
  <si>
    <t>3564 US Hwy 60 East, Phone: nan</t>
  </si>
  <si>
    <t>818-409-0200</t>
  </si>
  <si>
    <t>601-636-8700</t>
  </si>
  <si>
    <t>4477 Hwy61 South, Phone: nan please respon_</t>
  </si>
  <si>
    <t>715-483-1132</t>
  </si>
  <si>
    <t>Viking Engineering&amp;Machinery</t>
  </si>
  <si>
    <t>PO Box 636, Phone: 205-620- _</t>
  </si>
  <si>
    <t>310-533-0474</t>
  </si>
  <si>
    <t>1-866-366-4357</t>
  </si>
  <si>
    <t>3120 16Th St, Phone: (812) 275-5961 please</t>
  </si>
  <si>
    <t>4747 Western Ave; Phone: (765) 825- _</t>
  </si>
  <si>
    <t>6900 English</t>
  </si>
  <si>
    <t>800 County St; Phone: (734) 481-9800 please</t>
  </si>
  <si>
    <t>Mckean Rd; Phone: (734) 484-8260 please</t>
  </si>
  <si>
    <t>920-731-7724</t>
  </si>
  <si>
    <t>2200 N Roemer Road, Phone: nan</t>
  </si>
  <si>
    <t>931-815-8391</t>
  </si>
  <si>
    <t>1714 Indian Ridge Rd,</t>
  </si>
  <si>
    <t>423-884-4110</t>
  </si>
  <si>
    <t>200 Industrial Park; Phone: nan pleas_</t>
  </si>
  <si>
    <t>(260) 373-2277</t>
  </si>
  <si>
    <t>(703) 690-1172</t>
  </si>
  <si>
    <t>(205) 668-2492</t>
  </si>
  <si>
    <t>1614 Highway 84, Phone: na_</t>
  </si>
  <si>
    <t>1614 Highway 84, Phone: nan please</t>
  </si>
  <si>
    <t>(205) 298-3807</t>
  </si>
  <si>
    <t>1000 Avenue E, Phone: nan please_</t>
  </si>
  <si>
    <t>(435) 734-9433</t>
  </si>
  <si>
    <t>(260) 337-1800</t>
  </si>
  <si>
    <t>6610 Co Rd 60,Phone: nan please respond</t>
  </si>
  <si>
    <t>(815) 964-6771</t>
  </si>
  <si>
    <t>(765) 771-5300</t>
  </si>
  <si>
    <t>3000 Main St Suite 2, Phone: nan</t>
  </si>
  <si>
    <t>1125 Higgs Road, Phone: 93_</t>
  </si>
  <si>
    <t>(608) 462-8461</t>
  </si>
  <si>
    <t>4th Avenue&amp;Jackson</t>
  </si>
  <si>
    <t>4th Avenue&amp;Jackson,</t>
  </si>
  <si>
    <t>(407) 939-5277</t>
  </si>
  <si>
    <t>1365 Avenue of the Stars, Phone: nan_</t>
  </si>
  <si>
    <t>91 Willenbrock Road, Phone: 203-267-5712_</t>
  </si>
  <si>
    <t>(724) 684-5500</t>
  </si>
  <si>
    <t>1217 McKenzie PL, Phone: 865-673-8822</t>
  </si>
  <si>
    <t>870-226-3000</t>
  </si>
  <si>
    <t>146 US Highway 63 $, Phone_</t>
  </si>
  <si>
    <t>(251) 452-6000</t>
  </si>
  <si>
    <t>(574) 267-5355</t>
  </si>
  <si>
    <t>610 SDetroit St; Phone: nan please</t>
  </si>
  <si>
    <t>(860) 283-0246</t>
  </si>
  <si>
    <t>160 Dilbeck Road East; Phon_</t>
  </si>
  <si>
    <t>(904) 358-3812</t>
  </si>
  <si>
    <t>5400 Rio Grande Avenue;</t>
  </si>
  <si>
    <t>Kelly&amp;Tanya</t>
  </si>
  <si>
    <t>125 Hardman Ave South, Phone: 651-450-5088 plea_</t>
  </si>
  <si>
    <t>(920) 457-4886</t>
  </si>
  <si>
    <t>3312 Lakeshore Dr; Phone: nan please respond with</t>
  </si>
  <si>
    <t>870-554-2466</t>
  </si>
  <si>
    <t>170 Mill Rd, Mt Holly, AR 71758</t>
  </si>
  <si>
    <t>812-547-0700</t>
  </si>
  <si>
    <t>9856 State Hwy 66</t>
  </si>
  <si>
    <t>(715) 258-.</t>
  </si>
  <si>
    <t>311Tower Road, Phone: (715) 258-.</t>
  </si>
  <si>
    <t>(231) 258-9187</t>
  </si>
  <si>
    <t>1746 COMMERCE, Phone: nan please_</t>
  </si>
  <si>
    <t>(713) 836-4000</t>
  </si>
  <si>
    <t>(562) 602-0260</t>
  </si>
  <si>
    <t>(800) 284-2173</t>
  </si>
  <si>
    <t>(201) 435-0804</t>
  </si>
  <si>
    <t>WMI GREENVILLE YARD PIE_</t>
  </si>
  <si>
    <t>(636) 239-9300</t>
  </si>
  <si>
    <t>Pauwels Dr , Phone: nan please</t>
  </si>
  <si>
    <t>(231) 873-4530</t>
  </si>
  <si>
    <t>(847) 697-4900</t>
  </si>
  <si>
    <t>(715) 726-918.</t>
  </si>
  <si>
    <t>1210 Lowater Road, Phone: nan</t>
  </si>
  <si>
    <t>(262) 781-1999</t>
  </si>
  <si>
    <t>N112 W13131 Mequon</t>
  </si>
  <si>
    <t>(715) 536-5521</t>
  </si>
  <si>
    <t>(440) 437-5144</t>
  </si>
  <si>
    <t>135 Penniman Rd; Phone: nan please respond wit_</t>
  </si>
  <si>
    <t>(585) 429-8790</t>
  </si>
  <si>
    <t>2292 Innovation Way; Phone: nan please</t>
  </si>
  <si>
    <t>(610) 584-1080</t>
  </si>
  <si>
    <t>200 INDUSTRIAL BLVD, Phone: nan</t>
  </si>
  <si>
    <t>(201) 768-8200</t>
  </si>
  <si>
    <t>1746 COMMERCE RD; Phone: nan</t>
  </si>
  <si>
    <t>(847) 455-0190</t>
  </si>
  <si>
    <t>10800 West Belmont Avenue; Phone:</t>
  </si>
  <si>
    <t>(937) 859-3621</t>
  </si>
  <si>
    <t>(604) 527-1120</t>
  </si>
  <si>
    <t>225 Edworth Way; Phone: nan please</t>
  </si>
  <si>
    <t>(541) 443-4413</t>
  </si>
  <si>
    <t>3780 HWY #80 West, Phone: 478-772_</t>
  </si>
  <si>
    <t>(903) 657-4575</t>
  </si>
  <si>
    <t>609 Industrial Dr, Phone: nan please</t>
  </si>
  <si>
    <t>(904) 695-3800</t>
  </si>
  <si>
    <t>109 Halsema Road S, Phone: nan</t>
  </si>
  <si>
    <t>6481Highway 34, Phone: nan please</t>
  </si>
  <si>
    <t>9022 SE 186th Place, Phone: 904-290_</t>
  </si>
  <si>
    <t>(870) 765-2222</t>
  </si>
  <si>
    <t>1400 Main Street, Phone: nan please</t>
  </si>
  <si>
    <t>6640 County Road CR218,Phone: 90_</t>
  </si>
  <si>
    <t>334-749.</t>
  </si>
  <si>
    <t>2100 Industrial Drive, Phone: 334-749.</t>
  </si>
  <si>
    <t>1509 South Byron Butler PWY, Phone:_</t>
  </si>
  <si>
    <t>(479.</t>
  </si>
  <si>
    <t>2401 S Arkansas Ave; Phone: (479.</t>
  </si>
  <si>
    <t>109 Halsema Road South, Phone:</t>
  </si>
  <si>
    <t>(253) 912-5200</t>
  </si>
  <si>
    <t>604-527-</t>
  </si>
  <si>
    <t>223 Edworthy Way; Phone: 604-527-</t>
  </si>
  <si>
    <t>410 South</t>
  </si>
  <si>
    <t>(773) 523-7000</t>
  </si>
  <si>
    <t>602 -.</t>
  </si>
  <si>
    <t>2803 NORTH ZTHAVE, Phone: 602 -.</t>
  </si>
  <si>
    <t>4819 Baudin Street, Phone: (504) 486_</t>
  </si>
  <si>
    <t>(509) 282-3211</t>
  </si>
  <si>
    <t>(318) 259-4421</t>
  </si>
  <si>
    <t>100 Mill Street; Phone: nan please respond wi_</t>
  </si>
  <si>
    <t>(843) 745-3000</t>
  </si>
  <si>
    <t>5600 Virginia Avenue; Phone: nan</t>
  </si>
  <si>
    <t>(850) 785-4311</t>
  </si>
  <si>
    <t>One S Everitt Ave; Phone: nan please</t>
  </si>
  <si>
    <t>(252) 537-6011</t>
  </si>
  <si>
    <t>100 Gaston Rd, Phone: nan please_</t>
  </si>
  <si>
    <t>413-543-2311</t>
  </si>
  <si>
    <t>320 Parker St, Springfield, MA 01129-1026</t>
  </si>
  <si>
    <t>1611 County Road 85, Phone: 256-43_</t>
  </si>
  <si>
    <t>336-852-9721</t>
  </si>
  <si>
    <t>3910 South Holden Rd , Phone: nan</t>
  </si>
  <si>
    <t>175 Bryan Blvd, Phone: 662-963-2020 please respon_</t>
  </si>
  <si>
    <t>870-567-5020</t>
  </si>
  <si>
    <t>13051 Hwy 278 N, Phone: nan please_</t>
  </si>
  <si>
    <t>706 US Hwy167,Phone: nan please</t>
  </si>
  <si>
    <t>(336) 835-5100</t>
  </si>
  <si>
    <t>Highway 268,Phone: (336) 835-5100</t>
  </si>
  <si>
    <t>5500 NW Texas St , Phone: nan pleas_</t>
  </si>
  <si>
    <t>501-375-3233</t>
  </si>
  <si>
    <t>2056 JESSE HALL MEM RD, Phone:</t>
  </si>
  <si>
    <t>334-963-4391</t>
  </si>
  <si>
    <t>7616 Hwy1O West; Phone: nan please_</t>
  </si>
  <si>
    <t>541-729-3922</t>
  </si>
  <si>
    <t>600 S Main Street; Phone: nan please</t>
  </si>
  <si>
    <t>800-257-8182</t>
  </si>
  <si>
    <t>3900 Pinson Valley Pkwy; Phone: nan</t>
  </si>
  <si>
    <t>4220 1Sth Street East; Phone: 920-313-9203</t>
  </si>
  <si>
    <t>615-641-7511</t>
  </si>
  <si>
    <t>208-414-0206</t>
  </si>
  <si>
    <t>903-893-8669</t>
  </si>
  <si>
    <t>215 Park AveWest; Phone: nan please_</t>
  </si>
  <si>
    <t>2435 Rock Island Blvd, Phone: 314-872-9252 plea_</t>
  </si>
  <si>
    <t>Wildish Sand&amp;Grarvel - Eugene</t>
  </si>
  <si>
    <t>541-485-1700</t>
  </si>
  <si>
    <t>371 Harris Road, Phone: nan please respond</t>
  </si>
  <si>
    <t>570-829-1181</t>
  </si>
  <si>
    <t>130 RIDGEWOOD ROAD; Phone: nan</t>
  </si>
  <si>
    <t>716-837-1000</t>
  </si>
  <si>
    <t>317-487-2060</t>
  </si>
  <si>
    <t>2450</t>
  </si>
  <si>
    <t>14808 W 117th, Phone: (800) 736-93_</t>
  </si>
  <si>
    <t>417-831-1090</t>
  </si>
  <si>
    <t>221 ESunshine Road Suite G,</t>
  </si>
  <si>
    <t>870-353-6100</t>
  </si>
  <si>
    <t>1197 $ 6th Street; Phone: nan please respond__</t>
  </si>
  <si>
    <t>Williamson&amp;- Greer</t>
  </si>
  <si>
    <t>864-848-1011</t>
  </si>
  <si>
    <t>412-824-7071</t>
  </si>
  <si>
    <t>560 Braddock Ave; Phone: n_</t>
  </si>
  <si>
    <t>920-668-8526</t>
  </si>
  <si>
    <t>338 South Main Street; Phone: nan</t>
  </si>
  <si>
    <t>910-452-5090</t>
  </si>
  <si>
    <t>4628 No Chase Prkwy, Phon_</t>
  </si>
  <si>
    <t>Wilson Lock&amp;Dam</t>
  </si>
  <si>
    <t>704 S Wilson Dam Road, Phone: 256-5223</t>
  </si>
  <si>
    <t>Wilson Machine&amp;Welding</t>
  </si>
  <si>
    <t>745 Woodall Road; Phone: 355-9198</t>
  </si>
  <si>
    <t>WINSTON PLYWOOD&amp;VENEER</t>
  </si>
  <si>
    <t>662-446-1900</t>
  </si>
  <si>
    <t>1160 SOUTH CHURCH</t>
  </si>
  <si>
    <t>2100 Market Street NE, Phone: nan please</t>
  </si>
  <si>
    <t>256-653-.</t>
  </si>
  <si>
    <t>30500 Railroad StW; Phone: 256-653-.</t>
  </si>
  <si>
    <t>1417 Forestdale Blvd, Phone: (205)</t>
  </si>
  <si>
    <t>207-427-3311</t>
  </si>
  <si>
    <t>144 Main St, Phone: nan please</t>
  </si>
  <si>
    <t>318-232-1307</t>
  </si>
  <si>
    <t>2601 McDonald Ave; Phone: nan please respond wit_</t>
  </si>
  <si>
    <t>318-812-2800</t>
  </si>
  <si>
    <t>228 Industrial Drive; Phone: nan pleas_</t>
  </si>
  <si>
    <t>865-856-2317</t>
  </si>
  <si>
    <t>6435 Highway 411 S, Phone: nan</t>
  </si>
  <si>
    <t>zzContinental Hyd - White Hall</t>
  </si>
  <si>
    <t>870-247-2822</t>
  </si>
  <si>
    <t>Air Hydro Power - Decatur</t>
  </si>
  <si>
    <t>991 McEntire Ln</t>
  </si>
  <si>
    <t>FiberPro</t>
  </si>
  <si>
    <t>2727 E Grand Ave</t>
  </si>
  <si>
    <t>Hot Springs, AR 71901</t>
  </si>
  <si>
    <t xml:space="preserve">               Quote Form</t>
  </si>
  <si>
    <t>1928 Hyd</t>
  </si>
  <si>
    <t>830-549-1928</t>
  </si>
  <si>
    <t>1620 SH 12,</t>
  </si>
  <si>
    <t>4-D- Midland</t>
  </si>
  <si>
    <t>989-631-0400</t>
  </si>
  <si>
    <t>426 River St; Phone: (517) 631-0400 please respo_</t>
  </si>
  <si>
    <t>A C Contech Group - El Monte</t>
  </si>
  <si>
    <t>(626)</t>
  </si>
  <si>
    <t>9550 Flair Dr #505, Phone: (626)</t>
  </si>
  <si>
    <t>A C Krebs - Louisville</t>
  </si>
  <si>
    <t>A Duchini - Erie</t>
  </si>
  <si>
    <t>A Finkle&amp;Sons - Chicago</t>
  </si>
  <si>
    <t>(773)</t>
  </si>
  <si>
    <t>2011 N Southport Ave; Phone: (773)</t>
  </si>
  <si>
    <t>A G Russell - Hartford</t>
  </si>
  <si>
    <t>140 Huyshope Ave; Phone: (860) 247-_</t>
  </si>
  <si>
    <t>A J Oster&amp;- Warwick</t>
  </si>
  <si>
    <t>300 Centerville Rd #300E, Phone: (40.</t>
  </si>
  <si>
    <t>Adam</t>
  </si>
  <si>
    <t>126 Lester Doss Road, Phone: 205-590-4298</t>
  </si>
  <si>
    <t>A&amp;C Hydraulic - Daytona Beach</t>
  </si>
  <si>
    <t>101 Browder Lane; Phone:</t>
  </si>
  <si>
    <t>256-26.</t>
  </si>
  <si>
    <t>66 Pleasant View Rd,, Phone: 256-26.</t>
  </si>
  <si>
    <t>A-1 Hyd - Fort Worth, TX</t>
  </si>
  <si>
    <t>2327 Handley Ederville; Rd, Phone:</t>
  </si>
  <si>
    <t>A-1 Hydraulic - Little Canada</t>
  </si>
  <si>
    <t>(651) 490-1062</t>
  </si>
  <si>
    <t>3136 Country Dr; Phone: (800) 373_</t>
  </si>
  <si>
    <t>A-1 Machine&amp;Welding - Chattanooga</t>
  </si>
  <si>
    <t>527 Signal Mountain Rd,</t>
  </si>
  <si>
    <t>AA FLUID POWER SERVICES</t>
  </si>
  <si>
    <t>120 PARR STREET, Phone: 205-64_</t>
  </si>
  <si>
    <t>1506 Nuview St</t>
  </si>
  <si>
    <t>1506 Nuview St; Phone: nan please</t>
  </si>
  <si>
    <t>1506 Nuview St , Phone: nan please</t>
  </si>
  <si>
    <t>AAA Metal</t>
  </si>
  <si>
    <t>188 Cottonwood Mill Rd,</t>
  </si>
  <si>
    <t>PO Box 1899</t>
  </si>
  <si>
    <t>PO Box 1899, Phone: (610)</t>
  </si>
  <si>
    <t>AAI/ACl Tech - Santa Ana</t>
  </si>
  <si>
    <t>1100 Mckinley Rd; Phone: (419) 394-7840</t>
  </si>
  <si>
    <t>Abb Vetco Gray - Houston</t>
  </si>
  <si>
    <t>12221 N Houston Rosslyn Rd, Phon_</t>
  </si>
  <si>
    <t>Abbott - Troy</t>
  </si>
  <si>
    <t>3993 Highway 8 E, Phone: (208) 835-3270 pleas.</t>
  </si>
  <si>
    <t>(715) 223-6666</t>
  </si>
  <si>
    <t>219 Plaza Dr; Curtiss, WI 54422</t>
  </si>
  <si>
    <t>Abeco Die &amp; Casting - Lewisburg</t>
  </si>
  <si>
    <t>(931.</t>
  </si>
  <si>
    <t>1424 Higgs Rd,</t>
  </si>
  <si>
    <t>1100 N Mayflower Dr; Phone:_</t>
  </si>
  <si>
    <t>Aberdeen Dynamics Supply - Tulsa</t>
  </si>
  <si>
    <t>17717 E Admiral PI; Phone_</t>
  </si>
  <si>
    <t>Aberdeen Machine Tool - Aberdeen</t>
  </si>
  <si>
    <t>405 Commerce St; Phone:</t>
  </si>
  <si>
    <t>3570 S Main St, Phone: (704) 637-20_</t>
  </si>
  <si>
    <t>ABIBOW US CALHOUN OPERATIONS</t>
  </si>
  <si>
    <t>423-336-2211</t>
  </si>
  <si>
    <t>Able Machine Hyd - Taylors</t>
  </si>
  <si>
    <t>(86.</t>
  </si>
  <si>
    <t>309 McConnell Road, Phone: (86.</t>
  </si>
  <si>
    <t>Abm Intl - Elk Grove Vlg</t>
  </si>
  <si>
    <t>(847) 690-.-</t>
  </si>
  <si>
    <t>211 Seegers Ave, Phone: (847) 690-.-</t>
  </si>
  <si>
    <t>508-792-.</t>
  </si>
  <si>
    <t>92 Gardner Street; Phone: 508-792-.</t>
  </si>
  <si>
    <t>Abtco - Middlebury</t>
  </si>
  <si>
    <t>(219) 82..</t>
  </si>
  <si>
    <t>219 Us Highway 20, Phone: (219) 82..</t>
  </si>
  <si>
    <t>A-C Valve - Portland</t>
  </si>
  <si>
    <t>(360) 225-8003</t>
  </si>
  <si>
    <t>675 Mitchell Ave, Woodland, WA 98674</t>
  </si>
  <si>
    <t>Accurate Bearing &amp; Drive Co</t>
  </si>
  <si>
    <t>2726 Toulouse Street; Phone</t>
  </si>
  <si>
    <t>Accurate Tool - Gladwin</t>
  </si>
  <si>
    <t>(517) 426-400 .</t>
  </si>
  <si>
    <t>4950 W M 61,</t>
  </si>
  <si>
    <t>Accuride Corp operating in</t>
  </si>
  <si>
    <t>(270) 826 _</t>
  </si>
  <si>
    <t>Ace Hyd - Fresno</t>
  </si>
  <si>
    <t>2329 E Date Ave, Phone: (559) 233-3248</t>
  </si>
  <si>
    <t>Ace Products - Newport</t>
  </si>
  <si>
    <t>850 Industrial Rd; Phone: (423) 623-_</t>
  </si>
  <si>
    <t>Acme Block&amp;Concrete - Harriman</t>
  </si>
  <si>
    <t>130 Mayberry St; Phone: (86_</t>
  </si>
  <si>
    <t>Find company info and</t>
  </si>
  <si>
    <t xml:space="preserve"> Phone: </t>
  </si>
  <si>
    <t>Acme Skid &amp; Plug-Pallet - Silsbee</t>
  </si>
  <si>
    <t>Old Evadale</t>
  </si>
  <si>
    <t>Acordis Industrial Fibers - Scottsboro</t>
  </si>
  <si>
    <t>7526 Akzo Boulevard,</t>
  </si>
  <si>
    <t>(865) 483-1368</t>
  </si>
  <si>
    <t>Acs Hyd - Euless</t>
  </si>
  <si>
    <t>(817) 267-9444</t>
  </si>
  <si>
    <t>(541) 687-4611</t>
  </si>
  <si>
    <t>ACT - Amory</t>
  </si>
  <si>
    <t>311 North Front Street, Phone: (662) 257-9952</t>
  </si>
  <si>
    <t>Contact info found, no</t>
  </si>
  <si>
    <t>Action Supply - Sharon Hill</t>
  </si>
  <si>
    <t>Calcon Hook Rd; Phone: (610) 534 _</t>
  </si>
  <si>
    <t>Phonez nan</t>
  </si>
  <si>
    <t>Contact information unavailable</t>
  </si>
  <si>
    <t>ACV</t>
  </si>
  <si>
    <t>262-502-010.</t>
  </si>
  <si>
    <t>N9O W14683 Commerce Drive; Phone: 262-502-010.</t>
  </si>
  <si>
    <t>Ada Metal Products - Lincolnwood</t>
  </si>
  <si>
    <t>3515 W Touhy Ave; Phone:</t>
  </si>
  <si>
    <t>Adams Air and Hydraulic</t>
  </si>
  <si>
    <t>(615) 325-5445</t>
  </si>
  <si>
    <t>201 RAGLAND ROAD; Phone: 615-325_</t>
  </si>
  <si>
    <t>Adams Products - Morrisville</t>
  </si>
  <si>
    <t>(919) 467-2218</t>
  </si>
  <si>
    <t>Morrisville</t>
  </si>
  <si>
    <t>(262) 723-2046</t>
  </si>
  <si>
    <t>Adhesive Systems - Auburn</t>
  </si>
  <si>
    <t>11 STh St #A, Phone: (770) 822 _</t>
  </si>
  <si>
    <t>Operating company with phone</t>
  </si>
  <si>
    <t xml:space="preserve">(330) </t>
  </si>
  <si>
    <t>Milwaukee, WI  53212</t>
  </si>
  <si>
    <t>414-964-0284</t>
  </si>
  <si>
    <t>3760 N Holton St, Phone: 414-964-0284 pleas_</t>
  </si>
  <si>
    <t>Advance Hyd</t>
  </si>
  <si>
    <t>4630 S Brust Suite 400, Phone: (800) 236-1545 _</t>
  </si>
  <si>
    <t>Advanced Coil Technology - Owatonna</t>
  </si>
  <si>
    <t>801 N Cedar Ave; Phone:</t>
  </si>
  <si>
    <t>Advanced Component Systems - Lafayette</t>
  </si>
  <si>
    <t>1201 E South</t>
  </si>
  <si>
    <t>Advanced Cutting Systems- Davidsville</t>
  </si>
  <si>
    <t>Advanced Drainage Systems - Montezuma</t>
  </si>
  <si>
    <t>Highway 90</t>
  </si>
  <si>
    <t>Advanced Drainage Systems Inc</t>
  </si>
  <si>
    <t>Theodore location information</t>
  </si>
  <si>
    <t>5780 10 Industrial PkWY</t>
  </si>
  <si>
    <t>899C Airport Park Road,</t>
  </si>
  <si>
    <t>751</t>
  </si>
  <si>
    <t>Find contact info for</t>
  </si>
  <si>
    <t>R D # 32, Campbell Road, York</t>
  </si>
  <si>
    <t>7040 County Road 20,_</t>
  </si>
  <si>
    <t>Advanced Hyd - Jacksonville</t>
  </si>
  <si>
    <t>1180 Lane Avenue North; Phone:</t>
  </si>
  <si>
    <t>1361 F West Wade Hampton</t>
  </si>
  <si>
    <t>unknown business info</t>
  </si>
  <si>
    <t>Advanced Manufacturing Systems Decatur</t>
  </si>
  <si>
    <t>Company information not found</t>
  </si>
  <si>
    <t>Advanced Products - North Haven</t>
  </si>
  <si>
    <t>33 Defco Park Rd, Phone:</t>
  </si>
  <si>
    <t>481 Machinery Circle; Phone:_</t>
  </si>
  <si>
    <t>Advanced Systems &amp; Integration, LLC - Wake Forest</t>
  </si>
  <si>
    <t>8512 Mangum Hollow Dr.</t>
  </si>
  <si>
    <t>Wake Forest, NC  27587</t>
  </si>
  <si>
    <t>8200 1OOth Street, Phone: na_</t>
  </si>
  <si>
    <t>Company contact info available</t>
  </si>
  <si>
    <t>Aem,  - Fort Wayne</t>
  </si>
  <si>
    <t>Aep Ind - Mountaintop</t>
  </si>
  <si>
    <t>20 Elmwood Rd, Phone: (570) 474 _</t>
  </si>
  <si>
    <t>Aero Systems Engineering - St Paul</t>
  </si>
  <si>
    <t>358 Fillmore Ave E; Phone:</t>
  </si>
  <si>
    <t>Aerodirect - Arlington Heights</t>
  </si>
  <si>
    <t>(847) 325-4971</t>
  </si>
  <si>
    <t>Company information unavailable</t>
  </si>
  <si>
    <t>Aeroelectronics- Hurst</t>
  </si>
  <si>
    <t>(817) 267-5993</t>
  </si>
  <si>
    <t>Aero-Go - Seattle</t>
  </si>
  <si>
    <t>(206) 558-5777</t>
  </si>
  <si>
    <t>206-558-5777</t>
  </si>
  <si>
    <t>(518) 793-8801</t>
  </si>
  <si>
    <t>Afaoration - Forest City</t>
  </si>
  <si>
    <t>(828) 247-4100</t>
  </si>
  <si>
    <t>Affiliated Controls Equip - Wood Dale</t>
  </si>
  <si>
    <t>650 Wheat Lane, Phone:</t>
  </si>
  <si>
    <t>Affordable Hyd - Somerset</t>
  </si>
  <si>
    <t>364 Ringgold Road, Phone: (606) 679_</t>
  </si>
  <si>
    <t>(620) 327-6300</t>
  </si>
  <si>
    <t>420 Lincoln Blvd, Phone: nan please respond</t>
  </si>
  <si>
    <t>Aggregate - Elk River</t>
  </si>
  <si>
    <t>651-683-8190</t>
  </si>
  <si>
    <t>1610 94th Lane NE, Phone: nan pleas_</t>
  </si>
  <si>
    <t>Aggressive Hydraulic - Blaine</t>
  </si>
  <si>
    <t>1610 94th Lane NE, Phone: nan</t>
  </si>
  <si>
    <t>Agito - Dallas</t>
  </si>
  <si>
    <t>Contact info found for</t>
  </si>
  <si>
    <t>nan, Phone: (216) 267-3435 please respond</t>
  </si>
  <si>
    <t>Aichi Forge USA</t>
  </si>
  <si>
    <t>502.863.7575.</t>
  </si>
  <si>
    <t>596 Triport Rd; Phone: nan please respond wit_</t>
  </si>
  <si>
    <t>Air &amp; Hydraulic Engineering - Daphne</t>
  </si>
  <si>
    <t>29000 Highway 98 #201A_</t>
  </si>
  <si>
    <t>Air &amp; Hydraulic Engineering - Doraville</t>
  </si>
  <si>
    <t>Air &amp; Hydraulic Repair Service - Cookville</t>
  </si>
  <si>
    <t>Air Draulics Engineering - Memphis</t>
  </si>
  <si>
    <t>(901) 794-4300</t>
  </si>
  <si>
    <t>4250 Pilot Drive; Phone: (800_</t>
  </si>
  <si>
    <t>Air Powered Tools - Islip</t>
  </si>
  <si>
    <t>142 Freeman Ave; Phone: (631) 277 -_</t>
  </si>
  <si>
    <t>Air-Drualic Svc - Hammond</t>
  </si>
  <si>
    <t>Air-Drualic Svc Hammond contact</t>
  </si>
  <si>
    <t>(219) 932-____</t>
  </si>
  <si>
    <t>Airgas - Hopkinsville</t>
  </si>
  <si>
    <t>4891 Pembroke Road</t>
  </si>
  <si>
    <t>Hopkinsville, KY  42240</t>
  </si>
  <si>
    <t>Airgas - Hopkinsville open</t>
  </si>
  <si>
    <t>489 Pembroke Road</t>
  </si>
  <si>
    <t>Air-Hydraulic Systems - Duluth</t>
  </si>
  <si>
    <t>Air-Hydraulic Systems information</t>
  </si>
  <si>
    <t>Phone: Ask anything</t>
  </si>
  <si>
    <t>Address: 2922 W Superior St</t>
  </si>
  <si>
    <t>104 Williamson Road,</t>
  </si>
  <si>
    <t>Airpro Lombard contact info</t>
  </si>
  <si>
    <t>Aisin Usa Mfg - Seymour</t>
  </si>
  <si>
    <t>Aisin USA Mfg Seymour</t>
  </si>
  <si>
    <t>(812) XXX-XXXX</t>
  </si>
  <si>
    <t>1745 Overland Ave Ne; Phon_</t>
  </si>
  <si>
    <t>Ajd Forest Products - Grayling</t>
  </si>
  <si>
    <t>(517) 346-????</t>
  </si>
  <si>
    <t>(513)</t>
  </si>
  <si>
    <t>703 Curtis St, Phone: (513)</t>
  </si>
  <si>
    <t>Hydraulic company in Akron</t>
  </si>
  <si>
    <t>330-724-***</t>
  </si>
  <si>
    <t>151 W Dartmore Ave_</t>
  </si>
  <si>
    <t>Akron Special Machin contact</t>
  </si>
  <si>
    <t>Contact info unavailable</t>
  </si>
  <si>
    <t>Al&amp;John- Paterson</t>
  </si>
  <si>
    <t>Alabama Air &amp; Hydraulic - Birmingham</t>
  </si>
  <si>
    <t>Air and Hydraulic Services</t>
  </si>
  <si>
    <t>Alabama BolteSupply contact info</t>
  </si>
  <si>
    <t>Alabama Bolt&amp;Supply-Montgomery info found</t>
  </si>
  <si>
    <t>334______</t>
  </si>
  <si>
    <t>Alabama Industrial Distr - Oxford</t>
  </si>
  <si>
    <t>Alabama Industrial Distr info</t>
  </si>
  <si>
    <t>(256)_</t>
  </si>
  <si>
    <t>Montgomery, AL  36104</t>
  </si>
  <si>
    <t>334-269-4351</t>
  </si>
  <si>
    <t>Fluid Power contact info</t>
  </si>
  <si>
    <t>Alabama Pine&amp;Pulp Perdue Hill</t>
  </si>
  <si>
    <t>Perdue Hill</t>
  </si>
  <si>
    <t>Alamo Hyd</t>
  </si>
  <si>
    <t>Hydraulic equipment supplier</t>
  </si>
  <si>
    <t>Alaska Marine Hwy info</t>
  </si>
  <si>
    <t>19 Kiesland Ct, Phone: (513)</t>
  </si>
  <si>
    <t>Alban Tractor - Baltimore</t>
  </si>
  <si>
    <t>Tractor dealership in Baltimore</t>
  </si>
  <si>
    <t>(410) 686-</t>
  </si>
  <si>
    <t>8531 Pulaski Hwy;</t>
  </si>
  <si>
    <t>(843) ...</t>
  </si>
  <si>
    <t>Motion- Racine, WI's Customer</t>
  </si>
  <si>
    <t>8200 10Oth St</t>
  </si>
  <si>
    <t>no phone number found</t>
  </si>
  <si>
    <t>Information not found</t>
  </si>
  <si>
    <t>Aluminum company information found</t>
  </si>
  <si>
    <t>Albright&amp;Wilson Fernald information requested</t>
  </si>
  <si>
    <t>City in Tennessee USA</t>
  </si>
  <si>
    <t>Alcoa - Lafayette contact</t>
  </si>
  <si>
    <t>Alcoa Aluminum&amp;CHe found</t>
  </si>
  <si>
    <t>No contact info available</t>
  </si>
  <si>
    <t>Unknown automotive company</t>
  </si>
  <si>
    <t>Northwood</t>
  </si>
  <si>
    <t>Contact info and no</t>
  </si>
  <si>
    <t>(none provided)</t>
  </si>
  <si>
    <t>Alcoa Packaging Equip - Englewood</t>
  </si>
  <si>
    <t>Packaging equipment provider</t>
  </si>
  <si>
    <t>Phon_</t>
  </si>
  <si>
    <t>6949 Potomac St</t>
  </si>
  <si>
    <t>Alcoa Wheel&amp;Forged Products info</t>
  </si>
  <si>
    <t>555-______</t>
  </si>
  <si>
    <t>Alcotec Wire location found</t>
  </si>
  <si>
    <t>(231) _ _ _ _ _</t>
  </si>
  <si>
    <t>A-Lert Construction Services</t>
  </si>
  <si>
    <t>200 Madison</t>
  </si>
  <si>
    <t>Fedonia, KS 66736</t>
  </si>
  <si>
    <t>14020 Highway 57, Phone: (812)</t>
  </si>
  <si>
    <t>1400 Perry Street, Phone: 920-487-3511 pleas_</t>
  </si>
  <si>
    <t>Algoma Steel- Sault Ste Marie</t>
  </si>
  <si>
    <t>Algoma Steel information wanted</t>
  </si>
  <si>
    <t>All Alaskan Seafoods - Seattle</t>
  </si>
  <si>
    <t>IBT Merriam, KS cust</t>
  </si>
  <si>
    <t>Contact info and address</t>
  </si>
  <si>
    <t>(864) _</t>
  </si>
  <si>
    <t xml:space="preserve">_nan; </t>
  </si>
  <si>
    <t>All Hyd - Ogden</t>
  </si>
  <si>
    <t>All Hyd Ogden contact</t>
  </si>
  <si>
    <t>nan; Phone: 440-998-6300 please respond with open_</t>
  </si>
  <si>
    <t>All Power - Sioux City</t>
  </si>
  <si>
    <t>Ask anything for contact</t>
  </si>
  <si>
    <t>(712) 258-0681</t>
  </si>
  <si>
    <t>All Star Hyd - Blontville</t>
  </si>
  <si>
    <t>(423) 279-0017</t>
  </si>
  <si>
    <t>Steel manufacturing facility</t>
  </si>
  <si>
    <t>Contact information not available</t>
  </si>
  <si>
    <t>Allen Hyd - Spartenburg</t>
  </si>
  <si>
    <t>101 Belton Drive PO Box 3364,Phone_</t>
  </si>
  <si>
    <t>3127 Rivers Ave</t>
  </si>
  <si>
    <t>North Charleston, SC 29405</t>
  </si>
  <si>
    <t>3127 Rivers Ave; Phone: (843) 747-_</t>
  </si>
  <si>
    <t>(801) 250-5911</t>
  </si>
  <si>
    <t>3923 W West Ave; Phone:</t>
  </si>
  <si>
    <t>(330) 343-4283</t>
  </si>
  <si>
    <t>(305) 635-3360</t>
  </si>
  <si>
    <t>Allied Metal- Miami</t>
  </si>
  <si>
    <t>(256) 831-4296</t>
  </si>
  <si>
    <t>(219) 356-8200</t>
  </si>
  <si>
    <t>Allied Signal- Metropolis</t>
  </si>
  <si>
    <t>(618) 524-2111</t>
  </si>
  <si>
    <t>(618) 940-0401</t>
  </si>
  <si>
    <t>Allied Systems - Sherwood</t>
  </si>
  <si>
    <t>(503) 625-2560</t>
  </si>
  <si>
    <t>(256) 378-5541</t>
  </si>
  <si>
    <t>Allison Engine - Indianapolis</t>
  </si>
  <si>
    <t>(317) 230-2000</t>
  </si>
  <si>
    <t>(317) 230-1667</t>
  </si>
  <si>
    <t>All-Power- Sioux City</t>
  </si>
  <si>
    <t>712-258-0681</t>
  </si>
  <si>
    <t>2228 Murray St; Sioux</t>
  </si>
  <si>
    <t>(864) 879-8100</t>
  </si>
  <si>
    <t>615-459-2511</t>
  </si>
  <si>
    <t>4225 Miller Rd #245, Phone: 810-813_</t>
  </si>
  <si>
    <t>(910) 737-3200</t>
  </si>
  <si>
    <t>(201) 329-6351</t>
  </si>
  <si>
    <t>(801) 355-5816</t>
  </si>
  <si>
    <t>Alpha Valves&amp;Inst- Chattanooga</t>
  </si>
  <si>
    <t>(423) 624-0514</t>
  </si>
  <si>
    <t>423-899-8701</t>
  </si>
  <si>
    <t>1535 E Naomi St</t>
  </si>
  <si>
    <t>1535 E Naomi St,</t>
  </si>
  <si>
    <t>Alstom Power</t>
  </si>
  <si>
    <t>(423) 752-2581</t>
  </si>
  <si>
    <t>1119 Riverfront</t>
  </si>
  <si>
    <t>Altek - Torrington</t>
  </si>
  <si>
    <t>245 E Elm St; Phone: (860) 482-7626 please</t>
  </si>
  <si>
    <t>662-570-1970.</t>
  </si>
  <si>
    <t>923 Airport Rd, Phone: nan please respond with</t>
  </si>
  <si>
    <t>Altoona Hyd - Altoona</t>
  </si>
  <si>
    <t>42312 State Road 19, Phone: (352)</t>
  </si>
  <si>
    <t>(901) 362-0100</t>
  </si>
  <si>
    <t>Alumax Of Sc- Goose Creek</t>
  </si>
  <si>
    <t>(843) 572-3700</t>
  </si>
  <si>
    <t>843-572-3700</t>
  </si>
  <si>
    <t>Aluminum Dynamics LLC</t>
  </si>
  <si>
    <t>(662) 352-0500</t>
  </si>
  <si>
    <t>3413 Charleigh D Ford Jr Dr; Phone:</t>
  </si>
  <si>
    <t>217 Roosevelt Street, Phone:_</t>
  </si>
  <si>
    <t>Alvey - St Louis</t>
  </si>
  <si>
    <t>9301 Olive Blvd, Phone: (314) 993-4700 pleas.</t>
  </si>
  <si>
    <t>(907) 581-1211</t>
  </si>
  <si>
    <t>219-472-7272</t>
  </si>
  <si>
    <t>14151 Irving Avenue; Phone: (800)_</t>
  </si>
  <si>
    <t>Amalgamated Sugar - Paul</t>
  </si>
  <si>
    <t>nan; Phone</t>
  </si>
  <si>
    <t>AMBEC,INC</t>
  </si>
  <si>
    <t>(434) 525-4555</t>
  </si>
  <si>
    <t>320 Wards</t>
  </si>
  <si>
    <t>(773) 283-4600</t>
  </si>
  <si>
    <t>Ambox - Houston</t>
  </si>
  <si>
    <t>(713) 644-1931</t>
  </si>
  <si>
    <t>713-644-1931</t>
  </si>
  <si>
    <t>(905) 527-9178</t>
  </si>
  <si>
    <t>240 East Plato Boulevard;</t>
  </si>
  <si>
    <t>Americ Equip Rental</t>
  </si>
  <si>
    <t>(256) 773-3051</t>
  </si>
  <si>
    <t>Hwy 31, Phone: nan please respond</t>
  </si>
  <si>
    <t>American Appliance</t>
  </si>
  <si>
    <t>345 Chemwood Dr</t>
  </si>
  <si>
    <t>Newport, TN 37821</t>
  </si>
  <si>
    <t>345 Chemwood Dr; Phone: (423) 625- _</t>
  </si>
  <si>
    <t>American Appliance Prod</t>
  </si>
  <si>
    <t>345 Chemwood Drive; Phone: nan</t>
  </si>
  <si>
    <t>(419) 869-7107</t>
  </si>
  <si>
    <t>American Baler - Bellevue</t>
  </si>
  <si>
    <t>(419) 483-5790</t>
  </si>
  <si>
    <t>419-483-5790</t>
  </si>
  <si>
    <t>(423) 266-7145</t>
  </si>
  <si>
    <t>American Block - Houston</t>
  </si>
  <si>
    <t>(713) 692-4400</t>
  </si>
  <si>
    <t>American Block - Princeton</t>
  </si>
  <si>
    <t>281-820-3861</t>
  </si>
  <si>
    <t>American Cast Iron Pipe - Birmingham</t>
  </si>
  <si>
    <t>1501 31St Avenue No</t>
  </si>
  <si>
    <t>501 31St Avenue No,</t>
  </si>
  <si>
    <t>(800) 708-3266</t>
  </si>
  <si>
    <t>(513) 541-2550</t>
  </si>
  <si>
    <t>American Concrete Equip - Herman</t>
  </si>
  <si>
    <t>(402) 456-6200</t>
  </si>
  <si>
    <t>311 FRONT ST, NORTH</t>
  </si>
  <si>
    <t>311 FRONT ST, NORTH, Phone: 66_</t>
  </si>
  <si>
    <t>PO BOX 153,Phone: 662-257-995_</t>
  </si>
  <si>
    <t>(215) 943-9220</t>
  </si>
  <si>
    <t>nan; Phone: na_</t>
  </si>
  <si>
    <t>(218) 236-4400</t>
  </si>
  <si>
    <t>American Hyd Supply</t>
  </si>
  <si>
    <t>200 Bates Industrial Drive; Phone: 22_</t>
  </si>
  <si>
    <t>(586) 983-4230</t>
  </si>
  <si>
    <t>2412 Hwy169</t>
  </si>
  <si>
    <t>2412 Hwy169,Phone: nan please</t>
  </si>
  <si>
    <t>(541) 268-4428</t>
  </si>
  <si>
    <t>(812) 663-4085</t>
  </si>
  <si>
    <t>(423) 624-1191</t>
  </si>
  <si>
    <t>American Metal Products Calexico</t>
  </si>
  <si>
    <t>American Nat'L Can C</t>
  </si>
  <si>
    <t>American Pipe &amp; Supply</t>
  </si>
  <si>
    <t>American Proteins - Hanceville</t>
  </si>
  <si>
    <t>1170 County Road 508 PO Box 429</t>
  </si>
  <si>
    <t>1125 EAST POINT ROAD, DUTCH HARBOR, AK 99685</t>
  </si>
  <si>
    <t>(231) 775-8391</t>
  </si>
  <si>
    <t>860-889-4900</t>
  </si>
  <si>
    <t>(269) 429-2400</t>
  </si>
  <si>
    <t>+1 407-324-8935</t>
  </si>
  <si>
    <t>(409) 832-7721</t>
  </si>
  <si>
    <t>(724) 696-6000</t>
  </si>
  <si>
    <t>(509) 535-5040</t>
  </si>
  <si>
    <t>Ameripol Synpol - Port Neches</t>
  </si>
  <si>
    <t>(409) 722-8321</t>
  </si>
  <si>
    <t>7063 SW 47th Street, Phone: 305-663-4448 please</t>
  </si>
  <si>
    <t>Amertech Ind - Brooklyn</t>
  </si>
  <si>
    <t>(718) 596-</t>
  </si>
  <si>
    <t>(718) 596-6307</t>
  </si>
  <si>
    <t>AMI</t>
  </si>
  <si>
    <t>121 Nixon StSW</t>
  </si>
  <si>
    <t>121 Nixon StSW; Phone: nan please respond with</t>
  </si>
  <si>
    <t>Amick Equip - Lexington</t>
  </si>
  <si>
    <t>(803) 359-6656</t>
  </si>
  <si>
    <t>800-922-3795</t>
  </si>
  <si>
    <t>(256) 340-5720</t>
  </si>
  <si>
    <t>(630) 420-5111</t>
  </si>
  <si>
    <t>Amoco Oil - Grafton</t>
  </si>
  <si>
    <t>(618) 786-3417</t>
  </si>
  <si>
    <t>+1 219-473-7700</t>
  </si>
  <si>
    <t>Amon - Williamsburg</t>
  </si>
  <si>
    <t>(231) 938-9160</t>
  </si>
  <si>
    <t>(513) 734-1700</t>
  </si>
  <si>
    <t>Anchor Block - Brooklyn Park</t>
  </si>
  <si>
    <t>(763) 425-9779</t>
  </si>
  <si>
    <t>(732) 785-3390</t>
  </si>
  <si>
    <t>ANCO ENGINEERS</t>
  </si>
  <si>
    <t>1965 A 33RD STREET, Phone: 303-443-7580</t>
  </si>
  <si>
    <t>Ancoma - Rochester</t>
  </si>
  <si>
    <t>(716) 436-1029</t>
  </si>
  <si>
    <t>(585) 436-1029</t>
  </si>
  <si>
    <t>Andersen- Bayport</t>
  </si>
  <si>
    <t>(651) 264-5150</t>
  </si>
  <si>
    <t>651-264-5150</t>
  </si>
  <si>
    <t>Anderson Hyd - Orange</t>
  </si>
  <si>
    <t>(714) 538-0400</t>
  </si>
  <si>
    <t>(203) 777-4153</t>
  </si>
  <si>
    <t>(601) 218-8104</t>
  </si>
  <si>
    <t>Anel Ind - Winona</t>
  </si>
  <si>
    <t>(662) 283-1540</t>
  </si>
  <si>
    <t>(314).</t>
  </si>
  <si>
    <t>Angelica- St Louis</t>
  </si>
  <si>
    <t>St Louis,MO 63110</t>
  </si>
  <si>
    <t>(678) 823-4100</t>
  </si>
  <si>
    <t>750 Schrock Rd,, Phone:</t>
  </si>
  <si>
    <t>Anheuser-Busch- Jacksonville</t>
  </si>
  <si>
    <t>(866) 857-5749</t>
  </si>
  <si>
    <t>(904) 751-0700</t>
  </si>
  <si>
    <t>Annapolis Milling - Annapolis</t>
  </si>
  <si>
    <t>Anodizing- Billings</t>
  </si>
  <si>
    <t>Anodizing- Portland</t>
  </si>
  <si>
    <t>(503) 235-9551</t>
  </si>
  <si>
    <t>(503) 972-1404</t>
  </si>
  <si>
    <t>Anthony Corrado - Lincoln</t>
  </si>
  <si>
    <t>1-870-862-2995</t>
  </si>
  <si>
    <t>(870) 687-3611</t>
  </si>
  <si>
    <t>(256) 248-3321</t>
  </si>
  <si>
    <t>APEL Steel - Cullman</t>
  </si>
  <si>
    <t>2345 2nd Avenue Northwest; Phone:</t>
  </si>
  <si>
    <t>2850 eCoronado St</t>
  </si>
  <si>
    <t>2850 eCoronado St, Phone:</t>
  </si>
  <si>
    <t>Apex Design Technology</t>
  </si>
  <si>
    <t>3401 Hwy20 WBldgH&amp;I</t>
  </si>
  <si>
    <t>3401 Hwy20 WBldgHel, Phone: 256-_</t>
  </si>
  <si>
    <t>(414) 764-1160</t>
  </si>
  <si>
    <t>(440) 269-1766</t>
  </si>
  <si>
    <t>Apollo Products- Willoughby</t>
  </si>
  <si>
    <t>Appleton Wire - Montgomery</t>
  </si>
  <si>
    <t>3727 Westgate Road, Phone=</t>
  </si>
  <si>
    <t>(804) 727-4200</t>
  </si>
  <si>
    <t>725 Turner Field Road , Phon_</t>
  </si>
  <si>
    <t>Applied Industrial Tech - Anderson</t>
  </si>
  <si>
    <t>215 McGee Road</t>
  </si>
  <si>
    <t>86.</t>
  </si>
  <si>
    <t>215 McGee Road, Phone: 86.</t>
  </si>
  <si>
    <t>2400 NoSandra St</t>
  </si>
  <si>
    <t>2400 NoSandra St, Phone:</t>
  </si>
  <si>
    <t>(406) 252-3881</t>
  </si>
  <si>
    <t>916 3rd Ave N, Phone: nan</t>
  </si>
  <si>
    <t>1028  35th StNO</t>
  </si>
  <si>
    <t>1028 35th StNO, Phone:</t>
  </si>
  <si>
    <t>135 Dishman Ln;</t>
  </si>
  <si>
    <t>(251) 867-6363</t>
  </si>
  <si>
    <t>32189 Hwy 31, Phone: 251-_</t>
  </si>
  <si>
    <t>1284 California Ave SW</t>
  </si>
  <si>
    <t>1284 California Ave SW,</t>
  </si>
  <si>
    <t>4754 Faircrest St SW</t>
  </si>
  <si>
    <t>Canton, OH  44706-3552</t>
  </si>
  <si>
    <t>4754 Faircrest St SW, Phone:_</t>
  </si>
  <si>
    <t>10345 Nations Ford Rd B</t>
  </si>
  <si>
    <t>Charlotte, NC  28273-5823</t>
  </si>
  <si>
    <t>10345 Nations Ford Rd B,</t>
  </si>
  <si>
    <t>1485 Blythe Ferry Rd NE,</t>
  </si>
  <si>
    <t>4OOHilbig Road, Phone: 936-.</t>
  </si>
  <si>
    <t>536 East 1st St</t>
  </si>
  <si>
    <t>536 East Ist St; Phone: 970-824-.</t>
  </si>
  <si>
    <t>(334) 289-4320</t>
  </si>
  <si>
    <t>1812 Highway 80 East, Phon:</t>
  </si>
  <si>
    <t>5454 Havana StUnit 714</t>
  </si>
  <si>
    <t>5454 Havana StUnit 714,</t>
  </si>
  <si>
    <t>1761 Guthrie Ave.</t>
  </si>
  <si>
    <t>Des Moines, IA 50316-2135</t>
  </si>
  <si>
    <t>1761 Guthrie Ave., Phone:_</t>
  </si>
  <si>
    <t>(334) 793-3384</t>
  </si>
  <si>
    <t>2253 3rd Ave; Phone: 334-79_</t>
  </si>
  <si>
    <t>(812) 473-2529</t>
  </si>
  <si>
    <t>Fairmont, WV  26554-9793</t>
  </si>
  <si>
    <t>126 Carr Lane, Phone: 304-_</t>
  </si>
  <si>
    <t>Fort Smith, AR  72908-8423</t>
  </si>
  <si>
    <t>(479) 648-3597</t>
  </si>
  <si>
    <t>42000 CHRISTY ST</t>
  </si>
  <si>
    <t>FREMONT CA 94538-</t>
  </si>
  <si>
    <t>42000 CHRISTY ST, Phone:</t>
  </si>
  <si>
    <t>(904) 693-9978</t>
  </si>
  <si>
    <t>4611 Assembly Dr; Phone.</t>
  </si>
  <si>
    <t>Medford, OR 97504-9746</t>
  </si>
  <si>
    <t>541-779-8613</t>
  </si>
  <si>
    <t>3895 South Perkins Rd, Ste 1</t>
  </si>
  <si>
    <t>Memphis, TN  38118-7068</t>
  </si>
  <si>
    <t>(901) 368-5550</t>
  </si>
  <si>
    <t>3895 South Perkins Rd, Ste 1_</t>
  </si>
  <si>
    <t>1910 S University Blvd</t>
  </si>
  <si>
    <t>Middletown, OH 45044-3920</t>
  </si>
  <si>
    <t>1910 S University Blvd,</t>
  </si>
  <si>
    <t>Montgomery, AL  36117-2286</t>
  </si>
  <si>
    <t>980 Plantation Way, Phon_</t>
  </si>
  <si>
    <t>615-.</t>
  </si>
  <si>
    <t>1240 Polk Ave; Phone: 615-.</t>
  </si>
  <si>
    <t>(407) 264-9956</t>
  </si>
  <si>
    <t>Parkersburg, WV 26101-6668</t>
  </si>
  <si>
    <t>405 Parkway View Drive</t>
  </si>
  <si>
    <t>Pittsburgh, PA  15205-1408</t>
  </si>
  <si>
    <t>405 Parkway View Drive,</t>
  </si>
  <si>
    <t>(601) 939-1417</t>
  </si>
  <si>
    <t>531 Highway 49 S,</t>
  </si>
  <si>
    <t>Richmond, VA  23230-3343</t>
  </si>
  <si>
    <t>2203 Tomlynn St;</t>
  </si>
  <si>
    <t>Roanoke, VA 24016</t>
  </si>
  <si>
    <t>(540) 362-3741</t>
  </si>
  <si>
    <t>310 Shenandoah Ave NE,</t>
  </si>
  <si>
    <t>1050 West Lathrop Ave</t>
  </si>
  <si>
    <t>1050 West Lathrop</t>
  </si>
  <si>
    <t>345 Nutmeg Rd, S. Unit C</t>
  </si>
  <si>
    <t>345 Nutmeg Rd,</t>
  </si>
  <si>
    <t>301 North Fancher Rd</t>
  </si>
  <si>
    <t>Spokane, WA</t>
  </si>
  <si>
    <t>99212-0831</t>
  </si>
  <si>
    <t>301 North Fancher Rd, Phon_</t>
  </si>
  <si>
    <t>Springdale, AR  72762</t>
  </si>
  <si>
    <t>(713) 748-8970</t>
  </si>
  <si>
    <t>202 Val Dervin Pkwy</t>
  </si>
  <si>
    <t>Stockton, CA 95206-4011</t>
  </si>
  <si>
    <t>202 Val Dervin Pkwy, Phone:</t>
  </si>
  <si>
    <t>Tampa, FL  33619-4354</t>
  </si>
  <si>
    <t>(813) 621-5138</t>
  </si>
  <si>
    <t>1021 WJackson Street</t>
  </si>
  <si>
    <t>1021 WJackson Stree_</t>
  </si>
  <si>
    <t>115 NW Jackson St</t>
  </si>
  <si>
    <t>Topeka, KS  66603-3309</t>
  </si>
  <si>
    <t>115 NW Jackson St, Phone:</t>
  </si>
  <si>
    <t>(662) 844-4640</t>
  </si>
  <si>
    <t>855 MITCHELL ROAD, Phone_</t>
  </si>
  <si>
    <t>7209 Sheridan RD;</t>
  </si>
  <si>
    <t>(503) 232-5056</t>
  </si>
  <si>
    <t>Apv Baker - Goldsboro</t>
  </si>
  <si>
    <t>1200 W Ash St, Phone: (919) 735-457_</t>
  </si>
  <si>
    <t>Apv Crepaco- Lake Mills</t>
  </si>
  <si>
    <t>(414) 648-8311</t>
  </si>
  <si>
    <t>(262) 547-1200</t>
  </si>
  <si>
    <t>(763) 323-8200</t>
  </si>
  <si>
    <t>Aqua Treat- Chattanooga</t>
  </si>
  <si>
    <t>(423) 265-0132</t>
  </si>
  <si>
    <t>(706) 235-8576</t>
  </si>
  <si>
    <t>Arasmith MFG - Armuchee</t>
  </si>
  <si>
    <t>Arbco Ind - Export</t>
  </si>
  <si>
    <t>(724) 327-6300</t>
  </si>
  <si>
    <t>ARCELORMITTAL, VINTON</t>
  </si>
  <si>
    <t>915-886-2000</t>
  </si>
  <si>
    <t>INTERSTATE 10 AT VINTON RD, Phon_</t>
  </si>
  <si>
    <t>(773) 585-7181</t>
  </si>
  <si>
    <t>Archer MFG - Chicago</t>
  </si>
  <si>
    <t>773-585-7181</t>
  </si>
  <si>
    <t>201-939-2200</t>
  </si>
  <si>
    <t>907-561-7075</t>
  </si>
  <si>
    <t>707-586-3155</t>
  </si>
  <si>
    <t>Ardan Engr- Dighton</t>
  </si>
  <si>
    <t>401-727-3500</t>
  </si>
  <si>
    <t>Aresoration - Scottsboro</t>
  </si>
  <si>
    <t>630-252-2000</t>
  </si>
  <si>
    <t>Ari - Jackson</t>
  </si>
  <si>
    <t>573-243-8179</t>
  </si>
  <si>
    <t>480-968-4555</t>
  </si>
  <si>
    <t>507-964-5515</t>
  </si>
  <si>
    <t>Armil - South Holland</t>
  </si>
  <si>
    <t>708-339-6810</t>
  </si>
  <si>
    <t>ARMSTRONG Hyd</t>
  </si>
  <si>
    <t>937-274-8043</t>
  </si>
  <si>
    <t>3336 LODGE AVE, Phone: nan please respond._</t>
  </si>
  <si>
    <t>Armstrong World - Mebane</t>
  </si>
  <si>
    <t>919-304-3846</t>
  </si>
  <si>
    <t>(919) 304-3846</t>
  </si>
  <si>
    <t>860-583-0628</t>
  </si>
  <si>
    <t>860-583-0628)</t>
  </si>
  <si>
    <t>Arnim Tool - Dallas</t>
  </si>
  <si>
    <t>972-247-0802</t>
  </si>
  <si>
    <t>(972) 247-0802</t>
  </si>
  <si>
    <t>Arnold Engr - Marengo</t>
  </si>
  <si>
    <t>800-545-4578</t>
  </si>
  <si>
    <t>205-349-</t>
  </si>
  <si>
    <t>2919 1Ith Avenue; Phone: 205-349-</t>
  </si>
  <si>
    <t>973-523-1122</t>
  </si>
  <si>
    <t>915-860-0401</t>
  </si>
  <si>
    <t>973-998-2500</t>
  </si>
  <si>
    <t>Arthur- Huron</t>
  </si>
  <si>
    <t>419-433-7202</t>
  </si>
  <si>
    <t>541-582-0853</t>
  </si>
  <si>
    <t>Arvin Ind- Dexter</t>
  </si>
  <si>
    <t>573-624-7411</t>
  </si>
  <si>
    <t>800-442-1902</t>
  </si>
  <si>
    <t>Asarco- East Helena</t>
  </si>
  <si>
    <t>(520) 356-7811</t>
  </si>
  <si>
    <t>Asarcoorporated - Hayden</t>
  </si>
  <si>
    <t>520-356-7811</t>
  </si>
  <si>
    <t>989-362-4419</t>
  </si>
  <si>
    <t>(251) 952-1700</t>
  </si>
  <si>
    <t>620-431-4500</t>
  </si>
  <si>
    <t>620-.</t>
  </si>
  <si>
    <t>1801 North Santa Fe; Phone: 620-.</t>
  </si>
  <si>
    <t>(208) 775-3351</t>
  </si>
  <si>
    <t>230 Cement Rd, Inkom, ID 83245</t>
  </si>
  <si>
    <t>708-385-5553</t>
  </si>
  <si>
    <t>252-357-0050</t>
  </si>
  <si>
    <t>Asi Tech - Milwaukee</t>
  </si>
  <si>
    <t>414-464-6200</t>
  </si>
  <si>
    <t>206-634-2080</t>
  </si>
  <si>
    <t>Aslorporated - San Leandro</t>
  </si>
  <si>
    <t>732-722-7878</t>
  </si>
  <si>
    <t>989-685-2603</t>
  </si>
  <si>
    <t>5739 Bueno Dr; Fort Collins, CO 80525</t>
  </si>
  <si>
    <t>Associated Tooling - FtCollins</t>
  </si>
  <si>
    <t>FtCollins,CO 80524</t>
  </si>
  <si>
    <t>970-493-3242</t>
  </si>
  <si>
    <t>503-691-1818</t>
  </si>
  <si>
    <t>Astec- Baltimore</t>
  </si>
  <si>
    <t>peggywashington@arnoldafmil</t>
  </si>
  <si>
    <t>1476 Avenue E, Phone: 931-454-7773 please respon_</t>
  </si>
  <si>
    <t>423-745-0060</t>
  </si>
  <si>
    <t>807-929-1557</t>
  </si>
  <si>
    <t>Independence, MO64057</t>
  </si>
  <si>
    <t>Missouri Hwy 7878, Phone:</t>
  </si>
  <si>
    <t>323-583-4311</t>
  </si>
  <si>
    <t>6425 Penn Ave; Pittsburgh; PA</t>
  </si>
  <si>
    <t>Atlantic Baking- Pittsburgh</t>
  </si>
  <si>
    <t>704-553-0772</t>
  </si>
  <si>
    <t>Atlantic Fluid Power- Hauppauge</t>
  </si>
  <si>
    <t>(90.</t>
  </si>
  <si>
    <t>111 Bridge Road, Phone: (90.</t>
  </si>
  <si>
    <t>Atlantic Hyd - Pittsboro</t>
  </si>
  <si>
    <t>919-542-2985</t>
  </si>
  <si>
    <t>(919) 542-2985</t>
  </si>
  <si>
    <t>(904) 251-3632</t>
  </si>
  <si>
    <t>Atlas Tube - Chicago</t>
  </si>
  <si>
    <t>Motion- Country Side, IL - Customer</t>
  </si>
  <si>
    <t>1855 East 122nd Street; Phone: nan</t>
  </si>
  <si>
    <t>65 Main Street; Phone: 563-557-_</t>
  </si>
  <si>
    <t>270-830-6622</t>
  </si>
  <si>
    <t>Augusta Lumber - Waynesboro</t>
  </si>
  <si>
    <t>540-946-9150</t>
  </si>
  <si>
    <t>434-977-6852</t>
  </si>
  <si>
    <t>706-823-6444</t>
  </si>
  <si>
    <t>Auroro Casket - Aurora</t>
  </si>
  <si>
    <t>800-457-1111</t>
  </si>
  <si>
    <t>(812) 926-1111</t>
  </si>
  <si>
    <t>409-980-7533</t>
  </si>
  <si>
    <t>715-341-6501</t>
  </si>
  <si>
    <t>828-754-4662</t>
  </si>
  <si>
    <t>Automated Production Solutions</t>
  </si>
  <si>
    <t>90.</t>
  </si>
  <si>
    <t>2000 Brant Street, Phone: 90.</t>
  </si>
  <si>
    <t>Automated Valve&amp;- Houston</t>
  </si>
  <si>
    <t>713-747-1500</t>
  </si>
  <si>
    <t>(713) 747-1500</t>
  </si>
  <si>
    <t>860-779-1117</t>
  </si>
  <si>
    <t>(860) 236-5991</t>
  </si>
  <si>
    <t>616-735-6000</t>
  </si>
  <si>
    <t>205-956-1122</t>
  </si>
  <si>
    <t>Averitt Lumber - Clarksville</t>
  </si>
  <si>
    <t>503-829-9330</t>
  </si>
  <si>
    <t>978-772-0710</t>
  </si>
  <si>
    <t>Axiom - Sioux Falls</t>
  </si>
  <si>
    <t>605-610-7282</t>
  </si>
  <si>
    <t>Azdell Hyd - Mexico</t>
  </si>
  <si>
    <t>850 Agricultural Street, Phone: (573)</t>
  </si>
  <si>
    <t>Azteca Milling - Edinburg</t>
  </si>
  <si>
    <t>(956) 383-.</t>
  </si>
  <si>
    <t>501 W Chapin St, Phone: (956) 383-.</t>
  </si>
  <si>
    <t>B A Ballou&amp;- East Providence</t>
  </si>
  <si>
    <t>(401)</t>
  </si>
  <si>
    <t>800 Waterman Ave; Phone: (401)</t>
  </si>
  <si>
    <t>B Equip</t>
  </si>
  <si>
    <t>601-649-5328</t>
  </si>
  <si>
    <t>nan; Phone: 601-649-5320 please respond with open:</t>
  </si>
  <si>
    <t>(601) 649-5328</t>
  </si>
  <si>
    <t>nan; Phone: 601-649-5320 please respond with</t>
  </si>
  <si>
    <t>(256) 259-3683</t>
  </si>
  <si>
    <t>B L Fabricators- Scottsboro</t>
  </si>
  <si>
    <t>256-259-3683</t>
  </si>
  <si>
    <t>B N S F Railway - Minneapolis</t>
  </si>
  <si>
    <t>763-782-3212</t>
  </si>
  <si>
    <t>(763) 782-3212</t>
  </si>
  <si>
    <t>B P Exploration - Prudhoe Bay</t>
  </si>
  <si>
    <t>907-659-3101</t>
  </si>
  <si>
    <t>nan, Phone: (907) 659-3101 pleas_</t>
  </si>
  <si>
    <t>B W Rogers - Macedonia</t>
  </si>
  <si>
    <t>(216) 468-.</t>
  </si>
  <si>
    <t>7900 Empire Pkwy, Phone: (216) 468-.</t>
  </si>
  <si>
    <t>B&amp;B Hyd - Darlington</t>
  </si>
  <si>
    <t>B&amp;B Hyd contact info</t>
  </si>
  <si>
    <t>(843) 3900</t>
  </si>
  <si>
    <t>B&amp;B Lumber - Jamesville</t>
  </si>
  <si>
    <t>(315) 492-</t>
  </si>
  <si>
    <t>4800 Solvay Rd, Phone: (315) 492-</t>
  </si>
  <si>
    <t>562-946-4535</t>
  </si>
  <si>
    <t>B&amp;B Tool&amp;Die - Muncie</t>
  </si>
  <si>
    <t>2601 S Walnut St, Phone: (765) 288-_</t>
  </si>
  <si>
    <t>B&amp;C Engineering Ass- Akron</t>
  </si>
  <si>
    <t>411 Wolf Ledges Pkwy #104,</t>
  </si>
  <si>
    <t>B&amp;C Research - Barberton</t>
  </si>
  <si>
    <t>330-848-4000</t>
  </si>
  <si>
    <t>842 Norton Ave; Phone: (330) 848-_</t>
  </si>
  <si>
    <t>918 Smith Avenue; Phone: 229-228-1640</t>
  </si>
  <si>
    <t>860-225-6349</t>
  </si>
  <si>
    <t xml:space="preserve">B&amp;H Tedford Mach&amp; - </t>
  </si>
  <si>
    <t>905-885-6281</t>
  </si>
  <si>
    <t>B&amp;T Hyd &amp; Pneumatics - Tempe</t>
  </si>
  <si>
    <t>2324 Del Monte St; Phone:</t>
  </si>
  <si>
    <t>BADGER FLUID POWER</t>
  </si>
  <si>
    <t>920-403.</t>
  </si>
  <si>
    <t>3161 CORONET WAY, Phone: 920-403.</t>
  </si>
  <si>
    <t>Badger Paper Mills - Peshtigo</t>
  </si>
  <si>
    <t>715-582-4551</t>
  </si>
  <si>
    <t>200 W Front St; Phone: (715) 582-_</t>
  </si>
  <si>
    <t>Baillie Lumber - Leitchfield</t>
  </si>
  <si>
    <t>279 Shaw Station Rd, Phone: (270)</t>
  </si>
  <si>
    <t>Baker - Hartselle</t>
  </si>
  <si>
    <t>989-354-2189</t>
  </si>
  <si>
    <t>PO Box 128,Phone: (800) 548-6914</t>
  </si>
  <si>
    <t>(219) 663-</t>
  </si>
  <si>
    <t>980 Crown Court; Phone: (219) 663-</t>
  </si>
  <si>
    <t>Ball</t>
  </si>
  <si>
    <t>540-248-3536</t>
  </si>
  <si>
    <t>56 Dunsmore Rd, Phone: nan please respond with</t>
  </si>
  <si>
    <t>Bally Refrigerated Boxes - Morehead City</t>
  </si>
  <si>
    <t>252-240-2829</t>
  </si>
  <si>
    <t>135 Little 9 Rd, Phon.</t>
  </si>
  <si>
    <t>Baltimore Hyd - Baltimore</t>
  </si>
  <si>
    <t>(800) 947-808.</t>
  </si>
  <si>
    <t>708 E 25Th St, Phone: (800) 947-808.</t>
  </si>
  <si>
    <t>Baltimore Marine - Sparrows Point</t>
  </si>
  <si>
    <t>Bandag- Griffin</t>
  </si>
  <si>
    <t>770-233-8000</t>
  </si>
  <si>
    <t>708-468-2500</t>
  </si>
  <si>
    <t>1680 Marietta Road, Gate 8,Phon:</t>
  </si>
  <si>
    <t>Banks Lumber - Banks</t>
  </si>
  <si>
    <t>503-324-2681</t>
  </si>
  <si>
    <t>734-243-8937</t>
  </si>
  <si>
    <t>Bar Tech - Buffalo</t>
  </si>
  <si>
    <t>(616) 585-8484</t>
  </si>
  <si>
    <t>1310 Monticello Road, Phon_</t>
  </si>
  <si>
    <t>(203) 744-2211</t>
  </si>
  <si>
    <t>(440) 498-5800</t>
  </si>
  <si>
    <t>5800 HARPER ROAD; Phone: 800-850_</t>
  </si>
  <si>
    <t>Barnes International - Rockford</t>
  </si>
  <si>
    <t>800-435-4877</t>
  </si>
  <si>
    <t>Barnes Lumber</t>
  </si>
  <si>
    <t>225-683-1250</t>
  </si>
  <si>
    <t>10278 Hwy 422,Phone: nan please respond</t>
  </si>
  <si>
    <t>Baron - Dalton</t>
  </si>
  <si>
    <t>706-529-5635</t>
  </si>
  <si>
    <t>(706) 529-5635</t>
  </si>
  <si>
    <t>Bates Bearing Blytheville contact</t>
  </si>
  <si>
    <t>Bates Bearing Newbern info</t>
  </si>
  <si>
    <t>(901) 627-____</t>
  </si>
  <si>
    <t>Bates Bearing contact info</t>
  </si>
  <si>
    <t>__</t>
  </si>
  <si>
    <t>Bates Bearing Sikeston found.</t>
  </si>
  <si>
    <t>Something went wrong and an Al response wasn't generated: Phone: (insert phone number here)</t>
  </si>
  <si>
    <t>(417) unknown number</t>
  </si>
  <si>
    <t>Bates Bearing - St Louis</t>
  </si>
  <si>
    <t>256-259-1277</t>
  </si>
  <si>
    <t>Battey Mach - Rome</t>
  </si>
  <si>
    <t>478-252-5210</t>
  </si>
  <si>
    <t>Baxter Healthcare - Mountain Home</t>
  </si>
  <si>
    <t>870-424-5200</t>
  </si>
  <si>
    <t>(870) 508-1000</t>
  </si>
  <si>
    <t>Bay Area Hyd - Coos Bay</t>
  </si>
  <si>
    <t>541-267-3143</t>
  </si>
  <si>
    <t>(541) 267-3143</t>
  </si>
  <si>
    <t>510-236-9000</t>
  </si>
  <si>
    <t>(989) 358-7198</t>
  </si>
  <si>
    <t>Bay MFG - Alpena</t>
  </si>
  <si>
    <t>989-358-5627</t>
  </si>
  <si>
    <t>251-666-8666</t>
  </si>
  <si>
    <t>231-347-1160</t>
  </si>
  <si>
    <t>206-267-3900</t>
  </si>
  <si>
    <t>Bay Welding &amp; Fabric - Newport News</t>
  </si>
  <si>
    <t>Bayeroration - Orange</t>
  </si>
  <si>
    <t>Bayou Steel - Laplace</t>
  </si>
  <si>
    <t>864-967-5600</t>
  </si>
  <si>
    <t>812-873-4450</t>
  </si>
  <si>
    <t>Beach Mfg- Donnelsville</t>
  </si>
  <si>
    <t>937-882-6372</t>
  </si>
  <si>
    <t>(937) 882-6372</t>
  </si>
  <si>
    <t>229-985-6996</t>
  </si>
  <si>
    <t>nan; Phone: Refer to Quality pleas:</t>
  </si>
  <si>
    <t>Bean Lumber - Glenwood</t>
  </si>
  <si>
    <t>(870) 356-4165</t>
  </si>
  <si>
    <t>Bearden Lumber - Bearden</t>
  </si>
  <si>
    <t>870-687-3611</t>
  </si>
  <si>
    <t>Beariings &amp; Drives - Gainesville</t>
  </si>
  <si>
    <t>678-450-4172</t>
  </si>
  <si>
    <t>Beariings &amp; Drives - Sandersville</t>
  </si>
  <si>
    <t>478-552-5173</t>
  </si>
  <si>
    <t>Beariings &amp; Drives - Valdosta</t>
  </si>
  <si>
    <t>229-242-0214</t>
  </si>
  <si>
    <t>415-621-8363</t>
  </si>
  <si>
    <t>704-866-0772</t>
  </si>
  <si>
    <t>510-596-4150</t>
  </si>
  <si>
    <t>Bearing Engr&amp; Supp - Seattle</t>
  </si>
  <si>
    <t>Bearing Solution</t>
  </si>
  <si>
    <t>Debbie is deaf so we need to email her: bearingsolutioninc@linuxmailorg</t>
  </si>
  <si>
    <t>1347 Commerce Drive; Phone: nan please</t>
  </si>
  <si>
    <t>702 Sth Ave N, Phone: 205-252-_</t>
  </si>
  <si>
    <t>(678) 450-4172</t>
  </si>
  <si>
    <t>702 Sth Ave N, Phone:</t>
  </si>
  <si>
    <t>803-524-6777</t>
  </si>
  <si>
    <t>740-226-6211</t>
  </si>
  <si>
    <t>Beaverton Block - Pleasant Gap</t>
  </si>
  <si>
    <t>570-837-1744</t>
  </si>
  <si>
    <t>814-359-2771</t>
  </si>
  <si>
    <t>712-867-4753</t>
  </si>
  <si>
    <t>215-968-4600</t>
  </si>
  <si>
    <t>(800) 0</t>
  </si>
  <si>
    <t>812-275-1948</t>
  </si>
  <si>
    <t>504-207-6000</t>
  </si>
  <si>
    <t>606-877-1228</t>
  </si>
  <si>
    <t>Behco- Farmington Hills</t>
  </si>
  <si>
    <t>32613 Folsom Road, Phone: (248) 47_</t>
  </si>
  <si>
    <t>622 Fertilla St</t>
  </si>
  <si>
    <t>622 Fertilla St, Phone: 770-834-4033 please</t>
  </si>
  <si>
    <t>(714) 772-3200</t>
  </si>
  <si>
    <t>Bell Pipe&amp;Supply - Anaheim</t>
  </si>
  <si>
    <t>714-772-3200</t>
  </si>
  <si>
    <t>Bellevue Mfg - Bellevue</t>
  </si>
  <si>
    <t>419-483-3190</t>
  </si>
  <si>
    <t>(419) 483-3190</t>
  </si>
  <si>
    <t>(714) 562-9275</t>
  </si>
  <si>
    <t>Bellwood Laundry&amp;- La Mirada</t>
  </si>
  <si>
    <t>714-562-9275</t>
  </si>
  <si>
    <t>Beloit- Rockton</t>
  </si>
  <si>
    <t>Beloitoration C - Elk Grove Village</t>
  </si>
  <si>
    <t>847-593-7950</t>
  </si>
  <si>
    <t>(570) 288-9000</t>
  </si>
  <si>
    <t>(605) 886-8084</t>
  </si>
  <si>
    <t>Benchmark Foam- Watertown</t>
  </si>
  <si>
    <t>605-886-8084</t>
  </si>
  <si>
    <t>Bend Ind - West Bend</t>
  </si>
  <si>
    <t>(262) 338-5700</t>
  </si>
  <si>
    <t>Bennett Lumber - Peidmont</t>
  </si>
  <si>
    <t>256-447-9663</t>
  </si>
  <si>
    <t>Bennett Lumber - Princeton</t>
  </si>
  <si>
    <t>208-875-1121</t>
  </si>
  <si>
    <t>(256) 447-9663</t>
  </si>
  <si>
    <t>(208) 875-1121</t>
  </si>
  <si>
    <t>Benteler - Goshen</t>
  </si>
  <si>
    <t>Benteler - MtCarmel</t>
  </si>
  <si>
    <t>MtCarmel,IL 62863</t>
  </si>
  <si>
    <t>3570 Roger BChaffee</t>
  </si>
  <si>
    <t>3570 Roger BChaffee,</t>
  </si>
  <si>
    <t>East 3200 Trent BldgB,  Suite 6</t>
  </si>
  <si>
    <t>East 3200 Trent BldgB, Suite_</t>
  </si>
  <si>
    <t>(951) 361-8000</t>
  </si>
  <si>
    <t>Bergandi Machine - SEl Monte</t>
  </si>
  <si>
    <t>SEl Monte,CA 91733</t>
  </si>
  <si>
    <t>Berger Bros - Southampton</t>
  </si>
  <si>
    <t>(215) 355-1200</t>
  </si>
  <si>
    <t>510-526-5034</t>
  </si>
  <si>
    <t>Berkely Forge&amp;Tool - Berkely</t>
  </si>
  <si>
    <t>(510) 526-5034</t>
  </si>
  <si>
    <t>(605) 432-6991</t>
  </si>
  <si>
    <t>Bernell Hyd - Rancho Cucamonga</t>
  </si>
  <si>
    <t>8810 Etiwanda Ave; Phone:</t>
  </si>
  <si>
    <t>334-262-5786).</t>
  </si>
  <si>
    <t>(800) 251-</t>
  </si>
  <si>
    <t>6321 Baum Drive, Phone: (800) 251-</t>
  </si>
  <si>
    <t>Bertrem Products - Tulsa</t>
  </si>
  <si>
    <t>Beshert Steel</t>
  </si>
  <si>
    <t>15355 Jacintoport Blvd; Phone: (713) 821-2600</t>
  </si>
  <si>
    <t>Bessemer Plywood - Bessemer</t>
  </si>
  <si>
    <t>Best Block - Littleton</t>
  </si>
  <si>
    <t>931 2nd Avenue SE, Phone:</t>
  </si>
  <si>
    <t>Best Press- Castle Hayne</t>
  </si>
  <si>
    <t>(910) 675-2429</t>
  </si>
  <si>
    <t>Betenbender Mfg- Coggon</t>
  </si>
  <si>
    <t>(319) 435-2378</t>
  </si>
  <si>
    <t>319-435-2378</t>
  </si>
  <si>
    <t>Bethlehem- Easton</t>
  </si>
  <si>
    <t>(610) 258-5351</t>
  </si>
  <si>
    <t>Bethlehem Steel - Burns Harbor</t>
  </si>
  <si>
    <t>BF Goodrich Tire</t>
  </si>
  <si>
    <t>5101 21stStreet</t>
  </si>
  <si>
    <t>5101 21stStreet; Phone: 205-391-6200 please</t>
  </si>
  <si>
    <t>Bf Goodrich-Kalama - Seattle</t>
  </si>
  <si>
    <t>(206)</t>
  </si>
  <si>
    <t>900 4Th Ave #1725,Phone: (206)</t>
  </si>
  <si>
    <t>Bfdoration - Omaha</t>
  </si>
  <si>
    <t>(270) 622-7575</t>
  </si>
  <si>
    <t>(231) 825-2855</t>
  </si>
  <si>
    <t>(715) 428-2762</t>
  </si>
  <si>
    <t>Big D Hyd</t>
  </si>
  <si>
    <t>Big Sun Hyd</t>
  </si>
  <si>
    <t>(352) 629-8000</t>
  </si>
  <si>
    <t>nan; Phone: 352-629-8000 please respond with</t>
  </si>
  <si>
    <t>nan, Phone: 352-629-8000 please</t>
  </si>
  <si>
    <t>Bill's Hyd - Albuquerque</t>
  </si>
  <si>
    <t>(505) 560-1834</t>
  </si>
  <si>
    <t>815-942-2600</t>
  </si>
  <si>
    <t>Bimetoration - Morris</t>
  </si>
  <si>
    <t>Biolab - Lake Charles</t>
  </si>
  <si>
    <t>(337) 433-3030</t>
  </si>
  <si>
    <t>Biomet - Warsaw</t>
  </si>
  <si>
    <t>Birmingham Steel- Cartersville</t>
  </si>
  <si>
    <t>384 Old Grassdale RD</t>
  </si>
  <si>
    <t>(636) 343-6112</t>
  </si>
  <si>
    <t>1642 Manufactruers Drive, Phone: (314) 343-_</t>
  </si>
  <si>
    <t>Bkb Automation- Bridgeport</t>
  </si>
  <si>
    <t>Black Brothers - Sun Prarie</t>
  </si>
  <si>
    <t>(815) 539-7451</t>
  </si>
  <si>
    <t>Black Diamond Equip - Salt Lake City</t>
  </si>
  <si>
    <t>(801) 278-0233</t>
  </si>
  <si>
    <t>nan; Phone: nan plea_</t>
  </si>
  <si>
    <t>Black&amp;Decker - Beloit</t>
  </si>
  <si>
    <t>(608) 834-1453</t>
  </si>
  <si>
    <t>(203) 792-8622</t>
  </si>
  <si>
    <t>Blisters- NChicago</t>
  </si>
  <si>
    <t>NChicago,IL 60064</t>
  </si>
  <si>
    <t>Block Hydraulic - Springfield</t>
  </si>
  <si>
    <t>Block Tech</t>
  </si>
  <si>
    <t>Block Tech contact info</t>
  </si>
  <si>
    <t>12700 208th Ave NW</t>
  </si>
  <si>
    <t>12536 319th Ave NW; Phone: nan</t>
  </si>
  <si>
    <t>Blount Springs  Materials</t>
  </si>
  <si>
    <t>624 EStCrusher Road</t>
  </si>
  <si>
    <t>624 EStCrusher Road, Phone: 256-78_</t>
  </si>
  <si>
    <t>Blount Springs Materials - Cullman</t>
  </si>
  <si>
    <t>Blue Bird Midwest - MtPleasant</t>
  </si>
  <si>
    <t>MtPleasant,IA 52641</t>
  </si>
  <si>
    <t>Blue Circle - Calera</t>
  </si>
  <si>
    <t>(205) 668-2721</t>
  </si>
  <si>
    <t>(5417</t>
  </si>
  <si>
    <t>130 Ray Simerly Rd, Phone: nan pleas_</t>
  </si>
  <si>
    <t>Blue Star Ind</t>
  </si>
  <si>
    <t>8103</t>
  </si>
  <si>
    <t>8103 East US Highway 36,Phone: nan please_</t>
  </si>
  <si>
    <t>Bm Kramer&amp;- Pittsburgh</t>
  </si>
  <si>
    <t>bvv@bmhhydcom</t>
  </si>
  <si>
    <t>Boardman Chip - Boardman</t>
  </si>
  <si>
    <t>Bob Barker - Fuquay-Varina</t>
  </si>
  <si>
    <t>(919) 552-3431</t>
  </si>
  <si>
    <t>Bob- Toledo</t>
  </si>
  <si>
    <t>+1 570-342-0255</t>
  </si>
  <si>
    <t>570-450-0105</t>
  </si>
  <si>
    <t>714-503-4200</t>
  </si>
  <si>
    <t>Boeing - Tukwila</t>
  </si>
  <si>
    <t>206-655-2121</t>
  </si>
  <si>
    <t>(425) 965-4300</t>
  </si>
  <si>
    <t>316-526-2111</t>
  </si>
  <si>
    <t>253-773-2121</t>
  </si>
  <si>
    <t>Boise White Paper LLC</t>
  </si>
  <si>
    <t>400 2nd St</t>
  </si>
  <si>
    <t>International Falls, MN  56649-2327</t>
  </si>
  <si>
    <t>Bolands/Pace - Laredo</t>
  </si>
  <si>
    <t>(816) 232-</t>
  </si>
  <si>
    <t>802 South 9th, Phone: (816) 232-</t>
  </si>
  <si>
    <t>Bond Equip - Logan</t>
  </si>
  <si>
    <t>(712)</t>
  </si>
  <si>
    <t>1207 Industrial Drive, Phone: (712)</t>
  </si>
  <si>
    <t>(616) 983-.</t>
  </si>
  <si>
    <t>1656 Hilltop Road, Phone: (616) 983-.</t>
  </si>
  <si>
    <t>(952) 471-9855</t>
  </si>
  <si>
    <t>Boone Equip - Tarboro</t>
  </si>
  <si>
    <t>(252) 823-6777</t>
  </si>
  <si>
    <t>Borden - Conroe</t>
  </si>
  <si>
    <t>(936) 756-6455</t>
  </si>
  <si>
    <t>936-756-6455</t>
  </si>
  <si>
    <t>(616) 453-2471</t>
  </si>
  <si>
    <t>Boston Edison - Plymouth</t>
  </si>
  <si>
    <t>508-830-7000</t>
  </si>
  <si>
    <t>(803) 981-8000</t>
  </si>
  <si>
    <t>(256) 878-7987</t>
  </si>
  <si>
    <t>(713) 868-8573</t>
  </si>
  <si>
    <t>(269) 323-2565</t>
  </si>
  <si>
    <t>Bowlin - Shreveport</t>
  </si>
  <si>
    <t>318-635-5344</t>
  </si>
  <si>
    <t>(434) 239-9249</t>
  </si>
  <si>
    <t>(720) 281-5232</t>
  </si>
  <si>
    <t>(409) 945-1011</t>
  </si>
  <si>
    <t>Bpr/Rico Equip - Medina</t>
  </si>
  <si>
    <t>(330) 723-4050</t>
  </si>
  <si>
    <t>330-723-4050</t>
  </si>
  <si>
    <t>Bradford&amp;White - Middleville</t>
  </si>
  <si>
    <t>(269) 795-3364</t>
  </si>
  <si>
    <t>Bradley Lumber</t>
  </si>
  <si>
    <t>822 Fullerton Street, Phone: 870-226-3082</t>
  </si>
  <si>
    <t>Brajdich - Irwin</t>
  </si>
  <si>
    <t>Main Street, Phone: (724) 864-1170 please</t>
  </si>
  <si>
    <t>Brake Supply - Evansville</t>
  </si>
  <si>
    <t>(812) 467-1000</t>
  </si>
  <si>
    <t>812-467-1000</t>
  </si>
  <si>
    <t>(713) 225-6661</t>
  </si>
  <si>
    <t>(409) 838-1641</t>
  </si>
  <si>
    <t>(860) 465-8838</t>
  </si>
  <si>
    <t>Brandt - Regina</t>
  </si>
  <si>
    <t>(306) 791-3333</t>
  </si>
  <si>
    <t>BRAZEALE LUMBER</t>
  </si>
  <si>
    <t>(870) 678-2317</t>
  </si>
  <si>
    <t>1858 HWY 128,Phone: nan please</t>
  </si>
  <si>
    <t>Bre MFG - Garland</t>
  </si>
  <si>
    <t>(972) 272-2016</t>
  </si>
  <si>
    <t>(724) 639-3779</t>
  </si>
  <si>
    <t>Brenco - Petersburg</t>
  </si>
  <si>
    <t>(804) 732-0202</t>
  </si>
  <si>
    <t>804-732-0202</t>
  </si>
  <si>
    <t>215-785-2400</t>
  </si>
  <si>
    <t>(215) 638-3884</t>
  </si>
  <si>
    <t>Brenner Tool&amp;Die - Croydon</t>
  </si>
  <si>
    <t>(215) 785-2400</t>
  </si>
  <si>
    <t>Brentwood - Reading</t>
  </si>
  <si>
    <t>(610) 374-5109</t>
  </si>
  <si>
    <t>501 Melanie Dr</t>
  </si>
  <si>
    <t>M3 Resources contact info</t>
  </si>
  <si>
    <t>818-686-0390</t>
  </si>
  <si>
    <t>(803) 232-2000</t>
  </si>
  <si>
    <t>Bridgestone/Firestone</t>
  </si>
  <si>
    <t>(931) 668-5500</t>
  </si>
  <si>
    <t>Hwy 55&amp;Old Well; Phone: nan please</t>
  </si>
  <si>
    <t>Bridgeview - Morgantown</t>
  </si>
  <si>
    <t>(610) 913-6585</t>
  </si>
  <si>
    <t>(509) 535-0125</t>
  </si>
  <si>
    <t>Briggs&amp;Stratton - Statesboro</t>
  </si>
  <si>
    <t>(912) 871-5800</t>
  </si>
  <si>
    <t>(414) 259-5333</t>
  </si>
  <si>
    <t>(810) 229-2994</t>
  </si>
  <si>
    <t>541-475-2234</t>
  </si>
  <si>
    <t>Brightwood- Madris</t>
  </si>
  <si>
    <t>(541) 475-2234</t>
  </si>
  <si>
    <t>Brillcast- Grand Rapids</t>
  </si>
  <si>
    <t>(616) 534-4977</t>
  </si>
  <si>
    <t>(256) 776-7786</t>
  </si>
  <si>
    <t>15185 Industrial Park Road, Phone.</t>
  </si>
  <si>
    <t>(843) 873-4410</t>
  </si>
  <si>
    <t>Britt Lumber - Arcata</t>
  </si>
  <si>
    <t>(707) 822-1779</t>
  </si>
  <si>
    <t>(541) 938-5573</t>
  </si>
  <si>
    <t>(508) 583-3650</t>
  </si>
  <si>
    <t>Brodeur Machine - New Bedford</t>
  </si>
  <si>
    <t>(508) 995-2662</t>
  </si>
  <si>
    <t>Bromma - Roxboro</t>
  </si>
  <si>
    <t>(517) 592-2185</t>
  </si>
  <si>
    <t>Brown Recycling Mfg</t>
  </si>
  <si>
    <t>778-.</t>
  </si>
  <si>
    <t>1274 Gravel Ridge Road, Phone: 778-.</t>
  </si>
  <si>
    <t>205-596-.</t>
  </si>
  <si>
    <t>16851 Hwy 96 West; Phone: 205-596-.</t>
  </si>
  <si>
    <t>(843) 395-6655</t>
  </si>
  <si>
    <t>4600 Hanger Access Rd, Darlington, SC 29540</t>
  </si>
  <si>
    <t>(801) 876-2711</t>
  </si>
  <si>
    <t>Brozene Hyd - Burlington</t>
  </si>
  <si>
    <t>1400 Mount Pleasant Street; Phone:</t>
  </si>
  <si>
    <t>Bruckner Supply - Bloomington</t>
  </si>
  <si>
    <t>516-484-6070</t>
  </si>
  <si>
    <t>Brush Weilman - Elmore</t>
  </si>
  <si>
    <t>620-326-3152</t>
  </si>
  <si>
    <t>20 Industrial Avenue; Phone:</t>
  </si>
  <si>
    <t>(270) 726-0268</t>
  </si>
  <si>
    <t>Buchanan - Buchanan</t>
  </si>
  <si>
    <t>(360) 799-7070</t>
  </si>
  <si>
    <t>Buchanan Lumber - Mobile</t>
  </si>
  <si>
    <t>(251) 433-9567</t>
  </si>
  <si>
    <t>(803) 735-1637</t>
  </si>
  <si>
    <t>Buddy Bean Lumber - Hot Springs</t>
  </si>
  <si>
    <t>(501) 262-2820</t>
  </si>
  <si>
    <t>(501) 262-4505</t>
  </si>
  <si>
    <t>Bulloch Hyd</t>
  </si>
  <si>
    <t>(912) 488-2550</t>
  </si>
  <si>
    <t>Cameron</t>
  </si>
  <si>
    <t>1555 Foster Williams Rd, Phone: (912) 488-2550</t>
  </si>
  <si>
    <t>(318) 346-7224</t>
  </si>
  <si>
    <t>Bunzl Extrusion - Tacoma</t>
  </si>
  <si>
    <t>Burgess Norton Mfg- Claremore</t>
  </si>
  <si>
    <t>(918) 341-8170</t>
  </si>
  <si>
    <t>(847) 634-0737</t>
  </si>
  <si>
    <t>Burgin Lumber - Cuthbert</t>
  </si>
  <si>
    <t>(229) 732-2131</t>
  </si>
  <si>
    <t>650-871-8922</t>
  </si>
  <si>
    <t>Burke Fluid Power - SoSan Francisco</t>
  </si>
  <si>
    <t>(650) 871-8922</t>
  </si>
  <si>
    <t>(828) 584-4990</t>
  </si>
  <si>
    <t>No additional information</t>
  </si>
  <si>
    <t>(717) 390-7800</t>
  </si>
  <si>
    <t>Burnham- Lancaster</t>
  </si>
  <si>
    <t>473-3868</t>
  </si>
  <si>
    <t>Burt Lumber - Washington</t>
  </si>
  <si>
    <t>(706) 678-1531</t>
  </si>
  <si>
    <t>(541) 683-3337</t>
  </si>
  <si>
    <t>PO Box 1039</t>
  </si>
  <si>
    <t>PO Box 1039,Phone: (334) 874-2700 please</t>
  </si>
  <si>
    <t>Bushman Equip - Menomonee Falls</t>
  </si>
  <si>
    <t>(262) 790-4200</t>
  </si>
  <si>
    <t>Butech</t>
  </si>
  <si>
    <t>(330) 337-0000</t>
  </si>
  <si>
    <t>Butler Mfg - Galesburg</t>
  </si>
  <si>
    <t>(309) 342-4171</t>
  </si>
  <si>
    <t>(828) 693-4088</t>
  </si>
  <si>
    <t>c &amp; A Drilling - Fremont</t>
  </si>
  <si>
    <t>Company operating normally.</t>
  </si>
  <si>
    <t>c &amp; A Scale Service - Crescent</t>
  </si>
  <si>
    <t>(717) 545-3461</t>
  </si>
  <si>
    <t>(936) 327-8302</t>
  </si>
  <si>
    <t>712-545-3461</t>
  </si>
  <si>
    <t>C&amp;C Hyd - Terryville</t>
  </si>
  <si>
    <t>(860) 582-0308</t>
  </si>
  <si>
    <t>(717) 656-2941</t>
  </si>
  <si>
    <t>C&amp;D Power Systems - Plymouth Mtg</t>
  </si>
  <si>
    <t>Plymouth Mtg,PA 194</t>
  </si>
  <si>
    <t>(215) 619-2700</t>
  </si>
  <si>
    <t>C&amp;G Boat Works - Bayou La Batre</t>
  </si>
  <si>
    <t>(251) 824-2170</t>
  </si>
  <si>
    <t>(847) 816-9700</t>
  </si>
  <si>
    <t>(256) 383-0653</t>
  </si>
  <si>
    <t>No standalone business found.</t>
  </si>
  <si>
    <t>(228) 392-2747</t>
  </si>
  <si>
    <t>3401 East Main Street; Phon_</t>
  </si>
  <si>
    <t>No physical workspace in</t>
  </si>
  <si>
    <t>Plo Box 113</t>
  </si>
  <si>
    <t>(401) 467-5200</t>
  </si>
  <si>
    <t>RENAMED: ATD Engineering Machine LLC</t>
  </si>
  <si>
    <t>(320) 864-5894</t>
  </si>
  <si>
    <t>533 N Court St, Au Gres, MI 48703</t>
  </si>
  <si>
    <t>ATD Engineering Machine LLC</t>
  </si>
  <si>
    <t>ceased operations in 2021</t>
  </si>
  <si>
    <t>(920).</t>
  </si>
  <si>
    <t>201 West Walnut Street; Phone: (920).</t>
  </si>
  <si>
    <t>337-363-2141</t>
  </si>
  <si>
    <t>2066 Cabot Road,</t>
  </si>
  <si>
    <t>(989) 340-6800</t>
  </si>
  <si>
    <t>Caffal BrosForest - Longview</t>
  </si>
  <si>
    <t>(205) 926-9797</t>
  </si>
  <si>
    <t>324 Mill Street, Phone: 205-926-9797 please</t>
  </si>
  <si>
    <t>(618) 734-1039</t>
  </si>
  <si>
    <t>Cajun Forge Co- Crowley</t>
  </si>
  <si>
    <t>(337) 788-3900</t>
  </si>
  <si>
    <t>(661) 327-5961</t>
  </si>
  <si>
    <t>(860) 741-5300</t>
  </si>
  <si>
    <t>(408) 727-7377</t>
  </si>
  <si>
    <t>California Steel - Fontana</t>
  </si>
  <si>
    <t>(909) 350-6300</t>
  </si>
  <si>
    <t>Calkins Dist- Spokane</t>
  </si>
  <si>
    <t>(509) 536-7642</t>
  </si>
  <si>
    <t>(253) 804-8100</t>
  </si>
  <si>
    <t>Callen Mfg - North Lake</t>
  </si>
  <si>
    <t>(708) 345-0400</t>
  </si>
  <si>
    <t>(217) 285-2161</t>
  </si>
  <si>
    <t>(931) 684-4490</t>
  </si>
  <si>
    <t>(407) 331-</t>
  </si>
  <si>
    <t>245 North Street; Phone: (407) 331-</t>
  </si>
  <si>
    <t>Camac Valves&amp;Controls</t>
  </si>
  <si>
    <t>(904) 292-4200</t>
  </si>
  <si>
    <t>5875</t>
  </si>
  <si>
    <t>(803) 481-2443</t>
  </si>
  <si>
    <t>Cambridge - Lenoir</t>
  </si>
  <si>
    <t>(828) 754-8441</t>
  </si>
  <si>
    <t>(603) 749-4424</t>
  </si>
  <si>
    <t>(815) 544-0331</t>
  </si>
  <si>
    <t>(203) 281-6580</t>
  </si>
  <si>
    <t>Camdell Metals- Camden</t>
  </si>
  <si>
    <t>(302) 697-9521</t>
  </si>
  <si>
    <t>13013 Northwest Fwy; Houston; TX 77040</t>
  </si>
  <si>
    <t>Cameron &amp; Barkely - Florence</t>
  </si>
  <si>
    <t>Cameron &amp; Barkley - Knoxville</t>
  </si>
  <si>
    <t>Cameron &amp; Barkley - Waynesboro</t>
  </si>
  <si>
    <t>(843) 676-1900</t>
  </si>
  <si>
    <t>Camp - StPetersburg</t>
  </si>
  <si>
    <t>StPetersburg,FL 337</t>
  </si>
  <si>
    <t>(727) 397-6076</t>
  </si>
  <si>
    <t>(910) 451-1113</t>
  </si>
  <si>
    <t>(847) 526-7300</t>
  </si>
  <si>
    <t>(800) 543-6400</t>
  </si>
  <si>
    <t>140 Ellis Road South, Phone: 904-781_</t>
  </si>
  <si>
    <t>(336) 835-6020</t>
  </si>
  <si>
    <t>Highway 268 East; Phone:_</t>
  </si>
  <si>
    <t>Cannon Equip - Rosemount</t>
  </si>
  <si>
    <t>Cannondale- Bedford</t>
  </si>
  <si>
    <t>Canoak USA - Salem</t>
  </si>
  <si>
    <t>Canyon Hyd - Canyonville</t>
  </si>
  <si>
    <t>(541) 839-4287</t>
  </si>
  <si>
    <t>Capital West Syst&amp; - Henderson</t>
  </si>
  <si>
    <t>(702) 566-1334</t>
  </si>
  <si>
    <t>(337) 783-8626</t>
  </si>
  <si>
    <t>Capri Ind - Morganton</t>
  </si>
  <si>
    <t>(828) 437-4243</t>
  </si>
  <si>
    <t>(201) 337-6800</t>
  </si>
  <si>
    <t>1014 West Jefferson Street, Phon_</t>
  </si>
  <si>
    <t>Cargill - Breaux Bridge</t>
  </si>
  <si>
    <t>(337) 332-8216</t>
  </si>
  <si>
    <t>Cargill - Cedar Rapids</t>
  </si>
  <si>
    <t>(319) 399-2111</t>
  </si>
  <si>
    <t>Cargill - Chesapeake</t>
  </si>
  <si>
    <t>Cargill - Ogden</t>
  </si>
  <si>
    <t>(801) 621-4141</t>
  </si>
  <si>
    <t>(801) 621-3540</t>
  </si>
  <si>
    <t>(757) 494-5564</t>
  </si>
  <si>
    <t>(336) 835-.</t>
  </si>
  <si>
    <t>Elkin Wildlife Road, Phone: (336) 835-.</t>
  </si>
  <si>
    <t>(763) 780-5123</t>
  </si>
  <si>
    <t>1401 Industrial Park Dr</t>
  </si>
  <si>
    <t>1401 Industri _</t>
  </si>
  <si>
    <t>Carlton - Albany</t>
  </si>
  <si>
    <t>Carlton - Brunswick</t>
  </si>
  <si>
    <t>(229) 435-6262</t>
  </si>
  <si>
    <t>(912) 265-5010</t>
  </si>
  <si>
    <t>Carlton-Bates - Shreveport</t>
  </si>
  <si>
    <t>(412) 268-2000</t>
  </si>
  <si>
    <t>5990 Unity DrSuite G</t>
  </si>
  <si>
    <t>5990 Unity DrSuite G,</t>
  </si>
  <si>
    <t>1226 Trapper Circle; Phon:</t>
  </si>
  <si>
    <t>Carolina Hyd - Kernersville</t>
  </si>
  <si>
    <t>(336) 996-.</t>
  </si>
  <si>
    <t>1211 E Mountain, Phone: (336) 996-.</t>
  </si>
  <si>
    <t>201 Mixon Mill Road, Phone: nan please</t>
  </si>
  <si>
    <t>Asheboro, NC27203</t>
  </si>
  <si>
    <t>405 Commerce Place, Phone: nan</t>
  </si>
  <si>
    <t>Carr Hose &amp; Rubber**CREDIT HOLD**</t>
  </si>
  <si>
    <t>2600 Beltline Road SW,</t>
  </si>
  <si>
    <t xml:space="preserve">Carrier </t>
  </si>
  <si>
    <t>97 South Byhalia Road, Phone: nan please respond</t>
  </si>
  <si>
    <t>Carrollton Hyd</t>
  </si>
  <si>
    <t>212 Brumbelow Road, Phone: 770-838-7757</t>
  </si>
  <si>
    <t>1675 Industrial Drive, Phone: nan please respond w</t>
  </si>
  <si>
    <t>Carver - Savannah</t>
  </si>
  <si>
    <t>(616) 975-4800</t>
  </si>
  <si>
    <t>(804) 321-6390</t>
  </si>
  <si>
    <t>Cascadian - Eugene</t>
  </si>
  <si>
    <t>(541) 689-2040</t>
  </si>
  <si>
    <t>Case- Burr Ridge</t>
  </si>
  <si>
    <t>2400 Zth Avenue Southwest; Phone:</t>
  </si>
  <si>
    <t>Catching Fluid Power- Bolingbrook</t>
  </si>
  <si>
    <t>881 Remington Blvd, Phone:</t>
  </si>
  <si>
    <t>Catco - Mankato</t>
  </si>
  <si>
    <t>(507) 412-5626</t>
  </si>
  <si>
    <t>Caterpillar - Laredo</t>
  </si>
  <si>
    <t>956-722-0075</t>
  </si>
  <si>
    <t>101 S Aviators Rd, Laredo, TX 78043</t>
  </si>
  <si>
    <t>Caterpillar - Mossville</t>
  </si>
  <si>
    <t>309-578-8921</t>
  </si>
  <si>
    <t>(956) 722-0075</t>
  </si>
  <si>
    <t>(309) 578-8921</t>
  </si>
  <si>
    <t>Cathey - Lansing</t>
  </si>
  <si>
    <t>517-393-4720</t>
  </si>
  <si>
    <t>(517) 393-4720</t>
  </si>
  <si>
    <t>CATolling - Lynchburg</t>
  </si>
  <si>
    <t>(434) 846-7327</t>
  </si>
  <si>
    <t>Cavalla- Hackensack</t>
  </si>
  <si>
    <t>(201) 343-3338</t>
  </si>
  <si>
    <t>830-379-4485</t>
  </si>
  <si>
    <t>109 Main St</t>
  </si>
  <si>
    <t>109 Main St; Phone: nan please respond wit: _</t>
  </si>
  <si>
    <t>Cct Enterprises - Schofield</t>
  </si>
  <si>
    <t>715-359-0421</t>
  </si>
  <si>
    <t>(715) 359-0421</t>
  </si>
  <si>
    <t>(615) 449-3535</t>
  </si>
  <si>
    <t>Cdf- Lebanon</t>
  </si>
  <si>
    <t>+961</t>
  </si>
  <si>
    <t>(973) 835-6368</t>
  </si>
  <si>
    <t>757-269-7100</t>
  </si>
  <si>
    <t>Cedar Brook- Cashmere</t>
  </si>
  <si>
    <t>509-782-2447</t>
  </si>
  <si>
    <t>(509) 782-2447</t>
  </si>
  <si>
    <t>Cedarapids - Cedar Rapids</t>
  </si>
  <si>
    <t>319-363-3511</t>
  </si>
  <si>
    <t>Cedarville Lumber</t>
  </si>
  <si>
    <t>495 Sawmill Road, Phone: 502-845-4569</t>
  </si>
  <si>
    <t>CEI ENTERPRISES</t>
  </si>
  <si>
    <t>505-842-5556</t>
  </si>
  <si>
    <t>245 WOODWARD RD, SE, Phone:</t>
  </si>
  <si>
    <t>(918) 496-0770</t>
  </si>
  <si>
    <t>Ceja- Hominy</t>
  </si>
  <si>
    <t>918-885-6561</t>
  </si>
  <si>
    <t>Celotex- Quincy</t>
  </si>
  <si>
    <t>(334) 289.</t>
  </si>
  <si>
    <t>1617 Arcola Road, Phone: (334) 289.</t>
  </si>
  <si>
    <t>116 Southside_</t>
  </si>
  <si>
    <t>Central Alabama Fluid Power</t>
  </si>
  <si>
    <t>2273 South Forbes Drive, Phone</t>
  </si>
  <si>
    <t>6887 AL Highway 9</t>
  </si>
  <si>
    <t>Equality, AL 36026</t>
  </si>
  <si>
    <t>Jon</t>
  </si>
  <si>
    <t>6887 AL Highway 9, Phone:</t>
  </si>
  <si>
    <t>219-787-5000</t>
  </si>
  <si>
    <t>(320) 255-1628</t>
  </si>
  <si>
    <t>(309) 387-6591</t>
  </si>
  <si>
    <t>Central Mfg - East Peoria</t>
  </si>
  <si>
    <t>Central MFG - Groveland</t>
  </si>
  <si>
    <t>500 Trillium Drive Unit 2_</t>
  </si>
  <si>
    <t>Central Rubber - Belvidere</t>
  </si>
  <si>
    <t>844 East Jackson Street, Phone:</t>
  </si>
  <si>
    <t>(732) 248-4900</t>
  </si>
  <si>
    <t>(877) 368-4000</t>
  </si>
  <si>
    <t>(231) 946-7500</t>
  </si>
  <si>
    <t>Ceradyne- Costa Mesa</t>
  </si>
  <si>
    <t>(714) 549-0421</t>
  </si>
  <si>
    <t>Cersosimo Lumber - Brattleboro</t>
  </si>
  <si>
    <t>(802) 254-4508</t>
  </si>
  <si>
    <t>Certainteed- N Wilkesboro</t>
  </si>
  <si>
    <t>4035 Fee Fee Road, Phone: (800.</t>
  </si>
  <si>
    <t>12117 Riverwood Drive,</t>
  </si>
  <si>
    <t>(920) 403-1209</t>
  </si>
  <si>
    <t>2004 Paysphere Circle, Phon_</t>
  </si>
  <si>
    <t>1601 Peach Leaf Street, Phone: 281-227-7444</t>
  </si>
  <si>
    <t>(208) 888-3337</t>
  </si>
  <si>
    <t>(316) 517-6000</t>
  </si>
  <si>
    <t>CFGollott Seafood - D'Iberville</t>
  </si>
  <si>
    <t>(228) 392-7181</t>
  </si>
  <si>
    <t>CFI Warehouse - Beaumont</t>
  </si>
  <si>
    <t>800-722-2630</t>
  </si>
  <si>
    <t>(902) 494-5212</t>
  </si>
  <si>
    <t>CGBretting Mfg - Greenwich</t>
  </si>
  <si>
    <t>Challenge - Rmf- Grandview</t>
  </si>
  <si>
    <t>Chalres Ingram Lumber</t>
  </si>
  <si>
    <t>843-662-.</t>
  </si>
  <si>
    <t>4930 Planer Road</t>
  </si>
  <si>
    <t>541-687-8015</t>
  </si>
  <si>
    <t>(309) 685-1031</t>
  </si>
  <si>
    <t>(574) 259-7857</t>
  </si>
  <si>
    <t>215-230-4260</t>
  </si>
  <si>
    <t>59 Industrial Drive ,</t>
  </si>
  <si>
    <t>(419) 485-3193</t>
  </si>
  <si>
    <t>(617) 963-2600</t>
  </si>
  <si>
    <t>(231) 627-5631</t>
  </si>
  <si>
    <t>269-343-6121</t>
  </si>
  <si>
    <t>2016 N Pitcher St, Kalamazoo, MI 49007</t>
  </si>
  <si>
    <t>570-752-2708</t>
  </si>
  <si>
    <t>610-265-7142</t>
  </si>
  <si>
    <t>412-826-8077</t>
  </si>
  <si>
    <t>Chemical Lime</t>
  </si>
  <si>
    <t>205-665-1251</t>
  </si>
  <si>
    <t>7444 Highway 25,Phone: nan please respond__</t>
  </si>
  <si>
    <t>409-736-2821</t>
  </si>
  <si>
    <t>770-314-0390</t>
  </si>
  <si>
    <t>256-997-0614</t>
  </si>
  <si>
    <t>800-277-2700</t>
  </si>
  <si>
    <t>717-694-3082</t>
  </si>
  <si>
    <t>336-661-1700</t>
  </si>
  <si>
    <t>757-543-1001</t>
  </si>
  <si>
    <t>843-393-1211</t>
  </si>
  <si>
    <t>832-854-1000</t>
  </si>
  <si>
    <t>(832) 854-1000</t>
  </si>
  <si>
    <t>Chicago Block - Forest View</t>
  </si>
  <si>
    <t>708-458-8130</t>
  </si>
  <si>
    <t>(847) 949-3600</t>
  </si>
  <si>
    <t>832-513-4187</t>
  </si>
  <si>
    <t>219-787-9444</t>
  </si>
  <si>
    <t>847-526-2144</t>
  </si>
  <si>
    <t>Chicago Dryer - Chicago</t>
  </si>
  <si>
    <t>770-235-4430</t>
  </si>
  <si>
    <t>(773) 235-4430</t>
  </si>
  <si>
    <t>773-523-0007</t>
  </si>
  <si>
    <t>Chips Machine Components - Bessemer</t>
  </si>
  <si>
    <t>704-629-5621</t>
  </si>
  <si>
    <t>327 Jim Clark _</t>
  </si>
  <si>
    <t>(434) 589-2424</t>
  </si>
  <si>
    <t>Chipsco - Meadville</t>
  </si>
  <si>
    <t>814-333-6331</t>
  </si>
  <si>
    <t>Choice Fab</t>
  </si>
  <si>
    <t>256-442-0636</t>
  </si>
  <si>
    <t>3155 Steel Station Rd, Phone: 256-413-1530 please</t>
  </si>
  <si>
    <t>1303 Shoal Creek Rd, Phone: 256-260.</t>
  </si>
  <si>
    <t>Christy Minerals</t>
  </si>
  <si>
    <t>636-585-2214</t>
  </si>
  <si>
    <t>833 Booneslick Road, Phone: nan please</t>
  </si>
  <si>
    <t>Chromium- Lufkin</t>
  </si>
  <si>
    <t>936-639-1131</t>
  </si>
  <si>
    <t>205-695-1567</t>
  </si>
  <si>
    <t>nan, Phone: (205) 695-1567 please</t>
  </si>
  <si>
    <t>(765) 454-1000</t>
  </si>
  <si>
    <t>Chrysler- Kokomo</t>
  </si>
  <si>
    <t>765-454-1000</t>
  </si>
  <si>
    <t>Church&amp;Dwight Co</t>
  </si>
  <si>
    <t>816-380-2557</t>
  </si>
  <si>
    <t>Churney - Waupaca</t>
  </si>
  <si>
    <t>715-258-2616</t>
  </si>
  <si>
    <t>(715) 258-4040</t>
  </si>
  <si>
    <t>Cic-Fred Shaw Roanoke info</t>
  </si>
  <si>
    <t>CIHayes- Cranston</t>
  </si>
  <si>
    <t>401-467-5200</t>
  </si>
  <si>
    <t>605-665-1665</t>
  </si>
  <si>
    <t>513-536-2000</t>
  </si>
  <si>
    <t>(513) 367-7100</t>
  </si>
  <si>
    <t>Cind-R-Lite Block - NLas Vagas</t>
  </si>
  <si>
    <t>NLas Vagas,NV 89031</t>
  </si>
  <si>
    <t>702-651-1550</t>
  </si>
  <si>
    <t>(702) 651-1550</t>
  </si>
  <si>
    <t>Motion- Tuscaloosa's Customer</t>
  </si>
  <si>
    <t>336-683-6101</t>
  </si>
  <si>
    <t>(337) 708-7252</t>
  </si>
  <si>
    <t>Cives Steel - Thomasville</t>
  </si>
  <si>
    <t>229-226-2718</t>
  </si>
  <si>
    <t>503-557-6391</t>
  </si>
  <si>
    <t>Clalite- Denver</t>
  </si>
  <si>
    <t>303-292-2345</t>
  </si>
  <si>
    <t>(303) 292-2345</t>
  </si>
  <si>
    <t>Clarendon Air &amp; Hydr - Turbeville</t>
  </si>
  <si>
    <t>Permanently closed business</t>
  </si>
  <si>
    <t>Clariant- Portsmouth</t>
  </si>
  <si>
    <t>757-638-2600</t>
  </si>
  <si>
    <t>763-535-4511</t>
  </si>
  <si>
    <t>864-225-2539</t>
  </si>
  <si>
    <t>Clark Service</t>
  </si>
  <si>
    <t>Clarke's Allied - Shreveport</t>
  </si>
  <si>
    <t>318-686-0590</t>
  </si>
  <si>
    <t>Classic American Hardware</t>
  </si>
  <si>
    <t>901-522-9663</t>
  </si>
  <si>
    <t>1245 North Zth Street, Phone: nan</t>
  </si>
  <si>
    <t>912-764-5407</t>
  </si>
  <si>
    <t>308-235-4012</t>
  </si>
  <si>
    <t>Clean The Uniform - Highland</t>
  </si>
  <si>
    <t>618-654-4531</t>
  </si>
  <si>
    <t>(618) 654-4531</t>
  </si>
  <si>
    <t>847-439-8570</t>
  </si>
  <si>
    <t>Clear Pac - Franklin Park</t>
  </si>
  <si>
    <t>847-957-6282</t>
  </si>
  <si>
    <t>(847) 957-6282</t>
  </si>
  <si>
    <t>Clearlake Lumber - Spartansburg</t>
  </si>
  <si>
    <t>814-654-7156</t>
  </si>
  <si>
    <t>Fluid System Components's Customer</t>
  </si>
  <si>
    <t>414-365-1200</t>
  </si>
  <si>
    <t>Cleary Machine - WAlexandria</t>
  </si>
  <si>
    <t>WAlexandria,OH 4538</t>
  </si>
  <si>
    <t>937-839-4278</t>
  </si>
  <si>
    <t>Cleerman - Newald</t>
  </si>
  <si>
    <t>715-674-2700</t>
  </si>
  <si>
    <t>(715) 674-2700</t>
  </si>
  <si>
    <t>Clemmonsoration - Wilmington</t>
  </si>
  <si>
    <t>936-853-9333</t>
  </si>
  <si>
    <t>Clendenin Lumber - Greenwood</t>
  </si>
  <si>
    <t>864-456-3494</t>
  </si>
  <si>
    <t>Cleveland Hyd - Cleveland</t>
  </si>
  <si>
    <t>(662)-</t>
  </si>
  <si>
    <t>3917 Highway 61 North, Phone: (662)-</t>
  </si>
  <si>
    <t>513-874-1233</t>
  </si>
  <si>
    <t>Cline - Charleston</t>
  </si>
  <si>
    <t>148 Williman Street, Phone: (843) 577-0724</t>
  </si>
  <si>
    <t>864-233-7104</t>
  </si>
  <si>
    <t>(615) 781-8070</t>
  </si>
  <si>
    <t>Clopayoration - Nashville</t>
  </si>
  <si>
    <t>615-781-8070</t>
  </si>
  <si>
    <t>707-437-2171</t>
  </si>
  <si>
    <t>Clorox - Forest Park</t>
  </si>
  <si>
    <t>404-363-8300</t>
  </si>
  <si>
    <t>Clorox - Forrestview</t>
  </si>
  <si>
    <t>708-458-6100</t>
  </si>
  <si>
    <t>(404) 366-6110</t>
  </si>
  <si>
    <t>Cloverdale Lumber - Sutherlin</t>
  </si>
  <si>
    <t>434-822-5017</t>
  </si>
  <si>
    <t>(434) 822-5017</t>
  </si>
  <si>
    <t>CMD</t>
  </si>
  <si>
    <t>307-875-4800</t>
  </si>
  <si>
    <t>CMIEquipment - Augres</t>
  </si>
  <si>
    <t>Coast Line Equip - Bellingham</t>
  </si>
  <si>
    <t>360-734-8509</t>
  </si>
  <si>
    <t>(360) 734-8509</t>
  </si>
  <si>
    <t>251-470-8068</t>
  </si>
  <si>
    <t>Coastal Lumber - Cayuta</t>
  </si>
  <si>
    <t>(304) 364-5851</t>
  </si>
  <si>
    <t>Coastal Plywood - Havana</t>
  </si>
  <si>
    <t>Coastland Wood Ind - Nanaimo</t>
  </si>
  <si>
    <t>250-754-1962</t>
  </si>
  <si>
    <t>(250) 754-1962</t>
  </si>
  <si>
    <t>1-844-228-2653</t>
  </si>
  <si>
    <t>303-292-2653</t>
  </si>
  <si>
    <t>Colemen Hyd - Greenville</t>
  </si>
  <si>
    <t>662-332-4504</t>
  </si>
  <si>
    <t>753 South Raceway Road, Phone:</t>
  </si>
  <si>
    <t>509-826-1921</t>
  </si>
  <si>
    <t>318-442-4414</t>
  </si>
  <si>
    <t>Colgate Palmolive - Piscataway</t>
  </si>
  <si>
    <t>732-878-7500</t>
  </si>
  <si>
    <t>(732) 878-7500</t>
  </si>
  <si>
    <t>530-258-2111</t>
  </si>
  <si>
    <t>803-.</t>
  </si>
  <si>
    <t>1723 Barnwell Highway; Phone: 803-.</t>
  </si>
  <si>
    <t>Colonial Machine - Kent</t>
  </si>
  <si>
    <t>330-673-5859</t>
  </si>
  <si>
    <t>(330) 673-5859</t>
  </si>
  <si>
    <t>423-543-5210</t>
  </si>
  <si>
    <t>864-585-4425</t>
  </si>
  <si>
    <t>Colonial Pipeline - Woodbury</t>
  </si>
  <si>
    <t>856-202-4073</t>
  </si>
  <si>
    <t>(856) 202-4041</t>
  </si>
  <si>
    <t>614-389-5491</t>
  </si>
  <si>
    <t>(678) 838-5600</t>
  </si>
  <si>
    <t>Colorado West Hyd - Clifton</t>
  </si>
  <si>
    <t>(970) 434-.</t>
  </si>
  <si>
    <t>539 32 Road, Phone: (970) 434-.</t>
  </si>
  <si>
    <t>Advanced Hyd &amp; Pneumatic Customer</t>
  </si>
  <si>
    <t>828-724-4191</t>
  </si>
  <si>
    <t>369 Columbia Carolina Rd, Phone: nan please</t>
  </si>
  <si>
    <t>(509) 738-4711</t>
  </si>
  <si>
    <t>Columbia Cedar- Kettle Falls</t>
  </si>
  <si>
    <t>509-738-4711</t>
  </si>
  <si>
    <t>406-892-8400</t>
  </si>
  <si>
    <t>360-694-1501</t>
  </si>
  <si>
    <t>877-516-5290</t>
  </si>
  <si>
    <t>309-694-9290</t>
  </si>
  <si>
    <t>503-286-0685</t>
  </si>
  <si>
    <t>360-892-0770</t>
  </si>
  <si>
    <t>Columbia Vista- Camas</t>
  </si>
  <si>
    <t>(360) 892-0770</t>
  </si>
  <si>
    <t>(304) 742-5317</t>
  </si>
  <si>
    <t>Columbus Brick - Columbus</t>
  </si>
  <si>
    <t>(662) 328-.</t>
  </si>
  <si>
    <t>Military Road, Phone: (662) 328-.</t>
  </si>
  <si>
    <t>Columbus Lumber - Brookhaven</t>
  </si>
  <si>
    <t>601-833-1911</t>
  </si>
  <si>
    <t>West L Behan Road, Phone:</t>
  </si>
  <si>
    <t>662-798-4149</t>
  </si>
  <si>
    <t>Mickey</t>
  </si>
  <si>
    <t>1949 Airport Rd, Phone: 662-798-414,</t>
  </si>
  <si>
    <t>607-674-4546</t>
  </si>
  <si>
    <t>Combeau - Hickory</t>
  </si>
  <si>
    <t>828-328-5535</t>
  </si>
  <si>
    <t>(828) 328-5535</t>
  </si>
  <si>
    <t>nan; Phone: nan please respond wit_</t>
  </si>
  <si>
    <t>519-687-3243</t>
  </si>
  <si>
    <t>732-225-7337</t>
  </si>
  <si>
    <t>907-754-3800</t>
  </si>
  <si>
    <t>Commercial Honing of Georgia - Rome</t>
  </si>
  <si>
    <t>706-291-3791</t>
  </si>
  <si>
    <t>65 Grant Street, Phone: 860-482-5509_</t>
  </si>
  <si>
    <t>740-922-2540</t>
  </si>
  <si>
    <t>630-985-4042</t>
  </si>
  <si>
    <t>804-224-9450</t>
  </si>
  <si>
    <t>757-247-3621</t>
  </si>
  <si>
    <t>Commscope - Catawba</t>
  </si>
  <si>
    <t>828-241-3142</t>
  </si>
  <si>
    <t>248-693-0500</t>
  </si>
  <si>
    <t>(248) 693-0500</t>
  </si>
  <si>
    <t>847-573-3818</t>
  </si>
  <si>
    <t>970 Campus Drive; Phone:</t>
  </si>
  <si>
    <t>Com-Tal Machine &amp; Engineering - StPaul</t>
  </si>
  <si>
    <t>StPaul,MN 55110-5852</t>
  </si>
  <si>
    <t>5000 Township Parkway; StPaul, MN 55110-5852</t>
  </si>
  <si>
    <t>2050 Market St. SE, Phone:</t>
  </si>
  <si>
    <t>(814) 437-6861</t>
  </si>
  <si>
    <t>Concrete Massonry - Medford</t>
  </si>
  <si>
    <t>(507) 451-7278</t>
  </si>
  <si>
    <t>(712) 277-8111</t>
  </si>
  <si>
    <t>(320) 354-2311</t>
  </si>
  <si>
    <t>Conkln Equip - Fallbrook</t>
  </si>
  <si>
    <t>(760) 728-6146</t>
  </si>
  <si>
    <t>(203) 729-3400</t>
  </si>
  <si>
    <t>(860) 677-1341</t>
  </si>
  <si>
    <t>Consolidated Engineering</t>
  </si>
  <si>
    <t>(770) 422-5100</t>
  </si>
  <si>
    <t>1971 McCollum Parkway NW; Phone:</t>
  </si>
  <si>
    <t>(262) 284-7800</t>
  </si>
  <si>
    <t>(616) 392-6190</t>
  </si>
  <si>
    <t>(800) 477-5050</t>
  </si>
  <si>
    <t>3575 Hoffman Rd East; Phone: (651) 779-605_</t>
  </si>
  <si>
    <t>Contemporary Machinery&amp;Eng</t>
  </si>
  <si>
    <t>Flagler Beach, FL32136</t>
  </si>
  <si>
    <t>(386) 439-0937</t>
  </si>
  <si>
    <t>Continental Conveyor&amp;Equip - Winfield</t>
  </si>
  <si>
    <t>438 Industrial Dr; Phone:</t>
  </si>
  <si>
    <t>(712) 225-6529</t>
  </si>
  <si>
    <t>(310) 604-0322</t>
  </si>
  <si>
    <t>(704) 588-5895</t>
  </si>
  <si>
    <t>(409) 838-6251</t>
  </si>
  <si>
    <t>2708 Commerce Circle</t>
  </si>
  <si>
    <t>Pine Bluff, AR 71601</t>
  </si>
  <si>
    <t>2708 Commerce Circle,</t>
  </si>
  <si>
    <t>614 East Pacific Avenue,</t>
  </si>
  <si>
    <t>Continental White Ca - Hazelton</t>
  </si>
  <si>
    <t>(570) 455-7781</t>
  </si>
  <si>
    <t>(717) 665-9123</t>
  </si>
  <si>
    <t>Control Equip Sa - Lakeland</t>
  </si>
  <si>
    <t>(863) 646-5781</t>
  </si>
  <si>
    <t>2845 Highway 311, Phone:</t>
  </si>
  <si>
    <t>Control System Innovation</t>
  </si>
  <si>
    <t>5510 Mainway; Phone: 905-681-1580</t>
  </si>
  <si>
    <t>(888) 780-6465</t>
  </si>
  <si>
    <t>+1 419-887-1611</t>
  </si>
  <si>
    <t>Control&amp;Power - Jackson</t>
  </si>
  <si>
    <t>110 Leggett Drive; Phone: nan please</t>
  </si>
  <si>
    <t>5821 Range Line Road Ste: 203-</t>
  </si>
  <si>
    <t>2720 7th Avenue So-, Phone_</t>
  </si>
  <si>
    <t>2220 Calder St.</t>
  </si>
  <si>
    <t>(604)-</t>
  </si>
  <si>
    <t>101-7562 Progress Way, Phone: (604)-</t>
  </si>
  <si>
    <t>(706) 278-8309</t>
  </si>
  <si>
    <t>526 NE Chestnut St, Phone: 541-672-_</t>
  </si>
  <si>
    <t>Conveying - Denver</t>
  </si>
  <si>
    <t>(907) 486-6385</t>
  </si>
  <si>
    <t>(509) 456-8552</t>
  </si>
  <si>
    <t>2202 Alliance</t>
  </si>
  <si>
    <t>FM 106_</t>
  </si>
  <si>
    <t>nan, Phone:_</t>
  </si>
  <si>
    <t>(989) 848-2293</t>
  </si>
  <si>
    <t>Cooper Std Auto - Mio</t>
  </si>
  <si>
    <t>Cooper Std Auto - Surgoinsville</t>
  </si>
  <si>
    <t>(423) 345-2383</t>
  </si>
  <si>
    <t>989-848-2293</t>
  </si>
  <si>
    <t>3300 Sylvester Road, Phon_</t>
  </si>
  <si>
    <t>Cooper Tools - Charleston</t>
  </si>
  <si>
    <t>Cooper Tools - Sumter</t>
  </si>
  <si>
    <t>(803) 481-1322</t>
  </si>
  <si>
    <t>Cooper TSmith - Darrow</t>
  </si>
  <si>
    <t>(225) 473-4288</t>
  </si>
  <si>
    <t>(989) 453-4500</t>
  </si>
  <si>
    <t>7211 East Michigan Avenue; Phone:</t>
  </si>
  <si>
    <t>Copeland- Sidney</t>
  </si>
  <si>
    <t>(937) 498-3011</t>
  </si>
  <si>
    <t>3300 Sylvester Road, Phon_.</t>
  </si>
  <si>
    <t>Corbin Supply - Macon</t>
  </si>
  <si>
    <t>Corley Mfg - Chattanooga</t>
  </si>
  <si>
    <t>(423) 698-0284</t>
  </si>
  <si>
    <t>(910) 784-7200</t>
  </si>
  <si>
    <t>(214) 515-6411</t>
  </si>
  <si>
    <t>(541) 929-2234</t>
  </si>
  <si>
    <t>3178 West Hills Road, Phone_</t>
  </si>
  <si>
    <t>(310) 571-0110</t>
  </si>
  <si>
    <t>Cottage Gardens</t>
  </si>
  <si>
    <t>(440) 259-2900</t>
  </si>
  <si>
    <t>4992 Middle Ridge Road, Phone: nan please</t>
  </si>
  <si>
    <t>(404) 215-5540</t>
  </si>
  <si>
    <t>360-497-5030</t>
  </si>
  <si>
    <t>Cowlitz Stud- Randell</t>
  </si>
  <si>
    <t>(360) 497-5030</t>
  </si>
  <si>
    <t>(717) 792-2661</t>
  </si>
  <si>
    <t>500 Trillium Drive; Unit 2, Phone:</t>
  </si>
  <si>
    <t>5155 Timberlea Blvd, Phone:</t>
  </si>
  <si>
    <t>Â (440) 953-0053</t>
  </si>
  <si>
    <t>34000 Lakeland Blvd , Phone: A (440) 953--</t>
  </si>
  <si>
    <t>CPS Trailer - Oran</t>
  </si>
  <si>
    <t>8593 Highway 77, Phone: (800) 545-5086</t>
  </si>
  <si>
    <t>@info is Address: nan, Phone: nan</t>
  </si>
  <si>
    <t>Craig Lumber - Collierville</t>
  </si>
  <si>
    <t>(901) 853-4317</t>
  </si>
  <si>
    <t>Crain Cutter - Milpitas</t>
  </si>
  <si>
    <t>(408) 946-6100</t>
  </si>
  <si>
    <t>Cramer Lumber - Hildebran</t>
  </si>
  <si>
    <t>263 White Oak Drive, Phone_.</t>
  </si>
  <si>
    <t>(409) 539-4545</t>
  </si>
  <si>
    <t>(800) 624-0543</t>
  </si>
  <si>
    <t>nan, Phone: nan please respond wit _</t>
  </si>
  <si>
    <t>6413 Airline Highway, Phone: 888-77_</t>
  </si>
  <si>
    <t>(918) 438-2100</t>
  </si>
  <si>
    <t>(931) 454-9000</t>
  </si>
  <si>
    <t>207 Industrial Blvd, Ste 1, Tullahoma, TN 37388</t>
  </si>
  <si>
    <t>Createc- Tullahoma</t>
  </si>
  <si>
    <t>Creative - Bridgeview</t>
  </si>
  <si>
    <t>(800) 970-0901</t>
  </si>
  <si>
    <t>(540) 965-1500</t>
  </si>
  <si>
    <t>(708) 876-2626</t>
  </si>
  <si>
    <t>Creekstone Farms Premium Beef</t>
  </si>
  <si>
    <t>604 Goff Industrial Park Roa_</t>
  </si>
  <si>
    <t>(903) 893-2328</t>
  </si>
  <si>
    <t>(712) 322-2294</t>
  </si>
  <si>
    <t>7070 Cretex Ave</t>
  </si>
  <si>
    <t>7070 Cretex Ave; Phone: nan_</t>
  </si>
  <si>
    <t>Crosby Sawmill Machines - Ruston</t>
  </si>
  <si>
    <t>2700 McDonald Ave; Phone:</t>
  </si>
  <si>
    <t>228 Industrial St,</t>
  </si>
  <si>
    <t>Cross - Anderson</t>
  </si>
  <si>
    <t>(864) 224-0652</t>
  </si>
  <si>
    <t>nan, Phone: (864) 617-5123 please respond</t>
  </si>
  <si>
    <t>(352) 578-8050</t>
  </si>
  <si>
    <t>(352) 578-.</t>
  </si>
  <si>
    <t>59 Northeast 132nd Ave; Phone: (352) 578-.</t>
  </si>
  <si>
    <t>nan, Phone: (864) 617-5123 pleas_</t>
  </si>
  <si>
    <t>Cross Rentals</t>
  </si>
  <si>
    <t>1950-A South Van Ave</t>
  </si>
  <si>
    <t>1950-A South Van Ave; Phone: nan please respon_</t>
  </si>
  <si>
    <t>Cross Services</t>
  </si>
  <si>
    <t>Motion-LA63 - Morgan City's Customer</t>
  </si>
  <si>
    <t>1962 S Van Ave; Phone: nan please respond</t>
  </si>
  <si>
    <t>(315) 477-5531</t>
  </si>
  <si>
    <t>(860) 683-4300</t>
  </si>
  <si>
    <t>(724) 222-7200</t>
  </si>
  <si>
    <t>(337) 656-7000</t>
  </si>
  <si>
    <t>(216) 881-4156</t>
  </si>
  <si>
    <t>(864) 299-1331</t>
  </si>
  <si>
    <t>(541) 433-2222</t>
  </si>
  <si>
    <t>Crown Pacific- Coeur D'Alene</t>
  </si>
  <si>
    <t>(406) 252-6363</t>
  </si>
  <si>
    <t>(904) 737-7144</t>
  </si>
  <si>
    <t>(434) 385-9181</t>
  </si>
  <si>
    <t>(800) 277-8830</t>
  </si>
  <si>
    <t>Crs Service- Morgantown</t>
  </si>
  <si>
    <t>(708) 385-4216</t>
  </si>
  <si>
    <t>(800) 648-9093</t>
  </si>
  <si>
    <t>CSCompany - Torrance</t>
  </si>
  <si>
    <t>(310) 320-7223</t>
  </si>
  <si>
    <t>(608) 873-7130</t>
  </si>
  <si>
    <t>(785) 646-0493</t>
  </si>
  <si>
    <t>Ctm- Grand Rapids</t>
  </si>
  <si>
    <t>(616) 608-4094</t>
  </si>
  <si>
    <t>Cullman Casting</t>
  </si>
  <si>
    <t>251 County Rd 490,Phonez</t>
  </si>
  <si>
    <t>PO Box 894, Phone: nan please</t>
  </si>
  <si>
    <t>Culp Lumber - New London</t>
  </si>
  <si>
    <t>(704) 463-7311</t>
  </si>
  <si>
    <t>(508) 399-6400</t>
  </si>
  <si>
    <t>(931) 473-9542</t>
  </si>
  <si>
    <t>(615) 255-7373</t>
  </si>
  <si>
    <t>Cumming Engine - Columbus</t>
  </si>
  <si>
    <t>(812) 377-5000</t>
  </si>
  <si>
    <t>nan, Phone: 352-624-9333 please</t>
  </si>
  <si>
    <t>Cummings&amp;Son- Garden City</t>
  </si>
  <si>
    <t>**Credit Card - New Customer wNo History**</t>
  </si>
  <si>
    <t>4020 45th Court SE, Phone:</t>
  </si>
  <si>
    <t>Curt Bean Lumber - Glenwood</t>
  </si>
  <si>
    <t>(870) 356-4846</t>
  </si>
  <si>
    <t>Curtis Maruyasu America</t>
  </si>
  <si>
    <t>660 Metts Drive</t>
  </si>
  <si>
    <t>Lebanon, KY  40033</t>
  </si>
  <si>
    <t>660 Metts Drive; Phone: nan please</t>
  </si>
  <si>
    <t>(503) 692-0210</t>
  </si>
  <si>
    <t>Custom Cast- Tualatin</t>
  </si>
  <si>
    <t>Custom Conveyor- Greensburg</t>
  </si>
  <si>
    <t>(812) 663-2023</t>
  </si>
  <si>
    <t>Custom Cuts- Milwaukee</t>
  </si>
  <si>
    <t>Custom Equip - Omaha</t>
  </si>
  <si>
    <t>(402) 341-4939</t>
  </si>
  <si>
    <t>P 0 Box 3038 Station B..</t>
  </si>
  <si>
    <t>(402) 464-9595</t>
  </si>
  <si>
    <t>(905) 332-9600</t>
  </si>
  <si>
    <t>3991 Green Park Road, Phone:</t>
  </si>
  <si>
    <t>(269) 465-9130</t>
  </si>
  <si>
    <t>(724) 468-4553</t>
  </si>
  <si>
    <t>(724) 773-1300</t>
  </si>
  <si>
    <t>(763) 425-8696</t>
  </si>
  <si>
    <t>Cyberplast - Beaverton</t>
  </si>
  <si>
    <t>(989) 435-7761</t>
  </si>
  <si>
    <t>109 EHermitage Rd</t>
  </si>
  <si>
    <t>109 EHermitage Rd, Phone: 706-295-5165 please</t>
  </si>
  <si>
    <t>Cylinder Plus - Grovetown</t>
  </si>
  <si>
    <t>309 Old Wrightsboro Road, Phone:</t>
  </si>
  <si>
    <t>(630) 357-5649</t>
  </si>
  <si>
    <t>Cytex Plastics- Houston</t>
  </si>
  <si>
    <t>713-937-1300</t>
  </si>
  <si>
    <t>(713) 937-1300</t>
  </si>
  <si>
    <t>713-546-1880</t>
  </si>
  <si>
    <t>D M I - Goodfield</t>
  </si>
  <si>
    <t>309-965-2233</t>
  </si>
  <si>
    <t>(309) 965-2233</t>
  </si>
  <si>
    <t>269-465-6633</t>
  </si>
  <si>
    <t>406-285-6508</t>
  </si>
  <si>
    <t>808-671-2420</t>
  </si>
  <si>
    <t>541-882-4619</t>
  </si>
  <si>
    <t>D&amp;S Hyd - Bend</t>
  </si>
  <si>
    <t>541-389-8003</t>
  </si>
  <si>
    <t>Motion- LA18 Lafayette, LA's Customer</t>
  </si>
  <si>
    <t>337-237-3990</t>
  </si>
  <si>
    <t>1717 Renaud RD, Phone: 337-234-1665 please</t>
  </si>
  <si>
    <t>Daco Technical Sales- Charleston</t>
  </si>
  <si>
    <t>304-744-1389</t>
  </si>
  <si>
    <t>1647 Oakhurst Drive; Phone:</t>
  </si>
  <si>
    <t>Dahl Hyd&amp;Mechanics - Durango</t>
  </si>
  <si>
    <t>970-385-0588</t>
  </si>
  <si>
    <t>211 South Skylane Drive,</t>
  </si>
  <si>
    <t>256-306-5000</t>
  </si>
  <si>
    <t>905 State Docks Road, Phone: (256) 306-037_</t>
  </si>
  <si>
    <t>412-828-9020</t>
  </si>
  <si>
    <t>724-946-8729</t>
  </si>
  <si>
    <t>(435) 563-6660</t>
  </si>
  <si>
    <t>Dairy Systems, I - Smithfield</t>
  </si>
  <si>
    <t>(435) 563-</t>
  </si>
  <si>
    <t>360-457-4474</t>
  </si>
  <si>
    <t>651-455-6611</t>
  </si>
  <si>
    <t>Daley - Rockford</t>
  </si>
  <si>
    <t>815-637-1490</t>
  </si>
  <si>
    <t>(815) 316-2415</t>
  </si>
  <si>
    <t>214-651-1441</t>
  </si>
  <si>
    <t>Dal-Tile</t>
  </si>
  <si>
    <t>205-932-8944</t>
  </si>
  <si>
    <t>1470 County Road 21 South, Phone: nan please</t>
  </si>
  <si>
    <t>Dalton Hyd</t>
  </si>
  <si>
    <t>Jarrett wSeal Source Refered him - They use Yates</t>
  </si>
  <si>
    <t>2633 Rutledge Pike, Phone: 865-933-5031 please</t>
  </si>
  <si>
    <t>Dalton- Kendallville</t>
  </si>
  <si>
    <t>Daly's Juice Prod- Verona</t>
  </si>
  <si>
    <t>Dan River - Greenville</t>
  </si>
  <si>
    <t>(615) 796-3272</t>
  </si>
  <si>
    <t>(803) 251-0334</t>
  </si>
  <si>
    <t>Dana- Hohenwald</t>
  </si>
  <si>
    <t>Dana- Reading</t>
  </si>
  <si>
    <t>Danaoration - Lugoff</t>
  </si>
  <si>
    <t>803-572-3562</t>
  </si>
  <si>
    <t>Daniels Lumber - Lake City</t>
  </si>
  <si>
    <t>(904) 752-9590</t>
  </si>
  <si>
    <t>Darling National</t>
  </si>
  <si>
    <t>402-342-2076</t>
  </si>
  <si>
    <t>4115 South 33rd Street, Phone: nan please</t>
  </si>
  <si>
    <t>Dart Container- Corona</t>
  </si>
  <si>
    <t>951-735-8115</t>
  </si>
  <si>
    <t>(951) 735-8115</t>
  </si>
  <si>
    <t>Dave Lawrence- Haggerman</t>
  </si>
  <si>
    <t>Daveco Hyd - Eureka</t>
  </si>
  <si>
    <t>707-442-0603</t>
  </si>
  <si>
    <t>(812) 526-2601</t>
  </si>
  <si>
    <t>David RWebb - Edinburgh</t>
  </si>
  <si>
    <t>812-526-2601</t>
  </si>
  <si>
    <t>Davidson - Mapleton</t>
  </si>
  <si>
    <t>541-269-2900</t>
  </si>
  <si>
    <t>(541) 268-4422</t>
  </si>
  <si>
    <t>Davidson Plastics - Tacoma</t>
  </si>
  <si>
    <t>253-284-8000</t>
  </si>
  <si>
    <t>801-977-9200</t>
  </si>
  <si>
    <t>757-247-8437</t>
  </si>
  <si>
    <t>520-228-1110</t>
  </si>
  <si>
    <t>5020 E Arizola St; Phone: nan please</t>
  </si>
  <si>
    <t>Dawn - Denver</t>
  </si>
  <si>
    <t>303-455-3296</t>
  </si>
  <si>
    <t>Day&amp;Zimmerman - Nash</t>
  </si>
  <si>
    <t>903-223-0131</t>
  </si>
  <si>
    <t>(903) 255-2829</t>
  </si>
  <si>
    <t>(843) 538-2141</t>
  </si>
  <si>
    <t>Dayco- Walterboro</t>
  </si>
  <si>
    <t>843-538-5941</t>
  </si>
  <si>
    <t>405-280-3000</t>
  </si>
  <si>
    <t>De Groot - Coloma</t>
  </si>
  <si>
    <t>269-468-6714</t>
  </si>
  <si>
    <t>Dean Lumber - Gilmer</t>
  </si>
  <si>
    <t>903-843-5538</t>
  </si>
  <si>
    <t>(903) 843-5538</t>
  </si>
  <si>
    <t>nan, Phone: (256) 552-3076</t>
  </si>
  <si>
    <t>nan, Phone: (256) 552-3076_</t>
  </si>
  <si>
    <t>410-679-1666</t>
  </si>
  <si>
    <t>9311-F Philadelphia Road, Phone:</t>
  </si>
  <si>
    <t>1809 Fashion Court Suite 110,Phone__</t>
  </si>
  <si>
    <t>Deiorio Foods Inc</t>
  </si>
  <si>
    <t>2200 Bleecker St</t>
  </si>
  <si>
    <t>Utica, NY  13501-1739</t>
  </si>
  <si>
    <t>Del Cook Lumber - Adel</t>
  </si>
  <si>
    <t>Delafield- Foothill Ranch</t>
  </si>
  <si>
    <t>765-284-3335</t>
  </si>
  <si>
    <t>Delco Products Div - Dayton</t>
  </si>
  <si>
    <t>Dayton; OH 45417</t>
  </si>
  <si>
    <t>Delisi- Copiague</t>
  </si>
  <si>
    <t>631-226-1777</t>
  </si>
  <si>
    <t>(631) 226-1777</t>
  </si>
  <si>
    <t>Operating Under New Name</t>
  </si>
  <si>
    <t>(269) 684-6020</t>
  </si>
  <si>
    <t>(903) 645-3458</t>
  </si>
  <si>
    <t>1608 South 96th St</t>
  </si>
  <si>
    <t>1608 South 96th St, Phone: 206-763-2383</t>
  </si>
  <si>
    <t>Delta Mold</t>
  </si>
  <si>
    <t>704-588-6600</t>
  </si>
  <si>
    <t>9415 Stockport Place; Phone: 704 588 6600 please</t>
  </si>
  <si>
    <t>(479) 489-5223</t>
  </si>
  <si>
    <t>(708) 547-0500</t>
  </si>
  <si>
    <t>(715) 823-4200</t>
  </si>
  <si>
    <t>(815) 344-2222</t>
  </si>
  <si>
    <t>DENBURY RESOURCES</t>
  </si>
  <si>
    <t>(662) 755-2566</t>
  </si>
  <si>
    <t>265 TINSLEY ROAD, Phone: nan pleas_</t>
  </si>
  <si>
    <t>6708 East 47th Ave</t>
  </si>
  <si>
    <t>6708 East 47th Ave; Phone: 303-399-.</t>
  </si>
  <si>
    <t>(402) 572-7177</t>
  </si>
  <si>
    <t>(870) 246-8066</t>
  </si>
  <si>
    <t>941 Magnolia Drive South, Phone: 601-928-4133</t>
  </si>
  <si>
    <t>Despatch - Lakeville</t>
  </si>
  <si>
    <t>(952) 469-5424</t>
  </si>
  <si>
    <t>952-469-5424</t>
  </si>
  <si>
    <t>Detail Design- Houston</t>
  </si>
  <si>
    <t>(281) 890-4715</t>
  </si>
  <si>
    <t>dennis@dhirepaircom</t>
  </si>
  <si>
    <t>(319) 463-7111</t>
  </si>
  <si>
    <t>Dialoration - FtMadison</t>
  </si>
  <si>
    <t>FtMadison,IA 52627</t>
  </si>
  <si>
    <t>(319) 463-6284</t>
  </si>
  <si>
    <t>(973) 694-2400</t>
  </si>
  <si>
    <t>Diamond Rug&amp;Carpet - Eton</t>
  </si>
  <si>
    <t>Eton,GA 30724</t>
  </si>
  <si>
    <t>(706) 695-9455</t>
  </si>
  <si>
    <t>(937) 253-2111</t>
  </si>
  <si>
    <t>(503) 434-5531</t>
  </si>
  <si>
    <t>DIEFFENBACHER USA</t>
  </si>
  <si>
    <t>2000 MCFARLAND 400 BLVD, Phone:</t>
  </si>
  <si>
    <t>Dieter Bryce - Gaston</t>
  </si>
  <si>
    <t>(803) 796-5552</t>
  </si>
  <si>
    <t>Dietrich - Hammond</t>
  </si>
  <si>
    <t>(256) 766-6602</t>
  </si>
  <si>
    <t>511 Staplesd Drive/Ind Park, Phone: 256-766-_</t>
  </si>
  <si>
    <t>(608) 326-4820</t>
  </si>
  <si>
    <t>(704) 332-6151</t>
  </si>
  <si>
    <t>(989) 772-5621</t>
  </si>
  <si>
    <t>Distributor's Group - MtPleasant</t>
  </si>
  <si>
    <t>MtPleasant,MI 48</t>
  </si>
  <si>
    <t>(864) 271-2668</t>
  </si>
  <si>
    <t>(402) 228-1554</t>
  </si>
  <si>
    <t>105 N Liberty St;Phone: (800) 884_</t>
  </si>
  <si>
    <t>3510 NOrchard Knob</t>
  </si>
  <si>
    <t>3510 NOrchard Knob, Phone: nan please respond wi_</t>
  </si>
  <si>
    <t>(229) 228-6363</t>
  </si>
  <si>
    <t>828) 687-9400</t>
  </si>
  <si>
    <t>Dixie Industrial Supply - Arden</t>
  </si>
  <si>
    <t>Dixie Pulp &amp; Paper - Tuscaloosa</t>
  </si>
  <si>
    <t>PO Box 20646,Phone: (205)</t>
  </si>
  <si>
    <t>(620) 251-2000</t>
  </si>
  <si>
    <t>Airport Industrial Park, Phone: 620-251-2000 pleas</t>
  </si>
  <si>
    <t>Dixon Lumber - Eufaula</t>
  </si>
  <si>
    <t>526 W Boundry Street</t>
  </si>
  <si>
    <t>526 W Boundry Street; Phone: (334)</t>
  </si>
  <si>
    <t>DIY GROUP</t>
  </si>
  <si>
    <t>2401 West 26th Street; Phone: nan please respond</t>
  </si>
  <si>
    <t>(317) 783-5493</t>
  </si>
  <si>
    <t>(908) 226-2047</t>
  </si>
  <si>
    <t>19151 Highland Rd, Phone: 225-906-9162</t>
  </si>
  <si>
    <t>Dobson Bros Const - Lincoln</t>
  </si>
  <si>
    <t>Don E Williams - Rock Island</t>
  </si>
  <si>
    <t>7920-14Th Street West, Phone: na_</t>
  </si>
  <si>
    <t>Donlyn MFG</t>
  </si>
  <si>
    <t>1490 94th Lane NE, Phone: nan please respond</t>
  </si>
  <si>
    <t>763) 780-0131</t>
  </si>
  <si>
    <t>nan, Phone: (515) 236-9000 please</t>
  </si>
  <si>
    <t>(610) 269-6048</t>
  </si>
  <si>
    <t>Dordan Mfg- Woodstock</t>
  </si>
  <si>
    <t>(815) 334-0087</t>
  </si>
  <si>
    <t>2025 Castle Road; Woodstock; IL_</t>
  </si>
  <si>
    <t>Double Press Mfg- Madras</t>
  </si>
  <si>
    <t>(541) 475-4239</t>
  </si>
  <si>
    <t>(541) 672-5711</t>
  </si>
  <si>
    <t>Douglas Forest P - Winchester</t>
  </si>
  <si>
    <t>Douglass Machines - Clearwater</t>
  </si>
  <si>
    <t>(727) 461-3477</t>
  </si>
  <si>
    <t>727-461-3477</t>
  </si>
  <si>
    <t>Dover Hyd - Dover</t>
  </si>
  <si>
    <t>2996 Progress Street; Phone: (800) 394-1617</t>
  </si>
  <si>
    <t>(225) 353-8000</t>
  </si>
  <si>
    <t>(907) 659-2434</t>
  </si>
  <si>
    <t>12214 Lakewood Blvd</t>
  </si>
  <si>
    <t>12214 Lakewood Blvd; Phone: nan please</t>
  </si>
  <si>
    <t>Downey Valve - Yorba Linda</t>
  </si>
  <si>
    <t>(714) 572-1599</t>
  </si>
  <si>
    <t>(417) 589-6227</t>
  </si>
  <si>
    <t>(626) 359-9211</t>
  </si>
  <si>
    <t>Drago Supply - Little Rock</t>
  </si>
  <si>
    <t>(501) 376-2941</t>
  </si>
  <si>
    <t>Drake Products- Anderson</t>
  </si>
  <si>
    <t>(864) 225-3751</t>
  </si>
  <si>
    <t>Dredgemasters International- Hendersonville</t>
  </si>
  <si>
    <t>651-766 -.</t>
  </si>
  <si>
    <t>3225 Country Drive; Phone: 651-766 -.</t>
  </si>
  <si>
    <t>(804) 279-5864</t>
  </si>
  <si>
    <t>8000 Jefferson Davis Highway, Phone: 804-_</t>
  </si>
  <si>
    <t>PO Box 3990,</t>
  </si>
  <si>
    <t>Dsm - Reading</t>
  </si>
  <si>
    <t>(610) 320-6600</t>
  </si>
  <si>
    <t>(225) 267-3400</t>
  </si>
  <si>
    <t>Dudley Lumber - Salem</t>
  </si>
  <si>
    <t>(906) 498-2325</t>
  </si>
  <si>
    <t>(919) 684-8111</t>
  </si>
  <si>
    <t>Du-Mont - Mackinaw</t>
  </si>
  <si>
    <t>(309) 692-7240</t>
  </si>
  <si>
    <t>(309) 359-3200</t>
  </si>
  <si>
    <t>Dunaway- Canfield</t>
  </si>
  <si>
    <t>(330) 533-7753</t>
  </si>
  <si>
    <t>(337) 433-3900</t>
  </si>
  <si>
    <t>Dunlop Tire &amp; Rubber - Tonawanda</t>
  </si>
  <si>
    <t>(716) 879-8200</t>
  </si>
  <si>
    <t>Duplin Hyd - Rose Hill</t>
  </si>
  <si>
    <t>1112 West Charity Road, Phone: (910_</t>
  </si>
  <si>
    <t>(804) 383-2000</t>
  </si>
  <si>
    <t>(409) 722-8381</t>
  </si>
  <si>
    <t>(281) 474-8600</t>
  </si>
  <si>
    <t>(409) 886-6442</t>
  </si>
  <si>
    <t>Dupps - Germantown</t>
  </si>
  <si>
    <t>(937) 855-6555</t>
  </si>
  <si>
    <t>(706) 884-6171</t>
  </si>
  <si>
    <t>(541) 928-3341</t>
  </si>
  <si>
    <t>(603) 763-2860</t>
  </si>
  <si>
    <t>Dusan Equip- Henderson</t>
  </si>
  <si>
    <t>(270) 957-5115</t>
  </si>
  <si>
    <t>(256) 552-4900</t>
  </si>
  <si>
    <t>2400 Lake Orange Dr, Suite 130</t>
  </si>
  <si>
    <t>Orlando, FL  32837</t>
  </si>
  <si>
    <t>2400 Lake Orange Dr; Suite 130,Phon_</t>
  </si>
  <si>
    <t>(830) 620-4400</t>
  </si>
  <si>
    <t>Dynacon- Bryan</t>
  </si>
  <si>
    <t>831 Ind Blvd</t>
  </si>
  <si>
    <t>831 Ind Blvd; Phone: (979) 823-2690 please</t>
  </si>
  <si>
    <t>(310) 329-0399</t>
  </si>
  <si>
    <t>Dynamexoration - Carson</t>
  </si>
  <si>
    <t>(unknown)</t>
  </si>
  <si>
    <t>(507) 375-4670</t>
  </si>
  <si>
    <t>Dyna-Power Engineers - Blue Island</t>
  </si>
  <si>
    <t>(708) 389-7200</t>
  </si>
  <si>
    <t>12809 South Homan Avenue;_</t>
  </si>
  <si>
    <t>(847) 952-4700</t>
  </si>
  <si>
    <t>E&amp;E Hyd&amp;Ind Maintenance</t>
  </si>
  <si>
    <t>1320 Stylemaster Dr</t>
  </si>
  <si>
    <t>1320 Stylemaster Dr; Phone: 636-583-._</t>
  </si>
  <si>
    <t>Ship all Orders UPS Ground Collect Acct#38Y0V0</t>
  </si>
  <si>
    <t>E&amp;R Fabaricating - Bedford</t>
  </si>
  <si>
    <t>(563) 242-7101</t>
  </si>
  <si>
    <t>1000 J.D. Yarnell Ind PkWy, Phone: na_</t>
  </si>
  <si>
    <t>Eagle Controls - Pryor</t>
  </si>
  <si>
    <t>2420 W 530th</t>
  </si>
  <si>
    <t>Pryor, OK  74361</t>
  </si>
  <si>
    <t>2420 W 530th, Phone: nan please</t>
  </si>
  <si>
    <t>Eagle Equip- Westerville</t>
  </si>
  <si>
    <t>Eagle Fluid Power</t>
  </si>
  <si>
    <t>11 SW Industrial Drive; Phone: 816-554-9200</t>
  </si>
  <si>
    <t>Eagle Hyd - Auburn</t>
  </si>
  <si>
    <t>(253) 939-6519</t>
  </si>
  <si>
    <t>Eagle Hyd - Nunica</t>
  </si>
  <si>
    <t>(616) 460-3335</t>
  </si>
  <si>
    <t>(270) 358-0100</t>
  </si>
  <si>
    <t>(979) 234-5561</t>
  </si>
  <si>
    <t>(334) 864-7120</t>
  </si>
  <si>
    <t>(423) 892-0331</t>
  </si>
  <si>
    <t>(219) 536-2243</t>
  </si>
  <si>
    <t>East Penn Mfg, - Lyon Station</t>
  </si>
  <si>
    <t>Eastern Hyd &amp; Power - Rocky Mount</t>
  </si>
  <si>
    <t>600 S Washington Street;</t>
  </si>
  <si>
    <t>(850) 763-1900</t>
  </si>
  <si>
    <t>(401) 421-5707</t>
  </si>
  <si>
    <t>(409) 835-4212</t>
  </si>
  <si>
    <t>Eastman Kodak - Rochester</t>
  </si>
  <si>
    <t>(800) 356-3259</t>
  </si>
  <si>
    <t>Eaton Leonard- Carlsbad</t>
  </si>
  <si>
    <t>(760) 599-6300</t>
  </si>
  <si>
    <t>(256) 249-4901</t>
  </si>
  <si>
    <t>Ecklund - Eugene</t>
  </si>
  <si>
    <t>(541) 689-6677</t>
  </si>
  <si>
    <t>Ecm Motor - Elkhorn</t>
  </si>
  <si>
    <t>(414) 723-6400</t>
  </si>
  <si>
    <t>(718) 585-6463</t>
  </si>
  <si>
    <t>(304) 727-4301</t>
  </si>
  <si>
    <t>(360) 424-6600</t>
  </si>
  <si>
    <t>Edco - MtVernon</t>
  </si>
  <si>
    <t>MtVernon,WA 98273</t>
  </si>
  <si>
    <t>Edco Tool&amp;Die - Toledo</t>
  </si>
  <si>
    <t>(419) 726-1595</t>
  </si>
  <si>
    <t>Edelbrock- Torance</t>
  </si>
  <si>
    <t>(310) 781-2222</t>
  </si>
  <si>
    <t>11818 James St</t>
  </si>
  <si>
    <t>11818 James St, Phone: nan please</t>
  </si>
  <si>
    <t>Edmeyer- West St, Paul</t>
  </si>
  <si>
    <t>1760 Kivingston Avenue; Phone: nan</t>
  </si>
  <si>
    <t>Edmiston Hydraulic Sawmill Equip - Boomer</t>
  </si>
  <si>
    <t>8540 West NC</t>
  </si>
  <si>
    <t>(704) 624-5098</t>
  </si>
  <si>
    <t>Eee Zzz Way Drain - St Augustine</t>
  </si>
  <si>
    <t>(904) 824-6763</t>
  </si>
  <si>
    <t>Efp- Elkhart</t>
  </si>
  <si>
    <t>(574) 622-5768</t>
  </si>
  <si>
    <t>3500 Daniels NE, Phone: nan please</t>
  </si>
  <si>
    <t>EIDu Pont - Clinton</t>
  </si>
  <si>
    <t>EIDupont - Chattanooga</t>
  </si>
  <si>
    <t>(423) 875-2011</t>
  </si>
  <si>
    <t>EIDupont - Edgemoor</t>
  </si>
  <si>
    <t>Edgemoor,DE 19809</t>
  </si>
  <si>
    <t>(302) 761-2000</t>
  </si>
  <si>
    <t>EIDupont - Leland</t>
  </si>
  <si>
    <t>(910) 371-4000</t>
  </si>
  <si>
    <t>EIDupont - Waynesboro</t>
  </si>
  <si>
    <t>EIDupont De Nemo - Richmond</t>
  </si>
  <si>
    <t>EKahn's&amp;Sons Com - Cincinnati</t>
  </si>
  <si>
    <t>(513) 541-4000</t>
  </si>
  <si>
    <t>(915) 533-5080</t>
  </si>
  <si>
    <t>(760) 352-4157</t>
  </si>
  <si>
    <t>(951) 685-1675</t>
  </si>
  <si>
    <t>Electra Products - Telford</t>
  </si>
  <si>
    <t>(215) 257-1164</t>
  </si>
  <si>
    <t>(215) 721-0800</t>
  </si>
  <si>
    <t>(413) 568-2311</t>
  </si>
  <si>
    <t>(317) 241-2501</t>
  </si>
  <si>
    <t>1620 Blairs</t>
  </si>
  <si>
    <t>Electro Impact- Mukilteo</t>
  </si>
  <si>
    <t>(425) 348-8090</t>
  </si>
  <si>
    <t>(805) 964-6701</t>
  </si>
  <si>
    <t>763-533-0606.</t>
  </si>
  <si>
    <t>Elixir - Tuscumib</t>
  </si>
  <si>
    <t>Hwy 20 East; Phone: nan please respond with_</t>
  </si>
  <si>
    <t>Elizabeth-Hata Int- Irwin</t>
  </si>
  <si>
    <t>(412) 829-7700</t>
  </si>
  <si>
    <t>(412) 751-3000</t>
  </si>
  <si>
    <t>(662) 566-2363</t>
  </si>
  <si>
    <t>Elk River Machine</t>
  </si>
  <si>
    <t>828 4th St</t>
  </si>
  <si>
    <t>828 4th St, Phone: nan please respond with</t>
  </si>
  <si>
    <t>Elkin Furniture - Elkin</t>
  </si>
  <si>
    <t>Highway 268 East, Phone: (336) 835 _</t>
  </si>
  <si>
    <t>Elliot Machine- Baltimore</t>
  </si>
  <si>
    <t>(410) 625-0808</t>
  </si>
  <si>
    <t>Motion- Savannah, GA Customer</t>
  </si>
  <si>
    <t>(803) 625-3331</t>
  </si>
  <si>
    <t>(706) 820-1881</t>
  </si>
  <si>
    <t>195 West Ryan Road, Phone: 414-764_</t>
  </si>
  <si>
    <t>(843) 347-1422</t>
  </si>
  <si>
    <t>(250) 923-7707</t>
  </si>
  <si>
    <t>(541) 683-1985</t>
  </si>
  <si>
    <t>Emerald Forest Products - Eugene</t>
  </si>
  <si>
    <t>Emerald Steel Fab - Eugene</t>
  </si>
  <si>
    <t>Emmi- Somerville</t>
  </si>
  <si>
    <t>(908) 526-1025</t>
  </si>
  <si>
    <t>(262) 368-2000</t>
  </si>
  <si>
    <t>(480) 633-4000</t>
  </si>
  <si>
    <t>(208) 935-2536</t>
  </si>
  <si>
    <t>(757) 222-9200</t>
  </si>
  <si>
    <t>Emsco</t>
  </si>
  <si>
    <t>256-835-1700</t>
  </si>
  <si>
    <t>1501 Sentinel Drive; Phone: 256-835-1700 please</t>
  </si>
  <si>
    <t>251-957--</t>
  </si>
  <si>
    <t>7501 Half Mile Road, Phone: 251-957--</t>
  </si>
  <si>
    <t>Energy Controls - Fletcher</t>
  </si>
  <si>
    <t>(704) 684 .</t>
  </si>
  <si>
    <t>5 Rutledge Circle; Phone: (704) 684 .</t>
  </si>
  <si>
    <t>Energy Hyd - West Monroe</t>
  </si>
  <si>
    <t>1426 Natchitoches Street, Phone: 31_</t>
  </si>
  <si>
    <t>(714) 528-2301</t>
  </si>
  <si>
    <t>Engel - St Louis</t>
  </si>
  <si>
    <t>478-946-7572</t>
  </si>
  <si>
    <t>1444 Dedrick Road, Phone: nan pleas_</t>
  </si>
  <si>
    <t>Engine Monitor,Inc- Harahan</t>
  </si>
  <si>
    <t>(81.</t>
  </si>
  <si>
    <t>1824 Linn Street; Phone: (81.</t>
  </si>
  <si>
    <t>(724) 285-4761</t>
  </si>
  <si>
    <t>(801) 486-8721</t>
  </si>
  <si>
    <t>nan, Phone: nan plea_</t>
  </si>
  <si>
    <t>(800) 368-3749</t>
  </si>
  <si>
    <t>985-783-4000</t>
  </si>
  <si>
    <t>(337) 494-6138</t>
  </si>
  <si>
    <t>Entergy- Killona</t>
  </si>
  <si>
    <t>(985) 783-4001</t>
  </si>
  <si>
    <t>Entergy-Nelson - Westlake</t>
  </si>
  <si>
    <t>EPHenry- Vineland</t>
  </si>
  <si>
    <t>(856) 845-6200</t>
  </si>
  <si>
    <t>EPHenry- Woodburg</t>
  </si>
  <si>
    <t>Epic - Lake In The Hills</t>
  </si>
  <si>
    <t>(815) 893-9881</t>
  </si>
  <si>
    <t>815-337-2880</t>
  </si>
  <si>
    <t>Epson Portland - Hillsborough</t>
  </si>
  <si>
    <t>(503) 645-1118</t>
  </si>
  <si>
    <t>503-645-1118</t>
  </si>
  <si>
    <t>Epw- Elkhart</t>
  </si>
  <si>
    <t>(574) 293-5090</t>
  </si>
  <si>
    <t>815-464-0053</t>
  </si>
  <si>
    <t>E-Quip MFG - Frankfort</t>
  </si>
  <si>
    <t>(815) 464-0053</t>
  </si>
  <si>
    <t>(305) 233-1640</t>
  </si>
  <si>
    <t>Er Lewin - Walpole</t>
  </si>
  <si>
    <t xml:space="preserve">ERB Equip </t>
  </si>
  <si>
    <t>(573) 334-0563</t>
  </si>
  <si>
    <t>1421 SOUTH WEST END BLVD, Phone: nan please</t>
  </si>
  <si>
    <t>Erico- Aberdeen</t>
  </si>
  <si>
    <t>(910) 944-4105</t>
  </si>
  <si>
    <t>910-944-4100</t>
  </si>
  <si>
    <t>Ericson Log &amp; Lumber - New Windsor</t>
  </si>
  <si>
    <t>(309) 667-2147</t>
  </si>
  <si>
    <t>(309) 667-2146</t>
  </si>
  <si>
    <t>953 East 12th Street, Phone:</t>
  </si>
  <si>
    <t>Ernest Maler- Bladensburg</t>
  </si>
  <si>
    <t>(301) 927-8300</t>
  </si>
  <si>
    <t>301-927-8300</t>
  </si>
  <si>
    <t>503-228-2141</t>
  </si>
  <si>
    <t>(610) 494-8000</t>
  </si>
  <si>
    <t>(260) 248-5500</t>
  </si>
  <si>
    <t>(503) 630-7701</t>
  </si>
  <si>
    <t>Estec- Chester</t>
  </si>
  <si>
    <t>Estes Machine - Mt Airy</t>
  </si>
  <si>
    <t>(336) 786-7680</t>
  </si>
  <si>
    <t>Ethan Allen- Beecher Falls</t>
  </si>
  <si>
    <t>(802) 266-3355</t>
  </si>
  <si>
    <t>Euclid Hyd</t>
  </si>
  <si>
    <t>4540 Beidler Road, Phone: 440-946-0003 please</t>
  </si>
  <si>
    <t>(541) 683-6400</t>
  </si>
  <si>
    <t>(352) 357-4282</t>
  </si>
  <si>
    <t>(401) 434-5600</t>
  </si>
  <si>
    <t>Evans Lumber - Lewiston</t>
  </si>
  <si>
    <t>Evans Lumber - Waverly</t>
  </si>
  <si>
    <t>252-348-2582</t>
  </si>
  <si>
    <t>(859) 231-6492</t>
  </si>
  <si>
    <t>(713) 923-8696</t>
  </si>
  <si>
    <t>(912) 884-3342</t>
  </si>
  <si>
    <t>Evergreen Packaging Equip - Cedar Rapids</t>
  </si>
  <si>
    <t>2400 6Th Street S,_</t>
  </si>
  <si>
    <t>EWeit Machinery - Hillside</t>
  </si>
  <si>
    <t>(201) 964-1333</t>
  </si>
  <si>
    <t>Ewell Ind - Largo</t>
  </si>
  <si>
    <t>(863) 688-2306</t>
  </si>
  <si>
    <t>Exact Stroke - Warminster</t>
  </si>
  <si>
    <t>(215) 355-6795</t>
  </si>
  <si>
    <t>Exact Tool - Wheeling</t>
  </si>
  <si>
    <t>(847) 632-1140</t>
  </si>
  <si>
    <t>806-295-3201</t>
  </si>
  <si>
    <t>Excel- Friona</t>
  </si>
  <si>
    <t>(806) 295-3201</t>
  </si>
  <si>
    <t>Excel Mold &amp; Die - Greenock</t>
  </si>
  <si>
    <t>(812) 523-6764</t>
  </si>
  <si>
    <t>Exco Engineering - Buffalo</t>
  </si>
  <si>
    <t>Exide- Bristol</t>
  </si>
  <si>
    <t>(423) 968-1010</t>
  </si>
  <si>
    <t>Exideoration - Corydon</t>
  </si>
  <si>
    <t>(641) 872-2044</t>
  </si>
  <si>
    <t>Expert Hyd - Fort Lauderdale</t>
  </si>
  <si>
    <t>2950 Northwest 17th Terrace,</t>
  </si>
  <si>
    <t>(360) 835-8561</t>
  </si>
  <si>
    <t>Extrusion Dies - Chippewa</t>
  </si>
  <si>
    <t>(715) 726-1201</t>
  </si>
  <si>
    <t>715-726-1201</t>
  </si>
  <si>
    <t>Extrusion Inc - Fort Scott</t>
  </si>
  <si>
    <t>2401 South Main St.</t>
  </si>
  <si>
    <t>(620) 223-1111</t>
  </si>
  <si>
    <t>2401 South Main St , Phone: nan</t>
  </si>
  <si>
    <t>225-977-7711</t>
  </si>
  <si>
    <t>Exxon Usa - Baton Rouge</t>
  </si>
  <si>
    <t>(225) 977-7600</t>
  </si>
  <si>
    <t>F L G</t>
  </si>
  <si>
    <t>(256) 974-4639</t>
  </si>
  <si>
    <t>(717) 731-1880</t>
  </si>
  <si>
    <t>(616) 698-7860</t>
  </si>
  <si>
    <t>406-892-7000</t>
  </si>
  <si>
    <t>978-937-9322</t>
  </si>
  <si>
    <t>(206) 285-3474</t>
  </si>
  <si>
    <t>(256) 878-</t>
  </si>
  <si>
    <t>1009 Portwood Drive, Albertville; AL 35950</t>
  </si>
  <si>
    <t>Fabtek - Menominee</t>
  </si>
  <si>
    <t>(906) 424-4127</t>
  </si>
  <si>
    <t>906-424-4127</t>
  </si>
  <si>
    <t>(833) 609-5300</t>
  </si>
  <si>
    <t>(740) 992-7425</t>
  </si>
  <si>
    <t>(308) 237-3128</t>
  </si>
  <si>
    <t>(308) 583-2717</t>
  </si>
  <si>
    <t>(703) 481-4242</t>
  </si>
  <si>
    <t>Fairmont Tamper- Cayce-West Columbia</t>
  </si>
  <si>
    <t>40384 Hwy31</t>
  </si>
  <si>
    <t>40384 Hwy31, Phone: 256-784-6284</t>
  </si>
  <si>
    <t>(920) 484-3311</t>
  </si>
  <si>
    <t>(804) 798-6121</t>
  </si>
  <si>
    <t>(727) 522-0515</t>
  </si>
  <si>
    <t>Farmer Mold&amp;Machin - StPetersburg</t>
  </si>
  <si>
    <t>Farmland Foods- Albert Lea</t>
  </si>
  <si>
    <t>Farren Equip - N Charleston</t>
  </si>
  <si>
    <t>(843) 552-6433</t>
  </si>
  <si>
    <t>Farren Equip - NCharleston</t>
  </si>
  <si>
    <t xml:space="preserve">NCharleston, </t>
  </si>
  <si>
    <t>Farwest Hyd - Indio</t>
  </si>
  <si>
    <t>704-482-9582</t>
  </si>
  <si>
    <t>Fasco Controls- Shelby</t>
  </si>
  <si>
    <t>Fat Boy's HydRepair - Johnson City</t>
  </si>
  <si>
    <t>7801 East 14 Mile Road, Phone: 586_</t>
  </si>
  <si>
    <t>PO Box 214617,Phone: nan</t>
  </si>
  <si>
    <t>Fauver JN- Grand Rapids</t>
  </si>
  <si>
    <t>FBWright - Kentwood</t>
  </si>
  <si>
    <t>Featherlite BldgProducts - Port Neches</t>
  </si>
  <si>
    <t>(409) 727-8800</t>
  </si>
  <si>
    <t>3080 North State Street_</t>
  </si>
  <si>
    <t xml:space="preserve">Fed Ex - </t>
  </si>
  <si>
    <t>(800) 257-0109</t>
  </si>
  <si>
    <t>nan, Phone: (800) 257-0109 please respond with op_</t>
  </si>
  <si>
    <t>845-561-4108</t>
  </si>
  <si>
    <t>Federal Mogul - New Castle</t>
  </si>
  <si>
    <t>Federal Mogul - Waupun</t>
  </si>
  <si>
    <t>(920) 324-4741</t>
  </si>
  <si>
    <t>(573) 276-2251</t>
  </si>
  <si>
    <t>Federal Mogul- Malden</t>
  </si>
  <si>
    <t>Federal Mogul- Summerton</t>
  </si>
  <si>
    <t>3913 Algoma Road, Phone: 920-469- _</t>
  </si>
  <si>
    <t>FEMCO</t>
  </si>
  <si>
    <t>(620) 241-3513</t>
  </si>
  <si>
    <t>500 N 81 Bypass, Phone: nan please respond with</t>
  </si>
  <si>
    <t>(256) 301-0500</t>
  </si>
  <si>
    <t>Ferguson Land &amp; Timb - Rocky Mount</t>
  </si>
  <si>
    <t>(540) 483-5090</t>
  </si>
  <si>
    <t>540-483-5090</t>
  </si>
  <si>
    <t>Ferm Hyd - Yuba City</t>
  </si>
  <si>
    <t>(530) 671-7744</t>
  </si>
  <si>
    <t>(630) 840-3000</t>
  </si>
  <si>
    <t>Ferranti Sciaky- Chicago</t>
  </si>
  <si>
    <t>(877) 450-2518</t>
  </si>
  <si>
    <t>38 Co Rd 370, Phone: (662) 424-0115 please respon_</t>
  </si>
  <si>
    <t>(248) 373-6000</t>
  </si>
  <si>
    <t>FFM - Amory</t>
  </si>
  <si>
    <t>1113 Hatley Road, Phone: (662) 256-9665 please</t>
  </si>
  <si>
    <t>Fibermark- Brattleboro</t>
  </si>
  <si>
    <t>Fibredyne - Dover</t>
  </si>
  <si>
    <t>(603) 749-1610</t>
  </si>
  <si>
    <t>Findlay - Dublin</t>
  </si>
  <si>
    <t>(540) 674-4630</t>
  </si>
  <si>
    <t>Finkla Sons - Chicago</t>
  </si>
  <si>
    <t>773-975-2510</t>
  </si>
  <si>
    <t>(541) 895-2167</t>
  </si>
  <si>
    <t>(337) 882-1211</t>
  </si>
  <si>
    <t>Fischer Services info not</t>
  </si>
  <si>
    <t>Fisher Engineering</t>
  </si>
  <si>
    <t>50 Gordon Dr</t>
  </si>
  <si>
    <t>Rockland, ME  04841-2139</t>
  </si>
  <si>
    <t>609-860-0095</t>
  </si>
  <si>
    <t>Fitzsimmons Hyd - Clarence</t>
  </si>
  <si>
    <t>716-759-8389</t>
  </si>
  <si>
    <t>4400 Shisler Rd Suite 1, Clarence; NY 14031</t>
  </si>
  <si>
    <t>Five Rivers Hyd - New Market</t>
  </si>
  <si>
    <t>1006 West Old Andrew Johnson #</t>
  </si>
  <si>
    <t>nan; Phone: 870-532-1619 please</t>
  </si>
  <si>
    <t>(610) 363-6290</t>
  </si>
  <si>
    <t>(252) 536-5578</t>
  </si>
  <si>
    <t>(608) 356-5551</t>
  </si>
  <si>
    <t>Flexcon Co - Spencer</t>
  </si>
  <si>
    <t>Flexicon - Cary</t>
  </si>
  <si>
    <t>Flight Director</t>
  </si>
  <si>
    <t>100 Michael Angelo Way; Phone: 512-834-2000</t>
  </si>
  <si>
    <t>Flint Hyd - Memphis</t>
  </si>
  <si>
    <t>Flo Trend Systems</t>
  </si>
  <si>
    <t>707 Lehman, Phone: nan please respond with_</t>
  </si>
  <si>
    <t>1-800-</t>
  </si>
  <si>
    <t>14802 W117th Street</t>
  </si>
  <si>
    <t>14802 W11Zth Street, Phone: (913)</t>
  </si>
  <si>
    <t>Florance Hyd - Florance</t>
  </si>
  <si>
    <t>4400 South Irby Street; Phone: (843)</t>
  </si>
  <si>
    <t>Florida Hydraulic Specialists - Lakeland</t>
  </si>
  <si>
    <t>Florida Motion &amp; Control - Palm Beach</t>
  </si>
  <si>
    <t>nan, Phone: 561-845-768_</t>
  </si>
  <si>
    <t>nan, Phone: 561-845-7686 please</t>
  </si>
  <si>
    <t>Florida Power- Bartow</t>
  </si>
  <si>
    <t>(863) 534-0142</t>
  </si>
  <si>
    <t>(727) 820-5111</t>
  </si>
  <si>
    <t>Florida Rigging &amp; Hydraulic - Riviera Beach</t>
  </si>
  <si>
    <t>(561) 863-7444</t>
  </si>
  <si>
    <t>Florida Wire &amp; Cable - Jacksonville</t>
  </si>
  <si>
    <t>(904) 781-9224</t>
  </si>
  <si>
    <t>2101 NW Brickyard Road; Phone: 7852326036 pleas_</t>
  </si>
  <si>
    <t>419-.</t>
  </si>
  <si>
    <t>444 W Laskey Suite F; Phone: 419-.</t>
  </si>
  <si>
    <t>(602) 437-8799</t>
  </si>
  <si>
    <t>(503) 228-0190</t>
  </si>
  <si>
    <t>849 Pickens Ind Dr, Suite 7</t>
  </si>
  <si>
    <t>849 Pickens Ind Dr; Suite 7, Phone:</t>
  </si>
  <si>
    <t>Unit A5 / 1777 Northgate Blvd</t>
  </si>
  <si>
    <t>Unit AS</t>
  </si>
  <si>
    <t>Fluid Power Services - Leesville</t>
  </si>
  <si>
    <t>5217 Augusta Highway;</t>
  </si>
  <si>
    <t>PO Box 16552</t>
  </si>
  <si>
    <t>PO Box 16552, Phone: (601) _</t>
  </si>
  <si>
    <t>Fluid Power Systems&amp;Sales</t>
  </si>
  <si>
    <t>(337) 330-0200</t>
  </si>
  <si>
    <t>133 Fouct Road, Phone: 337-234-_</t>
  </si>
  <si>
    <t>(303) 650-1500</t>
  </si>
  <si>
    <t>Fluid Solutions- Evansville</t>
  </si>
  <si>
    <t>1700 Suburban Drive; Phone:</t>
  </si>
  <si>
    <t>1700 Suburban Drive, Phone:_</t>
  </si>
  <si>
    <t>PO Box 11037</t>
  </si>
  <si>
    <t>PO Box 11037,Phone: 92_</t>
  </si>
  <si>
    <t>Fluid System Components - New Berlin</t>
  </si>
  <si>
    <t>5470 SWestridge Dr</t>
  </si>
  <si>
    <t>5470 SWestridge Dr_</t>
  </si>
  <si>
    <t>nan; Phone: 608-850-664_</t>
  </si>
  <si>
    <t>608-850-664.</t>
  </si>
  <si>
    <t>nan, Phone: 608-850-664.</t>
  </si>
  <si>
    <t>Fluid Systems Engine - Cinton Twp</t>
  </si>
  <si>
    <t>Cinton Twp,MI 48035</t>
  </si>
  <si>
    <t>7819 Cons:</t>
  </si>
  <si>
    <t>Fluid Tech - Louisville</t>
  </si>
  <si>
    <t>(502) 499-1121</t>
  </si>
  <si>
    <t>Fluid-Tech</t>
  </si>
  <si>
    <t>nan, Phone: (800) 876-1616 please respond with op_</t>
  </si>
  <si>
    <t>Fmg- Golconda</t>
  </si>
  <si>
    <t>(330) 453-9235</t>
  </si>
  <si>
    <t>(330) 753-4585</t>
  </si>
  <si>
    <t>(864) 898-2300</t>
  </si>
  <si>
    <t>Forano Eastern - Morrow</t>
  </si>
  <si>
    <t>Force Hyd - Russellville</t>
  </si>
  <si>
    <t>425 41st Ave Dr SW, Phone:</t>
  </si>
  <si>
    <t>Foreproducts- El Paso</t>
  </si>
  <si>
    <t>303-286-8955</t>
  </si>
  <si>
    <t>6430 E 49th Dr; Commerce City, CO 80022</t>
  </si>
  <si>
    <t>Forestex - Gaston</t>
  </si>
  <si>
    <t>Formax - Mokena</t>
  </si>
  <si>
    <t>9150 191st Street; Phone: (708) 479-3634</t>
  </si>
  <si>
    <t>1-800-367-6422</t>
  </si>
  <si>
    <t>Fornaciari - Fresno</t>
  </si>
  <si>
    <t>(559) 442-0442</t>
  </si>
  <si>
    <t>(559) 485-7660</t>
  </si>
  <si>
    <t>928-338-5000</t>
  </si>
  <si>
    <t>Fort James- Camas</t>
  </si>
  <si>
    <t>(360) 834-3021</t>
  </si>
  <si>
    <t>(541) 369-2293</t>
  </si>
  <si>
    <t>(918) 683-7671</t>
  </si>
  <si>
    <t>Fort James- Halsey</t>
  </si>
  <si>
    <t>Fort James- Muskogee</t>
  </si>
  <si>
    <t>Fort Lock- River Grove</t>
  </si>
  <si>
    <t>Fort Recovery - Fort Recovery</t>
  </si>
  <si>
    <t>(419) 375-4121</t>
  </si>
  <si>
    <t>Fortner Hyd</t>
  </si>
  <si>
    <t>nan; Phone: 706-864-8757 please respond with open_</t>
  </si>
  <si>
    <t>(765) 668-1213</t>
  </si>
  <si>
    <t>Fought Co - Tigard</t>
  </si>
  <si>
    <t>(503) 639-3141</t>
  </si>
  <si>
    <t>(701) 224-1156</t>
  </si>
  <si>
    <t>(434) 352-7181</t>
  </si>
  <si>
    <t>Foundry&amp;Steel - Anderson</t>
  </si>
  <si>
    <t>(713) 460-0268</t>
  </si>
  <si>
    <t>Four Star Meat - Amite</t>
  </si>
  <si>
    <t>(985) 748-8134</t>
  </si>
  <si>
    <t>(817) 589-7306</t>
  </si>
  <si>
    <t>Four-0 Fluid Power - FtWorth</t>
  </si>
  <si>
    <t>FtWorth,TX 76117</t>
  </si>
  <si>
    <t>(817) 831-3626</t>
  </si>
  <si>
    <t>904-531-3150</t>
  </si>
  <si>
    <t>965 Bunker Avenue; Phone: 904-531-3150</t>
  </si>
  <si>
    <t>797 Adolph Road</t>
  </si>
  <si>
    <t>797 Adolph Road, Phone: 304-335-6108 please</t>
  </si>
  <si>
    <t>(920) 766-9455</t>
  </si>
  <si>
    <t>256-845-.</t>
  </si>
  <si>
    <t>7205 Gault Ave N, Phone: 256-845-.</t>
  </si>
  <si>
    <t>5867 WGrand River Ave</t>
  </si>
  <si>
    <t>5867 WGrand River Ave,</t>
  </si>
  <si>
    <t>(610) 867-5886</t>
  </si>
  <si>
    <t>3854 Watman</t>
  </si>
  <si>
    <t>243 Industrial Park,</t>
  </si>
  <si>
    <t>Franks International</t>
  </si>
  <si>
    <t>Motion- Lafayette, LA Customer</t>
  </si>
  <si>
    <t>(315) 539-9256</t>
  </si>
  <si>
    <t>Freeman / Patrick Wood Products</t>
  </si>
  <si>
    <t>(205) 926-4605</t>
  </si>
  <si>
    <t>1074 Bry Hollow Road, Phon_</t>
  </si>
  <si>
    <t>(309) 257-2211</t>
  </si>
  <si>
    <t>(702) 649-6250</t>
  </si>
  <si>
    <t>Frehner Construction - NLas Vagas</t>
  </si>
  <si>
    <t>Freight management company in</t>
  </si>
  <si>
    <t>(704) 822-7000</t>
  </si>
  <si>
    <t>Freightline- Mt Holly</t>
  </si>
  <si>
    <t>(704) 827-0150</t>
  </si>
  <si>
    <t>(503) 745-8000</t>
  </si>
  <si>
    <t>(812) 752-4232</t>
  </si>
  <si>
    <t>Friedman Ind</t>
  </si>
  <si>
    <t>(256) 308-1110</t>
  </si>
  <si>
    <t>1468 Northpark Drive; Phone: 256-308-1110 pleas_</t>
  </si>
  <si>
    <t>Friesen- Detroit Lakes</t>
  </si>
  <si>
    <t>1035 Hwy59 South</t>
  </si>
  <si>
    <t>1035 Hwy59 South; Phone: (218) 847_</t>
  </si>
  <si>
    <t>Friesen Lumber - St Helens</t>
  </si>
  <si>
    <t>(503) 397-2141</t>
  </si>
  <si>
    <t>(803) 533-4769</t>
  </si>
  <si>
    <t>Frischkorn - Richmond</t>
  </si>
  <si>
    <t>(804) 353-0181</t>
  </si>
  <si>
    <t>(540) 962-6126</t>
  </si>
  <si>
    <t>(912) 233-4506</t>
  </si>
  <si>
    <t>Frischkorn- Savannah</t>
  </si>
  <si>
    <t>(757) 262-5000</t>
  </si>
  <si>
    <t>2301 Aluminum Avenue; Hampton; VA 23661-1232</t>
  </si>
  <si>
    <t>(251) 643-1840</t>
  </si>
  <si>
    <t>4172 Halls Mill Road, Phone: 351-643_</t>
  </si>
  <si>
    <t>Fritz Culver- Covington</t>
  </si>
  <si>
    <t>(985) 892-8216</t>
  </si>
  <si>
    <t>nan; Phone-</t>
  </si>
  <si>
    <t>(270) 487-5891</t>
  </si>
  <si>
    <t>(513) 541-6330</t>
  </si>
  <si>
    <t>1700 Suburban Dr</t>
  </si>
  <si>
    <t>1700 Suburban Dr; Phone: nan please respond with</t>
  </si>
  <si>
    <t>(864) 223-2888</t>
  </si>
  <si>
    <t>Fulghum - Wadley</t>
  </si>
  <si>
    <t>(478) 252-5223</t>
  </si>
  <si>
    <t>478-252-5223</t>
  </si>
  <si>
    <t>317 S Main St; Wadley; GA 30477 |</t>
  </si>
  <si>
    <t>Fuller - Catasauqua</t>
  </si>
  <si>
    <t>Fuller - Lester</t>
  </si>
  <si>
    <t>(989) 588-9948</t>
  </si>
  <si>
    <t>(989) 686-6200</t>
  </si>
  <si>
    <t>Fwm Mechanical - Taylor</t>
  </si>
  <si>
    <t>(318) 371-2225</t>
  </si>
  <si>
    <t>318-371-2225</t>
  </si>
  <si>
    <t>FWWebb - Lowell</t>
  </si>
  <si>
    <t>(978) 937-9322</t>
  </si>
  <si>
    <t>g &amp; L MFG - Cookeville</t>
  </si>
  <si>
    <t>612-520-8700</t>
  </si>
  <si>
    <t>503-646-0444</t>
  </si>
  <si>
    <t>253-627-2100</t>
  </si>
  <si>
    <t>G P Gypsumoration - Tacoma</t>
  </si>
  <si>
    <t>(253) 627-2100</t>
  </si>
  <si>
    <t>G&amp;G Lumber - Union Grove</t>
  </si>
  <si>
    <t>PO Box 53, Phone: (704) 539-5100</t>
  </si>
  <si>
    <t>179 Lumber Drive; Phone: (704)</t>
  </si>
  <si>
    <t>Hwy243 Industrial Park</t>
  </si>
  <si>
    <t>Hwy243 Industrial Park; Phone: nan please respond</t>
  </si>
  <si>
    <t>G&amp;HC</t>
  </si>
  <si>
    <t>West Mill Street; Phone: nan please respond with</t>
  </si>
  <si>
    <t>(908) 526-4445</t>
  </si>
  <si>
    <t>(503) 678-5525</t>
  </si>
  <si>
    <t>(920) 264-9211</t>
  </si>
  <si>
    <t>67 Mission Hills Park, Phone: 205-685-9003</t>
  </si>
  <si>
    <t>(215) 355-3105</t>
  </si>
  <si>
    <t>(773) 586-3800</t>
  </si>
  <si>
    <t>408-925-1000</t>
  </si>
  <si>
    <t>(937) 587-2001</t>
  </si>
  <si>
    <t>(319) 352-1509</t>
  </si>
  <si>
    <t>GAF - Minneapolis</t>
  </si>
  <si>
    <t>(612) 529-9121</t>
  </si>
  <si>
    <t>(251) 478-6311</t>
  </si>
  <si>
    <t>Gaforation - Mobile</t>
  </si>
  <si>
    <t>Gage - Lake Oswego</t>
  </si>
  <si>
    <t>(503) 639-2177</t>
  </si>
  <si>
    <t>Galbreath - Ider</t>
  </si>
  <si>
    <t>12273 Al Highway 75,Phone: (256) 657-6140</t>
  </si>
  <si>
    <t>Galbreath- Mansfield</t>
  </si>
  <si>
    <t>(817) 477-4564</t>
  </si>
  <si>
    <t>(970) 249-0233</t>
  </si>
  <si>
    <t>(414) 886-8100</t>
  </si>
  <si>
    <t>Gap Vax - Johnstown</t>
  </si>
  <si>
    <t>Garden State Engine &amp; Equip - Somerville</t>
  </si>
  <si>
    <t>Garden State Paper - Garfield</t>
  </si>
  <si>
    <t>950 River Dr; Phone: (973) 772-870_</t>
  </si>
  <si>
    <t>Garelick Farms - Franklin</t>
  </si>
  <si>
    <t>1199 W Central St, Phone: (508) 528-_</t>
  </si>
  <si>
    <t>Garland Gaston Lumber Co - Camden</t>
  </si>
  <si>
    <t>(870) 678-3402</t>
  </si>
  <si>
    <t>111 Quachita 301, Phone _</t>
  </si>
  <si>
    <t>Garrett Packing - Milton Freewater</t>
  </si>
  <si>
    <t>(541)</t>
  </si>
  <si>
    <t>11 Nw 4th</t>
  </si>
  <si>
    <t>(520) 805-0863</t>
  </si>
  <si>
    <t>Gateway Forest Pod- - Seattle</t>
  </si>
  <si>
    <t>58</t>
  </si>
  <si>
    <t>Gauthier - Rochester</t>
  </si>
  <si>
    <t>GCS Supply - Foley</t>
  </si>
  <si>
    <t>Decatur, AL  35609</t>
  </si>
  <si>
    <t>2328 Point Mallard Drive; Phone: nan please</t>
  </si>
  <si>
    <t>(802) 773-9121</t>
  </si>
  <si>
    <t>210 Columbian Ave, Rutland, VT 05701</t>
  </si>
  <si>
    <t>(731) 645-7955</t>
  </si>
  <si>
    <t>(419) 666-6554</t>
  </si>
  <si>
    <t>GEMathis - Chicago</t>
  </si>
  <si>
    <t>(716) 674-9300</t>
  </si>
  <si>
    <t>200 General St, Phone: (870)_</t>
  </si>
  <si>
    <t>General Binding- Addison</t>
  </si>
  <si>
    <t>(630) 543-7100</t>
  </si>
  <si>
    <t>General Devices - Indianapolis</t>
  </si>
  <si>
    <t>(330) 657-2300</t>
  </si>
  <si>
    <t>General Hyd - St Louis</t>
  </si>
  <si>
    <t>701 N 2Oth Street, Phone: (314) 241-_</t>
  </si>
  <si>
    <t>(540) 977-5505</t>
  </si>
  <si>
    <t>General Tire &amp; Rubber - Mt Vernon</t>
  </si>
  <si>
    <t>(715) 395-5252</t>
  </si>
  <si>
    <t>Geneva Pipe - Orem</t>
  </si>
  <si>
    <t>(801) 225-2416</t>
  </si>
  <si>
    <t>(262) 723-5669</t>
  </si>
  <si>
    <t>Genova-Minnesota - Faribault</t>
  </si>
  <si>
    <t>(812) 465-9600</t>
  </si>
  <si>
    <t>Georgia Gulf Chemicals&amp;Vinyls - Aberdeen</t>
  </si>
  <si>
    <t>801 Ferst Drive, Phone: 678- _</t>
  </si>
  <si>
    <t>100 Supply Road, Phone: nan please</t>
  </si>
  <si>
    <t>5482 Junction City Hwy</t>
  </si>
  <si>
    <t>5482 Junction</t>
  </si>
  <si>
    <t>Hwy 67 N#1 IP Lane</t>
  </si>
  <si>
    <t>Hwy 67 N#1 IP Lane, Phone: nan</t>
  </si>
  <si>
    <t>(601) 587-7570</t>
  </si>
  <si>
    <t>(920) 729-8170</t>
  </si>
  <si>
    <t>(803) 364-3470</t>
  </si>
  <si>
    <t>Georgia Power - Atlanta</t>
  </si>
  <si>
    <t>PO Box 3115</t>
  </si>
  <si>
    <t>(270) 395-7138</t>
  </si>
  <si>
    <t>1035 Shor-Cal Road, Phone: nan please</t>
  </si>
  <si>
    <t>GES/Harris Enterprises</t>
  </si>
  <si>
    <t>1235 US Hwy 1 North</t>
  </si>
  <si>
    <t>Norlina, NC 27563</t>
  </si>
  <si>
    <t>252-213-0412</t>
  </si>
  <si>
    <t>1235 US Hwy</t>
  </si>
  <si>
    <t>Gfc Foam - West Hazelton</t>
  </si>
  <si>
    <t>716-826-6500</t>
  </si>
  <si>
    <t>Gibson Custom Welding &amp; Hyd</t>
  </si>
  <si>
    <t>7084 Hwy 34 West; Phone:</t>
  </si>
  <si>
    <t>Gibson Hyd - Lutz</t>
  </si>
  <si>
    <t>(813) 96.</t>
  </si>
  <si>
    <t>6209 North Florida Avenue; Phone: (813) 96.</t>
  </si>
  <si>
    <t>10785 Pleasure Heights Rd</t>
  </si>
  <si>
    <t>10785 Pleasure Heights Rd, Phone: nan pleas_</t>
  </si>
  <si>
    <t>Gillespie&amp;Powers - Saint Louis</t>
  </si>
  <si>
    <t>9550 True Drive; Phone: (800.</t>
  </si>
  <si>
    <t>(509) 928-5463</t>
  </si>
  <si>
    <t>(904) 289-9311</t>
  </si>
  <si>
    <t>Gilman Building Products - Maxville</t>
  </si>
  <si>
    <t>Gilmour Mfg - Somerset</t>
  </si>
  <si>
    <t>253-845-0505</t>
  </si>
  <si>
    <t>413-637-2424</t>
  </si>
  <si>
    <t>712-243-5060</t>
  </si>
  <si>
    <t>937-592-5010</t>
  </si>
  <si>
    <t>(434) 946-3100</t>
  </si>
  <si>
    <t>Glad MFG - Amherst</t>
  </si>
  <si>
    <t>434-946-3100</t>
  </si>
  <si>
    <t>916-645-3341</t>
  </si>
  <si>
    <t>Glass Equip - Twinsburg</t>
  </si>
  <si>
    <t>330-963-5401</t>
  </si>
  <si>
    <t>(330) 963-5401</t>
  </si>
  <si>
    <t>(574) 533-1141</t>
  </si>
  <si>
    <t>(312) 243-0800</t>
  </si>
  <si>
    <t>(252) 823-7798</t>
  </si>
  <si>
    <t>Glidden Paint - Huron</t>
  </si>
  <si>
    <t>419-433-5140</t>
  </si>
  <si>
    <t>(419) 433-5664</t>
  </si>
  <si>
    <t>205-668-1881</t>
  </si>
  <si>
    <t>Global Aerotech - Palm Bay</t>
  </si>
  <si>
    <t>(337) 583-5000.</t>
  </si>
  <si>
    <t>8000 Global Drive; Phone: nan please respond:</t>
  </si>
  <si>
    <t>1203 Ozark, Phone: 816-221-4774</t>
  </si>
  <si>
    <t>701 East D Street, Phone: 25_</t>
  </si>
  <si>
    <t>Gm Machine&amp;Tool - Lansing</t>
  </si>
  <si>
    <t>GM Nameplate - Beaverton</t>
  </si>
  <si>
    <t>812-279-7321</t>
  </si>
  <si>
    <t>GM Tool&amp;Die - Stamford</t>
  </si>
  <si>
    <t>(203)</t>
  </si>
  <si>
    <t>652 Glenbrook Rd #8, Phone: (203)</t>
  </si>
  <si>
    <t>GMATooling - Huntingdon Valley</t>
  </si>
  <si>
    <t>215-355-3105</t>
  </si>
  <si>
    <t>(716) 879-5000</t>
  </si>
  <si>
    <t>(253) 852-6552</t>
  </si>
  <si>
    <t>GMTCorporation - Waverly</t>
  </si>
  <si>
    <t>3001 Fairfa _</t>
  </si>
  <si>
    <t>Godfrey Lumber - Statesville</t>
  </si>
  <si>
    <t>1715 Amity Hill Road, Phone: (704_</t>
  </si>
  <si>
    <t>1405 14th St; Phone: 800-838-1004 please</t>
  </si>
  <si>
    <t>1-800-624-6374</t>
  </si>
  <si>
    <t>(204) 697-12.</t>
  </si>
  <si>
    <t>960 Powell Ave; Phone: (204) 697-12.</t>
  </si>
  <si>
    <t>Gooder-Henrichsen - Chicago Heights</t>
  </si>
  <si>
    <t>708-757-5030</t>
  </si>
  <si>
    <t>2900 State St; Chicago Heights, IL 60411</t>
  </si>
  <si>
    <t>645 Floyd Wright Drive; Phone: na_</t>
  </si>
  <si>
    <t>Goodman Equip - Bedford Park</t>
  </si>
  <si>
    <t>Goodrich Aerostructures Rohr Aero Ser</t>
  </si>
  <si>
    <t>251-952-3000</t>
  </si>
  <si>
    <t>111 Airport Drive,</t>
  </si>
  <si>
    <t>Goodyear Tire &amp; Rubber - Decatur</t>
  </si>
  <si>
    <t>1470 Industrial Drive,</t>
  </si>
  <si>
    <t>G-P Gypsum- San Leandro</t>
  </si>
  <si>
    <t>(510) 686-9010</t>
  </si>
  <si>
    <t>Graco - Chattanooga</t>
  </si>
  <si>
    <t>423-892-4140</t>
  </si>
  <si>
    <t>PO Box 48778</t>
  </si>
  <si>
    <t>PO Box 48778,Phone: 847-793-6344 please</t>
  </si>
  <si>
    <t>1-800-875-7500</t>
  </si>
  <si>
    <t>10709 Center Rd, Grand Blanc, MI 48439</t>
  </si>
  <si>
    <t>702-510-0192</t>
  </si>
  <si>
    <t>Grand Laundry - NLas Vagas</t>
  </si>
  <si>
    <t>1-702-510-0192</t>
  </si>
  <si>
    <t>Granite City Steel - Granite</t>
  </si>
  <si>
    <t>1-618-451-3456</t>
  </si>
  <si>
    <t>(618) 451-3456</t>
  </si>
  <si>
    <t>Grant Prideco- Navasota</t>
  </si>
  <si>
    <t>1-936-825-7070</t>
  </si>
  <si>
    <t>936-825-7070</t>
  </si>
  <si>
    <t>(605) 996-5500</t>
  </si>
  <si>
    <t>Grayson Lumber - Houston</t>
  </si>
  <si>
    <t>1-256-292-3227</t>
  </si>
  <si>
    <t>(256) 292-3227</t>
  </si>
  <si>
    <t>Great Lakes Hyd - Grand Rapids</t>
  </si>
  <si>
    <t>1-906-863-9936</t>
  </si>
  <si>
    <t>1-402-731-1700</t>
  </si>
  <si>
    <t>1-608-524-6424</t>
  </si>
  <si>
    <t>Grede Foundry - New Castle</t>
  </si>
  <si>
    <t>1-765-521-8000</t>
  </si>
  <si>
    <t>(320) 255-5200</t>
  </si>
  <si>
    <t>Grede Foundry - StCloud</t>
  </si>
  <si>
    <t>1-320-255-5200</t>
  </si>
  <si>
    <t>Green Machining &amp; Fabrication</t>
  </si>
  <si>
    <t>1-256-764-0995</t>
  </si>
  <si>
    <t>415 Gerrard, Phone: 256-764._</t>
  </si>
  <si>
    <t>Greene Lumber - Davenport</t>
  </si>
  <si>
    <t>1-607-278-6101</t>
  </si>
  <si>
    <t>(607) 278-6101</t>
  </si>
  <si>
    <t>1-973-465-1113</t>
  </si>
  <si>
    <t>740-549-6000</t>
  </si>
  <si>
    <t>704-588-3162</t>
  </si>
  <si>
    <t>Greif BrosCorp - Delaware</t>
  </si>
  <si>
    <t>1-740-549-6000</t>
  </si>
  <si>
    <t>Greif Brothers</t>
  </si>
  <si>
    <t>Kaman - Houston, TX Customer</t>
  </si>
  <si>
    <t>1-281-470-4400</t>
  </si>
  <si>
    <t>10700 Strang Road, Phone: nan please respond</t>
  </si>
  <si>
    <t>1-409-899-2351</t>
  </si>
  <si>
    <t>Grey Pilgrim- Rockville</t>
  </si>
  <si>
    <t>Grief BrosCorp- Hebron</t>
  </si>
  <si>
    <t>Griffin - Newberry</t>
  </si>
  <si>
    <t>Griffin Wheel - Kansas City</t>
  </si>
  <si>
    <t>(913) 596-.</t>
  </si>
  <si>
    <t>7111 Griffin Road, Phone: (913) 596-.</t>
  </si>
  <si>
    <t>sales@grimcopressescom</t>
  </si>
  <si>
    <t>1-973-345-0660</t>
  </si>
  <si>
    <t>nan; Phone: 973-345-0660 please respond wit_</t>
  </si>
  <si>
    <t>nan, Phone: 973-345-0660 please respond wit _</t>
  </si>
  <si>
    <t>Grmoration - Pigeon</t>
  </si>
  <si>
    <t>GROSSMAN IRON&amp;STEEL</t>
  </si>
  <si>
    <t>1-314-231-9423</t>
  </si>
  <si>
    <t>5 N MARKET ST, Phone: nan please</t>
  </si>
  <si>
    <t>Grote - Blacklick</t>
  </si>
  <si>
    <t>1-614-868-8414</t>
  </si>
  <si>
    <t>1-314-965-6808</t>
  </si>
  <si>
    <t>GS Hyd - New Berlin</t>
  </si>
  <si>
    <t>1-671-648-1160</t>
  </si>
  <si>
    <t>Gulf Central Hyd - New Port Richey</t>
  </si>
  <si>
    <t>1-727-848-0548</t>
  </si>
  <si>
    <t>6209 Massachusette Ave,</t>
  </si>
  <si>
    <t>Gulf Coast Air &amp; Hyd - Mobile</t>
  </si>
  <si>
    <t>3415 Halls Mill Road, Phone: (800).</t>
  </si>
  <si>
    <t>(361) 884-1333</t>
  </si>
  <si>
    <t>Gulf Coast Bearing -us Christi</t>
  </si>
  <si>
    <t>1-361-884-1333</t>
  </si>
  <si>
    <t>Gulf Controls - Tampa</t>
  </si>
  <si>
    <t>5201 Tampa West Blvd, Phone: (800)</t>
  </si>
  <si>
    <t>Gulf Hyd &amp; Pneumatics - D'Iberville</t>
  </si>
  <si>
    <t>1-228-392-1275</t>
  </si>
  <si>
    <t>10420 Lamey Bridge Road,</t>
  </si>
  <si>
    <t>Gulf Lumber - Mobile</t>
  </si>
  <si>
    <t>1-251-457-6872</t>
  </si>
  <si>
    <t>(251) 457-6872</t>
  </si>
  <si>
    <t>1-337-436-9411</t>
  </si>
  <si>
    <t>Gulf Mfg - Rocky Hill</t>
  </si>
  <si>
    <t>1-860-529-8601</t>
  </si>
  <si>
    <t>1-985-386-9401</t>
  </si>
  <si>
    <t>39611 West</t>
  </si>
  <si>
    <t>28270 Us Highway 80 West,</t>
  </si>
  <si>
    <t>Gunderson - Portland</t>
  </si>
  <si>
    <t>1-503-972-5700</t>
  </si>
  <si>
    <t>GUNITE Div</t>
  </si>
  <si>
    <t>1-815-964-7124</t>
  </si>
  <si>
    <t>411 BLACKHAWK PARK AVE, Phone: nan please</t>
  </si>
  <si>
    <t>1-256-878-7182</t>
  </si>
  <si>
    <t>Gusmer- Lakewood</t>
  </si>
  <si>
    <t>1-732-370-9000</t>
  </si>
  <si>
    <t>Guy Industrial Construction</t>
  </si>
  <si>
    <t>1-205-248-0101</t>
  </si>
  <si>
    <t>5508</t>
  </si>
  <si>
    <t>1-864-832-2061</t>
  </si>
  <si>
    <t>H B Fuller - Vancouver</t>
  </si>
  <si>
    <t>1-800-328-6803</t>
  </si>
  <si>
    <t>H C R Hyd - Portland</t>
  </si>
  <si>
    <t>1-503-247-0200</t>
  </si>
  <si>
    <t>1-319-268-0181</t>
  </si>
  <si>
    <t>1-818-768-4849</t>
  </si>
  <si>
    <t>H S Doration - Spokane</t>
  </si>
  <si>
    <t>1-714-892-5008</t>
  </si>
  <si>
    <t>H&amp;H Equip - Stayton</t>
  </si>
  <si>
    <t>912 19 1/2 Road, Phone: (970) 858-_</t>
  </si>
  <si>
    <t>H&amp;P Technologies</t>
  </si>
  <si>
    <t>1-503-848-3276</t>
  </si>
  <si>
    <t>(989) 759-1030</t>
  </si>
  <si>
    <t>H.P.S. Inc</t>
  </si>
  <si>
    <t>1528 Pelzer Hwy, Phone: nan please respond with</t>
  </si>
  <si>
    <t>Hagerstown Block - Hagerstown</t>
  </si>
  <si>
    <t>(316) 342-</t>
  </si>
  <si>
    <t>506 Funston St; Phone: (316) 342-</t>
  </si>
  <si>
    <t>Halliburton- Carrollton, TX</t>
  </si>
  <si>
    <t>MotionDallas Tx - Customer</t>
  </si>
  <si>
    <t>(972) 418-3000</t>
  </si>
  <si>
    <t>2601 Beltline Road, Phone: nan pleas_</t>
  </si>
  <si>
    <t>Hallock Hydraulic - Ann Arbor</t>
  </si>
  <si>
    <t>(734) 663.</t>
  </si>
  <si>
    <t>573 State Circle, Phone: (734) 663.</t>
  </si>
  <si>
    <t>(228) 696-6888</t>
  </si>
  <si>
    <t>Halton - The Dalles</t>
  </si>
  <si>
    <t>(541) 296-4642</t>
  </si>
  <si>
    <t>(715) 569-4186</t>
  </si>
  <si>
    <t>(817) 590-2111</t>
  </si>
  <si>
    <t>Hamilton Form, I - Fort Worth</t>
  </si>
  <si>
    <t>Hamilton Tool - Hamilton</t>
  </si>
  <si>
    <t>Hamm's Hyd - Crossett</t>
  </si>
  <si>
    <t>(870) 364-3566</t>
  </si>
  <si>
    <t>Hampton Rubber - Norfolk</t>
  </si>
  <si>
    <t>(757</t>
  </si>
  <si>
    <t>757-858-1900</t>
  </si>
  <si>
    <t>Hancock Lumber - Casco</t>
  </si>
  <si>
    <t>(207) 627-4453</t>
  </si>
  <si>
    <t>Hankins Lumber - Elliott</t>
  </si>
  <si>
    <t>(662) 226-2961</t>
  </si>
  <si>
    <t>Hankinsorp - Ripley</t>
  </si>
  <si>
    <t>(662) 837-9286</t>
  </si>
  <si>
    <t>Hanks Lumber - Danbury</t>
  </si>
  <si>
    <t>Hanks Lumber - Lawsonville</t>
  </si>
  <si>
    <t>Hanna Steel</t>
  </si>
  <si>
    <t>Motion- Tuscaloosa, AL's Customer</t>
  </si>
  <si>
    <t>(205) 333-4444</t>
  </si>
  <si>
    <t>1701 Boone Blvd; Phone: nan please respond with_</t>
  </si>
  <si>
    <t>(773</t>
  </si>
  <si>
    <t>(281) 647-1100</t>
  </si>
  <si>
    <t>Hanson Pipe&amp;Products</t>
  </si>
  <si>
    <t>Hapeco- Irving</t>
  </si>
  <si>
    <t>108 South Nursery Road, Phone: Phone 972 -.</t>
  </si>
  <si>
    <t>(508) 991-2433</t>
  </si>
  <si>
    <t>(503) 357-2131</t>
  </si>
  <si>
    <t>(812) 342-0139</t>
  </si>
  <si>
    <t>(256) 668-1159</t>
  </si>
  <si>
    <t>nan; Phone: 256-668-1159 please respond with</t>
  </si>
  <si>
    <t>Hardwood Ind- Tualatin</t>
  </si>
  <si>
    <t>(503) 692-6620</t>
  </si>
  <si>
    <t>(517) 456-7431</t>
  </si>
  <si>
    <t>(317) 773-0888</t>
  </si>
  <si>
    <t>Harmon - Orlando</t>
  </si>
  <si>
    <t>(407) 522-3000</t>
  </si>
  <si>
    <t>407-522-3000</t>
  </si>
  <si>
    <t>Harrigan Lumber - Monroeville</t>
  </si>
  <si>
    <t>(251) 575-4821</t>
  </si>
  <si>
    <t>251-575-4821</t>
  </si>
  <si>
    <t>(989) 496-2660</t>
  </si>
  <si>
    <t>Harrisoration - Palm Bay</t>
  </si>
  <si>
    <t>(321) 727-4000</t>
  </si>
  <si>
    <t>(937) 773-7054</t>
  </si>
  <si>
    <t>Hartzell Propeller - Piqua</t>
  </si>
  <si>
    <t>(937) 778-4200</t>
  </si>
  <si>
    <t>1-800-942-7767</t>
  </si>
  <si>
    <t>One Propeller Place; Piqua, OH 45356 |</t>
  </si>
  <si>
    <t>(501) 882-6000</t>
  </si>
  <si>
    <t>Harvey MFG - Beebe</t>
  </si>
  <si>
    <t>Hasbro - Central Falls</t>
  </si>
  <si>
    <t>Hasco - Jefferson</t>
  </si>
  <si>
    <t>(440) 576-3045</t>
  </si>
  <si>
    <t>(605) 665-1115</t>
  </si>
  <si>
    <t>(814) 247-6562</t>
  </si>
  <si>
    <t>Hatch Stamping - Chelsea</t>
  </si>
  <si>
    <t>Hattiesburg Hyd - Hattiesburg</t>
  </si>
  <si>
    <t>6967 US Hwy 49, Phone: (601) 26_</t>
  </si>
  <si>
    <t>(573) 334-6024</t>
  </si>
  <si>
    <t>(707) 822-2928</t>
  </si>
  <si>
    <t>(319) 827-3838</t>
  </si>
  <si>
    <t>(515) 265-6440</t>
  </si>
  <si>
    <t>(770) 535-7122</t>
  </si>
  <si>
    <t>Hayes Lemmerz Equip - Augres</t>
  </si>
  <si>
    <t>(574) 825-9457</t>
  </si>
  <si>
    <t>106 Pelican Drive; Phone: na_</t>
  </si>
  <si>
    <t>West Diffenbaugh; Phone: nan please_</t>
  </si>
  <si>
    <t>(601) 894-1064</t>
  </si>
  <si>
    <t>Hazleton Pumps- Hazleton</t>
  </si>
  <si>
    <t>(570) 455-7711</t>
  </si>
  <si>
    <t>HCMInc- Alsip</t>
  </si>
  <si>
    <t>HCR- Portland</t>
  </si>
  <si>
    <t>(207) 503-6746</t>
  </si>
  <si>
    <t>(989) 685-2468</t>
  </si>
  <si>
    <t>800 WJefferson Street</t>
  </si>
  <si>
    <t>800 WJefferson Street, Phone: nan</t>
  </si>
  <si>
    <t>(812) 299-4157</t>
  </si>
  <si>
    <t>(262) 569-6404</t>
  </si>
  <si>
    <t>W1285 Industrial Dr; Ixonia, WI 53036</t>
  </si>
  <si>
    <t>Hebert Valve &amp; Contr - Baton Rouge</t>
  </si>
  <si>
    <t>(504) 751-0000</t>
  </si>
  <si>
    <t>Hedwin- Baltimore</t>
  </si>
  <si>
    <t>(410) 235-2560</t>
  </si>
  <si>
    <t>Heeco Air &amp; Hydrauli - Tampa</t>
  </si>
  <si>
    <t>(813) 886-7584</t>
  </si>
  <si>
    <t>Heeren - East Peoria</t>
  </si>
  <si>
    <t>309-673-4557</t>
  </si>
  <si>
    <t>1009 SW Washington St, Peoria, IL 61602</t>
  </si>
  <si>
    <t>Heick Die Casting - Chicago</t>
  </si>
  <si>
    <t>(773) 637-1100</t>
  </si>
  <si>
    <t>410-477-0594</t>
  </si>
  <si>
    <t>Heil Chicago - Mc Cook</t>
  </si>
  <si>
    <t>708-447-3272</t>
  </si>
  <si>
    <t>(708) 447-3272</t>
  </si>
  <si>
    <t>Heinz Frozen Food - Ontario</t>
  </si>
  <si>
    <t>541-889-8611</t>
  </si>
  <si>
    <t>(541) 889-8611</t>
  </si>
  <si>
    <t>Hella Electronics</t>
  </si>
  <si>
    <t>618-662-4402</t>
  </si>
  <si>
    <t>#5 Industrial Park; Phone: nan please respond_</t>
  </si>
  <si>
    <t>Hembree Machine</t>
  </si>
  <si>
    <t>256-355-9568</t>
  </si>
  <si>
    <t>533 Trinity Lane; Phone: 355-9568 please</t>
  </si>
  <si>
    <t>330-456-7288</t>
  </si>
  <si>
    <t>740-929-5600</t>
  </si>
  <si>
    <t>630-910-2800</t>
  </si>
  <si>
    <t>931-221-3420</t>
  </si>
  <si>
    <t>864-845-3283</t>
  </si>
  <si>
    <t>(618) 242-8987</t>
  </si>
  <si>
    <t>2305</t>
  </si>
  <si>
    <t>(877) 436-7977 ext4140</t>
  </si>
  <si>
    <t>nan;, Phone: (877) 436-7977 ext4140</t>
  </si>
  <si>
    <t>(877) 436-7977</t>
  </si>
  <si>
    <t>nan, Phone: (877) 436-7977 ext.4140</t>
  </si>
  <si>
    <t>(912) 265-3550</t>
  </si>
  <si>
    <t>812-386-6281</t>
  </si>
  <si>
    <t>Herman Schwabe - W Hazelton</t>
  </si>
  <si>
    <t>513-947-2888</t>
  </si>
  <si>
    <t>Hermetic Switch - Chickasha</t>
  </si>
  <si>
    <t>(405) 224 .</t>
  </si>
  <si>
    <t>Highway 92 S, Phone: (405) 224 .</t>
  </si>
  <si>
    <t>Herschal Products - Elyria</t>
  </si>
  <si>
    <t>330-523-5300</t>
  </si>
  <si>
    <t>1201 Taylor Street; Phone: (440) 366 _</t>
  </si>
  <si>
    <t>HEServices - Saginaw</t>
  </si>
  <si>
    <t>707-552-7931</t>
  </si>
  <si>
    <t>Hessel Tractor&amp;Equip - Eugene</t>
  </si>
  <si>
    <t>541-334-7060</t>
  </si>
  <si>
    <t>Hettinga Equip - Des Moines</t>
  </si>
  <si>
    <t>515-270-6900</t>
  </si>
  <si>
    <t>2123 Nw 111St Ct, Phone: (515) 270 _</t>
  </si>
  <si>
    <t>864-224-3506</t>
  </si>
  <si>
    <t>920-894-2221</t>
  </si>
  <si>
    <t>Hgp Ind- Albertville</t>
  </si>
  <si>
    <t>800-328-9749</t>
  </si>
  <si>
    <t>(800) 328-9749</t>
  </si>
  <si>
    <t>HGToler&amp;Son Lumber - Leola</t>
  </si>
  <si>
    <t>(937) 847-8051</t>
  </si>
  <si>
    <t>919-269-9634</t>
  </si>
  <si>
    <t>269-465-3070</t>
  </si>
  <si>
    <t>Old Macon Rd. off</t>
  </si>
  <si>
    <t>Highland Hyd - Highland</t>
  </si>
  <si>
    <t>219-922-7100</t>
  </si>
  <si>
    <t>(219) 922-7100</t>
  </si>
  <si>
    <t>Highland Products</t>
  </si>
  <si>
    <t>602-484-9331</t>
  </si>
  <si>
    <t>43 North 48th</t>
  </si>
  <si>
    <t>HILLCREST LUMBER</t>
  </si>
  <si>
    <t>(330) 359-5721. 8667</t>
  </si>
  <si>
    <t>Hillshire Farm - New London</t>
  </si>
  <si>
    <t>920-982-2611</t>
  </si>
  <si>
    <t>(920) 982-2611</t>
  </si>
  <si>
    <t>Hirschfield</t>
  </si>
  <si>
    <t>612-377-3910</t>
  </si>
  <si>
    <t>501-623-0065</t>
  </si>
  <si>
    <t>400 Aviation Pla__</t>
  </si>
  <si>
    <t>Hi-Tech Equip - Baxley</t>
  </si>
  <si>
    <t>419 Frost Industrial Boulevard, Phone_</t>
  </si>
  <si>
    <t>466 Baxter Lane; Phone: 931-962-333_</t>
  </si>
  <si>
    <t>Hi-Teck Valve- Houston</t>
  </si>
  <si>
    <t>832-237-2787</t>
  </si>
  <si>
    <t>Hi-Temp - Tuscumbia</t>
  </si>
  <si>
    <t>508-295-0834</t>
  </si>
  <si>
    <t>Hixson Lumber - Magnolia</t>
  </si>
  <si>
    <t>870-234-7820</t>
  </si>
  <si>
    <t>(870) 234-7820</t>
  </si>
  <si>
    <t>HLorimer- Longview</t>
  </si>
  <si>
    <t>903-643-3239</t>
  </si>
  <si>
    <t>Hmc- Contoocook</t>
  </si>
  <si>
    <t>603-746-4691</t>
  </si>
  <si>
    <t>256-447-6086</t>
  </si>
  <si>
    <t>Hms - Blairsville</t>
  </si>
  <si>
    <t>724-459-5090</t>
  </si>
  <si>
    <t>Hobson BrosMold Work - Shell Rock</t>
  </si>
  <si>
    <t>860-349-1756</t>
  </si>
  <si>
    <t>Hoechst Celanese - Salisbury</t>
  </si>
  <si>
    <t>Hoffman - Chesapeake</t>
  </si>
  <si>
    <t>757-499-1234</t>
  </si>
  <si>
    <t>(757) 424-7655</t>
  </si>
  <si>
    <t>478-252-8811</t>
  </si>
  <si>
    <t>716-332-0466</t>
  </si>
  <si>
    <t>Holiday Trims - Belgium</t>
  </si>
  <si>
    <t>262-285-3431</t>
  </si>
  <si>
    <t>(262) 285-3431</t>
  </si>
  <si>
    <t>Holland - Chicago Heights</t>
  </si>
  <si>
    <t>708-672-2300</t>
  </si>
  <si>
    <t>(708) 672-2300</t>
  </si>
  <si>
    <t>616-396-6501</t>
  </si>
  <si>
    <t>972-442-3556</t>
  </si>
  <si>
    <t>Holland Supply - Henderson</t>
  </si>
  <si>
    <t>252-492-7541</t>
  </si>
  <si>
    <t>PO Box 9066,Phone: (985_</t>
  </si>
  <si>
    <t>985-893- .</t>
  </si>
  <si>
    <t>21507 Bayou Court; Phone: 985-893- .</t>
  </si>
  <si>
    <t>(801) 829-3421</t>
  </si>
  <si>
    <t>HOLTEN MEAT</t>
  </si>
  <si>
    <t>1682 SAUGET BUSINESS BLVD</t>
  </si>
  <si>
    <t>CENTERVILLE, IL  62206</t>
  </si>
  <si>
    <t>1682 SAUGET BUSINESS BLVD, Phone: nan</t>
  </si>
  <si>
    <t>Homasote - WTrenton</t>
  </si>
  <si>
    <t>WTrenton,NJ 8628</t>
  </si>
  <si>
    <t>609-883-3300</t>
  </si>
  <si>
    <t>Homeland Vinyl Products</t>
  </si>
  <si>
    <t>A&amp;A Resources's Customer</t>
  </si>
  <si>
    <t>205-854-4330</t>
  </si>
  <si>
    <t>3300 Pinson</t>
  </si>
  <si>
    <t>Company contact info not</t>
  </si>
  <si>
    <t>Hon - Winnsboro</t>
  </si>
  <si>
    <t>Susan Clapham - Operations &amp;</t>
  </si>
  <si>
    <t>(803) 635-7404</t>
  </si>
  <si>
    <t>(808) 682-2099</t>
  </si>
  <si>
    <t>Hood - Beaumont</t>
  </si>
  <si>
    <t>(601) 784-3414</t>
  </si>
  <si>
    <t>Aureole St</t>
  </si>
  <si>
    <t>555, Phone: Winston Salem, NC 27107-3201</t>
  </si>
  <si>
    <t>Motion- OH40's Customer</t>
  </si>
  <si>
    <t>1961 Rombach Ave; Phone: nan pleas_</t>
  </si>
  <si>
    <t xml:space="preserve">Hood Ind, </t>
  </si>
  <si>
    <t>Ruston - Ruston, LA's Customer</t>
  </si>
  <si>
    <t>306 Wilkerson; Phone: nan please respond with ope_</t>
  </si>
  <si>
    <t>(402) 223-2324</t>
  </si>
  <si>
    <t>Hopkins Manufacturing</t>
  </si>
  <si>
    <t>2400 Industrial Pkwy</t>
  </si>
  <si>
    <t>Miami, OK 74354-2212</t>
  </si>
  <si>
    <t>2400 Industrial Pkwy; Phone: nan</t>
  </si>
  <si>
    <t>Hormel - Fremont</t>
  </si>
  <si>
    <t>(402) 721-2300</t>
  </si>
  <si>
    <t>900 South Platte Avenue; Phone: nan please</t>
  </si>
  <si>
    <t>(906) 482-1180</t>
  </si>
  <si>
    <t>nan; Phone: 513-874-8722 please respond wit_</t>
  </si>
  <si>
    <t>nan, Phone: 513-874-8722 please respond wit _</t>
  </si>
  <si>
    <t>(317) 231-2363</t>
  </si>
  <si>
    <t>nan, Phone: 317-231-2363 please</t>
  </si>
  <si>
    <t>Hose &amp; Equip Sal - Sumter</t>
  </si>
  <si>
    <t>(770) 487-2331</t>
  </si>
  <si>
    <t>Hosokawa Bepex- Santa Rosa</t>
  </si>
  <si>
    <t>(773) 836-4677</t>
  </si>
  <si>
    <t>9909 Wallisville Rd</t>
  </si>
  <si>
    <t>9909 Wallisville Rd, Phon_</t>
  </si>
  <si>
    <t>(912) 764-5621</t>
  </si>
  <si>
    <t>Howe Distributing - Gastonia</t>
  </si>
  <si>
    <t>(704) 867-1841</t>
  </si>
  <si>
    <t>(973) 361-0300</t>
  </si>
  <si>
    <t>Howmet Turbine - Hampton</t>
  </si>
  <si>
    <t>HP Hyd - Thomasville</t>
  </si>
  <si>
    <t>1020 National Hwy, Phone: (336) 472 -_</t>
  </si>
  <si>
    <t>1020 NW6Th Street, Building "E"</t>
  </si>
  <si>
    <t>1020 NW6Th Street;</t>
  </si>
  <si>
    <t>(740) 382-5151</t>
  </si>
  <si>
    <t>HPMoration - Marion</t>
  </si>
  <si>
    <t>HPS- Boulder</t>
  </si>
  <si>
    <t>1203 Ozark, Phone: (816) 221-4774</t>
  </si>
  <si>
    <t>(716) 631-9040</t>
  </si>
  <si>
    <t>Hst - Rochester Hills</t>
  </si>
  <si>
    <t>HTS Enterprises</t>
  </si>
  <si>
    <t>4860 Biscayne Avenue; Phone: nan please</t>
  </si>
  <si>
    <t>(803) 648-8386</t>
  </si>
  <si>
    <t>Huber- Jefferson</t>
  </si>
  <si>
    <t>(504) 733-0900</t>
  </si>
  <si>
    <t>728 Hill Street, Phone: 504-733-0900 please</t>
  </si>
  <si>
    <t>(205) 424-2772</t>
  </si>
  <si>
    <t>3100 Morgan Road, Phone: 205-424 ._</t>
  </si>
  <si>
    <t>(978) 374-0303</t>
  </si>
  <si>
    <t>Huffs Machine - Gastonia</t>
  </si>
  <si>
    <t>Hughes Bros- Seward</t>
  </si>
  <si>
    <t>(402) 643-2991</t>
  </si>
  <si>
    <t>402-643-2991</t>
  </si>
  <si>
    <t>(904) 388-8315</t>
  </si>
  <si>
    <t>Natalbany, LA70451</t>
  </si>
  <si>
    <t>409-724-4430</t>
  </si>
  <si>
    <t>Huntsmanoration - Port Neches</t>
  </si>
  <si>
    <t>Hurlen Construction - Seattle</t>
  </si>
  <si>
    <t>(206) 762-5272</t>
  </si>
  <si>
    <t>2709 24th Street, Phone: (81_</t>
  </si>
  <si>
    <t>Hurrican Hyd - Laurie</t>
  </si>
  <si>
    <t>(573) 374- .</t>
  </si>
  <si>
    <t>203 South Main, Phone: (573) 374- .</t>
  </si>
  <si>
    <t>(724) 251-4200</t>
  </si>
  <si>
    <t>Motion- AR58 's CUSTOMER</t>
  </si>
  <si>
    <t>(479) 365-6610</t>
  </si>
  <si>
    <t>nan; Phone: (800) 558-7808</t>
  </si>
  <si>
    <t>Huth MFG - Chicago</t>
  </si>
  <si>
    <t>nan; Phone: (800) 558-7808 please</t>
  </si>
  <si>
    <t>Hyd Service - Portsmouth</t>
  </si>
  <si>
    <t>(757) 487-2513</t>
  </si>
  <si>
    <t>Hyd&amp;Bearing - Holtville</t>
  </si>
  <si>
    <t>(760) 356-4696</t>
  </si>
  <si>
    <t>nan; Phone: 800-529-0854 please</t>
  </si>
  <si>
    <t>(985) 645-8726</t>
  </si>
  <si>
    <t>37505 Browns Villiage Road, Phone: 985-645-872_</t>
  </si>
  <si>
    <t>Hydrafab Hyd</t>
  </si>
  <si>
    <t>6042 Old Tuscaloosa Hwy; Phone: 205-504-6792</t>
  </si>
  <si>
    <t>210 Fortson Street; Phone: (318) 221-_</t>
  </si>
  <si>
    <t>Hydralift Amclyde</t>
  </si>
  <si>
    <t>StPaul, MN 55107</t>
  </si>
  <si>
    <t>240 E Plato Blvd, Phone: nan please respond</t>
  </si>
  <si>
    <t>Hydra-Lube Hyd - Fort Meade</t>
  </si>
  <si>
    <t>23 West Broadway Street; Phone:</t>
  </si>
  <si>
    <t>111 Bannister Road, Phone: (204) 69_</t>
  </si>
  <si>
    <t>(205) 772-9931</t>
  </si>
  <si>
    <t>285 Lyon Lane; Phone:</t>
  </si>
  <si>
    <t>9301 Se Stanley Ave; Phone:</t>
  </si>
  <si>
    <t>(972) 660- .</t>
  </si>
  <si>
    <t>1119 111th Street; Phone: (972) 660- .</t>
  </si>
  <si>
    <t>947 Industrial Road; Phone: (504) 471_</t>
  </si>
  <si>
    <t>2802 Gilmar Road Suite 1, Phone:</t>
  </si>
  <si>
    <t>(210)</t>
  </si>
  <si>
    <t>618-A Rhapsody Road, Phone: (210)</t>
  </si>
  <si>
    <t>Hydra-Tech - Eagle Lake</t>
  </si>
  <si>
    <t>Highway 17, Phone: (863) 293-9812</t>
  </si>
  <si>
    <t>8010 New</t>
  </si>
  <si>
    <t>(317) 823-2444</t>
  </si>
  <si>
    <t>5446 Barker</t>
  </si>
  <si>
    <t>Hydraulic Controls - Pomona</t>
  </si>
  <si>
    <t>(909)</t>
  </si>
  <si>
    <t>2857 Pomona Blvd, Phone: (909)</t>
  </si>
  <si>
    <t>1596 Jayken</t>
  </si>
  <si>
    <t>Hydraulic Crane Specialists</t>
  </si>
  <si>
    <t>(251) 675-0000</t>
  </si>
  <si>
    <t>1407 Industrial PkWy, Phone: nan</t>
  </si>
  <si>
    <t>Hydraulic Depot - West</t>
  </si>
  <si>
    <t>4916-B Cal Drive, Phone:</t>
  </si>
  <si>
    <t>Hydraulic Equip - Richmond</t>
  </si>
  <si>
    <t>(804) 353-0944</t>
  </si>
  <si>
    <t>Hydraulic Equipment info needed</t>
  </si>
  <si>
    <t>Hydraulic Hose &amp; Cylinder - Plant City</t>
  </si>
  <si>
    <t>617 South Evers Drive,</t>
  </si>
  <si>
    <t>Hydraulic Parts&amp;Service - Kansas City</t>
  </si>
  <si>
    <t>(913) 371-9333</t>
  </si>
  <si>
    <t>3041 Paseo Boulevard,</t>
  </si>
  <si>
    <t>Hydraulic Power Systems</t>
  </si>
  <si>
    <t>NKansas City, MO 64116</t>
  </si>
  <si>
    <t>253-.</t>
  </si>
  <si>
    <t>701 North Levee Road, Phone: 253-.</t>
  </si>
  <si>
    <t>3660 Southwest</t>
  </si>
  <si>
    <t>Hydraulic Repairs - Price</t>
  </si>
  <si>
    <t>(435) 637-6216</t>
  </si>
  <si>
    <t>408 Water Street; Phone:</t>
  </si>
  <si>
    <t>Hydraulic service solutions</t>
  </si>
  <si>
    <t>18800 WITNESS OAK WA</t>
  </si>
  <si>
    <t>4445 Hancock</t>
  </si>
  <si>
    <t>455 Highway 49 South,</t>
  </si>
  <si>
    <t>(863)</t>
  </si>
  <si>
    <t>740 Creative Drive; Phone: (863)</t>
  </si>
  <si>
    <t>Hydraulic Services O - Jacksonville</t>
  </si>
  <si>
    <t>Hydraulic Servo&amp;Dy - Spokane</t>
  </si>
  <si>
    <t>Hydraulic Specialists - Somerset</t>
  </si>
  <si>
    <t>(606) 679-4341</t>
  </si>
  <si>
    <t>421</t>
  </si>
  <si>
    <t>(319) 396-9696</t>
  </si>
  <si>
    <t>5200 18th Ave SW; Phone:</t>
  </si>
  <si>
    <t>(844) 282-1060</t>
  </si>
  <si>
    <t>1131 72nd Avenue NE, Phone: (80_</t>
  </si>
  <si>
    <t>600 Bower Road Unit 40,Phone:</t>
  </si>
  <si>
    <t>(954)</t>
  </si>
  <si>
    <t>300 International Pkwy, Phone: (954)</t>
  </si>
  <si>
    <t>(517) 787-7818</t>
  </si>
  <si>
    <t>6914 34Th St</t>
  </si>
  <si>
    <t>6914 34Th St,</t>
  </si>
  <si>
    <t>Hydraulic Technical Services found</t>
  </si>
  <si>
    <t>(760) 344-4990</t>
  </si>
  <si>
    <t>Hydraulic&amp;Motor - Mount Kisco</t>
  </si>
  <si>
    <t>Contact info unknown</t>
  </si>
  <si>
    <t>Hydraulic service information</t>
  </si>
  <si>
    <t>Portsmouth</t>
  </si>
  <si>
    <t>451 Pine Ave, Holtville; CA 92250</t>
  </si>
  <si>
    <t>Hydril Rubber - Humble</t>
  </si>
  <si>
    <t>(281) 985-8608</t>
  </si>
  <si>
    <t>800-243-2617.</t>
  </si>
  <si>
    <t>Hydro Air- North Haven</t>
  </si>
  <si>
    <t>(800) 243-2617</t>
  </si>
  <si>
    <t>117 Blake Dairy Road, Phone: nan</t>
  </si>
  <si>
    <t>318 Airport Blvd, Phone: 601-939- _</t>
  </si>
  <si>
    <t>318 Airport Road South; Phone:</t>
  </si>
  <si>
    <t>(615) 758-9096</t>
  </si>
  <si>
    <t>Hydro-Design - MtJuliet</t>
  </si>
  <si>
    <t>MtJuliet,TN 37122</t>
  </si>
  <si>
    <t>(904) 743-9057</t>
  </si>
  <si>
    <t xml:space="preserve">Hydroreptec- </t>
  </si>
  <si>
    <t>(450) 473-5600</t>
  </si>
  <si>
    <t>1724 Chico Ave</t>
  </si>
  <si>
    <t>1724 Chico</t>
  </si>
  <si>
    <t>(478) 987-0405</t>
  </si>
  <si>
    <t>Hygenic- Akron</t>
  </si>
  <si>
    <t>(330) 633-8460</t>
  </si>
  <si>
    <t>Hylsa, SADe CV- Laredo</t>
  </si>
  <si>
    <t>10661 Widmer Rd, Phone: (913) 469-0880</t>
  </si>
  <si>
    <t>1367 SANNA</t>
  </si>
  <si>
    <t>1367 SANNA, Phone: (800) 234-1041</t>
  </si>
  <si>
    <t>(269) 695-6889</t>
  </si>
  <si>
    <t>Hy-Tech Equip - Phoenix</t>
  </si>
  <si>
    <t>(602) 944-1526</t>
  </si>
  <si>
    <t>(814) 734-6000</t>
  </si>
  <si>
    <t>Hytech Tool&amp;Desi - Edinboro</t>
  </si>
  <si>
    <t>(269) 783-3100</t>
  </si>
  <si>
    <t>(231) 832-3755</t>
  </si>
  <si>
    <t>(330) 425-7121</t>
  </si>
  <si>
    <t>(509) 371-2539</t>
  </si>
  <si>
    <t>(312) 567-4000</t>
  </si>
  <si>
    <t>(712) 323-6353</t>
  </si>
  <si>
    <t>(308) 324-5671</t>
  </si>
  <si>
    <t>nan; Phone: (605) 235-3488 please respond</t>
  </si>
  <si>
    <t>2311 WEighth St</t>
  </si>
  <si>
    <t>231-</t>
  </si>
  <si>
    <t>1923 West 6th Street</t>
  </si>
  <si>
    <t>1923 West 6th Street, Phone: 800-950-9983 pleas.</t>
  </si>
  <si>
    <t>1360F Donaldson Road, Phone: 859-371-7358</t>
  </si>
  <si>
    <t>3845 West Jones, Phone: 800-362-2198 pleas_</t>
  </si>
  <si>
    <t>(620) 792-5916</t>
  </si>
  <si>
    <t>5101 8th Street, Phone: 800-333-5916 please</t>
  </si>
  <si>
    <t>1700 Cherry, Phone: 816-842-1963 please</t>
  </si>
  <si>
    <t>1819 South Sheridan Road, Phone:</t>
  </si>
  <si>
    <t>(620) 624-6558</t>
  </si>
  <si>
    <t>1111 East 2nd Street; Phone: 800-688-9148 please</t>
  </si>
  <si>
    <t>601 South 1Oth, Phone: 618-244-5353 please</t>
  </si>
  <si>
    <t>2000 South Nicklas Ave</t>
  </si>
  <si>
    <t>Oklahoma City,Ok 73128</t>
  </si>
  <si>
    <t>2000 South Nicklas Ave; Phone: (800)_</t>
  </si>
  <si>
    <t>7029 South 107th street, Phone: 402-592-2626</t>
  </si>
  <si>
    <t>800-272-220.</t>
  </si>
  <si>
    <t>5515 Jefferson Parkway, Phone: 800-272-220.</t>
  </si>
  <si>
    <t>2509 West Sth Street; Phone: 806-293-0090</t>
  </si>
  <si>
    <t>414 North State Fair Rd</t>
  </si>
  <si>
    <t>414 North State Fair Rd, Phone: 660-827-4280</t>
  </si>
  <si>
    <t>1358 EChestnut Expy</t>
  </si>
  <si>
    <t>1358 EChestnut Expy; Phone: nan please</t>
  </si>
  <si>
    <t>305 East Crane, Phone: 785-233-1381 please</t>
  </si>
  <si>
    <t>11221 East Pine, Phone: 918-438-8100 please</t>
  </si>
  <si>
    <t>Ice Northeast - Springfield</t>
  </si>
  <si>
    <t>337 Oakdale PI, Phone: (610) 328-350_</t>
  </si>
  <si>
    <t>(435) 563-6296</t>
  </si>
  <si>
    <t>I-Corp- Beaumont</t>
  </si>
  <si>
    <t>ICS Container</t>
  </si>
  <si>
    <t>2819 Industrial Ave</t>
  </si>
  <si>
    <t>NCharleston, SC 29405</t>
  </si>
  <si>
    <t>2819 Industrial Ave; Phone: nan please respond</t>
  </si>
  <si>
    <t>Charleston Hgts, SC 29405</t>
  </si>
  <si>
    <t>(580) 745-3400</t>
  </si>
  <si>
    <t>Idaho Forest - Priest River</t>
  </si>
  <si>
    <t>(208) 263-7574</t>
  </si>
  <si>
    <t>(208) 448-1141</t>
  </si>
  <si>
    <t>322 N. Oak St; Phone: (870) 254-2213 please</t>
  </si>
  <si>
    <t>Idaho Timber- Carthage</t>
  </si>
  <si>
    <t>Carthage,AR 71725</t>
  </si>
  <si>
    <t>Idea Display - Crystal Lake</t>
  </si>
  <si>
    <t>Ideal - Sycamore</t>
  </si>
  <si>
    <t>(216) 741-1600</t>
  </si>
  <si>
    <t>Ideal Builders Supply - Cleveland</t>
  </si>
  <si>
    <t>Ideal Eng- NoHollywood</t>
  </si>
  <si>
    <t>NoHollywood,CA 91505</t>
  </si>
  <si>
    <t>IDG - SOUTHERN Div</t>
  </si>
  <si>
    <t>Columbus, Ms39702</t>
  </si>
  <si>
    <t>2398 Highway 69, Phone: nan please</t>
  </si>
  <si>
    <t>2398 Highway 69,Phone: nan please</t>
  </si>
  <si>
    <t>IHM- Richland</t>
  </si>
  <si>
    <t>IITResearch - Chicago</t>
  </si>
  <si>
    <t>Iko Production - Wilmington</t>
  </si>
  <si>
    <t>(302) 764-3100</t>
  </si>
  <si>
    <t>IKOPacific - Sumas</t>
  </si>
  <si>
    <t>2001 W Dunes Hwy, Michigan City, IN 46360</t>
  </si>
  <si>
    <t>ILN Tech</t>
  </si>
  <si>
    <t>21040 OSBORNE STREET, Phone: 818-718-1414</t>
  </si>
  <si>
    <t>(708) 385-0858</t>
  </si>
  <si>
    <t>Incotek - Nashville</t>
  </si>
  <si>
    <t>McBnee, SC29101</t>
  </si>
  <si>
    <t>Independent Hyd&amp;Machine</t>
  </si>
  <si>
    <t>(928)</t>
  </si>
  <si>
    <t>1010 Empire Drive; Phone: (928)</t>
  </si>
  <si>
    <t>Indian Rubber - Arlington</t>
  </si>
  <si>
    <t>(817) 265-6732</t>
  </si>
  <si>
    <t>(812) 275-3341</t>
  </si>
  <si>
    <t>(765) 564-3680</t>
  </si>
  <si>
    <t>Industrial - Columbus</t>
  </si>
  <si>
    <t>(402) 564-9489</t>
  </si>
  <si>
    <t>wwwindctcom  New customer 5-13</t>
  </si>
  <si>
    <t>828-.</t>
  </si>
  <si>
    <t>1229 Commerce St SW, Phone: 828-.</t>
  </si>
  <si>
    <t>(303) 287-4400</t>
  </si>
  <si>
    <t>931-582.</t>
  </si>
  <si>
    <t>350 Fortner Road, Phone: 931-582.</t>
  </si>
  <si>
    <t>1943 West Copans_</t>
  </si>
  <si>
    <t>nan; Phone: 256-362-5611 please</t>
  </si>
  <si>
    <t>(256) 362-5611</t>
  </si>
  <si>
    <t>nan, Phone: 256-362-5611 please</t>
  </si>
  <si>
    <t>503-982-2907</t>
  </si>
  <si>
    <t>(605) 232-4178</t>
  </si>
  <si>
    <t>611 N Derby Ln; North Sioux City; SD 57049</t>
  </si>
  <si>
    <t>Industrial Maintenan - NSioux City</t>
  </si>
  <si>
    <t>NSioux City,SD 5</t>
  </si>
  <si>
    <t>704-983-3188</t>
  </si>
  <si>
    <t>1217 E1500 South</t>
  </si>
  <si>
    <t>1217 E1500 South; Phone: nan pleas_</t>
  </si>
  <si>
    <t>839 South Street; Phone: (601) 35_</t>
  </si>
  <si>
    <t>Industrial Supply - Bellingham</t>
  </si>
  <si>
    <t>(360) 734-6330</t>
  </si>
  <si>
    <t>Industrial Supply - Norfolk</t>
  </si>
  <si>
    <t>313 Bethany Rd,,</t>
  </si>
  <si>
    <t>Industrial Trans - Greensboro</t>
  </si>
  <si>
    <t>(318) 283-1004</t>
  </si>
  <si>
    <t>(909) 595-6617</t>
  </si>
  <si>
    <t>847 541-2700</t>
  </si>
  <si>
    <t>(509) 924-1911</t>
  </si>
  <si>
    <t>763-488-.</t>
  </si>
  <si>
    <t>9140 Zachary LN N, Phone: 763-488-.</t>
  </si>
  <si>
    <t>(610) 837-8830</t>
  </si>
  <si>
    <t>(603) 239-8082</t>
  </si>
  <si>
    <t>(281) 331-6451</t>
  </si>
  <si>
    <t>Input/Output - Stafford</t>
  </si>
  <si>
    <t>(281) 552-3002</t>
  </si>
  <si>
    <t>(281) 933-3339</t>
  </si>
  <si>
    <t>(503) 428-5500</t>
  </si>
  <si>
    <t>(770) 495-3100</t>
  </si>
  <si>
    <t>162 VALLEY</t>
  </si>
  <si>
    <t>Instrumentation - Clute</t>
  </si>
  <si>
    <t>(979) 265-8163</t>
  </si>
  <si>
    <t>(360) 384-7061</t>
  </si>
  <si>
    <t>Inter-American Equip - Miami</t>
  </si>
  <si>
    <t>(305) 382-6767</t>
  </si>
  <si>
    <t>800.</t>
  </si>
  <si>
    <t>814-259-3115</t>
  </si>
  <si>
    <t>Intergram-St Louis - Pacific</t>
  </si>
  <si>
    <t>(636) 271-5511</t>
  </si>
  <si>
    <t>931-359-3511</t>
  </si>
  <si>
    <t>210-695-2280</t>
  </si>
  <si>
    <t>*Copy This Info on EVERY ORDER: Stamp PO# ********&amp;IP Item# ******** in cylinder head Write info on a Paper Tag&amp;attache to every cylinder to be shipped!</t>
  </si>
  <si>
    <t>423-586-1766</t>
  </si>
  <si>
    <t>67 North #1IP Lane</t>
  </si>
  <si>
    <t>712-277-8111</t>
  </si>
  <si>
    <t>396 Frost Ind DR, Phone: nan_</t>
  </si>
  <si>
    <t>(615) 754-5092</t>
  </si>
  <si>
    <t>International Tooling - MtJuliet</t>
  </si>
  <si>
    <t>615-754-5092</t>
  </si>
  <si>
    <t>937-390-2800</t>
  </si>
  <si>
    <t>International Truck Eng- Waukesha</t>
  </si>
  <si>
    <t>(262) 548-1600</t>
  </si>
  <si>
    <t>Intero - Long Beach</t>
  </si>
  <si>
    <t>(408) 342-3000</t>
  </si>
  <si>
    <t>nan, Phone: nan please respond wit:</t>
  </si>
  <si>
    <t>Interocean Systems - San Diego</t>
  </si>
  <si>
    <t>858-565-8400</t>
  </si>
  <si>
    <t>(858) 565-8400</t>
  </si>
  <si>
    <t>Interstate Brands - Sacramento</t>
  </si>
  <si>
    <t>Intier Automotive Interiors de Saltillo</t>
  </si>
  <si>
    <t>13512 Unitec Drive -</t>
  </si>
  <si>
    <t>480-940-9690</t>
  </si>
  <si>
    <t>413-736-3682</t>
  </si>
  <si>
    <t>801-298-4466</t>
  </si>
  <si>
    <t>270-726-2441</t>
  </si>
  <si>
    <t>815-591-2400</t>
  </si>
  <si>
    <t>(409) 886-5080</t>
  </si>
  <si>
    <t>2739 FM 1006, Phone: nan pleas__.</t>
  </si>
  <si>
    <t>808 Wilson Ave. SW</t>
  </si>
  <si>
    <t>808 Wilson Ave. SW, Phone: nan plea_</t>
  </si>
  <si>
    <t>(305) 251-5060</t>
  </si>
  <si>
    <t>Ipacoorporated - Miami</t>
  </si>
  <si>
    <t>305-888-3450</t>
  </si>
  <si>
    <t>@info is not provided</t>
  </si>
  <si>
    <t>Ipsco Steel</t>
  </si>
  <si>
    <t>12400 Highway 43 North, Phone: 251-662-4400</t>
  </si>
  <si>
    <t>815-332-4941</t>
  </si>
  <si>
    <t>Irc- Boone</t>
  </si>
  <si>
    <t>Iri International - Beaumont</t>
  </si>
  <si>
    <t>(713) 346-7773</t>
  </si>
  <si>
    <t>207-435-3132</t>
  </si>
  <si>
    <t>Irwin Seating - Grand Rapids</t>
  </si>
  <si>
    <t>616-574-7400</t>
  </si>
  <si>
    <t>(616) 574-7400</t>
  </si>
  <si>
    <t>Isa- Portage</t>
  </si>
  <si>
    <t>219-762-4863</t>
  </si>
  <si>
    <t>16424 Piney Point Rd, Phone: 301-994-9800</t>
  </si>
  <si>
    <t>Issco Hyd - North Bend</t>
  </si>
  <si>
    <t>541-756-5141</t>
  </si>
  <si>
    <t>(608) 222-9000</t>
  </si>
  <si>
    <t>Isthmus EngAnd Mfg - Madison</t>
  </si>
  <si>
    <t>608-222-9000</t>
  </si>
  <si>
    <t>ITMAcqu- Grand Rapids</t>
  </si>
  <si>
    <t>616-957-7743</t>
  </si>
  <si>
    <t>662 -.</t>
  </si>
  <si>
    <t>1110 Bankhead Aveneu; Phone: 662 -.</t>
  </si>
  <si>
    <t>(989) 275-5141</t>
  </si>
  <si>
    <t>1725 Orphans Home Road, Phone: 256-739-3560</t>
  </si>
  <si>
    <t>215-855-8450</t>
  </si>
  <si>
    <t>nan,</t>
  </si>
  <si>
    <t>(559) 651-2850</t>
  </si>
  <si>
    <t>(815) 465-2024</t>
  </si>
  <si>
    <t>Ivex- Visalia</t>
  </si>
  <si>
    <t>559-651-2882</t>
  </si>
  <si>
    <t>Ivexoration - Grant Park</t>
  </si>
  <si>
    <t>815-465-2024</t>
  </si>
  <si>
    <t>J D Cahill</t>
  </si>
  <si>
    <t>1500 Commerce Drive; Phone: 205-339-1610 please</t>
  </si>
  <si>
    <t>J H Benedict Co - EPeoria</t>
  </si>
  <si>
    <t xml:space="preserve">EPeoria,IL </t>
  </si>
  <si>
    <t>309-694-3111</t>
  </si>
  <si>
    <t>(309) 694-3111</t>
  </si>
  <si>
    <t>(207) 488-6622</t>
  </si>
  <si>
    <t>J M Huber- Easton</t>
  </si>
  <si>
    <t>207-488-2051</t>
  </si>
  <si>
    <t>J&amp;G Equip</t>
  </si>
  <si>
    <t>1600 Kinnard Drive; Phone: 615-791-1884 please</t>
  </si>
  <si>
    <t>(256) 859-5770</t>
  </si>
  <si>
    <t>J&amp;L Hyd - Pasco</t>
  </si>
  <si>
    <t>(509) 545-9032</t>
  </si>
  <si>
    <t>J&amp;M Hyd - Pittsburgh</t>
  </si>
  <si>
    <t>(412) 682-4554</t>
  </si>
  <si>
    <t>(412) 487-1422</t>
  </si>
  <si>
    <t>(706) 216-1520</t>
  </si>
  <si>
    <t>(231) 755-1622</t>
  </si>
  <si>
    <t>(757) 543-0690</t>
  </si>
  <si>
    <t>J&amp;S Hyd - Hereford</t>
  </si>
  <si>
    <t>(806) 364-9415</t>
  </si>
  <si>
    <t>(800) 255-7011</t>
  </si>
  <si>
    <t>(410) 335-9600</t>
  </si>
  <si>
    <t>(270) 651-8334</t>
  </si>
  <si>
    <t>(920) 208-6823</t>
  </si>
  <si>
    <t>(814) 371-5060</t>
  </si>
  <si>
    <t>nan, Phone: (800) 726-0117 please</t>
  </si>
  <si>
    <t>(208)</t>
  </si>
  <si>
    <t>(912) 754-3716</t>
  </si>
  <si>
    <t>Jackson Air &amp; Hydraulic - Richland</t>
  </si>
  <si>
    <t>325 Iris Drive, Phone: 931-738-2800 please</t>
  </si>
  <si>
    <t>(860) 243-1441</t>
  </si>
  <si>
    <t>Jacobs MfgCompany - Bloomfield</t>
  </si>
  <si>
    <t>860-243-1441</t>
  </si>
  <si>
    <t>JAKohlhepps Sons - Dubois</t>
  </si>
  <si>
    <t>814-371-5060</t>
  </si>
  <si>
    <t>(817) 594-8771</t>
  </si>
  <si>
    <t>(870) 845-1055</t>
  </si>
  <si>
    <t>James J Port - Cabot</t>
  </si>
  <si>
    <t>(724) 360-0279</t>
  </si>
  <si>
    <t>270-898-7392</t>
  </si>
  <si>
    <t>(803) 744-1686</t>
  </si>
  <si>
    <t>585-254-0673</t>
  </si>
  <si>
    <t>Jasper Lumber - Jasper</t>
  </si>
  <si>
    <t>2700 HWY 78 West; Phone: nan pleas_</t>
  </si>
  <si>
    <t>(812) 482-3242</t>
  </si>
  <si>
    <t>812-481-9259</t>
  </si>
  <si>
    <t>(985) 536-3130</t>
  </si>
  <si>
    <t>Jb Tool - Edgerton</t>
  </si>
  <si>
    <t>(260) 483-9586</t>
  </si>
  <si>
    <t>Jbj Precision - Colorado Springs</t>
  </si>
  <si>
    <t>JD Phillips- Alpena</t>
  </si>
  <si>
    <t>989-356-2279</t>
  </si>
  <si>
    <t>(337) 276-4238</t>
  </si>
  <si>
    <t>601-553-6000</t>
  </si>
  <si>
    <t>770-684-1228</t>
  </si>
  <si>
    <t>2182 South Dam Rd, Phone:</t>
  </si>
  <si>
    <t>Jenkin's Brick</t>
  </si>
  <si>
    <t>1228 NMcDonough St</t>
  </si>
  <si>
    <t>1228 NMcDonough St; Phone: nan please respond_</t>
  </si>
  <si>
    <t>Jenkins Centrifuge Co</t>
  </si>
  <si>
    <t>816-471-3721</t>
  </si>
  <si>
    <t>1123 Swift; Phone: nan please respon_</t>
  </si>
  <si>
    <t>Jensen Drilling - Eugene</t>
  </si>
  <si>
    <t>541-726-7435</t>
  </si>
  <si>
    <t>(541) 726-7435</t>
  </si>
  <si>
    <t>Jered - Chelsea</t>
  </si>
  <si>
    <t>(919) 934-4115</t>
  </si>
  <si>
    <t>Jerry GWilliams&amp;- Smithfield</t>
  </si>
  <si>
    <t>(270) 395-7226</t>
  </si>
  <si>
    <t>253-922-7433</t>
  </si>
  <si>
    <t>858-278-8400</t>
  </si>
  <si>
    <t>J-Fab&amp;Machine Repair</t>
  </si>
  <si>
    <t>586-755-.</t>
  </si>
  <si>
    <t>24295 Gibson Drive; Phone: 586-755-.</t>
  </si>
  <si>
    <t>JH Huscroft - Porthill</t>
  </si>
  <si>
    <t>250-428-7106</t>
  </si>
  <si>
    <t>Jill Spoor&amp;Ass- Norfolk</t>
  </si>
  <si>
    <t>(205) 554-6150</t>
  </si>
  <si>
    <t>501-835-1440</t>
  </si>
  <si>
    <t>JIT INDUSTRIAL SOLUTIONS</t>
  </si>
  <si>
    <t>1015 WHITEHALL ROAD</t>
  </si>
  <si>
    <t>1015 WHITEHALL ROAD; Phone:</t>
  </si>
  <si>
    <t>780 Sauer Farm Road, Phone: 864-_</t>
  </si>
  <si>
    <t>JIT Industries</t>
  </si>
  <si>
    <t>1000 N Broadway St</t>
  </si>
  <si>
    <t>1000 N Broadway St; Phone: nan please respond</t>
  </si>
  <si>
    <t>JJ Ind</t>
  </si>
  <si>
    <t>19 Macdade Blvd, Phone: 610-590-2333 please</t>
  </si>
  <si>
    <t>JJPort- Cabot</t>
  </si>
  <si>
    <t>JLFrench - Glascow</t>
  </si>
  <si>
    <t>JLFrench - Sheboygan</t>
  </si>
  <si>
    <t>(920) 458-7724</t>
  </si>
  <si>
    <t>JLSizemore Lumber - Graham</t>
  </si>
  <si>
    <t>(336) 376-3130</t>
  </si>
  <si>
    <t>(936) 560-1742</t>
  </si>
  <si>
    <t>Jm Clipper- Nacogdoches</t>
  </si>
  <si>
    <t>2894 Marion Monk Rd , Phone: nan please</t>
  </si>
  <si>
    <t>JM Miles Construction</t>
  </si>
  <si>
    <t>637 Brobston St</t>
  </si>
  <si>
    <t>637 Brobston St; Phone: 912-367-574_</t>
  </si>
  <si>
    <t>JMI - Jerry's Machin</t>
  </si>
  <si>
    <t>1702 Sth Ave SE; Phone: 256-355-767_</t>
  </si>
  <si>
    <t>1010 Productions Court; Phone: (616) 796-2727</t>
  </si>
  <si>
    <t>JMS RUSSEL METALS</t>
  </si>
  <si>
    <t>1312 COMMERCE DRNW</t>
  </si>
  <si>
    <t>1312 COMMERCE DRNW; Phone: 256_</t>
  </si>
  <si>
    <t>(952) 937-2944</t>
  </si>
  <si>
    <t>JNFauver - Eden Prairie</t>
  </si>
  <si>
    <t>(952) 835-2311</t>
  </si>
  <si>
    <t>(815) 332-2144</t>
  </si>
  <si>
    <t>(985) 732-7111</t>
  </si>
  <si>
    <t>Joe NMiles Lumber - Bogalusa</t>
  </si>
  <si>
    <t>John Dusenbery - Randolph</t>
  </si>
  <si>
    <t>2728 N. Arnoult Rd; Phone: (504)_</t>
  </si>
  <si>
    <t>John Henry Foster - St Louis</t>
  </si>
  <si>
    <t>St Louis,MO 63134</t>
  </si>
  <si>
    <t>4700 Le Bourget Drive; Phone: (31_</t>
  </si>
  <si>
    <t>John Morrel - Sioux City</t>
  </si>
  <si>
    <t>John Morrel - Souix Falls</t>
  </si>
  <si>
    <t>(605) 330-3300</t>
  </si>
  <si>
    <t>(712) 258-6213</t>
  </si>
  <si>
    <t>(605) 338-8200</t>
  </si>
  <si>
    <t>(530) 934-4631</t>
  </si>
  <si>
    <t>(910) 875-4144</t>
  </si>
  <si>
    <t>StJoseph,MO 64503</t>
  </si>
  <si>
    <t>(816) 575-6228</t>
  </si>
  <si>
    <t>4722 Pear Street East; Phone: nan please</t>
  </si>
  <si>
    <t>(814) 535-9019</t>
  </si>
  <si>
    <t>Johnstown- Johnstown</t>
  </si>
  <si>
    <t>(814) 532-5630</t>
  </si>
  <si>
    <t>(504) 254-4452</t>
  </si>
  <si>
    <t>Motion Ind- Kernersville, NC Cust</t>
  </si>
  <si>
    <t>752 Grove Street; Phone: nan please</t>
  </si>
  <si>
    <t>1939 NC Hwy 109 S</t>
  </si>
  <si>
    <t>1939 NC Hwy 109 S, Phone: nan</t>
  </si>
  <si>
    <t>(256) 659-4169</t>
  </si>
  <si>
    <t>688 County Rd 192, Phone: nan</t>
  </si>
  <si>
    <t>(262) 242-3089</t>
  </si>
  <si>
    <t>Joseph A Wade- Glasgow</t>
  </si>
  <si>
    <t>(270) 651-1090</t>
  </si>
  <si>
    <t>(708) 447-6221</t>
  </si>
  <si>
    <t>Joseph Timber - Imbler</t>
  </si>
  <si>
    <t>Jourdan J C Lumber - Iuka</t>
  </si>
  <si>
    <t>Airport Road, Phone: (662) 423-5238</t>
  </si>
  <si>
    <t>Joy Cone - Hermitage</t>
  </si>
  <si>
    <t>(724) 962-5747</t>
  </si>
  <si>
    <t>(814) 437-5731</t>
  </si>
  <si>
    <t>JPHyd - Forest City</t>
  </si>
  <si>
    <t>(828) 245-0158</t>
  </si>
  <si>
    <t>820 Glaser Pkwy, Phone: 330-734-300_</t>
  </si>
  <si>
    <t>JRSimplot Food Gr - Othello</t>
  </si>
  <si>
    <t>(509) 488-9611</t>
  </si>
  <si>
    <t>JSBrayan - Grand Blanc</t>
  </si>
  <si>
    <t>J-Star - FtAtkinson</t>
  </si>
  <si>
    <t>FtAtkinson,WI 53538</t>
  </si>
  <si>
    <t>PO Box 1337, Phone: 256-462-3248 please</t>
  </si>
  <si>
    <t>JVWells - Shaprtown</t>
  </si>
  <si>
    <t>JW Lassiter Lumber</t>
  </si>
  <si>
    <t>1472 Highway 17, Phone: nan please</t>
  </si>
  <si>
    <t>JWExley Lumber - Clyo</t>
  </si>
  <si>
    <t>JWJones Lumber - Elizabeth City</t>
  </si>
  <si>
    <t>K C I - Kansas City</t>
  </si>
  <si>
    <t>(816) 474-0610</t>
  </si>
  <si>
    <t>(816) 471-0500</t>
  </si>
  <si>
    <t>K&amp;E Technical</t>
  </si>
  <si>
    <t>432 State Highway 37 South; Phone: 618-932-224_</t>
  </si>
  <si>
    <t>(860) 489-0476</t>
  </si>
  <si>
    <t>(800) 426-1617</t>
  </si>
  <si>
    <t>(907) 235-8612</t>
  </si>
  <si>
    <t>Kaiser Aluminum - North Chesterfield</t>
  </si>
  <si>
    <t>1901 Reymet Rd</t>
  </si>
  <si>
    <t>North Chesterfield, VA  23237-3723</t>
  </si>
  <si>
    <t>(509) 924-1500</t>
  </si>
  <si>
    <t>Kajco Tool - Dayton</t>
  </si>
  <si>
    <t>(269) 385-4555</t>
  </si>
  <si>
    <t>Kalman Packaging - Graham</t>
  </si>
  <si>
    <t>(336) 437-1126</t>
  </si>
  <si>
    <t>(205) 497-2250</t>
  </si>
  <si>
    <t>5551 Parkwest Drive; Phone: 205-497 _</t>
  </si>
  <si>
    <t>218-727-7284</t>
  </si>
  <si>
    <t>2337 Paradise Lane; Phone: 662-332-8771</t>
  </si>
  <si>
    <t>Huntsville, AL</t>
  </si>
  <si>
    <t>2101 West</t>
  </si>
  <si>
    <t>KAMAN - LUBBOCK</t>
  </si>
  <si>
    <t>2313 AVENUE F Phone: 806-747-088_</t>
  </si>
  <si>
    <t>(203) 877-3800</t>
  </si>
  <si>
    <t>(256) 383-4280</t>
  </si>
  <si>
    <t>2827 Avalon Avenue; Phone: 256-383-_</t>
  </si>
  <si>
    <t>4370 W 1750 S, Phone:</t>
  </si>
  <si>
    <t>1439 Pettyjohn Road, Phone: 800-292-4028</t>
  </si>
  <si>
    <t>Kamaoration - Avenel</t>
  </si>
  <si>
    <t>Kanamak Hyd - Garden City</t>
  </si>
  <si>
    <t>(620) 275-6055</t>
  </si>
  <si>
    <t>(412) 321-2715</t>
  </si>
  <si>
    <t>(207) 757-8278</t>
  </si>
  <si>
    <t>Kawneer- Franklin</t>
  </si>
  <si>
    <t>(803) 778-2231</t>
  </si>
  <si>
    <t>(920) 686-5800</t>
  </si>
  <si>
    <t>Kaysun- Manitowoc</t>
  </si>
  <si>
    <t>KC Hyd - Columbia Falls</t>
  </si>
  <si>
    <t>53 Pixley Industrial Pkwy, Phone: (71_</t>
  </si>
  <si>
    <t>6700 Thompson Road, Phone: (315)</t>
  </si>
  <si>
    <t>(706) 647-8981</t>
  </si>
  <si>
    <t>Keener Lumber - Smithfield</t>
  </si>
  <si>
    <t>1209 West Market Street, Phone:</t>
  </si>
  <si>
    <t>(716) 693-3840</t>
  </si>
  <si>
    <t>1-402-331-7717.</t>
  </si>
  <si>
    <t>Kellogs USAInc- Omaha</t>
  </si>
  <si>
    <t>(402) 331-7717</t>
  </si>
  <si>
    <t>Kelly Plating - Cleveland</t>
  </si>
  <si>
    <t>(216) 961-1080</t>
  </si>
  <si>
    <t>(308) 534-2240</t>
  </si>
  <si>
    <t>(863) 763-4026</t>
  </si>
  <si>
    <t>(601) 659-7027</t>
  </si>
  <si>
    <t>Kemberly - Elkhart</t>
  </si>
  <si>
    <t>(574) 264-3131</t>
  </si>
  <si>
    <t>Kemet Electronics - Brownsville</t>
  </si>
  <si>
    <t>(956) 548-7380</t>
  </si>
  <si>
    <t>Kempsmith Machine - Milwaukee</t>
  </si>
  <si>
    <t>(412) 256-8160</t>
  </si>
  <si>
    <t>Ken-Dec- Horse Cave</t>
  </si>
  <si>
    <t>Kennedy Hyd</t>
  </si>
  <si>
    <t>4830 South 33rd Street, Phone: (602) 243-4131</t>
  </si>
  <si>
    <t>(323) 722-7073</t>
  </si>
  <si>
    <t>Kenpakorporated - Commerce</t>
  </si>
  <si>
    <t>(707) 822-3674</t>
  </si>
  <si>
    <t>Kent Mold&amp;Die - Kent</t>
  </si>
  <si>
    <t>(615) 443-</t>
  </si>
  <si>
    <t>3116 Highway 109 N, Phone: 615-443-5706 pleas_</t>
  </si>
  <si>
    <t>(615) 255-8614</t>
  </si>
  <si>
    <t>Ketchikan Pulp - Ketchikan</t>
  </si>
  <si>
    <t>(907) 225-2151</t>
  </si>
  <si>
    <t>Ketchikan Pulp - Seattle</t>
  </si>
  <si>
    <t>(907) 228-7788</t>
  </si>
  <si>
    <t>(704) 873-7202</t>
  </si>
  <si>
    <t>4751 South Limit Avenue _</t>
  </si>
  <si>
    <t>(800) 331-3375</t>
  </si>
  <si>
    <t>Keystone Bolt - Cresson</t>
  </si>
  <si>
    <t>(814) 886-4121</t>
  </si>
  <si>
    <t>Keystone Sales- Aurora</t>
  </si>
  <si>
    <t>(303) 343-0248</t>
  </si>
  <si>
    <t>(610) 932-5120.</t>
  </si>
  <si>
    <t>(408) 683-0123</t>
  </si>
  <si>
    <t>Hwy 20 W, Phone: (256) 35_</t>
  </si>
  <si>
    <t>10102 NPalafox Street</t>
  </si>
  <si>
    <t>10102 NPalafox Street;</t>
  </si>
  <si>
    <t>1439 Pettyjohn Road, Phone_</t>
  </si>
  <si>
    <t>KFP/Industrial Supplies - Mont</t>
  </si>
  <si>
    <t>3300 Hayneville Road,</t>
  </si>
  <si>
    <t>KFP/Industrial Supplies - Mus</t>
  </si>
  <si>
    <t>2827 East Avalon Avenue,</t>
  </si>
  <si>
    <t>KFSeitz&amp;Sons - Torrington</t>
  </si>
  <si>
    <t>Kgn Mfg- Warren</t>
  </si>
  <si>
    <t>(330) 373-6023</t>
  </si>
  <si>
    <t>Kiewit Industrial - Boulder City</t>
  </si>
  <si>
    <t>13000 NE Whitaker Way, Portland; OR 97230</t>
  </si>
  <si>
    <t>(530) 846-5625</t>
  </si>
  <si>
    <t>Kilby MFG - Gridley</t>
  </si>
  <si>
    <t>Kimberly Clark</t>
  </si>
  <si>
    <t>5899 Sugarlimb Rd</t>
  </si>
  <si>
    <t>5899 Sugarlimb Rd, Phone: nan please respon_</t>
  </si>
  <si>
    <t>(541) 942-4401</t>
  </si>
  <si>
    <t>Kinard's Hydraulic Repair Service</t>
  </si>
  <si>
    <t>3028 Millar Ave; Phone: (306) 934 _</t>
  </si>
  <si>
    <t>(812) 853-8301</t>
  </si>
  <si>
    <t>King Tool - Erlanger</t>
  </si>
  <si>
    <t>(859) 525-1799</t>
  </si>
  <si>
    <t>(503) 366-2660</t>
  </si>
  <si>
    <t>(786) 482-7220</t>
  </si>
  <si>
    <t>(541) 676-9003</t>
  </si>
  <si>
    <t>Kinzua- Heppner</t>
  </si>
  <si>
    <t>Kinzua Resources - Pilot Rock</t>
  </si>
  <si>
    <t>(541) 443-2261</t>
  </si>
  <si>
    <t>Kirsh Foundry- Beaver Dam</t>
  </si>
  <si>
    <t>(920) 887-0395</t>
  </si>
  <si>
    <t>Kiser Lumber - Bowman</t>
  </si>
  <si>
    <t>(803) 829-2571</t>
  </si>
  <si>
    <t>Kitchens Brothers Mfg</t>
  </si>
  <si>
    <t>601 Carpenter St</t>
  </si>
  <si>
    <t>601 Carpenter St, Phone: nan please</t>
  </si>
  <si>
    <t>Klamath Machinery - Klamath Falls</t>
  </si>
  <si>
    <t>(541) 882-2588</t>
  </si>
  <si>
    <t>Kleen Air Prod - Clackamas</t>
  </si>
  <si>
    <t>503-653-6925</t>
  </si>
  <si>
    <t>(618) 251-6345</t>
  </si>
  <si>
    <t>Klotz Equip- Marrero</t>
  </si>
  <si>
    <t>Kls Hyd - Missoula</t>
  </si>
  <si>
    <t>(406) 542-1400</t>
  </si>
  <si>
    <t>Klug&amp;Smith - Milwaukee</t>
  </si>
  <si>
    <t>Knight Kraft</t>
  </si>
  <si>
    <t>2709 Hamlin, Phone: 586-726-6821/586-726-2825</t>
  </si>
  <si>
    <t>(410) 875-0900</t>
  </si>
  <si>
    <t>Knorr Brake- Westminster</t>
  </si>
  <si>
    <t>Kockum Sonics - Kenner</t>
  </si>
  <si>
    <t>(504)</t>
  </si>
  <si>
    <t>933 Industry Rd #105,Phone: (504)</t>
  </si>
  <si>
    <t>Kohler - Kohler</t>
  </si>
  <si>
    <t>(920) 457-4441</t>
  </si>
  <si>
    <t>Kohler General- Sheboygan Falls</t>
  </si>
  <si>
    <t>Kohol Systems- Dayton</t>
  </si>
  <si>
    <t>Kolberg-Pioneer - Yankton</t>
  </si>
  <si>
    <t>(605) 665-9311</t>
  </si>
  <si>
    <t>(636) 343-9220</t>
  </si>
  <si>
    <t>(206) 784-2500</t>
  </si>
  <si>
    <t>Komar - Groveport</t>
  </si>
  <si>
    <t>KOPPERS INDUSTRIES PROCUREMENT</t>
  </si>
  <si>
    <t>2201 EDMONDS ST</t>
  </si>
  <si>
    <t>NORTH LITTLE ROCK, AR  72117</t>
  </si>
  <si>
    <t>501-690-2528</t>
  </si>
  <si>
    <t>MGR BUDDY W CURTIS</t>
  </si>
  <si>
    <t>2201</t>
  </si>
  <si>
    <t>Koppers Performance Chemicals</t>
  </si>
  <si>
    <t>3450 Fite Rd</t>
  </si>
  <si>
    <t>Millington, TN  38053-8310</t>
  </si>
  <si>
    <t>3450 Fite Rd, Phone: nan</t>
  </si>
  <si>
    <t>(570) 669-5111</t>
  </si>
  <si>
    <t>(803) 536-6200</t>
  </si>
  <si>
    <t>KoyoOf Usa - Orangeburg</t>
  </si>
  <si>
    <t>(803) 736-2950</t>
  </si>
  <si>
    <t>Koz&amp;Co Dba - Aberdeen</t>
  </si>
  <si>
    <t>(360) 533-3030</t>
  </si>
  <si>
    <t>(405) 235-2621</t>
  </si>
  <si>
    <t>+1 (800) 383-1183.</t>
  </si>
  <si>
    <t>(360) 457-4421</t>
  </si>
  <si>
    <t>K-Ply- Port Angeles</t>
  </si>
  <si>
    <t>(800) 543-5335</t>
  </si>
  <si>
    <t>(859) 283-0200</t>
  </si>
  <si>
    <t>(318) 247-2217</t>
  </si>
  <si>
    <t>486 DURAFLAKE RD; Phone: nan</t>
  </si>
  <si>
    <t>Ksa America- Inglewood</t>
  </si>
  <si>
    <t>(310) 325-7577</t>
  </si>
  <si>
    <t>(770) 532-0038</t>
  </si>
  <si>
    <t>(281) 449-8888</t>
  </si>
  <si>
    <t>Kuhmo Tire Georgia</t>
  </si>
  <si>
    <t>3051 Kuhmo Parkway</t>
  </si>
  <si>
    <t>Macon, GA  31216</t>
  </si>
  <si>
    <t>3051 Kuhmo Parkway; Phone: nan</t>
  </si>
  <si>
    <t>Kumho Tire Georgia</t>
  </si>
  <si>
    <t>Kundinger Fluid Power</t>
  </si>
  <si>
    <t>2441 Progress Ct</t>
  </si>
  <si>
    <t>Neenah, WI  54956</t>
  </si>
  <si>
    <t>920-720-5000</t>
  </si>
  <si>
    <t>2441 Progress Ct, Phone: 920-720 _</t>
  </si>
  <si>
    <t>(740) 498-8343</t>
  </si>
  <si>
    <t>KyKenKee,Inc</t>
  </si>
  <si>
    <t>1470 INDUSTRIAL DR</t>
  </si>
  <si>
    <t>L&amp;B Industrial Equip -</t>
  </si>
  <si>
    <t>(602) 258-6814</t>
  </si>
  <si>
    <t>L&amp;F - Huntington Park</t>
  </si>
  <si>
    <t>2110 Belgrave Ave; Phone: (323) 588- _</t>
  </si>
  <si>
    <t>L&amp;G Specialties - West Sacremento</t>
  </si>
  <si>
    <t>L&amp;L Concepts - Hagerstown</t>
  </si>
  <si>
    <t>(240) 420-8608</t>
  </si>
  <si>
    <t>(704) 864-5521</t>
  </si>
  <si>
    <t>(336) 838-3398</t>
  </si>
  <si>
    <t>(208) 782-0204</t>
  </si>
  <si>
    <t>715-359-3155</t>
  </si>
  <si>
    <t>5101 Mesker Street, Schofield, WI 54476</t>
  </si>
  <si>
    <t>(209) 572-1540</t>
  </si>
  <si>
    <t>Contact information only</t>
  </si>
  <si>
    <t>(309) 692-2200</t>
  </si>
  <si>
    <t>508-339-3312</t>
  </si>
  <si>
    <t>503-222-9992</t>
  </si>
  <si>
    <t>(203) 336-0121</t>
  </si>
  <si>
    <t>Lacey MFG - Bridgeport</t>
  </si>
  <si>
    <t>203-336-0121</t>
  </si>
  <si>
    <t>(844) 532-3639</t>
  </si>
  <si>
    <t>Lafarge- Demopolis</t>
  </si>
  <si>
    <t>Lake - Eugene</t>
  </si>
  <si>
    <t>541-345-8509</t>
  </si>
  <si>
    <t>337-480-7600</t>
  </si>
  <si>
    <t>Lake City Forge - Lake City</t>
  </si>
  <si>
    <t>231-839-7102</t>
  </si>
  <si>
    <t>Lake Tool&amp;Hyd</t>
  </si>
  <si>
    <t>2801 ENapoleon</t>
  </si>
  <si>
    <t>2801 ENapoleon; Phone: 337-625-5737 pleas_</t>
  </si>
  <si>
    <t>Lakeland Tool&amp;Engr</t>
  </si>
  <si>
    <t>Lakeshore Works</t>
  </si>
  <si>
    <t>616-200-8020</t>
  </si>
  <si>
    <t>16952 Woodlane; Phone: nan please respond</t>
  </si>
  <si>
    <t>Lakeside - Vancouver</t>
  </si>
  <si>
    <t>360-892-5410</t>
  </si>
  <si>
    <t>(360) 892-5410</t>
  </si>
  <si>
    <t>507-534-3141</t>
  </si>
  <si>
    <t>Lamar Equip Comp - Addison</t>
  </si>
  <si>
    <t>208-226-2301</t>
  </si>
  <si>
    <t>541-481-2511</t>
  </si>
  <si>
    <t>218-732-2100</t>
  </si>
  <si>
    <t>2221 South Wesleyan Blvd, Phone:_</t>
  </si>
  <si>
    <t>Lamb-Grays Harbor - Hoquiam</t>
  </si>
  <si>
    <t>(206) 532-1000</t>
  </si>
  <si>
    <t>Laminate Tech</t>
  </si>
  <si>
    <t>202 Martin Luther King Blvd, Phone: nan plea _</t>
  </si>
  <si>
    <t>919-934-6152</t>
  </si>
  <si>
    <t>Lam's Lumber - Barboursville</t>
  </si>
  <si>
    <t>434-985-2362</t>
  </si>
  <si>
    <t>(540) 832-5173</t>
  </si>
  <si>
    <t>Landis Block - Souderton</t>
  </si>
  <si>
    <t>215-723-5506</t>
  </si>
  <si>
    <t>(215) 723-5506</t>
  </si>
  <si>
    <t>330-785-2200</t>
  </si>
  <si>
    <t>814-623-1191</t>
  </si>
  <si>
    <t>(229) 263-8943</t>
  </si>
  <si>
    <t>Langston Div- Cherry Hill</t>
  </si>
  <si>
    <t>93 North Commerce Street, Phone_</t>
  </si>
  <si>
    <t>93 North Commerce Street, Phone.</t>
  </si>
  <si>
    <t>4703 Ritchie Highway;</t>
  </si>
  <si>
    <t>(831) 754-6262</t>
  </si>
  <si>
    <t>Larimore Trailers</t>
  </si>
  <si>
    <t>194 Buster Rd</t>
  </si>
  <si>
    <t>(256) 784-6000</t>
  </si>
  <si>
    <t>Laron</t>
  </si>
  <si>
    <t>928-757-8424</t>
  </si>
  <si>
    <t>LARubber - Los Angeles</t>
  </si>
  <si>
    <t>413-268-7685</t>
  </si>
  <si>
    <t>Lau - Rochester</t>
  </si>
  <si>
    <t>574-223-3181</t>
  </si>
  <si>
    <t>Lauren Tide - Hanahan</t>
  </si>
  <si>
    <t>Lawrence Equip - South El Monte</t>
  </si>
  <si>
    <t>626-442-2877</t>
  </si>
  <si>
    <t>(626) 442-2894</t>
  </si>
  <si>
    <t>Lawrence Paper - Lawrence</t>
  </si>
  <si>
    <t>785-843-2811</t>
  </si>
  <si>
    <t>(800) 535-4553</t>
  </si>
  <si>
    <t>1707 West Eighth St</t>
  </si>
  <si>
    <t>1707 West Eighth St; Phone: nan</t>
  </si>
  <si>
    <t>1707 West Eighth St;_</t>
  </si>
  <si>
    <t>Layman Lumber - Naches</t>
  </si>
  <si>
    <t>(509) 653-2221</t>
  </si>
  <si>
    <t>LBETech - San Jose</t>
  </si>
  <si>
    <t>Lbs- Milan</t>
  </si>
  <si>
    <t>Leach - Oshkosh</t>
  </si>
  <si>
    <t>(920) 231-2770</t>
  </si>
  <si>
    <t>419-592-0059</t>
  </si>
  <si>
    <t>Leading - Oxnard</t>
  </si>
  <si>
    <t>(805) 385-4100</t>
  </si>
  <si>
    <t>Lear Seating- Morristown</t>
  </si>
  <si>
    <t>Lear- Sheboygan</t>
  </si>
  <si>
    <t>Learoration - Bourbon</t>
  </si>
  <si>
    <t>Learortaion - Roscommon</t>
  </si>
  <si>
    <t>Learortation - Byron Center</t>
  </si>
  <si>
    <t>Lebach - Lynnwood</t>
  </si>
  <si>
    <t>Lebco - Madisonville</t>
  </si>
  <si>
    <t>270-821-0450</t>
  </si>
  <si>
    <t>3685 Nebo Road, Phone: (270) 821 _</t>
  </si>
  <si>
    <t>LEDTool&amp;Die In - Alsip</t>
  </si>
  <si>
    <t>229-244-4000</t>
  </si>
  <si>
    <t>(912) 487-3632</t>
  </si>
  <si>
    <t>Lee Container- Homerville</t>
  </si>
  <si>
    <t>912-487-0091</t>
  </si>
  <si>
    <t>Leese&amp;- Greensburg</t>
  </si>
  <si>
    <t>(724) 834-5810</t>
  </si>
  <si>
    <t>Lefiell - Reno</t>
  </si>
  <si>
    <t>(775) 677-5300</t>
  </si>
  <si>
    <t>Lefiell Mfg- Santa Fe Springs</t>
  </si>
  <si>
    <t>562-921-3411</t>
  </si>
  <si>
    <t>(562) 921-3411</t>
  </si>
  <si>
    <t>DanielBrasfield@LehighHansoncom</t>
  </si>
  <si>
    <t>972-653-5500</t>
  </si>
  <si>
    <t>(972) 653-5500</t>
  </si>
  <si>
    <t>Lehmann, Ullman &amp; Barclay - Birmingham</t>
  </si>
  <si>
    <t>2908 Claimo_</t>
  </si>
  <si>
    <t>(814) 444-1444</t>
  </si>
  <si>
    <t>Leiss Tool&amp;Die - Somerset</t>
  </si>
  <si>
    <t>814-444-1444</t>
  </si>
  <si>
    <t>801 N Tennessee Street, Phone: (972) _</t>
  </si>
  <si>
    <t>Leon Ferenbach - Johnson City</t>
  </si>
  <si>
    <t>(423) 434-5000</t>
  </si>
  <si>
    <t>Leonard Metal - StCharles</t>
  </si>
  <si>
    <t>StCharles,MO 63301</t>
  </si>
  <si>
    <t>3030 Hwy 94,Phone: nan please respond wit_</t>
  </si>
  <si>
    <t>(817) 834-3200</t>
  </si>
  <si>
    <t>Lessco- Dalton</t>
  </si>
  <si>
    <t>(706) 278-0272</t>
  </si>
  <si>
    <t>(706) 226-1534</t>
  </si>
  <si>
    <t>Letourneau- Longview</t>
  </si>
  <si>
    <t>(903) 237-7000</t>
  </si>
  <si>
    <t>(201) 684-4400</t>
  </si>
  <si>
    <t>Lever MFG - Mahwah</t>
  </si>
  <si>
    <t>Lever Mfg- Paterson</t>
  </si>
  <si>
    <t>Lewis Supply</t>
  </si>
  <si>
    <t>Lewisburg Rubber&amp;Gasket</t>
  </si>
  <si>
    <t>140 Woodside Avenue, Phone: 931-_</t>
  </si>
  <si>
    <t>Lewis-Goetz and</t>
  </si>
  <si>
    <t>5404 Industrial Drive Ext - Bldg A, Phone: 318 _</t>
  </si>
  <si>
    <t>(989) 786-4298</t>
  </si>
  <si>
    <t>(615) 446-7733</t>
  </si>
  <si>
    <t>(318) 631-1551</t>
  </si>
  <si>
    <t>972-623 -.</t>
  </si>
  <si>
    <t>2338 Doreen Street; Phone: 972-623 -.</t>
  </si>
  <si>
    <t>1924 TELEGRAPH ROAD; Phone: 251-_</t>
  </si>
  <si>
    <t>924 TELEGRAPH ROAD, Phone: 251-_</t>
  </si>
  <si>
    <t>(616) 538-3030</t>
  </si>
  <si>
    <t>Light Metalsora - Wyoming</t>
  </si>
  <si>
    <t>1235 S 82nd St</t>
  </si>
  <si>
    <t>1235 S 82nd St; Phone: 813-655-_</t>
  </si>
  <si>
    <t>Lightolier, - Fall River</t>
  </si>
  <si>
    <t>(508) 679-8131</t>
  </si>
  <si>
    <t>Lightweight Block - Lynchburg</t>
  </si>
  <si>
    <t>(419) 225-6761</t>
  </si>
  <si>
    <t>(401) 784-4400</t>
  </si>
  <si>
    <t>(908) 241-3344</t>
  </si>
  <si>
    <t>Lindar- Baxter</t>
  </si>
  <si>
    <t>Baxter,MN 56425</t>
  </si>
  <si>
    <t>(218) 829-3457</t>
  </si>
  <si>
    <t>Lindsay Mfg- Lindsay</t>
  </si>
  <si>
    <t>(402) 428-2131</t>
  </si>
  <si>
    <t>(402) 829-6800</t>
  </si>
  <si>
    <t>Linear Dynamics- Montgomery</t>
  </si>
  <si>
    <t>(570) 547-1621</t>
  </si>
  <si>
    <t>Lineco Hyd</t>
  </si>
  <si>
    <t>(205) 686-9233</t>
  </si>
  <si>
    <t>9368 Highway 269,Phone: 205-686-9233 please</t>
  </si>
  <si>
    <t>Link Hyd - Dubuque</t>
  </si>
  <si>
    <t>180 Westside; Phone: (563) 556-2551_</t>
  </si>
  <si>
    <t>Motion- Louisville, KY Customer</t>
  </si>
  <si>
    <t>705 Wilson Parkway, Phone: 800-442-4892</t>
  </si>
  <si>
    <t>Lion Heart</t>
  </si>
  <si>
    <t>(501) 920-6567</t>
  </si>
  <si>
    <t>1718 McCain Blvd, Phone: 501-920-6567 please</t>
  </si>
  <si>
    <t>W7575 Poplar Road At</t>
  </si>
  <si>
    <t>Littrell A V Lumber Mill - Iuka</t>
  </si>
  <si>
    <t>1818 Highway 25, Phone: (662)</t>
  </si>
  <si>
    <t>Old Moulton Road, Phone: 256-355-1468</t>
  </si>
  <si>
    <t>L-M Equip Co - Portland</t>
  </si>
  <si>
    <t>Lockformer - Lisle</t>
  </si>
  <si>
    <t>711 Ogden Avenue; Phone: (630) 964-8000</t>
  </si>
  <si>
    <t>(509) 735-1000</t>
  </si>
  <si>
    <t>(423) 837-5919</t>
  </si>
  <si>
    <t>nan; Phone: nan_</t>
  </si>
  <si>
    <t>Lodge MFG - South Pittsburg</t>
  </si>
  <si>
    <t>Lofmonoration - Colorado Springs</t>
  </si>
  <si>
    <t>Logan Machine</t>
  </si>
  <si>
    <t>1405 Home</t>
  </si>
  <si>
    <t>(406) 297-3114</t>
  </si>
  <si>
    <t>Lone Star - Cape Girardeau</t>
  </si>
  <si>
    <t>Lone Star Steel - Lone Star</t>
  </si>
  <si>
    <t>(903) 656-6795</t>
  </si>
  <si>
    <t>(903) 656-6616</t>
  </si>
  <si>
    <t>Long Mfg- Rochester</t>
  </si>
  <si>
    <t>(248) 293-7100</t>
  </si>
  <si>
    <t>(303) 776-1414</t>
  </si>
  <si>
    <t>Longview Fiber - Levenworth</t>
  </si>
  <si>
    <t>(509) 575-2490</t>
  </si>
  <si>
    <t>(509) 248-4241</t>
  </si>
  <si>
    <t>Loparex</t>
  </si>
  <si>
    <t>1828 Burgundy Lane NW; Phone: 256-734-1153</t>
  </si>
  <si>
    <t>(763) 478-6014</t>
  </si>
  <si>
    <t>(513) 271-3300</t>
  </si>
  <si>
    <t>4550 Red Bank Rd, Cincinnati; OH 45227</t>
  </si>
  <si>
    <t>(713) 674-7347</t>
  </si>
  <si>
    <t>Louis Dreyfus- Galena Park</t>
  </si>
  <si>
    <t>170 Meadow Lark Drive</t>
  </si>
  <si>
    <t>Monroe, LA 71203</t>
  </si>
  <si>
    <t>170 Meadow Lark Drive, Phone: (318)_</t>
  </si>
  <si>
    <t>7549</t>
  </si>
  <si>
    <t>143 East Park Dr</t>
  </si>
  <si>
    <t>143 East Park Dr; Phone: nan plea_</t>
  </si>
  <si>
    <t>(903) 693-3861</t>
  </si>
  <si>
    <t>Hwy 268 PO Box 98, Phone:</t>
  </si>
  <si>
    <t>Louisiana Pigment - West Lake</t>
  </si>
  <si>
    <t>(337) 882-7100</t>
  </si>
  <si>
    <t>Ruston - McComb, MS customer</t>
  </si>
  <si>
    <t>61658 Hwy 51, Phone: nan please</t>
  </si>
  <si>
    <t>143 East Park Dr; Phone: nan please</t>
  </si>
  <si>
    <t>Lowe Paper - Ridgefield</t>
  </si>
  <si>
    <t>(201) 945-8146</t>
  </si>
  <si>
    <t>(206) 763-5843</t>
  </si>
  <si>
    <t>Lowe Parker- Seattle</t>
  </si>
  <si>
    <t>LRNelson- Peoria</t>
  </si>
  <si>
    <t>LTV Steel - Hennepin</t>
  </si>
  <si>
    <t>Hennepin Plant_</t>
  </si>
  <si>
    <t>Lube Power - Shelby Township</t>
  </si>
  <si>
    <t>50485 Utica Drive, Phone: na_</t>
  </si>
  <si>
    <t>(318) 545-5595</t>
  </si>
  <si>
    <t>Lufkin - Lufkin</t>
  </si>
  <si>
    <t>(936) 634-2211</t>
  </si>
  <si>
    <t>Luk- Wooster</t>
  </si>
  <si>
    <t>Lummus - Columbus</t>
  </si>
  <si>
    <t>Lummus- Savannah</t>
  </si>
  <si>
    <t>Lummusoration - Greenville</t>
  </si>
  <si>
    <t>(662) 335-0510</t>
  </si>
  <si>
    <t>Lunden - Spokane</t>
  </si>
  <si>
    <t>(847) 524-5659</t>
  </si>
  <si>
    <t>Luzenac America - Three Forks</t>
  </si>
  <si>
    <t>(406) 285-3271</t>
  </si>
  <si>
    <t>Lyle - Beaverton</t>
  </si>
  <si>
    <t>55 Queens Plate Drive, Phone:</t>
  </si>
  <si>
    <t>(434) 846-2766</t>
  </si>
  <si>
    <t>M A - Peachtree City</t>
  </si>
  <si>
    <t>(770) 487-7761</t>
  </si>
  <si>
    <t>M C Dixon Lumber - Eufaula</t>
  </si>
  <si>
    <t>M C Tool- Greer</t>
  </si>
  <si>
    <t>(864) 879-7020</t>
  </si>
  <si>
    <t>M I Supply - Altoona</t>
  </si>
  <si>
    <t>(814) 942-5238</t>
  </si>
  <si>
    <t>Industrial supply company</t>
  </si>
  <si>
    <t>2224 N Branch Ave.</t>
  </si>
  <si>
    <t>M M W - Hurst</t>
  </si>
  <si>
    <t>(817) 284-4978</t>
  </si>
  <si>
    <t>(817) 589-0881</t>
  </si>
  <si>
    <t>(256) 350-6568</t>
  </si>
  <si>
    <t>(301) 490-6711</t>
  </si>
  <si>
    <t>(269) 468-4500</t>
  </si>
  <si>
    <t>M&amp;W Hyd - Tampa</t>
  </si>
  <si>
    <t>2815 Overpass Road, Phone: (813) 621-8902</t>
  </si>
  <si>
    <t>(302) 998-3385</t>
  </si>
  <si>
    <t>(770) 607-2222</t>
  </si>
  <si>
    <t>337-276-4592</t>
  </si>
  <si>
    <t>(803) 356-2133</t>
  </si>
  <si>
    <t>Mabry Lumber - Liberty</t>
  </si>
  <si>
    <t>(601) 961-5368</t>
  </si>
  <si>
    <t>+1 (269) 925-3295</t>
  </si>
  <si>
    <t>Mac Equip - Montgomery</t>
  </si>
  <si>
    <t>(334) 277-4963</t>
  </si>
  <si>
    <t>Macbeath Hardwood - Edinburgh</t>
  </si>
  <si>
    <t>Machine Automation- Knoxville</t>
  </si>
  <si>
    <t>5905 Weisbrook Lane; Suite</t>
  </si>
  <si>
    <t>Machine Systems LL- Bend</t>
  </si>
  <si>
    <t>(585) 288-1210</t>
  </si>
  <si>
    <t>(330) 699-0150</t>
  </si>
  <si>
    <t>Machine Works - Costa Mesa</t>
  </si>
  <si>
    <t>(714) 241-1141</t>
  </si>
  <si>
    <t>(949) 631-5444</t>
  </si>
  <si>
    <t>(503) 285-6661</t>
  </si>
  <si>
    <t>(330) 745-4013</t>
  </si>
  <si>
    <t>1200 Buckley, Phone: nan</t>
  </si>
  <si>
    <t>MacMillan &amp; Bloedel - Colbert</t>
  </si>
  <si>
    <t>(847) 676-2910</t>
  </si>
  <si>
    <t>7355 N Lawndale_</t>
  </si>
  <si>
    <t>5150 S 100the E Avenue</t>
  </si>
  <si>
    <t>5150 S 1OOthe E Avenue; Phone: nan please</t>
  </si>
  <si>
    <t>5150 S 1OOth E Ave; Phone: (918) 627-5505</t>
  </si>
  <si>
    <t>Macton, The - Oxford</t>
  </si>
  <si>
    <t xml:space="preserve">Oxford, </t>
  </si>
  <si>
    <t>(706) 724-8803</t>
  </si>
  <si>
    <t>Mad- Greenville</t>
  </si>
  <si>
    <t>(864) 438-4366</t>
  </si>
  <si>
    <t>Mader Bearing Supply Inc.</t>
  </si>
  <si>
    <t>156 North Cedar Street</t>
  </si>
  <si>
    <t>Mobile, AL  36603</t>
  </si>
  <si>
    <t>156 North Cedar Street, Phone: nan</t>
  </si>
  <si>
    <t>(812) 273-3115</t>
  </si>
  <si>
    <t>Madison Pulp &amp; Paper - Madison</t>
  </si>
  <si>
    <t>(540) 948-6801</t>
  </si>
  <si>
    <t>MAEast - Cartersville</t>
  </si>
  <si>
    <t>(770) 386-3532</t>
  </si>
  <si>
    <t>MAEngineering - Peachtree City</t>
  </si>
  <si>
    <t>517-663-2700</t>
  </si>
  <si>
    <t>2001 Industrial Dr; Eaton Rapids, MI 48827</t>
  </si>
  <si>
    <t>(888) 624-2586</t>
  </si>
  <si>
    <t>MagAluminum - Cleveland</t>
  </si>
  <si>
    <t>972-285-2554</t>
  </si>
  <si>
    <t>256-355-8222</t>
  </si>
  <si>
    <t>908 Maero St NW; Phone: nan please respond with</t>
  </si>
  <si>
    <t>(989) 512-1000</t>
  </si>
  <si>
    <t>Magna Lomason- Columbus</t>
  </si>
  <si>
    <t>740-918-8500</t>
  </si>
  <si>
    <t>765-766-5388</t>
  </si>
  <si>
    <t>Magnaflex Ind- MtSerling</t>
  </si>
  <si>
    <t>MtSerling,KY 40353</t>
  </si>
  <si>
    <t>(800) 487-.</t>
  </si>
  <si>
    <t>(859) 498-3537</t>
  </si>
  <si>
    <t>Magnaquench, Int- Anderson</t>
  </si>
  <si>
    <t>Magnesium Elektron - Flemington</t>
  </si>
  <si>
    <t>908-782-5800</t>
  </si>
  <si>
    <t>(908) 782-5800</t>
  </si>
  <si>
    <t>919-776-4111</t>
  </si>
  <si>
    <t>914-530-2000</t>
  </si>
  <si>
    <t>(440) 255-9366</t>
  </si>
  <si>
    <t>No contact information found</t>
  </si>
  <si>
    <t>(541) 995-8229</t>
  </si>
  <si>
    <t>Magotteaux Pulaski</t>
  </si>
  <si>
    <t>(808) 871-8305</t>
  </si>
  <si>
    <t>Maguire Bearing, - Kahului Maui</t>
  </si>
  <si>
    <t>808-871-8305</t>
  </si>
  <si>
    <t>Maher Terminals- Elizabeth</t>
  </si>
  <si>
    <t>908-527-8200</t>
  </si>
  <si>
    <t>Maine Woods - Portage</t>
  </si>
  <si>
    <t>207-435-4393</t>
  </si>
  <si>
    <t>(207) 435-4393</t>
  </si>
  <si>
    <t xml:space="preserve">Mainline - </t>
  </si>
  <si>
    <t>850-219-5000</t>
  </si>
  <si>
    <t>Mainline Hyd - Sweetgrass</t>
  </si>
  <si>
    <t>Mainline Hydraulics in Sweetgrass</t>
  </si>
  <si>
    <t>(706) 534-1820</t>
  </si>
  <si>
    <t>881 Harmony Road, Eatonton, GA 31024</t>
  </si>
  <si>
    <t>Maintenance Rubber&amp;Pump</t>
  </si>
  <si>
    <t>4295 Cromwell RdWuite 605</t>
  </si>
  <si>
    <t>4295 Cromwell RdWuite 605,</t>
  </si>
  <si>
    <t>Majac Steel contact info</t>
  </si>
  <si>
    <t>832-680-1300</t>
  </si>
  <si>
    <t>510 Industrial Blvd, Phone: nan please respon_</t>
  </si>
  <si>
    <t>Malheur Lumber - John Day</t>
  </si>
  <si>
    <t>541-575-2054</t>
  </si>
  <si>
    <t>(541) 575-2054</t>
  </si>
  <si>
    <t>Malnove - Omaha</t>
  </si>
  <si>
    <t>402-330-1100</t>
  </si>
  <si>
    <t>(402) 330-1100</t>
  </si>
  <si>
    <t>Malone Associates - Evansville</t>
  </si>
  <si>
    <t>812-423-2596</t>
  </si>
  <si>
    <t>(812) 423-2596</t>
  </si>
  <si>
    <t>Malone Lumber - Merryville</t>
  </si>
  <si>
    <t>337-825-8624</t>
  </si>
  <si>
    <t>(337) 825-8624</t>
  </si>
  <si>
    <t>617-242-4300</t>
  </si>
  <si>
    <t>(319) 465-5438</t>
  </si>
  <si>
    <t>Plastic Lane; Phone: na__</t>
  </si>
  <si>
    <t>1383 Industrial Blvd</t>
  </si>
  <si>
    <t>1383 Industrial Blvd, Phone: 931-456-3419</t>
  </si>
  <si>
    <t xml:space="preserve">Mangas Tool&amp;Die Div - </t>
  </si>
  <si>
    <t>2721 Avalon Ave; Phone: 256-383-73_</t>
  </si>
  <si>
    <t>204-482-3241</t>
  </si>
  <si>
    <t xml:space="preserve">StJoseph,MI </t>
  </si>
  <si>
    <t>nan; Phone: 269-983-6361 please</t>
  </si>
  <si>
    <t>(269) 983-6361</t>
  </si>
  <si>
    <t>nan, Phone: 269-983-6361 please</t>
  </si>
  <si>
    <t>MAPatout - Jeanerette</t>
  </si>
  <si>
    <t>423-543-3195</t>
  </si>
  <si>
    <t>Marathon Cheese- Booneville</t>
  </si>
  <si>
    <t>662-728-6242</t>
  </si>
  <si>
    <t>Marathon Equip - Vernon</t>
  </si>
  <si>
    <t>205-695-9105</t>
  </si>
  <si>
    <t>909 County Road 9,Phone: (205) 695_</t>
  </si>
  <si>
    <t>201-796-4000</t>
  </si>
  <si>
    <t>Marco Fluid Power - Tampa</t>
  </si>
  <si>
    <t>813-889-8989</t>
  </si>
  <si>
    <t>(813) 889-8989</t>
  </si>
  <si>
    <t>352-732-3312</t>
  </si>
  <si>
    <t>Mark Hyd - Omaha</t>
  </si>
  <si>
    <t>4771 G Street; Phone: (402) 734-6734 please</t>
  </si>
  <si>
    <t>Mark One Air Equip - Halifax</t>
  </si>
  <si>
    <t>902-468-2234</t>
  </si>
  <si>
    <t>134 Joseph Zatzman, Phone: (902_</t>
  </si>
  <si>
    <t>206-622-4697</t>
  </si>
  <si>
    <t>Markson Products - Warsaw</t>
  </si>
  <si>
    <t>843-479-4006</t>
  </si>
  <si>
    <t>(801) 973-2700</t>
  </si>
  <si>
    <t>Marmon Keystone- Salt Lake City</t>
  </si>
  <si>
    <t>800-453-.</t>
  </si>
  <si>
    <t>Mar-Oil Hyd - Hoboken</t>
  </si>
  <si>
    <t>201-656-8780</t>
  </si>
  <si>
    <t>(201) 656-8780</t>
  </si>
  <si>
    <t>Marquip - Phillips</t>
  </si>
  <si>
    <t>Marsh Lumber - Pamplico</t>
  </si>
  <si>
    <t>843-493-5111</t>
  </si>
  <si>
    <t>256-582-2401</t>
  </si>
  <si>
    <t>Teaford Customer</t>
  </si>
  <si>
    <t>(580) 227-2734</t>
  </si>
  <si>
    <t>1414 N Main St, Phone: 580-227-2734 please</t>
  </si>
  <si>
    <t>Martin Block Corp in</t>
  </si>
  <si>
    <t>1720 Cumberland Point DrSuite 18</t>
  </si>
  <si>
    <t>1720 Cumberland Point DrSuite 18.</t>
  </si>
  <si>
    <t>Martin Plant Services @ Mueller</t>
  </si>
  <si>
    <t>956 Industrial Blvd, Albertville, AL 35950</t>
  </si>
  <si>
    <t>Martin Steel - Huntington</t>
  </si>
  <si>
    <t>304-429-5534</t>
  </si>
  <si>
    <t>Martin Supply - Sheffield</t>
  </si>
  <si>
    <t>(800) 828- .</t>
  </si>
  <si>
    <t>200 Appleton Ave; Phone: (800) 828- .</t>
  </si>
  <si>
    <t>MARTINRCA FABCO AUTO STRUCTURES</t>
  </si>
  <si>
    <t>(615) 384-9556</t>
  </si>
  <si>
    <t>ONE FABC_</t>
  </si>
  <si>
    <t>(541) 929-3146</t>
  </si>
  <si>
    <t>(517) 676-9031</t>
  </si>
  <si>
    <t>(877) 319-0270.</t>
  </si>
  <si>
    <t>(323) 722-6870</t>
  </si>
  <si>
    <t>Masonite- Cordele</t>
  </si>
  <si>
    <t>(229) 273-0473</t>
  </si>
  <si>
    <t>(229) 276-1734</t>
  </si>
  <si>
    <t>Masonite- Ukiah</t>
  </si>
  <si>
    <t>Massey Systems</t>
  </si>
  <si>
    <t>(615) 430-9766</t>
  </si>
  <si>
    <t>nan; Phone: 615-430-9766 please respond wit_</t>
  </si>
  <si>
    <t>(615) 823-0828</t>
  </si>
  <si>
    <t>nan, Phone: 615-430-9766 please _</t>
  </si>
  <si>
    <t>(660) 827-0205</t>
  </si>
  <si>
    <t>Master Design &amp;Mfg- Noblesville</t>
  </si>
  <si>
    <t>776-0860</t>
  </si>
  <si>
    <t>No phone number found</t>
  </si>
  <si>
    <t>Noblesville</t>
  </si>
  <si>
    <t>AGGRESSIVE Hyd PHONe &amp; CUSTOMER</t>
  </si>
  <si>
    <t>(864) 585-1175</t>
  </si>
  <si>
    <t>300 UTILITIES ROAD, Phone: 763- _</t>
  </si>
  <si>
    <t>3021 Wichita Ct</t>
  </si>
  <si>
    <t>3021 Wichita Ct; Phone: (817) 293-.</t>
  </si>
  <si>
    <t>898 SState Road 39</t>
  </si>
  <si>
    <t>898 SState Road 39,Phone: nan plea_</t>
  </si>
  <si>
    <t>(503) 288-7493</t>
  </si>
  <si>
    <t>(814) 849-2162</t>
  </si>
  <si>
    <t>Matteson Mfg- Cadillac</t>
  </si>
  <si>
    <t>Matthews - Decatur</t>
  </si>
  <si>
    <t>23 2nd St SW; Phone: (256) 353-0271_</t>
  </si>
  <si>
    <t>(870) 763-0000</t>
  </si>
  <si>
    <t>Maverick Tube- Conroe</t>
  </si>
  <si>
    <t>(936) 539-4444</t>
  </si>
  <si>
    <t>Maxi Mill - Albany</t>
  </si>
  <si>
    <t>Mayo Hyd - Bakersfield</t>
  </si>
  <si>
    <t>(661) 589-9131</t>
  </si>
  <si>
    <t>Maytag - Newton</t>
  </si>
  <si>
    <t>(920) 387-4500</t>
  </si>
  <si>
    <t>(859) 342-1700</t>
  </si>
  <si>
    <t>Mc - Monticello</t>
  </si>
  <si>
    <t>(763) 295-4121</t>
  </si>
  <si>
    <t>(503) 238-1155</t>
  </si>
  <si>
    <t>(337) 365-8173</t>
  </si>
  <si>
    <t>(319) 465-5435</t>
  </si>
  <si>
    <t>(415) 454-6811</t>
  </si>
  <si>
    <t>Mcclean Anderson - Schofield</t>
  </si>
  <si>
    <t>(715) 355-3006</t>
  </si>
  <si>
    <t>(610) 683-7351</t>
  </si>
  <si>
    <t>Mccord Gin - Gideon</t>
  </si>
  <si>
    <t>(573) 448-3561</t>
  </si>
  <si>
    <t>(573) 448-3581</t>
  </si>
  <si>
    <t>Mccoy-Ellison- Monroe</t>
  </si>
  <si>
    <t>289-5413</t>
  </si>
  <si>
    <t>Po Box 967,Phone:</t>
  </si>
  <si>
    <t>Company status unknown</t>
  </si>
  <si>
    <t>Mccoy-Houston- Piedmont</t>
  </si>
  <si>
    <t>(724) 694-2720</t>
  </si>
  <si>
    <t>(815) 765-2117</t>
  </si>
  <si>
    <t>2320 Melby Street;</t>
  </si>
  <si>
    <t>Mcdowell Lumber - Ashboro</t>
  </si>
  <si>
    <t>(336) 625-6241</t>
  </si>
  <si>
    <t>(336) 241-2544</t>
  </si>
  <si>
    <t>Mcfadden Machine - Blairsville</t>
  </si>
  <si>
    <t>(724) 459-8871</t>
  </si>
  <si>
    <t>(724) 459-9278</t>
  </si>
  <si>
    <t>Mcfadden Systems - Santa Fe Springs</t>
  </si>
  <si>
    <t>(562) 948-4414</t>
  </si>
  <si>
    <t>McGehee Equip - Ukiah</t>
  </si>
  <si>
    <t>(707) 463-0303</t>
  </si>
  <si>
    <t>Mcgill Airflow- Bennington</t>
  </si>
  <si>
    <t>(802) 442-8536</t>
  </si>
  <si>
    <t>(802) 442-1900</t>
  </si>
  <si>
    <t>(706) 724-4321</t>
  </si>
  <si>
    <t>(270) 395-7171</t>
  </si>
  <si>
    <t>2333 Clinton Dr;</t>
  </si>
  <si>
    <t>Mcjunkin#021 - Calvert City</t>
  </si>
  <si>
    <t>Mckechnie Plactic - Easley</t>
  </si>
  <si>
    <t>864-859-8687</t>
  </si>
  <si>
    <t>(864) 859-8687</t>
  </si>
  <si>
    <t>Mckechnie Vehicle - Newberry</t>
  </si>
  <si>
    <t>803-364-7417</t>
  </si>
  <si>
    <t>(803) 364-3636</t>
  </si>
  <si>
    <t>541-762-3300</t>
  </si>
  <si>
    <t>931-473-2131</t>
  </si>
  <si>
    <t>McShan Lumber</t>
  </si>
  <si>
    <t>205-375-6277</t>
  </si>
  <si>
    <t>1611 County Road 85, Phone_</t>
  </si>
  <si>
    <t>931-359-4504</t>
  </si>
  <si>
    <t>740-772-3111</t>
  </si>
  <si>
    <t>410-546-1311</t>
  </si>
  <si>
    <t>MEC - Coffeyville</t>
  </si>
  <si>
    <t>12th&amp;Oak, Phone: 620-325-2673 please</t>
  </si>
  <si>
    <t>MEC - Neodesha</t>
  </si>
  <si>
    <t>1400 West Main St, Phone: 620-325-2673</t>
  </si>
  <si>
    <t>Mecanex USA</t>
  </si>
  <si>
    <t>119 White Oak Drive; Phone: 860-828-6531 please_</t>
  </si>
  <si>
    <t>Mecha-Draulic Service</t>
  </si>
  <si>
    <t>152 Berkely Rd; Phone: 856-224-0403_</t>
  </si>
  <si>
    <t>515-986-0704</t>
  </si>
  <si>
    <t>323-263-4131</t>
  </si>
  <si>
    <t>nan; Phone: 517-371-2940 please</t>
  </si>
  <si>
    <t>(517) 371-2940</t>
  </si>
  <si>
    <t>nan, Phone: 517-371-2940 please</t>
  </si>
  <si>
    <t>541-779-1970</t>
  </si>
  <si>
    <t>Medina Supply - Berea</t>
  </si>
  <si>
    <t>440-234-1321</t>
  </si>
  <si>
    <t>(440) 234-1321</t>
  </si>
  <si>
    <t>Medtec - Santa Clara</t>
  </si>
  <si>
    <t>661-702-6700</t>
  </si>
  <si>
    <t>Meierotto</t>
  </si>
  <si>
    <t>4311 NEVivion Rd</t>
  </si>
  <si>
    <t>4311 NEVivion Rd; Phone: nan please respond with</t>
  </si>
  <si>
    <t>Meister Log &amp; Lumber - Reedsburg</t>
  </si>
  <si>
    <t>608-524-4412</t>
  </si>
  <si>
    <t>(608) 524-4412</t>
  </si>
  <si>
    <t>989-588-6147</t>
  </si>
  <si>
    <t>Melsur- Bellows Falls</t>
  </si>
  <si>
    <t>260-482-9502</t>
  </si>
  <si>
    <t>707-964-4781</t>
  </si>
  <si>
    <t>610-921-0287</t>
  </si>
  <si>
    <t>(215) 652-6100</t>
  </si>
  <si>
    <t>770 Sumneytown Pike; Phone: nan please</t>
  </si>
  <si>
    <t>405-332-2000</t>
  </si>
  <si>
    <t>Mereen Johnson Machine,</t>
  </si>
  <si>
    <t>4401 Lyndale Ave N, Phone: nan plea_</t>
  </si>
  <si>
    <t>900 So. 68th Street, Phone: nan pleas_</t>
  </si>
  <si>
    <t>Meridian Gold-Be - Salmon</t>
  </si>
  <si>
    <t>208-756-6300</t>
  </si>
  <si>
    <t>Merillat - Mt Jackson</t>
  </si>
  <si>
    <t>540-477-2961</t>
  </si>
  <si>
    <t>(540) 477-2961</t>
  </si>
  <si>
    <t>650-259-5959</t>
  </si>
  <si>
    <t>Meritiex - Piscataway</t>
  </si>
  <si>
    <t>732-627-9551</t>
  </si>
  <si>
    <t>(732) 627-9551</t>
  </si>
  <si>
    <t>(716) 434-5558</t>
  </si>
  <si>
    <t>Merritt PMI- Lockport</t>
  </si>
  <si>
    <t>716-434-5558</t>
  </si>
  <si>
    <t>Mestek- Farmville</t>
  </si>
  <si>
    <t>252-753-5323</t>
  </si>
  <si>
    <t>(252) 753-5323</t>
  </si>
  <si>
    <t>Metal Casting - Bristol</t>
  </si>
  <si>
    <t>276-669-3711</t>
  </si>
  <si>
    <t>Metal Matic- Bedford Park</t>
  </si>
  <si>
    <t>708-594-7553</t>
  </si>
  <si>
    <t>630-238-0880</t>
  </si>
  <si>
    <t>615-793-3120</t>
  </si>
  <si>
    <t>(920) 733-.</t>
  </si>
  <si>
    <t>2111 North Sandra Street; Phone: (920) 733-.</t>
  </si>
  <si>
    <t>Mettler Toledo- Columbus</t>
  </si>
  <si>
    <t>614-438-4511</t>
  </si>
  <si>
    <t>(614) 438-4511</t>
  </si>
  <si>
    <t>814-781-1447</t>
  </si>
  <si>
    <t>Mexican Accent - New Berlin</t>
  </si>
  <si>
    <t>262-784-4422</t>
  </si>
  <si>
    <t>(262) 784-4422</t>
  </si>
  <si>
    <t>716-542-5515</t>
  </si>
  <si>
    <t>13311 Main Road, Akron; NY 14001</t>
  </si>
  <si>
    <t>(828) 837-2117</t>
  </si>
  <si>
    <t>(513) 863-6707</t>
  </si>
  <si>
    <t>Michael Stephens - Detroit</t>
  </si>
  <si>
    <t>nan, Phone: (248) 583-7767 please</t>
  </si>
  <si>
    <t>9</t>
  </si>
  <si>
    <t>(864) 458-5000</t>
  </si>
  <si>
    <t>Parkway East; Phone: (864_</t>
  </si>
  <si>
    <t>5101</t>
  </si>
  <si>
    <t>(908) 687-1545</t>
  </si>
  <si>
    <t>Michiana Supply - Benton Harbor</t>
  </si>
  <si>
    <t>(269) 926-6159</t>
  </si>
  <si>
    <t>Michigan Block in Romeo</t>
  </si>
  <si>
    <t>(616) 241-4461</t>
  </si>
  <si>
    <t>Michigan Mechanical Services,Inc</t>
  </si>
  <si>
    <t>Michigan Rebar Equip</t>
  </si>
  <si>
    <t>24295 Gibson Drive, Phone: 586-755-.</t>
  </si>
  <si>
    <t>(734) 753-3410</t>
  </si>
  <si>
    <t>Michigan Sugar - Caro</t>
  </si>
  <si>
    <t>(989) 673-2223</t>
  </si>
  <si>
    <t>(262) 782-5626</t>
  </si>
  <si>
    <t>Micro Tech Mfg- Worcester</t>
  </si>
  <si>
    <t>(508) 752-5212</t>
  </si>
  <si>
    <t>(214) 946-3353</t>
  </si>
  <si>
    <t>(203) 597-0355</t>
  </si>
  <si>
    <t>Microbest- Waterbury</t>
  </si>
  <si>
    <t>+1 (714) 970-9400</t>
  </si>
  <si>
    <t>Mid America Bag - NChicago</t>
  </si>
  <si>
    <t>(318) 247-3741</t>
  </si>
  <si>
    <t>147 Shelby Rd, Simsboro, LA 71275 |</t>
  </si>
  <si>
    <t>(618) 467-6305</t>
  </si>
  <si>
    <t>Mid-Oregon - Bend</t>
  </si>
  <si>
    <t>(541) 382-1795</t>
  </si>
  <si>
    <t>(920) 922-7207</t>
  </si>
  <si>
    <t>(800) 236-1072</t>
  </si>
  <si>
    <t>(419) 478-9086</t>
  </si>
  <si>
    <t>5702 Opportunity Drive, Phone:</t>
  </si>
  <si>
    <t>Midwest Hydraulic Service &amp; Equip</t>
  </si>
  <si>
    <t>1925 East 4th Street, Phone:</t>
  </si>
  <si>
    <t>(219) 879-8595</t>
  </si>
  <si>
    <t>(732) 424-0558</t>
  </si>
  <si>
    <t>3111 W 167th Street, Phone: (708)</t>
  </si>
  <si>
    <t>(719) 635-9634</t>
  </si>
  <si>
    <t>Miles Ty - Westchester</t>
  </si>
  <si>
    <t>Mill Equip&amp;Eng - Pittsburgh</t>
  </si>
  <si>
    <t>(412) 261-0400</t>
  </si>
  <si>
    <t>(541) 746-8817</t>
  </si>
  <si>
    <t>(541) 342-5946</t>
  </si>
  <si>
    <t>(419) 243-3273</t>
  </si>
  <si>
    <t>(262) 742-2158</t>
  </si>
  <si>
    <t>Millcraft Alabama - Birmingham</t>
  </si>
  <si>
    <t>4200 East Lake Boulevard;</t>
  </si>
  <si>
    <t>4200 East Lake Boulevard,</t>
  </si>
  <si>
    <t>Miller Bearings</t>
  </si>
  <si>
    <t>407-849 -.</t>
  </si>
  <si>
    <t>South Westmoreland Drive; Phone: 407-849 -.</t>
  </si>
  <si>
    <t>Miller Block - Evansville</t>
  </si>
  <si>
    <t>(812) 422-2864</t>
  </si>
  <si>
    <t>2685 Reynolds Circle; Phone:_</t>
  </si>
  <si>
    <t>Miller Lumber - York</t>
  </si>
  <si>
    <t>(803) 432-6041</t>
  </si>
  <si>
    <t>Miller Saw Mill&amp;Lumber - Macy</t>
  </si>
  <si>
    <t>(323) 321-6520</t>
  </si>
  <si>
    <t>Milwaukee Valve - Prairie Du Sac</t>
  </si>
  <si>
    <t>Mine Hyd - Castledale</t>
  </si>
  <si>
    <t>(435) 381-5060</t>
  </si>
  <si>
    <t>(724) 733-9100</t>
  </si>
  <si>
    <t>Miner Elastomer Products</t>
  </si>
  <si>
    <t>Cedwards@minerelastomercom</t>
  </si>
  <si>
    <t>1200 East State Street, Phone: nan</t>
  </si>
  <si>
    <t>Miner Enterprise - Geneva</t>
  </si>
  <si>
    <t>(630) 232-3000</t>
  </si>
  <si>
    <t>(507) 537-2676</t>
  </si>
  <si>
    <t>Minnesota Pulp &amp; Pap - Brainerd</t>
  </si>
  <si>
    <t>Minnesota Rubber - Minneapolis</t>
  </si>
  <si>
    <t>Minster Machine - Minster</t>
  </si>
  <si>
    <t>(419) 628-2331</t>
  </si>
  <si>
    <t>(843) 846-2291</t>
  </si>
  <si>
    <t>(781) 245-9550</t>
  </si>
  <si>
    <t>Corinth, MS  38834</t>
  </si>
  <si>
    <t>70 County Road 277,Phone: nan</t>
  </si>
  <si>
    <t>(800) 437-5463</t>
  </si>
  <si>
    <t>1078 South Jefferson St, Phone:</t>
  </si>
  <si>
    <t>1920 NNational</t>
  </si>
  <si>
    <t>1920 NNation_</t>
  </si>
  <si>
    <t>Missouri Tooling &amp; Automation</t>
  </si>
  <si>
    <t>1235 Beck Lane</t>
  </si>
  <si>
    <t>Lebanon, MO  65536</t>
  </si>
  <si>
    <t>Mitsubishi Heavy - Leetonia</t>
  </si>
  <si>
    <t>(309) 888-8000</t>
  </si>
  <si>
    <t>(585) 420-7040</t>
  </si>
  <si>
    <t>(801) 224-0589</t>
  </si>
  <si>
    <t>Mixer Systems</t>
  </si>
  <si>
    <t>Mkc Machine &amp; Contro - Moncks Corner</t>
  </si>
  <si>
    <t>MLCorley&amp;Sons - Lexington</t>
  </si>
  <si>
    <t>(214) 467-2700</t>
  </si>
  <si>
    <t>1200 Market Street NE; Phone: 552-7425 please</t>
  </si>
  <si>
    <t>Mobile Hyd - Semmes</t>
  </si>
  <si>
    <t>(251) 649-6825</t>
  </si>
  <si>
    <t>(251) 653-0606</t>
  </si>
  <si>
    <t>Moco Engineering &amp; F - Otis Orchards</t>
  </si>
  <si>
    <t>(509) 226-0199</t>
  </si>
  <si>
    <t>Moco Engineerng &amp; Fa - Spokane</t>
  </si>
  <si>
    <t>Modeco - Lee</t>
  </si>
  <si>
    <t>(413) 243-0079</t>
  </si>
  <si>
    <t>Model BoxOf Ame - Chattanooga</t>
  </si>
  <si>
    <t>Modern - Erie</t>
  </si>
  <si>
    <t>(814) 455-8061</t>
  </si>
  <si>
    <t>(615) 446-1990</t>
  </si>
  <si>
    <t>nan; Phone: 615-812-1754 please</t>
  </si>
  <si>
    <t>(502) 448-1780</t>
  </si>
  <si>
    <t>(765) 552-3145</t>
  </si>
  <si>
    <t>(978) 534-3370</t>
  </si>
  <si>
    <t>Modern Eng&amp; Piping - Defiance</t>
  </si>
  <si>
    <t>(217) 774-4130</t>
  </si>
  <si>
    <t>(251) 476-8343</t>
  </si>
  <si>
    <t>(423) 928-0302</t>
  </si>
  <si>
    <t>Modern Welding - Elizabethtown</t>
  </si>
  <si>
    <t>(270) 769-1368</t>
  </si>
  <si>
    <t>(262) 636-1200</t>
  </si>
  <si>
    <t>Modine MFG - Racine</t>
  </si>
  <si>
    <t>RENAMED: @</t>
  </si>
  <si>
    <t>Moex- Albany</t>
  </si>
  <si>
    <t>Mohawk - Chatsworth</t>
  </si>
  <si>
    <t>(706) 895-3341</t>
  </si>
  <si>
    <t>(706) 277-1100</t>
  </si>
  <si>
    <t>Mohawk, - Pembroke Park</t>
  </si>
  <si>
    <t>(954) 989-7910</t>
  </si>
  <si>
    <t>(877) 466-6226</t>
  </si>
  <si>
    <t>303) 353-2311.</t>
  </si>
  <si>
    <t>Monitor Sugar - Bay City</t>
  </si>
  <si>
    <t>(989) 686-0161</t>
  </si>
  <si>
    <t>Monnig - Glasgow</t>
  </si>
  <si>
    <t>(706) 376-4743</t>
  </si>
  <si>
    <t>Monsanto - Fayetteville</t>
  </si>
  <si>
    <t>Montague - North Charles</t>
  </si>
  <si>
    <t>(510) 785-8822</t>
  </si>
  <si>
    <t>(803) 735-0330</t>
  </si>
  <si>
    <t>nan; Phone: 803-735-0330 please</t>
  </si>
  <si>
    <t>(843) 519-1651</t>
  </si>
  <si>
    <t>(406) 449-6318</t>
  </si>
  <si>
    <t>Montana Power - Great Falls</t>
  </si>
  <si>
    <t>(410) 282-8800</t>
  </si>
  <si>
    <t>Montenay Islip- Ronkonkoma</t>
  </si>
  <si>
    <t>(334) 262-6076</t>
  </si>
  <si>
    <t>1404 Furnace St, Montgomery, AL 36104</t>
  </si>
  <si>
    <t>Moog- East Aurora</t>
  </si>
  <si>
    <t>(716) 652-2000</t>
  </si>
  <si>
    <t>(207) 668-4193</t>
  </si>
  <si>
    <t>Morbark - Winn</t>
  </si>
  <si>
    <t>(508) 755-6111</t>
  </si>
  <si>
    <t>(708) 758-5300</t>
  </si>
  <si>
    <t>(330) 339-6656</t>
  </si>
  <si>
    <t>Morpac Ind</t>
  </si>
  <si>
    <t>117 Frontage Rd NBldg</t>
  </si>
  <si>
    <t>117 Frontage Rd NBldg; Phone: 253-735-8922 pleas:</t>
  </si>
  <si>
    <t>Morris Industrial - Saraland</t>
  </si>
  <si>
    <t>(251) 675-4636</t>
  </si>
  <si>
    <t>Morrison Bros - Dubuque</t>
  </si>
  <si>
    <t>(563) 583-5701</t>
  </si>
  <si>
    <t>(330) 925-3015</t>
  </si>
  <si>
    <t>236 36th Street North, Phone: 403-32_</t>
  </si>
  <si>
    <t>#16,4155- 7Sth avenue SE, Phone:</t>
  </si>
  <si>
    <t>5736 59 St</t>
  </si>
  <si>
    <t>5736 59 St, Phone: 780-414-1873</t>
  </si>
  <si>
    <t>226 Woodall Road SW; Phone: 256-.</t>
  </si>
  <si>
    <t>540 Trade Center Street, Phone: 334 -_</t>
  </si>
  <si>
    <t>802 ESecond Street</t>
  </si>
  <si>
    <t>802 ESecond Street, Phone: 256-.</t>
  </si>
  <si>
    <t>3721 11th Avenue; Phone: 205-759-.</t>
  </si>
  <si>
    <t>1950 Wise Drive; Phone: 334-794-274_</t>
  </si>
  <si>
    <t>2411 Hill Road, Phone: 256-249-4341</t>
  </si>
  <si>
    <t>150 Ida Drive, Phone: 205-654-2975</t>
  </si>
  <si>
    <t>Motion-AL17 HUNTSVILLE</t>
  </si>
  <si>
    <t>5848 RE PARK BLVD SUITE</t>
  </si>
  <si>
    <t>251-743-481.</t>
  </si>
  <si>
    <t>2 Hornady Drive; Phone: 251-743-481.</t>
  </si>
  <si>
    <t>870 .</t>
  </si>
  <si>
    <t>2717 Highway 82 West; Phone: 870 .</t>
  </si>
  <si>
    <t>6217 East Highland Drive, Phone: 870_</t>
  </si>
  <si>
    <t>5903 South 26th Circle, Phone: 479-.</t>
  </si>
  <si>
    <t>2301 East 9th Street; Phone: 870-774- _</t>
  </si>
  <si>
    <t>479- .</t>
  </si>
  <si>
    <t>402 S Thompson Suite 9,Phone: 479- .</t>
  </si>
  <si>
    <t>2611 SRoosevelt, Suite 102</t>
  </si>
  <si>
    <t>2611 SRoosevelt; Suite 102, Phone:</t>
  </si>
  <si>
    <t>(520) 889-</t>
  </si>
  <si>
    <t>#6, 1600 Derwent Way; Phone: 604 _</t>
  </si>
  <si>
    <t>5001 Standard Street, Phone: 661-32_</t>
  </si>
  <si>
    <t>2705 Lafayette Street; Phone: 408-72_</t>
  </si>
  <si>
    <t>3473 Ramona Avenue; Phone: 916- _</t>
  </si>
  <si>
    <t>2680 Church Avenue; Phone: 559-237_</t>
  </si>
  <si>
    <t>209-.</t>
  </si>
  <si>
    <t>704 East Hazelton Street; Phone: 209-.</t>
  </si>
  <si>
    <t>209-529- .</t>
  </si>
  <si>
    <t>448 Mitchell Road, Phone: 209-529- .</t>
  </si>
  <si>
    <t>(530) 662-9651</t>
  </si>
  <si>
    <t>301 Harter Avenue; Phone: 530-662 _</t>
  </si>
  <si>
    <t>1030 Victor Road, Phone: 209-334-2530 pleas_</t>
  </si>
  <si>
    <t>909-.</t>
  </si>
  <si>
    <t>10887 Commerce Way C, Phone: 909-.</t>
  </si>
  <si>
    <t>721</t>
  </si>
  <si>
    <t>760 West 190th Street, Phone: 310- _</t>
  </si>
  <si>
    <t>408-.</t>
  </si>
  <si>
    <t>6450-A Chestnut Street, Phone: 408-.</t>
  </si>
  <si>
    <t>818- .</t>
  </si>
  <si>
    <t>12995 Arroyo Street, Phone: 818- .</t>
  </si>
  <si>
    <t>(707) 462-9766</t>
  </si>
  <si>
    <t>2020-A Industry Road, Phone: 707-46_</t>
  </si>
  <si>
    <t>Motion-CA24 Hayward contact info</t>
  </si>
  <si>
    <t>(707) 252-7333.</t>
  </si>
  <si>
    <t>858 East Fifth Street; Phone: 805-487_</t>
  </si>
  <si>
    <t>949-.</t>
  </si>
  <si>
    <t>17344 Eastman Street, Phone: 949-.</t>
  </si>
  <si>
    <t>Motion-CO16 Centennial</t>
  </si>
  <si>
    <t>12358 E Easter Ave #150</t>
  </si>
  <si>
    <t>Englewood, CO 80112</t>
  </si>
  <si>
    <t>12358 E Easter Ave #150, Phone: 303_</t>
  </si>
  <si>
    <t>3020 Granada Blvd Ste A</t>
  </si>
  <si>
    <t>3020 Granada Blvd Ste A, Phone: 719_</t>
  </si>
  <si>
    <t>5885 E 45th North Drive, Unit C-312</t>
  </si>
  <si>
    <t>5885 E 45th North Drive; Unit C-312,</t>
  </si>
  <si>
    <t>256 Main Street, Phone: 860-292-609_</t>
  </si>
  <si>
    <t>1417 Massaro Blvd, Phone: 813-626-_</t>
  </si>
  <si>
    <t>2501 SW 160th Ave, Ste100</t>
  </si>
  <si>
    <t>2501 SW 160th Ave; Ste1O0, Phone:</t>
  </si>
  <si>
    <t>BM - Geo"Buddy" Peeples  OPS - Fonda Alorda</t>
  </si>
  <si>
    <t>1950 East Highway 60 Bypass, Bartow; FL 33830</t>
  </si>
  <si>
    <t>407-29.</t>
  </si>
  <si>
    <t>2465 Silver Star Road, Phone: 407-29.</t>
  </si>
  <si>
    <t>401 Heckscher Drive; Phone: 904-751_</t>
  </si>
  <si>
    <t>436 Highway 17 North; Phone: 386-_</t>
  </si>
  <si>
    <t>2525 Trailmate Drive, #102, Phone:</t>
  </si>
  <si>
    <t>326 S WCOwen Ave</t>
  </si>
  <si>
    <t>326 S WCOwen</t>
  </si>
  <si>
    <t>4240 Bandy Blvd, Phone: 772-464-55_</t>
  </si>
  <si>
    <t>8145 Troon Circle, Suite G, Phone: 77.</t>
  </si>
  <si>
    <t>1247 Gordon Park Road, Phone: 706-.</t>
  </si>
  <si>
    <t>111 Key Drive; Phone: 912-265-0178</t>
  </si>
  <si>
    <t>912-236-.</t>
  </si>
  <si>
    <t>1521 Telfair Road, Phone: 912-236-.</t>
  </si>
  <si>
    <t>506 Manchester Expressway SteB-11</t>
  </si>
  <si>
    <t>506 Manchester Expressway SteB-11,</t>
  </si>
  <si>
    <t>5695 Oakbrook Pkwy, Suite A</t>
  </si>
  <si>
    <t>5695 Oakbrook Pkwy; Suite A, Phone:</t>
  </si>
  <si>
    <t>509 South Mock Road, Phone: 229-.</t>
  </si>
  <si>
    <t>7444 Airport Drive; Phone: 478-784 _</t>
  </si>
  <si>
    <t>1011 Airport Street; Phone: 770-532 _</t>
  </si>
  <si>
    <t>415 Hamilton Crossing Road NW;</t>
  </si>
  <si>
    <t>10139 Industrial Drive, Phone: 770-78_</t>
  </si>
  <si>
    <t>106 Hemlock Street; Phone: 229-244-_</t>
  </si>
  <si>
    <t>706-272.</t>
  </si>
  <si>
    <t>2768 Lakeland Road, Phone: 706-272.</t>
  </si>
  <si>
    <t>4711 Gordon McIntyre Road, Phone:</t>
  </si>
  <si>
    <t>2546 South Leonine, Phone: 316-265 _</t>
  </si>
  <si>
    <t>319-235-.</t>
  </si>
  <si>
    <t>1512 Falls Avenue; Phone: 319-235-.</t>
  </si>
  <si>
    <t>3100 Line Drive; Phone: 712-258-059_</t>
  </si>
  <si>
    <t>2011 Grandview; Phone: 563-263-345_</t>
  </si>
  <si>
    <t>710 South Madison Avenue; Phone:</t>
  </si>
  <si>
    <t>515- .</t>
  </si>
  <si>
    <t>1505 East Aurora Street, Phone: 515- .</t>
  </si>
  <si>
    <t>563-556-3022.</t>
  </si>
  <si>
    <t>1380 East 12th, Phone: 563-556-3022.</t>
  </si>
  <si>
    <t>2330 263rd Avenue; Phone: 319-372- _</t>
  </si>
  <si>
    <t>1528-A Street West, Phone: 515-573-_</t>
  </si>
  <si>
    <t>901 First Avenue SW, Phone: 319-362_</t>
  </si>
  <si>
    <t>7451 Lemhi Street, Phone: 208-377-4334</t>
  </si>
  <si>
    <t>1361 SJefferson</t>
  </si>
  <si>
    <t>1361 SJefferson, Phone: 773-268 _</t>
  </si>
  <si>
    <t>1028 Moen Avenue; Phone: 815-725-6720</t>
  </si>
  <si>
    <t>5444 East Avenue; Phone: 708-354 _</t>
  </si>
  <si>
    <t>800 Glen Flora Avenue; Phone: 847 -=</t>
  </si>
  <si>
    <t>3483 Lonergan Drive; Phone: 815-874_</t>
  </si>
  <si>
    <t>100 Halsted Street, Phone: 708-75_</t>
  </si>
  <si>
    <t>1790 Cortland Court; Phone: 630-627 -_</t>
  </si>
  <si>
    <t>815 .</t>
  </si>
  <si>
    <t>811 Larry Power Road; Phone: 815 .</t>
  </si>
  <si>
    <t>2017 Fourth Street, Phone: 815-223-7800</t>
  </si>
  <si>
    <t>Motion-IL14 Danville contact info</t>
  </si>
  <si>
    <t>217_***-****</t>
  </si>
  <si>
    <t>5400 West 111th Street, Phone: 708-.</t>
  </si>
  <si>
    <t>1920 Fifth Avenue; Phone: 309-797-_</t>
  </si>
  <si>
    <t>312 State Street, Phone: 217-222-616_</t>
  </si>
  <si>
    <t>786 Church Road, Phone: 847-697-3100 pleas_</t>
  </si>
  <si>
    <t>217-35.</t>
  </si>
  <si>
    <t>41 East Kenyon Road, Phone: 217-35.</t>
  </si>
  <si>
    <t>1345 Landmeier Road, Phone: 847_</t>
  </si>
  <si>
    <t>397A Charles Court, Phone: 630-231-_</t>
  </si>
  <si>
    <t>847-459.</t>
  </si>
  <si>
    <t>222 Marquardt Drive; Phone: 847-459.</t>
  </si>
  <si>
    <t>9926 North Alpine Road, Phone:</t>
  </si>
  <si>
    <t>1451 Aucutt Road, Phone: 630-897-._</t>
  </si>
  <si>
    <t>309-.</t>
  </si>
  <si>
    <t>3113 North Main Street, Phone: 309-.</t>
  </si>
  <si>
    <t>217--</t>
  </si>
  <si>
    <t>1620 Hubbard Avenue; Phone: 217--</t>
  </si>
  <si>
    <t>3761 Sangamon Avenue; Phone: 217-_</t>
  </si>
  <si>
    <t>309-827-.</t>
  </si>
  <si>
    <t>14015 Carole Drive; Phone: 309-827-.</t>
  </si>
  <si>
    <t>574 .</t>
  </si>
  <si>
    <t>3901 South Main Street, Phone: 574 .</t>
  </si>
  <si>
    <t>1425 Danville Avenue; Phone: 765 _</t>
  </si>
  <si>
    <t>2154 Production Road, Phone: 260 _</t>
  </si>
  <si>
    <t>129 Enterprise Drive; Phone: 574-268 _</t>
  </si>
  <si>
    <t>30 Creasy Court; Phone: 765-448-660_</t>
  </si>
  <si>
    <t>3620 Calumet Avenue; Phon_</t>
  </si>
  <si>
    <t>7401 East Melton Road, Phone: 219-938-9200_</t>
  </si>
  <si>
    <t>4410 Airport Expressway, Phone: 317_</t>
  </si>
  <si>
    <t>247 Gladstone South; Phone: 812-379_</t>
  </si>
  <si>
    <t>1619 Rank Parkway Court; Phone: 76_</t>
  </si>
  <si>
    <t>3550 South Hoyt Avenue; Phone: 765-_</t>
  </si>
  <si>
    <t>1325 Rich Road, Phone: 765-966-352_</t>
  </si>
  <si>
    <t>812-27.</t>
  </si>
  <si>
    <t>3000 North Shun Pike, Phone: 812-27.</t>
  </si>
  <si>
    <t>574-293-.</t>
  </si>
  <si>
    <t>4709 Wyland Drive; Phone: 574-293-.</t>
  </si>
  <si>
    <t>785-</t>
  </si>
  <si>
    <t>510 East Schilling Road; Phone: 785-</t>
  </si>
  <si>
    <t>1304 Rath Avenue; Phone: 620-227 -_</t>
  </si>
  <si>
    <t>606-878- .</t>
  </si>
  <si>
    <t>1680</t>
  </si>
  <si>
    <t>270-443-.</t>
  </si>
  <si>
    <t>2900 Powell Street; Phone: 270-443-.</t>
  </si>
  <si>
    <t>331 Vanderbilt Drive; Phone: 270- _</t>
  </si>
  <si>
    <t>1234 East Second Street, Phone: 270- _</t>
  </si>
  <si>
    <t>859-873-.</t>
  </si>
  <si>
    <t>550 Fielding Drive; Phone: 859-873-.</t>
  </si>
  <si>
    <t>3324 Gilmore Industrial Blvd, Phone:</t>
  </si>
  <si>
    <t>Motion-LA18 Lafayette information</t>
  </si>
  <si>
    <t>337-____</t>
  </si>
  <si>
    <t>70161-D Highway 59, Phone: 985 _</t>
  </si>
  <si>
    <t>337-235- .</t>
  </si>
  <si>
    <t>205 Monroe Street, Phone: 337-235- .</t>
  </si>
  <si>
    <t>337-365-.</t>
  </si>
  <si>
    <t>4715 Curtis Lane; Phone: 337-365-.</t>
  </si>
  <si>
    <t>985-868-.</t>
  </si>
  <si>
    <t>5837 Highway 311, Phone: 985-868-.</t>
  </si>
  <si>
    <t>5625 Salmen Street, Phone: 504-733-_</t>
  </si>
  <si>
    <t>2516 Weller Avenue; Phone: 225-356- ._</t>
  </si>
  <si>
    <t>105 Enterprise Street; Phone: 318 _</t>
  </si>
  <si>
    <t>8125 Hwy 90 East, Phone: 985-384-_</t>
  </si>
  <si>
    <t>1144 McArthur Avenue; Phone: 504- _</t>
  </si>
  <si>
    <t>906 West Orice Roth, Phone: 225-644_</t>
  </si>
  <si>
    <t>978-373 .</t>
  </si>
  <si>
    <t>17 Parkridge Road, Phone: 978-373 .</t>
  </si>
  <si>
    <t>44 Third Avenue; Phone: 617-666-385_</t>
  </si>
  <si>
    <t>1411 Unit</t>
  </si>
  <si>
    <t>9156 Ocean Highway; Phone: 410-74_</t>
  </si>
  <si>
    <t>8415-250 Kelso Drive, Phone: 410-68_</t>
  </si>
  <si>
    <t>207-828-4727 .</t>
  </si>
  <si>
    <t>190 Rand Road, Phone: 207-828-4727 .</t>
  </si>
  <si>
    <t>16 Buck Street, Phone: 207-764-7270</t>
  </si>
  <si>
    <t>216 Perry Road, Phone: 207-942-557_</t>
  </si>
  <si>
    <t>c/o SD Warren, Somerset Plant; Rout_</t>
  </si>
  <si>
    <t>586-758-.</t>
  </si>
  <si>
    <t>25600 Dequindre; Phone: 586-758-.</t>
  </si>
  <si>
    <t>586- .</t>
  </si>
  <si>
    <t>6576 Diplomat Drive; Phone: 586- .</t>
  </si>
  <si>
    <t>3321 East Cork Street; Phone: 269-38_</t>
  </si>
  <si>
    <t>3421 South Creyts Road; Phone: 517-_</t>
  </si>
  <si>
    <t>989-.</t>
  </si>
  <si>
    <t>3345 East Washington; Phone: 989-.</t>
  </si>
  <si>
    <t>33801 Schoolcraft Road, Phone: 734-_</t>
  </si>
  <si>
    <t>1240 US Highway 23 N, Phone: 989-.</t>
  </si>
  <si>
    <t>2332 East High Street; Phone: 517-78_</t>
  </si>
  <si>
    <t>1814 North Lincoln Road, Phone: 906_</t>
  </si>
  <si>
    <t>12717 Prospect; Phone: 313-581-554_</t>
  </si>
  <si>
    <t>2570 Walker NW; Phone: 616-791-977_</t>
  </si>
  <si>
    <t>2815 Cass Road, Suite D2, Phone: 23_</t>
  </si>
  <si>
    <t>800 Greenwood Street, Phone: 906-_</t>
  </si>
  <si>
    <t>504-532-0198</t>
  </si>
  <si>
    <t>425 North Zth Street; Phone: 507-532 _</t>
  </si>
  <si>
    <t>218-628- .</t>
  </si>
  <si>
    <t>3009 West Superior; Phone: 218-628- .</t>
  </si>
  <si>
    <t>1004 Belle Avenue, Phone: 507-345-_</t>
  </si>
  <si>
    <t>3050 Third Street South; Phone: 320- _</t>
  </si>
  <si>
    <t>7161 Shady Oak Road, Phone: 952 _</t>
  </si>
  <si>
    <t>240-A South Union, Phone: 417-862 _</t>
  </si>
  <si>
    <t>3730 East 2Oth Street; Phone: 417-78_</t>
  </si>
  <si>
    <t>Motion-MO35 St Louis</t>
  </si>
  <si>
    <t>St Louis, MO Earth City 63045-1214</t>
  </si>
  <si>
    <t>13724 Shoreline Court E, Phone: 314 _</t>
  </si>
  <si>
    <t>628 NW Platte</t>
  </si>
  <si>
    <t>510-B Highway 80 West; Phone: 601-_</t>
  </si>
  <si>
    <t>6430 Shortcut Road, Phone: 228-762- _</t>
  </si>
  <si>
    <t>285 Yorkville Road, Phone: 662-328-_</t>
  </si>
  <si>
    <t>2025 Meridian Avenue; Phone: 601-_</t>
  </si>
  <si>
    <t>601-482-.</t>
  </si>
  <si>
    <t>5124 Arundel Road, Phone: 601-482-.</t>
  </si>
  <si>
    <t>60 Grady Road; Phone: 662-226-6800</t>
  </si>
  <si>
    <t>2211 Cliff Gookin Blvd, Phone: 662-.</t>
  </si>
  <si>
    <t>1123 Second Avenue North; Phone:</t>
  </si>
  <si>
    <t>138 Main Street, Phone: 506-375-444_</t>
  </si>
  <si>
    <t>790 A, Canada Road, Phone: 506-735-_</t>
  </si>
  <si>
    <t>Motion-NC08 Kernersville</t>
  </si>
  <si>
    <t>1249 Sheilds Rd, Phone: 336-993-297_</t>
  </si>
  <si>
    <t>704 .</t>
  </si>
  <si>
    <t>11517-| Cordage Street; Phone: 704 .</t>
  </si>
  <si>
    <t>102D Staton Court; Phone: 252-752-_</t>
  </si>
  <si>
    <t>3865 Sweeten Creek Road, Phone: 82_</t>
  </si>
  <si>
    <t>1491-G Business Park Court, Phone:</t>
  </si>
  <si>
    <t>1933 Tate Blvd SE, Phone: 828-324- _</t>
  </si>
  <si>
    <t>118 South Business Court; Phone:</t>
  </si>
  <si>
    <t>701-223-.</t>
  </si>
  <si>
    <t>1222 Basin Avenue; Phone: 701-223-.</t>
  </si>
  <si>
    <t>701-23.</t>
  </si>
  <si>
    <t>201 27th Street North; Phone: 701-23.</t>
  </si>
  <si>
    <t>5725 F Street; Phone: 402-344-7323</t>
  </si>
  <si>
    <t>905 Prospect Drive; Phone: 308-534 _</t>
  </si>
  <si>
    <t>308-381-.</t>
  </si>
  <si>
    <t>1705 Hollard Drive; Phone: 308-381-.</t>
  </si>
  <si>
    <t>444 East Industrial Park Drive Unit #1_</t>
  </si>
  <si>
    <t>603-752 -.</t>
  </si>
  <si>
    <t>1327 Main Street, Phone: 603-752 -.</t>
  </si>
  <si>
    <t>22 Home News Row; Phone: 732-_</t>
  </si>
  <si>
    <t>3208 Vassar NE, Phone: 505-884- _</t>
  </si>
  <si>
    <t>928.</t>
  </si>
  <si>
    <t>2301 Bloomfield Hwy, Phone: 505-32_</t>
  </si>
  <si>
    <t>575-762-4773</t>
  </si>
  <si>
    <t>520 West Zth Street, Clovis,NM 88101</t>
  </si>
  <si>
    <t>902-755-.</t>
  </si>
  <si>
    <t>77 Park Street; Phone: 902-755-.</t>
  </si>
  <si>
    <t>775-.</t>
  </si>
  <si>
    <t>704 Spice Island Drive, Phone: 775-.</t>
  </si>
  <si>
    <t>132 Railroad Avenue; Phone: 518-438_</t>
  </si>
  <si>
    <t>1300</t>
  </si>
  <si>
    <t>4541 Interpoint Blvd</t>
  </si>
  <si>
    <t>4541 Interpoint Blvd; Phone: 937-236 _</t>
  </si>
  <si>
    <t>675 Wilmer Avenue; Phone: 513-533 -_</t>
  </si>
  <si>
    <t>1666 Integrity Drive East; Phone: 614 _</t>
  </si>
  <si>
    <t>1874 Spruce Street; Phone: 419-784 __</t>
  </si>
  <si>
    <t>1223 Hook Drive, Phone: 513-423-28_</t>
  </si>
  <si>
    <t>419-625 .</t>
  </si>
  <si>
    <t>3505 Venice Road, Phone: 419-625 .</t>
  </si>
  <si>
    <t>8580 Industry Park Drive; Phone: 937-_</t>
  </si>
  <si>
    <t>700 South Ewing Street, Phone: 740 -_</t>
  </si>
  <si>
    <t>231 Stanford Parkway; Phone: 419-.</t>
  </si>
  <si>
    <t>5119 Enterprise Blvd, Phone: 419-726_</t>
  </si>
  <si>
    <t>108 North Park Dirve; Phone: 740-775_</t>
  </si>
  <si>
    <t>937-</t>
  </si>
  <si>
    <t>1005 Delaware Avenue; Phone: 937-</t>
  </si>
  <si>
    <t>4620 Hinckley Ind Parkway; Phone:</t>
  </si>
  <si>
    <t>4013 Strausser Street NW, Phone:</t>
  </si>
  <si>
    <t>1207 Cheney Avenue; Phone: 740-375_</t>
  </si>
  <si>
    <t>304 North Meridian; Suite 23,</t>
  </si>
  <si>
    <t>918-62.</t>
  </si>
  <si>
    <t>7302 East 38th Street, Phone: 918-62.</t>
  </si>
  <si>
    <t>580-248 -.</t>
  </si>
  <si>
    <t>2505 SW Jefferson, Phone: 580-248 -.</t>
  </si>
  <si>
    <t>519-.</t>
  </si>
  <si>
    <t>510 Weber Street North, Phone: 519-.</t>
  </si>
  <si>
    <t>625 Newbold Street; Phone: 519-681-_</t>
  </si>
  <si>
    <t>1355 Confederation Street, Phone:</t>
  </si>
  <si>
    <t>200 Queens Quay East; Unit 2-3,Phon_</t>
  </si>
  <si>
    <t>665 Dundas Street East, Phone: 613- _</t>
  </si>
  <si>
    <t>2490</t>
  </si>
  <si>
    <t>541-732-155.</t>
  </si>
  <si>
    <t>586 Mason Way; Phone: 541-732-155.</t>
  </si>
  <si>
    <t>560 Maryland Avenue; Phone: 717-848-1102</t>
  </si>
  <si>
    <t>21 Abraso Street, Phone: 717-393-39_</t>
  </si>
  <si>
    <t>BM - Kenneth EMartin  OPS - Sherry Griffith</t>
  </si>
  <si>
    <t>330 Bern Street, Phone: 610-376-716_</t>
  </si>
  <si>
    <t>1514 Parkway View Drive; Phone: 412_</t>
  </si>
  <si>
    <t>301 Henderson Drive, Phone: 610-616_</t>
  </si>
  <si>
    <t>551 Northgate Circle; Phone: 724-654_</t>
  </si>
  <si>
    <t>412-856-803.</t>
  </si>
  <si>
    <t>610 Beatty Road, Phone: 412-856-803.</t>
  </si>
  <si>
    <t>1921,32e Avenue; Phone: 514-633-__</t>
  </si>
  <si>
    <t>Motion-QC03 Trois-RiviÃ¨res</t>
  </si>
  <si>
    <t>Trois-RiviÃ¨res, Quebec G8Z 4P8</t>
  </si>
  <si>
    <t>6155,rue Corbeil, Phone: 819-374-_</t>
  </si>
  <si>
    <t>495,rue NoAkl, Phone: 418- _</t>
  </si>
  <si>
    <t>740 rue Richard, Phone: 450-759-634_</t>
  </si>
  <si>
    <t>3000 rue Einstein, Phone: 418-657-_</t>
  </si>
  <si>
    <t>418-696-.</t>
  </si>
  <si>
    <t>87 rue des Routiers, Phone: 418-696-.</t>
  </si>
  <si>
    <t>450-.</t>
  </si>
  <si>
    <t>450 Chemin Larocque; Phone: 450-.</t>
  </si>
  <si>
    <t>1925,32e Avenue; Phone: 514-636-__</t>
  </si>
  <si>
    <t>1685, boul Marie-Victorin; Phone: 450_</t>
  </si>
  <si>
    <t>1204,rue Bergar; Phone: 450-669-290_</t>
  </si>
  <si>
    <t>4500,rue Kimber; bloc D, unite 36,</t>
  </si>
  <si>
    <t>745, chemin Grand-Bernier</t>
  </si>
  <si>
    <t>418-725-.</t>
  </si>
  <si>
    <t>430 des Artisans, Phone: 418-725-.</t>
  </si>
  <si>
    <t>1200,98 e rue, Phone: 418-228-2128</t>
  </si>
  <si>
    <t>2548 Morningside Drive; Phone: 803-.</t>
  </si>
  <si>
    <t>1001 Bankton Road, Phone: 843-554 _</t>
  </si>
  <si>
    <t>843-395-.</t>
  </si>
  <si>
    <t>205 Aberdeen Drive, Phone: 843-395-.</t>
  </si>
  <si>
    <t>Idaho Street, Phone: 864-288-7503</t>
  </si>
  <si>
    <t>1669 Samco Road, Phone: 605-399-_</t>
  </si>
  <si>
    <t>404 East 4Oth Street North; Phone:</t>
  </si>
  <si>
    <t>306-.</t>
  </si>
  <si>
    <t>#8 3342 Millar Avenue; Phone: 306-.</t>
  </si>
  <si>
    <t>306-721 .</t>
  </si>
  <si>
    <t>628 Henderson Drive; Phone: 306-721 .</t>
  </si>
  <si>
    <t>1296 Boyd Farris Road; Phone: 931-_</t>
  </si>
  <si>
    <t>2614 Brick Church Pike; Phone: 615- _</t>
  </si>
  <si>
    <t>3345 One Place; Phone: 901-398-200_</t>
  </si>
  <si>
    <t>31 Conalco Road, Phone: 731-423-_</t>
  </si>
  <si>
    <t>114 South Sugar Hollow Road, Phone_</t>
  </si>
  <si>
    <t>3515 Cleburne Road, Phone: 931-489-_</t>
  </si>
  <si>
    <t>119 Regional Park Drive; Kingsport; TN 37660</t>
  </si>
  <si>
    <t>615-895-.</t>
  </si>
  <si>
    <t>803 Park Avenue; Phone: 615-895-.</t>
  </si>
  <si>
    <t>2221 West Mockingbird Lane; Phone:</t>
  </si>
  <si>
    <t>2500 West NW</t>
  </si>
  <si>
    <t>2589 NE 33rd Street, Phone: 817-838 _</t>
  </si>
  <si>
    <t>Lufkin, TX 75904</t>
  </si>
  <si>
    <t>2100 North John Redditt Drive; Phone_</t>
  </si>
  <si>
    <t>325-643-.</t>
  </si>
  <si>
    <t>1421 Burney Drive, Phone: 325-643-.</t>
  </si>
  <si>
    <t>1809 Texoma Drive; Phone: 903-892 _</t>
  </si>
  <si>
    <t>254-772-.</t>
  </si>
  <si>
    <t>6500 Depot Drive; Phone: 254-772-.</t>
  </si>
  <si>
    <t>901</t>
  </si>
  <si>
    <t>806-372- .</t>
  </si>
  <si>
    <t>411 West Seventh; Phone: 806-372- .</t>
  </si>
  <si>
    <t>701 West Sixth; Phone: 806-293-0100_</t>
  </si>
  <si>
    <t>4022 Bell Drive, Phone: 254-773-4224__</t>
  </si>
  <si>
    <t>1402 West Highway 60,Phone: 806 _</t>
  </si>
  <si>
    <t>488 Regal Row Suite #108,Phone: 95_</t>
  </si>
  <si>
    <t>4000 N County Rd W, Phone: 432-362_</t>
  </si>
  <si>
    <t>419 West Highway 83,Phone: 956-68_</t>
  </si>
  <si>
    <t>BM - Mel Coutino  OPS - Gilbert De Alba, Jr</t>
  </si>
  <si>
    <t>East Hwy 359, Rt 3, Box 19-M, Phone:</t>
  </si>
  <si>
    <t>2403 North Ben Wilson; Phone: 361-_</t>
  </si>
  <si>
    <t>713-956-0150.</t>
  </si>
  <si>
    <t>6550 Long Point; Phone: 713-956-015_</t>
  </si>
  <si>
    <t>4536 Macro, Phone: 210-662-6772</t>
  </si>
  <si>
    <t>1200 Silber Road, Phone: 713-688-_</t>
  </si>
  <si>
    <t>6922 Highway 332 East; Phone: 979-_</t>
  </si>
  <si>
    <t>281-542-1660</t>
  </si>
  <si>
    <t>711 East Belmont, Phone: 713-477- _</t>
  </si>
  <si>
    <t>409-962 .</t>
  </si>
  <si>
    <t>4330 A Northlink, Phone: 409-962 .</t>
  </si>
  <si>
    <t>615 Stadium Drive; Phone: 817-261-_</t>
  </si>
  <si>
    <t>2321 Executive Drive; Phone: 972-278_</t>
  </si>
  <si>
    <t>2201 South Eastman Road, Phone:</t>
  </si>
  <si>
    <t>2377 South 1900 West; Phone: 801-_</t>
  </si>
  <si>
    <t>431 Pleasant Valley Road, Phone: 540_</t>
  </si>
  <si>
    <t>2957 Shawnee Drive; Phone: 540-662_</t>
  </si>
  <si>
    <t>757 --</t>
  </si>
  <si>
    <t>1220-D Fleetway Drive; Phone: 757 --</t>
  </si>
  <si>
    <t>BM - Jay Carawan  OPS - CB Morgan</t>
  </si>
  <si>
    <t>9203 Burge Avenue; Phone: 804-743-_</t>
  </si>
  <si>
    <t>6634 Fleet Drive; Phone: 703-719-680_</t>
  </si>
  <si>
    <t>1030 McConville Road, Unit 13,Phon_</t>
  </si>
  <si>
    <t>1121 Industrial Way; Phone: 360-425-_</t>
  </si>
  <si>
    <t>7321 East Trent, Phone: 509-924-480_</t>
  </si>
  <si>
    <t>1310 S 43rd Street, Phone:</t>
  </si>
  <si>
    <t>920-731 -.</t>
  </si>
  <si>
    <t>2222 Nordale Drive, Phone: 920-731 -.</t>
  </si>
  <si>
    <t>2410 Norwood Court; Phone: 262-554_</t>
  </si>
  <si>
    <t>715-848-.</t>
  </si>
  <si>
    <t>7130 Packer Drive, Phone: 715-848-.</t>
  </si>
  <si>
    <t>920-.</t>
  </si>
  <si>
    <t>1680 Yellow Briar Drive; Phone: 920-.</t>
  </si>
  <si>
    <t>3669 Enterprise Drive; Phone: 920-20_</t>
  </si>
  <si>
    <t>715-424-6250</t>
  </si>
  <si>
    <t>510 25th Avenue North,</t>
  </si>
  <si>
    <t>715-.</t>
  </si>
  <si>
    <t>1671 Menominee Drive;, Phone: 715-.</t>
  </si>
  <si>
    <t>2724 Commerce Street, Phone: 608-.</t>
  </si>
  <si>
    <t>920-923 -.</t>
  </si>
  <si>
    <t>695 Sullivan Drive; Phone: 920-923 -.</t>
  </si>
  <si>
    <t>4075 McIntyre Avenue; Phone: 715 _</t>
  </si>
  <si>
    <t>608-754-.</t>
  </si>
  <si>
    <t>2302 Beloit Avenue; Phone: 608-754-.</t>
  </si>
  <si>
    <t>565 Enterprise Drive; Phone: 920-729 _</t>
  </si>
  <si>
    <t>2730 Woleske Road, Phone: 715-732 -_</t>
  </si>
  <si>
    <t>608-742 -.</t>
  </si>
  <si>
    <t>1615 LaDawn Drive, Phone: 608-742 -.</t>
  </si>
  <si>
    <t>215 15th Street, Phone: 304-525-670_</t>
  </si>
  <si>
    <t>584 Ragland Road; Phone: 304-254 _</t>
  </si>
  <si>
    <t>3936 Washington Street; Phone: 304- _</t>
  </si>
  <si>
    <t>5441 Swanson Road, Phone: 307-682_</t>
  </si>
  <si>
    <t>307-266 .</t>
  </si>
  <si>
    <t>146 Progress Circle; Phone: 307-266 .</t>
  </si>
  <si>
    <t>409-989-3740</t>
  </si>
  <si>
    <t>207-783-6680</t>
  </si>
  <si>
    <t>937-327-3111</t>
  </si>
  <si>
    <t>Mph - Riverside</t>
  </si>
  <si>
    <t>269-849-2700</t>
  </si>
  <si>
    <t>Mps Machinery - Desoto</t>
  </si>
  <si>
    <t>972-230-3667</t>
  </si>
  <si>
    <t>205 Ala Highway 157, Phone: 256-734-7567 please</t>
  </si>
  <si>
    <t>MRS BAIRDS BAKERIES</t>
  </si>
  <si>
    <t>210-531-4025</t>
  </si>
  <si>
    <t>512 GEVERS, Phone: nan please</t>
  </si>
  <si>
    <t>715-284-5376</t>
  </si>
  <si>
    <t>716-873-0844</t>
  </si>
  <si>
    <t>513-424-5307</t>
  </si>
  <si>
    <t>Mtr Ravensburg- Rochester</t>
  </si>
  <si>
    <t>585-288-0320</t>
  </si>
  <si>
    <t>Mueller Fittings, L- Covington</t>
  </si>
  <si>
    <t>(901) 476-5858</t>
  </si>
  <si>
    <t>301 Brooks Avenue; Phone: (601)</t>
  </si>
  <si>
    <t>11005 Ed Stephens Road,</t>
  </si>
  <si>
    <t>Multiple Systems - Amarillo</t>
  </si>
  <si>
    <t>(806) 373-7073</t>
  </si>
  <si>
    <t>(516) 676-8200</t>
  </si>
  <si>
    <t>Multy - Dalton</t>
  </si>
  <si>
    <t>(706) 695-1200</t>
  </si>
  <si>
    <t>(765) 288-1971</t>
  </si>
  <si>
    <t>(541) 345-8791</t>
  </si>
  <si>
    <t>Munnell&amp;Sherrill - Portland</t>
  </si>
  <si>
    <t>(503) 281-0021</t>
  </si>
  <si>
    <t>Munters- Fort Myers</t>
  </si>
  <si>
    <t>(239) 936-1555</t>
  </si>
  <si>
    <t>Murph Haines- Romeoville</t>
  </si>
  <si>
    <t>(630) 759-0242</t>
  </si>
  <si>
    <t>Murphy Brothers- Princeton</t>
  </si>
  <si>
    <t>Murphy Brothers info not</t>
  </si>
  <si>
    <t>954-527-5505</t>
  </si>
  <si>
    <t>4100 Southwest 28th Street, Phone:</t>
  </si>
  <si>
    <t>(231) 722-1110</t>
  </si>
  <si>
    <t>Muskogee Power Plant - FtGibson</t>
  </si>
  <si>
    <t>FtGibson,OK 74434</t>
  </si>
  <si>
    <t>800-522-6870</t>
  </si>
  <si>
    <t>Nacam NAmerican - Hebron</t>
  </si>
  <si>
    <t>(859) 568-1143</t>
  </si>
  <si>
    <t>(616) 299-8312</t>
  </si>
  <si>
    <t>2099 Kohler Rd, Phone: 616-984-5855 please</t>
  </si>
  <si>
    <t>Namm's Hyd - Crossett</t>
  </si>
  <si>
    <t>5561 Normandy Rd, Phone: (225)</t>
  </si>
  <si>
    <t>(309) 793-0161</t>
  </si>
  <si>
    <t>Nash Hyd - Sheridan</t>
  </si>
  <si>
    <t>Nashville Hydraulic &amp; Automotive - Nashville</t>
  </si>
  <si>
    <t>711 51st Avenu__</t>
  </si>
  <si>
    <t>(615)</t>
  </si>
  <si>
    <t>7211 Centennial Blvd, Phone: (615)</t>
  </si>
  <si>
    <t>National Beef Packing - Dodge City</t>
  </si>
  <si>
    <t>(316)</t>
  </si>
  <si>
    <t>2000 E Trail St, Phone: (316)</t>
  </si>
  <si>
    <t>(402) 786-6300</t>
  </si>
  <si>
    <t>National Forge - Irvine</t>
  </si>
  <si>
    <t>(814) 563-7522</t>
  </si>
  <si>
    <t>National Mfg - Sterling</t>
  </si>
  <si>
    <t>(713) 375-3700</t>
  </si>
  <si>
    <t>National Packaging - Decatur</t>
  </si>
  <si>
    <t>(256) 350-7047</t>
  </si>
  <si>
    <t>101 Lenwood Rd</t>
  </si>
  <si>
    <t>(989) 755-6274</t>
  </si>
  <si>
    <t>National Steel- Granite City</t>
  </si>
  <si>
    <t>(936) 825-7368</t>
  </si>
  <si>
    <t>(308) 386-2441</t>
  </si>
  <si>
    <t>(913) 573-9000</t>
  </si>
  <si>
    <t>(402) 733-7000</t>
  </si>
  <si>
    <t>Ne-Cor - Statesville</t>
  </si>
  <si>
    <t>(704) 498-1228</t>
  </si>
  <si>
    <t>(574) 272-8282</t>
  </si>
  <si>
    <t>2026 Ironwood Circle, Phone_</t>
  </si>
  <si>
    <t>Neff Power - St Louis</t>
  </si>
  <si>
    <t>St Louis,MO 63133</t>
  </si>
  <si>
    <t>(314) 298-2300</t>
  </si>
  <si>
    <t>6500 Page Avenue; Phone: (800) 325 _</t>
  </si>
  <si>
    <t>Nelson Div - Stoughton</t>
  </si>
  <si>
    <t>(608) 719-1800</t>
  </si>
  <si>
    <t>(715) 743-3273</t>
  </si>
  <si>
    <t>(715) 284-3825</t>
  </si>
  <si>
    <t>(502) 241-1502</t>
  </si>
  <si>
    <t>Neolens - Miami</t>
  </si>
  <si>
    <t>(417) 451-1645</t>
  </si>
  <si>
    <t>Neshoba Lumber - Philadelphia</t>
  </si>
  <si>
    <t>(601) 656-8540</t>
  </si>
  <si>
    <t>Nestle Beverage - Freehold</t>
  </si>
  <si>
    <t>(732) 462-1300</t>
  </si>
  <si>
    <t>(864) 487-7111</t>
  </si>
  <si>
    <t>Nestor Sales - Largo</t>
  </si>
  <si>
    <t>(727) 544-6114</t>
  </si>
  <si>
    <t>Net Forge- Columbus</t>
  </si>
  <si>
    <t>(812) 342-5527</t>
  </si>
  <si>
    <t>Netec- Chelsea</t>
  </si>
  <si>
    <t>291 Eastern Ave, Phone: (617) 884-4354 plea_</t>
  </si>
  <si>
    <t>(601) 888-4343</t>
  </si>
  <si>
    <t>(573) 252-2517</t>
  </si>
  <si>
    <t>(336) 449-5607</t>
  </si>
  <si>
    <t>(641) 394-4111</t>
  </si>
  <si>
    <t>(973) 596-3000</t>
  </si>
  <si>
    <t>New Process Steel - Columbus</t>
  </si>
  <si>
    <t>280 Industrial Park Rd</t>
  </si>
  <si>
    <t>(662) 241-6582</t>
  </si>
  <si>
    <t>New South - Camden</t>
  </si>
  <si>
    <t>803-425-1810</t>
  </si>
  <si>
    <t>New South Forest - Conway</t>
  </si>
  <si>
    <t>843-236-9399</t>
  </si>
  <si>
    <t>906-293-3131</t>
  </si>
  <si>
    <t>Newco Acquisition - Menominee</t>
  </si>
  <si>
    <t>906-863-7804</t>
  </si>
  <si>
    <t>810-376-2085</t>
  </si>
  <si>
    <t>360-435-8955</t>
  </si>
  <si>
    <t>Newell MFG - Lowell</t>
  </si>
  <si>
    <t>1170 Akron Road, Phone: (330) 26_</t>
  </si>
  <si>
    <t>Newnes Machine Ltd- Salmon Arm</t>
  </si>
  <si>
    <t>NewPage</t>
  </si>
  <si>
    <t>35 Hartford Street, Phone: nan please respond with</t>
  </si>
  <si>
    <t>NFerrara - Somerset</t>
  </si>
  <si>
    <t>508-679-2440</t>
  </si>
  <si>
    <t>Ngc - New Columbia</t>
  </si>
  <si>
    <t>570-538-2531</t>
  </si>
  <si>
    <t>404-350-2600</t>
  </si>
  <si>
    <t>Nibco- Elkhart</t>
  </si>
  <si>
    <t>(574) 295-3000</t>
  </si>
  <si>
    <t>Nibco- SGlens Falls</t>
  </si>
  <si>
    <t>SGlens Falls,NY 1</t>
  </si>
  <si>
    <t>Nicholson File - Cullman</t>
  </si>
  <si>
    <t>419-229-6012</t>
  </si>
  <si>
    <t>Nickson - Plainville</t>
  </si>
  <si>
    <t>860-747-1671</t>
  </si>
  <si>
    <t>Nim-Cor - Nashua</t>
  </si>
  <si>
    <t>603-889-2153</t>
  </si>
  <si>
    <t>Noland - Mcminnville</t>
  </si>
  <si>
    <t>(931) 473-.</t>
  </si>
  <si>
    <t>1226 Belmont Dr; Phone: (931) 473-.</t>
  </si>
  <si>
    <t>(731) 986-5011</t>
  </si>
  <si>
    <t>1284 Northwood Drive; Phone:</t>
  </si>
  <si>
    <t>3814 Highway 67 North, Phone: (870)_</t>
  </si>
  <si>
    <t>1709 Jake Alexander Blvd, Phone:</t>
  </si>
  <si>
    <t>Nor-Cal Controls- Santa Clara</t>
  </si>
  <si>
    <t>1400 Coleman AveH-12</t>
  </si>
  <si>
    <t>1400 Coleman AveH-12, Phone:</t>
  </si>
  <si>
    <t>325 15Th St, Phone: (715) 823-3163</t>
  </si>
  <si>
    <t>1680 Marietta Road, Phone: nan plea_</t>
  </si>
  <si>
    <t>Norris Cylinder</t>
  </si>
  <si>
    <t>4818 W Loop 281 S</t>
  </si>
  <si>
    <t>Longview, TX  75603-8405</t>
  </si>
  <si>
    <t>North American Mfg - Scranton</t>
  </si>
  <si>
    <t>570-322-1082</t>
  </si>
  <si>
    <t>North Ferry</t>
  </si>
  <si>
    <t>Hydradyne Hyd customer</t>
  </si>
  <si>
    <t>631-749-0139</t>
  </si>
  <si>
    <t>1 Prospect Dock, Phone: nan please respond with</t>
  </si>
  <si>
    <t>(616) 754-6826</t>
  </si>
  <si>
    <t>503-859-2111</t>
  </si>
  <si>
    <t>North Shere Mfg- Benton Harbor</t>
  </si>
  <si>
    <t>North Star Blue ScopeSteel</t>
  </si>
  <si>
    <t>6767 county Road 9, Phone: 419-.</t>
  </si>
  <si>
    <t>North Star Steel - Wilton</t>
  </si>
  <si>
    <t>(563) 732-3231</t>
  </si>
  <si>
    <t>(928) 718-9237</t>
  </si>
  <si>
    <t>785-233-1447</t>
  </si>
  <si>
    <t>15741 County</t>
  </si>
  <si>
    <t>(989) 892-3545</t>
  </si>
  <si>
    <t>906-487-6400</t>
  </si>
  <si>
    <t>800-888-6474</t>
  </si>
  <si>
    <t>Northern Metal Fab</t>
  </si>
  <si>
    <t>510 Vandeberg Street; Phone: nan</t>
  </si>
  <si>
    <t>(763) 261-3100</t>
  </si>
  <si>
    <t>Northfield Block - Channahon</t>
  </si>
  <si>
    <t>815-467-5111</t>
  </si>
  <si>
    <t>815-372-3200</t>
  </si>
  <si>
    <t>619-239-8309</t>
  </si>
  <si>
    <t>Northwest Hyd - Oden</t>
  </si>
  <si>
    <t>419-425-4144</t>
  </si>
  <si>
    <t>Northwest Pacific - Medford</t>
  </si>
  <si>
    <t>20853 Sugar Creek Estates Road,</t>
  </si>
  <si>
    <t xml:space="preserve">Northwood- </t>
  </si>
  <si>
    <t>218-751-2023</t>
  </si>
  <si>
    <t>Norton - Watervliet</t>
  </si>
  <si>
    <t>+1 518-266-2200</t>
  </si>
  <si>
    <t>2600 1Oth Ave; Watervliet; NY 12189</t>
  </si>
  <si>
    <t>+1 203-338-8000</t>
  </si>
  <si>
    <t>7047 Old Madison Pike Suite 305</t>
  </si>
  <si>
    <t>Huntsville, AL 35806</t>
  </si>
  <si>
    <t>7047 Old Madison Pike Suite 305,Phone:</t>
  </si>
  <si>
    <t>+1 225-492-2101</t>
  </si>
  <si>
    <t>Nswc Acoustic ResDe - Bayview Driver</t>
  </si>
  <si>
    <t>+1 208-683-2321</t>
  </si>
  <si>
    <t>+1 301-227-1500</t>
  </si>
  <si>
    <t>4301 Iverson Blvd, Phone: (256) 301-3500</t>
  </si>
  <si>
    <t>+1 205-556-1310</t>
  </si>
  <si>
    <t>1700 Holt Road NE, Phone: 205-562 _</t>
  </si>
  <si>
    <t>+1 256-845-2460</t>
  </si>
  <si>
    <t>PO Box 680169,Phone: 256-845-246_</t>
  </si>
  <si>
    <t>972.</t>
  </si>
  <si>
    <t>3000 WEST OLD HWY 66,Phone: 972.</t>
  </si>
  <si>
    <t>+1 870-762-5500</t>
  </si>
  <si>
    <t>nan; Phone: 251-633-2313</t>
  </si>
  <si>
    <t>Nu-Foam Products - Chattanooga</t>
  </si>
  <si>
    <t>+1 423-698-6911</t>
  </si>
  <si>
    <t>1101 Wisdom St, Phone: (42_</t>
  </si>
  <si>
    <t>308 Mallory Station Road, Phone: 615_</t>
  </si>
  <si>
    <t>Numatics Actuator - MtPleasant</t>
  </si>
  <si>
    <t>103 Sam Watkins Blvd</t>
  </si>
  <si>
    <t>MtPleasant, TN 38474</t>
  </si>
  <si>
    <t>103 Sam Watkins Blvd, Phon_</t>
  </si>
  <si>
    <t>Nutone Div - Cincinnati</t>
  </si>
  <si>
    <t>NutriMix Feed</t>
  </si>
  <si>
    <t>+1 787-641-5175</t>
  </si>
  <si>
    <t>Calle Desembarcadero Final, Phone: 787-641-517_</t>
  </si>
  <si>
    <t>NUWC- Keyport</t>
  </si>
  <si>
    <t>+1 360-315-8548</t>
  </si>
  <si>
    <t>O G F Service - Elgin</t>
  </si>
  <si>
    <t>+1 419-898-2826</t>
  </si>
  <si>
    <t>+1 205-622-3796</t>
  </si>
  <si>
    <t>9059 Highway 69 South, Phone: 205 _</t>
  </si>
  <si>
    <t>Oberfield'S - Sunbury</t>
  </si>
  <si>
    <t>+1 740-965-4141</t>
  </si>
  <si>
    <t>Oberfield'S- Columbus</t>
  </si>
  <si>
    <t>+1 614-252-0955</t>
  </si>
  <si>
    <t>3411 Lorna Lane; Phone:</t>
  </si>
  <si>
    <t>+1 716-278-7777</t>
  </si>
  <si>
    <t>+1 608-372-7824</t>
  </si>
  <si>
    <t>+1 407-429-2700</t>
  </si>
  <si>
    <t>+1 713-329-4500</t>
  </si>
  <si>
    <t>+1 713-722-7300</t>
  </si>
  <si>
    <t>+1 305-666-4001</t>
  </si>
  <si>
    <t>OFSayre - Tunkhannock</t>
  </si>
  <si>
    <t>+1 219-322-5252</t>
  </si>
  <si>
    <t>+1 502-695-4000</t>
  </si>
  <si>
    <t>Ohio Bridge</t>
  </si>
  <si>
    <t>+1 740-432-6334</t>
  </si>
  <si>
    <t>201 Wheeling Avenue; Phone: nan please respond</t>
  </si>
  <si>
    <t>+1 323-588-8257</t>
  </si>
  <si>
    <t>+1 518-782-4600</t>
  </si>
  <si>
    <t>+1 502-244-8930</t>
  </si>
  <si>
    <t>Oilquip- Beaumont</t>
  </si>
  <si>
    <t>+1 409-212-0800</t>
  </si>
  <si>
    <t>435 Avenue C, Phone: 409-212-0800 please</t>
  </si>
  <si>
    <t>Okeelanta- South Bay</t>
  </si>
  <si>
    <t>+1 561-996-9072</t>
  </si>
  <si>
    <t>+1 918-542-6604</t>
  </si>
  <si>
    <t>Oklahoma Steel&amp;Wire - Madill</t>
  </si>
  <si>
    <t>+1 580-795-7311</t>
  </si>
  <si>
    <t>Okonite - Orangeburg</t>
  </si>
  <si>
    <t>+1 803-531-2890</t>
  </si>
  <si>
    <t>+1 716-278-6411</t>
  </si>
  <si>
    <t>+1 563-332-7785</t>
  </si>
  <si>
    <t>Omega - St Louis</t>
  </si>
  <si>
    <t>208-454-2597</t>
  </si>
  <si>
    <t>303-710-4945</t>
  </si>
  <si>
    <t>133 Yorkville Road East,</t>
  </si>
  <si>
    <t>Onco Block - Oceanside</t>
  </si>
  <si>
    <t>760-757-1780</t>
  </si>
  <si>
    <t>(919) 663-3141</t>
  </si>
  <si>
    <t>(203) 750-0887</t>
  </si>
  <si>
    <t>317 8th Avenue; Phone: (928) 348 _</t>
  </si>
  <si>
    <t>63066 Hwy 25 North, Phone: (662) 256-2227</t>
  </si>
  <si>
    <t>7428 Lindsey Road, Phone: (501)</t>
  </si>
  <si>
    <t>Orchard Machinery - Yuba City</t>
  </si>
  <si>
    <t>(530) 673-2822</t>
  </si>
  <si>
    <t>Orco Block - Romoland</t>
  </si>
  <si>
    <t>(951) 928-3839</t>
  </si>
  <si>
    <t>(503) 647-5011</t>
  </si>
  <si>
    <t>(503) 653-6300</t>
  </si>
  <si>
    <t>(541) 926-4281</t>
  </si>
  <si>
    <t>503-286-9651</t>
  </si>
  <si>
    <t>541-889-0248</t>
  </si>
  <si>
    <t>407 .</t>
  </si>
  <si>
    <t>5626 Commerce Drive, Phone: 407 .</t>
  </si>
  <si>
    <t>(407) 423-9018</t>
  </si>
  <si>
    <t>Orton - Doraville</t>
  </si>
  <si>
    <t>(770) 267-5226</t>
  </si>
  <si>
    <t>Osco - Portsmouth</t>
  </si>
  <si>
    <t>(740) 354-3183</t>
  </si>
  <si>
    <t>Oshkosh Truck - Milwaukee</t>
  </si>
  <si>
    <t>(414) 744-4420</t>
  </si>
  <si>
    <t>Oshkosh Truck- Aurora</t>
  </si>
  <si>
    <t>(630) 978-5151</t>
  </si>
  <si>
    <t>Oshkosh Truck- Oshkosh</t>
  </si>
  <si>
    <t>(920) 502-3009</t>
  </si>
  <si>
    <t>Osweiler BrosEquip - Highland Mills</t>
  </si>
  <si>
    <t>(845) 928-2710</t>
  </si>
  <si>
    <t>Othy- Warsaw</t>
  </si>
  <si>
    <t>(574) 267-8700</t>
  </si>
  <si>
    <t>Otto Ind - Charlotte</t>
  </si>
  <si>
    <t>800-227-5885</t>
  </si>
  <si>
    <t>out of business</t>
  </si>
  <si>
    <t>Outokumpo Copper</t>
  </si>
  <si>
    <t>907-772-9353</t>
  </si>
  <si>
    <t>110 Mill Rd, Petersburg, AK 99833</t>
  </si>
  <si>
    <t>Owens Ill- Charlotte</t>
  </si>
  <si>
    <t>972-812-7370</t>
  </si>
  <si>
    <t>904-781-3558</t>
  </si>
  <si>
    <t>7169 EPleasant Valley Rd</t>
  </si>
  <si>
    <t>7169 EPleasant</t>
  </si>
  <si>
    <t>Pabco Fluid Power - Cranberry Twp</t>
  </si>
  <si>
    <t>410 Commerce Park Dr</t>
  </si>
  <si>
    <t>Cranberry Twp,PA 16066</t>
  </si>
  <si>
    <t>410 Commerce Park Dr;</t>
  </si>
  <si>
    <t>7830 North Central Dr</t>
  </si>
  <si>
    <t>7830 North Central Dr; Phon._</t>
  </si>
  <si>
    <t>Paccar Tech Center - MtVernon</t>
  </si>
  <si>
    <t>360-757-8311</t>
  </si>
  <si>
    <t>Pacecooration - Ocean Springs</t>
  </si>
  <si>
    <t>740-992-5965</t>
  </si>
  <si>
    <t>714-481-7260</t>
  </si>
  <si>
    <t>P 0 Box 93280, Phone: nan</t>
  </si>
  <si>
    <t>2324 Del</t>
  </si>
  <si>
    <t>503-234-3834</t>
  </si>
  <si>
    <t>760-357-4465</t>
  </si>
  <si>
    <t>Pacific Lumber - Carlotta</t>
  </si>
  <si>
    <t>360-694-5282</t>
  </si>
  <si>
    <t>541-686-9200</t>
  </si>
  <si>
    <t>360-532-9049</t>
  </si>
  <si>
    <t>Packaging Equip - Vernon Hills</t>
  </si>
  <si>
    <t>989-633-8900</t>
  </si>
  <si>
    <t>937-390-2100</t>
  </si>
  <si>
    <t>Paket- Chicago</t>
  </si>
  <si>
    <t>773-221-7300</t>
  </si>
  <si>
    <t>nan, Phone: nan please respond with open 0..~</t>
  </si>
  <si>
    <t>561-478-3800</t>
  </si>
  <si>
    <t>920-743-4412</t>
  </si>
  <si>
    <t>843-537-7861</t>
  </si>
  <si>
    <t>586-584-6247</t>
  </si>
  <si>
    <t>Panel Craft</t>
  </si>
  <si>
    <t>1308 Industrial Dr SE, Phone: (256) 773-8844 plea:</t>
  </si>
  <si>
    <t>610-268-2012</t>
  </si>
  <si>
    <t>Pannier- Glenshaw</t>
  </si>
  <si>
    <t>412-492-1400</t>
  </si>
  <si>
    <t>541-683-5073</t>
  </si>
  <si>
    <t>918-291-4459</t>
  </si>
  <si>
    <t>4631 Harold Scroggins Dr; Phone: nan please</t>
  </si>
  <si>
    <t>3378 West Highway 117 , Phone: nan please</t>
  </si>
  <si>
    <t>574-594-2140</t>
  </si>
  <si>
    <t>Paramount Pictures/Special Effects Dpt</t>
  </si>
  <si>
    <t>NHollywood, CA 91605</t>
  </si>
  <si>
    <t>8248 Lankershim Blv. _</t>
  </si>
  <si>
    <t>Paramount Supply - Spokane</t>
  </si>
  <si>
    <t>(509)</t>
  </si>
  <si>
    <t>617 N Fancher Rd, Phone: (509)</t>
  </si>
  <si>
    <t>(253) 383-3111</t>
  </si>
  <si>
    <t>(708) 371-9200</t>
  </si>
  <si>
    <t>731-642-8770</t>
  </si>
  <si>
    <t>Park - StCloud</t>
  </si>
  <si>
    <t>320-251-5077</t>
  </si>
  <si>
    <t>203-378-7384</t>
  </si>
  <si>
    <t>Park- Denver</t>
  </si>
  <si>
    <t>nan, Phone: 800-551-1902 please respond</t>
  </si>
  <si>
    <t>270-826-3856</t>
  </si>
  <si>
    <t>Parker Block - Millsboro</t>
  </si>
  <si>
    <t>302-934-9237</t>
  </si>
  <si>
    <t>Parks Welding - Ocala</t>
  </si>
  <si>
    <t>Parnum Paving - Ukiah</t>
  </si>
  <si>
    <t>707-462-1506</t>
  </si>
  <si>
    <t>Pasco Hyd Service - Land O Lakes</t>
  </si>
  <si>
    <t>5922 Land 0 Lakes Blvd,</t>
  </si>
  <si>
    <t>915-533-5080</t>
  </si>
  <si>
    <t>973-696-1200</t>
  </si>
  <si>
    <t>100 Parish Dr; Wayne; NJ 07470</t>
  </si>
  <si>
    <t>Patco Machine&amp;Fab- Houston</t>
  </si>
  <si>
    <t>281-443-2837</t>
  </si>
  <si>
    <t>Pa-Ted Spring - Bristol</t>
  </si>
  <si>
    <t>860-582-6368</t>
  </si>
  <si>
    <t>936-569-1994</t>
  </si>
  <si>
    <t>nan; Phon_</t>
  </si>
  <si>
    <t>PAUL DAVIS LUMBER</t>
  </si>
  <si>
    <t>985-748-7930</t>
  </si>
  <si>
    <t>144 SAWMILL RD, Phone: nan please</t>
  </si>
  <si>
    <t>217-832-2541</t>
  </si>
  <si>
    <t>231-775-9737</t>
  </si>
  <si>
    <t>402-786-5900</t>
  </si>
  <si>
    <t>530-795-4400</t>
  </si>
  <si>
    <t>Paxton - Norfolk</t>
  </si>
  <si>
    <t>757-853-6781</t>
  </si>
  <si>
    <t>865-670-1313</t>
  </si>
  <si>
    <t>PBS Lumber MFG - Winnfield</t>
  </si>
  <si>
    <t>318-628-4126</t>
  </si>
  <si>
    <t>731-689-3111</t>
  </si>
  <si>
    <t>PCA Riverville Mill</t>
  </si>
  <si>
    <t>861 Fiber Plant Road</t>
  </si>
  <si>
    <t>Gladstone, VA  24553</t>
  </si>
  <si>
    <t>330-868-6441</t>
  </si>
  <si>
    <t>912-384-6633</t>
  </si>
  <si>
    <t>440-944-1880</t>
  </si>
  <si>
    <t>PCIEnergy Servic - Lake Bluff</t>
  </si>
  <si>
    <t>847-680-8100</t>
  </si>
  <si>
    <t>225-621-1500</t>
  </si>
  <si>
    <t>206-768-4422</t>
  </si>
  <si>
    <t>Pdm Strocal - Stockton</t>
  </si>
  <si>
    <t>209-948-4600</t>
  </si>
  <si>
    <t>Peacock - Baldwin</t>
  </si>
  <si>
    <t>231-745-4606</t>
  </si>
  <si>
    <t>Pease - Denver</t>
  </si>
  <si>
    <t>Pease Ind - Fairfield</t>
  </si>
  <si>
    <t>(513) 870-3610</t>
  </si>
  <si>
    <t>308-773-2225</t>
  </si>
  <si>
    <t>Peddinghaus Ind - Bradley</t>
  </si>
  <si>
    <t>815-937-3800</t>
  </si>
  <si>
    <t>304-727-4301</t>
  </si>
  <si>
    <t>400 Oliver Street; Phone: nan please respond</t>
  </si>
  <si>
    <t>4015 East First Avenue;</t>
  </si>
  <si>
    <t>937-492-4158</t>
  </si>
  <si>
    <t>847-634-7506</t>
  </si>
  <si>
    <t>(770) 967-2909</t>
  </si>
  <si>
    <t>Fluid power services provider</t>
  </si>
  <si>
    <t>(804) 359-.</t>
  </si>
  <si>
    <t>228-769-7081</t>
  </si>
  <si>
    <t>Pendarvis MFG - Anaheim</t>
  </si>
  <si>
    <t>714-992-0950</t>
  </si>
  <si>
    <t>Penn Air &amp; Hydraulic- York</t>
  </si>
  <si>
    <t>(888.</t>
  </si>
  <si>
    <t>1750 Industrial Highway; Phone: (888.</t>
  </si>
  <si>
    <t>larrykessler@pennsysupplycom</t>
  </si>
  <si>
    <t>717-776-6200</t>
  </si>
  <si>
    <t>nan; Phone: 717-776-5336 please respond wit_</t>
  </si>
  <si>
    <t>PO Box 18060</t>
  </si>
  <si>
    <t>PO Box 18060, Phone: nan please</t>
  </si>
  <si>
    <t>@info is (no phone number available)</t>
  </si>
  <si>
    <t>(no address available)</t>
  </si>
  <si>
    <t>Petersen - Ogden</t>
  </si>
  <si>
    <t>(801) 732-2000</t>
  </si>
  <si>
    <t>Peterson American - Three Rivers</t>
  </si>
  <si>
    <t>269-279-7421</t>
  </si>
  <si>
    <t>860-274-9091</t>
  </si>
  <si>
    <t>Petty Machine - Gastonia</t>
  </si>
  <si>
    <t>704-864-3254</t>
  </si>
  <si>
    <t>Pfizer- Brooklyn</t>
  </si>
  <si>
    <t>(614) 416-7250</t>
  </si>
  <si>
    <t>Phb Die Casting - Fairview</t>
  </si>
  <si>
    <t>814-474-5511</t>
  </si>
  <si>
    <t>Old Opelika Hwy, Phone: (334) 298-3659 plea</t>
  </si>
  <si>
    <t>Pheonix Fittings - Opelousas</t>
  </si>
  <si>
    <t>(337) 948-3674</t>
  </si>
  <si>
    <t>205-345-2120</t>
  </si>
  <si>
    <t>4400 Kauloosa Aveneu;</t>
  </si>
  <si>
    <t>Philip Services- Sulfer</t>
  </si>
  <si>
    <t>337-708-0015</t>
  </si>
  <si>
    <t>Phillippi Equip - Golden Valley</t>
  </si>
  <si>
    <t>(651) 406-4900</t>
  </si>
  <si>
    <t>850-824-5065</t>
  </si>
  <si>
    <t>Phillips Plastics - Menomonie</t>
  </si>
  <si>
    <t>715-233-4000</t>
  </si>
  <si>
    <t>Phillips/Moldex - Putnam</t>
  </si>
  <si>
    <t>(860) 928-0401</t>
  </si>
  <si>
    <t>Phoenix - Seekonk</t>
  </si>
  <si>
    <t>508-399-7100</t>
  </si>
  <si>
    <t>541-863-5492</t>
  </si>
  <si>
    <t>Phoschem Supply - Mulberry</t>
  </si>
  <si>
    <t>863-425-3058</t>
  </si>
  <si>
    <t>Piconics - Tyngsboro</t>
  </si>
  <si>
    <t>978-649-7501</t>
  </si>
  <si>
    <t>PiercefieldIn - Erlanger</t>
  </si>
  <si>
    <t>(859) 341-7767</t>
  </si>
  <si>
    <t>Pike Lumber - Akron</t>
  </si>
  <si>
    <t>574-893-4511</t>
  </si>
  <si>
    <t>Pike Lumber - Carbon</t>
  </si>
  <si>
    <t>812-448-3961</t>
  </si>
  <si>
    <t>+1 714 653 7531</t>
  </si>
  <si>
    <t>+1 262 912 7200</t>
  </si>
  <si>
    <t>+1 573-221-9420</t>
  </si>
  <si>
    <t>+1 417-659-5229</t>
  </si>
  <si>
    <t>+1 615-225-1234</t>
  </si>
  <si>
    <t>601-583-200.</t>
  </si>
  <si>
    <t>1406 Corinne St, Phone: 601-583-200.</t>
  </si>
  <si>
    <t>Pine Hill Equip - Westport</t>
  </si>
  <si>
    <t>+1 508-636-5971</t>
  </si>
  <si>
    <t>(276) 957-2222</t>
  </si>
  <si>
    <t>Pineer Mfg- Rillton</t>
  </si>
  <si>
    <t>Pinkham Lumber - Ashland</t>
  </si>
  <si>
    <t>(207) 435-3281</t>
  </si>
  <si>
    <t>Pioneer Conveyor</t>
  </si>
  <si>
    <t>170 Leon White Road, Phone: 301-334-8186</t>
  </si>
  <si>
    <t>+1-336-372-8080</t>
  </si>
  <si>
    <t>121 Howard Johnson Road, Phone:</t>
  </si>
  <si>
    <t>(405) 670-4456</t>
  </si>
  <si>
    <t>2222 South Dobson Road Suite 503,</t>
  </si>
  <si>
    <t>882 NORTH JAN-MAR COURT, Phone:_</t>
  </si>
  <si>
    <t>Piping&amp;Equip - Brunswick</t>
  </si>
  <si>
    <t>(912) 265-5420</t>
  </si>
  <si>
    <t>Piping&amp;Equip - Jacksonville</t>
  </si>
  <si>
    <t>(904) 387-2325</t>
  </si>
  <si>
    <t>(907) 772-4240</t>
  </si>
  <si>
    <t>+1 310-355-1370</t>
  </si>
  <si>
    <t>Pittsburgh Tube - Darlington</t>
  </si>
  <si>
    <t>(724) 827-8101</t>
  </si>
  <si>
    <t>Pittsfield Mold &amp; Tool - Pittsfield</t>
  </si>
  <si>
    <t>(770) 886-9691</t>
  </si>
  <si>
    <t>6900 Metropolitan Parkway; Phone: nan pleas_</t>
  </si>
  <si>
    <t>4783  50th StSE</t>
  </si>
  <si>
    <t>4783 SOth StSE, Phone: nan</t>
  </si>
  <si>
    <t>(714) 525-3880</t>
  </si>
  <si>
    <t>(920) 458-2121</t>
  </si>
  <si>
    <t>Plasticsorporate - Greensboro</t>
  </si>
  <si>
    <t>Plastikon - Hayward</t>
  </si>
  <si>
    <t>(510) 400-1010</t>
  </si>
  <si>
    <t>Plastilite- Omaha</t>
  </si>
  <si>
    <t>(402) 453-7500</t>
  </si>
  <si>
    <t>(217) 398-1832</t>
  </si>
  <si>
    <t>Plasto Film - Wheaton</t>
  </si>
  <si>
    <t>(630) 668-2838</t>
  </si>
  <si>
    <t>Platt Saco Lowell - Greenville</t>
  </si>
  <si>
    <t>(864) 859-4011</t>
  </si>
  <si>
    <t>Plattco- Plattsburgh</t>
  </si>
  <si>
    <t>(518) 563-4640</t>
  </si>
  <si>
    <t>(914) 968-7171</t>
  </si>
  <si>
    <t>(260) 969-1099</t>
  </si>
  <si>
    <t>PLPorter - Westfield</t>
  </si>
  <si>
    <t>(317) 867-0009</t>
  </si>
  <si>
    <t>(406) 892-2111</t>
  </si>
  <si>
    <t>(406) 751-6600</t>
  </si>
  <si>
    <t>Plum Creek Lumber - Pablo</t>
  </si>
  <si>
    <t>Plum Creek Timber - Joyce</t>
  </si>
  <si>
    <t>(406) 728-8350</t>
  </si>
  <si>
    <t>(574) 946-3125</t>
  </si>
  <si>
    <t>(541) 928-1691</t>
  </si>
  <si>
    <t>PMAutomotive - Batavia</t>
  </si>
  <si>
    <t>(630) 406-9119</t>
  </si>
  <si>
    <t>Pmi - Bloomer</t>
  </si>
  <si>
    <t>(715) 568-1700</t>
  </si>
  <si>
    <t>Pmi Food Equip G - Baltimore</t>
  </si>
  <si>
    <t>574-7400</t>
  </si>
  <si>
    <t>Pmx - Cedar Rapids</t>
  </si>
  <si>
    <t>(319) 368-7700</t>
  </si>
  <si>
    <t>Pneumatic &amp; Hydraulic - Houston</t>
  </si>
  <si>
    <t>Katy, TX  77449</t>
  </si>
  <si>
    <t>20500 Clay Center Dr; Phone___</t>
  </si>
  <si>
    <t>Pneumatics&amp;Hydraulic - Shasta Lake</t>
  </si>
  <si>
    <t>Shasta Lake,CA 96019</t>
  </si>
  <si>
    <t>(651) 770-2925</t>
  </si>
  <si>
    <t>Engineering firm in Pittsburgh</t>
  </si>
  <si>
    <t>Pittsburgh</t>
  </si>
  <si>
    <t>Poly-Bond MFG - South Holland</t>
  </si>
  <si>
    <t>Polysource - Sidney</t>
  </si>
  <si>
    <t>(800) 290-.</t>
  </si>
  <si>
    <t>440</t>
  </si>
  <si>
    <t>Pomeroy Lumber - Nineveh</t>
  </si>
  <si>
    <t>Pondercel SADe C- El Paso</t>
  </si>
  <si>
    <t>+52 625 581 9781</t>
  </si>
  <si>
    <t>Domicilio Conocido Centro Agroindustrial, 31600 An</t>
  </si>
  <si>
    <t>Port City Plate Burning</t>
  </si>
  <si>
    <t>918-583-2222</t>
  </si>
  <si>
    <t>3101 Charles</t>
  </si>
  <si>
    <t>Port Recovery - Port Recovery</t>
  </si>
  <si>
    <t>443-869-4909</t>
  </si>
  <si>
    <t>Portac - Forks</t>
  </si>
  <si>
    <t>Portac - Tacoma</t>
  </si>
  <si>
    <t>(517) 647-4191</t>
  </si>
  <si>
    <t>Potlatch- Bemidji</t>
  </si>
  <si>
    <t>(218) 751-6144</t>
  </si>
  <si>
    <t>(973) 244-0101</t>
  </si>
  <si>
    <t>Power Ind - Napa</t>
  </si>
  <si>
    <t>Power Transmission P - Portland</t>
  </si>
  <si>
    <t>4323 Woodson Road, Phone:_</t>
  </si>
  <si>
    <t>Powerflow Systems - IBT - Witicha</t>
  </si>
  <si>
    <t>5819 West Harry Street;</t>
  </si>
  <si>
    <t>90 Robert Jemison Road, Phone:</t>
  </si>
  <si>
    <t>Powertech Motion Control - Mahwah</t>
  </si>
  <si>
    <t>305 Island Road, Phone:</t>
  </si>
  <si>
    <t>PPG - Lake Charles</t>
  </si>
  <si>
    <t>(337) 479-7508</t>
  </si>
  <si>
    <t>PPG - Shelby</t>
  </si>
  <si>
    <t>(704) 482-2411</t>
  </si>
  <si>
    <t>Pratt&amp;Whitney Aircraft - EHartford</t>
  </si>
  <si>
    <t>EHartford,CT 06108</t>
  </si>
  <si>
    <t>+1-860-565-4321</t>
  </si>
  <si>
    <t>435 Industrial Road, Phone: 731-925-7656 please</t>
  </si>
  <si>
    <t>Precision - Lexington</t>
  </si>
  <si>
    <t>(859) 225-5651</t>
  </si>
  <si>
    <t>(612) 333-7464</t>
  </si>
  <si>
    <t>Precision Bearing - Ottumwa</t>
  </si>
  <si>
    <t>Precision Bearing contact info</t>
  </si>
  <si>
    <t>585) 426-0089</t>
  </si>
  <si>
    <t>504 1Ith Street, Phone: nan please</t>
  </si>
  <si>
    <t>Precision Equip - Portland</t>
  </si>
  <si>
    <t>Precision Hose &amp; Industrial Supply</t>
  </si>
  <si>
    <t>150 Old White Rd S</t>
  </si>
  <si>
    <t xml:space="preserve"> West Point, MS 39773</t>
  </si>
  <si>
    <t>(662)350-6368</t>
  </si>
  <si>
    <t>Precision Hyd - Roanoke</t>
  </si>
  <si>
    <t>(540) 992-2122</t>
  </si>
  <si>
    <t>2050 Delaware Ave; Phone: 515-265- _</t>
  </si>
  <si>
    <t>Precision Lumber - Pollock</t>
  </si>
  <si>
    <t>(936) 853-2252</t>
  </si>
  <si>
    <t>Precision MachCont - NoJackson</t>
  </si>
  <si>
    <t>NoJackson,OH 4445</t>
  </si>
  <si>
    <t>(330) 538-2268</t>
  </si>
  <si>
    <t>Precision Mechanics found in</t>
  </si>
  <si>
    <t>(203) 877-4258</t>
  </si>
  <si>
    <t>563) 557-8661</t>
  </si>
  <si>
    <t>(570) 868-3920</t>
  </si>
  <si>
    <t>Precision Welding - Cleveland</t>
  </si>
  <si>
    <t>(216) 524-6110</t>
  </si>
  <si>
    <t>(724) 459-5601</t>
  </si>
  <si>
    <t>No specific information found</t>
  </si>
  <si>
    <t>777 2nd Rd</t>
  </si>
  <si>
    <t>Pre-Con/Schokbeton I info unknown</t>
  </si>
  <si>
    <t>(409) 985-1000</t>
  </si>
  <si>
    <t>(765) 492-3341</t>
  </si>
  <si>
    <t>Premier Tool&amp;Die Cast- Berrien Springs</t>
  </si>
  <si>
    <t>9886</t>
  </si>
  <si>
    <t>Premold- Oconomowoc</t>
  </si>
  <si>
    <t>(262) 569-9044</t>
  </si>
  <si>
    <t xml:space="preserve">Premsco- </t>
  </si>
  <si>
    <t>(787) 268-4040</t>
  </si>
  <si>
    <t>nan; Phone: nan please respond with open -</t>
  </si>
  <si>
    <t>4900</t>
  </si>
  <si>
    <t>4900 Highway 501 West;</t>
  </si>
  <si>
    <t>Pressac - Cullman</t>
  </si>
  <si>
    <t>2304 Industrial Drive Southwest; Phone: (256)_</t>
  </si>
  <si>
    <t>Pressing Systems - Toronto</t>
  </si>
  <si>
    <t>Prestone Products - Alsip</t>
  </si>
  <si>
    <t>(708) 371-3000</t>
  </si>
  <si>
    <t>(813) 324-8700</t>
  </si>
  <si>
    <t>Pries Aluminum - Independence</t>
  </si>
  <si>
    <t>(319) 334-7068</t>
  </si>
  <si>
    <t>7917 New Jersey Ave; Hammond, IN 46323-3040</t>
  </si>
  <si>
    <t>888) 307-3138</t>
  </si>
  <si>
    <t>nan; Phone: (888) 307-3138 pleas:</t>
  </si>
  <si>
    <t>Prince Machine - Holland</t>
  </si>
  <si>
    <t>(616) 394-8248</t>
  </si>
  <si>
    <t>Print Pack - Williamsburg</t>
  </si>
  <si>
    <t>(757) 229-9200</t>
  </si>
  <si>
    <t>Printpack - Hendersonville</t>
  </si>
  <si>
    <t>3510 Asheville Hwy; Phone: (828) 693_</t>
  </si>
  <si>
    <t>Printpack- Orange</t>
  </si>
  <si>
    <t>(409) 883-9325</t>
  </si>
  <si>
    <t>Pro - Mulberry</t>
  </si>
  <si>
    <t>(801) 485</t>
  </si>
  <si>
    <t>(270) 726-2381</t>
  </si>
  <si>
    <t>Pro Machine &amp; Engineering - Colorado Springs</t>
  </si>
  <si>
    <t>905 Garden Of Th_</t>
  </si>
  <si>
    <t>(763) 316-6636</t>
  </si>
  <si>
    <t>(740) 383-6071</t>
  </si>
  <si>
    <t>(540) 456-8163</t>
  </si>
  <si>
    <t>Process Equip&amp;- St Louis</t>
  </si>
  <si>
    <t>(615) 355-8000</t>
  </si>
  <si>
    <t>(805) 485-8871</t>
  </si>
  <si>
    <t>Prodelin- Catawba</t>
  </si>
  <si>
    <t>(828) 241-3361</t>
  </si>
  <si>
    <t>(320) 207-0931</t>
  </si>
  <si>
    <t>(937) 299-5594</t>
  </si>
  <si>
    <t>(541) 567-1993</t>
  </si>
  <si>
    <t>(704) 525-0498</t>
  </si>
  <si>
    <t>Proex- Batavia</t>
  </si>
  <si>
    <t>(630) 879-1830</t>
  </si>
  <si>
    <t>(951) 520-7300</t>
  </si>
  <si>
    <t>(763) 557-1000</t>
  </si>
  <si>
    <t>(828) 459-2151</t>
  </si>
  <si>
    <t>(386) 676-2200</t>
  </si>
  <si>
    <t>(317) 849-5115</t>
  </si>
  <si>
    <t>(612) 436-</t>
  </si>
  <si>
    <t>41E</t>
  </si>
  <si>
    <t>nan; Phone: 612-788-8081</t>
  </si>
  <si>
    <t>(972) 812-7370</t>
  </si>
  <si>
    <t>Proper Mold SC- Anderson</t>
  </si>
  <si>
    <t>Proschem Supply - Mulberry</t>
  </si>
  <si>
    <t>Prudential Steel - Longview</t>
  </si>
  <si>
    <t>Prystup Packaging Products - Livingston</t>
  </si>
  <si>
    <t>North Industria.</t>
  </si>
  <si>
    <t>(931) 388-0626</t>
  </si>
  <si>
    <t>(318) 325-4351</t>
  </si>
  <si>
    <t>134 KELLER STREET, Phone: 318-325_</t>
  </si>
  <si>
    <t>803 WEST FIRST AVE; Phone: _</t>
  </si>
  <si>
    <t>(817) 563-0222</t>
  </si>
  <si>
    <t>Purcell Tire &amp; Rubber - Potosi</t>
  </si>
  <si>
    <t>(573) 438-2131</t>
  </si>
  <si>
    <t>Puritan Mfg- Omaha</t>
  </si>
  <si>
    <t>(402) 341-3753</t>
  </si>
  <si>
    <t>(800) .</t>
  </si>
  <si>
    <t>1105 Louisville Road, Phone: (800) .</t>
  </si>
  <si>
    <t>(406) 677-2201</t>
  </si>
  <si>
    <t>(800) 601-0797</t>
  </si>
  <si>
    <t>nan; Phone: 317-372-2713 please</t>
  </si>
  <si>
    <t>Qc Optics - Wilmington</t>
  </si>
  <si>
    <t>46 Jonspin Rd, Phone: (781) 272-494_</t>
  </si>
  <si>
    <t>Qtranoration - FtWorth</t>
  </si>
  <si>
    <t>FtWorth,TX 76102</t>
  </si>
  <si>
    <t>(817) 870-1855</t>
  </si>
  <si>
    <t>nan; Phone: (817) 870-2099 please</t>
  </si>
  <si>
    <t>Quad Rock - The Rock</t>
  </si>
  <si>
    <t>(706) 647-1600</t>
  </si>
  <si>
    <t>(518) 793-2914</t>
  </si>
  <si>
    <t>427 E Vilas Rd, Phone: (541) _</t>
  </si>
  <si>
    <t>(262) 246-5050</t>
  </si>
  <si>
    <t>Quality Hyd &amp; Pneumatics - Cedar Rapids</t>
  </si>
  <si>
    <t>3312 C Ave  NE</t>
  </si>
  <si>
    <t>3312</t>
  </si>
  <si>
    <t>Quality Machine&amp;Tool</t>
  </si>
  <si>
    <t>Operating as Quality Machine</t>
  </si>
  <si>
    <t>(402) 542-2471</t>
  </si>
  <si>
    <t>300 Garhan Ave Hwy 92, Rising City; NE 68658</t>
  </si>
  <si>
    <t>Industrial supply and warehousing</t>
  </si>
  <si>
    <t>(386) 755-0220 ext. 824</t>
  </si>
  <si>
    <t>3631 US Hwy 90, Lake City, FL 32055</t>
  </si>
  <si>
    <t>Out of business</t>
  </si>
  <si>
    <t>2101 Crestview Drive</t>
  </si>
  <si>
    <t>Quantum Marine Engineering</t>
  </si>
  <si>
    <t>FtLauderdale, FL 33312</t>
  </si>
  <si>
    <t>RENAMED: Quantum Marine Stabilizers</t>
  </si>
  <si>
    <t>3685 SW 30th Avenue; Fort Lauderdale; FL 33312</t>
  </si>
  <si>
    <t>Quantum Marine Stabilizers</t>
  </si>
  <si>
    <t>RENAMED: Ortman Fluid Power; Inc.</t>
  </si>
  <si>
    <t>217-277-0321</t>
  </si>
  <si>
    <t>1400 30th St, Suite 20, Quincy; IL 62301</t>
  </si>
  <si>
    <t>Ortman Fluid Power; Inc.</t>
  </si>
  <si>
    <t>Quint-C Pallet - Limestone</t>
  </si>
  <si>
    <t>Pallet supplier family-owned</t>
  </si>
  <si>
    <t>423-257-6522 | 1-800-949-9895</t>
  </si>
  <si>
    <t>3769 Hwy 11</t>
  </si>
  <si>
    <t>(800) 340-0854</t>
  </si>
  <si>
    <t>15 Flour Mill Road West</t>
  </si>
  <si>
    <t>Fully active and serving</t>
  </si>
  <si>
    <t>360-673-2825</t>
  </si>
  <si>
    <t>985 NW Second Street</t>
  </si>
  <si>
    <t>Concrete plant still operating</t>
  </si>
  <si>
    <t>724-667-2144</t>
  </si>
  <si>
    <t>4363 State St</t>
  </si>
  <si>
    <t>R&amp;B Falcon- Humble</t>
  </si>
  <si>
    <t>RENAMED: Transocean</t>
  </si>
  <si>
    <t>Transocean</t>
  </si>
  <si>
    <t>R/S Godwin Truck Body</t>
  </si>
  <si>
    <t>Operating as R/S Godwin</t>
  </si>
  <si>
    <t>5168 US Highway 23</t>
  </si>
  <si>
    <t>Radio Frequency Services- Wilkesboro</t>
  </si>
  <si>
    <t>Permanently Closed Facility</t>
  </si>
  <si>
    <t>1202 Woodfield Way; Wilkesboro, NC 28697</t>
  </si>
  <si>
    <t>RAHanson - Spokane</t>
  </si>
  <si>
    <t>RENAMED: The Factory Co_</t>
  </si>
  <si>
    <t>3621 Magnesium Rd; Spokane, WA 99208</t>
  </si>
  <si>
    <t>The Factory Co_</t>
  </si>
  <si>
    <t>Fully active after relocation</t>
  </si>
  <si>
    <t>951-677-7424</t>
  </si>
  <si>
    <t>Sawmill and planing facility</t>
  </si>
  <si>
    <t>715-569-4186</t>
  </si>
  <si>
    <t>5401 County Road Vesper, WI 54489</t>
  </si>
  <si>
    <t>RENAMED: TreeHouse Private Brands</t>
  </si>
  <si>
    <t>319-364-9161</t>
  </si>
  <si>
    <t>601 16th St NE</t>
  </si>
  <si>
    <t>TreeHouse Private Brands</t>
  </si>
  <si>
    <t>RENAMED: Thermo Fisher Scientific</t>
  </si>
  <si>
    <t>(763) 783-2500</t>
  </si>
  <si>
    <t>501 9th Ave NW; Coon Rapids, MN 55433</t>
  </si>
  <si>
    <t>Thermo Fisher Scientific</t>
  </si>
  <si>
    <t>Ranier Veneer - Spanaway</t>
  </si>
  <si>
    <t>Operational growth noted</t>
  </si>
  <si>
    <t>(256) 214-0915</t>
  </si>
  <si>
    <t>Formally ceased all operations.</t>
  </si>
  <si>
    <t>(910) 483-1478</t>
  </si>
  <si>
    <t>658 Southern Ave</t>
  </si>
  <si>
    <t>Rankin Walter A- Edgemont</t>
  </si>
  <si>
    <t>Closed following corporate evolution</t>
  </si>
  <si>
    <t>Formal ceased independent operations.</t>
  </si>
  <si>
    <t>4424 Interpoint Blvd, Dayton; OH 45424</t>
  </si>
  <si>
    <t>RENAMED: Dematic (KION Group)</t>
  </si>
  <si>
    <t>Dematic (KION Group)</t>
  </si>
  <si>
    <t>RENAMED: MacGregor (formerly Rapp Marine/Rapp Hydema)</t>
  </si>
  <si>
    <t>907-581-2502</t>
  </si>
  <si>
    <t>2639 Airport Beach Rd, Dutch Harbor; AK 99692 (Mailing: PO Box 920053)</t>
  </si>
  <si>
    <t>MacGregor (formerly Rapp Marine/Rapp Hydema)</t>
  </si>
  <si>
    <t>Ray White Lumber open</t>
  </si>
  <si>
    <t>870-678-2277</t>
  </si>
  <si>
    <t>318 Commerce Ave; Sparkman; AR 71763 (Mailing: PO Box Sparkman; AR 71763)</t>
  </si>
  <si>
    <t>RAYancey Lumber - Crozet</t>
  </si>
  <si>
    <t>Family-owned lumber mill</t>
  </si>
  <si>
    <t>(434) 823-4107</t>
  </si>
  <si>
    <t>Raychem- Fuquay-Varina</t>
  </si>
  <si>
    <t>RENAMED: TE Connectivity (Energy Division)</t>
  </si>
  <si>
    <t>919-552-3811</t>
  </si>
  <si>
    <t>8000 Purfoy Rd, Fuquay-Varina, NC 27526</t>
  </si>
  <si>
    <t>TE Connectivity (Energy Division)</t>
  </si>
  <si>
    <t>Rayonier - Fernandina Beach</t>
  </si>
  <si>
    <t>RENAMED: Rayonier Advanced Materials (RYAM)</t>
  </si>
  <si>
    <t>904-261-4386</t>
  </si>
  <si>
    <t>10 Gum Street, Fernandina Beach, FL 32034 (PO Box 2002, Fernandina Beach, FL 32035)</t>
  </si>
  <si>
    <t>Rayonier Advanced Materials (RYAM)</t>
  </si>
  <si>
    <t>Facility repurposed fully</t>
  </si>
  <si>
    <t>RENAMED: RTX Corporation (Raytheon Division)</t>
  </si>
  <si>
    <t>781-522-3000 (RTX Corporate Hub)</t>
  </si>
  <si>
    <t>RTX Corporation (Raytheon Division)</t>
  </si>
  <si>
    <t>RENAMED: Textron Aviation</t>
  </si>
  <si>
    <t>316-517-6000</t>
  </si>
  <si>
    <t>10511 Central Ave, Wichita, KS 67206</t>
  </si>
  <si>
    <t>Textron Aviation</t>
  </si>
  <si>
    <t>RB Lumber (Newport Timber)</t>
  </si>
  <si>
    <t>RENAMED: International Paper</t>
  </si>
  <si>
    <t>912-884-3386</t>
  </si>
  <si>
    <t>2366-2 Interstate Paper Road, Riceboro, GA 31323</t>
  </si>
  <si>
    <t>RBSteel Fab- Molalla</t>
  </si>
  <si>
    <t>Custom metalwork fabricator</t>
  </si>
  <si>
    <t>503-829-9227</t>
  </si>
  <si>
    <t>12364 Dart Rd</t>
  </si>
  <si>
    <t>Rebar Machine Service</t>
  </si>
  <si>
    <t>Controlled Motion Solutions's Customer</t>
  </si>
  <si>
    <t>OPEN and operating smoothly</t>
  </si>
  <si>
    <t>702-454-8688</t>
  </si>
  <si>
    <t>Reckitt Benckiser</t>
  </si>
  <si>
    <t>IBT - St Louis' Customer</t>
  </si>
  <si>
    <t>RENAMED: Reckitt</t>
  </si>
  <si>
    <t>636-397-5211</t>
  </si>
  <si>
    <t>30 Arrowhead Industrial Blvd, Saint Peters, MO 63376</t>
  </si>
  <si>
    <t>Reckitt</t>
  </si>
  <si>
    <t>RENAMED: Recycling Technology Grottoes (parent corporation)</t>
  </si>
  <si>
    <t>Recycling Technology Grottoes (parent corporation)</t>
  </si>
  <si>
    <t>RENAMED: LFS Marine Outdoor</t>
  </si>
  <si>
    <t>(360) 733-0250</t>
  </si>
  <si>
    <t>1411 Roeder Ave, Bellingham; WA 98225</t>
  </si>
  <si>
    <t>LFS Marine Outdoor</t>
  </si>
  <si>
    <t>RENAMED: Ferguson Enterprises</t>
  </si>
  <si>
    <t>(814) 944-3588</t>
  </si>
  <si>
    <t>2701 Beale Ave, Altoona, PA 16601</t>
  </si>
  <si>
    <t>Ferguson Enterprises</t>
  </si>
  <si>
    <t>Fully active sawmill operation</t>
  </si>
  <si>
    <t>707-894-4242</t>
  </si>
  <si>
    <t>31401 McCray Rd, Cloverdale</t>
  </si>
  <si>
    <t>Operating precision foundry</t>
  </si>
  <si>
    <t>419-878-7591</t>
  </si>
  <si>
    <t>1177 Farnsworth Rd</t>
  </si>
  <si>
    <t>Reed MFG C - Chino</t>
  </si>
  <si>
    <t>Fully active manufacturer</t>
  </si>
  <si>
    <t>909-287-2100</t>
  </si>
  <si>
    <t>13822 Oaks Ave</t>
  </si>
  <si>
    <t>RENAMED: Plastics Nevs</t>
  </si>
  <si>
    <t>Plastics Nevs</t>
  </si>
  <si>
    <t>916-381-9900</t>
  </si>
  <si>
    <t>3121 Evergreen Ave; Suite 140</t>
  </si>
  <si>
    <t>Reed's Hyd - Gansevoort</t>
  </si>
  <si>
    <t>(518) 793-5778</t>
  </si>
  <si>
    <t>4911 NY-50, Gansevoort, NY 12831</t>
  </si>
  <si>
    <t>Fully active company</t>
  </si>
  <si>
    <t>Reflexite- New Britain</t>
  </si>
  <si>
    <t>RENAMED: ORAFOL Americas Inc (Reflexite Division)</t>
  </si>
  <si>
    <t>(860) 223-9297</t>
  </si>
  <si>
    <t>315 South St</t>
  </si>
  <si>
    <t>ORAFOL Americas Inc (Reflexite Division)</t>
  </si>
  <si>
    <t>PO BOX 700, Phone: nan please</t>
  </si>
  <si>
    <t>3233 State Hwy 20</t>
  </si>
  <si>
    <t>3233 State Hwy 20, Phone: nan please respon:</t>
  </si>
  <si>
    <t>Reilly Plating - Nanticoke</t>
  </si>
  <si>
    <t>(570) 735-7777</t>
  </si>
  <si>
    <t>(859) 525-8488</t>
  </si>
  <si>
    <t>Reinhart - Livonia</t>
  </si>
  <si>
    <t>(734) 462-9478</t>
  </si>
  <si>
    <t>Reiter Technical Services</t>
  </si>
  <si>
    <t>112 Woodall Cir</t>
  </si>
  <si>
    <t>112 Woodall Cir; Phone: nan please</t>
  </si>
  <si>
    <t>(205) 591-5575</t>
  </si>
  <si>
    <t>(708) 458-5155</t>
  </si>
  <si>
    <t>Reliant Atlantic Group</t>
  </si>
  <si>
    <t>Tim Busby</t>
  </si>
  <si>
    <t>233 Chris Lane; Phone: nan please</t>
  </si>
  <si>
    <t>Reliant Dry Ice</t>
  </si>
  <si>
    <t>RR2 Box 110</t>
  </si>
  <si>
    <t>Guymon, OK  73942</t>
  </si>
  <si>
    <t>RRZ Box 110,Phonez</t>
  </si>
  <si>
    <t>Remmey Pallet - Lelighton</t>
  </si>
  <si>
    <t>(570) 386-5379</t>
  </si>
  <si>
    <t>Rencor Controls - Wolseley</t>
  </si>
  <si>
    <t>21 Sullivan Parkway; Phone: (800) 77_</t>
  </si>
  <si>
    <t>(775) 356-2703</t>
  </si>
  <si>
    <t>REPhelon - Aiken</t>
  </si>
  <si>
    <t>Republic Supply - Clinton</t>
  </si>
  <si>
    <t>Could you find out about Republic Supply - Clinton as well?</t>
  </si>
  <si>
    <t>Requipco - Magnolia</t>
  </si>
  <si>
    <t>Requipco- East Sparta</t>
  </si>
  <si>
    <t>3303 Troup Hwy, Phone: nan</t>
  </si>
  <si>
    <t>RESOLUTE FP US - El Dorado</t>
  </si>
  <si>
    <t>5428 Junction City Hwy</t>
  </si>
  <si>
    <t>El Dorado, AR  71730-9079</t>
  </si>
  <si>
    <t>5428 Junction City Hwy; Phone: na_</t>
  </si>
  <si>
    <t>Rex Forge - Plantsville</t>
  </si>
  <si>
    <t>REX LUMBER BROOKHAVEN, MS</t>
  </si>
  <si>
    <t>810 WL BEHAN ROAD, Phon:</t>
  </si>
  <si>
    <t>Rf Tech - Jessup</t>
  </si>
  <si>
    <t>RGEngineering - Columbiana</t>
  </si>
  <si>
    <t>RGEngineering - Columbiana info</t>
  </si>
  <si>
    <t>Rheinmetall</t>
  </si>
  <si>
    <t>1115 S. Waybe Street</t>
  </si>
  <si>
    <t>St. Mary's, OH  45885</t>
  </si>
  <si>
    <t>(401) 789-1021</t>
  </si>
  <si>
    <t>804) 355-8041</t>
  </si>
  <si>
    <t>Rieter AutoGlobe - Oregon</t>
  </si>
  <si>
    <t>Riggs Hydraulic Center - FtSmith</t>
  </si>
  <si>
    <t>FtSmith,AR 72903</t>
  </si>
  <si>
    <t>6601 South Zero,; Phone: (80_</t>
  </si>
  <si>
    <t>3440 Hwy 65 -</t>
  </si>
  <si>
    <t>Box 411_</t>
  </si>
  <si>
    <t>1212 Martin</t>
  </si>
  <si>
    <t>Rigsby Mfg - Walling</t>
  </si>
  <si>
    <t>(931) 686-2125</t>
  </si>
  <si>
    <t>686-1331</t>
  </si>
  <si>
    <t>007 Vulcan RD -</t>
  </si>
  <si>
    <t>Ringhaver Equip - Riverview</t>
  </si>
  <si>
    <t>(321) 636-5121</t>
  </si>
  <si>
    <t>(561) 471-8519</t>
  </si>
  <si>
    <t>Ritchie Ind</t>
  </si>
  <si>
    <t>120 SMain St</t>
  </si>
  <si>
    <t>120 SMain St, Phone: nan please</t>
  </si>
  <si>
    <t>(574) 233-1133</t>
  </si>
  <si>
    <t>1111</t>
  </si>
  <si>
    <t>(413) 786-9300</t>
  </si>
  <si>
    <t>318-323-6173</t>
  </si>
  <si>
    <t>1000 Jonesboro Rd, West Monroe; LA 71292 |</t>
  </si>
  <si>
    <t>662-773-5157</t>
  </si>
  <si>
    <t>336-741-2000</t>
  </si>
  <si>
    <t>RJWilliams Lumber - Apalachin</t>
  </si>
  <si>
    <t>607-687-1160</t>
  </si>
  <si>
    <t>Rk Equip - Cincinnati</t>
  </si>
  <si>
    <t>513-385-5500</t>
  </si>
  <si>
    <t>RLCraig - Libson</t>
  </si>
  <si>
    <t>330-424-1525</t>
  </si>
  <si>
    <t>Rmax- Greer</t>
  </si>
  <si>
    <t>336-272-0119</t>
  </si>
  <si>
    <t>RMEngineering - Erwin</t>
  </si>
  <si>
    <t>423-743-6102</t>
  </si>
  <si>
    <t>Rms Precision- Loxley</t>
  </si>
  <si>
    <t>251-964-6681</t>
  </si>
  <si>
    <t>478-328-2120</t>
  </si>
  <si>
    <t>Robbins MFG - Terrytown</t>
  </si>
  <si>
    <t>13904, Hwy 471&amp;Hwy 50,Phone: nan</t>
  </si>
  <si>
    <t>330-562-1140</t>
  </si>
  <si>
    <t>350 Lena Drive, Phone: (800) 541 -_</t>
  </si>
  <si>
    <t>Robert Bosch- Anderson</t>
  </si>
  <si>
    <t>864-260-8000</t>
  </si>
  <si>
    <t>Robert Brown - El Paso</t>
  </si>
  <si>
    <t>915-500-4232</t>
  </si>
  <si>
    <t>Robert MFG - Cucamonga</t>
  </si>
  <si>
    <t>909-987-4654</t>
  </si>
  <si>
    <t>Roberts Scales - Monongahela</t>
  </si>
  <si>
    <t>724-258-6650</t>
  </si>
  <si>
    <t>Roberts Tool - Tecumseh</t>
  </si>
  <si>
    <t>517-423-6691</t>
  </si>
  <si>
    <t>Robertson - Canton</t>
  </si>
  <si>
    <t>330-456-4304</t>
  </si>
  <si>
    <t>Robinette - Piney Flats</t>
  </si>
  <si>
    <t>423-274-5009</t>
  </si>
  <si>
    <t>Robinson - Coleman</t>
  </si>
  <si>
    <t>Robinson Metal - Green Bay</t>
  </si>
  <si>
    <t>920-494-7411</t>
  </si>
  <si>
    <t>Rob's Hyd</t>
  </si>
  <si>
    <t>252-752-1500</t>
  </si>
  <si>
    <t>7765 Pitt Street, Phone: nan please</t>
  </si>
  <si>
    <t>Rochelle Foods</t>
  </si>
  <si>
    <t>Motion- Rockford, IL's Customer</t>
  </si>
  <si>
    <t>815-562-4141</t>
  </si>
  <si>
    <t>1001</t>
  </si>
  <si>
    <t>847-451-9650</t>
  </si>
  <si>
    <t>Rockford Products - Rockford</t>
  </si>
  <si>
    <t>815-397-6000</t>
  </si>
  <si>
    <t>815-968-3000</t>
  </si>
  <si>
    <t>410-522-2505</t>
  </si>
  <si>
    <t>Rockshox- San Jose</t>
  </si>
  <si>
    <t>408-</t>
  </si>
  <si>
    <t>Rock-Tenn - Conyers</t>
  </si>
  <si>
    <t>770-922-3470</t>
  </si>
  <si>
    <t>1207 Lester Rd Nw; Phone: (770) 922-_</t>
  </si>
  <si>
    <t>740-788-5500</t>
  </si>
  <si>
    <t>303-296-3500</t>
  </si>
  <si>
    <t>Rodman - Marinette</t>
  </si>
  <si>
    <t>715-735-9541</t>
  </si>
  <si>
    <t>Roger Brown - El Paso</t>
  </si>
  <si>
    <t>915-845-8188</t>
  </si>
  <si>
    <t>765-349-2284</t>
  </si>
  <si>
    <t>815-965-5132</t>
  </si>
  <si>
    <t>Rogersoration - South Windham</t>
  </si>
  <si>
    <t>Rohr- Irwindale</t>
  </si>
  <si>
    <t>317-230-2000</t>
  </si>
  <si>
    <t>706-234-6763</t>
  </si>
  <si>
    <t>864-296-8885</t>
  </si>
  <si>
    <t>Rondy&amp;- Barberton</t>
  </si>
  <si>
    <t>330-745-9016</t>
  </si>
  <si>
    <t>319-524-4641</t>
  </si>
  <si>
    <t>Rorabaugh Lumber - Burnside</t>
  </si>
  <si>
    <t>814-845-2277</t>
  </si>
  <si>
    <t>Rosboro Lumber - Springfield</t>
  </si>
  <si>
    <t>541-746-8411</t>
  </si>
  <si>
    <t>ROSchultz - Elmwood Park</t>
  </si>
  <si>
    <t>No additional information found.</t>
  </si>
  <si>
    <t>Rosenmund- Charlotte</t>
  </si>
  <si>
    <t>704-504-3378</t>
  </si>
  <si>
    <t>Rosenquist- N Wilkesboro</t>
  </si>
  <si>
    <t>336-262-5595</t>
  </si>
  <si>
    <t>912-238-3300</t>
  </si>
  <si>
    <t>520-421-6600</t>
  </si>
  <si>
    <t>937-393-3426</t>
  </si>
  <si>
    <t>Rota-Skipper- South Holland</t>
  </si>
  <si>
    <t>708-331-0660</t>
  </si>
  <si>
    <t>541-592-3116</t>
  </si>
  <si>
    <t>651-462-2130</t>
  </si>
  <si>
    <t>303-777-3055</t>
  </si>
  <si>
    <t>RP Bradford</t>
  </si>
  <si>
    <t>RP Bradford contact info</t>
  </si>
  <si>
    <t>Rpm Hyd - Houston</t>
  </si>
  <si>
    <t>RPSInc - Bedford Park</t>
  </si>
  <si>
    <t>708-594-9591</t>
  </si>
  <si>
    <t>RRDonnelley Print - Lynchburg</t>
  </si>
  <si>
    <t>434-522-7492</t>
  </si>
  <si>
    <t>503-829-7200</t>
  </si>
  <si>
    <t>708-338-2800</t>
  </si>
  <si>
    <t>330-745-2186</t>
  </si>
  <si>
    <t>952-888-9225</t>
  </si>
  <si>
    <t>205-323-1671</t>
  </si>
  <si>
    <t>Rumpke Hyd - Hamilton</t>
  </si>
  <si>
    <t>513-738-0800</t>
  </si>
  <si>
    <t>Rupes Hyd - San Marcos</t>
  </si>
  <si>
    <t>760-744-9350</t>
  </si>
  <si>
    <t>312-942-5000</t>
  </si>
  <si>
    <t>256-734- .</t>
  </si>
  <si>
    <t>64 Walnut Street, Northwest, Phone: 256-734- .</t>
  </si>
  <si>
    <t>Railroad Street; Phone: 256-773-0513_</t>
  </si>
  <si>
    <t>Rutland Lumber</t>
  </si>
  <si>
    <t>601-765-8892</t>
  </si>
  <si>
    <t>1731 Sunset Road, Phone: nan please respon_</t>
  </si>
  <si>
    <t>RWSidley- Hillsville</t>
  </si>
  <si>
    <t>800-536-9343</t>
  </si>
  <si>
    <t>R-Y Timber - Livingston</t>
  </si>
  <si>
    <t>404-222-3360</t>
  </si>
  <si>
    <t>406-266-3111</t>
  </si>
  <si>
    <t>Ryko Mfg - Grimes</t>
  </si>
  <si>
    <t>515-986-3700</t>
  </si>
  <si>
    <t>855-745-7908</t>
  </si>
  <si>
    <t>509-427-8395</t>
  </si>
  <si>
    <t>S M I Steel- Birmingham</t>
  </si>
  <si>
    <t>205-592-8981</t>
  </si>
  <si>
    <t>708-339-1708</t>
  </si>
  <si>
    <t>Sabert(Brown) - Sayreville</t>
  </si>
  <si>
    <t>1-800-722-3781</t>
  </si>
  <si>
    <t>Sabine Mfg- Many</t>
  </si>
  <si>
    <t>318-256-5611</t>
  </si>
  <si>
    <t>262-786-1020</t>
  </si>
  <si>
    <t>Safety-Kleen- Denton</t>
  </si>
  <si>
    <t>940-483-5200</t>
  </si>
  <si>
    <t>229-247-2331</t>
  </si>
  <si>
    <t>Sage Automation - Beaumont</t>
  </si>
  <si>
    <t>409-842-8040</t>
  </si>
  <si>
    <t>989-753-8465</t>
  </si>
  <si>
    <t>Sailsbery Supply - FtMorgan</t>
  </si>
  <si>
    <t>FtMorgan,CO 80701</t>
  </si>
  <si>
    <t>970-867-3021</t>
  </si>
  <si>
    <t>256-883-5000</t>
  </si>
  <si>
    <t>219 Cap Atkins Road, Phone: 256-650_</t>
  </si>
  <si>
    <t>Salem Tools - New Bern</t>
  </si>
  <si>
    <t>1-800-390-4348</t>
  </si>
  <si>
    <t>602-236-8888</t>
  </si>
  <si>
    <t>Sam Marby Lumber - Liberty</t>
  </si>
  <si>
    <t>601-657-8061</t>
  </si>
  <si>
    <t>Sam Ward Mfg- Chester Heights</t>
  </si>
  <si>
    <t>Samson Metal&amp;Machine</t>
  </si>
  <si>
    <t>863-665-6151</t>
  </si>
  <si>
    <t>3225 US Hwy 92 East; Phone: nan</t>
  </si>
  <si>
    <t>Sam-Son,Inc- Buffalo</t>
  </si>
  <si>
    <t>716-894-7000</t>
  </si>
  <si>
    <t>Samsonite- Denver</t>
  </si>
  <si>
    <t>303-373-2000</t>
  </si>
  <si>
    <t>Sanders - Elizabeth City</t>
  </si>
  <si>
    <t>252-338-3995</t>
  </si>
  <si>
    <t>505-845-0011</t>
  </si>
  <si>
    <t>Riverwood Drive, Phone: 843-761-8000</t>
  </si>
  <si>
    <t>Sarco Hyd - Litchfield</t>
  </si>
  <si>
    <t>216 Old Route 66 North, Phone: (217)_</t>
  </si>
  <si>
    <t>PO Box 455, Phone: 256-747-9000 please respond_</t>
  </si>
  <si>
    <t>520-744-1000</t>
  </si>
  <si>
    <t>Sargent Fletcher - El Monte</t>
  </si>
  <si>
    <t>626-443-7191</t>
  </si>
  <si>
    <t>Sargento Foods - Plymouth</t>
  </si>
  <si>
    <t>1-800-243-3737</t>
  </si>
  <si>
    <t>903-656-3434</t>
  </si>
  <si>
    <t>SASFluid Power - Portland</t>
  </si>
  <si>
    <t>503-222-1811</t>
  </si>
  <si>
    <t>SASFluid Power, - Spokane</t>
  </si>
  <si>
    <t>| Operating Under New Name:</t>
  </si>
  <si>
    <t>515-239-6000</t>
  </si>
  <si>
    <t>207-854-2551</t>
  </si>
  <si>
    <t>808-521-5082</t>
  </si>
  <si>
    <t>218-768-2077</t>
  </si>
  <si>
    <t>Sawmill Hyd- Farmington</t>
  </si>
  <si>
    <t>23522 Farmington Road, Phone: (800_</t>
  </si>
  <si>
    <t>(360) 574-7809</t>
  </si>
  <si>
    <t>(702) 942-4774</t>
  </si>
  <si>
    <t>Schaeffer - Lindon</t>
  </si>
  <si>
    <t>801-785-8600</t>
  </si>
  <si>
    <t>Scheer Bay - Bay City</t>
  </si>
  <si>
    <t>989-671-9630</t>
  </si>
  <si>
    <t>Scherer Industrial Group - Cincinnati</t>
  </si>
  <si>
    <t>4721 Interstate Dr; Phone:</t>
  </si>
  <si>
    <t>Schimberg - Cedar Rapids</t>
  </si>
  <si>
    <t>1106 Shaver Rd Ne; Phone: (319) 365__</t>
  </si>
  <si>
    <t>319-524-4560</t>
  </si>
  <si>
    <t>Schlumberger Technology</t>
  </si>
  <si>
    <t>2400 Packer Rd</t>
  </si>
  <si>
    <t>Lawrence, KS  66049-8903</t>
  </si>
  <si>
    <t>Schmidt Baking - Martinsburg</t>
  </si>
  <si>
    <t>511 Cumberland</t>
  </si>
  <si>
    <t>Schott- Canby</t>
  </si>
  <si>
    <t>503-678-6007</t>
  </si>
  <si>
    <t>Schott- Marshall</t>
  </si>
  <si>
    <t>(507) 532-3201</t>
  </si>
  <si>
    <t>(925) 427-2400</t>
  </si>
  <si>
    <t>Schuon MFG - Coeur D Alene</t>
  </si>
  <si>
    <t>(208) 664-3836</t>
  </si>
  <si>
    <t>(770) 447-5287</t>
  </si>
  <si>
    <t>Schwan's Food Mfg</t>
  </si>
  <si>
    <t>301 Industrial Blvd, Phone: nan pleas_</t>
  </si>
  <si>
    <t>1055 Jordan Rd, Phone: 256-851-1200 please</t>
  </si>
  <si>
    <t>SCI Sharp Controls</t>
  </si>
  <si>
    <t>704-394-7395 Ext110</t>
  </si>
  <si>
    <t>(704) 394-1395</t>
  </si>
  <si>
    <t>10625 Texland Boulevard, Suite 300,</t>
  </si>
  <si>
    <t>(423) 481-0222</t>
  </si>
  <si>
    <t>Scot Forge - Clinton</t>
  </si>
  <si>
    <t>105 Scott Dr; Phone: (608) 676-2288</t>
  </si>
  <si>
    <t>Scotch Lumber - Fulton</t>
  </si>
  <si>
    <t>(334) 636-7114</t>
  </si>
  <si>
    <t>nan, Phone: 419-508-0567 please</t>
  </si>
  <si>
    <t>Scotts</t>
  </si>
  <si>
    <t>(937) 644-0011</t>
  </si>
  <si>
    <t>14512 Scottslawn Road, Phone: nan please respond</t>
  </si>
  <si>
    <t>SDSLumber - Bingen</t>
  </si>
  <si>
    <t>(509) 493-2155</t>
  </si>
  <si>
    <t>SDWarren - Allentown</t>
  </si>
  <si>
    <t>(610) 398-8400</t>
  </si>
  <si>
    <t>Sealed Air- Simpsonville</t>
  </si>
  <si>
    <t>jadygas@seal-sourcecom</t>
  </si>
  <si>
    <t>(503) 281-0020</t>
  </si>
  <si>
    <t>Seaman Paper - Otter River</t>
  </si>
  <si>
    <t>(978) 632-1513</t>
  </si>
  <si>
    <t>(630) 495-9800</t>
  </si>
  <si>
    <t>(360) 568-2171</t>
  </si>
  <si>
    <t>Sebastian Equip - Siloam Springs</t>
  </si>
  <si>
    <t>(479) 524-9872</t>
  </si>
  <si>
    <t>(503) 253-7668</t>
  </si>
  <si>
    <t>Seeburn Div, Ve - Tottenham</t>
  </si>
  <si>
    <t>(206) 767-4321</t>
  </si>
  <si>
    <t>SEKAM OF INDEPENDENCE</t>
  </si>
  <si>
    <t>(620) 331-5480</t>
  </si>
  <si>
    <t>120 S 24TH STREET, Phone: nan</t>
  </si>
  <si>
    <t>574-295-6197</t>
  </si>
  <si>
    <t>269-422-2812</t>
  </si>
  <si>
    <t>937-438-9905</t>
  </si>
  <si>
    <t>877-983-3424</t>
  </si>
  <si>
    <t>314-487-4557</t>
  </si>
  <si>
    <t>Semiquip- Campbell</t>
  </si>
  <si>
    <t>(601) 936-.</t>
  </si>
  <si>
    <t>1865 Old Brandon Road, Phone: (601) 936-.</t>
  </si>
  <si>
    <t>419-447-8434</t>
  </si>
  <si>
    <t>423-837-7914</t>
  </si>
  <si>
    <t>Serenco - Hunt Valley</t>
  </si>
  <si>
    <t>360-687-2667</t>
  </si>
  <si>
    <t>409-242-1027</t>
  </si>
  <si>
    <t>Service Hyd -us Christi</t>
  </si>
  <si>
    <t>361-883-3891</t>
  </si>
  <si>
    <t>630-739-6660</t>
  </si>
  <si>
    <t>Service Wire - Culloden</t>
  </si>
  <si>
    <t>304-743-8600</t>
  </si>
  <si>
    <t>Setco - Cincinnati</t>
  </si>
  <si>
    <t>513-941-5110</t>
  </si>
  <si>
    <t>703-941-7887</t>
  </si>
  <si>
    <t>Setech - Saginaw</t>
  </si>
  <si>
    <t>PO Box 14300,Phone: 989-753-4512 please</t>
  </si>
  <si>
    <t>231-536-2261</t>
  </si>
  <si>
    <t>Sharon Vacuum - Brockton</t>
  </si>
  <si>
    <t>508-588-2323</t>
  </si>
  <si>
    <t>Sharp Controls - Charlotte</t>
  </si>
  <si>
    <t>704-394-1395</t>
  </si>
  <si>
    <t>913-888-6777</t>
  </si>
  <si>
    <t>503-228-8850</t>
  </si>
  <si>
    <t>580-332-1722</t>
  </si>
  <si>
    <t>Shawnee Lumber - Cross City</t>
  </si>
  <si>
    <t>888-742-9772</t>
  </si>
  <si>
    <t>Sheetech- Lee</t>
  </si>
  <si>
    <t>413-243-1750</t>
  </si>
  <si>
    <t>Shell Oil - Deer Park</t>
  </si>
  <si>
    <t>713-246-7301</t>
  </si>
  <si>
    <t>Sheppard Lumber - Brooklet</t>
  </si>
  <si>
    <t>912-842-2197</t>
  </si>
  <si>
    <t>415-512-1111</t>
  </si>
  <si>
    <t>Sherman - Theodore</t>
  </si>
  <si>
    <t>423-899-9492</t>
  </si>
  <si>
    <t>PO Box 1397,Phone: (800)</t>
  </si>
  <si>
    <t>423-756-5300</t>
  </si>
  <si>
    <t>Shincor- Akron</t>
  </si>
  <si>
    <t>330-630-9860</t>
  </si>
  <si>
    <t>Ship&amp;Shore Envir - Signal Hill</t>
  </si>
  <si>
    <t>562-997-0233</t>
  </si>
  <si>
    <t>818-769-9800</t>
  </si>
  <si>
    <t>843-875-3200</t>
  </si>
  <si>
    <t>Shuqualak Lumber - Shuqualak</t>
  </si>
  <si>
    <t>662-793-4528</t>
  </si>
  <si>
    <t>86 College Street</t>
  </si>
  <si>
    <t>508-999-3261</t>
  </si>
  <si>
    <t>Shutters - Hebron</t>
  </si>
  <si>
    <t>815-648-2401</t>
  </si>
  <si>
    <t>757-490-6026</t>
  </si>
  <si>
    <t>336-969-1220</t>
  </si>
  <si>
    <t>407-571-1900</t>
  </si>
  <si>
    <t>530-621-3100</t>
  </si>
  <si>
    <t>530-378-8000</t>
  </si>
  <si>
    <t>Sierra Pacific - Burney</t>
  </si>
  <si>
    <t>530-335-3681</t>
  </si>
  <si>
    <t>Sierra Pacific - Camino</t>
  </si>
  <si>
    <t>530-644-2311</t>
  </si>
  <si>
    <t>Sierra Pacific - Sonora</t>
  </si>
  <si>
    <t>209-532-7141</t>
  </si>
  <si>
    <t>Sigbet - Blairsville</t>
  </si>
  <si>
    <t>Sign Builders</t>
  </si>
  <si>
    <t>4800A Jefferson Avenue SW</t>
  </si>
  <si>
    <t>Birrminghan, AL  35221</t>
  </si>
  <si>
    <t>Signage - Centerville</t>
  </si>
  <si>
    <t>865-584-6175</t>
  </si>
  <si>
    <t>706-866-9885</t>
  </si>
  <si>
    <t>972-438-1022</t>
  </si>
  <si>
    <t>Signode Steel- Baltimore</t>
  </si>
  <si>
    <t>812-522-0900</t>
  </si>
  <si>
    <t>208-683-3400</t>
  </si>
  <si>
    <t>Simonds - Big Rapids</t>
  </si>
  <si>
    <t>231-796-4858</t>
  </si>
  <si>
    <t>219-922-6583</t>
  </si>
  <si>
    <t>Simpson Timber - Shelton</t>
  </si>
  <si>
    <t>330-562-7200</t>
  </si>
  <si>
    <t>(941) 378-8800</t>
  </si>
  <si>
    <t>812-883-3381</t>
  </si>
  <si>
    <t>Sioux Chief Mfg- Peculiar</t>
  </si>
  <si>
    <t>816-425-9900</t>
  </si>
  <si>
    <t>SIS Monroe</t>
  </si>
  <si>
    <t>203 Exchange Street</t>
  </si>
  <si>
    <t>Sisson Hyd - Rome</t>
  </si>
  <si>
    <t>7 Cheiftain Drive NW; Phone: (706)</t>
  </si>
  <si>
    <t>SIStorey Lumber C - Armuchee</t>
  </si>
  <si>
    <t>706-234-1605</t>
  </si>
  <si>
    <t>Sivyer Steel- Bettendorf</t>
  </si>
  <si>
    <t>563-355-1811</t>
  </si>
  <si>
    <t>Skarda Equip - Witchita</t>
  </si>
  <si>
    <t>(316) 265-.</t>
  </si>
  <si>
    <t>313 Mathewson; Phone: (316) 265-.</t>
  </si>
  <si>
    <t>Skolnik - Chicago</t>
  </si>
  <si>
    <t>773-735-0700</t>
  </si>
  <si>
    <t>Skyline Equip - Putney</t>
  </si>
  <si>
    <t>(229) 883-3093</t>
  </si>
  <si>
    <t>865-675- .</t>
  </si>
  <si>
    <t>11211 Outlet Drive; Phone: 865-675- .</t>
  </si>
  <si>
    <t>nan, Phone: 800-342-1302</t>
  </si>
  <si>
    <t>SLWilliamson - Charlottesville</t>
  </si>
  <si>
    <t>(434) 295-6137</t>
  </si>
  <si>
    <t>814-695-4491</t>
  </si>
  <si>
    <t>Smc/Magnum Divi - Harrisburg</t>
  </si>
  <si>
    <t>(503) 678-3081</t>
  </si>
  <si>
    <t>Smf - Minonk</t>
  </si>
  <si>
    <t>309-432-2586</t>
  </si>
  <si>
    <t>(803) 783-7995</t>
  </si>
  <si>
    <t>803-796-5910</t>
  </si>
  <si>
    <t>SMI&amp;Hyd</t>
  </si>
  <si>
    <t>507-296-4551</t>
  </si>
  <si>
    <t>401 Lone Tree Street; Phone: nan please respond wi</t>
  </si>
  <si>
    <t>Smith Power Trans - Bedford Park</t>
  </si>
  <si>
    <t>(708) 458-6210</t>
  </si>
  <si>
    <t>(757) 365-3000</t>
  </si>
  <si>
    <t>(601) 833-8787</t>
  </si>
  <si>
    <t>(828) 456-5659</t>
  </si>
  <si>
    <t>Sms Demag- Ghent</t>
  </si>
  <si>
    <t>(361) 437-4720</t>
  </si>
  <si>
    <t>Smurfit Newsprint - Oregon City</t>
  </si>
  <si>
    <t>(503) 650-4211</t>
  </si>
  <si>
    <t>636-532-3492</t>
  </si>
  <si>
    <t>Smurfit-Stone- Missoula</t>
  </si>
  <si>
    <t>(406) 626-4451</t>
  </si>
  <si>
    <t>Snapper Power Equip - McDonough</t>
  </si>
  <si>
    <t>0</t>
  </si>
  <si>
    <t>Snider - Marshall</t>
  </si>
  <si>
    <t>(903) 938-9221</t>
  </si>
  <si>
    <t>Sno-B-Gone - Hampton</t>
  </si>
  <si>
    <t>Snow Mfg- Bellwood</t>
  </si>
  <si>
    <t>SNS AUTOMATION</t>
  </si>
  <si>
    <t>STGEORGE, ONT N0E 1N0</t>
  </si>
  <si>
    <t>142 SUGAR MAPLE RD, Phone: 519-.</t>
  </si>
  <si>
    <t>Snyder - Lexington</t>
  </si>
  <si>
    <t>(803) 356-2200</t>
  </si>
  <si>
    <t>Sofec- Houston</t>
  </si>
  <si>
    <t>713-510-6600</t>
  </si>
  <si>
    <t>Solar- Libertyville</t>
  </si>
  <si>
    <t>Solo Cup - Ada</t>
  </si>
  <si>
    <t>(580) 436-1500</t>
  </si>
  <si>
    <t>nan, Phone: nan please respond with open or_</t>
  </si>
  <si>
    <t>(336) 449-7731</t>
  </si>
  <si>
    <t>843-.</t>
  </si>
  <si>
    <t>1 North Second Street; Phone: 843-.</t>
  </si>
  <si>
    <t>101 Metco Drive SW, Phone:</t>
  </si>
  <si>
    <t>Son-Sub- Houston</t>
  </si>
  <si>
    <t>281-552-5814</t>
  </si>
  <si>
    <t>Sorrento Cheese - Goshen</t>
  </si>
  <si>
    <t>Sourceone - Holland</t>
  </si>
  <si>
    <t>(619) 498-1113</t>
  </si>
  <si>
    <t>(310) 538-1910</t>
  </si>
  <si>
    <t>(610) 591-7121</t>
  </si>
  <si>
    <t>(541) 469-2136</t>
  </si>
  <si>
    <t>(605) 472-0300</t>
  </si>
  <si>
    <t>South- Honeoye Falls</t>
  </si>
  <si>
    <t>(585) 624-2545</t>
  </si>
  <si>
    <t>(205) 924-4462</t>
  </si>
  <si>
    <t>(843) 651-2356</t>
  </si>
  <si>
    <t>(251) 368-8523</t>
  </si>
  <si>
    <t>(423) 622-4131</t>
  </si>
  <si>
    <t>Southern Coach - Ocala</t>
  </si>
  <si>
    <t>(504) 524-2343</t>
  </si>
  <si>
    <t>PO Box 5246, Phone: 910-791-9286</t>
  </si>
  <si>
    <t>nan, Phone: 540-977-2690</t>
  </si>
  <si>
    <t>Southern Forms - Guild</t>
  </si>
  <si>
    <t>(423) 942-7000</t>
  </si>
  <si>
    <t>Southern Hydraulic Cylinder</t>
  </si>
  <si>
    <t>3020 Lee Highway; Phone: 423-74_</t>
  </si>
  <si>
    <t>Southern Hydraulic Services - Dothan</t>
  </si>
  <si>
    <t>1415 South Oates Street;</t>
  </si>
  <si>
    <t>Southern Lumber - Hermanville</t>
  </si>
  <si>
    <t>(601) 535-2205</t>
  </si>
  <si>
    <t>Southern Mine Hyd - Virgie</t>
  </si>
  <si>
    <t>7627 Us Highway 23 South; Phone:</t>
  </si>
  <si>
    <t>(919) 575-6491</t>
  </si>
  <si>
    <t>(803) 796-8332</t>
  </si>
  <si>
    <t>Southern Products - Hoffman</t>
  </si>
  <si>
    <t>(910) 281-3189</t>
  </si>
  <si>
    <t>30 Georgia Avenue; Phone: 770-946-4562</t>
  </si>
  <si>
    <t>(912) 264-9379</t>
  </si>
  <si>
    <t>(936) 587-4450</t>
  </si>
  <si>
    <t>Southwestern Supply - StJoseph</t>
  </si>
  <si>
    <t>(269) 429-8118</t>
  </si>
  <si>
    <t>Souvenir - Cedar Rapids</t>
  </si>
  <si>
    <t>(229) 243-9595</t>
  </si>
  <si>
    <t>Space America - Madison</t>
  </si>
  <si>
    <t>Spacesaver- Fort Atkinson</t>
  </si>
  <si>
    <t>(920) 563-6362</t>
  </si>
  <si>
    <t>(253) 395-7726</t>
  </si>
  <si>
    <t>Span Deck - Brentwood</t>
  </si>
  <si>
    <t>Spanish Trail Lumber</t>
  </si>
  <si>
    <t>850-592-8512.</t>
  </si>
  <si>
    <t>6112 Old Spanish Trail, Phone: 850 _</t>
  </si>
  <si>
    <t>6112 Old Spanish Trail, Phon_</t>
  </si>
  <si>
    <t>Sparta - Sparta</t>
  </si>
  <si>
    <t>1731 US Hwy 21 South; Phone: (336) 372-552_</t>
  </si>
  <si>
    <t>Spartan Hyd - Pacolet</t>
  </si>
  <si>
    <t>6861 South Pine Street; Phone: (864)</t>
  </si>
  <si>
    <t>(864) 583-5492</t>
  </si>
  <si>
    <t>(608) 742-7123</t>
  </si>
  <si>
    <t>Spar-Tek - Portland</t>
  </si>
  <si>
    <t>(503) 283-4749</t>
  </si>
  <si>
    <t>Spears Mfg- Jerome</t>
  </si>
  <si>
    <t>(208) 324-8101</t>
  </si>
  <si>
    <t>Specialty Equip - Houston</t>
  </si>
  <si>
    <t>(713) 467-1818</t>
  </si>
  <si>
    <t>1528 Taylor Farms Rd Sui_</t>
  </si>
  <si>
    <t>(860) 824-5435</t>
  </si>
  <si>
    <t>(570) 961-2042</t>
  </si>
  <si>
    <t>(402) 571-0111</t>
  </si>
  <si>
    <t>Spectrum Hyd- Ohio</t>
  </si>
  <si>
    <t>(440) 877-3100</t>
  </si>
  <si>
    <t>nan, Phone: 440-877-3100 please</t>
  </si>
  <si>
    <t>(770) 981-5490</t>
  </si>
  <si>
    <t>Speed Fam- Des Plaines</t>
  </si>
  <si>
    <t>(847) 499-3400</t>
  </si>
  <si>
    <t>(503) 249-2835</t>
  </si>
  <si>
    <t>(203) 791-4500</t>
  </si>
  <si>
    <t>Sperry Rand- Charlottesville</t>
  </si>
  <si>
    <t>(765) 647-4141</t>
  </si>
  <si>
    <t>(315) 331-6285</t>
  </si>
  <si>
    <t>SPInd - Hopkins</t>
  </si>
  <si>
    <t>(269) 793-3232</t>
  </si>
  <si>
    <t>(814) 224-5173</t>
  </si>
  <si>
    <t>(541) 762-3300</t>
  </si>
  <si>
    <t>(864) 877-9666</t>
  </si>
  <si>
    <t>719-596-8830</t>
  </si>
  <si>
    <t>850 Aeroplaza Drive; Colorado Springs, CO 80916</t>
  </si>
  <si>
    <t>Spuncast - Watertown</t>
  </si>
  <si>
    <t>920-261-7853</t>
  </si>
  <si>
    <t>Square D - Ashville</t>
  </si>
  <si>
    <t>701 Market Street NW; Phone: 256-350-9861 please</t>
  </si>
  <si>
    <t>SSAB Alabama</t>
  </si>
  <si>
    <t>12400 Highway 43 North, Phone: 251-662-44_</t>
  </si>
  <si>
    <t>SSI Tech - Janesville</t>
  </si>
  <si>
    <t>(608) 755-.</t>
  </si>
  <si>
    <t>3330 Palmer Dr; Phone: (608) 755-.</t>
  </si>
  <si>
    <t>SSWholesale Supply - Tunnell Hill</t>
  </si>
  <si>
    <t>706-965-8100</t>
  </si>
  <si>
    <t>Stainless Steel Fabrication info</t>
  </si>
  <si>
    <t>724-287-3747</t>
  </si>
  <si>
    <t>251-937-6741</t>
  </si>
  <si>
    <t>724-846-4660</t>
  </si>
  <si>
    <t>Standard Keil - Allenwood</t>
  </si>
  <si>
    <t>2950 Johnson Road, Phone:</t>
  </si>
  <si>
    <t>812-834-5255</t>
  </si>
  <si>
    <t>740-852-5200</t>
  </si>
  <si>
    <t>P.O. Box 446_x005F_x000D_
2016 Midway Drive</t>
  </si>
  <si>
    <t>803-329-2131</t>
  </si>
  <si>
    <t>612-673-4000</t>
  </si>
  <si>
    <t>Starboard - East Tawas</t>
  </si>
  <si>
    <t>989-362-1858</t>
  </si>
  <si>
    <t>214 Court Street, Phone: 712-277-400_</t>
  </si>
  <si>
    <t>States - Eugene</t>
  </si>
  <si>
    <t>States Engineering- FtWayne</t>
  </si>
  <si>
    <t xml:space="preserve">FtWayne,IN </t>
  </si>
  <si>
    <t>Staub Metals- Fontana</t>
  </si>
  <si>
    <t>562-602-2200</t>
  </si>
  <si>
    <t>Stauffer Machine - Ephrata</t>
  </si>
  <si>
    <t>717-733-4128</t>
  </si>
  <si>
    <t>(253) 627-6100</t>
  </si>
  <si>
    <t xml:space="preserve">STEEL MACHINERY MFG </t>
  </si>
  <si>
    <t>2204 CENTURY CENTER BLVD, Phone_</t>
  </si>
  <si>
    <t>(708) 474-2777</t>
  </si>
  <si>
    <t>Decatur, AL 3560</t>
  </si>
  <si>
    <t>Steve Namie</t>
  </si>
  <si>
    <t>3301 Mallard Fox Dr NW; Phone: (256_</t>
  </si>
  <si>
    <t>Steel&amp;Pipe Supply - CPD</t>
  </si>
  <si>
    <t>5275 Bird Creek</t>
  </si>
  <si>
    <t>Steelcaseorporat - Athens</t>
  </si>
  <si>
    <t>Steely Lumber - Huntsville</t>
  </si>
  <si>
    <t>936-295-5898</t>
  </si>
  <si>
    <t>Steinwall</t>
  </si>
  <si>
    <t>1759 116th AveNW</t>
  </si>
  <si>
    <t>Aggressive Hyd customer</t>
  </si>
  <si>
    <t>1759 116th AveNW; Phone: nan please respond with_</t>
  </si>
  <si>
    <t>Stewart Hunt- Burlington</t>
  </si>
  <si>
    <t>8 Garfield Circle, Phone: (781) 272-_</t>
  </si>
  <si>
    <t>Stewart Supply</t>
  </si>
  <si>
    <t>2068 Valleydale Terrace; Phone: 205-982-300_</t>
  </si>
  <si>
    <t>713-671-6220</t>
  </si>
  <si>
    <t>Stick- Berwick</t>
  </si>
  <si>
    <t>@ is Address: nan; Phone: nan</t>
  </si>
  <si>
    <t>Still Walter Tool - Orangeburg</t>
  </si>
  <si>
    <t>803-534-8555</t>
  </si>
  <si>
    <t>(406) 829-6672</t>
  </si>
  <si>
    <t>503-728-2166</t>
  </si>
  <si>
    <t>503-295-0951)</t>
  </si>
  <si>
    <t>Stimson Timber - Shelton</t>
  </si>
  <si>
    <t>StLaurent Paper Products - West Point</t>
  </si>
  <si>
    <t>StLawrence Press - Romulus</t>
  </si>
  <si>
    <t>StMary's MFG - NTonawanda</t>
  </si>
  <si>
    <t>716-693-9381</t>
  </si>
  <si>
    <t>StMarys Sugar - Jeanerette</t>
  </si>
  <si>
    <t>337-276-6761</t>
  </si>
  <si>
    <t>(209) 931-0500</t>
  </si>
  <si>
    <t>Stoesser - Mountain View</t>
  </si>
  <si>
    <t>(650) 969-1020</t>
  </si>
  <si>
    <t>Stone Container- Panama City</t>
  </si>
  <si>
    <t>501 S East Ave; Phone: (850)_</t>
  </si>
  <si>
    <t>Stone Forest - Orangeburg</t>
  </si>
  <si>
    <t>Stone Mountain Lumber</t>
  </si>
  <si>
    <t>350 Dry Stone Branch Rd; Phone: nan</t>
  </si>
  <si>
    <t>(601) 845-7500</t>
  </si>
  <si>
    <t>360-380-1842</t>
  </si>
  <si>
    <t>Stressconoratio - Colorado Springs</t>
  </si>
  <si>
    <t>719-390-5041</t>
  </si>
  <si>
    <t>Strick- Berwick</t>
  </si>
  <si>
    <t>Stripe Credit Card</t>
  </si>
  <si>
    <t>9180 LA 3, Plain Dealing; LA 71064-0574</t>
  </si>
  <si>
    <t>Stroehmann Bakeries - WHazleton</t>
  </si>
  <si>
    <t>WHazleton,PA 18201</t>
  </si>
  <si>
    <t>570-455-2066</t>
  </si>
  <si>
    <t>Strom - Camas</t>
  </si>
  <si>
    <t>Strongwell,- Lenore City</t>
  </si>
  <si>
    <t>865-986-5533</t>
  </si>
  <si>
    <t>(830) 372-8200</t>
  </si>
  <si>
    <t>Strukturoc- Blue Earth</t>
  </si>
  <si>
    <t>1-866-328-4982</t>
  </si>
  <si>
    <t>Stultz Machine - Roanoke</t>
  </si>
  <si>
    <t>(540) 981-9359</t>
  </si>
  <si>
    <t>(269) 651-8544</t>
  </si>
  <si>
    <t>1402 Southfield Dr; Phone: 256-355-0977</t>
  </si>
  <si>
    <t>(757) 986-2171</t>
  </si>
  <si>
    <t>561-996-5556</t>
  </si>
  <si>
    <t>Sullivan Lumber - Northport</t>
  </si>
  <si>
    <t>(205) 339-1052</t>
  </si>
  <si>
    <t>661-322-2027</t>
  </si>
  <si>
    <t>715 Summit Drive; Phone: 256-353- _</t>
  </si>
  <si>
    <t>Summit Valve &amp; Controls</t>
  </si>
  <si>
    <t>1654</t>
  </si>
  <si>
    <t>Company contact information found</t>
  </si>
  <si>
    <t>513-681-5950</t>
  </si>
  <si>
    <t>(574) 267-3281</t>
  </si>
  <si>
    <t>(918) 594-6000</t>
  </si>
  <si>
    <t>281-668-1840</t>
  </si>
  <si>
    <t>815-226-6000</t>
  </si>
  <si>
    <t>(972) 809-.</t>
  </si>
  <si>
    <t>1172 113th Street; Phone: (972) 809-.</t>
  </si>
  <si>
    <t>2134 Reheem Drive; Phone:</t>
  </si>
  <si>
    <t>5530 Milton Parkway, Phone:_</t>
  </si>
  <si>
    <t>Sunsource/Airdraulic - Chandler</t>
  </si>
  <si>
    <t>(480) 763-0388</t>
  </si>
  <si>
    <t>(916) 383-8359</t>
  </si>
  <si>
    <t>(704) 263-1967</t>
  </si>
  <si>
    <t>(719) 471-1746</t>
  </si>
  <si>
    <t>Super Products - New Berlin</t>
  </si>
  <si>
    <t>(262) 784-7100</t>
  </si>
  <si>
    <t>(760) 348-2218</t>
  </si>
  <si>
    <t>Superior Chain - Twin Falls</t>
  </si>
  <si>
    <t>208-734-3695</t>
  </si>
  <si>
    <t>(303) 296-1466</t>
  </si>
  <si>
    <t>507-387-7068</t>
  </si>
  <si>
    <t>Superior Material - Auburn Hills</t>
  </si>
  <si>
    <t>Superior MFG - Broussard</t>
  </si>
  <si>
    <t>(337) 837-8847</t>
  </si>
  <si>
    <t>Superior Sales- Brant</t>
  </si>
  <si>
    <t>(716) 549-1244</t>
  </si>
  <si>
    <t>Eaton Superior Truss information</t>
  </si>
  <si>
    <t>(904) 270-5699</t>
  </si>
  <si>
    <t>(269) 465-5757</t>
  </si>
  <si>
    <t>Svedala - Appleton</t>
  </si>
  <si>
    <t>(414) 762-1190</t>
  </si>
  <si>
    <t>Svedala- Cedcar Rapids</t>
  </si>
  <si>
    <t>(319) 365-0441</t>
  </si>
  <si>
    <t>Swaggerty Sausage - Kodak</t>
  </si>
  <si>
    <t>2827 Swaggerty Rd.</t>
  </si>
  <si>
    <t>Kodak, TN  37764-2170</t>
  </si>
  <si>
    <t>(541) 935-2231</t>
  </si>
  <si>
    <t>(419) 826-4816</t>
  </si>
  <si>
    <t>Sweco- Florence</t>
  </si>
  <si>
    <t>(859) 283-8400</t>
  </si>
  <si>
    <t>1006 EPryor St</t>
  </si>
  <si>
    <t>1006</t>
  </si>
  <si>
    <t>(402) 731-6400</t>
  </si>
  <si>
    <t>Syltone Ind</t>
  </si>
  <si>
    <t>14003 Cicero Road; Phone: nan please respond with</t>
  </si>
  <si>
    <t>Sys-Tech- Cleveland</t>
  </si>
  <si>
    <t>(423) 472-6355</t>
  </si>
  <si>
    <t>T R Miller Mill - Brewton</t>
  </si>
  <si>
    <t>215 Deer St; Phone: (334) 867-4331</t>
  </si>
  <si>
    <t>T&amp;B Tube - South Holland</t>
  </si>
  <si>
    <t>(708) 333-.</t>
  </si>
  <si>
    <t>15527 La Salle St, Phone: (708) 333-.</t>
  </si>
  <si>
    <t>T&amp;M Hyd - Milford</t>
  </si>
  <si>
    <t>49 Eastern Steel Rd, Phone: (203) 877-9286</t>
  </si>
  <si>
    <t>T&amp;S Hardwoods - Sylva</t>
  </si>
  <si>
    <t>3635 Skyland Dr; Phone: (828) 586-._</t>
  </si>
  <si>
    <t>T&amp;S Sawmill - Clarendon</t>
  </si>
  <si>
    <t>625 Garfield St, Phone: (870) 747-333_</t>
  </si>
  <si>
    <t>(800) 647--</t>
  </si>
  <si>
    <t>1900 34th Street, Phone: (800) 647--</t>
  </si>
  <si>
    <t>Tad North Div - FtWorth</t>
  </si>
  <si>
    <t>(815)</t>
  </si>
  <si>
    <t>9425 Gulfstream Road, Phone: (815)</t>
  </si>
  <si>
    <t>(860) 824-0733</t>
  </si>
  <si>
    <t>(708) 371-0333</t>
  </si>
  <si>
    <t>(641) 484-2884</t>
  </si>
  <si>
    <t>Tame- Flintstone</t>
  </si>
  <si>
    <t>(706) 820-0397</t>
  </si>
  <si>
    <t>350.</t>
  </si>
  <si>
    <t>1407 Southfield Dr SE, Phone: 350.</t>
  </si>
  <si>
    <t>(256) 231-9327</t>
  </si>
  <si>
    <t>17 South Hunter Street, Phone: (256) 231-9327</t>
  </si>
  <si>
    <t>(804) 236-4160</t>
  </si>
  <si>
    <t>Tarmac Florida- Medley</t>
  </si>
  <si>
    <t>(305) 364-2230</t>
  </si>
  <si>
    <t>(205) 841-0457</t>
  </si>
  <si>
    <t>1315 Pinson Street, Phone: 205-841-_</t>
  </si>
  <si>
    <t>(251) 433-0777</t>
  </si>
  <si>
    <t>1815 Ninth Street / Brookley</t>
  </si>
  <si>
    <t>Tartan Supply Sales</t>
  </si>
  <si>
    <t>110 Downing; Phone: nan please</t>
  </si>
  <si>
    <t>Tate&amp;Lyle Na - Chalmette</t>
  </si>
  <si>
    <t>(504) 271-5331</t>
  </si>
  <si>
    <t>Tawas Tool - ETawas</t>
  </si>
  <si>
    <t>ETawas,MI 48730</t>
  </si>
  <si>
    <t>(989) 362-0414</t>
  </si>
  <si>
    <t>650 North Church Avenue;</t>
  </si>
  <si>
    <t>Taylor Newcomb - Point Pleasant</t>
  </si>
  <si>
    <t>7 Walnut Creek; Phone: (304)-_</t>
  </si>
  <si>
    <t>Taylor-Newcomb - Indianapolis</t>
  </si>
  <si>
    <t>3131 North Franklin Road,</t>
  </si>
  <si>
    <t>Tcl Equip&amp;Asso - Americus</t>
  </si>
  <si>
    <t>Teaford</t>
  </si>
  <si>
    <t>(770) 475-5250</t>
  </si>
  <si>
    <t>Team Hyd - Portland</t>
  </si>
  <si>
    <t>Team Hyd - Vancouver</t>
  </si>
  <si>
    <t>Tec-Cast - Carlsadt</t>
  </si>
  <si>
    <t>(201) 935-3885</t>
  </si>
  <si>
    <t>Tec-Cast - Moonachie</t>
  </si>
  <si>
    <t>Tech - Woonsocket</t>
  </si>
  <si>
    <t>(401) 765-0600</t>
  </si>
  <si>
    <t>Tech Hyd - Randolph</t>
  </si>
  <si>
    <t>(781) 986-3905</t>
  </si>
  <si>
    <t>Tec-Hackett- Indianapolis</t>
  </si>
  <si>
    <t>8909 Rawles Avenue; Phone: (317)</t>
  </si>
  <si>
    <t>(360) 944-1400</t>
  </si>
  <si>
    <t>(903) 887-2363</t>
  </si>
  <si>
    <t>(970) 249-1515</t>
  </si>
  <si>
    <t>(972) 446-4770</t>
  </si>
  <si>
    <t>Techno-Mation- Irving</t>
  </si>
  <si>
    <t>Techno-Weld- Chicago</t>
  </si>
  <si>
    <t>(773) 638-9880</t>
  </si>
  <si>
    <t>(956) 724-4113</t>
  </si>
  <si>
    <t>(701) 277-0209</t>
  </si>
  <si>
    <t>Tectonics- Wytheville</t>
  </si>
  <si>
    <t>(276) 228-5565</t>
  </si>
  <si>
    <t>(912) 383-0341</t>
  </si>
  <si>
    <t>Tejas Hardwoods - Kountze</t>
  </si>
  <si>
    <t>Tejas Hyd, In - Longview</t>
  </si>
  <si>
    <t>(903) 757-7502</t>
  </si>
  <si>
    <t>Tele Weld - Streator</t>
  </si>
  <si>
    <t>(815) 672-4561</t>
  </si>
  <si>
    <t>(256) 726-1000</t>
  </si>
  <si>
    <t>(419) 470-3000</t>
  </si>
  <si>
    <t>Teleweldorporate - Streator</t>
  </si>
  <si>
    <t>(580) 549-7100</t>
  </si>
  <si>
    <t>105 Yellowpine Hwy; Pineland, TX 75968</t>
  </si>
  <si>
    <t>Temple Inland - Silsbee</t>
  </si>
  <si>
    <t>AcctsPay PO Box 2225</t>
  </si>
  <si>
    <t>AcctsPay PO Box 2225, Phone: nan</t>
  </si>
  <si>
    <t>Tencate Nicolon</t>
  </si>
  <si>
    <t>(706) 693-2226</t>
  </si>
  <si>
    <t>20 S County Line Rd; Phone: nan please</t>
  </si>
  <si>
    <t>(336) 668-9083</t>
  </si>
  <si>
    <t>(423) 229-2000</t>
  </si>
  <si>
    <t>(423) 899-2767</t>
  </si>
  <si>
    <t>Tensar- Morrow</t>
  </si>
  <si>
    <t>(770) 968-3255</t>
  </si>
  <si>
    <t>(319) 352-3920</t>
  </si>
  <si>
    <t xml:space="preserve">Teris Hyd - </t>
  </si>
  <si>
    <t>Terre Hill Silo - Terre Hill</t>
  </si>
  <si>
    <t>(717) 445-3100</t>
  </si>
  <si>
    <t>+353 818 553 682</t>
  </si>
  <si>
    <t>(619) 661-0552</t>
  </si>
  <si>
    <t>(713) 937-2102</t>
  </si>
  <si>
    <t>(806) 373-1723</t>
  </si>
  <si>
    <t>Texfi - Rocky Mount</t>
  </si>
  <si>
    <t>(281) 446-1717</t>
  </si>
  <si>
    <t>Textile Equip - Greenville</t>
  </si>
  <si>
    <t>Thatcher Chemical - Williamson</t>
  </si>
  <si>
    <t>(315) 589-9330</t>
  </si>
  <si>
    <t>(419) 353-4400</t>
  </si>
  <si>
    <t>The Boeing - Chatsworth</t>
  </si>
  <si>
    <t>The Dialoration - Ft Madison</t>
  </si>
  <si>
    <t>The Est - Grafton</t>
  </si>
  <si>
    <t>(262) 377-3270</t>
  </si>
  <si>
    <t>The Garlic - Bakersfield</t>
  </si>
  <si>
    <t>(661) 393-4212</t>
  </si>
  <si>
    <t>The Hon - Oak Steel</t>
  </si>
  <si>
    <t>(563) 264-7100</t>
  </si>
  <si>
    <t>815 East 4th, Phone: nan please</t>
  </si>
  <si>
    <t>(215) 679-7991</t>
  </si>
  <si>
    <t>The Lantisorati - Salinas</t>
  </si>
  <si>
    <t>(831) 754-6221</t>
  </si>
  <si>
    <t>The Lundy Packing - Clinton</t>
  </si>
  <si>
    <t>(910) 592-2104</t>
  </si>
  <si>
    <t>(931) 823-5581</t>
  </si>
  <si>
    <t>The Maiman</t>
  </si>
  <si>
    <t>(417) 862-0681</t>
  </si>
  <si>
    <t>3839 East Mustard Way; Phone: nan please respo_</t>
  </si>
  <si>
    <t>The Marmac - Xenia</t>
  </si>
  <si>
    <t>(937) 372-8093</t>
  </si>
  <si>
    <t>(864) 580-6036</t>
  </si>
  <si>
    <t>The Paquin</t>
  </si>
  <si>
    <t>(216) 261-5700</t>
  </si>
  <si>
    <t>26981 Lakeland Blvd, Phone: 216-261-5700 please</t>
  </si>
  <si>
    <t>The Perryman - Houston</t>
  </si>
  <si>
    <t>PO Box 407, Phone: nan please respond with open_</t>
  </si>
  <si>
    <t>The Torrington - Honea Path</t>
  </si>
  <si>
    <t>(864) 369-7395</t>
  </si>
  <si>
    <t>(860) 589-5511</t>
  </si>
  <si>
    <t>(724) 228-7333</t>
  </si>
  <si>
    <t>Therma- San Jose</t>
  </si>
  <si>
    <t>(408) 347-3400</t>
  </si>
  <si>
    <t>(203) 468-4100</t>
  </si>
  <si>
    <t>Therma Tron-X - Strugeon Bay</t>
  </si>
  <si>
    <t>(920) 743-6568</t>
  </si>
  <si>
    <t>Thermafibre - Tacoma</t>
  </si>
  <si>
    <t>Thermal Equip - Torrance</t>
  </si>
  <si>
    <t>(310) 328-6601</t>
  </si>
  <si>
    <t>Minden, NV</t>
  </si>
  <si>
    <t>707-571-1911</t>
  </si>
  <si>
    <t>(775) 782-2221</t>
  </si>
  <si>
    <t>2221 Meridian Blvd, Phone: 707-571-_</t>
  </si>
  <si>
    <t>(513) 424-7400</t>
  </si>
  <si>
    <t>Theut Products- Chesterfield</t>
  </si>
  <si>
    <t>(586) 949-1300</t>
  </si>
  <si>
    <t>ThiokolSpace - Clearfield</t>
  </si>
  <si>
    <t>(801) 773-6331</t>
  </si>
  <si>
    <t>ThiokolSpace O - Corinne</t>
  </si>
  <si>
    <t>Corinne,UT 84307</t>
  </si>
  <si>
    <t>(435) 863-3511</t>
  </si>
  <si>
    <t>(417) 881-1204</t>
  </si>
  <si>
    <t>Thomas Hyd&amp;- Chico</t>
  </si>
  <si>
    <t>(530) 345-7171</t>
  </si>
  <si>
    <t>Thomas Repair&amp;Equip - Patterson</t>
  </si>
  <si>
    <t>6226 US Hwy 84,Phone: (91.</t>
  </si>
  <si>
    <t>(614) 890-4978</t>
  </si>
  <si>
    <t>(423) 745-6588</t>
  </si>
  <si>
    <t>260 Dennis St, Athens; TN 37303</t>
  </si>
  <si>
    <t>Thomaston Mills - Thomaston</t>
  </si>
  <si>
    <t>(888) 737-8946</t>
  </si>
  <si>
    <t>Thompson Fisher</t>
  </si>
  <si>
    <t>http://wwwthompson-fishercom</t>
  </si>
  <si>
    <t>50 County Road 357, Phone: 256-765-0236</t>
  </si>
  <si>
    <t>Thompson Hardwoods</t>
  </si>
  <si>
    <t>600 Baxley Highway, Phone: 912-375 _</t>
  </si>
  <si>
    <t>(909) 944-4000</t>
  </si>
  <si>
    <t>(760) 353-1617</t>
  </si>
  <si>
    <t>(360) 696-0811</t>
  </si>
  <si>
    <t>(740) 420-6700</t>
  </si>
  <si>
    <t>ThoughtlineLlc - Lenoir</t>
  </si>
  <si>
    <t>Thrall Dist- Plymouth</t>
  </si>
  <si>
    <t>(763) 797-7000</t>
  </si>
  <si>
    <t>(309) 694-9290</t>
  </si>
  <si>
    <t>Tht Presses - Dayton</t>
  </si>
  <si>
    <t>(937) 898-.</t>
  </si>
  <si>
    <t>7475 Webster St, Phone: (937) 898-.</t>
  </si>
  <si>
    <t>Thyssen Stearns- FtWorth</t>
  </si>
  <si>
    <t>FtWorth,TX 76111</t>
  </si>
  <si>
    <t>(817) 834-6984</t>
  </si>
  <si>
    <t>+1.985.631.58</t>
  </si>
  <si>
    <t>Tidril- Sacramento</t>
  </si>
  <si>
    <t>(916) 457-3040</t>
  </si>
  <si>
    <t>(416) 213-9720</t>
  </si>
  <si>
    <t>(626) 967-6796</t>
  </si>
  <si>
    <t>(336) 623-1717</t>
  </si>
  <si>
    <t>400 Aviation Plaza, Phone:</t>
  </si>
  <si>
    <t>(541) 773-6681</t>
  </si>
  <si>
    <t>Timberman- Camak</t>
  </si>
  <si>
    <t>(706) 465-3506</t>
  </si>
  <si>
    <t>Timken - Gaffney</t>
  </si>
  <si>
    <t>(864) 489-6099</t>
  </si>
  <si>
    <t>Timms Spring - Elyria</t>
  </si>
  <si>
    <t>Tissco</t>
  </si>
  <si>
    <t>(352) 544-1081</t>
  </si>
  <si>
    <t>321 Marianne Street, Phone: 352-544-1081 please</t>
  </si>
  <si>
    <t>Titan - New London</t>
  </si>
  <si>
    <t>(920) 982-6600</t>
  </si>
  <si>
    <t>Titan Homes - Lilington</t>
  </si>
  <si>
    <t>6739 Hwy184 West</t>
  </si>
  <si>
    <t>6739 Hwy184 West; Phone: 601-735-5934 please</t>
  </si>
  <si>
    <t>151 EHwy 6</t>
  </si>
  <si>
    <t>151 EHwy 6, Phone: nan please respond with open _</t>
  </si>
  <si>
    <t>Tlc Polyform - Plymouth</t>
  </si>
  <si>
    <t>(612) 542-2240</t>
  </si>
  <si>
    <t>1-888-878-9229</t>
  </si>
  <si>
    <t>(530) 378-1771</t>
  </si>
  <si>
    <t>(320) 558-2407</t>
  </si>
  <si>
    <t>Family-owned sawmill operation</t>
  </si>
  <si>
    <t>10468 229 South; Leola AR 72084</t>
  </si>
  <si>
    <t>Tolleson Lumber - Perry</t>
  </si>
  <si>
    <t>TOMCO2 - Loganville</t>
  </si>
  <si>
    <t>3340 Rosebud Road, Phone: (800) 97_</t>
  </si>
  <si>
    <t>Tomkins - Indianapolis</t>
  </si>
  <si>
    <t>Toney Lumber - Louisburg</t>
  </si>
  <si>
    <t>(919) 496-5711</t>
  </si>
  <si>
    <t>(406) 757-2298</t>
  </si>
  <si>
    <t>(785) 825-1671</t>
  </si>
  <si>
    <t>(860) 482-8566</t>
  </si>
  <si>
    <t>(256) 386-6066</t>
  </si>
  <si>
    <t>315 JERRY DAVID DRIVE,</t>
  </si>
  <si>
    <t>Tps - Beaverton</t>
  </si>
  <si>
    <t>3818 Terry Diane Dr; Phone: (517) 435-3803</t>
  </si>
  <si>
    <t>(563) 242-0000</t>
  </si>
  <si>
    <t>(706) 884-6651</t>
  </si>
  <si>
    <t>602 Executive Dr;</t>
  </si>
  <si>
    <t>(712) 623-5800</t>
  </si>
  <si>
    <t>Tramco</t>
  </si>
  <si>
    <t>(316) 264-4604</t>
  </si>
  <si>
    <t>1020</t>
  </si>
  <si>
    <t>Trane - Pueblo</t>
  </si>
  <si>
    <t>(719) 585-3800</t>
  </si>
  <si>
    <t>(803) 714-2800</t>
  </si>
  <si>
    <t>nan; Phone: 803-714-2800 please</t>
  </si>
  <si>
    <t>Manufacturing satellite facility closed</t>
  </si>
  <si>
    <t>(480) 491-6977</t>
  </si>
  <si>
    <t>1850 W Drake Dr; Tempe; AZ 85283</t>
  </si>
  <si>
    <t>(616) 820-2500</t>
  </si>
  <si>
    <t>Transocean Offshore Deepwater</t>
  </si>
  <si>
    <t>(985) 631-0756</t>
  </si>
  <si>
    <t>926 Degravelle Rd, Phone: na_</t>
  </si>
  <si>
    <t>(503) 842-4007</t>
  </si>
  <si>
    <t>Trathen Logging - Piffard</t>
  </si>
  <si>
    <t>(585) 243-3661</t>
  </si>
  <si>
    <t>Treffers Precision - Phoenix</t>
  </si>
  <si>
    <t>(602) 744-2600</t>
  </si>
  <si>
    <t>Trend Tool</t>
  </si>
  <si>
    <t>32850 Capitol Drive, Phone: 734-421-3337 please</t>
  </si>
  <si>
    <t>Trenwyth - Emigsville</t>
  </si>
  <si>
    <t>(717) 767-6868</t>
  </si>
  <si>
    <t>(989) 684-8051</t>
  </si>
  <si>
    <t xml:space="preserve"> Athens, AL 35611</t>
  </si>
  <si>
    <t>256-232-7949</t>
  </si>
  <si>
    <t>113 Durham Dr; Phone: 2562327949 please</t>
  </si>
  <si>
    <t>Tri-City Hyd - Blountville</t>
  </si>
  <si>
    <t>128 Hwy 75, Phone: (423) 279-0011</t>
  </si>
  <si>
    <t>(206) 783-3818</t>
  </si>
  <si>
    <t>Triline- ESyracuse</t>
  </si>
  <si>
    <t>ESyracuse,NY 13057</t>
  </si>
  <si>
    <t>(315) 437-7205</t>
  </si>
  <si>
    <t>TRI-MARK</t>
  </si>
  <si>
    <t>(641) 394-3188</t>
  </si>
  <si>
    <t>500 BAILEY AVE; Phone: nan please respond with</t>
  </si>
  <si>
    <t>(303) 953-2852</t>
  </si>
  <si>
    <t>Trinity - Denton</t>
  </si>
  <si>
    <t>(940) 484-9600</t>
  </si>
  <si>
    <t>Trinity - Fort Worth</t>
  </si>
  <si>
    <t>(817) 236-0200</t>
  </si>
  <si>
    <t>Trinity - Greenville</t>
  </si>
  <si>
    <t>Trinity - Tulsa</t>
  </si>
  <si>
    <t>(717) 242-2355</t>
  </si>
  <si>
    <t>Trinity Rubber &amp; Machine Products</t>
  </si>
  <si>
    <t>843 Woodall Rd, Phone: 256- _</t>
  </si>
  <si>
    <t>Trinity Trailer Mfg- Boise</t>
  </si>
  <si>
    <t>(208) 336-3666</t>
  </si>
  <si>
    <t>Tri-Pak- Harlingen</t>
  </si>
  <si>
    <t>(956) 423-5140</t>
  </si>
  <si>
    <t>(208) 476-7625</t>
  </si>
  <si>
    <t>Triple S- Beckley</t>
  </si>
  <si>
    <t>(304) 252-2874</t>
  </si>
  <si>
    <t>1803 Wilkinson St; Phone: 256-233-2511 please</t>
  </si>
  <si>
    <t>Tri-State Hyd - Elk Grove Village</t>
  </si>
  <si>
    <t>(847) 439-8987.</t>
  </si>
  <si>
    <t>135 Martin Lane; Phone: (84_</t>
  </si>
  <si>
    <t>(262) 882-2000</t>
  </si>
  <si>
    <t>Triton - Newport News</t>
  </si>
  <si>
    <t>(757) 887-1295</t>
  </si>
  <si>
    <t>Trol-Mation</t>
  </si>
  <si>
    <t>nan, Phone: 315-437-4100 please respond with open_</t>
  </si>
  <si>
    <t>Troy Lumber - Troy</t>
  </si>
  <si>
    <t>110 Leslie Street; Phone: (910) 572-2591</t>
  </si>
  <si>
    <t>True Temper Sports,Inc</t>
  </si>
  <si>
    <t>931 True Temper Circle</t>
  </si>
  <si>
    <t>Amory,MS 38821-8869</t>
  </si>
  <si>
    <t>(662) 256 _</t>
  </si>
  <si>
    <t>(213) 224-6300</t>
  </si>
  <si>
    <t>(570) 824-4656</t>
  </si>
  <si>
    <t>Trumpf-America- Farmington</t>
  </si>
  <si>
    <t>(860) 255-6000</t>
  </si>
  <si>
    <t>(318) 354-5121</t>
  </si>
  <si>
    <t>(304) 472-8564</t>
  </si>
  <si>
    <t>Trus Joist- Valdosta</t>
  </si>
  <si>
    <t>(229) 242-3989</t>
  </si>
  <si>
    <t>Trus-Joist- Castleberry</t>
  </si>
  <si>
    <t>(251) 283-2204</t>
  </si>
  <si>
    <t>(706) 788-3551</t>
  </si>
  <si>
    <t>(503) 241-0716</t>
  </si>
  <si>
    <t>Tube Products- Vandalia</t>
  </si>
  <si>
    <t>(541) 779-3731</t>
  </si>
  <si>
    <t>(520) 623-7711</t>
  </si>
  <si>
    <t>5400 SGarnett Rd</t>
  </si>
  <si>
    <t>5400 SGarnett Rd, Phone: nan please respond with</t>
  </si>
  <si>
    <t>(281) 478-4040</t>
  </si>
  <si>
    <t>Turbomotive - Hamden</t>
  </si>
  <si>
    <t>(910) 592-7197</t>
  </si>
  <si>
    <t>Turn Bull Lumber - Elizabethtown</t>
  </si>
  <si>
    <t>(910) 862-4447</t>
  </si>
  <si>
    <t>(541) 826-2911</t>
  </si>
  <si>
    <t>Turner Eng Portland found</t>
  </si>
  <si>
    <t>(570) 378-3233</t>
  </si>
  <si>
    <t>Turtle&amp;Hughs - Evans</t>
  </si>
  <si>
    <t>Tuscon Hyd - Tucson</t>
  </si>
  <si>
    <t>3502 East Golf Links Road, Phone:</t>
  </si>
  <si>
    <t>(651) 645-3611</t>
  </si>
  <si>
    <t>(605) 886-9448</t>
  </si>
  <si>
    <t>U G N- Valparaiso</t>
  </si>
  <si>
    <t>219-464-7813</t>
  </si>
  <si>
    <t>310-825-9580</t>
  </si>
  <si>
    <t>719-481-4107</t>
  </si>
  <si>
    <t>615-384-3531</t>
  </si>
  <si>
    <t>805 Uniek Drive; Phone: (608) 849-9999 pleas_</t>
  </si>
  <si>
    <t>Unified Wire &amp; Cab - Dekalb</t>
  </si>
  <si>
    <t>Unifirst- New Kensington</t>
  </si>
  <si>
    <t>Uniform Tubes- Trappe</t>
  </si>
  <si>
    <t>Unifrax- New Carlisle</t>
  </si>
  <si>
    <t>Unimast - Boonton</t>
  </si>
  <si>
    <t>Unimex Brokerage - El Paso</t>
  </si>
  <si>
    <t>Union Camp- Franklin</t>
  </si>
  <si>
    <t>Union Camp- Morristown</t>
  </si>
  <si>
    <t>Union Camp- Richmand</t>
  </si>
  <si>
    <t>Union Carbide- Alsip</t>
  </si>
  <si>
    <t>12840 S Pulaski Rd, Phone: (708) 396_</t>
  </si>
  <si>
    <t>Unique - Calera</t>
  </si>
  <si>
    <t>Uniroyal Chemical - Geismar</t>
  </si>
  <si>
    <t>United Automation</t>
  </si>
  <si>
    <t>1491 nKealy, Suite 4</t>
  </si>
  <si>
    <t>1491 nKealy, Suite 4, Phone: 972-420 -_</t>
  </si>
  <si>
    <t xml:space="preserve">United Defense </t>
  </si>
  <si>
    <t>nan, Phone: (703) 441-0443 please respond</t>
  </si>
  <si>
    <t>United Equip Acc - Waverly</t>
  </si>
  <si>
    <t>802-442-1900.</t>
  </si>
  <si>
    <t>United Metal Finishing</t>
  </si>
  <si>
    <t>137 Blue Bell Road</t>
  </si>
  <si>
    <t>Allen Jones</t>
  </si>
  <si>
    <t>137 Blue Bell Road, Phone: nan pleas_</t>
  </si>
  <si>
    <t>United States Gypsum - Sigurd</t>
  </si>
  <si>
    <t>78 N State St</t>
  </si>
  <si>
    <t>Sigurd, UT  84657-7717</t>
  </si>
  <si>
    <t>78 N State St, Phone: nan</t>
  </si>
  <si>
    <t>United States Gypsum - Sweetwater</t>
  </si>
  <si>
    <t>1USG Road</t>
  </si>
  <si>
    <t>Sweetwater, TX 79556</t>
  </si>
  <si>
    <t>1USG Road, Phone: nan</t>
  </si>
  <si>
    <t>Universal Alloy- Anaheim</t>
  </si>
  <si>
    <t>Westbrook Distributing</t>
  </si>
  <si>
    <t>60 Mayer Street; Phone: nan please</t>
  </si>
  <si>
    <t>Universal Studios - Universal City</t>
  </si>
  <si>
    <t>1-800-864-8377</t>
  </si>
  <si>
    <t>Unverferth MFG Co</t>
  </si>
  <si>
    <t>319-885-6578</t>
  </si>
  <si>
    <t>27612 Temple Ave; Phone: nan pleas_</t>
  </si>
  <si>
    <t>9480 Jamaica AveSouth</t>
  </si>
  <si>
    <t>9480 Jamaica AveSouth,</t>
  </si>
  <si>
    <t>URY's MFG</t>
  </si>
  <si>
    <t>Motion- Morgan City's Customer</t>
  </si>
  <si>
    <t>337-441-8244</t>
  </si>
  <si>
    <t>6704 Gondron Rd, Phone: nan please respond with</t>
  </si>
  <si>
    <t>US Alliance Cooda P - Coosa Pines</t>
  </si>
  <si>
    <t>US Bearing - Missoula</t>
  </si>
  <si>
    <t>406-549-6451</t>
  </si>
  <si>
    <t>US Bearing &amp; Drive - Goshen</t>
  </si>
  <si>
    <t>US Bearings &amp; Drive - Vancouver</t>
  </si>
  <si>
    <t>360-823-0600</t>
  </si>
  <si>
    <t>US Concepts- Streamwood</t>
  </si>
  <si>
    <t>US Conveyor Techno - Mackinaw</t>
  </si>
  <si>
    <t>309-359-4088</t>
  </si>
  <si>
    <t>Us Engine Valve- Westminster</t>
  </si>
  <si>
    <t>11650 Park Court</t>
  </si>
  <si>
    <t>US Forest Ind, In - White City</t>
  </si>
  <si>
    <t>US Fusion Services - Gonzales</t>
  </si>
  <si>
    <t>225-647-2747</t>
  </si>
  <si>
    <t>US Gypsum - Gypsum</t>
  </si>
  <si>
    <t>121 S Lake St</t>
  </si>
  <si>
    <t>Gypsum, OH  43433</t>
  </si>
  <si>
    <t>121 S Lake St; Phone: nan please</t>
  </si>
  <si>
    <t>US Gypsum - Jacksonville</t>
  </si>
  <si>
    <t>6825 Evergreen Ave.</t>
  </si>
  <si>
    <t>Jacksonville, FL  32208-4483</t>
  </si>
  <si>
    <t>6825 Evergreen Ave-, Phone: nan</t>
  </si>
  <si>
    <t>US Gypsum Paper - Oakfield</t>
  </si>
  <si>
    <t>(585) 344-5000</t>
  </si>
  <si>
    <t>Us Hyd - Litchfield</t>
  </si>
  <si>
    <t>US Metal Works - Sandy</t>
  </si>
  <si>
    <t>(503) 668-8036</t>
  </si>
  <si>
    <t>US Steel- Fairfield</t>
  </si>
  <si>
    <t>(205) 783-2621</t>
  </si>
  <si>
    <t>US Steel Tubular - Lone Star</t>
  </si>
  <si>
    <t>6866 Highway 259, Phone: nan</t>
  </si>
  <si>
    <t>US Tobacco - Nashville</t>
  </si>
  <si>
    <t>(615) 880-4400</t>
  </si>
  <si>
    <t>(904) 768-2501</t>
  </si>
  <si>
    <t>(540) 775-3123</t>
  </si>
  <si>
    <t>(218) 878-4000</t>
  </si>
  <si>
    <t>USG Interiors - Walworth</t>
  </si>
  <si>
    <t>(262) 275-2151</t>
  </si>
  <si>
    <t>2727 East Grand Avenue; Phone: (800_</t>
  </si>
  <si>
    <t>USS Tubular Processing</t>
  </si>
  <si>
    <t>9393 Sheldon Road, Phone: nan pleas:</t>
  </si>
  <si>
    <t>Utah Bearing &amp; Fab - Ogden</t>
  </si>
  <si>
    <t>(435) 843-8317</t>
  </si>
  <si>
    <t>(801) 355-2705</t>
  </si>
  <si>
    <t>Utec Metals- Spokane</t>
  </si>
  <si>
    <t>(509) 922-1832</t>
  </si>
  <si>
    <t>(509) 684-5071</t>
  </si>
  <si>
    <t>Valex- Ventura</t>
  </si>
  <si>
    <t>(805) 658-0944</t>
  </si>
  <si>
    <t>Valk Ind - Greenville</t>
  </si>
  <si>
    <t>(423) 638-1284</t>
  </si>
  <si>
    <t>Valley Cast - Appleton</t>
  </si>
  <si>
    <t>(920) 738-5070</t>
  </si>
  <si>
    <t>Valley Craft- Lake City</t>
  </si>
  <si>
    <t>(651) 345-3386</t>
  </si>
  <si>
    <t>(952) 445-7600</t>
  </si>
  <si>
    <t>Valley Hyd&amp;Air - Bethlehem</t>
  </si>
  <si>
    <t>6313 Winside Drive; Phone: (610)</t>
  </si>
  <si>
    <t>Val's Machine &amp; Eng- West Jordan</t>
  </si>
  <si>
    <t>(801) 280-1443</t>
  </si>
  <si>
    <t>Valtec Hyd - St Louis</t>
  </si>
  <si>
    <t>St Louis,MO 63137</t>
  </si>
  <si>
    <t>1100 Pershall Road, Phone: (314) 867_</t>
  </si>
  <si>
    <t>(252) 943-6883</t>
  </si>
  <si>
    <t>Valve Teck- Memphis</t>
  </si>
  <si>
    <t>(901) 794-5790</t>
  </si>
  <si>
    <t>Valve&amp;Pump Spec- Wilminton</t>
  </si>
  <si>
    <t>(910) 794-5547</t>
  </si>
  <si>
    <t>(412) 785-1993</t>
  </si>
  <si>
    <t>Van Doren Sales- East Wenatchee</t>
  </si>
  <si>
    <t>(509) 886-1837</t>
  </si>
  <si>
    <t>Van Hoven Co, - South St Paul</t>
  </si>
  <si>
    <t>(651) 453-2041</t>
  </si>
  <si>
    <t>(707) 745-5199</t>
  </si>
  <si>
    <t>(708) 430-4343</t>
  </si>
  <si>
    <t>(989) 893-7503</t>
  </si>
  <si>
    <t>(585) 288-6000</t>
  </si>
  <si>
    <t>Van-Air &amp; Hyd - Maple Shade</t>
  </si>
  <si>
    <t>(856) 779-7300</t>
  </si>
  <si>
    <t>(931) 535-3196</t>
  </si>
  <si>
    <t>Vanport Mfg - Boring</t>
  </si>
  <si>
    <t>(503) 663-4466</t>
  </si>
  <si>
    <t>(989) 846-1029</t>
  </si>
  <si>
    <t>(770) 788-0136</t>
  </si>
  <si>
    <t>No status found</t>
  </si>
  <si>
    <t>(714) 978-1900</t>
  </si>
  <si>
    <t>Varco DSS- New Iberia</t>
  </si>
  <si>
    <t>(337) 374-1400</t>
  </si>
  <si>
    <t>VASCO</t>
  </si>
  <si>
    <t>(507) 377-9335</t>
  </si>
  <si>
    <t>1103 Hershey Street; Phone: nan please respond</t>
  </si>
  <si>
    <t>VaTextile Service - Petersburg</t>
  </si>
  <si>
    <t>(804) 732-6391</t>
  </si>
  <si>
    <t>VDC/ Juan DMor - El Paso</t>
  </si>
  <si>
    <t>Vector- Marion</t>
  </si>
  <si>
    <t>(319) 377-8263</t>
  </si>
  <si>
    <t>(414) 247-7100</t>
  </si>
  <si>
    <t>Velcro Usa - Manchester</t>
  </si>
  <si>
    <t>(603) 669-4880</t>
  </si>
  <si>
    <t>Motion- San Deigo's Customer</t>
  </si>
  <si>
    <t>(619) 448-1000</t>
  </si>
  <si>
    <t>1717 Cuyamaca Street; Phone: nan please respond</t>
  </si>
  <si>
    <t>Ver-Mac - Mt Vernon</t>
  </si>
  <si>
    <t>(740) 397-6511</t>
  </si>
  <si>
    <t>Vest - Los Angeles</t>
  </si>
  <si>
    <t>Vetco Gray- Hosuton</t>
  </si>
  <si>
    <t>713-458-3735</t>
  </si>
  <si>
    <t>405-382-4100</t>
  </si>
  <si>
    <t>Vf Jeanswear- Greensboro</t>
  </si>
  <si>
    <t>336-332-3400</t>
  </si>
  <si>
    <t>716-592-1000</t>
  </si>
  <si>
    <t>819-752-3388</t>
  </si>
  <si>
    <t>708-687-7650</t>
  </si>
  <si>
    <t>320-564-9009</t>
  </si>
  <si>
    <t>361-574-9229</t>
  </si>
  <si>
    <t>218-773-1159</t>
  </si>
  <si>
    <t>Vimco Mfg - King Of Prussia</t>
  </si>
  <si>
    <t>610-768-0500</t>
  </si>
  <si>
    <t>Vintec - Murfreesboro</t>
  </si>
  <si>
    <t>615-890-0146</t>
  </si>
  <si>
    <t>8412 Sanford Drive, Phone:</t>
  </si>
  <si>
    <t>770-922-5400</t>
  </si>
  <si>
    <t>Visy Paper (Ny) - Staten Island</t>
  </si>
  <si>
    <t>718-370-1114</t>
  </si>
  <si>
    <t>330-929-6800</t>
  </si>
  <si>
    <t>Vmw Ind- Victoria</t>
  </si>
  <si>
    <t>361-572-3127</t>
  </si>
  <si>
    <t>Vmw Machinery - West Nyack</t>
  </si>
  <si>
    <t>(845) 358-3330</t>
  </si>
  <si>
    <t>Voest Alpine - Pittsburgh</t>
  </si>
  <si>
    <t>Penn Centre West; Phone: (412) 747-_</t>
  </si>
  <si>
    <t>(732) 364-4422</t>
  </si>
  <si>
    <t>Voith Hydro- York</t>
  </si>
  <si>
    <t>717-792-7000</t>
  </si>
  <si>
    <t>Volex- Conover</t>
  </si>
  <si>
    <t>(828) 464-4546</t>
  </si>
  <si>
    <t>Volvo GMHeavy Truck - Dublin</t>
  </si>
  <si>
    <t>(540) 674-4181</t>
  </si>
  <si>
    <t>Vonco Products - Lake Villa</t>
  </si>
  <si>
    <t>(847) 356-2323</t>
  </si>
  <si>
    <t>(281) 449-0444</t>
  </si>
  <si>
    <t>Vought Aircraft Ind</t>
  </si>
  <si>
    <t>(615) 361-2000</t>
  </si>
  <si>
    <t>1431 Vultee Blvd, Phone: nan please</t>
  </si>
  <si>
    <t>Vulcan - Missouri Valley</t>
  </si>
  <si>
    <t>(712) 642-2755</t>
  </si>
  <si>
    <t>Motion- Mobile's Customer</t>
  </si>
  <si>
    <t>(251) 943-1541</t>
  </si>
  <si>
    <t>400 East</t>
  </si>
  <si>
    <t>Vulcan Tool - Dayton</t>
  </si>
  <si>
    <t>(937) 253-6194</t>
  </si>
  <si>
    <t>W A Whitney Mfg - Rockford</t>
  </si>
  <si>
    <t>(337) 535-1500</t>
  </si>
  <si>
    <t>W M C- Worth</t>
  </si>
  <si>
    <t>(708) 388-0990</t>
  </si>
  <si>
    <t>W M Wrigley Jr - Chicago</t>
  </si>
  <si>
    <t>(312) 794-6200</t>
  </si>
  <si>
    <t>(540) 463-3832</t>
  </si>
  <si>
    <t>(989) 835-5522</t>
  </si>
  <si>
    <t>256-538- .</t>
  </si>
  <si>
    <t>47 Brogdon Road, Phone: 256-538- .</t>
  </si>
  <si>
    <t>(260) 563-7461</t>
  </si>
  <si>
    <t>Walco Hyd- Wichita</t>
  </si>
  <si>
    <t>10012 West York, Phone: (316) 524- _</t>
  </si>
  <si>
    <t>Ward Hyd - Houston</t>
  </si>
  <si>
    <t>(713) 227-6524</t>
  </si>
  <si>
    <t>(864) 220-9898</t>
  </si>
  <si>
    <t>Ward Machinery - Cockeysville</t>
  </si>
  <si>
    <t>(410) 584-7700</t>
  </si>
  <si>
    <t>6148-B Brookshire Boulevard__</t>
  </si>
  <si>
    <t>(509) 925-2827</t>
  </si>
  <si>
    <t>Warn - Clackamus</t>
  </si>
  <si>
    <t>(503) 722-1200</t>
  </si>
  <si>
    <t>(414) 643-3000</t>
  </si>
  <si>
    <t>(503) 861-5300</t>
  </si>
  <si>
    <t>nan, Phone: na.</t>
  </si>
  <si>
    <t>(541) 548-4575</t>
  </si>
  <si>
    <t>nan, Phone: 208-386-5404</t>
  </si>
  <si>
    <t>206-464-6400</t>
  </si>
  <si>
    <t>509-335-3564</t>
  </si>
  <si>
    <t>WashPublic Power S - Richland</t>
  </si>
  <si>
    <t>509-377-8000</t>
  </si>
  <si>
    <t>Waterloo - Muskogee</t>
  </si>
  <si>
    <t>Waterman - Exeter</t>
  </si>
  <si>
    <t>(559) 562-4000</t>
  </si>
  <si>
    <t>Watson Hyd - Laguna Hills</t>
  </si>
  <si>
    <t>(949) 588-8220</t>
  </si>
  <si>
    <t>(931) 296-1455</t>
  </si>
  <si>
    <t>(989) 785-9543</t>
  </si>
  <si>
    <t>WDChips- Rosephine</t>
  </si>
  <si>
    <t>(337) 463-2287</t>
  </si>
  <si>
    <t>Webb Stiles</t>
  </si>
  <si>
    <t>700 Industrial</t>
  </si>
  <si>
    <t>2310 Industrial Drive SW; Phone: (256_</t>
  </si>
  <si>
    <t>Webco - Tulsa</t>
  </si>
  <si>
    <t>918-836-1188</t>
  </si>
  <si>
    <t>Weber Hyd - Darien Center</t>
  </si>
  <si>
    <t>10751 Alleghany Rd, Phone: (585) 54_</t>
  </si>
  <si>
    <t>847-364-8500</t>
  </si>
  <si>
    <t>Weber, Hg&amp;Co - Kiel</t>
  </si>
  <si>
    <t>725 Fremont Street; Phone: nan pleas_</t>
  </si>
  <si>
    <t>(207) 783-9108</t>
  </si>
  <si>
    <t>(908) 272 -.</t>
  </si>
  <si>
    <t>4 Commerce Drive; Phone: (908) 272 -.</t>
  </si>
  <si>
    <t>(618) 539-3193</t>
  </si>
  <si>
    <t>(716) 691-3631</t>
  </si>
  <si>
    <t>78 John Glenn Drive; Phone: (800) 47_</t>
  </si>
  <si>
    <t>(800) 873-.</t>
  </si>
  <si>
    <t>110 Delta Drive, Phone: (800) 873-.</t>
  </si>
  <si>
    <t>(440) 576-6940</t>
  </si>
  <si>
    <t>Welco Lumber - Marysville</t>
  </si>
  <si>
    <t>(360) 659-1261</t>
  </si>
  <si>
    <t>(614) 252-0983</t>
  </si>
  <si>
    <t>(641) 437-1473</t>
  </si>
  <si>
    <t>(601) 866-2241</t>
  </si>
  <si>
    <t>Wenco Molding - Providence</t>
  </si>
  <si>
    <t>(270) 667-2024</t>
  </si>
  <si>
    <t>WENGER MFG</t>
  </si>
  <si>
    <t>(785) 284-2133</t>
  </si>
  <si>
    <t>15 Commerce Drive; Phone: nan please</t>
  </si>
  <si>
    <t>Wentworth Equip - Bend</t>
  </si>
  <si>
    <t>(541) 389-9800</t>
  </si>
  <si>
    <t>Wep - Kenosha</t>
  </si>
  <si>
    <t>(262) 947-7000</t>
  </si>
  <si>
    <t>West Bend Equip - West Bend</t>
  </si>
  <si>
    <t>(262) 790-4207</t>
  </si>
  <si>
    <t>(270) 685-3001</t>
  </si>
  <si>
    <t>West Linn Paper - West Linn</t>
  </si>
  <si>
    <t>(503) 656-2951</t>
  </si>
  <si>
    <t>(503) 364-2213</t>
  </si>
  <si>
    <t>724-74.</t>
  </si>
  <si>
    <t>15 Brook Valley Drive; Phone: 724-74.</t>
  </si>
  <si>
    <t>(281) 890-3300</t>
  </si>
  <si>
    <t>(713) 439-8600</t>
  </si>
  <si>
    <t>(916) 408-6969</t>
  </si>
  <si>
    <t>(208) 345-1440</t>
  </si>
  <si>
    <t>(580) 873-2201</t>
  </si>
  <si>
    <t>(801) 972-1181</t>
  </si>
  <si>
    <t>(360) 738-1264</t>
  </si>
  <si>
    <t>(801) 486-6500</t>
  </si>
  <si>
    <t>Western Forge- Colorado Springs</t>
  </si>
  <si>
    <t>(719) 598-5070</t>
  </si>
  <si>
    <t>(713) 789-9600</t>
  </si>
  <si>
    <t>(425) 481-2204</t>
  </si>
  <si>
    <t>(414) 258-4100</t>
  </si>
  <si>
    <t>(714) 739-1601</t>
  </si>
  <si>
    <t>(502) 863-0291</t>
  </si>
  <si>
    <t>525 AIRPORT RD</t>
  </si>
  <si>
    <t>525 AIRPORT R</t>
  </si>
  <si>
    <t>(318) 247-0062</t>
  </si>
  <si>
    <t>(903) 586-2481</t>
  </si>
  <si>
    <t>(801) 524-4000</t>
  </si>
  <si>
    <t>(509) 375-3096</t>
  </si>
  <si>
    <t>(520) 836-8246</t>
  </si>
  <si>
    <t>(541) 772-0951</t>
  </si>
  <si>
    <t>Western Tube &amp; Condu - Long Beach</t>
  </si>
  <si>
    <t>(310) 537-6300</t>
  </si>
  <si>
    <t>Westlake Polymers - Sulphur</t>
  </si>
  <si>
    <t>(337) 583-2200</t>
  </si>
  <si>
    <t>Weston - Shreveport</t>
  </si>
  <si>
    <t>3520 Mansfield Road, Phone: (318)</t>
  </si>
  <si>
    <t>540-969-5569</t>
  </si>
  <si>
    <t>Westvaco - Summerville</t>
  </si>
  <si>
    <t>270-335-4000</t>
  </si>
  <si>
    <t>Westwood - Junction City</t>
  </si>
  <si>
    <t>Weyerhaeuser - Adel</t>
  </si>
  <si>
    <t>Weyerhaeuser - Emerson</t>
  </si>
  <si>
    <t>101 W. Columbia Road 14</t>
  </si>
  <si>
    <t>Emerson, AR  71740</t>
  </si>
  <si>
    <t>101 W. Columbia Road 14,Phone: na_</t>
  </si>
  <si>
    <t>Weyerhaeuser - Holen</t>
  </si>
  <si>
    <t>Weyerhaeuser - Springfield</t>
  </si>
  <si>
    <t>Weyerhaeuser - Wright City</t>
  </si>
  <si>
    <t>580-981-1408</t>
  </si>
  <si>
    <t>Weyerhaueser - Vailent</t>
  </si>
  <si>
    <t>580-933-7211</t>
  </si>
  <si>
    <t>Weyerhauser - Columbus</t>
  </si>
  <si>
    <t>662-243-4000</t>
  </si>
  <si>
    <t>Weyerhauser - Emerson</t>
  </si>
  <si>
    <t>Highway 79 South, Phone: nan please_</t>
  </si>
  <si>
    <t>Weyerhauser - MtPine</t>
  </si>
  <si>
    <t>MtPine,AR 71956</t>
  </si>
  <si>
    <t>WFWells - Three Rivers</t>
  </si>
  <si>
    <t>269-279-5123</t>
  </si>
  <si>
    <t>863-665-2255</t>
  </si>
  <si>
    <t>Wheeler- Shelbyville</t>
  </si>
  <si>
    <t>317-398-7500</t>
  </si>
  <si>
    <t>6338 Sierra Elena, Phone: (714) 854-8067</t>
  </si>
  <si>
    <t>Whirlpool - Clyde</t>
  </si>
  <si>
    <t>419-547-7711</t>
  </si>
  <si>
    <t>Whisler Bearing - Colorado Springs</t>
  </si>
  <si>
    <t>3025 Delta Drive, Phone: (71_</t>
  </si>
  <si>
    <t>3399 North Cascade Avenue;</t>
  </si>
  <si>
    <t>251-452-0070</t>
  </si>
  <si>
    <t>509-525-6620</t>
  </si>
  <si>
    <t>White Consolidated - Anderson</t>
  </si>
  <si>
    <t>864-224-5611</t>
  </si>
  <si>
    <t>618-539-3193</t>
  </si>
  <si>
    <t>Wieland&amp;Sons Lumber</t>
  </si>
  <si>
    <t>644 220th St, Phone: nan please</t>
  </si>
  <si>
    <t>Wiggins Lumber - Wiggins</t>
  </si>
  <si>
    <t>Wightman Lumber - Portlandville</t>
  </si>
  <si>
    <t>607-286-9201</t>
  </si>
  <si>
    <t>318-628-8100</t>
  </si>
  <si>
    <t>318-843-2700</t>
  </si>
  <si>
    <t>503-876-2322</t>
  </si>
  <si>
    <t>Williams-Bonnell - Newman</t>
  </si>
  <si>
    <t>770-253-2020</t>
  </si>
  <si>
    <t>3701 Park NW, Phone: nan</t>
  </si>
  <si>
    <t>12626 County Road 150,</t>
  </si>
  <si>
    <t>937-382-3700</t>
  </si>
  <si>
    <t>Wilson - San Antonio</t>
  </si>
  <si>
    <t>WLGore - Elkton</t>
  </si>
  <si>
    <t>167 Duraflake Road, Phone: 318-247-8918</t>
  </si>
  <si>
    <t>2801 Olson Drive; Phone: nan please respond with</t>
  </si>
  <si>
    <t>YFAI ROMULUS</t>
  </si>
  <si>
    <t>9800 Inkster Dr.</t>
  </si>
  <si>
    <t>Romulus, MI  48174</t>
  </si>
  <si>
    <t>Yokohama Blvd; Phone: (800) 423-4544 please</t>
  </si>
  <si>
    <t>Ziebach &amp; Webb Timber Co</t>
  </si>
  <si>
    <t>4275 Highway 21 N</t>
  </si>
  <si>
    <t>Monroeville, AL  36460</t>
  </si>
  <si>
    <t>901 W 94th Street; Phone: 952-888-4121 please</t>
  </si>
  <si>
    <t>nan, nan, Phone:</t>
  </si>
  <si>
    <t>Expedited - Emergency</t>
  </si>
  <si>
    <t>JIT Foster Care Program*</t>
  </si>
  <si>
    <t>Bumper Seal</t>
  </si>
  <si>
    <t>Bumper Piston</t>
  </si>
  <si>
    <t>Anheuser Busch - Fort Collins</t>
  </si>
  <si>
    <t>2351 Busch Dr.</t>
  </si>
  <si>
    <t>Fort Collins, CO  80524-9400</t>
  </si>
  <si>
    <t>662-889-9197</t>
  </si>
  <si>
    <t>501-463-4729</t>
  </si>
  <si>
    <t>TBD</t>
  </si>
  <si>
    <t>Atlas</t>
  </si>
  <si>
    <t>IF(OR(B3="HM",B3="MH",B3="H",B3="IMH",B3="IHM",B3="IH"),3000,IF(B3="LH",1500,IF(OR(B3="VA",B3="A"),100)))</t>
  </si>
  <si>
    <t>L Seals</t>
  </si>
  <si>
    <t>P</t>
  </si>
  <si>
    <t>F = 0.88"</t>
  </si>
  <si>
    <t>R = 4.95"</t>
  </si>
  <si>
    <t>FB = 0.94"</t>
  </si>
  <si>
    <t>TF = 8.19"</t>
  </si>
  <si>
    <t>K0929261852</t>
  </si>
  <si>
    <t>Hyd Gland Poly Seal Kit KHG20</t>
  </si>
  <si>
    <t>Hyd Piston Poly Seal Kit KHP50</t>
  </si>
  <si>
    <t>Hyd Rod Poly Seal Kit KHR20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</si>
</sst>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6" formatCode="&quot;$&quot;#,##0_);[Red]\(&quot;$&quot;#,##0\)"/>
    <numFmt numFmtId="8" formatCode="&quot;$&quot;#,##0.00_);[Red]\(&quot;$&quot;#,##0.00\)"/>
    <numFmt numFmtId="43" formatCode="_(* #,##0.00_);_(* \(#,##0.00\);_(* &quot;-&quot;??_);_(@_)"/>
    <numFmt numFmtId="164" formatCode="0.0"/>
    <numFmt numFmtId="165" formatCode="0.000"/>
    <numFmt numFmtId="166" formatCode="&quot;$&quot;#,##0.00"/>
    <numFmt numFmtId="167" formatCode="mmmm\-yy"/>
    <numFmt numFmtId="168" formatCode="&quot;$&quot;#,##0.0"/>
    <numFmt numFmtId="169" formatCode="[&lt;=9999999]###\-####;\(###\)\ ###\-####"/>
    <numFmt numFmtId="170" formatCode="mdyy"/>
    <numFmt numFmtId="171" formatCode="mmm\-d"/>
    <numFmt numFmtId="172" formatCode="mmm\-d\ \(h:mm\)"/>
    <numFmt numFmtId="173" formatCode="0.0%"/>
    <numFmt numFmtId="174" formatCode="&quot;$&quot;#,##0"/>
    <numFmt numFmtId="175" formatCode="[$-409]d\-mmm\-yy;@"/>
    <numFmt numFmtId="176" formatCode="#,##0.0"/>
    <numFmt numFmtId="177" formatCode="#,##0.000"/>
  </numFmts>
  <fonts count="72">
    <font>
      <sz val="10"/>
      <name val="Arial"/>
    </font>
    <font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10"/>
      <color indexed="8"/>
      <name val="Arial"/>
      <family val="2"/>
    </font>
    <font>
      <sz val="10"/>
      <name val="Arial Narrow"/>
      <family val="2"/>
    </font>
    <font>
      <sz val="10"/>
      <name val="Trebuchet MS"/>
      <family val="2"/>
    </font>
    <font>
      <sz val="16"/>
      <name val="Trebuchet MS"/>
      <family val="2"/>
    </font>
    <font>
      <b/>
      <sz val="10"/>
      <name val="Trebuchet MS"/>
      <family val="2"/>
    </font>
    <font>
      <sz val="9"/>
      <name val="Trebuchet MS"/>
      <family val="2"/>
    </font>
    <font>
      <sz val="11"/>
      <name val="Trebuchet MS"/>
      <family val="2"/>
    </font>
    <font>
      <sz val="12"/>
      <name val="Trebuchet MS"/>
      <family val="2"/>
    </font>
    <font>
      <b/>
      <sz val="11"/>
      <name val="Trebuchet MS"/>
      <family val="2"/>
    </font>
    <font>
      <b/>
      <sz val="12"/>
      <name val="Trebuchet MS"/>
      <family val="2"/>
    </font>
    <font>
      <b/>
      <sz val="18"/>
      <name val="Trebuchet MS"/>
      <family val="2"/>
    </font>
    <font>
      <b/>
      <i/>
      <sz val="11"/>
      <name val="Trebuchet MS"/>
      <family val="2"/>
    </font>
    <font>
      <sz val="10"/>
      <name val="Arial"/>
      <family val="2"/>
    </font>
    <font>
      <sz val="9"/>
      <name val="Arial Narrow"/>
      <family val="2"/>
    </font>
    <font>
      <sz val="8"/>
      <name val="Trebuchet MS"/>
      <family val="2"/>
    </font>
    <font>
      <sz val="11"/>
      <name val="Arial Narrow"/>
      <family val="2"/>
    </font>
    <font>
      <b/>
      <sz val="10"/>
      <name val="Arial Narrow"/>
      <family val="2"/>
    </font>
    <font>
      <sz val="10"/>
      <name val="Verdana"/>
      <family val="2"/>
    </font>
    <font>
      <b/>
      <sz val="10"/>
      <name val="Arial"/>
      <family val="2"/>
    </font>
    <font>
      <sz val="10"/>
      <name val="Arial"/>
      <family val="2"/>
    </font>
    <font>
      <b/>
      <sz val="9"/>
      <name val="Arial Narrow"/>
      <family val="2"/>
    </font>
    <font>
      <sz val="16"/>
      <name val="Verdana"/>
      <family val="2"/>
    </font>
    <font>
      <sz val="10"/>
      <name val="Arial"/>
      <family val="2"/>
    </font>
    <font>
      <sz val="13"/>
      <name val="Verdana"/>
      <family val="2"/>
    </font>
    <font>
      <sz val="14"/>
      <name val="Verdana"/>
      <family val="2"/>
    </font>
    <font>
      <sz val="10"/>
      <name val="Arial"/>
      <family val="2"/>
    </font>
    <font>
      <sz val="6"/>
      <name val="Arial"/>
      <family val="2"/>
    </font>
    <font>
      <sz val="10"/>
      <name val="Arial"/>
      <family val="2"/>
    </font>
    <font>
      <sz val="16"/>
      <name val="Arial Narrow"/>
      <family val="2"/>
    </font>
    <font>
      <sz val="14"/>
      <name val="Arial Narrow"/>
      <family val="2"/>
    </font>
    <font>
      <sz val="14"/>
      <name val="Trebuchet MS"/>
      <family val="2"/>
    </font>
    <font>
      <sz val="6"/>
      <name val="Trebuchet MS"/>
      <family val="2"/>
    </font>
    <font>
      <b/>
      <sz val="12"/>
      <name val="Arial Narrow"/>
      <family val="2"/>
    </font>
    <font>
      <sz val="8"/>
      <name val="Arial Narrow"/>
      <family val="2"/>
    </font>
    <font>
      <sz val="11"/>
      <name val="Calibri"/>
      <family val="2"/>
    </font>
    <font>
      <sz val="12"/>
      <name val="Times New Roman"/>
      <family val="1"/>
    </font>
    <font>
      <sz val="26"/>
      <name val="Trebuchet MS"/>
      <family val="2"/>
    </font>
    <font>
      <sz val="8"/>
      <color indexed="8"/>
      <name val="Arial Narrow"/>
      <family val="2"/>
    </font>
    <font>
      <u/>
      <sz val="8"/>
      <color indexed="12"/>
      <name val="Arial Narrow"/>
      <family val="2"/>
    </font>
    <font>
      <sz val="10.5"/>
      <name val="Calibri"/>
      <family val="2"/>
    </font>
    <font>
      <sz val="10"/>
      <name val="DroidSansRegular"/>
    </font>
    <font>
      <sz val="11"/>
      <color theme="0"/>
      <name val="Trebuchet MS"/>
      <family val="2"/>
    </font>
    <font>
      <sz val="10"/>
      <name val="Century Gothic"/>
      <family val="2"/>
    </font>
    <font>
      <b/>
      <sz val="10"/>
      <name val="Century Gothic"/>
      <family val="2"/>
    </font>
    <font>
      <sz val="11"/>
      <name val="Century Gothic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14"/>
      <name val="Arial"/>
      <family val="2"/>
    </font>
    <font>
      <sz val="12"/>
      <name val="Century Gothic"/>
      <family val="2"/>
    </font>
    <font>
      <b/>
      <i/>
      <sz val="11"/>
      <name val="Century Gothic"/>
      <family val="2"/>
    </font>
    <font>
      <b/>
      <sz val="11"/>
      <name val="Century Gothic"/>
      <family val="2"/>
    </font>
    <font>
      <sz val="24"/>
      <name val="Century Gothic"/>
      <family val="2"/>
    </font>
    <font>
      <b/>
      <sz val="16"/>
      <name val="Century Gothic"/>
      <family val="2"/>
    </font>
    <font>
      <sz val="9"/>
      <name val="Century Gothic"/>
      <family val="2"/>
    </font>
    <font>
      <u/>
      <sz val="9"/>
      <name val="Century Gothic"/>
      <family val="2"/>
    </font>
    <font>
      <b/>
      <sz val="9"/>
      <name val="Century Gothic"/>
      <family val="2"/>
    </font>
    <font>
      <i/>
      <sz val="10"/>
      <name val="Century Gothic"/>
      <family val="2"/>
    </font>
    <font>
      <sz val="11"/>
      <name val="Free 3 of 9"/>
      <family val="3"/>
    </font>
    <font>
      <sz val="10"/>
      <color rgb="FF1F497D"/>
      <name val="Tahoma"/>
      <family val="2"/>
    </font>
    <font>
      <sz val="8"/>
      <color rgb="FF1F1F1F"/>
      <name val="Arial"/>
      <family val="2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name val="Century Gothic"/>
      <family val="2"/>
    </font>
    <font>
      <i/>
      <sz val="12"/>
      <name val="Century Gothic"/>
      <family val="2"/>
    </font>
    <font>
      <sz val="9"/>
      <color indexed="8"/>
      <name val="Arial Narrow"/>
      <family val="2"/>
    </font>
    <font>
      <sz val="32"/>
      <name val="Century Gothic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8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</fills>
  <borders count="6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</borders>
  <cellStyleXfs count="8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4" fillId="0" borderId="0"/>
    <xf numFmtId="0" fontId="4" fillId="0" borderId="0"/>
    <xf numFmtId="9" fontId="1" fillId="0" borderId="0" applyFont="0" applyFill="0" applyBorder="0" applyAlignment="0" applyProtection="0"/>
    <xf numFmtId="0" fontId="1" fillId="0" borderId="0"/>
    <xf numFmtId="43" fontId="49" fillId="0" borderId="0" applyFont="0" applyFill="0" applyBorder="0" applyAlignment="0" applyProtection="0"/>
  </cellStyleXfs>
  <cellXfs count="654">
    <xf numFmtId="0" fontId="0" fillId="0" borderId="0" xfId="0"/>
    <xf numFmtId="0" fontId="6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10" fillId="0" borderId="0" xfId="0" applyFont="1" applyAlignment="1" applyProtection="1">
      <alignment horizontal="right"/>
      <protection locked="0"/>
    </xf>
    <xf numFmtId="0" fontId="10" fillId="0" borderId="3" xfId="0" applyFont="1" applyBorder="1" applyAlignment="1" applyProtection="1">
      <alignment horizontal="left" shrinkToFit="1"/>
      <protection locked="0"/>
    </xf>
    <xf numFmtId="0" fontId="10" fillId="0" borderId="0" xfId="0" applyFont="1" applyAlignment="1" applyProtection="1">
      <alignment horizontal="center"/>
      <protection locked="0"/>
    </xf>
    <xf numFmtId="0" fontId="8" fillId="0" borderId="0" xfId="0" applyFont="1"/>
    <xf numFmtId="0" fontId="6" fillId="0" borderId="0" xfId="0" applyFont="1"/>
    <xf numFmtId="0" fontId="10" fillId="0" borderId="2" xfId="0" applyFont="1" applyBorder="1" applyAlignment="1">
      <alignment horizontal="center"/>
    </xf>
    <xf numFmtId="0" fontId="10" fillId="0" borderId="0" xfId="0" applyFont="1"/>
    <xf numFmtId="0" fontId="10" fillId="0" borderId="4" xfId="0" applyFont="1" applyBorder="1" applyAlignment="1">
      <alignment horizontal="center"/>
    </xf>
    <xf numFmtId="0" fontId="10" fillId="0" borderId="3" xfId="0" applyFont="1" applyBorder="1"/>
    <xf numFmtId="2" fontId="10" fillId="0" borderId="0" xfId="0" applyNumberFormat="1" applyFont="1" applyAlignment="1">
      <alignment horizontal="left"/>
    </xf>
    <xf numFmtId="0" fontId="11" fillId="0" borderId="0" xfId="0" applyFont="1" applyAlignment="1" applyProtection="1">
      <alignment horizontal="center" shrinkToFit="1"/>
      <protection locked="0"/>
    </xf>
    <xf numFmtId="0" fontId="9" fillId="0" borderId="0" xfId="0" applyFont="1"/>
    <xf numFmtId="0" fontId="10" fillId="0" borderId="0" xfId="0" applyFont="1" applyAlignment="1">
      <alignment horizontal="left"/>
    </xf>
    <xf numFmtId="0" fontId="14" fillId="0" borderId="0" xfId="0" applyFont="1" applyAlignment="1">
      <alignment horizontal="left" vertical="center" shrinkToFit="1"/>
    </xf>
    <xf numFmtId="0" fontId="10" fillId="0" borderId="0" xfId="0" applyFont="1" applyAlignment="1">
      <alignment horizontal="right"/>
    </xf>
    <xf numFmtId="2" fontId="10" fillId="0" borderId="0" xfId="0" applyNumberFormat="1" applyFont="1" applyAlignment="1" applyProtection="1">
      <alignment horizontal="left" shrinkToFit="1"/>
      <protection locked="0"/>
    </xf>
    <xf numFmtId="0" fontId="10" fillId="0" borderId="0" xfId="0" applyFont="1" applyAlignment="1" applyProtection="1">
      <alignment horizontal="left" shrinkToFit="1"/>
      <protection locked="0"/>
    </xf>
    <xf numFmtId="16" fontId="10" fillId="0" borderId="0" xfId="0" applyNumberFormat="1" applyFont="1" applyAlignment="1" applyProtection="1">
      <alignment horizontal="left" shrinkToFit="1"/>
      <protection locked="0"/>
    </xf>
    <xf numFmtId="0" fontId="12" fillId="0" borderId="3" xfId="0" applyFont="1" applyBorder="1" applyAlignment="1" applyProtection="1">
      <alignment horizontal="center"/>
      <protection locked="0"/>
    </xf>
    <xf numFmtId="0" fontId="10" fillId="0" borderId="0" xfId="0" applyFont="1" applyAlignment="1">
      <alignment horizontal="center"/>
    </xf>
    <xf numFmtId="173" fontId="12" fillId="0" borderId="3" xfId="0" applyNumberFormat="1" applyFont="1" applyBorder="1" applyAlignment="1" applyProtection="1">
      <alignment horizontal="center"/>
      <protection locked="0"/>
    </xf>
    <xf numFmtId="0" fontId="15" fillId="0" borderId="0" xfId="0" applyFont="1" applyAlignment="1">
      <alignment horizontal="left"/>
    </xf>
    <xf numFmtId="0" fontId="12" fillId="0" borderId="7" xfId="0" applyFont="1" applyBorder="1" applyAlignment="1">
      <alignment horizontal="center"/>
    </xf>
    <xf numFmtId="0" fontId="8" fillId="0" borderId="0" xfId="0" quotePrefix="1" applyFont="1"/>
    <xf numFmtId="0" fontId="11" fillId="0" borderId="0" xfId="0" applyFont="1" applyAlignment="1" applyProtection="1">
      <alignment horizontal="left" shrinkToFit="1"/>
      <protection locked="0"/>
    </xf>
    <xf numFmtId="0" fontId="11" fillId="0" borderId="0" xfId="0" applyFont="1" applyAlignment="1">
      <alignment horizontal="left"/>
    </xf>
    <xf numFmtId="0" fontId="13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" fontId="5" fillId="0" borderId="0" xfId="0" applyNumberFormat="1" applyFont="1" applyAlignment="1">
      <alignment horizontal="center"/>
    </xf>
    <xf numFmtId="0" fontId="17" fillId="0" borderId="0" xfId="0" applyFont="1" applyAlignment="1">
      <alignment horizontal="center" wrapText="1" shrinkToFit="1"/>
    </xf>
    <xf numFmtId="0" fontId="17" fillId="0" borderId="0" xfId="0" applyFont="1" applyAlignment="1">
      <alignment horizontal="center" wrapText="1"/>
    </xf>
    <xf numFmtId="0" fontId="8" fillId="0" borderId="1" xfId="4" applyFont="1" applyBorder="1" applyAlignment="1">
      <alignment horizontal="left"/>
    </xf>
    <xf numFmtId="1" fontId="6" fillId="0" borderId="0" xfId="0" applyNumberFormat="1" applyFont="1" applyAlignment="1">
      <alignment horizontal="left"/>
    </xf>
    <xf numFmtId="0" fontId="8" fillId="0" borderId="0" xfId="0" applyFont="1" applyAlignment="1">
      <alignment horizontal="center" vertical="center" wrapText="1"/>
    </xf>
    <xf numFmtId="0" fontId="5" fillId="0" borderId="0" xfId="0" applyFont="1"/>
    <xf numFmtId="0" fontId="5" fillId="0" borderId="0" xfId="0" applyFont="1" applyAlignment="1">
      <alignment horizontal="center" vertical="center"/>
    </xf>
    <xf numFmtId="2" fontId="5" fillId="0" borderId="0" xfId="0" applyNumberFormat="1" applyFont="1" applyAlignment="1">
      <alignment horizontal="center" vertical="center" wrapText="1"/>
    </xf>
    <xf numFmtId="12" fontId="5" fillId="0" borderId="0" xfId="0" applyNumberFormat="1" applyFont="1" applyAlignment="1">
      <alignment horizontal="center"/>
    </xf>
    <xf numFmtId="0" fontId="24" fillId="0" borderId="0" xfId="0" applyFont="1" applyAlignment="1">
      <alignment horizontal="center"/>
    </xf>
    <xf numFmtId="2" fontId="17" fillId="0" borderId="0" xfId="0" applyNumberFormat="1" applyFont="1" applyAlignment="1">
      <alignment horizontal="center"/>
    </xf>
    <xf numFmtId="1" fontId="17" fillId="0" borderId="0" xfId="0" applyNumberFormat="1" applyFont="1" applyAlignment="1">
      <alignment horizontal="center" vertical="center"/>
    </xf>
    <xf numFmtId="12" fontId="17" fillId="0" borderId="0" xfId="0" applyNumberFormat="1" applyFont="1" applyAlignment="1">
      <alignment horizontal="center"/>
    </xf>
    <xf numFmtId="0" fontId="17" fillId="0" borderId="0" xfId="3" applyFont="1" applyAlignment="1">
      <alignment horizontal="center" wrapText="1"/>
    </xf>
    <xf numFmtId="0" fontId="17" fillId="0" borderId="0" xfId="0" applyFont="1"/>
    <xf numFmtId="2" fontId="5" fillId="0" borderId="0" xfId="0" applyNumberFormat="1" applyFont="1" applyAlignment="1">
      <alignment horizontal="center" vertical="top"/>
    </xf>
    <xf numFmtId="165" fontId="5" fillId="0" borderId="0" xfId="0" applyNumberFormat="1" applyFont="1" applyAlignment="1">
      <alignment horizontal="center"/>
    </xf>
    <xf numFmtId="1" fontId="17" fillId="0" borderId="0" xfId="4" applyNumberFormat="1" applyFont="1" applyAlignment="1">
      <alignment horizontal="center" wrapText="1"/>
    </xf>
    <xf numFmtId="2" fontId="5" fillId="0" borderId="0" xfId="0" applyNumberFormat="1" applyFont="1" applyAlignment="1">
      <alignment horizontal="center" vertical="center"/>
    </xf>
    <xf numFmtId="12" fontId="5" fillId="0" borderId="0" xfId="0" applyNumberFormat="1" applyFont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0" fontId="5" fillId="0" borderId="0" xfId="0" quotePrefix="1" applyFont="1" applyAlignment="1">
      <alignment horizontal="center"/>
    </xf>
    <xf numFmtId="174" fontId="10" fillId="0" borderId="0" xfId="0" applyNumberFormat="1" applyFont="1" applyAlignment="1">
      <alignment vertical="center"/>
    </xf>
    <xf numFmtId="174" fontId="23" fillId="0" borderId="0" xfId="0" applyNumberFormat="1" applyFont="1" applyAlignment="1">
      <alignment vertical="center"/>
    </xf>
    <xf numFmtId="1" fontId="17" fillId="0" borderId="0" xfId="0" applyNumberFormat="1" applyFont="1" applyAlignment="1">
      <alignment horizontal="center"/>
    </xf>
    <xf numFmtId="1" fontId="17" fillId="0" borderId="0" xfId="0" applyNumberFormat="1" applyFont="1"/>
    <xf numFmtId="167" fontId="5" fillId="0" borderId="0" xfId="0" applyNumberFormat="1" applyFont="1" applyAlignment="1">
      <alignment horizontal="center"/>
    </xf>
    <xf numFmtId="2" fontId="5" fillId="0" borderId="0" xfId="0" applyNumberFormat="1" applyFont="1" applyAlignment="1">
      <alignment horizontal="center"/>
    </xf>
    <xf numFmtId="2" fontId="5" fillId="0" borderId="0" xfId="0" applyNumberFormat="1" applyFont="1" applyAlignment="1">
      <alignment horizontal="center" wrapText="1"/>
    </xf>
    <xf numFmtId="12" fontId="5" fillId="0" borderId="0" xfId="0" applyNumberFormat="1" applyFont="1" applyAlignment="1">
      <alignment horizontal="center" wrapText="1"/>
    </xf>
    <xf numFmtId="0" fontId="5" fillId="0" borderId="0" xfId="0" applyFont="1" applyAlignment="1">
      <alignment horizontal="center" wrapText="1"/>
    </xf>
    <xf numFmtId="174" fontId="10" fillId="0" borderId="0" xfId="0" applyNumberFormat="1" applyFont="1" applyAlignment="1">
      <alignment horizontal="center" vertical="center"/>
    </xf>
    <xf numFmtId="164" fontId="5" fillId="0" borderId="0" xfId="0" applyNumberFormat="1" applyFont="1" applyAlignment="1">
      <alignment horizontal="center"/>
    </xf>
    <xf numFmtId="16" fontId="5" fillId="0" borderId="0" xfId="0" quotePrefix="1" applyNumberFormat="1" applyFont="1" applyAlignment="1">
      <alignment horizontal="center"/>
    </xf>
    <xf numFmtId="174" fontId="5" fillId="0" borderId="0" xfId="0" quotePrefix="1" applyNumberFormat="1" applyFont="1" applyAlignment="1">
      <alignment horizontal="center" vertical="center"/>
    </xf>
    <xf numFmtId="174" fontId="5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/>
    </xf>
    <xf numFmtId="0" fontId="25" fillId="0" borderId="0" xfId="0" applyFont="1"/>
    <xf numFmtId="0" fontId="26" fillId="0" borderId="0" xfId="0" applyFont="1" applyAlignment="1">
      <alignment horizontal="center"/>
    </xf>
    <xf numFmtId="0" fontId="26" fillId="0" borderId="0" xfId="0" applyFont="1"/>
    <xf numFmtId="0" fontId="27" fillId="0" borderId="0" xfId="0" applyFont="1"/>
    <xf numFmtId="0" fontId="28" fillId="0" borderId="0" xfId="0" applyFont="1" applyAlignment="1">
      <alignment horizontal="center"/>
    </xf>
    <xf numFmtId="0" fontId="28" fillId="0" borderId="0" xfId="0" applyFont="1"/>
    <xf numFmtId="0" fontId="29" fillId="0" borderId="0" xfId="0" applyFont="1" applyAlignment="1">
      <alignment horizontal="center"/>
    </xf>
    <xf numFmtId="0" fontId="29" fillId="0" borderId="0" xfId="0" applyFont="1"/>
    <xf numFmtId="0" fontId="29" fillId="0" borderId="0" xfId="0" applyFont="1" applyAlignment="1">
      <alignment horizontal="left"/>
    </xf>
    <xf numFmtId="0" fontId="16" fillId="0" borderId="0" xfId="0" applyFont="1"/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174" fontId="16" fillId="0" borderId="0" xfId="0" applyNumberFormat="1" applyFont="1" applyAlignment="1">
      <alignment horizontal="center"/>
    </xf>
    <xf numFmtId="0" fontId="23" fillId="0" borderId="0" xfId="0" applyFont="1" applyAlignment="1">
      <alignment horizontal="center"/>
    </xf>
    <xf numFmtId="0" fontId="21" fillId="0" borderId="0" xfId="0" quotePrefix="1" applyFont="1" applyAlignment="1">
      <alignment horizontal="center"/>
    </xf>
    <xf numFmtId="16" fontId="21" fillId="0" borderId="0" xfId="0" quotePrefix="1" applyNumberFormat="1" applyFont="1" applyAlignment="1">
      <alignment horizontal="center"/>
    </xf>
    <xf numFmtId="0" fontId="30" fillId="0" borderId="0" xfId="0" applyFont="1" applyAlignment="1">
      <alignment horizontal="right"/>
    </xf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left"/>
    </xf>
    <xf numFmtId="0" fontId="31" fillId="0" borderId="0" xfId="0" applyFont="1" applyAlignment="1">
      <alignment horizontal="center" vertical="center" wrapText="1"/>
    </xf>
    <xf numFmtId="0" fontId="31" fillId="0" borderId="0" xfId="0" applyFont="1" applyAlignment="1">
      <alignment wrapText="1"/>
    </xf>
    <xf numFmtId="0" fontId="23" fillId="0" borderId="0" xfId="0" applyFont="1"/>
    <xf numFmtId="0" fontId="23" fillId="0" borderId="0" xfId="0" applyFont="1" applyAlignment="1">
      <alignment vertical="center" wrapText="1"/>
    </xf>
    <xf numFmtId="0" fontId="16" fillId="0" borderId="0" xfId="0" applyFont="1" applyAlignment="1">
      <alignment vertical="center" wrapText="1"/>
    </xf>
    <xf numFmtId="12" fontId="21" fillId="0" borderId="0" xfId="0" applyNumberFormat="1" applyFont="1" applyAlignment="1">
      <alignment horizontal="center"/>
    </xf>
    <xf numFmtId="0" fontId="10" fillId="0" borderId="0" xfId="0" applyFont="1" applyAlignment="1">
      <alignment horizontal="center" vertical="center"/>
    </xf>
    <xf numFmtId="2" fontId="12" fillId="0" borderId="0" xfId="0" applyNumberFormat="1" applyFont="1" applyAlignment="1">
      <alignment horizontal="center" vertical="center"/>
    </xf>
    <xf numFmtId="167" fontId="17" fillId="0" borderId="0" xfId="0" applyNumberFormat="1" applyFont="1" applyAlignment="1">
      <alignment horizontal="center"/>
    </xf>
    <xf numFmtId="12" fontId="17" fillId="0" borderId="0" xfId="0" applyNumberFormat="1" applyFont="1" applyAlignment="1">
      <alignment horizontal="center" wrapText="1"/>
    </xf>
    <xf numFmtId="12" fontId="17" fillId="0" borderId="0" xfId="0" applyNumberFormat="1" applyFont="1" applyAlignment="1">
      <alignment horizontal="center" vertical="center"/>
    </xf>
    <xf numFmtId="3" fontId="17" fillId="0" borderId="0" xfId="0" applyNumberFormat="1" applyFont="1" applyAlignment="1">
      <alignment horizontal="center" vertical="center"/>
    </xf>
    <xf numFmtId="165" fontId="17" fillId="0" borderId="0" xfId="0" applyNumberFormat="1" applyFont="1" applyAlignment="1">
      <alignment horizontal="center"/>
    </xf>
    <xf numFmtId="0" fontId="17" fillId="0" borderId="0" xfId="0" quotePrefix="1" applyFont="1" applyAlignment="1">
      <alignment horizontal="center"/>
    </xf>
    <xf numFmtId="1" fontId="17" fillId="0" borderId="0" xfId="0" applyNumberFormat="1" applyFont="1" applyAlignment="1">
      <alignment horizontal="center" vertical="top"/>
    </xf>
    <xf numFmtId="16" fontId="17" fillId="0" borderId="0" xfId="0" quotePrefix="1" applyNumberFormat="1" applyFont="1" applyAlignment="1">
      <alignment horizontal="center"/>
    </xf>
    <xf numFmtId="174" fontId="17" fillId="0" borderId="0" xfId="0" applyNumberFormat="1" applyFont="1" applyAlignment="1">
      <alignment horizontal="center" vertical="center"/>
    </xf>
    <xf numFmtId="3" fontId="17" fillId="0" borderId="0" xfId="0" applyNumberFormat="1" applyFont="1" applyAlignment="1">
      <alignment horizontal="center"/>
    </xf>
    <xf numFmtId="1" fontId="5" fillId="0" borderId="0" xfId="0" applyNumberFormat="1" applyFont="1" applyAlignment="1">
      <alignment horizontal="center" vertical="center" wrapText="1"/>
    </xf>
    <xf numFmtId="1" fontId="5" fillId="0" borderId="0" xfId="0" quotePrefix="1" applyNumberFormat="1" applyFont="1" applyAlignment="1">
      <alignment horizontal="center"/>
    </xf>
    <xf numFmtId="1" fontId="5" fillId="0" borderId="0" xfId="0" applyNumberFormat="1" applyFont="1"/>
    <xf numFmtId="0" fontId="32" fillId="0" borderId="0" xfId="0" applyFont="1"/>
    <xf numFmtId="0" fontId="33" fillId="0" borderId="0" xfId="0" applyFont="1"/>
    <xf numFmtId="0" fontId="33" fillId="0" borderId="0" xfId="0" applyFont="1" applyAlignment="1">
      <alignment horizontal="center"/>
    </xf>
    <xf numFmtId="1" fontId="17" fillId="0" borderId="0" xfId="0" quotePrefix="1" applyNumberFormat="1" applyFont="1" applyAlignment="1">
      <alignment horizontal="center"/>
    </xf>
    <xf numFmtId="164" fontId="17" fillId="0" borderId="0" xfId="0" applyNumberFormat="1" applyFont="1"/>
    <xf numFmtId="0" fontId="7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34" fillId="0" borderId="0" xfId="0" applyFont="1" applyAlignment="1">
      <alignment horizontal="center" vertical="center"/>
    </xf>
    <xf numFmtId="167" fontId="35" fillId="0" borderId="0" xfId="0" applyNumberFormat="1" applyFont="1" applyAlignment="1">
      <alignment horizontal="center" vertical="center"/>
    </xf>
    <xf numFmtId="2" fontId="8" fillId="0" borderId="0" xfId="0" applyNumberFormat="1" applyFont="1" applyAlignment="1">
      <alignment horizontal="center" vertical="center" wrapText="1"/>
    </xf>
    <xf numFmtId="12" fontId="8" fillId="0" borderId="0" xfId="0" applyNumberFormat="1" applyFont="1" applyAlignment="1">
      <alignment horizontal="center" vertical="center" wrapText="1"/>
    </xf>
    <xf numFmtId="164" fontId="8" fillId="0" borderId="0" xfId="0" applyNumberFormat="1" applyFont="1" applyAlignment="1">
      <alignment horizontal="center" vertical="center"/>
    </xf>
    <xf numFmtId="12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64" fontId="8" fillId="0" borderId="0" xfId="4" applyNumberFormat="1" applyFont="1" applyAlignment="1">
      <alignment horizontal="center" vertical="center" wrapText="1"/>
    </xf>
    <xf numFmtId="2" fontId="8" fillId="0" borderId="0" xfId="0" applyNumberFormat="1" applyFont="1" applyAlignment="1">
      <alignment horizontal="center" vertical="center"/>
    </xf>
    <xf numFmtId="0" fontId="8" fillId="0" borderId="0" xfId="0" quotePrefix="1" applyFont="1" applyAlignment="1">
      <alignment horizontal="center" vertical="center"/>
    </xf>
    <xf numFmtId="16" fontId="8" fillId="0" borderId="0" xfId="0" quotePrefix="1" applyNumberFormat="1" applyFont="1" applyAlignment="1">
      <alignment horizontal="center" vertical="center"/>
    </xf>
    <xf numFmtId="14" fontId="8" fillId="0" borderId="0" xfId="0" quotePrefix="1" applyNumberFormat="1" applyFont="1" applyAlignment="1">
      <alignment horizontal="center" vertical="center"/>
    </xf>
    <xf numFmtId="12" fontId="6" fillId="0" borderId="0" xfId="0" applyNumberFormat="1" applyFont="1" applyAlignment="1">
      <alignment horizontal="center"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23" fillId="0" borderId="0" xfId="0" quotePrefix="1" applyFont="1" applyAlignment="1">
      <alignment horizontal="center"/>
    </xf>
    <xf numFmtId="166" fontId="10" fillId="0" borderId="0" xfId="0" applyNumberFormat="1" applyFont="1"/>
    <xf numFmtId="0" fontId="37" fillId="0" borderId="0" xfId="0" applyFont="1" applyAlignment="1">
      <alignment horizontal="left"/>
    </xf>
    <xf numFmtId="0" fontId="37" fillId="0" borderId="0" xfId="0" quotePrefix="1" applyFont="1" applyAlignment="1">
      <alignment horizontal="left"/>
    </xf>
    <xf numFmtId="169" fontId="37" fillId="0" borderId="0" xfId="0" applyNumberFormat="1" applyFont="1" applyAlignment="1">
      <alignment horizontal="left"/>
    </xf>
    <xf numFmtId="0" fontId="5" fillId="0" borderId="0" xfId="0" applyFont="1" applyAlignment="1">
      <alignment horizontal="left"/>
    </xf>
    <xf numFmtId="169" fontId="5" fillId="0" borderId="0" xfId="0" applyNumberFormat="1" applyFont="1" applyAlignment="1">
      <alignment horizontal="left"/>
    </xf>
    <xf numFmtId="0" fontId="19" fillId="0" borderId="0" xfId="0" applyFont="1" applyProtection="1">
      <protection locked="0"/>
    </xf>
    <xf numFmtId="1" fontId="17" fillId="0" borderId="12" xfId="0" applyNumberFormat="1" applyFont="1" applyBorder="1" applyAlignment="1">
      <alignment horizontal="center" vertical="center"/>
    </xf>
    <xf numFmtId="0" fontId="38" fillId="0" borderId="0" xfId="0" applyFont="1" applyAlignment="1">
      <alignment horizontal="center"/>
    </xf>
    <xf numFmtId="0" fontId="37" fillId="0" borderId="3" xfId="0" applyFont="1" applyBorder="1" applyAlignment="1">
      <alignment horizontal="left"/>
    </xf>
    <xf numFmtId="169" fontId="37" fillId="0" borderId="0" xfId="0" quotePrefix="1" applyNumberFormat="1" applyFont="1" applyAlignment="1">
      <alignment horizontal="left"/>
    </xf>
    <xf numFmtId="0" fontId="36" fillId="0" borderId="15" xfId="0" applyFont="1" applyBorder="1" applyAlignment="1">
      <alignment horizontal="left"/>
    </xf>
    <xf numFmtId="9" fontId="37" fillId="0" borderId="0" xfId="0" applyNumberFormat="1" applyFont="1" applyAlignment="1">
      <alignment horizontal="left"/>
    </xf>
    <xf numFmtId="166" fontId="16" fillId="0" borderId="0" xfId="0" applyNumberFormat="1" applyFont="1" applyAlignment="1">
      <alignment horizontal="center"/>
    </xf>
    <xf numFmtId="0" fontId="16" fillId="0" borderId="12" xfId="0" applyFont="1" applyBorder="1" applyAlignment="1">
      <alignment horizontal="center"/>
    </xf>
    <xf numFmtId="0" fontId="16" fillId="0" borderId="16" xfId="0" applyFont="1" applyBorder="1" applyAlignment="1">
      <alignment horizontal="center"/>
    </xf>
    <xf numFmtId="0" fontId="6" fillId="0" borderId="12" xfId="0" applyFont="1" applyBorder="1" applyAlignment="1">
      <alignment horizontal="center" vertical="center"/>
    </xf>
    <xf numFmtId="174" fontId="6" fillId="0" borderId="12" xfId="0" applyNumberFormat="1" applyFont="1" applyBorder="1" applyAlignment="1">
      <alignment horizontal="center" vertical="center"/>
    </xf>
    <xf numFmtId="174" fontId="6" fillId="0" borderId="16" xfId="0" applyNumberFormat="1" applyFont="1" applyBorder="1" applyAlignment="1">
      <alignment horizontal="center" vertical="center"/>
    </xf>
    <xf numFmtId="0" fontId="21" fillId="0" borderId="11" xfId="0" quotePrefix="1" applyFont="1" applyBorder="1" applyAlignment="1">
      <alignment horizontal="center"/>
    </xf>
    <xf numFmtId="16" fontId="21" fillId="0" borderId="11" xfId="0" quotePrefix="1" applyNumberFormat="1" applyFont="1" applyBorder="1" applyAlignment="1">
      <alignment horizontal="center"/>
    </xf>
    <xf numFmtId="16" fontId="23" fillId="0" borderId="11" xfId="0" quotePrefix="1" applyNumberFormat="1" applyFont="1" applyBorder="1" applyAlignment="1">
      <alignment horizontal="center"/>
    </xf>
    <xf numFmtId="0" fontId="23" fillId="0" borderId="12" xfId="0" applyFont="1" applyBorder="1" applyAlignment="1">
      <alignment horizontal="center"/>
    </xf>
    <xf numFmtId="0" fontId="23" fillId="0" borderId="13" xfId="0" applyFont="1" applyBorder="1" applyAlignment="1">
      <alignment horizontal="center"/>
    </xf>
    <xf numFmtId="0" fontId="23" fillId="0" borderId="8" xfId="0" applyFont="1" applyBorder="1" applyAlignment="1">
      <alignment horizontal="center"/>
    </xf>
    <xf numFmtId="12" fontId="21" fillId="0" borderId="11" xfId="0" applyNumberFormat="1" applyFont="1" applyBorder="1" applyAlignment="1">
      <alignment horizontal="center"/>
    </xf>
    <xf numFmtId="12" fontId="21" fillId="0" borderId="13" xfId="0" applyNumberFormat="1" applyFont="1" applyBorder="1" applyAlignment="1">
      <alignment horizontal="center"/>
    </xf>
    <xf numFmtId="0" fontId="21" fillId="0" borderId="13" xfId="0" quotePrefix="1" applyFont="1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174" fontId="6" fillId="0" borderId="8" xfId="0" applyNumberFormat="1" applyFont="1" applyBorder="1" applyAlignment="1">
      <alignment horizontal="center" vertical="center"/>
    </xf>
    <xf numFmtId="174" fontId="6" fillId="0" borderId="17" xfId="0" applyNumberFormat="1" applyFont="1" applyBorder="1" applyAlignment="1">
      <alignment horizontal="center" vertical="center"/>
    </xf>
    <xf numFmtId="166" fontId="6" fillId="0" borderId="8" xfId="0" applyNumberFormat="1" applyFont="1" applyBorder="1" applyAlignment="1">
      <alignment horizontal="center" vertical="center"/>
    </xf>
    <xf numFmtId="0" fontId="16" fillId="0" borderId="8" xfId="0" applyFont="1" applyBorder="1" applyAlignment="1">
      <alignment horizontal="center"/>
    </xf>
    <xf numFmtId="0" fontId="16" fillId="0" borderId="17" xfId="0" applyFont="1" applyBorder="1" applyAlignment="1">
      <alignment horizontal="center"/>
    </xf>
    <xf numFmtId="0" fontId="21" fillId="0" borderId="9" xfId="0" applyFont="1" applyBorder="1" applyAlignment="1">
      <alignment horizontal="center"/>
    </xf>
    <xf numFmtId="0" fontId="6" fillId="0" borderId="10" xfId="0" applyFont="1" applyBorder="1" applyAlignment="1">
      <alignment horizontal="center" vertical="center"/>
    </xf>
    <xf numFmtId="174" fontId="6" fillId="0" borderId="10" xfId="0" applyNumberFormat="1" applyFont="1" applyBorder="1" applyAlignment="1">
      <alignment horizontal="center" vertical="center"/>
    </xf>
    <xf numFmtId="0" fontId="16" fillId="0" borderId="10" xfId="0" applyFont="1" applyBorder="1" applyAlignment="1">
      <alignment horizontal="center"/>
    </xf>
    <xf numFmtId="174" fontId="6" fillId="0" borderId="18" xfId="0" applyNumberFormat="1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31" fillId="0" borderId="19" xfId="0" applyFont="1" applyBorder="1" applyAlignment="1">
      <alignment horizontal="center" vertical="center" wrapText="1"/>
    </xf>
    <xf numFmtId="12" fontId="21" fillId="0" borderId="9" xfId="0" applyNumberFormat="1" applyFont="1" applyBorder="1" applyAlignment="1">
      <alignment horizontal="center"/>
    </xf>
    <xf numFmtId="0" fontId="6" fillId="0" borderId="17" xfId="0" applyFont="1" applyBorder="1" applyAlignment="1">
      <alignment horizontal="center" vertical="center"/>
    </xf>
    <xf numFmtId="0" fontId="1" fillId="0" borderId="0" xfId="0" applyFont="1" applyAlignment="1">
      <alignment horizontal="left"/>
    </xf>
    <xf numFmtId="0" fontId="22" fillId="0" borderId="0" xfId="0" applyFont="1" applyAlignment="1">
      <alignment horizontal="left"/>
    </xf>
    <xf numFmtId="12" fontId="1" fillId="0" borderId="0" xfId="0" applyNumberFormat="1" applyFont="1" applyAlignment="1">
      <alignment horizontal="left" vertical="top"/>
    </xf>
    <xf numFmtId="165" fontId="1" fillId="0" borderId="0" xfId="0" applyNumberFormat="1" applyFont="1" applyAlignment="1">
      <alignment horizontal="left"/>
    </xf>
    <xf numFmtId="2" fontId="1" fillId="0" borderId="0" xfId="0" applyNumberFormat="1" applyFont="1" applyAlignment="1">
      <alignment horizontal="left"/>
    </xf>
    <xf numFmtId="0" fontId="39" fillId="0" borderId="0" xfId="0" applyFont="1" applyAlignment="1">
      <alignment vertical="center"/>
    </xf>
    <xf numFmtId="3" fontId="39" fillId="0" borderId="0" xfId="0" applyNumberFormat="1" applyFont="1" applyAlignment="1">
      <alignment vertical="center"/>
    </xf>
    <xf numFmtId="3" fontId="6" fillId="0" borderId="0" xfId="0" applyNumberFormat="1" applyFont="1" applyAlignment="1">
      <alignment horizontal="left"/>
    </xf>
    <xf numFmtId="0" fontId="10" fillId="0" borderId="10" xfId="0" applyFont="1" applyBorder="1" applyAlignment="1">
      <alignment horizontal="left"/>
    </xf>
    <xf numFmtId="0" fontId="10" fillId="0" borderId="20" xfId="0" applyFont="1" applyBorder="1" applyAlignment="1">
      <alignment horizontal="center"/>
    </xf>
    <xf numFmtId="0" fontId="37" fillId="0" borderId="0" xfId="1" applyFont="1" applyAlignment="1" applyProtection="1">
      <alignment horizontal="left"/>
    </xf>
    <xf numFmtId="0" fontId="37" fillId="0" borderId="1" xfId="0" applyFont="1" applyBorder="1" applyAlignment="1">
      <alignment horizontal="left"/>
    </xf>
    <xf numFmtId="0" fontId="37" fillId="0" borderId="1" xfId="0" quotePrefix="1" applyFont="1" applyBorder="1" applyAlignment="1">
      <alignment horizontal="left"/>
    </xf>
    <xf numFmtId="169" fontId="37" fillId="0" borderId="1" xfId="0" applyNumberFormat="1" applyFont="1" applyBorder="1" applyAlignment="1">
      <alignment horizontal="left"/>
    </xf>
    <xf numFmtId="0" fontId="42" fillId="0" borderId="0" xfId="1" applyFont="1" applyAlignment="1" applyProtection="1">
      <alignment horizontal="left"/>
    </xf>
    <xf numFmtId="169" fontId="42" fillId="0" borderId="0" xfId="1" applyNumberFormat="1" applyFont="1" applyAlignment="1" applyProtection="1">
      <alignment horizontal="left"/>
    </xf>
    <xf numFmtId="0" fontId="36" fillId="0" borderId="19" xfId="0" applyFont="1" applyBorder="1" applyAlignment="1">
      <alignment horizontal="left"/>
    </xf>
    <xf numFmtId="0" fontId="36" fillId="0" borderId="21" xfId="0" applyFont="1" applyBorder="1" applyAlignment="1">
      <alignment horizontal="left"/>
    </xf>
    <xf numFmtId="0" fontId="8" fillId="0" borderId="0" xfId="0" applyFont="1" applyAlignment="1">
      <alignment horizontal="center"/>
    </xf>
    <xf numFmtId="166" fontId="10" fillId="0" borderId="0" xfId="0" applyNumberFormat="1" applyFont="1" applyAlignment="1" applyProtection="1">
      <alignment horizontal="center"/>
      <protection locked="0"/>
    </xf>
    <xf numFmtId="166" fontId="6" fillId="0" borderId="0" xfId="0" applyNumberFormat="1" applyFont="1" applyProtection="1">
      <protection locked="0"/>
    </xf>
    <xf numFmtId="173" fontId="6" fillId="0" borderId="0" xfId="0" applyNumberFormat="1" applyFont="1" applyProtection="1">
      <protection locked="0"/>
    </xf>
    <xf numFmtId="174" fontId="10" fillId="0" borderId="0" xfId="0" applyNumberFormat="1" applyFont="1" applyAlignment="1">
      <alignment horizontal="center"/>
    </xf>
    <xf numFmtId="2" fontId="19" fillId="0" borderId="0" xfId="0" applyNumberFormat="1" applyFont="1" applyAlignment="1" applyProtection="1">
      <alignment horizontal="center"/>
      <protection locked="0"/>
    </xf>
    <xf numFmtId="2" fontId="19" fillId="0" borderId="0" xfId="0" applyNumberFormat="1" applyFont="1" applyAlignment="1" applyProtection="1">
      <alignment horizontal="center" shrinkToFit="1"/>
      <protection locked="0"/>
    </xf>
    <xf numFmtId="0" fontId="19" fillId="0" borderId="0" xfId="0" applyFont="1" applyAlignment="1" applyProtection="1">
      <alignment horizontal="left" shrinkToFit="1"/>
      <protection locked="0"/>
    </xf>
    <xf numFmtId="0" fontId="19" fillId="0" borderId="0" xfId="0" applyFont="1" applyAlignment="1" applyProtection="1">
      <alignment horizontal="center" shrinkToFit="1"/>
      <protection locked="0"/>
    </xf>
    <xf numFmtId="166" fontId="6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 applyProtection="1">
      <alignment horizontal="center"/>
      <protection locked="0"/>
    </xf>
    <xf numFmtId="9" fontId="6" fillId="0" borderId="0" xfId="5" applyFont="1" applyAlignment="1" applyProtection="1">
      <alignment horizontal="center"/>
      <protection locked="0"/>
    </xf>
    <xf numFmtId="0" fontId="44" fillId="0" borderId="0" xfId="0" applyFont="1" applyAlignment="1">
      <alignment vertical="center"/>
    </xf>
    <xf numFmtId="0" fontId="5" fillId="0" borderId="0" xfId="0" applyFont="1" applyAlignment="1">
      <alignment horizontal="center" vertical="center" wrapText="1"/>
    </xf>
    <xf numFmtId="2" fontId="5" fillId="0" borderId="0" xfId="0" applyNumberFormat="1" applyFont="1"/>
    <xf numFmtId="0" fontId="5" fillId="0" borderId="0" xfId="0" applyFont="1" applyAlignment="1">
      <alignment horizontal="right"/>
    </xf>
    <xf numFmtId="22" fontId="5" fillId="0" borderId="0" xfId="0" applyNumberFormat="1" applyFont="1"/>
    <xf numFmtId="0" fontId="5" fillId="0" borderId="0" xfId="0" applyFont="1" applyAlignment="1" applyProtection="1">
      <alignment horizontal="center"/>
      <protection locked="0"/>
    </xf>
    <xf numFmtId="16" fontId="5" fillId="0" borderId="0" xfId="0" applyNumberFormat="1" applyFont="1" applyAlignment="1">
      <alignment horizontal="center"/>
    </xf>
    <xf numFmtId="168" fontId="5" fillId="0" borderId="0" xfId="0" applyNumberFormat="1" applyFont="1"/>
    <xf numFmtId="168" fontId="5" fillId="0" borderId="0" xfId="0" applyNumberFormat="1" applyFont="1" applyAlignment="1">
      <alignment horizontal="left"/>
    </xf>
    <xf numFmtId="171" fontId="5" fillId="0" borderId="0" xfId="0" applyNumberFormat="1" applyFont="1" applyAlignment="1">
      <alignment horizontal="center"/>
    </xf>
    <xf numFmtId="166" fontId="5" fillId="0" borderId="0" xfId="0" applyNumberFormat="1" applyFont="1" applyAlignment="1">
      <alignment horizontal="center"/>
    </xf>
    <xf numFmtId="166" fontId="5" fillId="0" borderId="0" xfId="0" applyNumberFormat="1" applyFont="1"/>
    <xf numFmtId="168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174" fontId="5" fillId="0" borderId="0" xfId="0" applyNumberFormat="1" applyFont="1" applyAlignment="1">
      <alignment horizontal="left"/>
    </xf>
    <xf numFmtId="3" fontId="5" fillId="0" borderId="0" xfId="0" applyNumberFormat="1" applyFont="1"/>
    <xf numFmtId="1" fontId="5" fillId="0" borderId="0" xfId="0" applyNumberFormat="1" applyFont="1" applyAlignment="1">
      <alignment horizontal="right"/>
    </xf>
    <xf numFmtId="12" fontId="5" fillId="0" borderId="0" xfId="0" applyNumberFormat="1" applyFont="1" applyAlignment="1">
      <alignment horizontal="right"/>
    </xf>
    <xf numFmtId="6" fontId="5" fillId="0" borderId="0" xfId="0" applyNumberFormat="1" applyFont="1" applyAlignment="1" applyProtection="1">
      <alignment horizontal="center"/>
      <protection locked="0"/>
    </xf>
    <xf numFmtId="3" fontId="5" fillId="0" borderId="0" xfId="0" applyNumberFormat="1" applyFont="1" applyAlignment="1" applyProtection="1">
      <alignment horizontal="center"/>
      <protection locked="0"/>
    </xf>
    <xf numFmtId="176" fontId="5" fillId="0" borderId="0" xfId="0" applyNumberFormat="1" applyFont="1" applyAlignment="1">
      <alignment horizontal="center"/>
    </xf>
    <xf numFmtId="176" fontId="5" fillId="0" borderId="0" xfId="0" applyNumberFormat="1" applyFont="1" applyAlignment="1">
      <alignment horizontal="center" vertical="center" wrapText="1"/>
    </xf>
    <xf numFmtId="177" fontId="5" fillId="0" borderId="0" xfId="0" applyNumberFormat="1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4" fontId="5" fillId="0" borderId="0" xfId="0" applyNumberFormat="1" applyFont="1" applyAlignment="1">
      <alignment horizontal="center" vertical="center"/>
    </xf>
    <xf numFmtId="164" fontId="5" fillId="0" borderId="0" xfId="0" applyNumberFormat="1" applyFont="1" applyAlignment="1">
      <alignment vertical="top" wrapText="1"/>
    </xf>
    <xf numFmtId="176" fontId="5" fillId="0" borderId="0" xfId="0" applyNumberFormat="1" applyFont="1"/>
    <xf numFmtId="4" fontId="5" fillId="0" borderId="0" xfId="0" applyNumberFormat="1" applyFont="1" applyAlignment="1">
      <alignment horizontal="center" vertical="center" wrapText="1"/>
    </xf>
    <xf numFmtId="0" fontId="5" fillId="0" borderId="22" xfId="0" applyFont="1" applyBorder="1"/>
    <xf numFmtId="0" fontId="5" fillId="0" borderId="23" xfId="0" applyFont="1" applyBorder="1"/>
    <xf numFmtId="176" fontId="5" fillId="0" borderId="0" xfId="0" applyNumberFormat="1" applyFont="1" applyAlignment="1">
      <alignment horizontal="center" vertical="center"/>
    </xf>
    <xf numFmtId="16" fontId="5" fillId="0" borderId="0" xfId="0" applyNumberFormat="1" applyFont="1"/>
    <xf numFmtId="0" fontId="5" fillId="0" borderId="0" xfId="3" applyFont="1" applyAlignment="1">
      <alignment horizontal="left" wrapText="1"/>
    </xf>
    <xf numFmtId="0" fontId="5" fillId="0" borderId="24" xfId="0" applyFont="1" applyBorder="1"/>
    <xf numFmtId="0" fontId="5" fillId="0" borderId="2" xfId="3" applyFont="1" applyBorder="1" applyAlignment="1">
      <alignment horizontal="left" wrapText="1"/>
    </xf>
    <xf numFmtId="0" fontId="5" fillId="0" borderId="25" xfId="0" applyFont="1" applyBorder="1"/>
    <xf numFmtId="168" fontId="5" fillId="0" borderId="0" xfId="0" applyNumberFormat="1" applyFont="1" applyAlignment="1">
      <alignment horizontal="center"/>
    </xf>
    <xf numFmtId="0" fontId="17" fillId="0" borderId="0" xfId="4" applyFont="1" applyAlignment="1">
      <alignment horizontal="center" wrapText="1"/>
    </xf>
    <xf numFmtId="2" fontId="17" fillId="0" borderId="0" xfId="4" applyNumberFormat="1" applyFont="1" applyAlignment="1">
      <alignment horizontal="center" wrapText="1"/>
    </xf>
    <xf numFmtId="2" fontId="24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1" fontId="17" fillId="0" borderId="0" xfId="3" applyNumberFormat="1" applyFont="1" applyAlignment="1">
      <alignment horizontal="center" wrapText="1"/>
    </xf>
    <xf numFmtId="166" fontId="17" fillId="0" borderId="0" xfId="0" applyNumberFormat="1" applyFont="1" applyAlignment="1">
      <alignment horizontal="center"/>
    </xf>
    <xf numFmtId="0" fontId="8" fillId="0" borderId="0" xfId="0" applyFont="1" applyAlignment="1" applyProtection="1">
      <alignment horizontal="center" shrinkToFit="1"/>
      <protection locked="0"/>
    </xf>
    <xf numFmtId="0" fontId="37" fillId="0" borderId="15" xfId="0" applyFont="1" applyBorder="1" applyAlignment="1">
      <alignment horizontal="left"/>
    </xf>
    <xf numFmtId="1" fontId="5" fillId="0" borderId="48" xfId="0" applyNumberFormat="1" applyFont="1" applyBorder="1" applyAlignment="1" applyProtection="1">
      <alignment horizontal="center"/>
      <protection locked="0"/>
    </xf>
    <xf numFmtId="0" fontId="5" fillId="0" borderId="49" xfId="0" applyFont="1" applyBorder="1" applyAlignment="1" applyProtection="1">
      <alignment horizontal="center"/>
      <protection locked="0"/>
    </xf>
    <xf numFmtId="2" fontId="5" fillId="0" borderId="49" xfId="0" applyNumberFormat="1" applyFont="1" applyBorder="1" applyAlignment="1" applyProtection="1">
      <alignment horizontal="center"/>
      <protection locked="0"/>
    </xf>
    <xf numFmtId="0" fontId="5" fillId="0" borderId="50" xfId="0" applyFont="1" applyBorder="1" applyAlignment="1" applyProtection="1">
      <alignment horizontal="center"/>
      <protection locked="0"/>
    </xf>
    <xf numFmtId="0" fontId="5" fillId="0" borderId="48" xfId="0" applyFont="1" applyBorder="1" applyAlignment="1" applyProtection="1">
      <alignment horizontal="center"/>
      <protection locked="0"/>
    </xf>
    <xf numFmtId="0" fontId="6" fillId="0" borderId="0" xfId="0" quotePrefix="1" applyFont="1" applyAlignment="1">
      <alignment horizontal="left"/>
    </xf>
    <xf numFmtId="175" fontId="6" fillId="0" borderId="0" xfId="0" applyNumberFormat="1" applyFont="1" applyAlignment="1">
      <alignment horizontal="left"/>
    </xf>
    <xf numFmtId="170" fontId="45" fillId="0" borderId="0" xfId="0" quotePrefix="1" applyNumberFormat="1" applyFont="1" applyAlignment="1">
      <alignment horizontal="left"/>
    </xf>
    <xf numFmtId="166" fontId="10" fillId="0" borderId="0" xfId="0" applyNumberFormat="1" applyFont="1" applyAlignment="1">
      <alignment horizontal="left"/>
    </xf>
    <xf numFmtId="0" fontId="9" fillId="0" borderId="0" xfId="0" applyFont="1" applyAlignment="1">
      <alignment horizontal="left"/>
    </xf>
    <xf numFmtId="0" fontId="46" fillId="0" borderId="0" xfId="0" applyFont="1" applyAlignment="1">
      <alignment horizontal="left"/>
    </xf>
    <xf numFmtId="168" fontId="46" fillId="0" borderId="0" xfId="0" applyNumberFormat="1" applyFont="1" applyAlignment="1">
      <alignment horizontal="left"/>
    </xf>
    <xf numFmtId="0" fontId="46" fillId="3" borderId="0" xfId="3" applyFont="1" applyFill="1" applyAlignment="1" applyProtection="1">
      <alignment horizontal="left"/>
      <protection locked="0"/>
    </xf>
    <xf numFmtId="166" fontId="46" fillId="3" borderId="0" xfId="3" applyNumberFormat="1" applyFont="1" applyFill="1" applyAlignment="1" applyProtection="1">
      <alignment horizontal="left"/>
      <protection locked="0"/>
    </xf>
    <xf numFmtId="0" fontId="46" fillId="3" borderId="0" xfId="3" applyFont="1" applyFill="1" applyAlignment="1">
      <alignment horizontal="left"/>
    </xf>
    <xf numFmtId="168" fontId="47" fillId="0" borderId="0" xfId="0" applyNumberFormat="1" applyFont="1" applyAlignment="1">
      <alignment horizontal="left"/>
    </xf>
    <xf numFmtId="9" fontId="12" fillId="0" borderId="0" xfId="5" applyFont="1" applyAlignment="1">
      <alignment horizontal="center"/>
    </xf>
    <xf numFmtId="166" fontId="20" fillId="0" borderId="0" xfId="0" applyNumberFormat="1" applyFont="1" applyAlignment="1">
      <alignment horizontal="center"/>
    </xf>
    <xf numFmtId="9" fontId="5" fillId="0" borderId="51" xfId="5" applyFont="1" applyBorder="1" applyAlignment="1">
      <alignment horizontal="center"/>
    </xf>
    <xf numFmtId="0" fontId="5" fillId="2" borderId="0" xfId="3" applyFont="1" applyFill="1" applyAlignment="1" applyProtection="1">
      <alignment horizontal="center" wrapText="1"/>
      <protection locked="0"/>
    </xf>
    <xf numFmtId="166" fontId="5" fillId="2" borderId="0" xfId="3" applyNumberFormat="1" applyFont="1" applyFill="1" applyAlignment="1" applyProtection="1">
      <alignment horizontal="center" wrapText="1"/>
      <protection locked="0"/>
    </xf>
    <xf numFmtId="0" fontId="5" fillId="2" borderId="0" xfId="3" applyFont="1" applyFill="1" applyAlignment="1">
      <alignment horizontal="center" wrapText="1"/>
    </xf>
    <xf numFmtId="1" fontId="5" fillId="2" borderId="0" xfId="3" applyNumberFormat="1" applyFont="1" applyFill="1" applyAlignment="1">
      <alignment horizontal="center" wrapText="1"/>
    </xf>
    <xf numFmtId="0" fontId="48" fillId="0" borderId="0" xfId="0" applyFont="1" applyAlignment="1">
      <alignment horizontal="right"/>
    </xf>
    <xf numFmtId="0" fontId="48" fillId="0" borderId="4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1" fontId="48" fillId="0" borderId="5" xfId="0" applyNumberFormat="1" applyFont="1" applyBorder="1" applyAlignment="1" applyProtection="1">
      <alignment horizontal="center" shrinkToFit="1"/>
      <protection locked="0"/>
    </xf>
    <xf numFmtId="0" fontId="48" fillId="0" borderId="2" xfId="0" applyFont="1" applyBorder="1" applyAlignment="1">
      <alignment horizontal="center" shrinkToFit="1"/>
    </xf>
    <xf numFmtId="0" fontId="48" fillId="0" borderId="0" xfId="0" applyFont="1" applyAlignment="1">
      <alignment horizontal="left" vertical="top"/>
    </xf>
    <xf numFmtId="0" fontId="50" fillId="0" borderId="0" xfId="0" applyFont="1"/>
    <xf numFmtId="0" fontId="50" fillId="0" borderId="0" xfId="0" applyFont="1" applyAlignment="1">
      <alignment horizontal="center"/>
    </xf>
    <xf numFmtId="0" fontId="50" fillId="0" borderId="52" xfId="0" applyFont="1" applyBorder="1"/>
    <xf numFmtId="0" fontId="50" fillId="0" borderId="52" xfId="0" applyFont="1" applyBorder="1" applyAlignment="1">
      <alignment horizontal="center"/>
    </xf>
    <xf numFmtId="1" fontId="50" fillId="0" borderId="52" xfId="3" applyNumberFormat="1" applyFont="1" applyBorder="1" applyAlignment="1">
      <alignment horizontal="center" wrapText="1"/>
    </xf>
    <xf numFmtId="2" fontId="5" fillId="0" borderId="50" xfId="0" applyNumberFormat="1" applyFont="1" applyBorder="1" applyAlignment="1" applyProtection="1">
      <alignment horizontal="center"/>
      <protection locked="0"/>
    </xf>
    <xf numFmtId="169" fontId="37" fillId="0" borderId="3" xfId="0" applyNumberFormat="1" applyFont="1" applyBorder="1" applyAlignment="1">
      <alignment horizontal="left"/>
    </xf>
    <xf numFmtId="0" fontId="5" fillId="0" borderId="53" xfId="0" applyFont="1" applyBorder="1"/>
    <xf numFmtId="0" fontId="5" fillId="0" borderId="54" xfId="0" applyFont="1" applyBorder="1"/>
    <xf numFmtId="0" fontId="5" fillId="0" borderId="55" xfId="0" applyFont="1" applyBorder="1"/>
    <xf numFmtId="0" fontId="5" fillId="0" borderId="56" xfId="0" applyFont="1" applyBorder="1"/>
    <xf numFmtId="0" fontId="5" fillId="0" borderId="57" xfId="0" applyFont="1" applyBorder="1"/>
    <xf numFmtId="2" fontId="20" fillId="0" borderId="56" xfId="0" applyNumberFormat="1" applyFont="1" applyBorder="1"/>
    <xf numFmtId="0" fontId="20" fillId="0" borderId="0" xfId="0" applyFont="1"/>
    <xf numFmtId="166" fontId="5" fillId="0" borderId="57" xfId="0" applyNumberFormat="1" applyFont="1" applyBorder="1"/>
    <xf numFmtId="0" fontId="48" fillId="0" borderId="56" xfId="0" applyFont="1" applyBorder="1" applyAlignment="1">
      <alignment vertical="center"/>
    </xf>
    <xf numFmtId="0" fontId="48" fillId="0" borderId="58" xfId="0" applyFont="1" applyBorder="1" applyAlignment="1">
      <alignment vertical="center"/>
    </xf>
    <xf numFmtId="0" fontId="5" fillId="0" borderId="3" xfId="0" applyFont="1" applyBorder="1" applyAlignment="1">
      <alignment vertical="center"/>
    </xf>
    <xf numFmtId="169" fontId="5" fillId="0" borderId="3" xfId="0" applyNumberFormat="1" applyFont="1" applyBorder="1" applyAlignment="1">
      <alignment vertical="center"/>
    </xf>
    <xf numFmtId="173" fontId="10" fillId="0" borderId="0" xfId="5" applyNumberFormat="1" applyFont="1" applyAlignment="1">
      <alignment horizontal="center"/>
    </xf>
    <xf numFmtId="0" fontId="5" fillId="2" borderId="0" xfId="6" applyFont="1" applyFill="1" applyAlignment="1" applyProtection="1">
      <alignment horizontal="center"/>
      <protection locked="0"/>
    </xf>
    <xf numFmtId="166" fontId="5" fillId="2" borderId="0" xfId="6" applyNumberFormat="1" applyFont="1" applyFill="1" applyAlignment="1" applyProtection="1">
      <alignment horizontal="center"/>
      <protection locked="0"/>
    </xf>
    <xf numFmtId="0" fontId="5" fillId="2" borderId="0" xfId="6" applyFont="1" applyFill="1" applyAlignment="1">
      <alignment horizontal="center"/>
    </xf>
    <xf numFmtId="0" fontId="48" fillId="0" borderId="59" xfId="0" applyFont="1" applyBorder="1"/>
    <xf numFmtId="0" fontId="48" fillId="0" borderId="3" xfId="0" applyFont="1" applyBorder="1" applyAlignment="1" applyProtection="1">
      <alignment horizontal="left" shrinkToFit="1"/>
      <protection locked="0"/>
    </xf>
    <xf numFmtId="2" fontId="48" fillId="0" borderId="32" xfId="0" applyNumberFormat="1" applyFont="1" applyBorder="1" applyAlignment="1">
      <alignment horizontal="left"/>
    </xf>
    <xf numFmtId="2" fontId="48" fillId="0" borderId="0" xfId="0" quotePrefix="1" applyNumberFormat="1" applyFont="1" applyAlignment="1" applyProtection="1">
      <alignment horizontal="center" shrinkToFit="1"/>
      <protection locked="0"/>
    </xf>
    <xf numFmtId="0" fontId="48" fillId="0" borderId="32" xfId="0" applyFont="1" applyBorder="1"/>
    <xf numFmtId="0" fontId="48" fillId="0" borderId="0" xfId="0" quotePrefix="1" applyFont="1" applyAlignment="1">
      <alignment horizontal="center"/>
    </xf>
    <xf numFmtId="0" fontId="54" fillId="0" borderId="32" xfId="0" applyFont="1" applyBorder="1" applyAlignment="1">
      <alignment horizontal="left"/>
    </xf>
    <xf numFmtId="0" fontId="53" fillId="0" borderId="0" xfId="0" applyFont="1" applyAlignment="1" applyProtection="1">
      <alignment horizontal="center" shrinkToFit="1"/>
      <protection locked="0"/>
    </xf>
    <xf numFmtId="0" fontId="48" fillId="0" borderId="32" xfId="0" applyFont="1" applyBorder="1" applyAlignment="1">
      <alignment horizontal="left"/>
    </xf>
    <xf numFmtId="0" fontId="48" fillId="0" borderId="0" xfId="0" applyFont="1" applyAlignment="1">
      <alignment horizontal="left"/>
    </xf>
    <xf numFmtId="0" fontId="46" fillId="0" borderId="0" xfId="0" applyFont="1"/>
    <xf numFmtId="0" fontId="53" fillId="0" borderId="0" xfId="0" applyFont="1"/>
    <xf numFmtId="172" fontId="48" fillId="0" borderId="2" xfId="0" applyNumberFormat="1" applyFont="1" applyBorder="1" applyAlignment="1" applyProtection="1">
      <alignment horizontal="center" shrinkToFit="1"/>
      <protection locked="0"/>
    </xf>
    <xf numFmtId="0" fontId="47" fillId="0" borderId="0" xfId="0" applyFont="1"/>
    <xf numFmtId="0" fontId="57" fillId="0" borderId="0" xfId="0" applyFont="1"/>
    <xf numFmtId="0" fontId="46" fillId="0" borderId="0" xfId="0" applyFont="1" applyAlignment="1">
      <alignment horizontal="left" vertical="top"/>
    </xf>
    <xf numFmtId="0" fontId="58" fillId="0" borderId="0" xfId="0" applyFont="1" applyAlignment="1">
      <alignment horizontal="left" vertical="top"/>
    </xf>
    <xf numFmtId="0" fontId="48" fillId="0" borderId="0" xfId="0" applyFont="1"/>
    <xf numFmtId="0" fontId="55" fillId="0" borderId="0" xfId="0" applyFont="1" applyAlignment="1">
      <alignment horizontal="right"/>
    </xf>
    <xf numFmtId="0" fontId="48" fillId="0" borderId="0" xfId="0" applyFont="1" applyAlignment="1" applyProtection="1">
      <alignment horizontal="center" shrinkToFit="1"/>
      <protection locked="0"/>
    </xf>
    <xf numFmtId="0" fontId="47" fillId="0" borderId="0" xfId="0" applyFont="1" applyAlignment="1">
      <alignment horizontal="right"/>
    </xf>
    <xf numFmtId="0" fontId="48" fillId="0" borderId="0" xfId="0" applyFont="1" applyAlignment="1">
      <alignment horizontal="center"/>
    </xf>
    <xf numFmtId="0" fontId="60" fillId="0" borderId="6" xfId="0" applyFont="1" applyBorder="1"/>
    <xf numFmtId="0" fontId="48" fillId="0" borderId="7" xfId="0" applyFont="1" applyBorder="1" applyAlignment="1">
      <alignment horizontal="center"/>
    </xf>
    <xf numFmtId="0" fontId="48" fillId="0" borderId="0" xfId="0" quotePrefix="1" applyFont="1" applyAlignment="1" applyProtection="1">
      <alignment horizontal="right"/>
      <protection locked="0"/>
    </xf>
    <xf numFmtId="0" fontId="48" fillId="0" borderId="6" xfId="0" quotePrefix="1" applyFont="1" applyBorder="1" applyAlignment="1" applyProtection="1">
      <alignment horizontal="right"/>
      <protection locked="0"/>
    </xf>
    <xf numFmtId="174" fontId="48" fillId="0" borderId="3" xfId="0" quotePrefix="1" applyNumberFormat="1" applyFont="1" applyBorder="1" applyAlignment="1" applyProtection="1">
      <alignment horizontal="center"/>
      <protection locked="0"/>
    </xf>
    <xf numFmtId="0" fontId="48" fillId="0" borderId="6" xfId="0" quotePrefix="1" applyFont="1" applyBorder="1" applyAlignment="1" applyProtection="1">
      <alignment horizontal="center"/>
      <protection locked="0"/>
    </xf>
    <xf numFmtId="1" fontId="48" fillId="0" borderId="5" xfId="0" quotePrefix="1" applyNumberFormat="1" applyFont="1" applyBorder="1" applyAlignment="1" applyProtection="1">
      <alignment horizontal="center" shrinkToFit="1"/>
      <protection locked="0"/>
    </xf>
    <xf numFmtId="173" fontId="53" fillId="0" borderId="3" xfId="0" quotePrefix="1" applyNumberFormat="1" applyFont="1" applyBorder="1" applyAlignment="1" applyProtection="1">
      <alignment horizontal="center"/>
      <protection locked="0"/>
    </xf>
    <xf numFmtId="0" fontId="5" fillId="0" borderId="56" xfId="0" applyFont="1" applyBorder="1" applyAlignment="1">
      <alignment vertical="center"/>
    </xf>
    <xf numFmtId="6" fontId="5" fillId="0" borderId="0" xfId="0" applyNumberFormat="1" applyFont="1" applyAlignment="1">
      <alignment vertical="center"/>
    </xf>
    <xf numFmtId="174" fontId="5" fillId="0" borderId="57" xfId="0" applyNumberFormat="1" applyFont="1" applyBorder="1"/>
    <xf numFmtId="0" fontId="17" fillId="0" borderId="53" xfId="0" applyFont="1" applyBorder="1"/>
    <xf numFmtId="2" fontId="20" fillId="0" borderId="58" xfId="0" applyNumberFormat="1" applyFont="1" applyBorder="1"/>
    <xf numFmtId="0" fontId="20" fillId="0" borderId="5" xfId="0" applyFont="1" applyBorder="1"/>
    <xf numFmtId="174" fontId="5" fillId="0" borderId="27" xfId="0" applyNumberFormat="1" applyFont="1" applyBorder="1"/>
    <xf numFmtId="0" fontId="20" fillId="0" borderId="54" xfId="0" applyFont="1" applyBorder="1"/>
    <xf numFmtId="8" fontId="48" fillId="0" borderId="0" xfId="0" applyNumberFormat="1" applyFont="1" applyAlignment="1">
      <alignment vertical="center"/>
    </xf>
    <xf numFmtId="8" fontId="48" fillId="0" borderId="5" xfId="0" applyNumberFormat="1" applyFont="1" applyBorder="1" applyAlignment="1">
      <alignment vertical="center"/>
    </xf>
    <xf numFmtId="0" fontId="48" fillId="0" borderId="0" xfId="0" quotePrefix="1" applyFont="1" applyAlignment="1" applyProtection="1">
      <alignment horizontal="left"/>
      <protection locked="0"/>
    </xf>
    <xf numFmtId="6" fontId="50" fillId="0" borderId="0" xfId="0" applyNumberFormat="1" applyFont="1"/>
    <xf numFmtId="6" fontId="50" fillId="0" borderId="0" xfId="0" applyNumberFormat="1" applyFont="1" applyAlignment="1">
      <alignment horizontal="center"/>
    </xf>
    <xf numFmtId="8" fontId="50" fillId="0" borderId="0" xfId="0" applyNumberFormat="1" applyFont="1"/>
    <xf numFmtId="0" fontId="62" fillId="0" borderId="0" xfId="0" applyFont="1" applyAlignment="1" applyProtection="1">
      <alignment horizontal="center"/>
      <protection locked="0"/>
    </xf>
    <xf numFmtId="1" fontId="10" fillId="0" borderId="0" xfId="0" applyNumberFormat="1" applyFont="1" applyAlignment="1" applyProtection="1">
      <alignment horizontal="center"/>
      <protection locked="0"/>
    </xf>
    <xf numFmtId="2" fontId="19" fillId="0" borderId="0" xfId="0" applyNumberFormat="1" applyFont="1" applyAlignment="1" applyProtection="1">
      <alignment horizontal="right" shrinkToFit="1"/>
      <protection locked="0"/>
    </xf>
    <xf numFmtId="0" fontId="19" fillId="0" borderId="0" xfId="0" applyFont="1" applyAlignment="1" applyProtection="1">
      <alignment horizontal="right" shrinkToFit="1"/>
      <protection locked="0"/>
    </xf>
    <xf numFmtId="166" fontId="10" fillId="0" borderId="0" xfId="0" applyNumberFormat="1" applyFont="1" applyAlignment="1" applyProtection="1">
      <alignment horizontal="right"/>
      <protection locked="0"/>
    </xf>
    <xf numFmtId="1" fontId="10" fillId="0" borderId="0" xfId="0" applyNumberFormat="1" applyFont="1" applyAlignment="1">
      <alignment horizontal="right"/>
    </xf>
    <xf numFmtId="1" fontId="19" fillId="0" borderId="0" xfId="0" applyNumberFormat="1" applyFont="1" applyAlignment="1" applyProtection="1">
      <alignment horizontal="right" shrinkToFit="1"/>
      <protection locked="0"/>
    </xf>
    <xf numFmtId="1" fontId="10" fillId="0" borderId="0" xfId="0" applyNumberFormat="1" applyFont="1" applyAlignment="1" applyProtection="1">
      <alignment horizontal="right"/>
      <protection locked="0"/>
    </xf>
    <xf numFmtId="1" fontId="38" fillId="0" borderId="0" xfId="0" applyNumberFormat="1" applyFont="1" applyAlignment="1">
      <alignment horizontal="right" vertical="center"/>
    </xf>
    <xf numFmtId="1" fontId="6" fillId="0" borderId="0" xfId="0" applyNumberFormat="1" applyFont="1" applyAlignment="1">
      <alignment horizontal="right"/>
    </xf>
    <xf numFmtId="1" fontId="6" fillId="0" borderId="0" xfId="0" applyNumberFormat="1" applyFont="1" applyAlignment="1" applyProtection="1">
      <alignment horizontal="right"/>
      <protection locked="0"/>
    </xf>
    <xf numFmtId="0" fontId="6" fillId="0" borderId="0" xfId="0" applyFont="1" applyAlignment="1">
      <alignment horizontal="right"/>
    </xf>
    <xf numFmtId="0" fontId="11" fillId="0" borderId="0" xfId="0" applyFont="1" applyAlignment="1">
      <alignment horizontal="right"/>
    </xf>
    <xf numFmtId="166" fontId="6" fillId="0" borderId="0" xfId="0" applyNumberFormat="1" applyFont="1" applyAlignment="1" applyProtection="1">
      <alignment horizontal="right"/>
      <protection locked="0"/>
    </xf>
    <xf numFmtId="0" fontId="6" fillId="0" borderId="0" xfId="0" applyFont="1" applyAlignment="1" applyProtection="1">
      <alignment horizontal="right"/>
      <protection locked="0"/>
    </xf>
    <xf numFmtId="0" fontId="5" fillId="0" borderId="0" xfId="0" applyFont="1" applyAlignment="1" applyProtection="1">
      <alignment horizontal="right" shrinkToFit="1"/>
      <protection locked="0"/>
    </xf>
    <xf numFmtId="0" fontId="6" fillId="0" borderId="0" xfId="0" applyFont="1" applyAlignment="1">
      <alignment horizontal="right" vertical="center" shrinkToFit="1"/>
    </xf>
    <xf numFmtId="169" fontId="37" fillId="0" borderId="0" xfId="0" applyNumberFormat="1" applyFont="1"/>
    <xf numFmtId="0" fontId="37" fillId="0" borderId="0" xfId="0" applyFont="1"/>
    <xf numFmtId="0" fontId="41" fillId="0" borderId="0" xfId="2" applyFont="1" applyAlignment="1">
      <alignment horizontal="left"/>
    </xf>
    <xf numFmtId="0" fontId="37" fillId="0" borderId="0" xfId="0" quotePrefix="1" applyFont="1"/>
    <xf numFmtId="0" fontId="64" fillId="0" borderId="0" xfId="0" applyFont="1"/>
    <xf numFmtId="0" fontId="43" fillId="0" borderId="0" xfId="0" applyFont="1"/>
    <xf numFmtId="0" fontId="63" fillId="0" borderId="0" xfId="0" applyFont="1"/>
    <xf numFmtId="12" fontId="17" fillId="0" borderId="0" xfId="0" applyNumberFormat="1" applyFont="1" applyAlignment="1">
      <alignment horizontal="center" vertical="top"/>
    </xf>
    <xf numFmtId="1" fontId="17" fillId="0" borderId="12" xfId="0" applyNumberFormat="1" applyFont="1" applyBorder="1" applyAlignment="1">
      <alignment vertical="center"/>
    </xf>
    <xf numFmtId="12" fontId="1" fillId="0" borderId="0" xfId="0" applyNumberFormat="1" applyFont="1" applyAlignment="1">
      <alignment horizontal="left"/>
    </xf>
    <xf numFmtId="164" fontId="17" fillId="0" borderId="0" xfId="0" applyNumberFormat="1" applyFont="1" applyAlignment="1">
      <alignment horizontal="center"/>
    </xf>
    <xf numFmtId="2" fontId="17" fillId="0" borderId="0" xfId="0" quotePrefix="1" applyNumberFormat="1" applyFont="1" applyAlignment="1">
      <alignment horizontal="center"/>
    </xf>
    <xf numFmtId="2" fontId="5" fillId="0" borderId="0" xfId="0" quotePrefix="1" applyNumberFormat="1" applyFont="1" applyAlignment="1">
      <alignment horizontal="center"/>
    </xf>
    <xf numFmtId="0" fontId="53" fillId="0" borderId="0" xfId="0" applyFont="1" applyAlignment="1">
      <alignment horizontal="center"/>
    </xf>
    <xf numFmtId="12" fontId="53" fillId="0" borderId="0" xfId="0" applyNumberFormat="1" applyFont="1" applyAlignment="1">
      <alignment horizontal="center"/>
    </xf>
    <xf numFmtId="167" fontId="53" fillId="0" borderId="0" xfId="0" applyNumberFormat="1" applyFont="1" applyAlignment="1">
      <alignment horizontal="center"/>
    </xf>
    <xf numFmtId="0" fontId="53" fillId="2" borderId="8" xfId="0" applyFont="1" applyFill="1" applyBorder="1" applyAlignment="1">
      <alignment horizontal="center" vertical="center"/>
    </xf>
    <xf numFmtId="174" fontId="53" fillId="2" borderId="10" xfId="4" applyNumberFormat="1" applyFont="1" applyFill="1" applyBorder="1" applyAlignment="1">
      <alignment horizontal="center" vertical="center" wrapText="1"/>
    </xf>
    <xf numFmtId="174" fontId="53" fillId="2" borderId="10" xfId="0" applyNumberFormat="1" applyFont="1" applyFill="1" applyBorder="1" applyAlignment="1">
      <alignment horizontal="center" vertical="center"/>
    </xf>
    <xf numFmtId="0" fontId="53" fillId="0" borderId="0" xfId="0" applyFont="1" applyAlignment="1">
      <alignment horizontal="center" wrapText="1"/>
    </xf>
    <xf numFmtId="166" fontId="53" fillId="2" borderId="10" xfId="4" applyNumberFormat="1" applyFont="1" applyFill="1" applyBorder="1" applyAlignment="1">
      <alignment horizontal="center" vertical="center" wrapText="1"/>
    </xf>
    <xf numFmtId="166" fontId="53" fillId="2" borderId="10" xfId="0" applyNumberFormat="1" applyFont="1" applyFill="1" applyBorder="1" applyAlignment="1">
      <alignment horizontal="center" vertical="center"/>
    </xf>
    <xf numFmtId="0" fontId="53" fillId="0" borderId="0" xfId="0" quotePrefix="1" applyFont="1" applyAlignment="1">
      <alignment horizontal="center"/>
    </xf>
    <xf numFmtId="174" fontId="53" fillId="4" borderId="12" xfId="4" applyNumberFormat="1" applyFont="1" applyFill="1" applyBorder="1" applyAlignment="1">
      <alignment horizontal="center" vertical="center" wrapText="1"/>
    </xf>
    <xf numFmtId="174" fontId="53" fillId="2" borderId="12" xfId="0" applyNumberFormat="1" applyFont="1" applyFill="1" applyBorder="1" applyAlignment="1">
      <alignment horizontal="center" vertical="center"/>
    </xf>
    <xf numFmtId="166" fontId="53" fillId="4" borderId="12" xfId="4" applyNumberFormat="1" applyFont="1" applyFill="1" applyBorder="1" applyAlignment="1">
      <alignment horizontal="center" vertical="center" wrapText="1"/>
    </xf>
    <xf numFmtId="166" fontId="53" fillId="2" borderId="12" xfId="0" applyNumberFormat="1" applyFont="1" applyFill="1" applyBorder="1" applyAlignment="1">
      <alignment horizontal="center" vertical="center"/>
    </xf>
    <xf numFmtId="174" fontId="53" fillId="2" borderId="12" xfId="4" applyNumberFormat="1" applyFont="1" applyFill="1" applyBorder="1" applyAlignment="1">
      <alignment horizontal="center" vertical="center" wrapText="1"/>
    </xf>
    <xf numFmtId="166" fontId="53" fillId="2" borderId="12" xfId="4" applyNumberFormat="1" applyFont="1" applyFill="1" applyBorder="1" applyAlignment="1">
      <alignment horizontal="center" vertical="center" wrapText="1"/>
    </xf>
    <xf numFmtId="174" fontId="53" fillId="2" borderId="12" xfId="0" quotePrefix="1" applyNumberFormat="1" applyFont="1" applyFill="1" applyBorder="1" applyAlignment="1">
      <alignment horizontal="center" vertical="center"/>
    </xf>
    <xf numFmtId="166" fontId="53" fillId="2" borderId="12" xfId="0" quotePrefix="1" applyNumberFormat="1" applyFont="1" applyFill="1" applyBorder="1" applyAlignment="1">
      <alignment horizontal="center" vertical="center"/>
    </xf>
    <xf numFmtId="174" fontId="53" fillId="2" borderId="8" xfId="4" applyNumberFormat="1" applyFont="1" applyFill="1" applyBorder="1" applyAlignment="1">
      <alignment horizontal="center" vertical="center" wrapText="1"/>
    </xf>
    <xf numFmtId="174" fontId="53" fillId="2" borderId="8" xfId="0" applyNumberFormat="1" applyFont="1" applyFill="1" applyBorder="1" applyAlignment="1">
      <alignment horizontal="center" vertical="center"/>
    </xf>
    <xf numFmtId="166" fontId="53" fillId="2" borderId="8" xfId="4" applyNumberFormat="1" applyFont="1" applyFill="1" applyBorder="1" applyAlignment="1">
      <alignment horizontal="center" vertical="center" wrapText="1"/>
    </xf>
    <xf numFmtId="166" fontId="53" fillId="2" borderId="8" xfId="0" applyNumberFormat="1" applyFont="1" applyFill="1" applyBorder="1" applyAlignment="1">
      <alignment horizontal="center" vertical="center"/>
    </xf>
    <xf numFmtId="2" fontId="53" fillId="2" borderId="0" xfId="0" applyNumberFormat="1" applyFont="1" applyFill="1" applyAlignment="1">
      <alignment horizontal="center"/>
    </xf>
    <xf numFmtId="165" fontId="53" fillId="2" borderId="0" xfId="0" applyNumberFormat="1" applyFont="1" applyFill="1" applyAlignment="1">
      <alignment horizontal="center"/>
    </xf>
    <xf numFmtId="0" fontId="53" fillId="2" borderId="0" xfId="0" applyFont="1" applyFill="1" applyAlignment="1">
      <alignment horizontal="center"/>
    </xf>
    <xf numFmtId="2" fontId="53" fillId="0" borderId="0" xfId="0" applyNumberFormat="1" applyFont="1" applyAlignment="1">
      <alignment horizontal="center"/>
    </xf>
    <xf numFmtId="165" fontId="53" fillId="0" borderId="0" xfId="0" applyNumberFormat="1" applyFont="1" applyAlignment="1">
      <alignment horizontal="center"/>
    </xf>
    <xf numFmtId="0" fontId="53" fillId="2" borderId="13" xfId="0" applyFont="1" applyFill="1" applyBorder="1" applyAlignment="1">
      <alignment horizontal="center" vertical="center"/>
    </xf>
    <xf numFmtId="0" fontId="53" fillId="2" borderId="8" xfId="0" applyFont="1" applyFill="1" applyBorder="1" applyAlignment="1">
      <alignment horizontal="center" vertical="center" shrinkToFit="1"/>
    </xf>
    <xf numFmtId="174" fontId="53" fillId="2" borderId="9" xfId="4" applyNumberFormat="1" applyFont="1" applyFill="1" applyBorder="1" applyAlignment="1">
      <alignment horizontal="center" vertical="center" wrapText="1"/>
    </xf>
    <xf numFmtId="166" fontId="53" fillId="2" borderId="0" xfId="0" quotePrefix="1" applyNumberFormat="1" applyFont="1" applyFill="1" applyAlignment="1">
      <alignment horizontal="center"/>
    </xf>
    <xf numFmtId="16" fontId="53" fillId="0" borderId="0" xfId="0" quotePrefix="1" applyNumberFormat="1" applyFont="1" applyAlignment="1">
      <alignment horizontal="center"/>
    </xf>
    <xf numFmtId="3" fontId="53" fillId="2" borderId="9" xfId="4" applyNumberFormat="1" applyFont="1" applyFill="1" applyBorder="1" applyAlignment="1">
      <alignment horizontal="center" vertical="center" wrapText="1"/>
    </xf>
    <xf numFmtId="174" fontId="53" fillId="4" borderId="11" xfId="4" applyNumberFormat="1" applyFont="1" applyFill="1" applyBorder="1" applyAlignment="1">
      <alignment horizontal="center" vertical="center" wrapText="1"/>
    </xf>
    <xf numFmtId="3" fontId="53" fillId="4" borderId="11" xfId="4" applyNumberFormat="1" applyFont="1" applyFill="1" applyBorder="1" applyAlignment="1">
      <alignment horizontal="center" vertical="center" wrapText="1"/>
    </xf>
    <xf numFmtId="174" fontId="53" fillId="2" borderId="11" xfId="4" applyNumberFormat="1" applyFont="1" applyFill="1" applyBorder="1" applyAlignment="1">
      <alignment horizontal="center" vertical="center" wrapText="1"/>
    </xf>
    <xf numFmtId="3" fontId="53" fillId="2" borderId="11" xfId="4" applyNumberFormat="1" applyFont="1" applyFill="1" applyBorder="1" applyAlignment="1">
      <alignment horizontal="center" vertical="center" wrapText="1"/>
    </xf>
    <xf numFmtId="174" fontId="53" fillId="2" borderId="13" xfId="4" applyNumberFormat="1" applyFont="1" applyFill="1" applyBorder="1" applyAlignment="1">
      <alignment horizontal="center" vertical="center" wrapText="1"/>
    </xf>
    <xf numFmtId="3" fontId="53" fillId="2" borderId="13" xfId="4" applyNumberFormat="1" applyFont="1" applyFill="1" applyBorder="1" applyAlignment="1">
      <alignment horizontal="center" vertical="center" wrapText="1"/>
    </xf>
    <xf numFmtId="0" fontId="53" fillId="0" borderId="0" xfId="0" applyFont="1" applyAlignment="1">
      <alignment vertical="center" wrapText="1" shrinkToFit="1"/>
    </xf>
    <xf numFmtId="0" fontId="53" fillId="0" borderId="0" xfId="0" applyFont="1" applyAlignment="1">
      <alignment vertical="center" wrapText="1"/>
    </xf>
    <xf numFmtId="0" fontId="53" fillId="0" borderId="0" xfId="0" applyFont="1" applyAlignment="1">
      <alignment shrinkToFit="1"/>
    </xf>
    <xf numFmtId="0" fontId="53" fillId="0" borderId="0" xfId="0" applyFont="1" applyAlignment="1">
      <alignment wrapText="1"/>
    </xf>
    <xf numFmtId="1" fontId="53" fillId="0" borderId="0" xfId="0" applyNumberFormat="1" applyFont="1" applyAlignment="1">
      <alignment horizontal="center"/>
    </xf>
    <xf numFmtId="1" fontId="53" fillId="0" borderId="0" xfId="4" applyNumberFormat="1" applyFont="1" applyAlignment="1">
      <alignment horizontal="center" wrapText="1"/>
    </xf>
    <xf numFmtId="1" fontId="53" fillId="0" borderId="0" xfId="0" quotePrefix="1" applyNumberFormat="1" applyFont="1" applyAlignment="1">
      <alignment horizontal="center"/>
    </xf>
    <xf numFmtId="0" fontId="53" fillId="0" borderId="0" xfId="0" applyFont="1" applyAlignment="1">
      <alignment wrapText="1" shrinkToFit="1"/>
    </xf>
    <xf numFmtId="0" fontId="53" fillId="0" borderId="0" xfId="0" applyFont="1" applyAlignment="1">
      <alignment horizontal="center" vertical="center"/>
    </xf>
    <xf numFmtId="0" fontId="53" fillId="2" borderId="9" xfId="0" applyFont="1" applyFill="1" applyBorder="1" applyAlignment="1">
      <alignment horizontal="center" vertical="center"/>
    </xf>
    <xf numFmtId="0" fontId="53" fillId="2" borderId="11" xfId="0" applyFont="1" applyFill="1" applyBorder="1" applyAlignment="1">
      <alignment horizontal="center" vertical="center"/>
    </xf>
    <xf numFmtId="165" fontId="53" fillId="0" borderId="0" xfId="0" applyNumberFormat="1" applyFont="1"/>
    <xf numFmtId="4" fontId="17" fillId="0" borderId="0" xfId="0" applyNumberFormat="1" applyFont="1" applyAlignment="1">
      <alignment horizontal="center" vertical="center"/>
    </xf>
    <xf numFmtId="174" fontId="23" fillId="0" borderId="16" xfId="0" applyNumberFormat="1" applyFont="1" applyBorder="1" applyAlignment="1">
      <alignment horizontal="center"/>
    </xf>
    <xf numFmtId="174" fontId="23" fillId="0" borderId="17" xfId="0" applyNumberFormat="1" applyFont="1" applyBorder="1" applyAlignment="1">
      <alignment horizontal="center"/>
    </xf>
    <xf numFmtId="174" fontId="23" fillId="0" borderId="12" xfId="0" applyNumberFormat="1" applyFont="1" applyBorder="1" applyAlignment="1">
      <alignment horizontal="center"/>
    </xf>
    <xf numFmtId="174" fontId="23" fillId="0" borderId="8" xfId="0" applyNumberFormat="1" applyFont="1" applyBorder="1" applyAlignment="1">
      <alignment horizontal="center"/>
    </xf>
    <xf numFmtId="0" fontId="47" fillId="0" borderId="0" xfId="0" applyFont="1" applyAlignment="1" applyProtection="1">
      <alignment horizontal="center" shrinkToFit="1"/>
      <protection locked="0"/>
    </xf>
    <xf numFmtId="0" fontId="61" fillId="0" borderId="0" xfId="0" applyFont="1"/>
    <xf numFmtId="0" fontId="46" fillId="0" borderId="31" xfId="0" applyFont="1" applyBorder="1"/>
    <xf numFmtId="0" fontId="48" fillId="0" borderId="32" xfId="0" quotePrefix="1" applyFont="1" applyBorder="1" applyAlignment="1">
      <alignment horizontal="left"/>
    </xf>
    <xf numFmtId="0" fontId="48" fillId="0" borderId="31" xfId="0" applyFont="1" applyBorder="1" applyAlignment="1" applyProtection="1">
      <alignment horizontal="left" shrinkToFit="1"/>
      <protection locked="0"/>
    </xf>
    <xf numFmtId="0" fontId="48" fillId="0" borderId="0" xfId="0" quotePrefix="1" applyFont="1" applyAlignment="1">
      <alignment horizontal="left"/>
    </xf>
    <xf numFmtId="166" fontId="5" fillId="0" borderId="0" xfId="5" applyNumberFormat="1" applyFont="1" applyAlignment="1">
      <alignment horizontal="center"/>
    </xf>
    <xf numFmtId="174" fontId="5" fillId="0" borderId="0" xfId="0" applyNumberFormat="1" applyFont="1"/>
    <xf numFmtId="0" fontId="65" fillId="5" borderId="63" xfId="0" applyFont="1" applyFill="1" applyBorder="1" applyAlignment="1">
      <alignment horizontal="center" vertical="center"/>
    </xf>
    <xf numFmtId="0" fontId="66" fillId="6" borderId="64" xfId="0" applyFont="1" applyFill="1" applyBorder="1" applyAlignment="1">
      <alignment horizontal="center" vertical="center"/>
    </xf>
    <xf numFmtId="0" fontId="66" fillId="0" borderId="64" xfId="0" applyFont="1" applyBorder="1" applyAlignment="1">
      <alignment horizontal="center" vertical="center"/>
    </xf>
    <xf numFmtId="0" fontId="0" fillId="6" borderId="64" xfId="0" applyFill="1" applyBorder="1"/>
    <xf numFmtId="0" fontId="0" fillId="0" borderId="64" xfId="0" applyBorder="1"/>
    <xf numFmtId="0" fontId="56" fillId="0" borderId="0" xfId="0" applyFont="1" applyAlignment="1" applyProtection="1">
      <alignment vertical="center" wrapText="1"/>
      <protection locked="0"/>
    </xf>
    <xf numFmtId="0" fontId="46" fillId="0" borderId="0" xfId="0" applyFont="1" applyAlignment="1" applyProtection="1">
      <alignment horizontal="right" vertical="center" wrapText="1"/>
      <protection locked="0"/>
    </xf>
    <xf numFmtId="0" fontId="67" fillId="6" borderId="64" xfId="1" applyFont="1" applyFill="1" applyBorder="1" applyAlignment="1" applyProtection="1"/>
    <xf numFmtId="0" fontId="53" fillId="0" borderId="3" xfId="0" quotePrefix="1" applyFont="1" applyBorder="1" applyAlignment="1" applyProtection="1">
      <alignment horizontal="center"/>
      <protection locked="0"/>
    </xf>
    <xf numFmtId="174" fontId="53" fillId="0" borderId="3" xfId="0" quotePrefix="1" applyNumberFormat="1" applyFont="1" applyBorder="1" applyAlignment="1" applyProtection="1">
      <alignment horizontal="center"/>
      <protection locked="0"/>
    </xf>
    <xf numFmtId="0" fontId="65" fillId="5" borderId="66" xfId="0" applyFont="1" applyFill="1" applyBorder="1" applyAlignment="1">
      <alignment horizontal="center" vertical="center"/>
    </xf>
    <xf numFmtId="0" fontId="67" fillId="0" borderId="64" xfId="1" applyFont="1" applyBorder="1" applyAlignment="1" applyProtection="1"/>
    <xf numFmtId="0" fontId="0" fillId="6" borderId="65" xfId="0" applyFill="1" applyBorder="1"/>
    <xf numFmtId="0" fontId="0" fillId="0" borderId="0" xfId="0" applyAlignment="1">
      <alignment vertical="center"/>
    </xf>
    <xf numFmtId="0" fontId="0" fillId="0" borderId="31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7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45" xfId="0" applyBorder="1" applyAlignment="1">
      <alignment vertical="center"/>
    </xf>
    <xf numFmtId="1" fontId="70" fillId="0" borderId="0" xfId="4" applyNumberFormat="1" applyFont="1" applyAlignment="1">
      <alignment horizontal="center" wrapText="1"/>
    </xf>
    <xf numFmtId="2" fontId="53" fillId="0" borderId="0" xfId="0" quotePrefix="1" applyNumberFormat="1" applyFont="1" applyAlignment="1" applyProtection="1">
      <alignment horizontal="left" shrinkToFit="1"/>
      <protection locked="0"/>
    </xf>
    <xf numFmtId="0" fontId="53" fillId="0" borderId="0" xfId="0" quotePrefix="1" applyFont="1" applyAlignment="1" applyProtection="1">
      <alignment horizontal="left" shrinkToFit="1"/>
      <protection locked="0"/>
    </xf>
    <xf numFmtId="0" fontId="53" fillId="0" borderId="0" xfId="0" applyFont="1" applyAlignment="1" applyProtection="1">
      <alignment horizontal="left" shrinkToFit="1"/>
      <protection locked="0"/>
    </xf>
    <xf numFmtId="16" fontId="53" fillId="0" borderId="0" xfId="0" quotePrefix="1" applyNumberFormat="1" applyFont="1" applyAlignment="1" applyProtection="1">
      <alignment horizontal="left" shrinkToFit="1"/>
      <protection locked="0"/>
    </xf>
    <xf numFmtId="0" fontId="53" fillId="0" borderId="10" xfId="0" applyFont="1" applyBorder="1" applyAlignment="1">
      <alignment horizontal="center"/>
    </xf>
    <xf numFmtId="0" fontId="53" fillId="0" borderId="20" xfId="0" applyFont="1" applyBorder="1" applyAlignment="1">
      <alignment horizontal="center" shrinkToFit="1"/>
    </xf>
    <xf numFmtId="164" fontId="5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top" wrapText="1"/>
    </xf>
    <xf numFmtId="2" fontId="5" fillId="0" borderId="0" xfId="0" applyNumberFormat="1" applyFont="1" applyAlignment="1">
      <alignment horizontal="center" vertical="center" wrapText="1"/>
    </xf>
    <xf numFmtId="3" fontId="5" fillId="0" borderId="0" xfId="0" applyNumberFormat="1" applyFont="1" applyAlignment="1">
      <alignment horizontal="center" vertical="center" wrapText="1"/>
    </xf>
    <xf numFmtId="0" fontId="68" fillId="0" borderId="59" xfId="0" applyFont="1" applyBorder="1" applyAlignment="1">
      <alignment horizontal="left" vertical="center" wrapText="1"/>
    </xf>
    <xf numFmtId="0" fontId="53" fillId="0" borderId="3" xfId="0" applyFont="1" applyBorder="1" applyAlignment="1">
      <alignment horizontal="left" vertical="center" wrapText="1"/>
    </xf>
    <xf numFmtId="0" fontId="53" fillId="0" borderId="32" xfId="0" applyFont="1" applyBorder="1" applyAlignment="1">
      <alignment horizontal="left" vertical="center" wrapText="1"/>
    </xf>
    <xf numFmtId="0" fontId="53" fillId="0" borderId="0" xfId="0" applyFont="1" applyAlignment="1">
      <alignment horizontal="left" vertical="center" wrapText="1"/>
    </xf>
    <xf numFmtId="0" fontId="53" fillId="0" borderId="44" xfId="0" applyFont="1" applyBorder="1" applyAlignment="1">
      <alignment horizontal="left" vertical="center" wrapText="1"/>
    </xf>
    <xf numFmtId="0" fontId="53" fillId="0" borderId="6" xfId="0" applyFont="1" applyBorder="1" applyAlignment="1">
      <alignment horizontal="left" vertical="center" wrapText="1"/>
    </xf>
    <xf numFmtId="175" fontId="48" fillId="0" borderId="32" xfId="0" applyNumberFormat="1" applyFont="1" applyBorder="1" applyAlignment="1">
      <alignment horizontal="left"/>
    </xf>
    <xf numFmtId="175" fontId="48" fillId="0" borderId="0" xfId="0" applyNumberFormat="1" applyFont="1" applyAlignment="1">
      <alignment horizontal="left"/>
    </xf>
    <xf numFmtId="0" fontId="19" fillId="0" borderId="0" xfId="0" applyFont="1" applyAlignment="1" applyProtection="1">
      <alignment horizontal="center" shrinkToFit="1"/>
      <protection locked="0"/>
    </xf>
    <xf numFmtId="0" fontId="48" fillId="0" borderId="32" xfId="0" applyFont="1" applyBorder="1" applyAlignment="1">
      <alignment horizontal="center" vertical="center" wrapText="1"/>
    </xf>
    <xf numFmtId="0" fontId="48" fillId="0" borderId="0" xfId="0" applyFont="1" applyAlignment="1">
      <alignment horizontal="center" vertical="center" wrapText="1"/>
    </xf>
    <xf numFmtId="0" fontId="48" fillId="0" borderId="44" xfId="0" applyFont="1" applyBorder="1" applyAlignment="1">
      <alignment horizontal="center" vertical="center" wrapText="1"/>
    </xf>
    <xf numFmtId="0" fontId="48" fillId="0" borderId="6" xfId="0" applyFont="1" applyBorder="1" applyAlignment="1">
      <alignment horizontal="center" vertical="center" wrapText="1"/>
    </xf>
    <xf numFmtId="0" fontId="53" fillId="0" borderId="6" xfId="0" applyFont="1" applyBorder="1" applyAlignment="1">
      <alignment horizontal="center" shrinkToFit="1"/>
    </xf>
    <xf numFmtId="0" fontId="53" fillId="0" borderId="45" xfId="0" applyFont="1" applyBorder="1" applyAlignment="1">
      <alignment horizontal="center" shrinkToFit="1"/>
    </xf>
    <xf numFmtId="0" fontId="53" fillId="0" borderId="5" xfId="0" applyFont="1" applyBorder="1" applyAlignment="1">
      <alignment horizontal="center"/>
    </xf>
    <xf numFmtId="0" fontId="53" fillId="0" borderId="62" xfId="0" applyFont="1" applyBorder="1" applyAlignment="1">
      <alignment horizontal="center"/>
    </xf>
    <xf numFmtId="0" fontId="53" fillId="0" borderId="43" xfId="0" applyFont="1" applyBorder="1" applyAlignment="1" applyProtection="1">
      <alignment horizontal="left" vertical="top" wrapText="1" shrinkToFit="1"/>
      <protection locked="0"/>
    </xf>
    <xf numFmtId="0" fontId="53" fillId="0" borderId="42" xfId="0" applyFont="1" applyBorder="1" applyAlignment="1" applyProtection="1">
      <alignment horizontal="left" vertical="top" wrapText="1" shrinkToFit="1"/>
      <protection locked="0"/>
    </xf>
    <xf numFmtId="0" fontId="53" fillId="0" borderId="32" xfId="0" applyFont="1" applyBorder="1" applyAlignment="1" applyProtection="1">
      <alignment horizontal="left" vertical="top" wrapText="1" shrinkToFit="1"/>
      <protection locked="0"/>
    </xf>
    <xf numFmtId="0" fontId="53" fillId="0" borderId="31" xfId="0" applyFont="1" applyBorder="1" applyAlignment="1" applyProtection="1">
      <alignment horizontal="left" vertical="top" wrapText="1" shrinkToFit="1"/>
      <protection locked="0"/>
    </xf>
    <xf numFmtId="0" fontId="53" fillId="0" borderId="44" xfId="0" applyFont="1" applyBorder="1" applyAlignment="1" applyProtection="1">
      <alignment horizontal="left" vertical="top" wrapText="1" shrinkToFit="1"/>
      <protection locked="0"/>
    </xf>
    <xf numFmtId="0" fontId="53" fillId="0" borderId="45" xfId="0" applyFont="1" applyBorder="1" applyAlignment="1" applyProtection="1">
      <alignment horizontal="left" vertical="top" wrapText="1" shrinkToFit="1"/>
      <protection locked="0"/>
    </xf>
    <xf numFmtId="0" fontId="71" fillId="0" borderId="3" xfId="0" applyFont="1" applyBorder="1" applyAlignment="1">
      <alignment horizontal="center" vertical="center" wrapText="1"/>
    </xf>
    <xf numFmtId="0" fontId="71" fillId="0" borderId="47" xfId="0" applyFont="1" applyBorder="1" applyAlignment="1">
      <alignment horizontal="center" vertical="center" wrapText="1"/>
    </xf>
    <xf numFmtId="0" fontId="71" fillId="0" borderId="0" xfId="0" applyFont="1" applyAlignment="1">
      <alignment horizontal="center" vertical="center" wrapText="1"/>
    </xf>
    <xf numFmtId="0" fontId="71" fillId="0" borderId="31" xfId="0" applyFont="1" applyBorder="1" applyAlignment="1">
      <alignment horizontal="center" vertical="center" wrapText="1"/>
    </xf>
    <xf numFmtId="0" fontId="53" fillId="0" borderId="38" xfId="0" applyFont="1" applyBorder="1" applyAlignment="1">
      <alignment horizontal="center"/>
    </xf>
    <xf numFmtId="0" fontId="53" fillId="0" borderId="39" xfId="0" applyFont="1" applyBorder="1" applyAlignment="1">
      <alignment horizontal="center"/>
    </xf>
    <xf numFmtId="0" fontId="53" fillId="0" borderId="24" xfId="0" applyFont="1" applyBorder="1" applyAlignment="1">
      <alignment horizontal="center"/>
    </xf>
    <xf numFmtId="0" fontId="53" fillId="0" borderId="37" xfId="0" applyFont="1" applyBorder="1" applyAlignment="1">
      <alignment horizontal="center"/>
    </xf>
    <xf numFmtId="0" fontId="53" fillId="0" borderId="28" xfId="0" applyFont="1" applyBorder="1" applyAlignment="1">
      <alignment horizontal="center"/>
    </xf>
    <xf numFmtId="0" fontId="53" fillId="0" borderId="25" xfId="0" applyFont="1" applyBorder="1" applyAlignment="1">
      <alignment horizontal="center"/>
    </xf>
    <xf numFmtId="0" fontId="53" fillId="0" borderId="33" xfId="0" applyFont="1" applyBorder="1" applyAlignment="1">
      <alignment horizontal="center"/>
    </xf>
    <xf numFmtId="0" fontId="53" fillId="0" borderId="34" xfId="0" applyFont="1" applyBorder="1" applyAlignment="1">
      <alignment horizontal="center"/>
    </xf>
    <xf numFmtId="0" fontId="13" fillId="0" borderId="43" xfId="0" applyFont="1" applyBorder="1" applyAlignment="1" applyProtection="1">
      <alignment horizontal="left" vertical="top" wrapText="1" shrinkToFit="1"/>
      <protection locked="0"/>
    </xf>
    <xf numFmtId="0" fontId="11" fillId="0" borderId="42" xfId="0" applyFont="1" applyBorder="1" applyAlignment="1" applyProtection="1">
      <alignment horizontal="left" vertical="top" wrapText="1" shrinkToFit="1"/>
      <protection locked="0"/>
    </xf>
    <xf numFmtId="0" fontId="11" fillId="0" borderId="32" xfId="0" applyFont="1" applyBorder="1" applyAlignment="1" applyProtection="1">
      <alignment horizontal="left" vertical="top" wrapText="1" shrinkToFit="1"/>
      <protection locked="0"/>
    </xf>
    <xf numFmtId="0" fontId="11" fillId="0" borderId="31" xfId="0" applyFont="1" applyBorder="1" applyAlignment="1" applyProtection="1">
      <alignment horizontal="left" vertical="top" wrapText="1" shrinkToFit="1"/>
      <protection locked="0"/>
    </xf>
    <xf numFmtId="0" fontId="11" fillId="0" borderId="44" xfId="0" applyFont="1" applyBorder="1" applyAlignment="1" applyProtection="1">
      <alignment horizontal="left" vertical="top" wrapText="1" shrinkToFit="1"/>
      <protection locked="0"/>
    </xf>
    <xf numFmtId="0" fontId="11" fillId="0" borderId="45" xfId="0" applyFont="1" applyBorder="1" applyAlignment="1" applyProtection="1">
      <alignment horizontal="left" vertical="top" wrapText="1" shrinkToFit="1"/>
      <protection locked="0"/>
    </xf>
    <xf numFmtId="0" fontId="10" fillId="0" borderId="32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53" fillId="0" borderId="32" xfId="0" applyFont="1" applyBorder="1" applyAlignment="1">
      <alignment horizontal="center"/>
    </xf>
    <xf numFmtId="0" fontId="53" fillId="0" borderId="0" xfId="0" applyFont="1" applyAlignment="1">
      <alignment horizontal="center"/>
    </xf>
    <xf numFmtId="3" fontId="53" fillId="0" borderId="0" xfId="0" applyNumberFormat="1" applyFont="1" applyAlignment="1" applyProtection="1">
      <alignment horizontal="center"/>
      <protection locked="0"/>
    </xf>
    <xf numFmtId="3" fontId="53" fillId="0" borderId="31" xfId="0" applyNumberFormat="1" applyFont="1" applyBorder="1" applyAlignment="1" applyProtection="1">
      <alignment horizontal="center"/>
      <protection locked="0"/>
    </xf>
    <xf numFmtId="0" fontId="53" fillId="0" borderId="40" xfId="0" applyFont="1" applyBorder="1" applyAlignment="1">
      <alignment horizontal="center"/>
    </xf>
    <xf numFmtId="0" fontId="53" fillId="0" borderId="46" xfId="0" applyFont="1" applyBorder="1" applyAlignment="1">
      <alignment horizontal="center"/>
    </xf>
    <xf numFmtId="174" fontId="53" fillId="0" borderId="3" xfId="0" applyNumberFormat="1" applyFont="1" applyBorder="1" applyAlignment="1" applyProtection="1">
      <alignment horizontal="center"/>
      <protection locked="0"/>
    </xf>
    <xf numFmtId="174" fontId="53" fillId="0" borderId="47" xfId="0" applyNumberFormat="1" applyFont="1" applyBorder="1" applyAlignment="1" applyProtection="1">
      <alignment horizontal="center"/>
      <protection locked="0"/>
    </xf>
    <xf numFmtId="174" fontId="69" fillId="0" borderId="6" xfId="0" quotePrefix="1" applyNumberFormat="1" applyFont="1" applyBorder="1" applyAlignment="1" applyProtection="1">
      <alignment horizontal="center"/>
      <protection locked="0"/>
    </xf>
    <xf numFmtId="174" fontId="69" fillId="0" borderId="45" xfId="0" applyNumberFormat="1" applyFont="1" applyBorder="1" applyAlignment="1" applyProtection="1">
      <alignment horizontal="center"/>
      <protection locked="0"/>
    </xf>
    <xf numFmtId="174" fontId="53" fillId="0" borderId="0" xfId="0" quotePrefix="1" applyNumberFormat="1" applyFont="1" applyAlignment="1" applyProtection="1">
      <alignment horizontal="center"/>
      <protection locked="0"/>
    </xf>
    <xf numFmtId="174" fontId="53" fillId="0" borderId="31" xfId="0" applyNumberFormat="1" applyFont="1" applyBorder="1" applyAlignment="1" applyProtection="1">
      <alignment horizontal="center"/>
      <protection locked="0"/>
    </xf>
    <xf numFmtId="0" fontId="54" fillId="0" borderId="35" xfId="0" applyFont="1" applyBorder="1" applyAlignment="1">
      <alignment horizontal="center"/>
    </xf>
    <xf numFmtId="0" fontId="54" fillId="0" borderId="7" xfId="0" applyFont="1" applyBorder="1" applyAlignment="1">
      <alignment horizontal="center"/>
    </xf>
    <xf numFmtId="0" fontId="54" fillId="0" borderId="36" xfId="0" applyFont="1" applyBorder="1" applyAlignment="1">
      <alignment horizontal="center"/>
    </xf>
    <xf numFmtId="0" fontId="56" fillId="0" borderId="0" xfId="0" applyFont="1" applyAlignment="1" applyProtection="1">
      <alignment horizontal="center" vertical="center" wrapText="1"/>
      <protection locked="0"/>
    </xf>
    <xf numFmtId="0" fontId="48" fillId="0" borderId="35" xfId="0" applyFont="1" applyBorder="1" applyAlignment="1">
      <alignment horizontal="center"/>
    </xf>
    <xf numFmtId="0" fontId="48" fillId="0" borderId="7" xfId="0" applyFont="1" applyBorder="1" applyAlignment="1">
      <alignment horizontal="center"/>
    </xf>
    <xf numFmtId="0" fontId="48" fillId="0" borderId="36" xfId="0" applyFont="1" applyBorder="1" applyAlignment="1">
      <alignment horizontal="center"/>
    </xf>
    <xf numFmtId="0" fontId="59" fillId="0" borderId="6" xfId="1" applyFont="1" applyBorder="1" applyAlignment="1" applyProtection="1">
      <alignment horizontal="center"/>
    </xf>
    <xf numFmtId="0" fontId="48" fillId="0" borderId="2" xfId="0" applyFont="1" applyBorder="1" applyAlignment="1">
      <alignment horizontal="center" wrapText="1" shrinkToFit="1"/>
    </xf>
    <xf numFmtId="0" fontId="48" fillId="0" borderId="5" xfId="0" applyFont="1" applyBorder="1" applyAlignment="1">
      <alignment horizontal="center" wrapText="1" shrinkToFit="1"/>
    </xf>
    <xf numFmtId="0" fontId="48" fillId="0" borderId="5" xfId="0" applyFont="1" applyBorder="1" applyAlignment="1">
      <alignment horizontal="center" shrinkToFit="1"/>
    </xf>
    <xf numFmtId="0" fontId="48" fillId="0" borderId="0" xfId="0" applyFont="1" applyAlignment="1">
      <alignment horizontal="center" shrinkToFit="1"/>
    </xf>
    <xf numFmtId="0" fontId="48" fillId="0" borderId="32" xfId="0" applyFont="1" applyBorder="1" applyAlignment="1">
      <alignment horizontal="center" shrinkToFit="1"/>
    </xf>
    <xf numFmtId="0" fontId="46" fillId="0" borderId="0" xfId="0" applyFont="1" applyAlignment="1">
      <alignment horizontal="center" shrinkToFit="1"/>
    </xf>
    <xf numFmtId="0" fontId="53" fillId="0" borderId="32" xfId="0" applyFont="1" applyBorder="1" applyAlignment="1">
      <alignment horizontal="center" wrapText="1"/>
    </xf>
    <xf numFmtId="0" fontId="53" fillId="0" borderId="0" xfId="0" applyFont="1" applyAlignment="1">
      <alignment horizontal="center" wrapText="1"/>
    </xf>
    <xf numFmtId="174" fontId="53" fillId="0" borderId="0" xfId="0" applyNumberFormat="1" applyFont="1" applyAlignment="1" applyProtection="1">
      <alignment horizontal="center"/>
      <protection locked="0"/>
    </xf>
    <xf numFmtId="0" fontId="12" fillId="0" borderId="7" xfId="0" applyFont="1" applyBorder="1" applyAlignment="1">
      <alignment horizontal="center"/>
    </xf>
    <xf numFmtId="174" fontId="12" fillId="0" borderId="3" xfId="0" applyNumberFormat="1" applyFont="1" applyBorder="1" applyAlignment="1" applyProtection="1">
      <alignment horizontal="center"/>
      <protection locked="0"/>
    </xf>
    <xf numFmtId="174" fontId="10" fillId="0" borderId="0" xfId="0" applyNumberFormat="1" applyFont="1" applyAlignment="1" applyProtection="1">
      <alignment horizontal="center"/>
      <protection locked="0"/>
    </xf>
    <xf numFmtId="0" fontId="10" fillId="0" borderId="32" xfId="0" applyFont="1" applyBorder="1" applyAlignment="1">
      <alignment horizontal="center" shrinkToFit="1"/>
    </xf>
    <xf numFmtId="0" fontId="1" fillId="0" borderId="0" xfId="0" applyFont="1" applyAlignment="1">
      <alignment horizontal="center" shrinkToFit="1"/>
    </xf>
    <xf numFmtId="174" fontId="10" fillId="0" borderId="31" xfId="0" applyNumberFormat="1" applyFont="1" applyBorder="1" applyAlignment="1" applyProtection="1">
      <alignment horizontal="center"/>
      <protection locked="0"/>
    </xf>
    <xf numFmtId="2" fontId="10" fillId="0" borderId="0" xfId="0" applyNumberFormat="1" applyFont="1" applyAlignment="1" applyProtection="1">
      <alignment horizontal="left" shrinkToFit="1"/>
      <protection locked="0"/>
    </xf>
    <xf numFmtId="0" fontId="15" fillId="0" borderId="35" xfId="0" applyFont="1" applyBorder="1" applyAlignment="1">
      <alignment horizontal="center"/>
    </xf>
    <xf numFmtId="0" fontId="15" fillId="0" borderId="7" xfId="0" applyFont="1" applyBorder="1" applyAlignment="1">
      <alignment horizontal="center"/>
    </xf>
    <xf numFmtId="0" fontId="15" fillId="0" borderId="36" xfId="0" applyFont="1" applyBorder="1" applyAlignment="1">
      <alignment horizontal="center"/>
    </xf>
    <xf numFmtId="0" fontId="10" fillId="0" borderId="32" xfId="0" applyFont="1" applyBorder="1" applyAlignment="1">
      <alignment horizontal="center" wrapText="1"/>
    </xf>
    <xf numFmtId="0" fontId="10" fillId="0" borderId="0" xfId="0" applyFont="1" applyAlignment="1">
      <alignment horizontal="center" wrapText="1"/>
    </xf>
    <xf numFmtId="174" fontId="53" fillId="0" borderId="0" xfId="7" applyNumberFormat="1" applyFont="1" applyBorder="1" applyAlignment="1" applyProtection="1">
      <alignment horizontal="center" vertical="center"/>
      <protection locked="0"/>
    </xf>
    <xf numFmtId="174" fontId="53" fillId="0" borderId="31" xfId="7" applyNumberFormat="1" applyFont="1" applyBorder="1" applyAlignment="1" applyProtection="1">
      <alignment horizontal="center" vertical="center"/>
      <protection locked="0"/>
    </xf>
    <xf numFmtId="0" fontId="15" fillId="0" borderId="32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15" fillId="0" borderId="31" xfId="0" applyFont="1" applyBorder="1" applyAlignment="1">
      <alignment horizontal="center"/>
    </xf>
    <xf numFmtId="3" fontId="10" fillId="0" borderId="0" xfId="0" applyNumberFormat="1" applyFont="1" applyAlignment="1" applyProtection="1">
      <alignment horizontal="center"/>
      <protection locked="0"/>
    </xf>
    <xf numFmtId="3" fontId="10" fillId="0" borderId="31" xfId="0" applyNumberFormat="1" applyFont="1" applyBorder="1" applyAlignment="1" applyProtection="1">
      <alignment horizontal="center"/>
      <protection locked="0"/>
    </xf>
    <xf numFmtId="0" fontId="10" fillId="0" borderId="0" xfId="0" applyFont="1" applyAlignment="1" applyProtection="1">
      <alignment horizontal="center"/>
      <protection locked="0"/>
    </xf>
    <xf numFmtId="0" fontId="10" fillId="0" borderId="31" xfId="0" applyFont="1" applyBorder="1" applyAlignment="1" applyProtection="1">
      <alignment horizontal="center"/>
      <protection locked="0"/>
    </xf>
    <xf numFmtId="0" fontId="53" fillId="0" borderId="0" xfId="0" applyFont="1" applyAlignment="1" applyProtection="1">
      <alignment horizontal="center"/>
      <protection locked="0"/>
    </xf>
    <xf numFmtId="0" fontId="53" fillId="0" borderId="31" xfId="0" applyFont="1" applyBorder="1" applyAlignment="1" applyProtection="1">
      <alignment horizontal="center"/>
      <protection locked="0"/>
    </xf>
    <xf numFmtId="0" fontId="54" fillId="0" borderId="59" xfId="0" applyFont="1" applyBorder="1" applyAlignment="1">
      <alignment horizontal="center"/>
    </xf>
    <xf numFmtId="0" fontId="54" fillId="0" borderId="3" xfId="0" applyFont="1" applyBorder="1" applyAlignment="1">
      <alignment horizontal="center"/>
    </xf>
    <xf numFmtId="0" fontId="54" fillId="0" borderId="47" xfId="0" applyFont="1" applyBorder="1" applyAlignment="1">
      <alignment horizontal="center"/>
    </xf>
    <xf numFmtId="0" fontId="54" fillId="0" borderId="32" xfId="0" applyFont="1" applyBorder="1" applyAlignment="1">
      <alignment horizontal="center"/>
    </xf>
    <xf numFmtId="0" fontId="54" fillId="0" borderId="0" xfId="0" applyFont="1" applyAlignment="1">
      <alignment horizontal="center"/>
    </xf>
    <xf numFmtId="0" fontId="54" fillId="0" borderId="31" xfId="0" applyFont="1" applyBorder="1" applyAlignment="1">
      <alignment horizontal="center"/>
    </xf>
    <xf numFmtId="0" fontId="10" fillId="0" borderId="33" xfId="0" applyFont="1" applyBorder="1" applyAlignment="1">
      <alignment horizontal="center"/>
    </xf>
    <xf numFmtId="0" fontId="10" fillId="0" borderId="34" xfId="0" applyFont="1" applyBorder="1" applyAlignment="1">
      <alignment horizontal="center"/>
    </xf>
    <xf numFmtId="0" fontId="10" fillId="0" borderId="28" xfId="0" applyFont="1" applyBorder="1" applyAlignment="1">
      <alignment horizontal="center"/>
    </xf>
    <xf numFmtId="0" fontId="10" fillId="0" borderId="25" xfId="0" applyFont="1" applyBorder="1" applyAlignment="1">
      <alignment horizontal="center"/>
    </xf>
    <xf numFmtId="0" fontId="10" fillId="0" borderId="24" xfId="0" applyFont="1" applyBorder="1" applyAlignment="1">
      <alignment horizontal="center"/>
    </xf>
    <xf numFmtId="0" fontId="10" fillId="0" borderId="37" xfId="0" applyFont="1" applyBorder="1" applyAlignment="1">
      <alignment horizontal="center"/>
    </xf>
    <xf numFmtId="0" fontId="40" fillId="0" borderId="0" xfId="0" applyFont="1" applyAlignment="1">
      <alignment horizontal="center" vertical="center" wrapText="1"/>
    </xf>
    <xf numFmtId="0" fontId="40" fillId="0" borderId="31" xfId="0" applyFont="1" applyBorder="1" applyAlignment="1">
      <alignment horizontal="center" vertical="center" wrapText="1"/>
    </xf>
    <xf numFmtId="0" fontId="10" fillId="0" borderId="38" xfId="0" applyFont="1" applyBorder="1" applyAlignment="1">
      <alignment horizontal="center"/>
    </xf>
    <xf numFmtId="0" fontId="10" fillId="0" borderId="39" xfId="0" applyFont="1" applyBorder="1" applyAlignment="1">
      <alignment horizontal="center"/>
    </xf>
    <xf numFmtId="0" fontId="10" fillId="0" borderId="26" xfId="0" applyFont="1" applyBorder="1" applyAlignment="1">
      <alignment horizontal="center"/>
    </xf>
    <xf numFmtId="0" fontId="10" fillId="0" borderId="27" xfId="0" applyFont="1" applyBorder="1" applyAlignment="1">
      <alignment horizontal="center"/>
    </xf>
    <xf numFmtId="0" fontId="17" fillId="0" borderId="0" xfId="0" applyFont="1" applyAlignment="1">
      <alignment horizontal="center"/>
    </xf>
    <xf numFmtId="12" fontId="17" fillId="0" borderId="12" xfId="0" applyNumberFormat="1" applyFont="1" applyBorder="1" applyAlignment="1">
      <alignment horizontal="center" vertical="center"/>
    </xf>
    <xf numFmtId="1" fontId="17" fillId="0" borderId="1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 vertical="center" wrapText="1" shrinkToFit="1"/>
    </xf>
    <xf numFmtId="0" fontId="17" fillId="0" borderId="0" xfId="0" applyFont="1" applyAlignment="1">
      <alignment shrinkToFit="1"/>
    </xf>
    <xf numFmtId="0" fontId="17" fillId="0" borderId="0" xfId="0" applyFont="1" applyAlignment="1">
      <alignment wrapText="1" shrinkToFit="1"/>
    </xf>
    <xf numFmtId="0" fontId="17" fillId="0" borderId="0" xfId="0" applyFont="1" applyAlignment="1">
      <alignment horizontal="center" vertical="center" wrapText="1"/>
    </xf>
    <xf numFmtId="0" fontId="17" fillId="0" borderId="0" xfId="0" applyFont="1" applyAlignment="1">
      <alignment wrapText="1"/>
    </xf>
    <xf numFmtId="0" fontId="17" fillId="0" borderId="0" xfId="0" applyFont="1" applyAlignment="1">
      <alignment horizontal="center" shrinkToFit="1"/>
    </xf>
    <xf numFmtId="0" fontId="24" fillId="0" borderId="0" xfId="0" applyFont="1" applyAlignment="1">
      <alignment horizontal="center" vertical="center" wrapText="1" shrinkToFit="1"/>
    </xf>
    <xf numFmtId="0" fontId="24" fillId="0" borderId="0" xfId="0" applyFont="1" applyAlignment="1">
      <alignment shrinkToFit="1"/>
    </xf>
    <xf numFmtId="0" fontId="32" fillId="0" borderId="0" xfId="0" applyFont="1" applyAlignment="1">
      <alignment horizontal="center"/>
    </xf>
    <xf numFmtId="0" fontId="33" fillId="0" borderId="0" xfId="0" applyFont="1" applyAlignment="1">
      <alignment horizontal="center"/>
    </xf>
    <xf numFmtId="0" fontId="5" fillId="0" borderId="0" xfId="0" applyFont="1" applyAlignment="1">
      <alignment wrapText="1"/>
    </xf>
    <xf numFmtId="0" fontId="5" fillId="0" borderId="0" xfId="0" applyFont="1" applyAlignment="1">
      <alignment horizontal="center" vertical="center" wrapText="1" shrinkToFit="1"/>
    </xf>
    <xf numFmtId="0" fontId="5" fillId="0" borderId="0" xfId="0" applyFont="1" applyAlignment="1">
      <alignment shrinkToFit="1"/>
    </xf>
    <xf numFmtId="0" fontId="19" fillId="0" borderId="0" xfId="0" applyFont="1" applyAlignment="1">
      <alignment horizontal="center"/>
    </xf>
    <xf numFmtId="0" fontId="20" fillId="0" borderId="0" xfId="0" applyFont="1" applyAlignment="1">
      <alignment horizontal="center" vertical="center" wrapText="1" shrinkToFit="1"/>
    </xf>
    <xf numFmtId="0" fontId="20" fillId="0" borderId="0" xfId="0" applyFont="1" applyAlignment="1">
      <alignment shrinkToFit="1"/>
    </xf>
    <xf numFmtId="0" fontId="5" fillId="0" borderId="0" xfId="0" applyFont="1" applyAlignment="1">
      <alignment wrapText="1" shrinkToFit="1"/>
    </xf>
    <xf numFmtId="12" fontId="17" fillId="0" borderId="0" xfId="0" applyNumberFormat="1" applyFont="1" applyAlignment="1">
      <alignment horizontal="center" vertical="top"/>
    </xf>
    <xf numFmtId="1" fontId="17" fillId="0" borderId="0" xfId="0" applyNumberFormat="1" applyFont="1" applyAlignment="1">
      <alignment horizontal="center" vertical="top"/>
    </xf>
    <xf numFmtId="1" fontId="17" fillId="0" borderId="60" xfId="0" applyNumberFormat="1" applyFont="1" applyBorder="1" applyAlignment="1">
      <alignment horizontal="center" vertical="center"/>
    </xf>
    <xf numFmtId="1" fontId="17" fillId="0" borderId="61" xfId="0" applyNumberFormat="1" applyFont="1" applyBorder="1" applyAlignment="1">
      <alignment horizontal="center" vertical="center"/>
    </xf>
    <xf numFmtId="1" fontId="17" fillId="0" borderId="10" xfId="0" applyNumberFormat="1" applyFont="1" applyBorder="1" applyAlignment="1">
      <alignment horizontal="center" vertical="center"/>
    </xf>
    <xf numFmtId="12" fontId="17" fillId="0" borderId="60" xfId="0" applyNumberFormat="1" applyFont="1" applyBorder="1" applyAlignment="1">
      <alignment horizontal="center" vertical="center"/>
    </xf>
    <xf numFmtId="12" fontId="17" fillId="0" borderId="61" xfId="0" applyNumberFormat="1" applyFont="1" applyBorder="1" applyAlignment="1">
      <alignment horizontal="center" vertical="center"/>
    </xf>
    <xf numFmtId="12" fontId="17" fillId="0" borderId="10" xfId="0" applyNumberFormat="1" applyFont="1" applyBorder="1" applyAlignment="1">
      <alignment horizontal="center" vertical="center"/>
    </xf>
    <xf numFmtId="0" fontId="25" fillId="0" borderId="0" xfId="0" applyFont="1" applyAlignment="1">
      <alignment horizontal="center"/>
    </xf>
    <xf numFmtId="0" fontId="27" fillId="0" borderId="0" xfId="0" applyFont="1" applyAlignment="1">
      <alignment horizontal="center"/>
    </xf>
    <xf numFmtId="0" fontId="16" fillId="0" borderId="21" xfId="0" applyFont="1" applyBorder="1" applyAlignment="1">
      <alignment horizontal="center"/>
    </xf>
    <xf numFmtId="0" fontId="16" fillId="0" borderId="15" xfId="0" applyFont="1" applyBorder="1" applyAlignment="1">
      <alignment horizontal="center"/>
    </xf>
    <xf numFmtId="0" fontId="31" fillId="0" borderId="21" xfId="0" applyFont="1" applyBorder="1" applyAlignment="1">
      <alignment horizontal="center" wrapText="1"/>
    </xf>
    <xf numFmtId="0" fontId="31" fillId="0" borderId="15" xfId="0" applyFont="1" applyBorder="1" applyAlignment="1">
      <alignment horizontal="center" wrapText="1"/>
    </xf>
    <xf numFmtId="0" fontId="10" fillId="0" borderId="0" xfId="0" applyFont="1" applyAlignment="1">
      <alignment horizontal="center" vertical="center" wrapText="1"/>
    </xf>
    <xf numFmtId="0" fontId="16" fillId="0" borderId="0" xfId="0" applyFont="1"/>
    <xf numFmtId="0" fontId="10" fillId="0" borderId="0" xfId="0" applyFont="1" applyAlignment="1">
      <alignment horizontal="center" vertical="center" wrapText="1" shrinkToFit="1"/>
    </xf>
    <xf numFmtId="12" fontId="21" fillId="0" borderId="29" xfId="0" applyNumberFormat="1" applyFont="1" applyBorder="1" applyAlignment="1">
      <alignment horizontal="center" vertical="center" wrapText="1"/>
    </xf>
    <xf numFmtId="0" fontId="23" fillId="0" borderId="13" xfId="0" applyFont="1" applyBorder="1" applyAlignment="1">
      <alignment horizontal="center" vertical="center" wrapText="1"/>
    </xf>
    <xf numFmtId="0" fontId="6" fillId="0" borderId="14" xfId="0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23" fillId="0" borderId="0" xfId="0" applyFont="1" applyAlignment="1">
      <alignment horizontal="center"/>
    </xf>
    <xf numFmtId="0" fontId="16" fillId="0" borderId="14" xfId="0" applyFont="1" applyBorder="1" applyAlignment="1">
      <alignment horizontal="center"/>
    </xf>
    <xf numFmtId="0" fontId="16" fillId="0" borderId="30" xfId="0" applyFont="1" applyBorder="1" applyAlignment="1">
      <alignment horizontal="center"/>
    </xf>
    <xf numFmtId="0" fontId="16" fillId="0" borderId="29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center" vertical="center" wrapText="1"/>
    </xf>
    <xf numFmtId="12" fontId="21" fillId="0" borderId="0" xfId="0" applyNumberFormat="1" applyFont="1" applyAlignment="1">
      <alignment horizontal="center" vertical="center" wrapText="1"/>
    </xf>
    <xf numFmtId="12" fontId="17" fillId="0" borderId="0" xfId="0" applyNumberFormat="1" applyFont="1" applyAlignment="1">
      <alignment horizontal="center" vertical="center" wrapText="1"/>
    </xf>
    <xf numFmtId="0" fontId="53" fillId="2" borderId="40" xfId="0" applyFont="1" applyFill="1" applyBorder="1" applyAlignment="1">
      <alignment horizontal="center" vertical="center" wrapText="1" shrinkToFit="1"/>
    </xf>
    <xf numFmtId="0" fontId="53" fillId="2" borderId="41" xfId="0" applyFont="1" applyFill="1" applyBorder="1" applyAlignment="1">
      <alignment horizontal="center" vertical="center" wrapText="1" shrinkToFit="1"/>
    </xf>
    <xf numFmtId="0" fontId="53" fillId="0" borderId="0" xfId="0" applyFont="1" applyAlignment="1">
      <alignment horizontal="center" shrinkToFit="1"/>
    </xf>
    <xf numFmtId="0" fontId="53" fillId="2" borderId="29" xfId="0" applyFont="1" applyFill="1" applyBorder="1" applyAlignment="1">
      <alignment horizontal="center" vertical="center" wrapText="1"/>
    </xf>
    <xf numFmtId="0" fontId="53" fillId="2" borderId="13" xfId="0" applyFont="1" applyFill="1" applyBorder="1" applyAlignment="1">
      <alignment horizontal="center" vertical="center" wrapText="1"/>
    </xf>
    <xf numFmtId="0" fontId="53" fillId="2" borderId="14" xfId="0" applyFont="1" applyFill="1" applyBorder="1" applyAlignment="1">
      <alignment horizontal="center" vertical="center" wrapText="1" shrinkToFit="1"/>
    </xf>
    <xf numFmtId="0" fontId="53" fillId="2" borderId="8" xfId="0" applyFont="1" applyFill="1" applyBorder="1" applyAlignment="1">
      <alignment horizontal="center" vertical="center" wrapText="1" shrinkToFit="1"/>
    </xf>
    <xf numFmtId="0" fontId="8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51" fillId="0" borderId="0" xfId="0" applyFont="1" applyAlignment="1">
      <alignment horizontal="center"/>
    </xf>
    <xf numFmtId="0" fontId="52" fillId="0" borderId="0" xfId="0" applyFont="1" applyAlignment="1">
      <alignment horizontal="center"/>
    </xf>
  </cellXfs>
  <cellStyles count="8">
    <cellStyle name="Comma" xfId="7" builtinId="3"/>
    <cellStyle name="Hyperlink" xfId="1" builtinId="8"/>
    <cellStyle name="Normal" xfId="0" builtinId="0"/>
    <cellStyle name="Normal 2" xfId="6" xr:uid="{00000000-0005-0000-0000-000033000000}"/>
    <cellStyle name="Normal_Branches_2" xfId="2" xr:uid="{00000000-0005-0000-0000-000002000000}"/>
    <cellStyle name="Normal_QUOTE" xfId="3" xr:uid="{00000000-0005-0000-0000-000003000000}"/>
    <cellStyle name="Normal_Sheet1" xfId="4" xr:uid="{00000000-0005-0000-0000-000004000000}"/>
    <cellStyle name="Percent" xfId="5" builtinId="5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jpeg"/><Relationship Id="rId13" Type="http://schemas.openxmlformats.org/officeDocument/2006/relationships/image" Target="../media/image15.jpeg"/><Relationship Id="rId18" Type="http://schemas.openxmlformats.org/officeDocument/2006/relationships/image" Target="../media/image20.jpeg"/><Relationship Id="rId26" Type="http://schemas.openxmlformats.org/officeDocument/2006/relationships/image" Target="../media/image28.emf"/><Relationship Id="rId3" Type="http://schemas.openxmlformats.org/officeDocument/2006/relationships/image" Target="../media/image5.jpeg"/><Relationship Id="rId21" Type="http://schemas.openxmlformats.org/officeDocument/2006/relationships/image" Target="../media/image23.png"/><Relationship Id="rId7" Type="http://schemas.openxmlformats.org/officeDocument/2006/relationships/image" Target="../media/image9.jpeg"/><Relationship Id="rId12" Type="http://schemas.openxmlformats.org/officeDocument/2006/relationships/image" Target="../media/image14.jpeg"/><Relationship Id="rId17" Type="http://schemas.openxmlformats.org/officeDocument/2006/relationships/image" Target="../media/image19.jpeg"/><Relationship Id="rId25" Type="http://schemas.openxmlformats.org/officeDocument/2006/relationships/image" Target="../media/image27.png"/><Relationship Id="rId2" Type="http://schemas.openxmlformats.org/officeDocument/2006/relationships/image" Target="../media/image4.jpeg"/><Relationship Id="rId16" Type="http://schemas.openxmlformats.org/officeDocument/2006/relationships/image" Target="../media/image18.jpeg"/><Relationship Id="rId20" Type="http://schemas.openxmlformats.org/officeDocument/2006/relationships/image" Target="../media/image22.jpeg"/><Relationship Id="rId1" Type="http://schemas.openxmlformats.org/officeDocument/2006/relationships/image" Target="../media/image3.jpeg"/><Relationship Id="rId6" Type="http://schemas.openxmlformats.org/officeDocument/2006/relationships/image" Target="../media/image8.jpeg"/><Relationship Id="rId11" Type="http://schemas.openxmlformats.org/officeDocument/2006/relationships/image" Target="../media/image13.jpeg"/><Relationship Id="rId24" Type="http://schemas.openxmlformats.org/officeDocument/2006/relationships/image" Target="../media/image26.png"/><Relationship Id="rId5" Type="http://schemas.openxmlformats.org/officeDocument/2006/relationships/image" Target="../media/image7.jpeg"/><Relationship Id="rId15" Type="http://schemas.openxmlformats.org/officeDocument/2006/relationships/image" Target="../media/image17.jpeg"/><Relationship Id="rId23" Type="http://schemas.openxmlformats.org/officeDocument/2006/relationships/image" Target="../media/image25.emf"/><Relationship Id="rId10" Type="http://schemas.openxmlformats.org/officeDocument/2006/relationships/image" Target="../media/image12.jpeg"/><Relationship Id="rId19" Type="http://schemas.openxmlformats.org/officeDocument/2006/relationships/image" Target="../media/image21.jpeg"/><Relationship Id="rId4" Type="http://schemas.openxmlformats.org/officeDocument/2006/relationships/image" Target="../media/image6.jpeg"/><Relationship Id="rId9" Type="http://schemas.openxmlformats.org/officeDocument/2006/relationships/image" Target="../media/image11.jpeg"/><Relationship Id="rId14" Type="http://schemas.openxmlformats.org/officeDocument/2006/relationships/image" Target="../media/image16.jpeg"/><Relationship Id="rId22" Type="http://schemas.openxmlformats.org/officeDocument/2006/relationships/image" Target="../media/image24.png"/><Relationship Id="rId27" Type="http://schemas.openxmlformats.org/officeDocument/2006/relationships/image" Target="../media/image2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59532</xdr:colOff>
      <xdr:row>63</xdr:row>
      <xdr:rowOff>11906</xdr:rowOff>
    </xdr:from>
    <xdr:to>
      <xdr:col>19</xdr:col>
      <xdr:colOff>0</xdr:colOff>
      <xdr:row>63</xdr:row>
      <xdr:rowOff>2043429</xdr:rowOff>
    </xdr:to>
    <xdr:pic>
      <xdr:nvPicPr>
        <xdr:cNvPr id="15132" name="Picture 1">
          <a:extLst>
            <a:ext uri="{FF2B5EF4-FFF2-40B4-BE49-F238E27FC236}">
              <a16:creationId xmlns:a16="http://schemas.microsoft.com/office/drawing/2014/main" id="{00000000-0008-0000-0100-00001C3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5251907" y="32968406"/>
          <a:ext cx="4131468" cy="203406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50634</xdr:colOff>
      <xdr:row>74</xdr:row>
      <xdr:rowOff>152399</xdr:rowOff>
    </xdr:from>
    <xdr:to>
      <xdr:col>18</xdr:col>
      <xdr:colOff>3869531</xdr:colOff>
      <xdr:row>74</xdr:row>
      <xdr:rowOff>1488280</xdr:rowOff>
    </xdr:to>
    <xdr:pic>
      <xdr:nvPicPr>
        <xdr:cNvPr id="15133" name="Picture 1">
          <a:extLst>
            <a:ext uri="{FF2B5EF4-FFF2-40B4-BE49-F238E27FC236}">
              <a16:creationId xmlns:a16="http://schemas.microsoft.com/office/drawing/2014/main" id="{00000000-0008-0000-0100-00001D3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4611978" y="51182587"/>
          <a:ext cx="3818897" cy="133588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95250</xdr:colOff>
      <xdr:row>52</xdr:row>
      <xdr:rowOff>38099</xdr:rowOff>
    </xdr:from>
    <xdr:to>
      <xdr:col>18</xdr:col>
      <xdr:colOff>4173775</xdr:colOff>
      <xdr:row>53</xdr:row>
      <xdr:rowOff>10633</xdr:rowOff>
    </xdr:to>
    <xdr:pic>
      <xdr:nvPicPr>
        <xdr:cNvPr id="15134" name="Picture 2">
          <a:extLst>
            <a:ext uri="{FF2B5EF4-FFF2-40B4-BE49-F238E27FC236}">
              <a16:creationId xmlns:a16="http://schemas.microsoft.com/office/drawing/2014/main" id="{00000000-0008-0000-0100-00001E3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5287625" y="13962459"/>
          <a:ext cx="4101703" cy="16262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53578</xdr:colOff>
      <xdr:row>53</xdr:row>
      <xdr:rowOff>83343</xdr:rowOff>
    </xdr:from>
    <xdr:to>
      <xdr:col>19</xdr:col>
      <xdr:colOff>1507</xdr:colOff>
      <xdr:row>53</xdr:row>
      <xdr:rowOff>1713308</xdr:rowOff>
    </xdr:to>
    <xdr:pic>
      <xdr:nvPicPr>
        <xdr:cNvPr id="15135" name="Picture 3">
          <a:extLst>
            <a:ext uri="{FF2B5EF4-FFF2-40B4-BE49-F238E27FC236}">
              <a16:creationId xmlns:a16="http://schemas.microsoft.com/office/drawing/2014/main" id="{00000000-0008-0000-0100-00001F3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5245953" y="15662672"/>
          <a:ext cx="4183379" cy="16252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180975</xdr:colOff>
      <xdr:row>54</xdr:row>
      <xdr:rowOff>47625</xdr:rowOff>
    </xdr:from>
    <xdr:to>
      <xdr:col>19</xdr:col>
      <xdr:colOff>13968</xdr:colOff>
      <xdr:row>54</xdr:row>
      <xdr:rowOff>1614170</xdr:rowOff>
    </xdr:to>
    <xdr:pic>
      <xdr:nvPicPr>
        <xdr:cNvPr id="15136" name="Picture 4">
          <a:extLst>
            <a:ext uri="{FF2B5EF4-FFF2-40B4-BE49-F238E27FC236}">
              <a16:creationId xmlns:a16="http://schemas.microsoft.com/office/drawing/2014/main" id="{00000000-0008-0000-0100-0000203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5141179" y="16180594"/>
          <a:ext cx="3998118" cy="1562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209550</xdr:colOff>
      <xdr:row>55</xdr:row>
      <xdr:rowOff>57150</xdr:rowOff>
    </xdr:from>
    <xdr:to>
      <xdr:col>19</xdr:col>
      <xdr:colOff>2380</xdr:colOff>
      <xdr:row>55</xdr:row>
      <xdr:rowOff>1724660</xdr:rowOff>
    </xdr:to>
    <xdr:pic>
      <xdr:nvPicPr>
        <xdr:cNvPr id="15137" name="Picture 5">
          <a:extLst>
            <a:ext uri="{FF2B5EF4-FFF2-40B4-BE49-F238E27FC236}">
              <a16:creationId xmlns:a16="http://schemas.microsoft.com/office/drawing/2014/main" id="{00000000-0008-0000-0100-0000213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5169754" y="17821275"/>
          <a:ext cx="3814762" cy="1676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171450</xdr:colOff>
      <xdr:row>56</xdr:row>
      <xdr:rowOff>114300</xdr:rowOff>
    </xdr:from>
    <xdr:to>
      <xdr:col>19</xdr:col>
      <xdr:colOff>12777</xdr:colOff>
      <xdr:row>57</xdr:row>
      <xdr:rowOff>27498</xdr:rowOff>
    </xdr:to>
    <xdr:pic>
      <xdr:nvPicPr>
        <xdr:cNvPr id="15138" name="Picture 6">
          <a:extLst>
            <a:ext uri="{FF2B5EF4-FFF2-40B4-BE49-F238E27FC236}">
              <a16:creationId xmlns:a16="http://schemas.microsoft.com/office/drawing/2014/main" id="{00000000-0008-0000-0100-0000223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5131654" y="19652456"/>
          <a:ext cx="3930252" cy="16335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111919</xdr:colOff>
      <xdr:row>58</xdr:row>
      <xdr:rowOff>40480</xdr:rowOff>
    </xdr:from>
    <xdr:to>
      <xdr:col>19</xdr:col>
      <xdr:colOff>2167</xdr:colOff>
      <xdr:row>58</xdr:row>
      <xdr:rowOff>1790699</xdr:rowOff>
    </xdr:to>
    <xdr:pic>
      <xdr:nvPicPr>
        <xdr:cNvPr id="15139" name="Picture 8">
          <a:extLst>
            <a:ext uri="{FF2B5EF4-FFF2-40B4-BE49-F238E27FC236}">
              <a16:creationId xmlns:a16="http://schemas.microsoft.com/office/drawing/2014/main" id="{00000000-0008-0000-0100-0000233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5363825" y="24412574"/>
          <a:ext cx="4145542" cy="17454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214311</xdr:colOff>
      <xdr:row>59</xdr:row>
      <xdr:rowOff>76200</xdr:rowOff>
    </xdr:from>
    <xdr:to>
      <xdr:col>19</xdr:col>
      <xdr:colOff>13967</xdr:colOff>
      <xdr:row>59</xdr:row>
      <xdr:rowOff>1724660</xdr:rowOff>
    </xdr:to>
    <xdr:pic>
      <xdr:nvPicPr>
        <xdr:cNvPr id="15140" name="Picture 9">
          <a:extLst>
            <a:ext uri="{FF2B5EF4-FFF2-40B4-BE49-F238E27FC236}">
              <a16:creationId xmlns:a16="http://schemas.microsoft.com/office/drawing/2014/main" id="{00000000-0008-0000-0100-0000243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5174515" y="25073373"/>
          <a:ext cx="3964781" cy="1657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152400</xdr:colOff>
      <xdr:row>60</xdr:row>
      <xdr:rowOff>38100</xdr:rowOff>
    </xdr:from>
    <xdr:to>
      <xdr:col>19</xdr:col>
      <xdr:colOff>13969</xdr:colOff>
      <xdr:row>60</xdr:row>
      <xdr:rowOff>1690370</xdr:rowOff>
    </xdr:to>
    <xdr:pic>
      <xdr:nvPicPr>
        <xdr:cNvPr id="15141" name="Picture 10">
          <a:extLst>
            <a:ext uri="{FF2B5EF4-FFF2-40B4-BE49-F238E27FC236}">
              <a16:creationId xmlns:a16="http://schemas.microsoft.com/office/drawing/2014/main" id="{00000000-0008-0000-0100-0000253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5868650" y="26827163"/>
          <a:ext cx="4050506" cy="1647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113109</xdr:colOff>
      <xdr:row>61</xdr:row>
      <xdr:rowOff>76200</xdr:rowOff>
    </xdr:from>
    <xdr:to>
      <xdr:col>18</xdr:col>
      <xdr:colOff>4155280</xdr:colOff>
      <xdr:row>61</xdr:row>
      <xdr:rowOff>1676400</xdr:rowOff>
    </xdr:to>
    <xdr:pic>
      <xdr:nvPicPr>
        <xdr:cNvPr id="15142" name="Picture 11">
          <a:extLst>
            <a:ext uri="{FF2B5EF4-FFF2-40B4-BE49-F238E27FC236}">
              <a16:creationId xmlns:a16="http://schemas.microsoft.com/office/drawing/2014/main" id="{00000000-0008-0000-0100-0000263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5305484" y="29770388"/>
          <a:ext cx="4042171" cy="1600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161925</xdr:colOff>
      <xdr:row>64</xdr:row>
      <xdr:rowOff>38100</xdr:rowOff>
    </xdr:from>
    <xdr:to>
      <xdr:col>18</xdr:col>
      <xdr:colOff>4142105</xdr:colOff>
      <xdr:row>64</xdr:row>
      <xdr:rowOff>1610360</xdr:rowOff>
    </xdr:to>
    <xdr:pic>
      <xdr:nvPicPr>
        <xdr:cNvPr id="15143" name="Picture 13">
          <a:extLst>
            <a:ext uri="{FF2B5EF4-FFF2-40B4-BE49-F238E27FC236}">
              <a16:creationId xmlns:a16="http://schemas.microsoft.com/office/drawing/2014/main" id="{00000000-0008-0000-0100-0000273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5354300" y="35078194"/>
          <a:ext cx="3981450" cy="15709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190499</xdr:colOff>
      <xdr:row>65</xdr:row>
      <xdr:rowOff>26229</xdr:rowOff>
    </xdr:from>
    <xdr:to>
      <xdr:col>18</xdr:col>
      <xdr:colOff>4155280</xdr:colOff>
      <xdr:row>65</xdr:row>
      <xdr:rowOff>1763201</xdr:rowOff>
    </xdr:to>
    <xdr:pic>
      <xdr:nvPicPr>
        <xdr:cNvPr id="15144" name="Picture 14">
          <a:extLst>
            <a:ext uri="{FF2B5EF4-FFF2-40B4-BE49-F238E27FC236}">
              <a16:creationId xmlns:a16="http://schemas.microsoft.com/office/drawing/2014/main" id="{00000000-0008-0000-0100-0000283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5382874" y="36745104"/>
          <a:ext cx="3964781" cy="17357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107156</xdr:colOff>
      <xdr:row>67</xdr:row>
      <xdr:rowOff>142875</xdr:rowOff>
    </xdr:from>
    <xdr:to>
      <xdr:col>18</xdr:col>
      <xdr:colOff>3820160</xdr:colOff>
      <xdr:row>67</xdr:row>
      <xdr:rowOff>1534160</xdr:rowOff>
    </xdr:to>
    <xdr:pic>
      <xdr:nvPicPr>
        <xdr:cNvPr id="15145" name="Picture 15">
          <a:extLst>
            <a:ext uri="{FF2B5EF4-FFF2-40B4-BE49-F238E27FC236}">
              <a16:creationId xmlns:a16="http://schemas.microsoft.com/office/drawing/2014/main" id="{00000000-0008-0000-0100-0000293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4668500" y="39647813"/>
          <a:ext cx="3721894" cy="1400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35718</xdr:colOff>
      <xdr:row>68</xdr:row>
      <xdr:rowOff>142875</xdr:rowOff>
    </xdr:from>
    <xdr:to>
      <xdr:col>18</xdr:col>
      <xdr:colOff>3872230</xdr:colOff>
      <xdr:row>68</xdr:row>
      <xdr:rowOff>1598294</xdr:rowOff>
    </xdr:to>
    <xdr:pic>
      <xdr:nvPicPr>
        <xdr:cNvPr id="15146" name="Picture 16">
          <a:extLst>
            <a:ext uri="{FF2B5EF4-FFF2-40B4-BE49-F238E27FC236}">
              <a16:creationId xmlns:a16="http://schemas.microsoft.com/office/drawing/2014/main" id="{00000000-0008-0000-0100-00002A3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4597062" y="41302781"/>
          <a:ext cx="3840957" cy="145256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83344</xdr:colOff>
      <xdr:row>69</xdr:row>
      <xdr:rowOff>0</xdr:rowOff>
    </xdr:from>
    <xdr:to>
      <xdr:col>18</xdr:col>
      <xdr:colOff>3976371</xdr:colOff>
      <xdr:row>69</xdr:row>
      <xdr:rowOff>1905000</xdr:rowOff>
    </xdr:to>
    <xdr:pic>
      <xdr:nvPicPr>
        <xdr:cNvPr id="15147" name="Picture 17">
          <a:extLst>
            <a:ext uri="{FF2B5EF4-FFF2-40B4-BE49-F238E27FC236}">
              <a16:creationId xmlns:a16="http://schemas.microsoft.com/office/drawing/2014/main" id="{00000000-0008-0000-0100-00002B3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5043548" y="42243375"/>
          <a:ext cx="3888582" cy="1905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228599</xdr:colOff>
      <xdr:row>66</xdr:row>
      <xdr:rowOff>200025</xdr:rowOff>
    </xdr:from>
    <xdr:to>
      <xdr:col>19</xdr:col>
      <xdr:colOff>1190</xdr:colOff>
      <xdr:row>66</xdr:row>
      <xdr:rowOff>1562100</xdr:rowOff>
    </xdr:to>
    <xdr:pic>
      <xdr:nvPicPr>
        <xdr:cNvPr id="15148" name="Picture 18">
          <a:extLst>
            <a:ext uri="{FF2B5EF4-FFF2-40B4-BE49-F238E27FC236}">
              <a16:creationId xmlns:a16="http://schemas.microsoft.com/office/drawing/2014/main" id="{00000000-0008-0000-0100-00002C3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5420974" y="38728650"/>
          <a:ext cx="3944541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71437</xdr:colOff>
      <xdr:row>71</xdr:row>
      <xdr:rowOff>104775</xdr:rowOff>
    </xdr:from>
    <xdr:to>
      <xdr:col>18</xdr:col>
      <xdr:colOff>3872230</xdr:colOff>
      <xdr:row>71</xdr:row>
      <xdr:rowOff>1437164</xdr:rowOff>
    </xdr:to>
    <xdr:pic>
      <xdr:nvPicPr>
        <xdr:cNvPr id="15149" name="Picture 19">
          <a:extLst>
            <a:ext uri="{FF2B5EF4-FFF2-40B4-BE49-F238E27FC236}">
              <a16:creationId xmlns:a16="http://schemas.microsoft.com/office/drawing/2014/main" id="{00000000-0008-0000-0100-00002D3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4716125" y="46586775"/>
          <a:ext cx="3805238" cy="133111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71437</xdr:colOff>
      <xdr:row>72</xdr:row>
      <xdr:rowOff>76200</xdr:rowOff>
    </xdr:from>
    <xdr:to>
      <xdr:col>18</xdr:col>
      <xdr:colOff>3936682</xdr:colOff>
      <xdr:row>72</xdr:row>
      <xdr:rowOff>1460183</xdr:rowOff>
    </xdr:to>
    <xdr:pic>
      <xdr:nvPicPr>
        <xdr:cNvPr id="15150" name="Picture 20">
          <a:extLst>
            <a:ext uri="{FF2B5EF4-FFF2-40B4-BE49-F238E27FC236}">
              <a16:creationId xmlns:a16="http://schemas.microsoft.com/office/drawing/2014/main" id="{00000000-0008-0000-0100-00002E3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4632781" y="48082200"/>
          <a:ext cx="3857625" cy="13827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107157</xdr:colOff>
      <xdr:row>73</xdr:row>
      <xdr:rowOff>133350</xdr:rowOff>
    </xdr:from>
    <xdr:to>
      <xdr:col>18</xdr:col>
      <xdr:colOff>3906995</xdr:colOff>
      <xdr:row>73</xdr:row>
      <xdr:rowOff>1469230</xdr:rowOff>
    </xdr:to>
    <xdr:pic>
      <xdr:nvPicPr>
        <xdr:cNvPr id="15151" name="Picture 21">
          <a:extLst>
            <a:ext uri="{FF2B5EF4-FFF2-40B4-BE49-F238E27FC236}">
              <a16:creationId xmlns:a16="http://schemas.microsoft.com/office/drawing/2014/main" id="{00000000-0008-0000-0100-00002F3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4668501" y="49639538"/>
          <a:ext cx="3786186" cy="133111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71437</xdr:colOff>
      <xdr:row>62</xdr:row>
      <xdr:rowOff>38100</xdr:rowOff>
    </xdr:from>
    <xdr:to>
      <xdr:col>18</xdr:col>
      <xdr:colOff>4174966</xdr:colOff>
      <xdr:row>62</xdr:row>
      <xdr:rowOff>1488268</xdr:rowOff>
    </xdr:to>
    <xdr:pic>
      <xdr:nvPicPr>
        <xdr:cNvPr id="15152" name="Picture 22">
          <a:extLst>
            <a:ext uri="{FF2B5EF4-FFF2-40B4-BE49-F238E27FC236}">
              <a16:creationId xmlns:a16="http://schemas.microsoft.com/office/drawing/2014/main" id="{00000000-0008-0000-0100-0000303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5263812" y="31482506"/>
          <a:ext cx="4131469" cy="14501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35718</xdr:colOff>
      <xdr:row>70</xdr:row>
      <xdr:rowOff>228600</xdr:rowOff>
    </xdr:from>
    <xdr:to>
      <xdr:col>18</xdr:col>
      <xdr:colOff>3924300</xdr:colOff>
      <xdr:row>70</xdr:row>
      <xdr:rowOff>1728470</xdr:rowOff>
    </xdr:to>
    <xdr:pic>
      <xdr:nvPicPr>
        <xdr:cNvPr id="15153" name="Picture 24">
          <a:extLst>
            <a:ext uri="{FF2B5EF4-FFF2-40B4-BE49-F238E27FC236}">
              <a16:creationId xmlns:a16="http://schemas.microsoft.com/office/drawing/2014/main" id="{00000000-0008-0000-0100-0000313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4680406" y="44948475"/>
          <a:ext cx="3888582" cy="1495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142874</xdr:colOff>
      <xdr:row>57</xdr:row>
      <xdr:rowOff>171450</xdr:rowOff>
    </xdr:from>
    <xdr:to>
      <xdr:col>19</xdr:col>
      <xdr:colOff>12777</xdr:colOff>
      <xdr:row>57</xdr:row>
      <xdr:rowOff>1814830</xdr:rowOff>
    </xdr:to>
    <xdr:pic>
      <xdr:nvPicPr>
        <xdr:cNvPr id="15154" name="Picture 26">
          <a:extLst>
            <a:ext uri="{FF2B5EF4-FFF2-40B4-BE49-F238E27FC236}">
              <a16:creationId xmlns:a16="http://schemas.microsoft.com/office/drawing/2014/main" id="{00000000-0008-0000-0100-0000323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5103078" y="21436013"/>
          <a:ext cx="4030265" cy="1647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58736</xdr:colOff>
          <xdr:row>21</xdr:row>
          <xdr:rowOff>6348</xdr:rowOff>
        </xdr:from>
        <xdr:to>
          <xdr:col>6</xdr:col>
          <xdr:colOff>1613452</xdr:colOff>
          <xdr:row>27</xdr:row>
          <xdr:rowOff>143076</xdr:rowOff>
        </xdr:to>
        <xdr:pic>
          <xdr:nvPicPr>
            <xdr:cNvPr id="15157" name="Picture 29">
              <a:extLst>
                <a:ext uri="{FF2B5EF4-FFF2-40B4-BE49-F238E27FC236}">
                  <a16:creationId xmlns:a16="http://schemas.microsoft.com/office/drawing/2014/main" id="{00000000-0008-0000-0100-0000353B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CYLMOUNT" spid="_x0000_s401390"/>
                </a:ext>
              </a:extLst>
            </xdr:cNvPicPr>
          </xdr:nvPicPr>
          <xdr:blipFill>
            <a:blip xmlns:r="http://schemas.openxmlformats.org/officeDocument/2006/relationships" r:embed="rId23"/>
            <a:srcRect/>
            <a:stretch>
              <a:fillRect/>
            </a:stretch>
          </xdr:blipFill>
          <xdr:spPr bwMode="auto">
            <a:xfrm>
              <a:off x="3373436" y="4324348"/>
              <a:ext cx="4044552" cy="1606436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twoCellAnchor editAs="absolute">
    <xdr:from>
      <xdr:col>6</xdr:col>
      <xdr:colOff>1728152</xdr:colOff>
      <xdr:row>0</xdr:row>
      <xdr:rowOff>38100</xdr:rowOff>
    </xdr:from>
    <xdr:to>
      <xdr:col>8</xdr:col>
      <xdr:colOff>611187</xdr:colOff>
      <xdr:row>1</xdr:row>
      <xdr:rowOff>141605</xdr:rowOff>
    </xdr:to>
    <xdr:sp macro="" textlink="">
      <xdr:nvSpPr>
        <xdr:cNvPr id="32782" name="CommandButton1" hidden="1">
          <a:extLst>
            <a:ext uri="{63B3BB69-23CF-44E3-9099-C40C66FF867C}">
              <a14:compatExt xmlns:a14="http://schemas.microsoft.com/office/drawing/2010/main" spid="_x0000_s32782"/>
            </a:ext>
            <a:ext uri="{FF2B5EF4-FFF2-40B4-BE49-F238E27FC236}">
              <a16:creationId xmlns:a16="http://schemas.microsoft.com/office/drawing/2014/main" id="{00000000-0008-0000-0100-00000E8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104772</xdr:colOff>
      <xdr:row>0</xdr:row>
      <xdr:rowOff>59532</xdr:rowOff>
    </xdr:from>
    <xdr:to>
      <xdr:col>1</xdr:col>
      <xdr:colOff>1309686</xdr:colOff>
      <xdr:row>4</xdr:row>
      <xdr:rowOff>154781</xdr:rowOff>
    </xdr:to>
    <xdr:grpSp>
      <xdr:nvGrpSpPr>
        <xdr:cNvPr id="137293" name="Group 6221">
          <a:extLst>
            <a:ext uri="{FF2B5EF4-FFF2-40B4-BE49-F238E27FC236}">
              <a16:creationId xmlns:a16="http://schemas.microsoft.com/office/drawing/2014/main" id="{00000000-0008-0000-0100-00004D180200}"/>
            </a:ext>
          </a:extLst>
        </xdr:cNvPr>
        <xdr:cNvGrpSpPr>
          <a:grpSpLocks/>
        </xdr:cNvGrpSpPr>
      </xdr:nvGrpSpPr>
      <xdr:grpSpPr bwMode="auto">
        <a:xfrm>
          <a:off x="104772" y="59532"/>
          <a:ext cx="2102381" cy="1018116"/>
          <a:chOff x="243459" y="222313"/>
          <a:chExt cx="20002" cy="12001"/>
        </a:xfrm>
      </xdr:grpSpPr>
      <xdr:sp macro="" textlink="">
        <xdr:nvSpPr>
          <xdr:cNvPr id="137295" name="Rectangle 6223" hidden="1">
            <a:extLst>
              <a:ext uri="{FF2B5EF4-FFF2-40B4-BE49-F238E27FC236}">
                <a16:creationId xmlns:a16="http://schemas.microsoft.com/office/drawing/2014/main" id="{00000000-0008-0000-0100-00004F180200}"/>
              </a:ext>
            </a:extLst>
          </xdr:cNvPr>
          <xdr:cNvSpPr>
            <a:spLocks noChangeArrowheads="1" noChangeShapeType="1"/>
          </xdr:cNvSpPr>
        </xdr:nvSpPr>
        <xdr:spPr bwMode="auto">
          <a:xfrm>
            <a:off x="243459" y="222313"/>
            <a:ext cx="20002" cy="12001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0"/>
                </a:solidFill>
              </a14:hiddenFill>
            </a:ext>
            <a:ext uri="{91240B29-F687-4F45-9708-019B960494DF}">
              <a14:hiddenLine xmlns:a14="http://schemas.microsoft.com/office/drawing/2010/main" w="0" algn="in">
                <a:solidFill>
                  <a:srgbClr xmlns:mc="http://schemas.openxmlformats.org/markup-compatibility/2006" val="000000" mc:Ignorable="a14" a14:legacySpreadsheetColorIndex="0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CCCCCC"/>
                  </a:outerShdw>
                </a:effectLst>
              </a14:hiddenEffects>
            </a:ext>
          </a:extLst>
        </xdr:spPr>
      </xdr:sp>
      <xdr:pic>
        <xdr:nvPicPr>
          <xdr:cNvPr id="35" name="Picture 34" descr="JIT final color">
            <a:extLst>
              <a:ext uri="{FF2B5EF4-FFF2-40B4-BE49-F238E27FC236}">
                <a16:creationId xmlns:a16="http://schemas.microsoft.com/office/drawing/2014/main" id="{00000000-0008-0000-0100-000023000000}"/>
              </a:ext>
            </a:extLst>
          </xdr:cNvPr>
          <xdr:cNvPicPr preferRelativeResize="0">
            <a:picLocks noChangeArrowheads="1" noChangeShapeType="1"/>
          </xdr:cNvPicPr>
        </xdr:nvPicPr>
        <xdr:blipFill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43459" y="222511"/>
            <a:ext cx="18288" cy="11605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0"/>
                </a:solidFill>
              </a14:hiddenFill>
            </a:ext>
            <a:ext uri="{91240B29-F687-4F45-9708-019B960494DF}">
              <a14:hiddenLine xmlns:a14="http://schemas.microsoft.com/office/drawing/2010/main" w="0" algn="in">
                <a:solidFill>
                  <a:srgbClr xmlns:mc="http://schemas.openxmlformats.org/markup-compatibility/2006" val="000000" mc:Ignorable="a14" a14:legacySpreadsheetColorIndex="0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CCCCCC"/>
                  </a:outerShdw>
                </a:effectLst>
              </a14:hiddenEffects>
            </a:ext>
          </a:extLst>
        </xdr:spPr>
      </xdr:pic>
    </xdr:grpSp>
    <xdr:clientData/>
  </xdr:twoCellAnchor>
  <xdr:twoCellAnchor editAs="oneCell">
    <xdr:from>
      <xdr:col>18</xdr:col>
      <xdr:colOff>101204</xdr:colOff>
      <xdr:row>50</xdr:row>
      <xdr:rowOff>59531</xdr:rowOff>
    </xdr:from>
    <xdr:to>
      <xdr:col>18</xdr:col>
      <xdr:colOff>4173776</xdr:colOff>
      <xdr:row>50</xdr:row>
      <xdr:rowOff>1613866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5293579" y="10501312"/>
          <a:ext cx="4095750" cy="15470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25400</xdr:colOff>
          <xdr:row>51</xdr:row>
          <xdr:rowOff>101600</xdr:rowOff>
        </xdr:from>
        <xdr:to>
          <xdr:col>19</xdr:col>
          <xdr:colOff>0</xdr:colOff>
          <xdr:row>52</xdr:row>
          <xdr:rowOff>31750</xdr:rowOff>
        </xdr:to>
        <xdr:sp macro="" textlink="">
          <xdr:nvSpPr>
            <xdr:cNvPr id="137296" name="Object 6224" hidden="1">
              <a:extLst>
                <a:ext uri="{63B3BB69-23CF-44E3-9099-C40C66FF867C}">
                  <a14:compatExt spid="_x0000_s137296"/>
                </a:ext>
                <a:ext uri="{FF2B5EF4-FFF2-40B4-BE49-F238E27FC236}">
                  <a16:creationId xmlns:a16="http://schemas.microsoft.com/office/drawing/2014/main" id="{00000000-0008-0000-0100-000050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121920</xdr:colOff>
      <xdr:row>2</xdr:row>
      <xdr:rowOff>121920</xdr:rowOff>
    </xdr:from>
    <xdr:to>
      <xdr:col>8</xdr:col>
      <xdr:colOff>708660</xdr:colOff>
      <xdr:row>4</xdr:row>
      <xdr:rowOff>60960</xdr:rowOff>
    </xdr:to>
    <xdr:sp macro="" textlink="">
      <xdr:nvSpPr>
        <xdr:cNvPr id="351517" name="CommandButton2" hidden="1">
          <a:extLst>
            <a:ext uri="{63B3BB69-23CF-44E3-9099-C40C66FF867C}">
              <a14:compatExt xmlns:a14="http://schemas.microsoft.com/office/drawing/2010/main" spid="_x0000_s351517"/>
            </a:ext>
            <a:ext uri="{FF2B5EF4-FFF2-40B4-BE49-F238E27FC236}">
              <a16:creationId xmlns:a16="http://schemas.microsoft.com/office/drawing/2014/main" id="{00000000-0008-0000-0100-00001D5D05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6</xdr:col>
      <xdr:colOff>1728152</xdr:colOff>
      <xdr:row>0</xdr:row>
      <xdr:rowOff>38100</xdr:rowOff>
    </xdr:from>
    <xdr:to>
      <xdr:col>8</xdr:col>
      <xdr:colOff>611187</xdr:colOff>
      <xdr:row>1</xdr:row>
      <xdr:rowOff>141605</xdr:rowOff>
    </xdr:to>
    <xdr:pic macro="[0]!_xlnm.Auto_Open">
      <xdr:nvPicPr>
        <xdr:cNvPr id="2" name="CommandButton1">
          <a:extLst>
            <a:ext uri="{FF2B5EF4-FFF2-40B4-BE49-F238E27FC236}">
              <a16:creationId xmlns:a16="http://schemas.microsoft.com/office/drawing/2014/main" id="{AA44746A-DB0E-58B7-98F0-8EBF8451EF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0" y="38100"/>
          <a:ext cx="1356360" cy="358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69850</xdr:colOff>
          <xdr:row>2</xdr:row>
          <xdr:rowOff>127000</xdr:rowOff>
        </xdr:from>
        <xdr:to>
          <xdr:col>8</xdr:col>
          <xdr:colOff>698500</xdr:colOff>
          <xdr:row>4</xdr:row>
          <xdr:rowOff>50800</xdr:rowOff>
        </xdr:to>
        <xdr:sp macro="" textlink="">
          <xdr:nvSpPr>
            <xdr:cNvPr id="375840" name="CommandButton2" hidden="1">
              <a:extLst>
                <a:ext uri="{63B3BB69-23CF-44E3-9099-C40C66FF867C}">
                  <a14:compatExt spid="_x0000_s375840"/>
                </a:ext>
                <a:ext uri="{FF2B5EF4-FFF2-40B4-BE49-F238E27FC236}">
                  <a16:creationId xmlns:a16="http://schemas.microsoft.com/office/drawing/2014/main" id="{00000000-0008-0000-0100-000020B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35720</xdr:colOff>
      <xdr:row>36</xdr:row>
      <xdr:rowOff>50005</xdr:rowOff>
    </xdr:from>
    <xdr:to>
      <xdr:col>6</xdr:col>
      <xdr:colOff>1624647</xdr:colOff>
      <xdr:row>39</xdr:row>
      <xdr:rowOff>150496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ECA14D42-3513-6B7A-9463-274F694FA2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/>
        <a:srcRect l="3052" t="8431" r="1977" b="11837"/>
        <a:stretch/>
      </xdr:blipFill>
      <xdr:spPr>
        <a:xfrm>
          <a:off x="35720" y="7717630"/>
          <a:ext cx="7381874" cy="125539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</xdr:colOff>
      <xdr:row>9998</xdr:row>
      <xdr:rowOff>106680</xdr:rowOff>
    </xdr:from>
    <xdr:to>
      <xdr:col>9</xdr:col>
      <xdr:colOff>87630</xdr:colOff>
      <xdr:row>10001</xdr:row>
      <xdr:rowOff>30125</xdr:rowOff>
    </xdr:to>
    <xdr:sp macro="" textlink="">
      <xdr:nvSpPr>
        <xdr:cNvPr id="3081" name="CommandButton1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3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79745</xdr:colOff>
      <xdr:row>10000</xdr:row>
      <xdr:rowOff>62023</xdr:rowOff>
    </xdr:from>
    <xdr:to>
      <xdr:col>2</xdr:col>
      <xdr:colOff>930349</xdr:colOff>
      <xdr:row>10001</xdr:row>
      <xdr:rowOff>177209</xdr:rowOff>
    </xdr:to>
    <xdr:sp macro="[0]!Open_Contacts_Dashboar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A01472F-F92B-58A0-7027-58075CEEBC41}"/>
            </a:ext>
          </a:extLst>
        </xdr:cNvPr>
        <xdr:cNvSpPr/>
      </xdr:nvSpPr>
      <xdr:spPr bwMode="auto">
        <a:xfrm>
          <a:off x="487326" y="1018953"/>
          <a:ext cx="3597349" cy="301256"/>
        </a:xfrm>
        <a:prstGeom prst="roundRect">
          <a:avLst/>
        </a:prstGeom>
        <a:solidFill>
          <a:srgbClr val="00206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800" b="1">
              <a:solidFill>
                <a:schemeClr val="bg1"/>
              </a:solidFill>
            </a:rPr>
            <a:t>Contacts  |   Edit  |  Add  |  Search</a:t>
          </a:r>
        </a:p>
      </xdr:txBody>
    </xdr:sp>
    <xdr:clientData/>
  </xdr:twoCellAnchor>
  <xdr:twoCellAnchor>
    <xdr:from>
      <xdr:col>2</xdr:col>
      <xdr:colOff>1169581</xdr:colOff>
      <xdr:row>10000</xdr:row>
      <xdr:rowOff>63794</xdr:rowOff>
    </xdr:from>
    <xdr:to>
      <xdr:col>3</xdr:col>
      <xdr:colOff>976424</xdr:colOff>
      <xdr:row>10001</xdr:row>
      <xdr:rowOff>178980</xdr:rowOff>
    </xdr:to>
    <xdr:sp macro="[0]!Update_Contact_List_From_Mast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B504522-A141-4E33-9FE2-27B98639AF08}"/>
            </a:ext>
          </a:extLst>
        </xdr:cNvPr>
        <xdr:cNvSpPr/>
      </xdr:nvSpPr>
      <xdr:spPr bwMode="auto">
        <a:xfrm>
          <a:off x="4323907" y="1020724"/>
          <a:ext cx="1171354" cy="301256"/>
        </a:xfrm>
        <a:prstGeom prst="roundRect">
          <a:avLst/>
        </a:prstGeom>
        <a:solidFill>
          <a:srgbClr val="00206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800" b="1">
              <a:solidFill>
                <a:schemeClr val="bg1"/>
              </a:solidFill>
            </a:rPr>
            <a:t>Refresh</a:t>
          </a:r>
        </a:p>
      </xdr:txBody>
    </xdr:sp>
    <xdr:clientData/>
  </xdr:twoCellAnchor>
  <xdr:twoCellAnchor editAs="oneCell">
    <xdr:from>
      <xdr:col>7</xdr:col>
      <xdr:colOff>38100</xdr:colOff>
      <xdr:row>9998</xdr:row>
      <xdr:rowOff>106680</xdr:rowOff>
    </xdr:from>
    <xdr:to>
      <xdr:col>9</xdr:col>
      <xdr:colOff>87630</xdr:colOff>
      <xdr:row>10001</xdr:row>
      <xdr:rowOff>30125</xdr:rowOff>
    </xdr:to>
    <xdr:pic>
      <xdr:nvPicPr>
        <xdr:cNvPr id="4" name="CommandButton1">
          <a:extLst>
            <a:ext uri="{FF2B5EF4-FFF2-40B4-BE49-F238E27FC236}">
              <a16:creationId xmlns:a16="http://schemas.microsoft.com/office/drawing/2014/main" id="{01C6E348-BE4E-024B-8000-7B8E3DE6C2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8000" y="670560"/>
          <a:ext cx="1844040" cy="4038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454099</xdr:colOff>
      <xdr:row>1</xdr:row>
      <xdr:rowOff>155058</xdr:rowOff>
    </xdr:from>
    <xdr:to>
      <xdr:col>9</xdr:col>
      <xdr:colOff>47478</xdr:colOff>
      <xdr:row>2</xdr:row>
      <xdr:rowOff>132907</xdr:rowOff>
    </xdr:to>
    <xdr:sp macro="[0]!AddCustomerToCustomer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4419D569-DC92-E9A6-CC4E-9E99EFAC0811}"/>
            </a:ext>
          </a:extLst>
        </xdr:cNvPr>
        <xdr:cNvSpPr/>
      </xdr:nvSpPr>
      <xdr:spPr bwMode="auto">
        <a:xfrm>
          <a:off x="11308169" y="332267"/>
          <a:ext cx="1431925" cy="365495"/>
        </a:xfrm>
        <a:prstGeom prst="roundRect">
          <a:avLst/>
        </a:prstGeom>
        <a:solidFill>
          <a:srgbClr val="FFFF99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600"/>
            <a:t>ADD</a:t>
          </a:r>
          <a:r>
            <a:rPr lang="en-US" sz="1600" baseline="0"/>
            <a:t> CONTACT</a:t>
          </a:r>
          <a:endParaRPr lang="en-US" sz="16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AH565"/>
  <sheetViews>
    <sheetView showGridLines="0" topLeftCell="A10" workbookViewId="0">
      <selection activeCell="H26" sqref="H26"/>
    </sheetView>
  </sheetViews>
  <sheetFormatPr defaultColWidth="9.08984375" defaultRowHeight="13"/>
  <cols>
    <col min="1" max="1" width="20.08984375" style="38" customWidth="1"/>
    <col min="2" max="2" width="6" style="38" customWidth="1"/>
    <col min="3" max="3" width="12" style="38" customWidth="1"/>
    <col min="4" max="4" width="14" style="38" customWidth="1"/>
    <col min="5" max="5" width="9.54296875" style="38" customWidth="1"/>
    <col min="6" max="6" width="16.36328125" style="38" customWidth="1"/>
    <col min="7" max="7" width="1.81640625" style="38" customWidth="1"/>
    <col min="8" max="8" width="8.7265625" style="38" bestFit="1" customWidth="1"/>
    <col min="9" max="9" width="12.36328125" style="38" customWidth="1"/>
    <col min="10" max="16384" width="9.08984375" style="38"/>
  </cols>
  <sheetData>
    <row r="1" spans="1:16" ht="13.5" thickBot="1">
      <c r="A1" s="214" t="str">
        <f>CONCATENATE(B3,B1,E5,B1,B4,C1,B8,C1,B6,B1,D15,B1,B7,B1,D2,B1,B10,B1,"S")</f>
        <v>H-MF1-5x12x2-1-NC-S-P-S</v>
      </c>
      <c r="B1" s="38" t="s">
        <v>311</v>
      </c>
      <c r="C1" s="38" t="s">
        <v>574</v>
      </c>
      <c r="D1" s="31" t="s">
        <v>848</v>
      </c>
      <c r="I1" s="38" t="str">
        <f>IF(AND(B22="",OR(B3="IH",B3="H")),"High Pressure Hydraulic Cylinder",IF(OR(B3="IMH",B3="MH",B3="IHM"),"High Pressure Hydraulic Mill Cylinder",IF(AND(B22="",B3="A"),"High Pressure Pneumatic Cylinder",IF(AND(I2="",B3="LH"),"Low Pressure Hydraulic Cylinder",IF(AND(B22="Y",OR(B3="LH",B3="IH",B3="H")),"Hydraulic Positioning Cylinder",IF(OR(B3="HM",B3="IMH",B3="IHM"),"Mill Duty Hydraulic Cylinder",IF(B3="VA","Pneumatic Valve Actuator","")))))))</f>
        <v>High Pressure Hydraulic Cylinder</v>
      </c>
      <c r="L1" s="38" t="s">
        <v>445</v>
      </c>
      <c r="M1" s="38" t="s">
        <v>393</v>
      </c>
      <c r="N1" s="31" t="s">
        <v>485</v>
      </c>
    </row>
    <row r="2" spans="1:16" ht="13.5" thickTop="1">
      <c r="A2" s="215" t="s">
        <v>139</v>
      </c>
      <c r="B2" s="257"/>
      <c r="D2" s="31" t="s">
        <v>22</v>
      </c>
      <c r="E2" s="216"/>
      <c r="F2" s="31"/>
      <c r="G2" s="31"/>
      <c r="H2" s="31"/>
      <c r="I2" s="31"/>
      <c r="L2" s="38">
        <f>ROUNDUP((H!Z5+A!AI5+IH!Z5)*(1-D4),0.1)</f>
        <v>779</v>
      </c>
      <c r="M2" s="31" t="str">
        <f>IF(AND(OR(B3="A",B3="LH"),B4=1.5,B6=1),"YES",IF(AND(OR(B3="A",B3="LH"),B4=2,B6=1.375),"YES",IF(AND(OR(B3="A",B3="LH"),B4=2.5,B6=1.75),"YES",IF(OR(AND(B5="MF1",B4&lt;4),AND(B5="MF5",B4&lt;4),AND(B5="MX1",B4&lt;4),AND(B5="MX3",B4&lt;4)),"YES","NO"))))</f>
        <v>NO</v>
      </c>
      <c r="N2" s="31" t="str">
        <f>IF(M2="Yes","No",IF(AND(B4=1.5,OR(B3="A",B3="LH"),B6=0.625),"YES",IF(AND(B4=1.5,B3="H"),"YES",IF(AND(B4=2.5,B3="H",B6=1.75),"YES",IF(OR(AND(B4=2,OR(B6=1,B6=1.375)),AND(B4=2.5,B6=1.375)),"YES",IF(AND(B4=3.25,B6=2),"YES",IF(AND(B4=4,B6=2.5),"YES","NO")))))))</f>
        <v>NO</v>
      </c>
    </row>
    <row r="3" spans="1:16" ht="13.5" thickBot="1">
      <c r="A3" s="215" t="s">
        <v>419</v>
      </c>
      <c r="B3" s="258" t="s">
        <v>525</v>
      </c>
      <c r="D3" s="31" t="s">
        <v>172</v>
      </c>
      <c r="F3" s="218"/>
    </row>
    <row r="4" spans="1:16" ht="14" thickTop="1" thickBot="1">
      <c r="A4" s="215" t="s">
        <v>418</v>
      </c>
      <c r="B4" s="259">
        <v>5</v>
      </c>
      <c r="C4" s="219"/>
      <c r="D4" s="275"/>
      <c r="F4" s="31" t="s">
        <v>547</v>
      </c>
    </row>
    <row r="5" spans="1:16" ht="13.5" thickTop="1">
      <c r="A5" s="215" t="s">
        <v>228</v>
      </c>
      <c r="B5" s="258" t="s">
        <v>531</v>
      </c>
      <c r="C5" s="220">
        <f>H!Q52+A!Q53+MH!O52+PH!J34+IH!Q36+IMH!O27</f>
        <v>1846</v>
      </c>
      <c r="D5" s="31" t="s">
        <v>745</v>
      </c>
      <c r="E5" s="38" t="str">
        <f>IF(D18="",B5,CONCATENATE("DRE/",B5))</f>
        <v>MF1</v>
      </c>
      <c r="F5" s="221"/>
    </row>
    <row r="6" spans="1:16">
      <c r="A6" s="215" t="s">
        <v>227</v>
      </c>
      <c r="B6" s="259">
        <v>2</v>
      </c>
      <c r="C6" s="220"/>
      <c r="D6" s="274">
        <f>ROUNDUP(IF(D18="",(C5+C8+C10+H23+H33+VA!K20+PH!A33+'H2'!R53+'H3'!T53+'H4'!R53+'A2'!O55+'A3'!Q55+'A4'!K55+'IH2'!R37+'IH3'!U37+'IH4'!S37)*(1-D4),(C5+C8+C10+H23+H33+VA!K20+PH!A33+'H2'!R53+'H3'!T53+'H4'!R53+'A2'!O55+'A3'!Q55+'A4'!K55+'IH2'!R37+'IH3'!U37+'IH4'!S37+C5*0.65)*(1-D4))+H24,0)</f>
        <v>2218</v>
      </c>
      <c r="N6" s="38" t="str">
        <f>IF(N7="",IF(N8="",IF(N9="",IF(N10="","",N10),N9),N8),N7)</f>
        <v>Rect Head Flange (MF1)</v>
      </c>
    </row>
    <row r="7" spans="1:16">
      <c r="A7" s="215" t="s">
        <v>655</v>
      </c>
      <c r="B7" s="258" t="s">
        <v>301</v>
      </c>
      <c r="C7" s="220"/>
      <c r="D7" s="445">
        <f>ROUNDUP(D6-(IF(D6&lt;1000,D6*0.4,D6*0.27)+Inventory!E1),0)</f>
        <v>998</v>
      </c>
      <c r="E7" s="223"/>
      <c r="K7" s="143" t="s">
        <v>677</v>
      </c>
      <c r="L7" s="143" t="s">
        <v>678</v>
      </c>
      <c r="M7" s="143" t="str">
        <f>IF(K7=B$5,CONCATENATE(L7," (",K7,")"),"")</f>
        <v/>
      </c>
      <c r="N7" s="38" t="str">
        <f>IF(M7="",IF(M8="",IF(M9="",IF(M10="",IF(M11="",IF(M12="",IF(M13="",IF(M14="","",M14),M13),M12),M11),M10),M9),M8),M7)</f>
        <v>Rect Head Flange (MF1)</v>
      </c>
      <c r="P7" s="143"/>
    </row>
    <row r="8" spans="1:16">
      <c r="A8" s="215" t="s">
        <v>524</v>
      </c>
      <c r="B8" s="259">
        <v>12</v>
      </c>
      <c r="C8" s="220">
        <f>H!W52+A!W53+MH!S52+PH!N34+IH!W36+IMH!S27</f>
        <v>372</v>
      </c>
      <c r="D8" s="222" t="s">
        <v>130</v>
      </c>
      <c r="F8" s="474" t="s">
        <v>667</v>
      </c>
      <c r="G8" s="474"/>
      <c r="K8" s="143" t="s">
        <v>176</v>
      </c>
      <c r="L8" s="143" t="s">
        <v>144</v>
      </c>
      <c r="M8" s="143" t="str">
        <f t="shared" ref="M8:M31" si="0">IF(K8=B$5,CONCATENATE(L8," (",K8,")"),"")</f>
        <v/>
      </c>
      <c r="N8" s="38" t="str">
        <f>IF(M15="",IF(M16="",IF(M17="",IF(M18="",IF(M19="",IF(M20="","",M20),M19),M18),M17),M16),M15)</f>
        <v/>
      </c>
      <c r="P8" s="143"/>
    </row>
    <row r="9" spans="1:16">
      <c r="A9" s="215" t="s">
        <v>298</v>
      </c>
      <c r="B9" s="258"/>
      <c r="C9" s="220"/>
      <c r="D9" s="31" t="str">
        <f>IF(OR(D15=1,D15=3),VLOOKUP($B$6,H!$N$7:$P$81,2),IF(D15=2,VLOOKUP($B$6,H!$N$7:$P$81,3),IF(D15=4,"Safety Coupler",IF(D15=5,"Special Threads",""))))</f>
        <v>1 1/2-12</v>
      </c>
      <c r="F9" s="215" t="s">
        <v>300</v>
      </c>
      <c r="G9" s="31"/>
      <c r="H9" s="143" t="str">
        <f>IF(G9&gt;0.1,Acc!O20*G9,"")</f>
        <v/>
      </c>
      <c r="I9" s="31"/>
      <c r="K9" s="143" t="s">
        <v>488</v>
      </c>
      <c r="L9" s="143" t="s">
        <v>356</v>
      </c>
      <c r="M9" s="143" t="str">
        <f t="shared" si="0"/>
        <v/>
      </c>
      <c r="N9" s="38" t="str">
        <f>IF(M21="",IF(M22="",IF(M23="",IF(M24="",IF(M25="",IF(M26="",IF(M27="",IF(M28="","",M28),M27),M26),M25),M24),M23),M22),M21)</f>
        <v/>
      </c>
      <c r="P9" s="143"/>
    </row>
    <row r="10" spans="1:16">
      <c r="A10" s="215" t="s">
        <v>453</v>
      </c>
      <c r="B10" s="258" t="s">
        <v>39492</v>
      </c>
      <c r="C10" s="220"/>
      <c r="F10" s="215" t="s">
        <v>579</v>
      </c>
      <c r="G10" s="31"/>
      <c r="H10" s="143" t="str">
        <f>IF(G10&gt;0.1,Acc!P20*G10,"")</f>
        <v/>
      </c>
      <c r="I10" s="31"/>
      <c r="K10" s="143" t="s">
        <v>357</v>
      </c>
      <c r="L10" s="143" t="s">
        <v>358</v>
      </c>
      <c r="M10" s="143" t="str">
        <f t="shared" si="0"/>
        <v/>
      </c>
      <c r="N10" s="38" t="str">
        <f>IF(M29="",IF(M30="",IF(M31="","",M31),M30),M29)</f>
        <v/>
      </c>
      <c r="P10" s="143"/>
    </row>
    <row r="11" spans="1:16">
      <c r="A11" s="215" t="s">
        <v>128</v>
      </c>
      <c r="B11" s="259"/>
      <c r="C11" s="220"/>
      <c r="D11" s="31"/>
      <c r="F11" s="215" t="s">
        <v>283</v>
      </c>
      <c r="G11" s="31"/>
      <c r="H11" s="143" t="str">
        <f>IF(G11&gt;0.1,Acc!Q20*G11,"")</f>
        <v/>
      </c>
      <c r="I11" s="38" t="str">
        <f>IF(I16="","",CONCATENATE("Push = ",I18,"  Pull = ",I20))</f>
        <v>Push = 58905  Pull = 49481</v>
      </c>
      <c r="K11" s="143" t="s">
        <v>531</v>
      </c>
      <c r="L11" s="143" t="s">
        <v>380</v>
      </c>
      <c r="M11" s="143" t="str">
        <f t="shared" si="0"/>
        <v>Rect Head Flange (MF1)</v>
      </c>
      <c r="N11" s="38" t="s">
        <v>261</v>
      </c>
      <c r="O11" s="143"/>
      <c r="P11" s="143"/>
    </row>
    <row r="12" spans="1:16">
      <c r="A12" s="215" t="s">
        <v>425</v>
      </c>
      <c r="B12" s="259"/>
      <c r="C12" s="220"/>
      <c r="F12" s="215" t="s">
        <v>461</v>
      </c>
      <c r="G12" s="31"/>
      <c r="H12" s="143" t="str">
        <f>IF(G12&gt;0.1,Acc!R20*G12,"")</f>
        <v/>
      </c>
      <c r="I12" s="215" t="s">
        <v>231</v>
      </c>
      <c r="K12" s="143" t="s">
        <v>331</v>
      </c>
      <c r="L12" s="143" t="s">
        <v>133</v>
      </c>
      <c r="M12" s="143" t="str">
        <f t="shared" si="0"/>
        <v/>
      </c>
      <c r="N12" s="38" t="s">
        <v>261</v>
      </c>
      <c r="O12" s="143"/>
      <c r="P12" s="143"/>
    </row>
    <row r="13" spans="1:16" ht="13.5" thickBot="1">
      <c r="A13" s="215" t="s">
        <v>254</v>
      </c>
      <c r="B13" s="260"/>
      <c r="C13" s="220"/>
      <c r="F13" s="215" t="s">
        <v>79</v>
      </c>
      <c r="G13" s="31"/>
      <c r="H13" s="143" t="str">
        <f>IF(G13&gt;0.1,Acc!S20*G13,"")</f>
        <v/>
      </c>
      <c r="I13" s="223">
        <f>D6/(1-D4)</f>
        <v>2218</v>
      </c>
      <c r="K13" s="143" t="s">
        <v>142</v>
      </c>
      <c r="L13" s="143" t="s">
        <v>497</v>
      </c>
      <c r="M13" s="143" t="str">
        <f t="shared" si="0"/>
        <v/>
      </c>
      <c r="N13" s="31" t="s">
        <v>261</v>
      </c>
      <c r="O13" s="143"/>
      <c r="P13" s="143"/>
    </row>
    <row r="14" spans="1:16" ht="14" thickTop="1" thickBot="1">
      <c r="A14" s="215" t="s">
        <v>39481</v>
      </c>
      <c r="B14" s="217"/>
      <c r="C14" s="220"/>
      <c r="D14" s="224" t="s">
        <v>743</v>
      </c>
      <c r="E14" s="39"/>
      <c r="F14" s="215" t="s">
        <v>646</v>
      </c>
      <c r="G14" s="31"/>
      <c r="H14" s="143" t="str">
        <f>IF(G14&gt;0.1,IF(Acc!O33=99999,"N/A",Acc!O33*G14),"")</f>
        <v/>
      </c>
      <c r="I14" s="31" t="str">
        <f>IF(B1="H",3000,IF(B1="MH",2500,IF(B1="LH",1500,IF(B1="A",80,""))))</f>
        <v/>
      </c>
      <c r="K14" s="143" t="s">
        <v>481</v>
      </c>
      <c r="L14" s="143" t="s">
        <v>435</v>
      </c>
      <c r="M14" s="143" t="str">
        <f t="shared" si="0"/>
        <v/>
      </c>
      <c r="N14" s="38" t="s">
        <v>261</v>
      </c>
      <c r="O14" s="143"/>
      <c r="P14" s="143"/>
    </row>
    <row r="15" spans="1:16" ht="13.5" thickTop="1">
      <c r="A15" s="215" t="s">
        <v>449</v>
      </c>
      <c r="B15" s="261"/>
      <c r="C15" s="220"/>
      <c r="D15" s="32">
        <v>1</v>
      </c>
      <c r="E15" s="39"/>
      <c r="F15" s="215" t="s">
        <v>280</v>
      </c>
      <c r="G15" s="31"/>
      <c r="H15" s="143" t="str">
        <f>IF(G15&gt;0.1,IF(Acc!P33=99999,"N/A",Acc!P33*G15),"")</f>
        <v/>
      </c>
      <c r="I15" s="39" t="s">
        <v>403</v>
      </c>
      <c r="K15" s="143" t="s">
        <v>334</v>
      </c>
      <c r="L15" s="143" t="s">
        <v>421</v>
      </c>
      <c r="M15" s="143" t="str">
        <f t="shared" si="0"/>
        <v/>
      </c>
      <c r="N15" s="31" t="s">
        <v>261</v>
      </c>
    </row>
    <row r="16" spans="1:16">
      <c r="A16" s="215" t="s">
        <v>22200</v>
      </c>
      <c r="B16" s="258"/>
      <c r="C16" s="220"/>
      <c r="F16" s="215" t="s">
        <v>99</v>
      </c>
      <c r="G16" s="31"/>
      <c r="H16" s="143" t="str">
        <f>IF(G16&gt;0.1,IF(Acc!Q33=99999,"N/A",Acc!Q33*G16),"")</f>
        <v/>
      </c>
      <c r="I16" s="31">
        <f>IF(OR(B3="HM",B3="MH",B3="H",B3="IMH",B3="IHM",B3="IH"),3000,IF(B3="LH",1500,IF(OR(B3="VA",B3="A"),100)))</f>
        <v>3000</v>
      </c>
      <c r="K16" s="143" t="s">
        <v>436</v>
      </c>
      <c r="L16" s="143" t="s">
        <v>185</v>
      </c>
      <c r="M16" s="143" t="str">
        <f t="shared" si="0"/>
        <v/>
      </c>
      <c r="N16" s="31" t="s">
        <v>261</v>
      </c>
    </row>
    <row r="17" spans="1:34">
      <c r="A17" s="215" t="s">
        <v>701</v>
      </c>
      <c r="B17" s="258"/>
      <c r="C17" s="220"/>
      <c r="D17" s="31" t="s">
        <v>223</v>
      </c>
      <c r="F17" s="215" t="s">
        <v>631</v>
      </c>
      <c r="G17" s="31"/>
      <c r="H17" s="143" t="str">
        <f>IF(G17&gt;0.1,Acc!R33*G17,"")</f>
        <v/>
      </c>
      <c r="I17" s="31" t="s">
        <v>742</v>
      </c>
      <c r="K17" s="143" t="s">
        <v>505</v>
      </c>
      <c r="L17" s="38" t="s">
        <v>594</v>
      </c>
      <c r="M17" s="143" t="str">
        <f t="shared" si="0"/>
        <v/>
      </c>
      <c r="N17" s="31" t="s">
        <v>261</v>
      </c>
    </row>
    <row r="18" spans="1:34">
      <c r="A18" s="215" t="s">
        <v>834</v>
      </c>
      <c r="B18" s="258"/>
      <c r="C18" s="220"/>
      <c r="D18" s="31"/>
      <c r="F18" s="215" t="s">
        <v>861</v>
      </c>
      <c r="G18" s="31"/>
      <c r="H18" s="143" t="str">
        <f>IF(G18&gt;0.1,Acc!S33*G18,"")</f>
        <v/>
      </c>
      <c r="I18" s="31">
        <f>ROUNDUP(IF(OR(B3="IMH",B3="IHM",B3="IH"),((((B4/25.4)/2)*((B4/25.4)/2))*3.1416)*I16,(((B4/2)*((B4/2))*3.1416)*I16)),0)</f>
        <v>58905</v>
      </c>
      <c r="K18" s="143" t="s">
        <v>603</v>
      </c>
      <c r="L18" s="143" t="s">
        <v>604</v>
      </c>
      <c r="M18" s="143" t="str">
        <f t="shared" si="0"/>
        <v/>
      </c>
      <c r="N18" s="38" t="s">
        <v>261</v>
      </c>
      <c r="P18" s="38">
        <f>(((($B$4)*2)*(($B$4)*2))*3.1416)*$I$16</f>
        <v>942479.99999999988</v>
      </c>
    </row>
    <row r="19" spans="1:34">
      <c r="A19" s="215" t="s">
        <v>390</v>
      </c>
      <c r="B19" s="258"/>
      <c r="C19" s="220"/>
      <c r="F19" s="225" t="s">
        <v>717</v>
      </c>
      <c r="G19" s="31"/>
      <c r="H19" s="143" t="str">
        <f>IF(G19&gt;0.1,Acc!O48*G19,"")</f>
        <v/>
      </c>
      <c r="I19" s="31" t="s">
        <v>402</v>
      </c>
      <c r="K19" s="143" t="s">
        <v>379</v>
      </c>
      <c r="L19" s="38" t="s">
        <v>486</v>
      </c>
      <c r="M19" s="143" t="str">
        <f t="shared" si="0"/>
        <v/>
      </c>
      <c r="N19" s="38" t="s">
        <v>261</v>
      </c>
      <c r="P19" s="38">
        <f>((((80/25.4)/2)*((80/25.4)/2))*3.1416)*3000</f>
        <v>23373.550747101493</v>
      </c>
    </row>
    <row r="20" spans="1:34">
      <c r="A20" s="215" t="s">
        <v>552</v>
      </c>
      <c r="B20" s="258"/>
      <c r="C20" s="220"/>
      <c r="F20" s="215" t="s">
        <v>387</v>
      </c>
      <c r="G20" s="31"/>
      <c r="H20" s="143" t="str">
        <f>IF(G20&gt;0.1,Acc!S48*G20,"")</f>
        <v/>
      </c>
      <c r="I20" s="32">
        <f>ROUNDUP(IF(OR(B3="IMH",B3="IHM",B3="IH"),(((((B4/25.4)/2)*((B4/25.4)/2))*3.1416)*I16)-(((((B6/25.4)/2)*((B6/25.4)/2))*3.1416)*I16),(((((B4/2)*(B4/2))*3.1416)*I16)-((((B6/2)*(B6/2))*3.1416)*I16))),)</f>
        <v>49481</v>
      </c>
      <c r="K20" s="143" t="s">
        <v>352</v>
      </c>
      <c r="L20" s="143" t="s">
        <v>175</v>
      </c>
      <c r="M20" s="143" t="str">
        <f t="shared" si="0"/>
        <v/>
      </c>
      <c r="N20" s="38" t="s">
        <v>261</v>
      </c>
    </row>
    <row r="21" spans="1:34">
      <c r="A21" s="215" t="s">
        <v>867</v>
      </c>
      <c r="B21" s="258"/>
      <c r="C21" s="220"/>
      <c r="F21" s="215" t="s">
        <v>695</v>
      </c>
      <c r="G21" s="31"/>
      <c r="H21" s="143" t="str">
        <f>IF(G21&gt;0.1,Acc!P48,"")</f>
        <v/>
      </c>
      <c r="K21" s="143" t="s">
        <v>224</v>
      </c>
      <c r="L21" s="143" t="s">
        <v>235</v>
      </c>
      <c r="M21" s="143" t="str">
        <f t="shared" si="0"/>
        <v/>
      </c>
      <c r="N21" s="38" t="s">
        <v>261</v>
      </c>
    </row>
    <row r="22" spans="1:34">
      <c r="A22" s="215" t="s">
        <v>307</v>
      </c>
      <c r="B22" s="258"/>
      <c r="C22" s="220"/>
      <c r="F22" s="215" t="s">
        <v>700</v>
      </c>
      <c r="G22" s="31"/>
      <c r="H22" s="143" t="str">
        <f>IF(G22&gt;0.1,Acc!T48*G22,"")</f>
        <v/>
      </c>
      <c r="I22" s="38">
        <v>80</v>
      </c>
      <c r="K22" s="143" t="s">
        <v>332</v>
      </c>
      <c r="L22" s="143" t="s">
        <v>132</v>
      </c>
      <c r="M22" s="143" t="str">
        <f t="shared" si="0"/>
        <v/>
      </c>
      <c r="N22" s="38" t="s">
        <v>261</v>
      </c>
      <c r="Q22" s="38" t="s">
        <v>39490</v>
      </c>
    </row>
    <row r="23" spans="1:34">
      <c r="A23" s="215" t="s">
        <v>0</v>
      </c>
      <c r="B23" s="258"/>
      <c r="C23" s="220"/>
      <c r="D23" s="31" t="str">
        <f>IF(OR(D15=1,D15=2),"Male",IF(D15=3,"Female",IF(D15=4,"SC",IF(D15=4,"Special",""))))</f>
        <v>Male</v>
      </c>
      <c r="F23" s="38" t="s">
        <v>671</v>
      </c>
      <c r="H23" s="226">
        <f>SUM(H8:H22)+H25</f>
        <v>0</v>
      </c>
      <c r="I23" s="38">
        <v>100</v>
      </c>
      <c r="K23" s="143" t="s">
        <v>134</v>
      </c>
      <c r="L23" s="143" t="s">
        <v>391</v>
      </c>
      <c r="M23" s="143" t="str">
        <f t="shared" si="0"/>
        <v/>
      </c>
      <c r="N23" s="38" t="s">
        <v>261</v>
      </c>
    </row>
    <row r="24" spans="1:34">
      <c r="A24" s="215" t="s">
        <v>110</v>
      </c>
      <c r="B24" s="258"/>
      <c r="C24" s="220"/>
      <c r="D24" s="31" t="s">
        <v>411</v>
      </c>
      <c r="F24" s="215" t="s">
        <v>330</v>
      </c>
      <c r="H24" s="227"/>
      <c r="I24" s="38">
        <v>120</v>
      </c>
      <c r="K24" s="143" t="s">
        <v>507</v>
      </c>
      <c r="L24" s="143" t="s">
        <v>716</v>
      </c>
      <c r="M24" s="143" t="str">
        <f t="shared" si="0"/>
        <v/>
      </c>
      <c r="N24" s="38" t="s">
        <v>261</v>
      </c>
      <c r="Q24" s="38">
        <f>ROUNDUP(IF(OR(B3="IMH",B3="IHM",B3="IH"),((((B4/25.4)/2)*((B4/25.4)/2))*3.1416)*I16,(((B4/2)*((B4/2))*3.1416)*I16)),0)</f>
        <v>58905</v>
      </c>
    </row>
    <row r="25" spans="1:34">
      <c r="A25" s="215" t="s">
        <v>626</v>
      </c>
      <c r="B25" s="258"/>
      <c r="C25" s="220"/>
      <c r="D25" s="49"/>
      <c r="F25" s="215" t="s">
        <v>519</v>
      </c>
      <c r="H25" s="38">
        <f>Acc!D69</f>
        <v>0</v>
      </c>
      <c r="I25" s="38">
        <v>250</v>
      </c>
      <c r="K25" s="143" t="s">
        <v>572</v>
      </c>
      <c r="L25" s="143" t="s">
        <v>648</v>
      </c>
      <c r="M25" s="143" t="str">
        <f t="shared" si="0"/>
        <v/>
      </c>
      <c r="N25" s="38" t="s">
        <v>261</v>
      </c>
      <c r="Q25" s="38">
        <f>ROUNDUP(IF(OR(B3="IMH",B3="IHM",B3="IH"),(((((B4/25.4)/2)*((B4/25.4)/2))*3.1416)*I16)-(((((B6/25.4)/2)*((B6/25.4)/2))*3.1416)*I16),(((((B4/2)*(B4/2))*3.1416)*I16)-((((B6/2)*(B6/2))*3.1416)*I16))),)</f>
        <v>49481</v>
      </c>
    </row>
    <row r="26" spans="1:34">
      <c r="A26" s="215" t="s">
        <v>462</v>
      </c>
      <c r="B26" s="258"/>
      <c r="C26" s="220"/>
      <c r="D26" s="31" t="s">
        <v>866</v>
      </c>
      <c r="F26" s="228"/>
      <c r="G26" s="31"/>
      <c r="H26" s="226" t="str">
        <f>IF(G26="","",ShipVia!C24*G26)</f>
        <v/>
      </c>
      <c r="I26" s="38">
        <v>500</v>
      </c>
      <c r="K26" s="143" t="s">
        <v>309</v>
      </c>
      <c r="L26" s="143" t="s">
        <v>136</v>
      </c>
      <c r="M26" s="143" t="str">
        <f t="shared" si="0"/>
        <v/>
      </c>
      <c r="N26" s="38" t="s">
        <v>261</v>
      </c>
    </row>
    <row r="27" spans="1:34" ht="13.5" thickBot="1">
      <c r="A27" s="215" t="s">
        <v>672</v>
      </c>
      <c r="B27" s="291"/>
      <c r="C27" s="220"/>
      <c r="D27" s="31">
        <f>S49</f>
        <v>122.8</v>
      </c>
      <c r="F27" s="228"/>
      <c r="G27" s="31"/>
      <c r="H27" s="226" t="str">
        <f>IF(G27="","",ShipVia!C25*G27)</f>
        <v/>
      </c>
      <c r="I27" s="38">
        <v>1000</v>
      </c>
      <c r="K27" s="143" t="s">
        <v>333</v>
      </c>
      <c r="L27" s="143" t="s">
        <v>736</v>
      </c>
      <c r="M27" s="143" t="str">
        <f t="shared" si="0"/>
        <v/>
      </c>
      <c r="N27" s="38" t="s">
        <v>261</v>
      </c>
    </row>
    <row r="28" spans="1:34" ht="14.25" customHeight="1" thickTop="1">
      <c r="A28" s="229"/>
      <c r="B28" s="230"/>
      <c r="C28" s="220"/>
      <c r="D28" s="38" t="str">
        <f>IF(B7="Are","Adjustable Rod End",IF(B7="ACE","Adjustable Cap End",IF(B7="ABE","Adjustable Both Ends",IF(B7="nc","Non Cushion",IF(B7="re","Rod End Cushion",IF(B7="CE","Cap End Cushion",IF(B7="BE","Both Ends Cushioned","")))))))</f>
        <v>Non Cushion</v>
      </c>
      <c r="F28" s="228"/>
      <c r="G28" s="31"/>
      <c r="H28" s="226" t="str">
        <f>IF(G28="","",ShipVia!C26*G28)</f>
        <v/>
      </c>
      <c r="I28" s="38">
        <v>1500</v>
      </c>
      <c r="K28" s="143" t="s">
        <v>88</v>
      </c>
      <c r="L28" s="143" t="s">
        <v>127</v>
      </c>
      <c r="M28" s="143" t="str">
        <f t="shared" si="0"/>
        <v/>
      </c>
      <c r="N28" s="38" t="s">
        <v>261</v>
      </c>
      <c r="T28" s="38" t="s">
        <v>153</v>
      </c>
      <c r="Y28" s="38" t="s">
        <v>528</v>
      </c>
      <c r="AF28" s="478" t="s">
        <v>418</v>
      </c>
      <c r="AG28" s="475" t="s">
        <v>363</v>
      </c>
      <c r="AH28" s="476" t="s">
        <v>469</v>
      </c>
    </row>
    <row r="29" spans="1:34">
      <c r="B29" s="231"/>
      <c r="C29" s="220"/>
      <c r="F29" s="228"/>
      <c r="G29" s="31"/>
      <c r="H29" s="226" t="str">
        <f>IF(G29="","",ShipVia!C27*G29)</f>
        <v/>
      </c>
      <c r="I29" s="38">
        <v>2000</v>
      </c>
      <c r="K29" s="143" t="s">
        <v>321</v>
      </c>
      <c r="L29" s="143" t="s">
        <v>124</v>
      </c>
      <c r="M29" s="143" t="str">
        <f t="shared" si="0"/>
        <v/>
      </c>
      <c r="N29" s="38" t="s">
        <v>261</v>
      </c>
      <c r="T29" s="232" t="s">
        <v>418</v>
      </c>
      <c r="U29" s="232" t="s">
        <v>227</v>
      </c>
      <c r="V29" s="213" t="s">
        <v>154</v>
      </c>
      <c r="W29" s="475" t="s">
        <v>551</v>
      </c>
      <c r="X29" s="475"/>
      <c r="Y29" s="232" t="s">
        <v>418</v>
      </c>
      <c r="Z29" s="232" t="s">
        <v>227</v>
      </c>
      <c r="AA29" s="213" t="s">
        <v>154</v>
      </c>
      <c r="AB29" s="475" t="s">
        <v>551</v>
      </c>
      <c r="AC29" s="475"/>
      <c r="AF29" s="478"/>
      <c r="AG29" s="475"/>
      <c r="AH29" s="476"/>
    </row>
    <row r="30" spans="1:34">
      <c r="C30" s="220"/>
      <c r="D30" s="38" t="str">
        <f>IF(B10="p","Polyurethane",IF(B10="b","Nitrile",IF(B10="V","Viton",IF(B10="C","Cast Iron Piston Rings",IF(B10="L","Low Friction/High Load",IF(B10="H","Highly Saturated Nitrile",""))))))</f>
        <v>Polyurethane</v>
      </c>
      <c r="F30" s="228"/>
      <c r="G30" s="31"/>
      <c r="H30" s="226" t="str">
        <f>IF(G30="","",ShipVia!C28*G30)</f>
        <v/>
      </c>
      <c r="I30" s="38">
        <v>2500</v>
      </c>
      <c r="K30" s="143" t="s">
        <v>89</v>
      </c>
      <c r="L30" s="143" t="s">
        <v>487</v>
      </c>
      <c r="M30" s="143" t="str">
        <f t="shared" si="0"/>
        <v/>
      </c>
      <c r="N30" s="38" t="s">
        <v>261</v>
      </c>
      <c r="T30" s="232" t="s">
        <v>100</v>
      </c>
      <c r="U30" s="232" t="s">
        <v>444</v>
      </c>
      <c r="V30" s="213" t="s">
        <v>524</v>
      </c>
      <c r="W30" s="475"/>
      <c r="X30" s="475"/>
      <c r="Y30" s="232" t="s">
        <v>100</v>
      </c>
      <c r="Z30" s="232" t="s">
        <v>444</v>
      </c>
      <c r="AA30" s="213" t="s">
        <v>524</v>
      </c>
      <c r="AB30" s="475"/>
      <c r="AC30" s="475"/>
      <c r="AF30" s="478"/>
      <c r="AG30" s="475"/>
      <c r="AH30" s="476"/>
    </row>
    <row r="31" spans="1:34">
      <c r="C31" s="219"/>
      <c r="F31" s="228"/>
      <c r="G31" s="31"/>
      <c r="H31" s="226" t="str">
        <f>IF(G31="","",ShipVia!C29*G31)</f>
        <v/>
      </c>
      <c r="I31" s="38">
        <v>3000</v>
      </c>
      <c r="K31" s="143" t="s">
        <v>222</v>
      </c>
      <c r="L31" s="143" t="s">
        <v>223</v>
      </c>
      <c r="M31" s="143" t="str">
        <f t="shared" si="0"/>
        <v/>
      </c>
      <c r="S31" s="38" t="str">
        <f>IF(AND(OR($B$3="H",$B$3="HM"),$B$4=1.5,$B$6=0.625),$V31+$W31*$B$8,"")</f>
        <v/>
      </c>
      <c r="T31" s="233">
        <v>1.5</v>
      </c>
      <c r="U31" s="234">
        <v>0.625</v>
      </c>
      <c r="V31" s="235">
        <v>9</v>
      </c>
      <c r="W31" s="473">
        <v>0.5</v>
      </c>
      <c r="X31" s="473"/>
      <c r="Y31" s="233">
        <v>1.5</v>
      </c>
      <c r="Z31" s="234">
        <v>0.625</v>
      </c>
      <c r="AA31" s="235">
        <v>6</v>
      </c>
      <c r="AB31" s="477">
        <v>0.35</v>
      </c>
      <c r="AC31" s="477"/>
      <c r="AD31" s="38" t="str">
        <f>IF(AND(OR($B$3="LH",$B$3="A"),$B$4=1.5,$B$6=0.625),$AA31+$AB31*$B$8,"")</f>
        <v/>
      </c>
      <c r="AE31" s="38" t="str">
        <f>IF(AND($B$3="VA",$B$4=2.5),$AG31+$AH31*$B$8,"")</f>
        <v/>
      </c>
      <c r="AF31" s="236">
        <v>2.5</v>
      </c>
      <c r="AG31" s="237">
        <v>5.3</v>
      </c>
      <c r="AH31" s="238">
        <v>0.4</v>
      </c>
    </row>
    <row r="32" spans="1:34">
      <c r="C32" s="219"/>
      <c r="F32" s="228"/>
      <c r="G32" s="31"/>
      <c r="H32" s="226"/>
      <c r="I32" s="38">
        <v>3500</v>
      </c>
      <c r="S32" s="38" t="str">
        <f>IF(AND(OR(OR($B$3="H",$B$3="HM"),$B$3="HM"),$B$4=1.5,$B$6=1),$V32+$W32*$B$8,"")</f>
        <v/>
      </c>
      <c r="T32" s="233"/>
      <c r="U32" s="233">
        <v>1</v>
      </c>
      <c r="V32" s="235">
        <v>9.3000000000000007</v>
      </c>
      <c r="W32" s="473">
        <v>0.6</v>
      </c>
      <c r="X32" s="473"/>
      <c r="Y32" s="233"/>
      <c r="Z32" s="233">
        <v>1</v>
      </c>
      <c r="AA32" s="235">
        <v>6.3</v>
      </c>
      <c r="AB32" s="477">
        <v>0.5</v>
      </c>
      <c r="AC32" s="477"/>
      <c r="AD32" s="38" t="str">
        <f>IF(AND(OR($B$3="LH",$B$3="A"),$B$4=1.5,$B$6=1),$AA32+$AB32*$B$8,"")</f>
        <v/>
      </c>
      <c r="AE32" s="38" t="str">
        <f>IF(AND($B$3="VA",$B$4=3.25),$AG32+$AH32*$B$8,"")</f>
        <v/>
      </c>
      <c r="AF32" s="236">
        <v>3.25</v>
      </c>
      <c r="AG32" s="237">
        <v>9.5</v>
      </c>
      <c r="AH32" s="238">
        <v>0.6</v>
      </c>
    </row>
    <row r="33" spans="1:34">
      <c r="C33" s="219"/>
      <c r="H33" s="143">
        <f>SUM(H26:H32)</f>
        <v>0</v>
      </c>
      <c r="I33" s="38">
        <v>4000</v>
      </c>
      <c r="S33" s="38" t="str">
        <f>IF(AND(OR(OR($B$3="H",$B$3="HM"),$B$3="HM"),$B$4=2,$B$6=1),$V33+$W33*$B$8,"")</f>
        <v/>
      </c>
      <c r="T33" s="233">
        <v>2</v>
      </c>
      <c r="U33" s="233">
        <v>1</v>
      </c>
      <c r="V33" s="235">
        <v>13.2</v>
      </c>
      <c r="W33" s="473">
        <v>0.8</v>
      </c>
      <c r="X33" s="473"/>
      <c r="Y33" s="233">
        <v>2</v>
      </c>
      <c r="Z33" s="234">
        <v>0.625</v>
      </c>
      <c r="AA33" s="235">
        <v>8</v>
      </c>
      <c r="AB33" s="477">
        <v>0.6</v>
      </c>
      <c r="AC33" s="477"/>
      <c r="AD33" s="38" t="str">
        <f>IF(AND(OR($B$3="LH",$B$3="A"),$B$4=2,$B$6=0.625),$AA33+$AB33*$B$8,"")</f>
        <v/>
      </c>
      <c r="AE33" s="38" t="str">
        <f>IF(AND($B$3="VA",$B$4=4),$AG33+$AH33*$B$8,"")</f>
        <v/>
      </c>
      <c r="AF33" s="236">
        <v>4</v>
      </c>
      <c r="AG33" s="237">
        <v>14.7</v>
      </c>
      <c r="AH33" s="238">
        <v>0.8</v>
      </c>
    </row>
    <row r="34" spans="1:34" ht="13.5" thickBot="1">
      <c r="A34" s="31" t="s">
        <v>128</v>
      </c>
      <c r="B34" s="31"/>
      <c r="C34" s="220" t="str">
        <f t="shared" ref="C34:C74" si="1">IF(B34="","",A34)</f>
        <v/>
      </c>
      <c r="D34" s="143" t="str">
        <f t="shared" ref="D34:D73" si="2">IF(B34="","",B34)</f>
        <v/>
      </c>
      <c r="E34" s="217"/>
      <c r="I34" s="38">
        <v>5000</v>
      </c>
      <c r="S34" s="38" t="str">
        <f>IF(AND(OR(OR($B$3="H",$B$3="HM"),$B$3="HM"),$B$4=2,$B$6=1.375),$V34+$W34*$B$8,"")</f>
        <v/>
      </c>
      <c r="T34" s="239"/>
      <c r="U34" s="234">
        <v>1.375</v>
      </c>
      <c r="V34" s="235">
        <v>17.100000000000001</v>
      </c>
      <c r="W34" s="473">
        <v>1</v>
      </c>
      <c r="X34" s="473"/>
      <c r="Y34" s="239"/>
      <c r="Z34" s="234">
        <v>1.375</v>
      </c>
      <c r="AA34" s="235">
        <v>9</v>
      </c>
      <c r="AB34" s="477">
        <v>1</v>
      </c>
      <c r="AC34" s="477"/>
      <c r="AD34" s="38" t="str">
        <f>IF(AND(OR($B$3="LH",$B$3="A"),$B$4=2,OR($B$6=1,$B$6=1.375)),$AA34+$AB34*$B$8,"")</f>
        <v/>
      </c>
      <c r="AE34" s="38" t="str">
        <f>IF(AND($B$3="VA",$B$4=5),$AG34+$AH34*$B$8,"")</f>
        <v/>
      </c>
      <c r="AF34" s="236">
        <v>5</v>
      </c>
      <c r="AG34" s="237">
        <v>22.9</v>
      </c>
      <c r="AH34" s="238">
        <v>1</v>
      </c>
    </row>
    <row r="35" spans="1:34" ht="13.5" thickBot="1">
      <c r="A35" s="38" t="s">
        <v>425</v>
      </c>
      <c r="B35" s="31"/>
      <c r="C35" s="220" t="str">
        <f t="shared" si="1"/>
        <v/>
      </c>
      <c r="D35" s="143" t="str">
        <f t="shared" si="2"/>
        <v/>
      </c>
      <c r="E35" s="217"/>
      <c r="K35" s="240" t="s">
        <v>67</v>
      </c>
      <c r="L35" s="241"/>
      <c r="S35" s="38" t="str">
        <f>IF(AND(OR(OR($B$3="H",$B$3="HM"),$B$3="HM"),$B$4=2.5,OR($B$6=1.375,$B$6=1)),$V35+$W35*$B$8,"")</f>
        <v/>
      </c>
      <c r="T35" s="233">
        <v>2.5</v>
      </c>
      <c r="U35" s="233">
        <v>1</v>
      </c>
      <c r="V35" s="235">
        <v>19.5</v>
      </c>
      <c r="W35" s="473">
        <v>1.1000000000000001</v>
      </c>
      <c r="X35" s="473"/>
      <c r="Y35" s="233">
        <v>2.5</v>
      </c>
      <c r="Z35" s="234">
        <v>0.625</v>
      </c>
      <c r="AA35" s="235">
        <v>11</v>
      </c>
      <c r="AB35" s="477">
        <v>0.9</v>
      </c>
      <c r="AC35" s="477"/>
      <c r="AD35" s="38" t="str">
        <f>IF(AND(OR($B$3="LH",$B$3="A"),$B$4=2.5,OR($B$6=0.625,$B$6=1)),$AA35+$AB35*$B$8,"")</f>
        <v/>
      </c>
      <c r="AE35" s="38" t="str">
        <f>IF(AND($B$3="VA",$B$4=6),$AG35+$AH35*$B$8,"")</f>
        <v/>
      </c>
      <c r="AF35" s="236">
        <v>6</v>
      </c>
      <c r="AG35" s="237">
        <v>34.6</v>
      </c>
      <c r="AH35" s="238">
        <v>1.1000000000000001</v>
      </c>
    </row>
    <row r="36" spans="1:34">
      <c r="A36" s="31" t="s">
        <v>254</v>
      </c>
      <c r="B36" s="31"/>
      <c r="C36" s="220" t="str">
        <f t="shared" si="1"/>
        <v/>
      </c>
      <c r="D36" s="143" t="str">
        <f t="shared" si="2"/>
        <v/>
      </c>
      <c r="E36" s="217"/>
      <c r="S36" s="38" t="str">
        <f>IF(AND(OR($B$3="H",$B$3="HM"),$B$4=2.5,$B$6=1.75),$V36+$W36*$B$8,"")</f>
        <v/>
      </c>
      <c r="T36" s="233"/>
      <c r="U36" s="239">
        <v>1.75</v>
      </c>
      <c r="V36" s="235">
        <v>25.5</v>
      </c>
      <c r="W36" s="473">
        <v>1.5</v>
      </c>
      <c r="X36" s="473"/>
      <c r="Y36" s="233"/>
      <c r="Z36" s="239">
        <v>1.75</v>
      </c>
      <c r="AA36" s="235">
        <v>12</v>
      </c>
      <c r="AB36" s="477">
        <v>1.5</v>
      </c>
      <c r="AC36" s="477"/>
      <c r="AD36" s="38" t="str">
        <f>IF(AND(OR($B$3="LH",$B$3="A"),$B$4=2.5,OR($B$6=1.75,$B$6=1.375)),$AA36+$AB36*$B$8,"")</f>
        <v/>
      </c>
      <c r="AE36" s="38" t="str">
        <f>IF(AND($B$3="VA",$B$4=7),$AG36+$AH36*$B$8,"")</f>
        <v/>
      </c>
      <c r="AF36" s="236">
        <v>7</v>
      </c>
      <c r="AG36" s="237">
        <v>50.3</v>
      </c>
      <c r="AH36" s="238">
        <v>1.6</v>
      </c>
    </row>
    <row r="37" spans="1:34">
      <c r="A37" s="31" t="s">
        <v>39481</v>
      </c>
      <c r="B37" s="31"/>
      <c r="C37" s="220" t="str">
        <f t="shared" si="1"/>
        <v/>
      </c>
      <c r="D37" s="143" t="str">
        <f t="shared" si="2"/>
        <v/>
      </c>
      <c r="E37" s="217"/>
      <c r="S37" s="38" t="str">
        <f>IF(AND(OR($B$3="H",$B$3="HM"),$B$4=3.25,OR($B$6=1.375,$B$6=1.75)),$V37+$W37*$B$8,"")</f>
        <v/>
      </c>
      <c r="T37" s="239">
        <v>3.25</v>
      </c>
      <c r="U37" s="234">
        <v>1.375</v>
      </c>
      <c r="V37" s="235">
        <v>41</v>
      </c>
      <c r="W37" s="473">
        <v>1.8</v>
      </c>
      <c r="X37" s="473"/>
      <c r="Y37" s="239">
        <v>3.25</v>
      </c>
      <c r="Z37" s="233">
        <v>1</v>
      </c>
      <c r="AA37" s="235">
        <v>22</v>
      </c>
      <c r="AB37" s="477">
        <v>0.9</v>
      </c>
      <c r="AC37" s="477"/>
      <c r="AD37" s="38" t="str">
        <f>IF(AND(OR($B$3="LH",$B$3="A"),$B$4=3.25,OR($B$6=1.375,$B$6=1)),$AA37+$AB37*$B$8,"")</f>
        <v/>
      </c>
      <c r="AE37" s="38" t="str">
        <f>IF(AND($B$3="VA",$B$4=8),$AG37+$AH37*$B$8,"")</f>
        <v/>
      </c>
      <c r="AF37" s="236">
        <v>8</v>
      </c>
      <c r="AG37" s="237">
        <v>66.7</v>
      </c>
      <c r="AH37" s="238">
        <v>2</v>
      </c>
    </row>
    <row r="38" spans="1:34">
      <c r="A38" s="31" t="s">
        <v>449</v>
      </c>
      <c r="B38" s="31"/>
      <c r="C38" s="220" t="str">
        <f t="shared" si="1"/>
        <v/>
      </c>
      <c r="D38" s="143" t="str">
        <f t="shared" si="2"/>
        <v/>
      </c>
      <c r="E38" s="217"/>
      <c r="S38" s="38" t="str">
        <f>IF(AND(OR($B$3="H",$B$3="HM"),$B$4=3.25,$B$6=2),$V38+$W38*$B$8,"")</f>
        <v/>
      </c>
      <c r="T38" s="233"/>
      <c r="U38" s="233">
        <v>2</v>
      </c>
      <c r="V38" s="235">
        <v>46</v>
      </c>
      <c r="W38" s="473">
        <v>2.2000000000000002</v>
      </c>
      <c r="X38" s="473"/>
      <c r="Y38" s="233"/>
      <c r="Z38" s="233">
        <v>2</v>
      </c>
      <c r="AA38" s="235">
        <v>23</v>
      </c>
      <c r="AB38" s="477">
        <v>2</v>
      </c>
      <c r="AC38" s="477"/>
      <c r="AD38" s="38" t="str">
        <f>IF(AND(OR($B$3="LH",$B$3="A"),$B$4=3.25,OR($B$6=1.75,$B$6=2)),$AA38+$AB38*$B$8,"")</f>
        <v/>
      </c>
      <c r="AE38" s="38" t="str">
        <f>IF(AND($B$3="VA",$B$4=10),$AG38+$AH38*$B$8,"")</f>
        <v/>
      </c>
      <c r="AF38" s="242">
        <v>10</v>
      </c>
      <c r="AG38" s="237">
        <v>122.3</v>
      </c>
      <c r="AH38" s="238">
        <v>1.1000000000000001</v>
      </c>
    </row>
    <row r="39" spans="1:34">
      <c r="A39" s="31" t="s">
        <v>22200</v>
      </c>
      <c r="B39" s="31"/>
      <c r="C39" s="220" t="str">
        <f t="shared" si="1"/>
        <v/>
      </c>
      <c r="D39" s="143" t="str">
        <f t="shared" si="2"/>
        <v/>
      </c>
      <c r="E39" s="217"/>
      <c r="S39" s="38" t="str">
        <f>IF(AND(OR($B$3="H",$B$3="HM"),$B$4=4,OR($B$6=1.75,$B$6=2)),$V39+$W39*$B$8,"")</f>
        <v/>
      </c>
      <c r="T39" s="233">
        <v>4</v>
      </c>
      <c r="U39" s="239">
        <v>1.75</v>
      </c>
      <c r="V39" s="235">
        <v>53</v>
      </c>
      <c r="W39" s="473">
        <v>2.5</v>
      </c>
      <c r="X39" s="473"/>
      <c r="Y39" s="233">
        <v>4</v>
      </c>
      <c r="Z39" s="233">
        <v>1</v>
      </c>
      <c r="AA39" s="235">
        <v>30</v>
      </c>
      <c r="AB39" s="477">
        <v>1.2</v>
      </c>
      <c r="AC39" s="477"/>
      <c r="AD39" s="38" t="str">
        <f>IF(AND(OR($B$3="LH",$B$3="A"),$B$4=4,OR($B$6=1.375,$B$6=1)),$AA39+$AB39*$B$8,"")</f>
        <v/>
      </c>
      <c r="AE39" s="38" t="str">
        <f>IF(AND($B$3="VA",$B$4=12),$AG39+$AH39*$B$8,"")</f>
        <v/>
      </c>
      <c r="AF39" s="242">
        <v>12</v>
      </c>
      <c r="AG39" s="237">
        <v>169.5</v>
      </c>
      <c r="AH39" s="238">
        <v>1.4</v>
      </c>
    </row>
    <row r="40" spans="1:34">
      <c r="A40" s="31" t="s">
        <v>701</v>
      </c>
      <c r="B40" s="31"/>
      <c r="C40" s="220" t="str">
        <f t="shared" si="1"/>
        <v/>
      </c>
      <c r="D40" s="143" t="str">
        <f t="shared" si="2"/>
        <v/>
      </c>
      <c r="E40" s="217"/>
      <c r="L40" s="342" t="s">
        <v>21225</v>
      </c>
      <c r="M40" s="346">
        <v>27</v>
      </c>
      <c r="N40" s="295"/>
      <c r="S40" s="38" t="str">
        <f>IF(AND(OR($B$3="H",$B$3="HM"),$B$4=4,$B$6=2.5),$V40+$W40*$B$8,"")</f>
        <v/>
      </c>
      <c r="T40" s="233"/>
      <c r="U40" s="233">
        <v>2.5</v>
      </c>
      <c r="V40" s="235">
        <v>58</v>
      </c>
      <c r="W40" s="473">
        <v>3.2</v>
      </c>
      <c r="X40" s="473"/>
      <c r="Y40" s="233"/>
      <c r="Z40" s="233">
        <v>2</v>
      </c>
      <c r="AA40" s="235">
        <v>32</v>
      </c>
      <c r="AB40" s="473">
        <v>2.2000000000000002</v>
      </c>
      <c r="AC40" s="473"/>
      <c r="AD40" s="38" t="str">
        <f>IF(AND(OR($B$3="LH",$B$3="A"),$B$4=4,OR($B$6=1.75,$B$6=2)),$AA40+$AB40*$B$8,"")</f>
        <v/>
      </c>
      <c r="AE40" s="38" t="str">
        <f>IF(AND($B$3="VA",$B$4=14),$AG40+$AH40*$B$8,"")</f>
        <v/>
      </c>
      <c r="AF40" s="242">
        <v>14</v>
      </c>
      <c r="AG40" s="237">
        <v>264.3</v>
      </c>
      <c r="AH40" s="238">
        <v>1.6</v>
      </c>
    </row>
    <row r="41" spans="1:34">
      <c r="A41" s="31" t="s">
        <v>834</v>
      </c>
      <c r="B41" s="31"/>
      <c r="C41" s="220" t="str">
        <f t="shared" si="1"/>
        <v/>
      </c>
      <c r="D41" s="143" t="str">
        <f t="shared" si="2"/>
        <v/>
      </c>
      <c r="E41" s="217"/>
      <c r="L41" s="343">
        <v>1.375</v>
      </c>
      <c r="M41" s="344">
        <v>27</v>
      </c>
      <c r="N41" s="345">
        <f>ROUNDUP(SUM(N42:N50),0)</f>
        <v>501</v>
      </c>
      <c r="O41" s="223"/>
      <c r="S41" s="38">
        <f>IF(AND(OR($B$3="H",$B$3="HM"),$B$4=5,OR($B$6=2.5,$B$6=2)),$V41+$W41*$B$8,"")</f>
        <v>122.8</v>
      </c>
      <c r="T41" s="233">
        <v>5</v>
      </c>
      <c r="U41" s="233">
        <v>2</v>
      </c>
      <c r="V41" s="235">
        <v>82</v>
      </c>
      <c r="W41" s="473">
        <v>3.4</v>
      </c>
      <c r="X41" s="473"/>
      <c r="Y41" s="233">
        <v>5</v>
      </c>
      <c r="Z41" s="233">
        <v>1</v>
      </c>
      <c r="AA41" s="235">
        <v>45</v>
      </c>
      <c r="AB41" s="473">
        <v>2</v>
      </c>
      <c r="AC41" s="473"/>
      <c r="AD41" s="38" t="str">
        <f>IF(AND(OR($B$3="LH",$B$3="A"),$B$4=5,OR($B$6=1,$B$6=1.375)),$AA41+$AB41*$B$8,"")</f>
        <v/>
      </c>
      <c r="AE41" s="38" t="str">
        <f>IF(AND($B$3="VA",$B$4=16),$AG41+$AH41*$B$8,"")</f>
        <v/>
      </c>
      <c r="AF41" s="242">
        <v>16</v>
      </c>
      <c r="AG41" s="237">
        <v>365.1</v>
      </c>
      <c r="AH41" s="238">
        <v>2.2999999999999998</v>
      </c>
    </row>
    <row r="42" spans="1:34">
      <c r="A42" s="31" t="s">
        <v>390</v>
      </c>
      <c r="B42" s="31"/>
      <c r="C42" s="220" t="str">
        <f t="shared" si="1"/>
        <v/>
      </c>
      <c r="D42" s="143" t="str">
        <f t="shared" si="2"/>
        <v/>
      </c>
      <c r="E42" s="217"/>
      <c r="L42" s="339">
        <v>1</v>
      </c>
      <c r="M42" s="340">
        <v>2</v>
      </c>
      <c r="N42" s="341" t="str">
        <f>IF(L$41=L42,(M$41*M42)+M$40*10+150,"")</f>
        <v/>
      </c>
      <c r="O42" s="296"/>
      <c r="S42" s="38" t="str">
        <f>IF(AND(OR($B$3="H",$B$3="HM"),$B$4=5,OR($B$6=3,$B$6=3.5)),$V42+$W42*$B$8,"")</f>
        <v/>
      </c>
      <c r="T42" s="233"/>
      <c r="U42" s="233">
        <v>3.5</v>
      </c>
      <c r="V42" s="235">
        <v>86</v>
      </c>
      <c r="W42" s="473">
        <v>5.2</v>
      </c>
      <c r="X42" s="473"/>
      <c r="Y42" s="233"/>
      <c r="Z42" s="233">
        <v>2</v>
      </c>
      <c r="AA42" s="235">
        <v>48</v>
      </c>
      <c r="AB42" s="473">
        <v>2.5</v>
      </c>
      <c r="AC42" s="473"/>
      <c r="AD42" s="38" t="str">
        <f>IF(AND(OR($B$3="LH",$B$3="A"),$B$4=5,OR($B$6=1.75,$B$6=2)),$AA42+$AB42*$B$8,"")</f>
        <v/>
      </c>
      <c r="AE42" s="38" t="str">
        <f>IF(AND($B$3="VA",$B$4=18),$AG42+$AH42*$B$8,"")</f>
        <v/>
      </c>
      <c r="AF42" s="242">
        <v>18</v>
      </c>
      <c r="AG42" s="237">
        <v>480</v>
      </c>
      <c r="AH42" s="238">
        <v>2.8</v>
      </c>
    </row>
    <row r="43" spans="1:34">
      <c r="A43" s="31"/>
      <c r="B43" s="31"/>
      <c r="C43" s="220" t="str">
        <f t="shared" si="1"/>
        <v/>
      </c>
      <c r="D43" s="143" t="str">
        <f t="shared" si="2"/>
        <v/>
      </c>
      <c r="E43" s="217"/>
      <c r="I43" s="243"/>
      <c r="L43" s="339">
        <v>1.375</v>
      </c>
      <c r="M43" s="340">
        <v>3</v>
      </c>
      <c r="N43" s="341">
        <f t="shared" ref="N43:N50" si="3">IF(L$41=L43,(M$41*M43)+M$40*10+150,"")</f>
        <v>501</v>
      </c>
      <c r="O43" s="296"/>
      <c r="S43" s="38" t="str">
        <f>IF(AND(OR($B$3="H",$B$3="HM"),$B$4=6,OR($B$6=2.5,$B$6=3)),$V43+$W43*$B$8,"")</f>
        <v/>
      </c>
      <c r="T43" s="233">
        <v>6</v>
      </c>
      <c r="U43" s="239">
        <v>2.5</v>
      </c>
      <c r="V43" s="235">
        <v>133</v>
      </c>
      <c r="W43" s="473">
        <v>5.2</v>
      </c>
      <c r="X43" s="473"/>
      <c r="Y43" s="233">
        <v>6</v>
      </c>
      <c r="Z43" s="234">
        <v>1.375</v>
      </c>
      <c r="AA43" s="235">
        <v>70</v>
      </c>
      <c r="AB43" s="473">
        <v>2.5</v>
      </c>
      <c r="AC43" s="473"/>
      <c r="AD43" s="38" t="str">
        <f>IF(AND(OR($B$3="LH",$B$3="A"),$B$4=6,OR($B$6=1.375,$B$6=1.75)),$AA43+$AB43*$B$8,"")</f>
        <v/>
      </c>
      <c r="AE43" s="38" t="str">
        <f>IF(AND($B$3="VA",$B$4=20),$AG43+$AH43*$B$8,"")</f>
        <v/>
      </c>
      <c r="AF43" s="242">
        <v>20</v>
      </c>
      <c r="AG43" s="237">
        <v>733.3</v>
      </c>
      <c r="AH43" s="238">
        <v>3.2</v>
      </c>
    </row>
    <row r="44" spans="1:34">
      <c r="A44" s="31"/>
      <c r="B44" s="31"/>
      <c r="C44" s="220" t="str">
        <f t="shared" si="1"/>
        <v/>
      </c>
      <c r="D44" s="143" t="str">
        <f t="shared" si="2"/>
        <v/>
      </c>
      <c r="E44" s="217"/>
      <c r="L44" s="339">
        <v>1.75</v>
      </c>
      <c r="M44" s="340">
        <v>5</v>
      </c>
      <c r="N44" s="341" t="str">
        <f t="shared" si="3"/>
        <v/>
      </c>
      <c r="O44" s="296"/>
      <c r="S44" s="38" t="str">
        <f>IF(AND(OR($B$3="H",$B$3="HM"),$B$4=6,OR($B$6=4,$B$6=3.5)),$V44+$W44*$B$8,"")</f>
        <v/>
      </c>
      <c r="T44" s="233"/>
      <c r="U44" s="233">
        <v>4</v>
      </c>
      <c r="V44" s="235">
        <v>140</v>
      </c>
      <c r="W44" s="473">
        <v>7.3</v>
      </c>
      <c r="X44" s="473"/>
      <c r="Y44" s="233"/>
      <c r="Z44" s="233">
        <v>2.5</v>
      </c>
      <c r="AA44" s="235">
        <v>74</v>
      </c>
      <c r="AB44" s="473">
        <v>3.8</v>
      </c>
      <c r="AC44" s="473"/>
      <c r="AD44" s="38" t="str">
        <f>IF(AND(OR($B$3="LH",$B$3="A"),$B$4=6,OR($B$6=2,$B$6=2.5)),$AA44+$AB44*$B$8,"")</f>
        <v/>
      </c>
      <c r="AE44" s="38" t="str">
        <f>IF(AND($B$3="VA",$B$4=22),$AG44+$AH44*$B$8,"")</f>
        <v/>
      </c>
      <c r="AF44" s="242">
        <v>22</v>
      </c>
      <c r="AG44" s="237">
        <v>944.5</v>
      </c>
      <c r="AH44" s="238">
        <v>5</v>
      </c>
    </row>
    <row r="45" spans="1:34">
      <c r="A45" s="31"/>
      <c r="B45" s="31"/>
      <c r="C45" s="220" t="str">
        <f t="shared" si="1"/>
        <v/>
      </c>
      <c r="D45" s="143" t="str">
        <f t="shared" si="2"/>
        <v/>
      </c>
      <c r="E45" s="217"/>
      <c r="L45" s="339">
        <v>2</v>
      </c>
      <c r="M45" s="340">
        <v>6</v>
      </c>
      <c r="N45" s="341" t="str">
        <f t="shared" si="3"/>
        <v/>
      </c>
      <c r="O45" s="296"/>
      <c r="S45" s="38" t="str">
        <f>IF(AND(OR($B$3="H",$B$3="HM"),$B$4=7,OR($B$6=3.5,$B$6=3)),$V45+$W45*$B$8,"")</f>
        <v/>
      </c>
      <c r="T45" s="233">
        <v>7</v>
      </c>
      <c r="U45" s="233">
        <v>3</v>
      </c>
      <c r="V45" s="235">
        <v>242</v>
      </c>
      <c r="W45" s="473">
        <v>6.7</v>
      </c>
      <c r="X45" s="473"/>
      <c r="Y45" s="233">
        <v>7</v>
      </c>
      <c r="Z45" s="234">
        <v>1.375</v>
      </c>
      <c r="AA45" s="235">
        <v>85</v>
      </c>
      <c r="AB45" s="473">
        <v>3</v>
      </c>
      <c r="AC45" s="473"/>
      <c r="AD45" s="38" t="str">
        <f>IF(AND(OR($B$3="LH",$B$3="A"),$B$4=7,OR($B$6=1.375,$B$6=1.75)),$AA45+$AB45*$B$8,"")</f>
        <v/>
      </c>
      <c r="AE45" s="38" t="str">
        <f>IF(AND($B$3="VA",$B$4=24),$AG45+$AH45*$B$8,"")</f>
        <v/>
      </c>
      <c r="AF45" s="38">
        <v>24</v>
      </c>
      <c r="AG45" s="38">
        <v>1378.6</v>
      </c>
      <c r="AH45" s="38">
        <v>5.7</v>
      </c>
    </row>
    <row r="46" spans="1:34">
      <c r="A46" s="31"/>
      <c r="B46" s="31"/>
      <c r="C46" s="220" t="str">
        <f t="shared" si="1"/>
        <v/>
      </c>
      <c r="D46" s="143" t="str">
        <f t="shared" si="2"/>
        <v/>
      </c>
      <c r="E46" s="217"/>
      <c r="L46" s="339">
        <v>2.5</v>
      </c>
      <c r="M46" s="340">
        <v>8</v>
      </c>
      <c r="N46" s="341" t="str">
        <f t="shared" si="3"/>
        <v/>
      </c>
      <c r="O46" s="296"/>
      <c r="S46" s="38" t="str">
        <f>IF(AND(OR($B$3="H",$B$3="HM"),$B$4=7,OR($B$6=4,$B$6=5,$B$6=4.5)),$V46+$W46*$B$8,"")</f>
        <v/>
      </c>
      <c r="T46" s="233"/>
      <c r="U46" s="233">
        <v>5</v>
      </c>
      <c r="V46" s="235">
        <v>253</v>
      </c>
      <c r="W46" s="473">
        <v>10.3</v>
      </c>
      <c r="X46" s="473"/>
      <c r="Y46" s="233"/>
      <c r="Z46" s="233">
        <v>2.5</v>
      </c>
      <c r="AA46" s="235">
        <v>90</v>
      </c>
      <c r="AB46" s="473">
        <v>4</v>
      </c>
      <c r="AC46" s="473"/>
      <c r="AD46" s="38" t="str">
        <f>IF(AND(OR($B$3="LH",$B$3="A"),$B$4=7,OR($B$6=2,$B$6=2.5,$B$6=3)),$AA46+$AB46*$B$8,"")</f>
        <v/>
      </c>
    </row>
    <row r="47" spans="1:34">
      <c r="A47" s="31"/>
      <c r="B47" s="31"/>
      <c r="C47" s="220" t="str">
        <f t="shared" si="1"/>
        <v/>
      </c>
      <c r="D47" s="143" t="str">
        <f t="shared" si="2"/>
        <v/>
      </c>
      <c r="E47" s="217"/>
      <c r="L47" s="339">
        <v>3</v>
      </c>
      <c r="M47" s="340">
        <v>11</v>
      </c>
      <c r="N47" s="341" t="str">
        <f t="shared" si="3"/>
        <v/>
      </c>
      <c r="O47" s="296"/>
      <c r="S47" s="38" t="str">
        <f>IF(AND(OR($B$3="H",$B$3="HM"),$B$4=8,OR($B$6=3.5,$B$6=4)),$V47+$W47*$B$8,"")</f>
        <v/>
      </c>
      <c r="T47" s="233">
        <v>8</v>
      </c>
      <c r="U47" s="233">
        <v>3.5</v>
      </c>
      <c r="V47" s="235">
        <v>276</v>
      </c>
      <c r="W47" s="473">
        <v>9</v>
      </c>
      <c r="X47" s="473"/>
      <c r="Y47" s="233">
        <v>8</v>
      </c>
      <c r="Z47" s="234">
        <v>1.375</v>
      </c>
      <c r="AA47" s="235">
        <v>100</v>
      </c>
      <c r="AB47" s="473">
        <v>4</v>
      </c>
      <c r="AC47" s="473"/>
      <c r="AD47" s="38" t="str">
        <f>IF(AND(OR($B$3="LH",$B$3="A"),$B$4=8,OR($B$6=1.375,$B$6=1.75)),$AA47+$AB47*$B$8,"")</f>
        <v/>
      </c>
    </row>
    <row r="48" spans="1:34">
      <c r="A48" s="31"/>
      <c r="B48" s="31"/>
      <c r="C48" s="220" t="str">
        <f t="shared" si="1"/>
        <v/>
      </c>
      <c r="D48" s="143" t="str">
        <f t="shared" si="2"/>
        <v/>
      </c>
      <c r="E48" s="217"/>
      <c r="L48" s="339">
        <v>3.5</v>
      </c>
      <c r="M48" s="340">
        <v>16</v>
      </c>
      <c r="N48" s="341" t="str">
        <f t="shared" si="3"/>
        <v/>
      </c>
      <c r="O48" s="296"/>
      <c r="S48" s="38" t="str">
        <f>IF(AND(OR($B$3="H",$B$3="HM"),$B$4=8,OR($B$6=4.5,$B$6=5,$B$6=5.5)),$V48+$W48*$B$8,"")</f>
        <v/>
      </c>
      <c r="T48" s="233"/>
      <c r="U48" s="233">
        <v>5.5</v>
      </c>
      <c r="V48" s="235">
        <v>309</v>
      </c>
      <c r="W48" s="473">
        <v>13</v>
      </c>
      <c r="X48" s="473"/>
      <c r="Y48" s="233"/>
      <c r="Z48" s="233">
        <v>2.5</v>
      </c>
      <c r="AA48" s="235">
        <v>115</v>
      </c>
      <c r="AB48" s="473">
        <v>5.4</v>
      </c>
      <c r="AC48" s="473"/>
      <c r="AD48" s="38" t="str">
        <f>IF(AND(OR($B$3="LH",$B$3="A"),$B$4=8,OR($B$6=2.5,$B$6=2,$B$6=3)),$AA48+$AB48*$B$8,"")</f>
        <v/>
      </c>
    </row>
    <row r="49" spans="1:24">
      <c r="A49" s="31"/>
      <c r="B49" s="31"/>
      <c r="C49" s="220" t="str">
        <f t="shared" si="1"/>
        <v/>
      </c>
      <c r="D49" s="143" t="str">
        <f t="shared" si="2"/>
        <v/>
      </c>
      <c r="E49" s="217"/>
      <c r="I49" s="244"/>
      <c r="L49" s="339">
        <v>4</v>
      </c>
      <c r="M49" s="340">
        <v>21</v>
      </c>
      <c r="N49" s="341" t="str">
        <f t="shared" si="3"/>
        <v/>
      </c>
      <c r="O49" s="296"/>
      <c r="S49" s="38">
        <f>SUM(S31:S48)+SUM(AD31:AD48)+SUM(AE31:AE45)+X56</f>
        <v>122.8</v>
      </c>
      <c r="T49" s="38">
        <v>10</v>
      </c>
      <c r="U49" s="38">
        <v>4.5</v>
      </c>
      <c r="V49" s="38">
        <v>650</v>
      </c>
      <c r="W49" s="38">
        <v>15</v>
      </c>
      <c r="X49" s="38" t="str">
        <f>IF(AND(OR($B$3="H",$B$3="HM"),$B$4=10,$B$6=4.5),$V49+$W49*$B$8,"")</f>
        <v/>
      </c>
    </row>
    <row r="50" spans="1:24">
      <c r="A50" s="31"/>
      <c r="B50" s="31"/>
      <c r="C50" s="220" t="str">
        <f t="shared" si="1"/>
        <v/>
      </c>
      <c r="D50" s="143" t="str">
        <f t="shared" si="2"/>
        <v/>
      </c>
      <c r="E50" s="217"/>
      <c r="I50" s="244"/>
      <c r="L50" s="339">
        <v>4.5</v>
      </c>
      <c r="M50" s="340">
        <v>30</v>
      </c>
      <c r="N50" s="341" t="str">
        <f t="shared" si="3"/>
        <v/>
      </c>
      <c r="O50" s="296"/>
      <c r="U50" s="38">
        <v>5.5</v>
      </c>
      <c r="V50" s="38">
        <v>660</v>
      </c>
      <c r="W50" s="38">
        <v>17</v>
      </c>
      <c r="X50" s="38" t="str">
        <f>IF(AND(OR($B$3="H",$B$3="HM"),$B$4=10,$B$6=5.5),$V50+$W50*$B$8,"")</f>
        <v/>
      </c>
    </row>
    <row r="51" spans="1:24">
      <c r="A51" s="31"/>
      <c r="B51" s="31"/>
      <c r="C51" s="220" t="str">
        <f t="shared" si="1"/>
        <v/>
      </c>
      <c r="D51" s="143" t="str">
        <f t="shared" si="2"/>
        <v/>
      </c>
      <c r="E51" s="217"/>
      <c r="I51" s="244"/>
      <c r="U51" s="38">
        <v>7</v>
      </c>
      <c r="V51" s="38">
        <v>704</v>
      </c>
      <c r="W51" s="38">
        <v>21</v>
      </c>
      <c r="X51" s="38" t="str">
        <f>IF(AND(OR($B$3="H",$B$3="HM"),$B$4=10,$B$6=7),$V51+$W51*$B$8,"")</f>
        <v/>
      </c>
    </row>
    <row r="52" spans="1:24">
      <c r="A52" s="31"/>
      <c r="B52" s="31"/>
      <c r="C52" s="220" t="str">
        <f t="shared" si="1"/>
        <v/>
      </c>
      <c r="D52" s="143" t="str">
        <f t="shared" si="2"/>
        <v/>
      </c>
      <c r="E52" s="217"/>
      <c r="I52" s="244"/>
      <c r="T52" s="38">
        <v>12</v>
      </c>
      <c r="U52" s="38">
        <v>5.5</v>
      </c>
      <c r="V52" s="38">
        <v>1060</v>
      </c>
      <c r="W52" s="38">
        <v>22</v>
      </c>
      <c r="X52" s="38" t="str">
        <f>IF(AND(OR($B$3="H",$B$3="HM"),$B$4=12,$B$6=5.5),$V52+$W52*$B$8,"")</f>
        <v/>
      </c>
    </row>
    <row r="53" spans="1:24">
      <c r="A53" s="31" t="s">
        <v>300</v>
      </c>
      <c r="B53" s="31"/>
      <c r="C53" s="220" t="str">
        <f t="shared" si="1"/>
        <v/>
      </c>
      <c r="D53" s="143" t="str">
        <f t="shared" si="2"/>
        <v/>
      </c>
      <c r="E53" s="217"/>
      <c r="I53" s="244"/>
      <c r="U53" s="38">
        <v>8</v>
      </c>
      <c r="V53" s="38">
        <v>1155</v>
      </c>
      <c r="W53" s="38">
        <v>29</v>
      </c>
      <c r="X53" s="38" t="str">
        <f>IF(AND(OR($B$3="H",$B$3="HM"),$B$4=12,$B$6=8),$V53+$W53*$B$8,"")</f>
        <v/>
      </c>
    </row>
    <row r="54" spans="1:24">
      <c r="A54" s="31" t="s">
        <v>579</v>
      </c>
      <c r="B54" s="31"/>
      <c r="C54" s="220" t="str">
        <f t="shared" si="1"/>
        <v/>
      </c>
      <c r="D54" s="143" t="str">
        <f t="shared" si="2"/>
        <v/>
      </c>
      <c r="I54" s="244"/>
      <c r="T54" s="38">
        <v>14</v>
      </c>
      <c r="U54" s="38">
        <v>7</v>
      </c>
      <c r="V54" s="38">
        <v>1525</v>
      </c>
      <c r="W54" s="38">
        <v>28</v>
      </c>
      <c r="X54" s="38" t="str">
        <f>IF(AND(OR($B$3="H",$B$3="HM"),$B$4=14,$B$6=7),$V54+$W54*$B$8,"")</f>
        <v/>
      </c>
    </row>
    <row r="55" spans="1:24">
      <c r="A55" s="31" t="s">
        <v>283</v>
      </c>
      <c r="B55" s="31"/>
      <c r="C55" s="220" t="str">
        <f t="shared" si="1"/>
        <v/>
      </c>
      <c r="D55" s="143" t="str">
        <f t="shared" si="2"/>
        <v/>
      </c>
      <c r="I55" s="244"/>
      <c r="U55" s="38">
        <v>10</v>
      </c>
      <c r="V55" s="38">
        <v>1685</v>
      </c>
      <c r="W55" s="38">
        <v>39</v>
      </c>
      <c r="X55" s="38" t="str">
        <f>IF(AND(OR($B$3="H",$B$3="HM"),$B$4=14,$B$6=10),$V55+$W55*$B$8,"")</f>
        <v/>
      </c>
    </row>
    <row r="56" spans="1:24">
      <c r="A56" s="31" t="s">
        <v>461</v>
      </c>
      <c r="B56" s="31"/>
      <c r="C56" s="220" t="str">
        <f t="shared" si="1"/>
        <v/>
      </c>
      <c r="D56" s="143" t="str">
        <f t="shared" si="2"/>
        <v/>
      </c>
      <c r="I56" s="244"/>
      <c r="X56" s="38">
        <f>SUM(X49:X55)</f>
        <v>0</v>
      </c>
    </row>
    <row r="57" spans="1:24">
      <c r="A57" s="31" t="s">
        <v>79</v>
      </c>
      <c r="B57" s="31"/>
      <c r="C57" s="220" t="str">
        <f t="shared" si="1"/>
        <v/>
      </c>
      <c r="D57" s="143" t="str">
        <f t="shared" si="2"/>
        <v/>
      </c>
      <c r="I57" s="244"/>
      <c r="L57" s="293" t="s">
        <v>20530</v>
      </c>
      <c r="M57" s="294" t="s">
        <v>181</v>
      </c>
      <c r="N57" s="295">
        <v>100</v>
      </c>
    </row>
    <row r="58" spans="1:24">
      <c r="A58" s="31" t="s">
        <v>646</v>
      </c>
      <c r="B58" s="31"/>
      <c r="C58" s="220" t="str">
        <f t="shared" si="1"/>
        <v/>
      </c>
      <c r="D58" s="143" t="str">
        <f t="shared" si="2"/>
        <v/>
      </c>
      <c r="H58" s="245"/>
      <c r="I58" s="246"/>
      <c r="J58" s="247"/>
      <c r="L58" s="296"/>
      <c r="N58" s="297"/>
    </row>
    <row r="59" spans="1:24">
      <c r="A59" s="31" t="s">
        <v>280</v>
      </c>
      <c r="B59" s="31"/>
      <c r="C59" s="220" t="str">
        <f t="shared" si="1"/>
        <v/>
      </c>
      <c r="D59" s="143" t="str">
        <f t="shared" si="2"/>
        <v/>
      </c>
      <c r="I59" s="244"/>
      <c r="L59" s="298">
        <v>0.312</v>
      </c>
      <c r="M59" s="299"/>
      <c r="N59" s="300"/>
      <c r="O59" s="223"/>
      <c r="P59" s="223"/>
    </row>
    <row r="60" spans="1:24" ht="13.5">
      <c r="A60" s="31" t="s">
        <v>99</v>
      </c>
      <c r="B60" s="31"/>
      <c r="C60" s="220" t="str">
        <f t="shared" si="1"/>
        <v/>
      </c>
      <c r="D60" s="143" t="str">
        <f t="shared" si="2"/>
        <v/>
      </c>
      <c r="I60" s="244"/>
      <c r="L60" s="301">
        <v>0.25</v>
      </c>
      <c r="M60" s="347">
        <v>7</v>
      </c>
      <c r="N60" s="297" t="str">
        <f>IF(L$59=L60,M$59*M60+N$57,"")</f>
        <v/>
      </c>
    </row>
    <row r="61" spans="1:24" ht="13.5">
      <c r="A61" s="31" t="s">
        <v>631</v>
      </c>
      <c r="B61" s="31"/>
      <c r="C61" s="220" t="str">
        <f t="shared" si="1"/>
        <v/>
      </c>
      <c r="D61" s="143" t="str">
        <f t="shared" si="2"/>
        <v/>
      </c>
      <c r="I61" s="244"/>
      <c r="L61" s="301">
        <v>0.312</v>
      </c>
      <c r="M61" s="347">
        <v>7.5</v>
      </c>
      <c r="N61" s="297">
        <f t="shared" ref="N61:N69" si="4">IF(L$59=L61,M$59*M61+N$57,"")</f>
        <v>100</v>
      </c>
    </row>
    <row r="62" spans="1:24" ht="13.5">
      <c r="A62" s="31" t="s">
        <v>861</v>
      </c>
      <c r="B62" s="31"/>
      <c r="C62" s="220" t="str">
        <f t="shared" si="1"/>
        <v/>
      </c>
      <c r="D62" s="143" t="str">
        <f t="shared" si="2"/>
        <v/>
      </c>
      <c r="I62" s="244"/>
      <c r="L62" s="301">
        <v>0.375</v>
      </c>
      <c r="M62" s="347">
        <v>8</v>
      </c>
      <c r="N62" s="297" t="str">
        <f t="shared" si="4"/>
        <v/>
      </c>
    </row>
    <row r="63" spans="1:24" ht="13.5">
      <c r="A63" s="31" t="s">
        <v>717</v>
      </c>
      <c r="B63" s="31"/>
      <c r="C63" s="220" t="str">
        <f t="shared" si="1"/>
        <v/>
      </c>
      <c r="D63" s="143" t="str">
        <f t="shared" si="2"/>
        <v/>
      </c>
      <c r="I63" s="244"/>
      <c r="L63" s="301">
        <v>0.5</v>
      </c>
      <c r="M63" s="347">
        <v>8.5</v>
      </c>
      <c r="N63" s="297" t="str">
        <f t="shared" si="4"/>
        <v/>
      </c>
      <c r="R63" s="38" t="s">
        <v>20072</v>
      </c>
      <c r="S63" s="38" t="s">
        <v>100</v>
      </c>
      <c r="T63" s="38" t="s">
        <v>20073</v>
      </c>
      <c r="U63" s="38" t="s">
        <v>20074</v>
      </c>
      <c r="V63" s="38" t="s">
        <v>181</v>
      </c>
      <c r="W63" s="38" t="s">
        <v>20081</v>
      </c>
    </row>
    <row r="64" spans="1:24" ht="13.5">
      <c r="A64" s="31" t="s">
        <v>387</v>
      </c>
      <c r="B64" s="31"/>
      <c r="C64" s="220" t="str">
        <f t="shared" si="1"/>
        <v/>
      </c>
      <c r="D64" s="143" t="str">
        <f t="shared" si="2"/>
        <v/>
      </c>
      <c r="I64" s="244"/>
      <c r="L64" s="301">
        <v>0.625</v>
      </c>
      <c r="M64" s="347">
        <v>9</v>
      </c>
      <c r="N64" s="297" t="str">
        <f t="shared" si="4"/>
        <v/>
      </c>
      <c r="R64" s="38" t="s">
        <v>20075</v>
      </c>
      <c r="S64" s="38">
        <v>0.25</v>
      </c>
      <c r="T64" s="38">
        <v>3.4</v>
      </c>
      <c r="U64" s="38">
        <v>10</v>
      </c>
      <c r="V64" s="38" t="str">
        <f t="shared" ref="V64:V69" si="5">IF(S64=V$85,T64+U64+30,"")</f>
        <v/>
      </c>
      <c r="W64" s="38" t="str">
        <f t="shared" ref="W64:W69" si="6">IF(V64="","",T64)</f>
        <v/>
      </c>
    </row>
    <row r="65" spans="1:23" ht="13.5">
      <c r="A65" s="31" t="s">
        <v>695</v>
      </c>
      <c r="B65" s="31"/>
      <c r="C65" s="220" t="str">
        <f t="shared" si="1"/>
        <v/>
      </c>
      <c r="D65" s="143" t="str">
        <f t="shared" si="2"/>
        <v/>
      </c>
      <c r="I65" s="244"/>
      <c r="L65" s="301">
        <v>0.75</v>
      </c>
      <c r="M65" s="347">
        <v>12</v>
      </c>
      <c r="N65" s="297" t="str">
        <f t="shared" si="4"/>
        <v/>
      </c>
      <c r="R65" s="38" t="s">
        <v>20076</v>
      </c>
      <c r="S65" s="38">
        <v>0.375</v>
      </c>
      <c r="T65" s="38">
        <v>4</v>
      </c>
      <c r="U65" s="38">
        <v>12</v>
      </c>
      <c r="V65" s="38" t="str">
        <f t="shared" si="5"/>
        <v/>
      </c>
      <c r="W65" s="38" t="str">
        <f t="shared" si="6"/>
        <v/>
      </c>
    </row>
    <row r="66" spans="1:23" ht="13.5">
      <c r="A66" s="31"/>
      <c r="B66" s="31"/>
      <c r="C66" s="220" t="str">
        <f t="shared" si="1"/>
        <v/>
      </c>
      <c r="D66" s="143" t="str">
        <f t="shared" si="2"/>
        <v/>
      </c>
      <c r="I66" s="244"/>
      <c r="L66" s="301">
        <v>0.875</v>
      </c>
      <c r="M66" s="347">
        <v>14</v>
      </c>
      <c r="N66" s="297" t="str">
        <f t="shared" si="4"/>
        <v/>
      </c>
      <c r="R66" s="38" t="s">
        <v>20077</v>
      </c>
      <c r="S66" s="38">
        <v>0.5</v>
      </c>
      <c r="T66" s="38">
        <v>4.5</v>
      </c>
      <c r="U66" s="38">
        <v>15</v>
      </c>
      <c r="V66" s="38" t="str">
        <f t="shared" si="5"/>
        <v/>
      </c>
      <c r="W66" s="38" t="str">
        <f t="shared" si="6"/>
        <v/>
      </c>
    </row>
    <row r="67" spans="1:23" ht="13.5">
      <c r="A67" s="31"/>
      <c r="B67" s="31"/>
      <c r="C67" s="220" t="str">
        <f t="shared" si="1"/>
        <v/>
      </c>
      <c r="D67" s="143" t="str">
        <f t="shared" si="2"/>
        <v/>
      </c>
      <c r="I67" s="244"/>
      <c r="L67" s="301">
        <v>1</v>
      </c>
      <c r="M67" s="347">
        <v>18</v>
      </c>
      <c r="N67" s="297" t="str">
        <f t="shared" si="4"/>
        <v/>
      </c>
      <c r="R67" s="38" t="s">
        <v>20078</v>
      </c>
      <c r="S67" s="38">
        <v>0.625</v>
      </c>
      <c r="T67" s="38">
        <v>5.9</v>
      </c>
      <c r="U67" s="38">
        <v>20</v>
      </c>
      <c r="V67" s="38" t="str">
        <f t="shared" si="5"/>
        <v/>
      </c>
      <c r="W67" s="38" t="str">
        <f t="shared" si="6"/>
        <v/>
      </c>
    </row>
    <row r="68" spans="1:23" ht="13.5">
      <c r="A68" s="31"/>
      <c r="B68" s="31"/>
      <c r="C68" s="220" t="str">
        <f t="shared" si="1"/>
        <v/>
      </c>
      <c r="D68" s="143" t="str">
        <f t="shared" si="2"/>
        <v/>
      </c>
      <c r="I68" s="244"/>
      <c r="L68" s="301">
        <v>1.125</v>
      </c>
      <c r="M68" s="347">
        <v>23</v>
      </c>
      <c r="N68" s="297" t="str">
        <f t="shared" si="4"/>
        <v/>
      </c>
      <c r="R68" s="38" t="s">
        <v>20079</v>
      </c>
      <c r="S68" s="38">
        <v>0.75</v>
      </c>
      <c r="T68" s="38">
        <v>7.3</v>
      </c>
      <c r="U68" s="38">
        <v>25</v>
      </c>
      <c r="V68" s="38" t="str">
        <f t="shared" si="5"/>
        <v/>
      </c>
      <c r="W68" s="38" t="str">
        <f t="shared" si="6"/>
        <v/>
      </c>
    </row>
    <row r="69" spans="1:23" ht="13.5">
      <c r="A69" s="31"/>
      <c r="B69" s="31"/>
      <c r="C69" s="220" t="str">
        <f t="shared" si="1"/>
        <v/>
      </c>
      <c r="D69" s="143" t="str">
        <f t="shared" si="2"/>
        <v/>
      </c>
      <c r="I69" s="244"/>
      <c r="L69" s="302">
        <v>1.25</v>
      </c>
      <c r="M69" s="348">
        <v>25</v>
      </c>
      <c r="N69" s="297" t="str">
        <f t="shared" si="4"/>
        <v/>
      </c>
      <c r="R69" s="38" t="s">
        <v>20080</v>
      </c>
      <c r="S69" s="38">
        <v>1</v>
      </c>
      <c r="T69" s="38">
        <v>9.5</v>
      </c>
      <c r="U69" s="38">
        <v>35</v>
      </c>
      <c r="V69" s="38" t="str">
        <f t="shared" si="5"/>
        <v/>
      </c>
      <c r="W69" s="38" t="str">
        <f t="shared" si="6"/>
        <v/>
      </c>
    </row>
    <row r="70" spans="1:23">
      <c r="A70" s="41"/>
      <c r="B70" s="31"/>
      <c r="C70" s="220" t="str">
        <f t="shared" si="1"/>
        <v/>
      </c>
      <c r="D70" s="143" t="str">
        <f t="shared" si="2"/>
        <v/>
      </c>
      <c r="I70" s="244"/>
      <c r="N70" s="446">
        <f>SUM(N60:N69)</f>
        <v>100</v>
      </c>
      <c r="V70" s="38">
        <f>SUM(V64:V69)</f>
        <v>0</v>
      </c>
      <c r="W70" s="38">
        <f>SUM(W64:W69)</f>
        <v>0</v>
      </c>
    </row>
    <row r="71" spans="1:23">
      <c r="A71" s="31"/>
      <c r="B71" s="31"/>
      <c r="C71" s="220" t="str">
        <f t="shared" si="1"/>
        <v/>
      </c>
      <c r="D71" s="143" t="str">
        <f t="shared" si="2"/>
        <v/>
      </c>
      <c r="I71" s="244"/>
    </row>
    <row r="72" spans="1:23">
      <c r="A72" s="31"/>
      <c r="B72" s="31"/>
      <c r="C72" s="220" t="str">
        <f t="shared" si="1"/>
        <v/>
      </c>
      <c r="D72" s="143" t="str">
        <f t="shared" si="2"/>
        <v/>
      </c>
      <c r="I72" s="244"/>
    </row>
    <row r="73" spans="1:23">
      <c r="A73" s="31"/>
      <c r="B73" s="31"/>
      <c r="C73" s="220" t="str">
        <f t="shared" si="1"/>
        <v/>
      </c>
      <c r="D73" s="143" t="str">
        <f t="shared" si="2"/>
        <v/>
      </c>
      <c r="I73" s="244"/>
    </row>
    <row r="74" spans="1:23">
      <c r="A74" s="31"/>
      <c r="B74" s="31"/>
      <c r="C74" s="220" t="str">
        <f t="shared" si="1"/>
        <v/>
      </c>
      <c r="D74" s="31" t="str">
        <f>IF(B74="","",B74)</f>
        <v/>
      </c>
      <c r="I74" s="244"/>
      <c r="S74" s="38" t="s">
        <v>418</v>
      </c>
      <c r="T74" s="38" t="s">
        <v>747</v>
      </c>
      <c r="U74" s="38" t="s">
        <v>748</v>
      </c>
    </row>
    <row r="75" spans="1:23">
      <c r="A75" s="31"/>
      <c r="B75" s="31"/>
      <c r="C75" s="248"/>
      <c r="D75" s="31"/>
      <c r="I75" s="244"/>
      <c r="S75" s="38">
        <v>1.5</v>
      </c>
      <c r="T75" s="38">
        <v>0.375</v>
      </c>
      <c r="U75" s="38">
        <v>0.625</v>
      </c>
      <c r="V75" s="38" t="str">
        <f>IF(OR(B$3="A",B$3="LH"),IF(B$4=S75,T75,""),"")</f>
        <v/>
      </c>
      <c r="W75" s="38" t="str">
        <f>IF(OR(B$3="H",B$3="MH"),IF(B$4=S75,U75,""),"")</f>
        <v/>
      </c>
    </row>
    <row r="76" spans="1:23">
      <c r="A76" s="31"/>
      <c r="B76" s="31"/>
      <c r="C76" s="248"/>
      <c r="D76" s="31"/>
      <c r="I76" s="244"/>
      <c r="S76" s="38">
        <v>2</v>
      </c>
      <c r="T76" s="38">
        <v>0.375</v>
      </c>
      <c r="U76" s="38">
        <v>0.625</v>
      </c>
      <c r="V76" s="38" t="str">
        <f t="shared" ref="V76:V84" si="7">IF(OR(B$3="A",B$3="LH"),IF(B$4=S76,T76,""),"")</f>
        <v/>
      </c>
      <c r="W76" s="38" t="str">
        <f t="shared" ref="W76:W84" si="8">IF(OR(B$3="H",B$3="MH"),IF(B$4=S76,U76,""),"")</f>
        <v/>
      </c>
    </row>
    <row r="77" spans="1:23">
      <c r="A77" s="31"/>
      <c r="B77" s="31"/>
      <c r="C77" s="248"/>
      <c r="D77" s="31"/>
      <c r="I77" s="244"/>
      <c r="S77" s="38">
        <v>2.5</v>
      </c>
      <c r="T77" s="38">
        <v>0.375</v>
      </c>
      <c r="U77" s="38">
        <v>0.625</v>
      </c>
      <c r="V77" s="38" t="str">
        <f t="shared" si="7"/>
        <v/>
      </c>
      <c r="W77" s="38" t="str">
        <f t="shared" si="8"/>
        <v/>
      </c>
    </row>
    <row r="78" spans="1:23">
      <c r="A78" s="31"/>
      <c r="B78" s="31"/>
      <c r="C78" s="248"/>
      <c r="D78" s="31"/>
      <c r="I78" s="244"/>
      <c r="S78" s="38">
        <v>3.25</v>
      </c>
      <c r="T78" s="38">
        <v>0.5</v>
      </c>
      <c r="U78" s="38">
        <v>0.75</v>
      </c>
      <c r="V78" s="38" t="str">
        <f t="shared" si="7"/>
        <v/>
      </c>
      <c r="W78" s="38" t="str">
        <f t="shared" si="8"/>
        <v/>
      </c>
    </row>
    <row r="79" spans="1:23">
      <c r="A79" s="31"/>
      <c r="B79" s="31"/>
      <c r="C79" s="248"/>
      <c r="D79" s="31"/>
      <c r="I79" s="244"/>
      <c r="S79" s="38">
        <v>4</v>
      </c>
      <c r="T79" s="38">
        <v>0.5</v>
      </c>
      <c r="U79" s="38">
        <v>0.75</v>
      </c>
      <c r="V79" s="38" t="str">
        <f t="shared" si="7"/>
        <v/>
      </c>
      <c r="W79" s="38" t="str">
        <f t="shared" si="8"/>
        <v/>
      </c>
    </row>
    <row r="80" spans="1:23">
      <c r="A80" s="31"/>
      <c r="B80" s="31"/>
      <c r="C80" s="248"/>
      <c r="D80" s="31"/>
      <c r="I80" s="244"/>
      <c r="S80" s="38">
        <v>5</v>
      </c>
      <c r="T80" s="38">
        <v>0.5</v>
      </c>
      <c r="U80" s="38">
        <v>0.75</v>
      </c>
      <c r="V80" s="38" t="str">
        <f t="shared" si="7"/>
        <v/>
      </c>
      <c r="W80" s="38">
        <f t="shared" si="8"/>
        <v>0.75</v>
      </c>
    </row>
    <row r="81" spans="1:23">
      <c r="A81" s="31"/>
      <c r="B81" s="31"/>
      <c r="C81" s="248"/>
      <c r="D81" s="31"/>
      <c r="I81" s="244"/>
      <c r="S81" s="38">
        <v>6</v>
      </c>
      <c r="T81" s="38">
        <v>0.75</v>
      </c>
      <c r="U81" s="38">
        <v>1</v>
      </c>
      <c r="V81" s="38" t="str">
        <f t="shared" si="7"/>
        <v/>
      </c>
      <c r="W81" s="38" t="str">
        <f t="shared" si="8"/>
        <v/>
      </c>
    </row>
    <row r="82" spans="1:23">
      <c r="A82" s="31"/>
      <c r="B82" s="31"/>
      <c r="C82" s="248"/>
      <c r="D82" s="31"/>
      <c r="I82" s="244"/>
      <c r="S82" s="38">
        <v>8</v>
      </c>
      <c r="T82" s="38">
        <v>0.75</v>
      </c>
      <c r="V82" s="38" t="str">
        <f t="shared" si="7"/>
        <v/>
      </c>
      <c r="W82" s="38" t="str">
        <f t="shared" si="8"/>
        <v/>
      </c>
    </row>
    <row r="83" spans="1:23">
      <c r="A83" s="31"/>
      <c r="B83" s="31"/>
      <c r="C83" s="248"/>
      <c r="D83" s="31"/>
      <c r="I83" s="244"/>
      <c r="S83" s="38">
        <v>10</v>
      </c>
      <c r="T83" s="38">
        <v>1</v>
      </c>
      <c r="V83" s="38" t="str">
        <f t="shared" si="7"/>
        <v/>
      </c>
      <c r="W83" s="38" t="str">
        <f t="shared" si="8"/>
        <v/>
      </c>
    </row>
    <row r="84" spans="1:23">
      <c r="A84" s="31"/>
      <c r="B84" s="31"/>
      <c r="C84" s="248"/>
      <c r="D84" s="31"/>
      <c r="I84" s="244"/>
      <c r="S84" s="38">
        <v>12</v>
      </c>
      <c r="T84" s="38">
        <v>1</v>
      </c>
      <c r="V84" s="38" t="str">
        <f t="shared" si="7"/>
        <v/>
      </c>
      <c r="W84" s="38" t="str">
        <f t="shared" si="8"/>
        <v/>
      </c>
    </row>
    <row r="85" spans="1:23">
      <c r="A85" s="31"/>
      <c r="B85" s="31"/>
      <c r="C85" s="248"/>
      <c r="D85" s="31"/>
      <c r="I85" s="244"/>
      <c r="V85" s="38">
        <f>SUM(V75:V84)</f>
        <v>0</v>
      </c>
      <c r="W85" s="38">
        <f>SUM(W75:W84)</f>
        <v>0.75</v>
      </c>
    </row>
    <row r="86" spans="1:23">
      <c r="A86" s="31"/>
      <c r="B86" s="31"/>
      <c r="C86" s="248"/>
      <c r="D86" s="31"/>
      <c r="I86" s="244"/>
    </row>
    <row r="87" spans="1:23">
      <c r="A87" s="31"/>
      <c r="B87" s="31"/>
      <c r="C87" s="248"/>
      <c r="D87" s="31"/>
      <c r="I87" s="244"/>
    </row>
    <row r="88" spans="1:23">
      <c r="A88" s="31"/>
      <c r="B88" s="31"/>
      <c r="C88" s="248"/>
      <c r="D88" s="31"/>
      <c r="I88" s="244"/>
    </row>
    <row r="89" spans="1:23">
      <c r="A89" s="31"/>
      <c r="B89" s="31"/>
      <c r="C89" s="248"/>
      <c r="D89" s="31"/>
      <c r="I89" s="244"/>
    </row>
    <row r="90" spans="1:23">
      <c r="A90" s="31"/>
      <c r="B90" s="31"/>
      <c r="C90" s="248"/>
      <c r="D90" s="31"/>
      <c r="I90" s="244"/>
    </row>
    <row r="91" spans="1:23">
      <c r="A91" s="31"/>
      <c r="B91" s="31"/>
      <c r="C91" s="248"/>
      <c r="D91" s="31"/>
      <c r="I91" s="244"/>
    </row>
    <row r="92" spans="1:23">
      <c r="A92" s="31"/>
      <c r="B92" s="31"/>
      <c r="C92" s="248"/>
      <c r="D92" s="31"/>
      <c r="I92" s="244"/>
    </row>
    <row r="93" spans="1:23">
      <c r="A93" s="31"/>
      <c r="B93" s="31"/>
      <c r="C93" s="248"/>
      <c r="D93" s="31"/>
      <c r="I93" s="244"/>
    </row>
    <row r="94" spans="1:23">
      <c r="A94" s="31"/>
      <c r="B94" s="31"/>
      <c r="C94" s="248"/>
      <c r="D94" s="31"/>
      <c r="I94" s="244"/>
    </row>
    <row r="95" spans="1:23">
      <c r="A95" s="31"/>
      <c r="B95" s="31"/>
      <c r="C95" s="248"/>
      <c r="D95" s="31"/>
      <c r="I95" s="244"/>
    </row>
    <row r="96" spans="1:23">
      <c r="A96" s="31"/>
      <c r="B96" s="31"/>
      <c r="C96" s="248"/>
      <c r="D96" s="31"/>
      <c r="I96" s="244"/>
    </row>
    <row r="97" spans="1:9">
      <c r="A97" s="31"/>
      <c r="B97" s="31"/>
      <c r="C97" s="248"/>
      <c r="D97" s="31"/>
      <c r="I97" s="244"/>
    </row>
    <row r="98" spans="1:9">
      <c r="A98" s="31"/>
      <c r="B98" s="31"/>
      <c r="C98" s="248"/>
      <c r="D98" s="31"/>
      <c r="I98" s="244"/>
    </row>
    <row r="99" spans="1:9">
      <c r="A99" s="31"/>
      <c r="B99" s="31"/>
      <c r="C99" s="248"/>
      <c r="D99" s="31"/>
      <c r="I99" s="244"/>
    </row>
    <row r="100" spans="1:9">
      <c r="A100" s="31"/>
      <c r="B100" s="31"/>
      <c r="C100" s="248"/>
      <c r="D100" s="31"/>
      <c r="I100" s="244"/>
    </row>
    <row r="101" spans="1:9">
      <c r="A101" s="31"/>
      <c r="B101" s="31"/>
      <c r="C101" s="248"/>
      <c r="D101" s="31"/>
      <c r="I101" s="244"/>
    </row>
    <row r="102" spans="1:9">
      <c r="A102" s="31"/>
      <c r="B102" s="31"/>
      <c r="C102" s="248"/>
      <c r="D102" s="31"/>
      <c r="I102" s="244"/>
    </row>
    <row r="103" spans="1:9">
      <c r="A103" s="31"/>
      <c r="B103" s="31"/>
      <c r="C103" s="248"/>
      <c r="D103" s="31"/>
      <c r="I103" s="244"/>
    </row>
    <row r="104" spans="1:9">
      <c r="A104" s="31"/>
      <c r="B104" s="31"/>
      <c r="C104" s="248"/>
      <c r="D104" s="31"/>
      <c r="I104" s="244"/>
    </row>
    <row r="105" spans="1:9">
      <c r="A105" s="31"/>
      <c r="B105" s="31"/>
      <c r="C105" s="248"/>
      <c r="D105" s="31"/>
      <c r="I105" s="244"/>
    </row>
    <row r="106" spans="1:9">
      <c r="A106" s="31"/>
      <c r="B106" s="31"/>
      <c r="C106" s="248"/>
      <c r="D106" s="31"/>
      <c r="I106" s="244"/>
    </row>
    <row r="107" spans="1:9">
      <c r="A107" s="31"/>
      <c r="B107" s="31"/>
      <c r="C107" s="248"/>
      <c r="D107" s="31"/>
      <c r="I107" s="244"/>
    </row>
    <row r="108" spans="1:9">
      <c r="A108" s="31"/>
      <c r="B108" s="31"/>
      <c r="C108" s="248"/>
      <c r="D108" s="31"/>
      <c r="I108" s="244"/>
    </row>
    <row r="109" spans="1:9">
      <c r="A109" s="31"/>
      <c r="B109" s="31"/>
      <c r="C109" s="248"/>
      <c r="D109" s="31"/>
      <c r="I109" s="244"/>
    </row>
    <row r="110" spans="1:9">
      <c r="A110" s="31"/>
      <c r="B110" s="31"/>
      <c r="C110" s="248"/>
      <c r="D110" s="31"/>
      <c r="I110" s="244"/>
    </row>
    <row r="111" spans="1:9">
      <c r="A111" s="31"/>
      <c r="B111" s="31"/>
      <c r="C111" s="248"/>
      <c r="D111" s="31"/>
      <c r="I111" s="244"/>
    </row>
    <row r="112" spans="1:9">
      <c r="A112" s="31"/>
      <c r="B112" s="31"/>
      <c r="C112" s="248"/>
      <c r="D112" s="31"/>
      <c r="I112" s="244"/>
    </row>
    <row r="113" spans="1:9">
      <c r="A113" s="31"/>
      <c r="B113" s="31"/>
      <c r="C113" s="248"/>
      <c r="D113" s="31"/>
      <c r="I113" s="244"/>
    </row>
    <row r="114" spans="1:9">
      <c r="A114" s="31"/>
      <c r="B114" s="31"/>
      <c r="C114" s="248"/>
      <c r="D114" s="31"/>
      <c r="I114" s="244"/>
    </row>
    <row r="115" spans="1:9">
      <c r="A115" s="31"/>
      <c r="B115" s="31"/>
      <c r="C115" s="248"/>
      <c r="D115" s="31"/>
      <c r="I115" s="244"/>
    </row>
    <row r="116" spans="1:9">
      <c r="A116" s="31"/>
      <c r="B116" s="31"/>
      <c r="C116" s="248"/>
      <c r="D116" s="31"/>
      <c r="I116" s="244"/>
    </row>
    <row r="117" spans="1:9">
      <c r="A117" s="31"/>
      <c r="B117" s="31"/>
      <c r="C117" s="248"/>
      <c r="D117" s="31"/>
      <c r="I117" s="244"/>
    </row>
    <row r="118" spans="1:9">
      <c r="A118" s="31"/>
      <c r="B118" s="31"/>
      <c r="C118" s="248"/>
      <c r="D118" s="31"/>
      <c r="I118" s="244"/>
    </row>
    <row r="119" spans="1:9">
      <c r="A119" s="31"/>
      <c r="B119" s="31"/>
      <c r="C119" s="248"/>
      <c r="D119" s="31"/>
      <c r="I119" s="244"/>
    </row>
    <row r="120" spans="1:9">
      <c r="A120" s="31"/>
      <c r="B120" s="31"/>
      <c r="C120" s="248"/>
      <c r="D120" s="31"/>
      <c r="I120" s="244"/>
    </row>
    <row r="121" spans="1:9">
      <c r="A121" s="31"/>
      <c r="B121" s="31"/>
      <c r="C121" s="248"/>
      <c r="D121" s="31"/>
      <c r="I121" s="244"/>
    </row>
    <row r="122" spans="1:9">
      <c r="A122" s="31"/>
      <c r="B122" s="31"/>
      <c r="C122" s="248"/>
      <c r="D122" s="31"/>
      <c r="I122" s="244"/>
    </row>
    <row r="123" spans="1:9">
      <c r="A123" s="31"/>
      <c r="B123" s="31"/>
      <c r="C123" s="248"/>
      <c r="D123" s="31"/>
      <c r="I123" s="244"/>
    </row>
    <row r="124" spans="1:9">
      <c r="A124" s="31"/>
      <c r="B124" s="31"/>
      <c r="C124" s="248"/>
      <c r="D124" s="31"/>
      <c r="I124" s="244"/>
    </row>
    <row r="125" spans="1:9">
      <c r="A125" s="31"/>
      <c r="B125" s="31"/>
      <c r="C125" s="248"/>
      <c r="D125" s="31"/>
      <c r="I125" s="244"/>
    </row>
    <row r="126" spans="1:9">
      <c r="A126" s="31"/>
      <c r="B126" s="31"/>
      <c r="C126" s="248"/>
      <c r="D126" s="31"/>
      <c r="I126" s="244"/>
    </row>
    <row r="127" spans="1:9">
      <c r="A127" s="31"/>
      <c r="B127" s="31"/>
      <c r="C127" s="248"/>
      <c r="D127" s="31"/>
      <c r="I127" s="244"/>
    </row>
    <row r="128" spans="1:9">
      <c r="A128" s="31"/>
      <c r="B128" s="31"/>
      <c r="C128" s="248"/>
      <c r="D128" s="31"/>
      <c r="I128" s="244"/>
    </row>
    <row r="129" spans="1:9">
      <c r="A129" s="31"/>
      <c r="B129" s="31"/>
      <c r="C129" s="248"/>
      <c r="D129" s="31"/>
      <c r="I129" s="244"/>
    </row>
    <row r="130" spans="1:9">
      <c r="A130" s="31"/>
      <c r="B130" s="31"/>
      <c r="C130" s="248"/>
      <c r="D130" s="31"/>
      <c r="I130" s="244"/>
    </row>
    <row r="131" spans="1:9">
      <c r="A131" s="31"/>
      <c r="B131" s="31"/>
      <c r="C131" s="248"/>
      <c r="D131" s="31"/>
      <c r="I131" s="244"/>
    </row>
    <row r="132" spans="1:9">
      <c r="A132" s="31"/>
      <c r="B132" s="31"/>
      <c r="C132" s="248"/>
      <c r="D132" s="31"/>
      <c r="I132" s="244"/>
    </row>
    <row r="133" spans="1:9">
      <c r="A133" s="31"/>
      <c r="B133" s="31"/>
      <c r="C133" s="248"/>
      <c r="D133" s="31"/>
      <c r="I133" s="244"/>
    </row>
    <row r="134" spans="1:9">
      <c r="A134" s="31"/>
      <c r="B134" s="31"/>
      <c r="C134" s="248"/>
      <c r="D134" s="31"/>
      <c r="I134" s="244"/>
    </row>
    <row r="135" spans="1:9">
      <c r="A135" s="31"/>
      <c r="B135" s="31"/>
      <c r="C135" s="248"/>
      <c r="D135" s="31"/>
      <c r="I135" s="244"/>
    </row>
    <row r="136" spans="1:9">
      <c r="A136" s="31"/>
      <c r="B136" s="31"/>
      <c r="C136" s="248"/>
      <c r="D136" s="31"/>
      <c r="I136" s="244"/>
    </row>
    <row r="137" spans="1:9">
      <c r="A137" s="31"/>
      <c r="B137" s="31"/>
      <c r="C137" s="248"/>
      <c r="D137" s="31"/>
      <c r="I137" s="244"/>
    </row>
    <row r="138" spans="1:9">
      <c r="A138" s="31"/>
      <c r="B138" s="31"/>
      <c r="C138" s="248"/>
      <c r="D138" s="31"/>
      <c r="I138" s="244"/>
    </row>
    <row r="139" spans="1:9">
      <c r="A139" s="31"/>
      <c r="B139" s="31"/>
      <c r="C139" s="248"/>
      <c r="D139" s="31"/>
      <c r="I139" s="244"/>
    </row>
    <row r="140" spans="1:9">
      <c r="A140" s="31"/>
      <c r="B140" s="31"/>
      <c r="C140" s="248"/>
      <c r="D140" s="31"/>
      <c r="I140" s="244"/>
    </row>
    <row r="141" spans="1:9">
      <c r="A141" s="31"/>
      <c r="B141" s="31"/>
      <c r="C141" s="248"/>
      <c r="D141" s="31"/>
      <c r="I141" s="244"/>
    </row>
    <row r="142" spans="1:9">
      <c r="A142" s="31"/>
      <c r="B142" s="31"/>
      <c r="C142" s="248"/>
      <c r="D142" s="31"/>
      <c r="I142" s="244"/>
    </row>
    <row r="143" spans="1:9">
      <c r="A143" s="31"/>
      <c r="B143" s="31"/>
      <c r="C143" s="248"/>
      <c r="D143" s="31"/>
      <c r="I143" s="244"/>
    </row>
    <row r="144" spans="1:9">
      <c r="A144" s="31"/>
      <c r="B144" s="31"/>
      <c r="C144" s="248"/>
      <c r="D144" s="31"/>
      <c r="I144" s="244"/>
    </row>
    <row r="145" spans="1:9">
      <c r="A145" s="31"/>
      <c r="B145" s="31"/>
      <c r="C145" s="248"/>
      <c r="D145" s="31"/>
      <c r="I145" s="244"/>
    </row>
    <row r="146" spans="1:9">
      <c r="A146" s="31"/>
      <c r="B146" s="31"/>
      <c r="C146" s="248"/>
      <c r="D146" s="31"/>
      <c r="I146" s="244"/>
    </row>
    <row r="147" spans="1:9">
      <c r="A147" s="31"/>
      <c r="B147" s="31"/>
      <c r="C147" s="248"/>
      <c r="D147" s="31"/>
      <c r="I147" s="244"/>
    </row>
    <row r="148" spans="1:9">
      <c r="A148" s="31"/>
      <c r="B148" s="31"/>
      <c r="C148" s="248"/>
      <c r="D148" s="31"/>
      <c r="I148" s="244"/>
    </row>
    <row r="149" spans="1:9">
      <c r="A149" s="31"/>
      <c r="B149" s="31"/>
      <c r="C149" s="248"/>
      <c r="D149" s="31"/>
      <c r="I149" s="244"/>
    </row>
    <row r="150" spans="1:9">
      <c r="A150" s="31"/>
      <c r="B150" s="31"/>
      <c r="C150" s="248"/>
      <c r="D150" s="31"/>
      <c r="I150" s="244"/>
    </row>
    <row r="151" spans="1:9">
      <c r="A151" s="31"/>
      <c r="B151" s="31"/>
      <c r="C151" s="248"/>
      <c r="D151" s="31"/>
      <c r="I151" s="244"/>
    </row>
    <row r="152" spans="1:9">
      <c r="A152" s="31"/>
      <c r="B152" s="31"/>
      <c r="C152" s="248"/>
      <c r="D152" s="31"/>
      <c r="I152" s="244"/>
    </row>
    <row r="153" spans="1:9">
      <c r="A153" s="31"/>
      <c r="B153" s="31"/>
      <c r="C153" s="248"/>
      <c r="D153" s="31"/>
      <c r="I153" s="244"/>
    </row>
    <row r="154" spans="1:9">
      <c r="A154" s="31"/>
      <c r="B154" s="31"/>
      <c r="C154" s="248"/>
      <c r="D154" s="31"/>
      <c r="I154" s="244"/>
    </row>
    <row r="155" spans="1:9">
      <c r="A155" s="31"/>
      <c r="B155" s="31"/>
      <c r="C155" s="248"/>
      <c r="D155" s="31"/>
      <c r="I155" s="244"/>
    </row>
    <row r="156" spans="1:9">
      <c r="A156" s="31"/>
      <c r="B156" s="31"/>
      <c r="C156" s="248"/>
      <c r="D156" s="31"/>
      <c r="I156" s="244"/>
    </row>
    <row r="157" spans="1:9">
      <c r="A157" s="31"/>
      <c r="B157" s="31"/>
      <c r="C157" s="248"/>
      <c r="D157" s="31"/>
      <c r="I157" s="244"/>
    </row>
    <row r="158" spans="1:9">
      <c r="A158" s="31"/>
      <c r="B158" s="31"/>
      <c r="C158" s="248"/>
      <c r="D158" s="31"/>
      <c r="I158" s="244"/>
    </row>
    <row r="159" spans="1:9">
      <c r="A159" s="31"/>
      <c r="B159" s="31"/>
      <c r="C159" s="248"/>
      <c r="D159" s="31"/>
      <c r="I159" s="244"/>
    </row>
    <row r="160" spans="1:9">
      <c r="A160" s="31"/>
      <c r="B160" s="31"/>
      <c r="C160" s="248"/>
      <c r="D160" s="31"/>
      <c r="I160" s="244"/>
    </row>
    <row r="161" spans="1:9">
      <c r="A161" s="31"/>
      <c r="B161" s="31"/>
      <c r="C161" s="248"/>
      <c r="D161" s="31"/>
      <c r="I161" s="244"/>
    </row>
    <row r="162" spans="1:9">
      <c r="A162" s="31"/>
      <c r="B162" s="31"/>
      <c r="C162" s="248"/>
      <c r="D162" s="31"/>
      <c r="I162" s="244"/>
    </row>
    <row r="163" spans="1:9">
      <c r="A163" s="31"/>
      <c r="B163" s="31"/>
      <c r="C163" s="248"/>
      <c r="D163" s="31"/>
      <c r="I163" s="244"/>
    </row>
    <row r="164" spans="1:9">
      <c r="A164" s="31"/>
      <c r="B164" s="31"/>
      <c r="C164" s="248"/>
      <c r="D164" s="31"/>
      <c r="I164" s="244"/>
    </row>
    <row r="165" spans="1:9">
      <c r="A165" s="31"/>
      <c r="B165" s="31"/>
      <c r="C165" s="248"/>
      <c r="D165" s="31"/>
      <c r="I165" s="244"/>
    </row>
    <row r="166" spans="1:9">
      <c r="A166" s="31"/>
      <c r="B166" s="31"/>
      <c r="C166" s="248"/>
      <c r="D166" s="31"/>
      <c r="I166" s="244"/>
    </row>
    <row r="167" spans="1:9">
      <c r="A167" s="31"/>
      <c r="B167" s="31"/>
      <c r="C167" s="248"/>
      <c r="D167" s="31"/>
      <c r="I167" s="244"/>
    </row>
    <row r="168" spans="1:9">
      <c r="A168" s="31"/>
      <c r="B168" s="31"/>
      <c r="C168" s="248"/>
      <c r="D168" s="31"/>
      <c r="I168" s="244"/>
    </row>
    <row r="169" spans="1:9">
      <c r="A169" s="31"/>
      <c r="B169" s="31"/>
      <c r="C169" s="248"/>
      <c r="D169" s="31"/>
      <c r="I169" s="244"/>
    </row>
    <row r="170" spans="1:9">
      <c r="A170" s="31"/>
      <c r="B170" s="31"/>
      <c r="C170" s="248"/>
      <c r="D170" s="31"/>
      <c r="I170" s="244"/>
    </row>
    <row r="171" spans="1:9">
      <c r="A171" s="31"/>
      <c r="B171" s="31"/>
      <c r="C171" s="248"/>
      <c r="D171" s="31"/>
      <c r="I171" s="244"/>
    </row>
    <row r="172" spans="1:9">
      <c r="A172" s="31"/>
      <c r="B172" s="31"/>
      <c r="C172" s="248"/>
      <c r="D172" s="31"/>
      <c r="I172" s="244"/>
    </row>
    <row r="173" spans="1:9">
      <c r="A173" s="31"/>
      <c r="B173" s="31"/>
      <c r="C173" s="248"/>
      <c r="D173" s="31"/>
      <c r="I173" s="244"/>
    </row>
    <row r="174" spans="1:9">
      <c r="A174" s="31"/>
      <c r="B174" s="31"/>
      <c r="C174" s="248"/>
      <c r="D174" s="31"/>
      <c r="I174" s="244"/>
    </row>
    <row r="175" spans="1:9">
      <c r="A175" s="31"/>
      <c r="B175" s="31"/>
      <c r="C175" s="248"/>
      <c r="D175" s="31"/>
      <c r="I175" s="244"/>
    </row>
    <row r="176" spans="1:9">
      <c r="A176" s="31"/>
      <c r="B176" s="31"/>
      <c r="C176" s="248"/>
      <c r="D176" s="31"/>
      <c r="I176" s="244"/>
    </row>
    <row r="177" spans="1:9">
      <c r="A177" s="31"/>
      <c r="B177" s="31"/>
      <c r="C177" s="248"/>
      <c r="D177" s="31"/>
      <c r="I177" s="244"/>
    </row>
    <row r="178" spans="1:9">
      <c r="A178" s="31"/>
      <c r="B178" s="31"/>
      <c r="C178" s="248"/>
      <c r="D178" s="31"/>
      <c r="I178" s="244"/>
    </row>
    <row r="179" spans="1:9">
      <c r="A179" s="31"/>
      <c r="B179" s="31"/>
      <c r="C179" s="248"/>
      <c r="D179" s="31"/>
      <c r="I179" s="244"/>
    </row>
    <row r="180" spans="1:9">
      <c r="A180" s="31"/>
      <c r="B180" s="31"/>
      <c r="C180" s="248"/>
      <c r="D180" s="31"/>
      <c r="I180" s="244"/>
    </row>
    <row r="181" spans="1:9">
      <c r="A181" s="31"/>
      <c r="B181" s="31"/>
      <c r="C181" s="248"/>
      <c r="D181" s="31"/>
      <c r="I181" s="244"/>
    </row>
    <row r="182" spans="1:9">
      <c r="A182" s="31"/>
      <c r="B182" s="31"/>
      <c r="C182" s="248"/>
      <c r="D182" s="31"/>
      <c r="I182" s="244"/>
    </row>
    <row r="183" spans="1:9">
      <c r="A183" s="31"/>
      <c r="B183" s="31"/>
      <c r="C183" s="248"/>
      <c r="D183" s="31"/>
      <c r="I183" s="244"/>
    </row>
    <row r="184" spans="1:9">
      <c r="A184" s="31"/>
      <c r="B184" s="31"/>
      <c r="C184" s="248"/>
      <c r="D184" s="31"/>
      <c r="I184" s="244"/>
    </row>
    <row r="185" spans="1:9">
      <c r="A185" s="31"/>
      <c r="B185" s="31"/>
      <c r="C185" s="248"/>
      <c r="D185" s="31"/>
      <c r="I185" s="244"/>
    </row>
    <row r="186" spans="1:9">
      <c r="A186" s="31"/>
      <c r="B186" s="31"/>
      <c r="C186" s="248"/>
      <c r="D186" s="31"/>
      <c r="I186" s="244"/>
    </row>
    <row r="187" spans="1:9">
      <c r="A187" s="31"/>
      <c r="B187" s="31"/>
      <c r="C187" s="248"/>
      <c r="D187" s="31"/>
      <c r="I187" s="244"/>
    </row>
    <row r="188" spans="1:9">
      <c r="A188" s="31"/>
      <c r="B188" s="31"/>
      <c r="C188" s="248"/>
      <c r="D188" s="31"/>
      <c r="I188" s="244"/>
    </row>
    <row r="189" spans="1:9">
      <c r="A189" s="31"/>
      <c r="B189" s="31"/>
      <c r="C189" s="248"/>
      <c r="D189" s="31"/>
      <c r="I189" s="244"/>
    </row>
    <row r="190" spans="1:9">
      <c r="A190" s="31"/>
      <c r="B190" s="31"/>
      <c r="C190" s="248"/>
      <c r="D190" s="31"/>
      <c r="I190" s="244"/>
    </row>
    <row r="191" spans="1:9">
      <c r="A191" s="31"/>
      <c r="B191" s="31"/>
      <c r="C191" s="248"/>
      <c r="D191" s="31"/>
      <c r="I191" s="244"/>
    </row>
    <row r="192" spans="1:9">
      <c r="A192" s="31"/>
      <c r="B192" s="31"/>
      <c r="C192" s="248"/>
      <c r="D192" s="31"/>
      <c r="I192" s="244"/>
    </row>
    <row r="193" spans="1:9">
      <c r="A193" s="31"/>
      <c r="B193" s="31"/>
      <c r="C193" s="248"/>
      <c r="D193" s="31"/>
      <c r="I193" s="244"/>
    </row>
    <row r="194" spans="1:9">
      <c r="A194" s="31"/>
      <c r="B194" s="31"/>
      <c r="C194" s="248"/>
      <c r="D194" s="31"/>
      <c r="I194" s="244"/>
    </row>
    <row r="195" spans="1:9">
      <c r="A195" s="31"/>
      <c r="B195" s="31"/>
      <c r="C195" s="248"/>
      <c r="D195" s="31"/>
      <c r="I195" s="244"/>
    </row>
    <row r="196" spans="1:9">
      <c r="A196" s="31"/>
      <c r="B196" s="31"/>
      <c r="C196" s="248"/>
      <c r="D196" s="31"/>
      <c r="I196" s="244"/>
    </row>
    <row r="197" spans="1:9">
      <c r="A197" s="31"/>
      <c r="B197" s="31"/>
      <c r="C197" s="248"/>
      <c r="D197" s="31"/>
      <c r="I197" s="244"/>
    </row>
    <row r="198" spans="1:9">
      <c r="A198" s="31"/>
      <c r="B198" s="31"/>
      <c r="C198" s="248"/>
      <c r="D198" s="31"/>
      <c r="I198" s="244"/>
    </row>
    <row r="199" spans="1:9">
      <c r="A199" s="31"/>
      <c r="B199" s="31"/>
      <c r="C199" s="248"/>
      <c r="D199" s="31"/>
      <c r="I199" s="244"/>
    </row>
    <row r="200" spans="1:9">
      <c r="A200" s="31"/>
      <c r="B200" s="31"/>
      <c r="C200" s="248"/>
      <c r="D200" s="31"/>
      <c r="I200" s="244"/>
    </row>
    <row r="201" spans="1:9">
      <c r="A201" s="31"/>
      <c r="B201" s="31"/>
      <c r="C201" s="248"/>
      <c r="D201" s="31"/>
      <c r="I201" s="244"/>
    </row>
    <row r="202" spans="1:9">
      <c r="A202" s="31"/>
      <c r="B202" s="31"/>
      <c r="C202" s="248"/>
      <c r="D202" s="31"/>
      <c r="I202" s="244"/>
    </row>
    <row r="203" spans="1:9">
      <c r="A203" s="31"/>
      <c r="B203" s="31"/>
      <c r="C203" s="248"/>
      <c r="D203" s="31"/>
      <c r="I203" s="244"/>
    </row>
    <row r="204" spans="1:9">
      <c r="A204" s="31"/>
      <c r="B204" s="31"/>
      <c r="C204" s="248"/>
      <c r="D204" s="31"/>
      <c r="I204" s="244"/>
    </row>
    <row r="205" spans="1:9">
      <c r="A205" s="31"/>
      <c r="B205" s="31"/>
      <c r="C205" s="248"/>
      <c r="D205" s="31"/>
      <c r="I205" s="244"/>
    </row>
    <row r="206" spans="1:9">
      <c r="A206" s="31"/>
      <c r="B206" s="31"/>
      <c r="C206" s="248"/>
      <c r="D206" s="31"/>
      <c r="I206" s="244"/>
    </row>
    <row r="207" spans="1:9">
      <c r="A207" s="31"/>
      <c r="B207" s="31"/>
      <c r="C207" s="248"/>
      <c r="D207" s="31"/>
      <c r="I207" s="244"/>
    </row>
    <row r="208" spans="1:9">
      <c r="A208" s="31"/>
      <c r="B208" s="31"/>
      <c r="C208" s="248"/>
      <c r="D208" s="31"/>
      <c r="I208" s="244"/>
    </row>
    <row r="209" spans="1:9">
      <c r="A209" s="31"/>
      <c r="B209" s="31"/>
      <c r="C209" s="248"/>
      <c r="D209" s="31"/>
      <c r="I209" s="244"/>
    </row>
    <row r="210" spans="1:9">
      <c r="A210" s="31"/>
      <c r="B210" s="31"/>
      <c r="C210" s="248"/>
      <c r="D210" s="31"/>
      <c r="I210" s="244"/>
    </row>
    <row r="211" spans="1:9">
      <c r="A211" s="31"/>
      <c r="B211" s="31"/>
      <c r="C211" s="248"/>
      <c r="D211" s="31"/>
      <c r="I211" s="244"/>
    </row>
    <row r="212" spans="1:9">
      <c r="A212" s="31"/>
      <c r="B212" s="31"/>
      <c r="C212" s="248"/>
      <c r="D212" s="31"/>
      <c r="I212" s="244"/>
    </row>
    <row r="213" spans="1:9">
      <c r="A213" s="31"/>
      <c r="B213" s="31"/>
      <c r="C213" s="248"/>
      <c r="D213" s="31"/>
      <c r="I213" s="244"/>
    </row>
    <row r="214" spans="1:9">
      <c r="A214" s="31"/>
      <c r="B214" s="31"/>
      <c r="C214" s="248"/>
      <c r="D214" s="31"/>
      <c r="I214" s="244"/>
    </row>
    <row r="215" spans="1:9">
      <c r="A215" s="31"/>
      <c r="B215" s="31"/>
      <c r="C215" s="248"/>
      <c r="D215" s="31"/>
      <c r="I215" s="244"/>
    </row>
    <row r="216" spans="1:9">
      <c r="A216" s="31"/>
      <c r="B216" s="31"/>
      <c r="C216" s="248"/>
      <c r="D216" s="31"/>
      <c r="I216" s="244"/>
    </row>
    <row r="217" spans="1:9">
      <c r="A217" s="31"/>
      <c r="B217" s="31"/>
      <c r="C217" s="248"/>
      <c r="D217" s="31"/>
      <c r="I217" s="244"/>
    </row>
    <row r="218" spans="1:9">
      <c r="A218" s="31"/>
      <c r="B218" s="31"/>
      <c r="C218" s="248"/>
      <c r="D218" s="31"/>
      <c r="I218" s="244"/>
    </row>
    <row r="219" spans="1:9">
      <c r="A219" s="31"/>
      <c r="B219" s="31"/>
      <c r="C219" s="248"/>
      <c r="D219" s="31"/>
      <c r="I219" s="244"/>
    </row>
    <row r="220" spans="1:9">
      <c r="A220" s="31"/>
      <c r="B220" s="31"/>
      <c r="C220" s="248"/>
      <c r="D220" s="31"/>
      <c r="I220" s="244"/>
    </row>
    <row r="221" spans="1:9">
      <c r="A221" s="31"/>
      <c r="B221" s="31"/>
      <c r="C221" s="248"/>
      <c r="D221" s="31"/>
      <c r="I221" s="244"/>
    </row>
    <row r="222" spans="1:9">
      <c r="A222" s="31"/>
      <c r="B222" s="31"/>
      <c r="C222" s="248"/>
      <c r="D222" s="31"/>
      <c r="I222" s="244"/>
    </row>
    <row r="223" spans="1:9">
      <c r="A223" s="31"/>
      <c r="B223" s="31"/>
      <c r="C223" s="248"/>
      <c r="D223" s="31"/>
      <c r="I223" s="244"/>
    </row>
    <row r="224" spans="1:9">
      <c r="A224" s="31"/>
      <c r="B224" s="31"/>
      <c r="C224" s="248"/>
      <c r="D224" s="31"/>
      <c r="I224" s="244"/>
    </row>
    <row r="225" spans="1:9">
      <c r="A225" s="31"/>
      <c r="B225" s="31"/>
      <c r="C225" s="248"/>
      <c r="D225" s="31"/>
      <c r="I225" s="244"/>
    </row>
    <row r="226" spans="1:9">
      <c r="A226" s="31"/>
      <c r="B226" s="31"/>
      <c r="C226" s="248"/>
      <c r="D226" s="31"/>
      <c r="I226" s="244"/>
    </row>
    <row r="227" spans="1:9">
      <c r="A227" s="31"/>
      <c r="B227" s="31"/>
      <c r="C227" s="248"/>
      <c r="D227" s="31"/>
      <c r="I227" s="244"/>
    </row>
    <row r="228" spans="1:9">
      <c r="A228" s="31"/>
      <c r="B228" s="31"/>
      <c r="C228" s="248"/>
      <c r="D228" s="31"/>
      <c r="I228" s="244"/>
    </row>
    <row r="229" spans="1:9">
      <c r="A229" s="31"/>
      <c r="B229" s="31"/>
      <c r="C229" s="248"/>
      <c r="D229" s="31"/>
      <c r="I229" s="244"/>
    </row>
    <row r="230" spans="1:9">
      <c r="A230" s="31"/>
      <c r="B230" s="31"/>
      <c r="C230" s="248"/>
      <c r="D230" s="31"/>
      <c r="I230" s="244"/>
    </row>
    <row r="231" spans="1:9">
      <c r="A231" s="31"/>
      <c r="B231" s="31"/>
      <c r="C231" s="248"/>
      <c r="D231" s="31"/>
      <c r="I231" s="244"/>
    </row>
    <row r="232" spans="1:9">
      <c r="A232" s="31"/>
      <c r="B232" s="31"/>
      <c r="C232" s="248"/>
      <c r="D232" s="31"/>
      <c r="I232" s="244"/>
    </row>
    <row r="233" spans="1:9">
      <c r="A233" s="31"/>
      <c r="B233" s="31"/>
      <c r="C233" s="248"/>
      <c r="D233" s="31"/>
      <c r="I233" s="244"/>
    </row>
    <row r="234" spans="1:9">
      <c r="A234" s="31"/>
      <c r="B234" s="31"/>
      <c r="C234" s="248"/>
      <c r="D234" s="31"/>
      <c r="I234" s="244"/>
    </row>
    <row r="235" spans="1:9">
      <c r="A235" s="31"/>
      <c r="B235" s="31"/>
      <c r="C235" s="248"/>
      <c r="D235" s="31"/>
      <c r="I235" s="244"/>
    </row>
    <row r="236" spans="1:9">
      <c r="A236" s="31"/>
      <c r="B236" s="31"/>
      <c r="C236" s="248"/>
      <c r="D236" s="31"/>
      <c r="I236" s="244"/>
    </row>
    <row r="237" spans="1:9">
      <c r="A237" s="31"/>
      <c r="B237" s="31"/>
      <c r="C237" s="31"/>
      <c r="D237" s="31"/>
      <c r="I237" s="244"/>
    </row>
    <row r="238" spans="1:9">
      <c r="A238" s="31"/>
      <c r="B238" s="31"/>
      <c r="C238" s="31"/>
      <c r="D238" s="31"/>
      <c r="I238" s="244"/>
    </row>
    <row r="239" spans="1:9">
      <c r="A239" s="31"/>
      <c r="B239" s="31"/>
      <c r="C239" s="31"/>
      <c r="D239" s="31"/>
      <c r="I239" s="244"/>
    </row>
    <row r="240" spans="1:9">
      <c r="A240" s="31"/>
      <c r="B240" s="31"/>
      <c r="C240" s="31"/>
      <c r="D240" s="31"/>
      <c r="I240" s="244"/>
    </row>
    <row r="241" spans="1:9">
      <c r="A241" s="31"/>
      <c r="B241" s="31"/>
      <c r="C241" s="31"/>
      <c r="D241" s="31"/>
      <c r="I241" s="244"/>
    </row>
    <row r="242" spans="1:9">
      <c r="A242" s="31"/>
      <c r="B242" s="31"/>
      <c r="C242" s="31"/>
      <c r="D242" s="31"/>
      <c r="I242" s="244"/>
    </row>
    <row r="243" spans="1:9">
      <c r="A243" s="31"/>
      <c r="B243" s="31"/>
      <c r="C243" s="31"/>
      <c r="D243" s="31"/>
      <c r="I243" s="244"/>
    </row>
    <row r="244" spans="1:9">
      <c r="A244" s="31"/>
      <c r="B244" s="31"/>
      <c r="C244" s="31"/>
      <c r="D244" s="31"/>
      <c r="I244" s="244"/>
    </row>
    <row r="245" spans="1:9">
      <c r="A245" s="31"/>
      <c r="B245" s="31"/>
      <c r="C245" s="31"/>
      <c r="D245" s="31"/>
      <c r="I245" s="244"/>
    </row>
    <row r="246" spans="1:9">
      <c r="A246" s="31"/>
      <c r="B246" s="31"/>
      <c r="C246" s="31"/>
      <c r="D246" s="31"/>
      <c r="I246" s="244"/>
    </row>
    <row r="247" spans="1:9">
      <c r="A247" s="31"/>
      <c r="B247" s="31"/>
      <c r="C247" s="31"/>
      <c r="D247" s="31"/>
      <c r="I247" s="244"/>
    </row>
    <row r="248" spans="1:9">
      <c r="A248" s="31"/>
      <c r="B248" s="31"/>
      <c r="C248" s="31"/>
      <c r="D248" s="31"/>
      <c r="I248" s="244"/>
    </row>
    <row r="249" spans="1:9">
      <c r="A249" s="31"/>
      <c r="B249" s="31"/>
      <c r="C249" s="31"/>
      <c r="D249" s="31"/>
      <c r="I249" s="244"/>
    </row>
    <row r="250" spans="1:9">
      <c r="A250" s="31"/>
      <c r="B250" s="31"/>
      <c r="C250" s="31"/>
      <c r="D250" s="31"/>
      <c r="I250" s="244"/>
    </row>
    <row r="251" spans="1:9">
      <c r="A251" s="31"/>
      <c r="B251" s="31"/>
      <c r="C251" s="31"/>
      <c r="D251" s="31"/>
      <c r="I251" s="244"/>
    </row>
    <row r="252" spans="1:9">
      <c r="A252" s="31"/>
      <c r="B252" s="31"/>
      <c r="C252" s="31"/>
      <c r="D252" s="31"/>
      <c r="I252" s="244"/>
    </row>
    <row r="253" spans="1:9">
      <c r="A253" s="31"/>
      <c r="B253" s="31"/>
      <c r="C253" s="31"/>
      <c r="D253" s="31"/>
      <c r="I253" s="244"/>
    </row>
    <row r="254" spans="1:9">
      <c r="A254" s="31"/>
      <c r="B254" s="31"/>
      <c r="C254" s="31"/>
      <c r="D254" s="31"/>
      <c r="I254" s="244"/>
    </row>
    <row r="255" spans="1:9">
      <c r="A255" s="31"/>
      <c r="B255" s="31"/>
      <c r="C255" s="31"/>
      <c r="D255" s="31"/>
      <c r="I255" s="244"/>
    </row>
    <row r="256" spans="1:9">
      <c r="A256" s="31"/>
      <c r="B256" s="31"/>
      <c r="C256" s="31"/>
      <c r="D256" s="31"/>
      <c r="I256" s="244"/>
    </row>
    <row r="257" spans="1:9">
      <c r="A257" s="31"/>
      <c r="B257" s="31"/>
      <c r="C257" s="31"/>
      <c r="D257" s="31"/>
      <c r="I257" s="244"/>
    </row>
    <row r="258" spans="1:9">
      <c r="A258" s="31"/>
      <c r="B258" s="31"/>
      <c r="C258" s="31"/>
      <c r="D258" s="31"/>
      <c r="I258" s="244"/>
    </row>
    <row r="259" spans="1:9">
      <c r="A259" s="31"/>
      <c r="B259" s="31"/>
      <c r="C259" s="31"/>
      <c r="D259" s="31"/>
      <c r="I259" s="244"/>
    </row>
    <row r="260" spans="1:9">
      <c r="A260" s="31"/>
      <c r="B260" s="31"/>
      <c r="C260" s="31"/>
      <c r="D260" s="31"/>
      <c r="I260" s="244"/>
    </row>
    <row r="261" spans="1:9">
      <c r="A261" s="31"/>
      <c r="B261" s="31"/>
      <c r="C261" s="31"/>
      <c r="D261" s="31"/>
      <c r="I261" s="244"/>
    </row>
    <row r="262" spans="1:9">
      <c r="A262" s="31"/>
      <c r="B262" s="31"/>
      <c r="C262" s="31"/>
      <c r="D262" s="31"/>
      <c r="I262" s="244"/>
    </row>
    <row r="263" spans="1:9">
      <c r="A263" s="31"/>
      <c r="B263" s="31"/>
      <c r="C263" s="31"/>
      <c r="D263" s="31"/>
      <c r="I263" s="244"/>
    </row>
    <row r="264" spans="1:9">
      <c r="A264" s="31"/>
      <c r="B264" s="31"/>
      <c r="C264" s="31"/>
      <c r="D264" s="31"/>
      <c r="I264" s="244"/>
    </row>
    <row r="265" spans="1:9">
      <c r="A265" s="31"/>
      <c r="B265" s="31"/>
      <c r="C265" s="31"/>
      <c r="D265" s="31"/>
      <c r="I265" s="244"/>
    </row>
    <row r="266" spans="1:9">
      <c r="A266" s="31"/>
      <c r="B266" s="31"/>
      <c r="C266" s="31"/>
      <c r="D266" s="31"/>
      <c r="I266" s="244"/>
    </row>
    <row r="267" spans="1:9">
      <c r="A267" s="31"/>
      <c r="B267" s="31"/>
      <c r="C267" s="31"/>
      <c r="D267" s="31"/>
      <c r="I267" s="244"/>
    </row>
    <row r="268" spans="1:9">
      <c r="A268" s="31"/>
      <c r="B268" s="31"/>
      <c r="C268" s="31"/>
      <c r="D268" s="31"/>
      <c r="I268" s="244"/>
    </row>
    <row r="269" spans="1:9">
      <c r="A269" s="31"/>
      <c r="B269" s="31"/>
      <c r="C269" s="31"/>
      <c r="D269" s="31"/>
      <c r="I269" s="244"/>
    </row>
    <row r="270" spans="1:9">
      <c r="A270" s="31"/>
      <c r="B270" s="31"/>
      <c r="C270" s="31"/>
      <c r="D270" s="31"/>
      <c r="I270" s="244"/>
    </row>
    <row r="271" spans="1:9">
      <c r="A271" s="31"/>
      <c r="B271" s="31"/>
      <c r="C271" s="31"/>
      <c r="D271" s="31"/>
      <c r="I271" s="244"/>
    </row>
    <row r="272" spans="1:9">
      <c r="A272" s="31"/>
      <c r="B272" s="31"/>
      <c r="C272" s="31"/>
      <c r="D272" s="31"/>
      <c r="I272" s="244"/>
    </row>
    <row r="273" spans="1:9">
      <c r="A273" s="31"/>
      <c r="B273" s="31"/>
      <c r="C273" s="31"/>
      <c r="D273" s="31"/>
      <c r="I273" s="244"/>
    </row>
    <row r="274" spans="1:9">
      <c r="A274" s="31"/>
      <c r="B274" s="31"/>
      <c r="C274" s="31"/>
      <c r="D274" s="31"/>
      <c r="I274" s="244"/>
    </row>
    <row r="275" spans="1:9">
      <c r="A275" s="31"/>
      <c r="B275" s="31"/>
      <c r="C275" s="31"/>
      <c r="D275" s="31"/>
      <c r="I275" s="244"/>
    </row>
    <row r="276" spans="1:9">
      <c r="A276" s="31"/>
      <c r="B276" s="31"/>
      <c r="C276" s="31"/>
      <c r="D276" s="31"/>
      <c r="I276" s="244"/>
    </row>
    <row r="277" spans="1:9">
      <c r="A277" s="31"/>
      <c r="B277" s="31"/>
      <c r="C277" s="31"/>
      <c r="D277" s="31"/>
      <c r="I277" s="244"/>
    </row>
    <row r="278" spans="1:9">
      <c r="A278" s="31"/>
      <c r="B278" s="31"/>
      <c r="C278" s="31"/>
      <c r="D278" s="31"/>
      <c r="I278" s="244"/>
    </row>
    <row r="279" spans="1:9">
      <c r="A279" s="31"/>
      <c r="B279" s="31"/>
      <c r="C279" s="31"/>
      <c r="D279" s="31"/>
      <c r="I279" s="244"/>
    </row>
    <row r="280" spans="1:9">
      <c r="A280" s="31"/>
      <c r="B280" s="31"/>
      <c r="C280" s="31"/>
      <c r="D280" s="31"/>
      <c r="I280" s="244"/>
    </row>
    <row r="281" spans="1:9">
      <c r="A281" s="31"/>
      <c r="B281" s="31"/>
      <c r="C281" s="31"/>
      <c r="D281" s="31"/>
      <c r="I281" s="244"/>
    </row>
    <row r="282" spans="1:9">
      <c r="A282" s="31"/>
      <c r="B282" s="31"/>
      <c r="C282" s="31"/>
      <c r="D282" s="31"/>
      <c r="I282" s="244"/>
    </row>
    <row r="283" spans="1:9">
      <c r="A283" s="31"/>
      <c r="B283" s="31"/>
      <c r="C283" s="31"/>
      <c r="D283" s="31"/>
      <c r="I283" s="244"/>
    </row>
    <row r="284" spans="1:9">
      <c r="A284" s="31"/>
      <c r="B284" s="31"/>
      <c r="C284" s="31"/>
      <c r="D284" s="31"/>
      <c r="I284" s="244"/>
    </row>
    <row r="285" spans="1:9">
      <c r="A285" s="31"/>
      <c r="B285" s="31"/>
      <c r="C285" s="31"/>
      <c r="D285" s="31"/>
      <c r="I285" s="244"/>
    </row>
    <row r="286" spans="1:9">
      <c r="A286" s="31"/>
      <c r="B286" s="31"/>
      <c r="C286" s="31"/>
      <c r="D286" s="31"/>
      <c r="I286" s="244"/>
    </row>
    <row r="287" spans="1:9">
      <c r="A287" s="31"/>
      <c r="B287" s="31"/>
      <c r="C287" s="31"/>
      <c r="D287" s="31"/>
      <c r="I287" s="244"/>
    </row>
    <row r="288" spans="1:9">
      <c r="A288" s="31"/>
      <c r="B288" s="31"/>
      <c r="C288" s="31"/>
      <c r="D288" s="31"/>
      <c r="I288" s="244"/>
    </row>
    <row r="289" spans="1:9">
      <c r="A289" s="31"/>
      <c r="B289" s="31"/>
      <c r="C289" s="31"/>
      <c r="D289" s="31"/>
      <c r="I289" s="244"/>
    </row>
    <row r="290" spans="1:9">
      <c r="A290" s="31"/>
      <c r="B290" s="31"/>
      <c r="C290" s="31"/>
      <c r="D290" s="31"/>
      <c r="I290" s="244"/>
    </row>
    <row r="291" spans="1:9">
      <c r="A291" s="31"/>
      <c r="B291" s="31"/>
      <c r="C291" s="31"/>
      <c r="D291" s="31"/>
      <c r="I291" s="244"/>
    </row>
    <row r="292" spans="1:9">
      <c r="A292" s="31"/>
      <c r="B292" s="31"/>
      <c r="C292" s="31"/>
      <c r="D292" s="31"/>
      <c r="I292" s="244"/>
    </row>
    <row r="293" spans="1:9">
      <c r="A293" s="31"/>
      <c r="B293" s="31"/>
      <c r="C293" s="31"/>
      <c r="D293" s="31"/>
      <c r="I293" s="244"/>
    </row>
    <row r="294" spans="1:9">
      <c r="A294" s="31"/>
      <c r="B294" s="31"/>
      <c r="C294" s="31"/>
      <c r="D294" s="31"/>
      <c r="I294" s="244"/>
    </row>
    <row r="295" spans="1:9">
      <c r="A295" s="31"/>
      <c r="B295" s="31"/>
      <c r="C295" s="31"/>
      <c r="D295" s="31"/>
      <c r="I295" s="244"/>
    </row>
    <row r="296" spans="1:9">
      <c r="A296" s="31"/>
      <c r="B296" s="31"/>
      <c r="C296" s="31"/>
      <c r="D296" s="31"/>
      <c r="I296" s="244"/>
    </row>
    <row r="297" spans="1:9">
      <c r="A297" s="31"/>
      <c r="B297" s="31"/>
      <c r="C297" s="31"/>
      <c r="D297" s="31"/>
      <c r="I297" s="244"/>
    </row>
    <row r="298" spans="1:9">
      <c r="A298" s="31"/>
      <c r="B298" s="31"/>
      <c r="C298" s="31"/>
      <c r="D298" s="31"/>
      <c r="I298" s="244"/>
    </row>
    <row r="299" spans="1:9">
      <c r="A299" s="31"/>
      <c r="B299" s="31"/>
      <c r="C299" s="31"/>
      <c r="D299" s="31"/>
      <c r="I299" s="244"/>
    </row>
    <row r="300" spans="1:9">
      <c r="A300" s="31"/>
      <c r="B300" s="31"/>
      <c r="C300" s="31"/>
      <c r="D300" s="31"/>
      <c r="I300" s="244"/>
    </row>
    <row r="301" spans="1:9">
      <c r="A301" s="31"/>
      <c r="B301" s="31"/>
      <c r="C301" s="31"/>
      <c r="D301" s="31"/>
      <c r="I301" s="244"/>
    </row>
    <row r="302" spans="1:9">
      <c r="A302" s="31"/>
      <c r="B302" s="31"/>
      <c r="C302" s="31"/>
      <c r="D302" s="31"/>
      <c r="I302" s="244"/>
    </row>
    <row r="303" spans="1:9">
      <c r="A303" s="31"/>
      <c r="B303" s="31"/>
      <c r="C303" s="31"/>
      <c r="D303" s="31"/>
      <c r="I303" s="244"/>
    </row>
    <row r="304" spans="1:9">
      <c r="A304" s="31"/>
      <c r="B304" s="31"/>
      <c r="C304" s="31"/>
      <c r="D304" s="31"/>
      <c r="I304" s="244"/>
    </row>
    <row r="305" spans="1:9">
      <c r="A305" s="31"/>
      <c r="B305" s="31"/>
      <c r="C305" s="31"/>
      <c r="D305" s="31"/>
      <c r="I305" s="244"/>
    </row>
    <row r="306" spans="1:9">
      <c r="A306" s="31"/>
      <c r="B306" s="31"/>
      <c r="C306" s="31"/>
      <c r="D306" s="31"/>
      <c r="I306" s="244"/>
    </row>
    <row r="307" spans="1:9">
      <c r="A307" s="31"/>
      <c r="B307" s="31"/>
      <c r="C307" s="31"/>
      <c r="D307" s="31"/>
      <c r="I307" s="244"/>
    </row>
    <row r="308" spans="1:9">
      <c r="A308" s="31"/>
      <c r="B308" s="31"/>
      <c r="C308" s="31"/>
      <c r="D308" s="31"/>
      <c r="I308" s="244"/>
    </row>
    <row r="309" spans="1:9">
      <c r="A309" s="31"/>
      <c r="B309" s="31"/>
      <c r="C309" s="31"/>
      <c r="D309" s="31"/>
      <c r="I309" s="244"/>
    </row>
    <row r="310" spans="1:9">
      <c r="A310" s="31"/>
      <c r="B310" s="31"/>
      <c r="C310" s="31"/>
      <c r="D310" s="31"/>
      <c r="I310" s="244"/>
    </row>
    <row r="311" spans="1:9">
      <c r="A311" s="31"/>
      <c r="B311" s="31"/>
      <c r="C311" s="31"/>
      <c r="D311" s="31"/>
      <c r="I311" s="244"/>
    </row>
    <row r="312" spans="1:9">
      <c r="A312" s="31"/>
      <c r="B312" s="31"/>
      <c r="C312" s="31"/>
      <c r="D312" s="31"/>
      <c r="I312" s="244"/>
    </row>
    <row r="313" spans="1:9">
      <c r="A313" s="31"/>
      <c r="B313" s="31"/>
      <c r="C313" s="31"/>
      <c r="D313" s="31"/>
      <c r="I313" s="244"/>
    </row>
    <row r="314" spans="1:9">
      <c r="A314" s="31"/>
      <c r="B314" s="31"/>
      <c r="C314" s="31"/>
      <c r="D314" s="31"/>
      <c r="I314" s="244"/>
    </row>
    <row r="315" spans="1:9">
      <c r="A315" s="31"/>
      <c r="B315" s="31"/>
      <c r="C315" s="31"/>
      <c r="D315" s="31"/>
      <c r="I315" s="244"/>
    </row>
    <row r="316" spans="1:9">
      <c r="A316" s="31"/>
      <c r="B316" s="31"/>
      <c r="C316" s="31"/>
      <c r="D316" s="31"/>
      <c r="I316" s="244"/>
    </row>
    <row r="317" spans="1:9">
      <c r="A317" s="31"/>
      <c r="B317" s="31"/>
      <c r="C317" s="31"/>
      <c r="D317" s="31"/>
      <c r="I317" s="244"/>
    </row>
    <row r="318" spans="1:9">
      <c r="A318" s="31"/>
      <c r="B318" s="31"/>
      <c r="C318" s="31"/>
      <c r="D318" s="31"/>
      <c r="I318" s="244"/>
    </row>
    <row r="319" spans="1:9">
      <c r="A319" s="31"/>
      <c r="B319" s="31"/>
      <c r="C319" s="31"/>
      <c r="D319" s="31"/>
      <c r="I319" s="244"/>
    </row>
    <row r="320" spans="1:9">
      <c r="A320" s="31"/>
      <c r="B320" s="31"/>
      <c r="C320" s="31"/>
      <c r="D320" s="31"/>
      <c r="I320" s="244"/>
    </row>
    <row r="321" spans="1:9">
      <c r="A321" s="31"/>
      <c r="B321" s="31"/>
      <c r="C321" s="31"/>
      <c r="D321" s="31"/>
      <c r="I321" s="244"/>
    </row>
    <row r="322" spans="1:9">
      <c r="A322" s="31"/>
      <c r="B322" s="31"/>
      <c r="C322" s="31"/>
      <c r="D322" s="31"/>
      <c r="I322" s="244"/>
    </row>
    <row r="323" spans="1:9">
      <c r="A323" s="31"/>
      <c r="B323" s="31"/>
      <c r="C323" s="31"/>
      <c r="D323" s="31"/>
      <c r="I323" s="244"/>
    </row>
    <row r="324" spans="1:9">
      <c r="A324" s="31"/>
      <c r="B324" s="31"/>
      <c r="C324" s="31"/>
      <c r="D324" s="31"/>
      <c r="I324" s="244"/>
    </row>
    <row r="325" spans="1:9">
      <c r="A325" s="31"/>
      <c r="B325" s="31"/>
      <c r="C325" s="31"/>
      <c r="D325" s="31"/>
      <c r="I325" s="244"/>
    </row>
    <row r="326" spans="1:9">
      <c r="A326" s="31"/>
      <c r="B326" s="31"/>
      <c r="C326" s="31"/>
      <c r="D326" s="31"/>
      <c r="I326" s="244"/>
    </row>
    <row r="327" spans="1:9">
      <c r="A327" s="31"/>
      <c r="B327" s="31"/>
      <c r="C327" s="31"/>
      <c r="D327" s="31"/>
      <c r="I327" s="244"/>
    </row>
    <row r="328" spans="1:9">
      <c r="A328" s="31"/>
      <c r="B328" s="31"/>
      <c r="C328" s="31"/>
      <c r="D328" s="31"/>
      <c r="I328" s="244"/>
    </row>
    <row r="329" spans="1:9">
      <c r="A329" s="31"/>
      <c r="B329" s="31"/>
      <c r="C329" s="31"/>
      <c r="D329" s="31"/>
      <c r="I329" s="244"/>
    </row>
    <row r="330" spans="1:9">
      <c r="A330" s="31"/>
      <c r="B330" s="31"/>
      <c r="C330" s="31"/>
      <c r="D330" s="31"/>
      <c r="I330" s="244"/>
    </row>
    <row r="331" spans="1:9">
      <c r="A331" s="31"/>
      <c r="B331" s="31"/>
      <c r="C331" s="31"/>
      <c r="D331" s="31"/>
      <c r="I331" s="244"/>
    </row>
    <row r="332" spans="1:9">
      <c r="A332" s="31"/>
      <c r="B332" s="31"/>
      <c r="C332" s="31"/>
      <c r="D332" s="31"/>
      <c r="I332" s="244"/>
    </row>
    <row r="333" spans="1:9">
      <c r="A333" s="31"/>
      <c r="B333" s="31"/>
      <c r="C333" s="31"/>
      <c r="D333" s="31"/>
      <c r="I333" s="244"/>
    </row>
    <row r="334" spans="1:9">
      <c r="A334" s="31"/>
      <c r="B334" s="31"/>
      <c r="C334" s="31"/>
      <c r="D334" s="31"/>
      <c r="I334" s="244"/>
    </row>
    <row r="335" spans="1:9">
      <c r="A335" s="31"/>
      <c r="B335" s="31"/>
      <c r="C335" s="31"/>
      <c r="D335" s="31"/>
      <c r="I335" s="244"/>
    </row>
    <row r="336" spans="1:9">
      <c r="A336" s="31"/>
      <c r="B336" s="31"/>
      <c r="C336" s="31"/>
      <c r="D336" s="31"/>
      <c r="I336" s="244"/>
    </row>
    <row r="337" spans="1:9">
      <c r="A337" s="31"/>
      <c r="B337" s="31"/>
      <c r="C337" s="31"/>
      <c r="D337" s="31"/>
      <c r="I337" s="244"/>
    </row>
    <row r="338" spans="1:9">
      <c r="A338" s="31"/>
      <c r="B338" s="31"/>
      <c r="C338" s="31"/>
      <c r="D338" s="31"/>
      <c r="I338" s="244"/>
    </row>
    <row r="339" spans="1:9">
      <c r="A339" s="31"/>
      <c r="B339" s="31"/>
      <c r="C339" s="31"/>
      <c r="D339" s="31"/>
      <c r="I339" s="244"/>
    </row>
    <row r="340" spans="1:9">
      <c r="A340" s="31"/>
      <c r="B340" s="31"/>
      <c r="C340" s="31"/>
      <c r="D340" s="31"/>
      <c r="I340" s="244"/>
    </row>
    <row r="341" spans="1:9">
      <c r="A341" s="31"/>
      <c r="B341" s="31"/>
      <c r="C341" s="31"/>
      <c r="D341" s="31"/>
      <c r="I341" s="244"/>
    </row>
    <row r="342" spans="1:9">
      <c r="A342" s="31"/>
      <c r="B342" s="31"/>
      <c r="C342" s="31"/>
      <c r="D342" s="31"/>
      <c r="I342" s="244"/>
    </row>
    <row r="343" spans="1:9">
      <c r="A343" s="31"/>
      <c r="B343" s="31"/>
      <c r="C343" s="31"/>
      <c r="D343" s="31"/>
      <c r="I343" s="244"/>
    </row>
    <row r="344" spans="1:9">
      <c r="A344" s="31"/>
      <c r="B344" s="31"/>
      <c r="C344" s="31"/>
      <c r="D344" s="31"/>
      <c r="I344" s="244"/>
    </row>
    <row r="345" spans="1:9">
      <c r="A345" s="31"/>
      <c r="B345" s="31"/>
      <c r="C345" s="31"/>
      <c r="D345" s="31"/>
      <c r="I345" s="244"/>
    </row>
    <row r="346" spans="1:9">
      <c r="A346" s="31"/>
      <c r="B346" s="31"/>
      <c r="C346" s="31"/>
      <c r="D346" s="31"/>
      <c r="I346" s="244"/>
    </row>
    <row r="347" spans="1:9">
      <c r="A347" s="31"/>
      <c r="B347" s="31"/>
      <c r="C347" s="31"/>
      <c r="D347" s="31"/>
      <c r="I347" s="244"/>
    </row>
    <row r="348" spans="1:9">
      <c r="A348" s="31"/>
      <c r="B348" s="31"/>
      <c r="C348" s="31"/>
      <c r="D348" s="31"/>
      <c r="I348" s="244"/>
    </row>
    <row r="349" spans="1:9">
      <c r="A349" s="31"/>
      <c r="B349" s="31"/>
      <c r="C349" s="31"/>
      <c r="D349" s="31"/>
      <c r="I349" s="244"/>
    </row>
    <row r="350" spans="1:9">
      <c r="A350" s="31"/>
      <c r="B350" s="31"/>
      <c r="C350" s="31"/>
      <c r="D350" s="31"/>
      <c r="I350" s="244"/>
    </row>
    <row r="351" spans="1:9">
      <c r="A351" s="31"/>
      <c r="B351" s="31"/>
      <c r="C351" s="31"/>
      <c r="D351" s="31"/>
      <c r="I351" s="244"/>
    </row>
    <row r="352" spans="1:9">
      <c r="A352" s="31"/>
      <c r="B352" s="31"/>
      <c r="C352" s="31"/>
      <c r="D352" s="31"/>
      <c r="I352" s="244"/>
    </row>
    <row r="353" spans="1:9">
      <c r="A353" s="31"/>
      <c r="B353" s="31"/>
      <c r="C353" s="31"/>
      <c r="D353" s="31"/>
      <c r="I353" s="244"/>
    </row>
    <row r="354" spans="1:9">
      <c r="A354" s="31"/>
      <c r="B354" s="31"/>
      <c r="C354" s="31"/>
      <c r="D354" s="31"/>
      <c r="I354" s="244"/>
    </row>
    <row r="355" spans="1:9">
      <c r="A355" s="31"/>
      <c r="B355" s="31"/>
      <c r="C355" s="31"/>
      <c r="D355" s="31"/>
      <c r="I355" s="244"/>
    </row>
    <row r="356" spans="1:9">
      <c r="A356" s="31"/>
      <c r="B356" s="31"/>
      <c r="C356" s="31"/>
      <c r="D356" s="31"/>
      <c r="I356" s="244"/>
    </row>
    <row r="357" spans="1:9">
      <c r="A357" s="31"/>
      <c r="B357" s="31"/>
      <c r="C357" s="31"/>
      <c r="D357" s="31"/>
      <c r="I357" s="244"/>
    </row>
    <row r="358" spans="1:9">
      <c r="A358" s="31"/>
      <c r="B358" s="31"/>
      <c r="C358" s="31"/>
      <c r="D358" s="31"/>
      <c r="I358" s="244"/>
    </row>
    <row r="359" spans="1:9">
      <c r="A359" s="31"/>
      <c r="B359" s="31"/>
      <c r="C359" s="31"/>
      <c r="D359" s="31"/>
      <c r="I359" s="244"/>
    </row>
    <row r="360" spans="1:9">
      <c r="A360" s="31"/>
      <c r="B360" s="31"/>
      <c r="C360" s="31"/>
      <c r="D360" s="31"/>
      <c r="I360" s="244"/>
    </row>
    <row r="361" spans="1:9">
      <c r="A361" s="31"/>
      <c r="B361" s="31"/>
      <c r="C361" s="31"/>
      <c r="D361" s="31"/>
      <c r="I361" s="244"/>
    </row>
    <row r="362" spans="1:9">
      <c r="A362" s="31"/>
      <c r="B362" s="31"/>
      <c r="C362" s="31"/>
      <c r="D362" s="31"/>
      <c r="I362" s="244"/>
    </row>
    <row r="363" spans="1:9">
      <c r="A363" s="31"/>
      <c r="B363" s="31"/>
      <c r="C363" s="31"/>
      <c r="D363" s="31"/>
      <c r="I363" s="244"/>
    </row>
    <row r="364" spans="1:9">
      <c r="A364" s="31"/>
      <c r="B364" s="31"/>
      <c r="C364" s="31"/>
      <c r="D364" s="31"/>
      <c r="I364" s="244"/>
    </row>
    <row r="365" spans="1:9">
      <c r="A365" s="31"/>
      <c r="B365" s="31"/>
      <c r="C365" s="31"/>
      <c r="D365" s="31"/>
      <c r="I365" s="244"/>
    </row>
    <row r="366" spans="1:9">
      <c r="A366" s="31"/>
      <c r="B366" s="31"/>
      <c r="C366" s="31"/>
      <c r="D366" s="31"/>
      <c r="I366" s="244"/>
    </row>
    <row r="367" spans="1:9">
      <c r="A367" s="31"/>
      <c r="B367" s="31"/>
      <c r="C367" s="31"/>
      <c r="D367" s="31"/>
      <c r="I367" s="244"/>
    </row>
    <row r="368" spans="1:9">
      <c r="A368" s="31"/>
      <c r="B368" s="31"/>
      <c r="C368" s="31"/>
      <c r="D368" s="31"/>
      <c r="I368" s="244"/>
    </row>
    <row r="369" spans="1:9">
      <c r="A369" s="31"/>
      <c r="B369" s="31"/>
      <c r="C369" s="31"/>
      <c r="D369" s="31"/>
      <c r="I369" s="244"/>
    </row>
    <row r="370" spans="1:9">
      <c r="A370" s="31"/>
      <c r="B370" s="31"/>
      <c r="C370" s="31"/>
      <c r="D370" s="31"/>
      <c r="I370" s="244"/>
    </row>
    <row r="371" spans="1:9">
      <c r="A371" s="31"/>
      <c r="B371" s="31"/>
      <c r="C371" s="31"/>
      <c r="D371" s="31"/>
      <c r="I371" s="244"/>
    </row>
    <row r="372" spans="1:9">
      <c r="A372" s="31"/>
      <c r="B372" s="31"/>
      <c r="C372" s="31"/>
      <c r="D372" s="31"/>
      <c r="I372" s="244"/>
    </row>
    <row r="373" spans="1:9">
      <c r="A373" s="31"/>
      <c r="B373" s="31"/>
      <c r="C373" s="31"/>
      <c r="D373" s="31"/>
      <c r="I373" s="244"/>
    </row>
    <row r="374" spans="1:9">
      <c r="A374" s="31"/>
      <c r="B374" s="31"/>
      <c r="C374" s="31"/>
      <c r="D374" s="31"/>
      <c r="I374" s="244"/>
    </row>
    <row r="375" spans="1:9">
      <c r="A375" s="31"/>
      <c r="B375" s="31"/>
      <c r="C375" s="31"/>
      <c r="D375" s="31"/>
      <c r="I375" s="244"/>
    </row>
    <row r="376" spans="1:9">
      <c r="A376" s="31"/>
      <c r="B376" s="31"/>
      <c r="C376" s="31"/>
      <c r="D376" s="31"/>
      <c r="I376" s="244"/>
    </row>
    <row r="377" spans="1:9">
      <c r="A377" s="31"/>
      <c r="B377" s="31"/>
      <c r="C377" s="31"/>
      <c r="D377" s="31"/>
      <c r="I377" s="244"/>
    </row>
    <row r="378" spans="1:9">
      <c r="A378" s="31"/>
      <c r="B378" s="31"/>
      <c r="C378" s="31"/>
      <c r="D378" s="31"/>
      <c r="I378" s="244"/>
    </row>
    <row r="379" spans="1:9">
      <c r="A379" s="31"/>
      <c r="B379" s="31"/>
      <c r="C379" s="31"/>
      <c r="D379" s="31"/>
      <c r="I379" s="244"/>
    </row>
    <row r="380" spans="1:9">
      <c r="A380" s="31"/>
      <c r="B380" s="31"/>
      <c r="C380" s="31"/>
      <c r="D380" s="31"/>
      <c r="I380" s="244"/>
    </row>
    <row r="381" spans="1:9">
      <c r="A381" s="31"/>
      <c r="B381" s="31"/>
      <c r="C381" s="31"/>
      <c r="D381" s="31"/>
      <c r="I381" s="244"/>
    </row>
    <row r="382" spans="1:9">
      <c r="A382" s="31"/>
      <c r="B382" s="31"/>
      <c r="C382" s="31"/>
      <c r="D382" s="31"/>
      <c r="I382" s="244"/>
    </row>
    <row r="383" spans="1:9">
      <c r="A383" s="31"/>
      <c r="B383" s="31"/>
      <c r="C383" s="31"/>
      <c r="D383" s="31"/>
      <c r="I383" s="244"/>
    </row>
    <row r="384" spans="1:9">
      <c r="A384" s="31"/>
      <c r="B384" s="31"/>
      <c r="C384" s="31"/>
      <c r="D384" s="31"/>
      <c r="I384" s="244"/>
    </row>
    <row r="385" spans="1:9">
      <c r="A385" s="31"/>
      <c r="B385" s="31"/>
      <c r="C385" s="31"/>
      <c r="D385" s="31"/>
      <c r="I385" s="244"/>
    </row>
    <row r="386" spans="1:9">
      <c r="A386" s="31"/>
      <c r="B386" s="31"/>
      <c r="C386" s="31"/>
      <c r="D386" s="31"/>
      <c r="I386" s="244"/>
    </row>
    <row r="387" spans="1:9">
      <c r="A387" s="31"/>
      <c r="B387" s="31"/>
      <c r="C387" s="31"/>
      <c r="D387" s="31"/>
      <c r="I387" s="244"/>
    </row>
    <row r="388" spans="1:9">
      <c r="A388" s="31"/>
      <c r="B388" s="31"/>
      <c r="C388" s="31"/>
      <c r="D388" s="31"/>
      <c r="I388" s="244"/>
    </row>
    <row r="389" spans="1:9">
      <c r="A389" s="31"/>
      <c r="B389" s="31"/>
      <c r="C389" s="31"/>
      <c r="D389" s="31"/>
      <c r="I389" s="244"/>
    </row>
    <row r="390" spans="1:9">
      <c r="A390" s="31"/>
      <c r="B390" s="31"/>
      <c r="C390" s="31"/>
      <c r="D390" s="31"/>
      <c r="I390" s="244"/>
    </row>
    <row r="391" spans="1:9">
      <c r="A391" s="31"/>
      <c r="B391" s="31"/>
      <c r="C391" s="31"/>
      <c r="D391" s="31"/>
      <c r="I391" s="244"/>
    </row>
    <row r="392" spans="1:9">
      <c r="A392" s="31"/>
      <c r="B392" s="31"/>
      <c r="C392" s="31"/>
      <c r="D392" s="31"/>
      <c r="I392" s="244"/>
    </row>
    <row r="393" spans="1:9">
      <c r="A393" s="31"/>
      <c r="B393" s="31"/>
      <c r="C393" s="31"/>
      <c r="D393" s="31"/>
      <c r="I393" s="244"/>
    </row>
    <row r="394" spans="1:9">
      <c r="A394" s="31"/>
      <c r="B394" s="31"/>
      <c r="C394" s="31"/>
      <c r="D394" s="31"/>
      <c r="I394" s="244"/>
    </row>
    <row r="395" spans="1:9">
      <c r="A395" s="31"/>
      <c r="B395" s="31"/>
      <c r="C395" s="31"/>
      <c r="D395" s="31"/>
      <c r="I395" s="244"/>
    </row>
    <row r="396" spans="1:9">
      <c r="A396" s="31"/>
      <c r="B396" s="31"/>
      <c r="C396" s="31"/>
      <c r="D396" s="31"/>
      <c r="I396" s="244"/>
    </row>
    <row r="397" spans="1:9">
      <c r="A397" s="31"/>
      <c r="B397" s="31"/>
      <c r="C397" s="31"/>
      <c r="D397" s="31"/>
      <c r="I397" s="244"/>
    </row>
    <row r="398" spans="1:9">
      <c r="A398" s="31"/>
      <c r="B398" s="31"/>
      <c r="C398" s="31"/>
      <c r="D398" s="31"/>
      <c r="I398" s="244"/>
    </row>
    <row r="399" spans="1:9">
      <c r="A399" s="31"/>
      <c r="B399" s="31"/>
      <c r="C399" s="31"/>
      <c r="D399" s="31"/>
      <c r="I399" s="244"/>
    </row>
    <row r="400" spans="1:9">
      <c r="A400" s="31"/>
      <c r="B400" s="31"/>
      <c r="C400" s="31"/>
      <c r="D400" s="31"/>
      <c r="I400" s="244"/>
    </row>
    <row r="401" spans="1:9">
      <c r="A401" s="31"/>
      <c r="B401" s="31"/>
      <c r="C401" s="31"/>
      <c r="D401" s="31"/>
      <c r="I401" s="244"/>
    </row>
    <row r="402" spans="1:9">
      <c r="A402" s="31"/>
      <c r="B402" s="31"/>
      <c r="C402" s="31"/>
      <c r="D402" s="31"/>
      <c r="I402" s="244"/>
    </row>
    <row r="403" spans="1:9">
      <c r="A403" s="31"/>
      <c r="B403" s="31"/>
      <c r="C403" s="31"/>
      <c r="D403" s="31"/>
      <c r="I403" s="244"/>
    </row>
    <row r="404" spans="1:9">
      <c r="A404" s="31"/>
      <c r="B404" s="31"/>
      <c r="C404" s="31"/>
      <c r="D404" s="31"/>
      <c r="I404" s="244"/>
    </row>
    <row r="405" spans="1:9">
      <c r="A405" s="31"/>
      <c r="B405" s="31"/>
      <c r="C405" s="31"/>
      <c r="D405" s="31"/>
      <c r="I405" s="244"/>
    </row>
    <row r="406" spans="1:9">
      <c r="A406" s="31"/>
      <c r="B406" s="31"/>
      <c r="C406" s="31"/>
      <c r="D406" s="31"/>
      <c r="I406" s="244"/>
    </row>
    <row r="407" spans="1:9">
      <c r="A407" s="31"/>
      <c r="B407" s="31"/>
      <c r="C407" s="31"/>
      <c r="D407" s="31"/>
      <c r="I407" s="244"/>
    </row>
    <row r="408" spans="1:9">
      <c r="A408" s="31"/>
      <c r="B408" s="31"/>
      <c r="C408" s="31"/>
      <c r="D408" s="31"/>
      <c r="I408" s="244"/>
    </row>
    <row r="409" spans="1:9">
      <c r="A409" s="31"/>
      <c r="B409" s="31"/>
      <c r="C409" s="31"/>
      <c r="D409" s="31"/>
      <c r="I409" s="244"/>
    </row>
    <row r="410" spans="1:9">
      <c r="A410" s="31"/>
      <c r="B410" s="31"/>
      <c r="C410" s="31"/>
      <c r="D410" s="31"/>
      <c r="I410" s="244"/>
    </row>
    <row r="411" spans="1:9">
      <c r="A411" s="31"/>
      <c r="B411" s="31"/>
      <c r="C411" s="31"/>
      <c r="D411" s="31"/>
      <c r="I411" s="244"/>
    </row>
    <row r="412" spans="1:9">
      <c r="A412" s="31"/>
      <c r="B412" s="31"/>
      <c r="C412" s="31"/>
      <c r="D412" s="31"/>
      <c r="I412" s="244"/>
    </row>
    <row r="413" spans="1:9">
      <c r="A413" s="31"/>
      <c r="B413" s="31"/>
      <c r="C413" s="31"/>
      <c r="D413" s="31"/>
      <c r="I413" s="244"/>
    </row>
    <row r="414" spans="1:9">
      <c r="I414" s="244"/>
    </row>
    <row r="415" spans="1:9">
      <c r="I415" s="244"/>
    </row>
    <row r="416" spans="1:9">
      <c r="I416" s="244"/>
    </row>
    <row r="417" spans="9:9">
      <c r="I417" s="244"/>
    </row>
    <row r="418" spans="9:9">
      <c r="I418" s="244"/>
    </row>
    <row r="419" spans="9:9">
      <c r="I419" s="244"/>
    </row>
    <row r="420" spans="9:9">
      <c r="I420" s="244"/>
    </row>
    <row r="421" spans="9:9">
      <c r="I421" s="244"/>
    </row>
    <row r="422" spans="9:9">
      <c r="I422" s="244"/>
    </row>
    <row r="423" spans="9:9">
      <c r="I423" s="244"/>
    </row>
    <row r="424" spans="9:9">
      <c r="I424" s="244"/>
    </row>
    <row r="425" spans="9:9">
      <c r="I425" s="244"/>
    </row>
    <row r="426" spans="9:9">
      <c r="I426" s="244"/>
    </row>
    <row r="427" spans="9:9">
      <c r="I427" s="244"/>
    </row>
    <row r="428" spans="9:9">
      <c r="I428" s="244"/>
    </row>
    <row r="429" spans="9:9">
      <c r="I429" s="244"/>
    </row>
    <row r="430" spans="9:9">
      <c r="I430" s="244"/>
    </row>
    <row r="431" spans="9:9">
      <c r="I431" s="244"/>
    </row>
    <row r="432" spans="9:9">
      <c r="I432" s="244"/>
    </row>
    <row r="433" spans="9:9">
      <c r="I433" s="244"/>
    </row>
    <row r="434" spans="9:9">
      <c r="I434" s="244"/>
    </row>
    <row r="435" spans="9:9">
      <c r="I435" s="244"/>
    </row>
    <row r="436" spans="9:9">
      <c r="I436" s="244"/>
    </row>
    <row r="437" spans="9:9">
      <c r="I437" s="244"/>
    </row>
    <row r="438" spans="9:9">
      <c r="I438" s="244"/>
    </row>
    <row r="439" spans="9:9">
      <c r="I439" s="244"/>
    </row>
    <row r="440" spans="9:9">
      <c r="I440" s="244"/>
    </row>
    <row r="441" spans="9:9">
      <c r="I441" s="244"/>
    </row>
    <row r="442" spans="9:9">
      <c r="I442" s="244"/>
    </row>
    <row r="443" spans="9:9">
      <c r="I443" s="244"/>
    </row>
    <row r="444" spans="9:9">
      <c r="I444" s="244"/>
    </row>
    <row r="445" spans="9:9">
      <c r="I445" s="244"/>
    </row>
    <row r="446" spans="9:9">
      <c r="I446" s="244"/>
    </row>
    <row r="447" spans="9:9">
      <c r="I447" s="244"/>
    </row>
    <row r="448" spans="9:9">
      <c r="I448" s="244"/>
    </row>
    <row r="449" spans="9:9">
      <c r="I449" s="244"/>
    </row>
    <row r="450" spans="9:9">
      <c r="I450" s="244"/>
    </row>
    <row r="451" spans="9:9">
      <c r="I451" s="244"/>
    </row>
    <row r="452" spans="9:9">
      <c r="I452" s="244"/>
    </row>
    <row r="453" spans="9:9">
      <c r="I453" s="244"/>
    </row>
    <row r="454" spans="9:9">
      <c r="I454" s="244"/>
    </row>
    <row r="455" spans="9:9">
      <c r="I455" s="244"/>
    </row>
    <row r="456" spans="9:9">
      <c r="I456" s="244"/>
    </row>
    <row r="457" spans="9:9">
      <c r="I457" s="244"/>
    </row>
    <row r="458" spans="9:9">
      <c r="I458" s="244"/>
    </row>
    <row r="459" spans="9:9">
      <c r="I459" s="244"/>
    </row>
    <row r="460" spans="9:9">
      <c r="I460" s="244"/>
    </row>
    <row r="461" spans="9:9">
      <c r="I461" s="244"/>
    </row>
    <row r="462" spans="9:9">
      <c r="I462" s="244"/>
    </row>
    <row r="463" spans="9:9">
      <c r="I463" s="244"/>
    </row>
    <row r="464" spans="9:9">
      <c r="I464" s="244"/>
    </row>
    <row r="465" spans="9:9">
      <c r="I465" s="244"/>
    </row>
    <row r="466" spans="9:9">
      <c r="I466" s="244"/>
    </row>
    <row r="467" spans="9:9">
      <c r="I467" s="244"/>
    </row>
    <row r="468" spans="9:9">
      <c r="I468" s="244"/>
    </row>
    <row r="469" spans="9:9">
      <c r="I469" s="244"/>
    </row>
    <row r="470" spans="9:9">
      <c r="I470" s="244"/>
    </row>
    <row r="471" spans="9:9">
      <c r="I471" s="244"/>
    </row>
    <row r="472" spans="9:9">
      <c r="I472" s="244"/>
    </row>
    <row r="473" spans="9:9">
      <c r="I473" s="244"/>
    </row>
    <row r="474" spans="9:9">
      <c r="I474" s="244"/>
    </row>
    <row r="475" spans="9:9">
      <c r="I475" s="244"/>
    </row>
    <row r="476" spans="9:9">
      <c r="I476" s="244"/>
    </row>
    <row r="477" spans="9:9">
      <c r="I477" s="244"/>
    </row>
    <row r="478" spans="9:9">
      <c r="I478" s="244"/>
    </row>
    <row r="479" spans="9:9">
      <c r="I479" s="244"/>
    </row>
    <row r="480" spans="9:9">
      <c r="I480" s="244"/>
    </row>
    <row r="481" spans="9:9">
      <c r="I481" s="244"/>
    </row>
    <row r="482" spans="9:9">
      <c r="I482" s="244"/>
    </row>
    <row r="483" spans="9:9">
      <c r="I483" s="244"/>
    </row>
    <row r="484" spans="9:9">
      <c r="I484" s="244"/>
    </row>
    <row r="485" spans="9:9">
      <c r="I485" s="244"/>
    </row>
    <row r="486" spans="9:9">
      <c r="I486" s="244"/>
    </row>
    <row r="487" spans="9:9">
      <c r="I487" s="244"/>
    </row>
    <row r="488" spans="9:9">
      <c r="I488" s="244"/>
    </row>
    <row r="489" spans="9:9">
      <c r="I489" s="244"/>
    </row>
    <row r="490" spans="9:9">
      <c r="I490" s="244"/>
    </row>
    <row r="491" spans="9:9">
      <c r="I491" s="244"/>
    </row>
    <row r="492" spans="9:9">
      <c r="I492" s="244"/>
    </row>
    <row r="493" spans="9:9">
      <c r="I493" s="244"/>
    </row>
    <row r="494" spans="9:9">
      <c r="I494" s="244"/>
    </row>
    <row r="495" spans="9:9">
      <c r="I495" s="244"/>
    </row>
    <row r="496" spans="9:9">
      <c r="I496" s="244"/>
    </row>
    <row r="497" spans="9:9">
      <c r="I497" s="244"/>
    </row>
    <row r="498" spans="9:9">
      <c r="I498" s="244"/>
    </row>
    <row r="499" spans="9:9">
      <c r="I499" s="244"/>
    </row>
    <row r="500" spans="9:9">
      <c r="I500" s="244"/>
    </row>
    <row r="501" spans="9:9">
      <c r="I501" s="244"/>
    </row>
    <row r="502" spans="9:9">
      <c r="I502" s="244"/>
    </row>
    <row r="503" spans="9:9">
      <c r="I503" s="244"/>
    </row>
    <row r="504" spans="9:9">
      <c r="I504" s="244"/>
    </row>
    <row r="505" spans="9:9">
      <c r="I505" s="244"/>
    </row>
    <row r="506" spans="9:9">
      <c r="I506" s="244"/>
    </row>
    <row r="507" spans="9:9">
      <c r="I507" s="244"/>
    </row>
    <row r="508" spans="9:9">
      <c r="I508" s="244"/>
    </row>
    <row r="509" spans="9:9">
      <c r="I509" s="244"/>
    </row>
    <row r="510" spans="9:9">
      <c r="I510" s="244"/>
    </row>
    <row r="511" spans="9:9">
      <c r="I511" s="244"/>
    </row>
    <row r="512" spans="9:9">
      <c r="I512" s="244"/>
    </row>
    <row r="513" spans="9:9">
      <c r="I513" s="244"/>
    </row>
    <row r="514" spans="9:9">
      <c r="I514" s="244"/>
    </row>
    <row r="515" spans="9:9">
      <c r="I515" s="244"/>
    </row>
    <row r="516" spans="9:9">
      <c r="I516" s="244"/>
    </row>
    <row r="517" spans="9:9">
      <c r="I517" s="244"/>
    </row>
    <row r="518" spans="9:9">
      <c r="I518" s="244"/>
    </row>
    <row r="519" spans="9:9">
      <c r="I519" s="244"/>
    </row>
    <row r="520" spans="9:9">
      <c r="I520" s="244"/>
    </row>
    <row r="521" spans="9:9">
      <c r="I521" s="244"/>
    </row>
    <row r="522" spans="9:9">
      <c r="I522" s="244"/>
    </row>
    <row r="523" spans="9:9">
      <c r="I523" s="244"/>
    </row>
    <row r="524" spans="9:9">
      <c r="I524" s="244"/>
    </row>
    <row r="525" spans="9:9">
      <c r="I525" s="244"/>
    </row>
    <row r="526" spans="9:9">
      <c r="I526" s="244"/>
    </row>
    <row r="527" spans="9:9">
      <c r="I527" s="244"/>
    </row>
    <row r="528" spans="9:9">
      <c r="I528" s="244"/>
    </row>
    <row r="529" spans="9:9">
      <c r="I529" s="244"/>
    </row>
    <row r="530" spans="9:9">
      <c r="I530" s="244"/>
    </row>
    <row r="531" spans="9:9">
      <c r="I531" s="244"/>
    </row>
    <row r="532" spans="9:9">
      <c r="I532" s="244"/>
    </row>
    <row r="533" spans="9:9">
      <c r="I533" s="244"/>
    </row>
    <row r="534" spans="9:9">
      <c r="I534" s="244"/>
    </row>
    <row r="535" spans="9:9">
      <c r="I535" s="244"/>
    </row>
    <row r="536" spans="9:9">
      <c r="I536" s="244"/>
    </row>
    <row r="537" spans="9:9">
      <c r="I537" s="244"/>
    </row>
    <row r="538" spans="9:9">
      <c r="I538" s="244"/>
    </row>
    <row r="539" spans="9:9">
      <c r="I539" s="244"/>
    </row>
    <row r="540" spans="9:9">
      <c r="I540" s="244"/>
    </row>
    <row r="541" spans="9:9">
      <c r="I541" s="244"/>
    </row>
    <row r="542" spans="9:9">
      <c r="I542" s="244"/>
    </row>
    <row r="543" spans="9:9">
      <c r="I543" s="244"/>
    </row>
    <row r="544" spans="9:9">
      <c r="I544" s="244"/>
    </row>
    <row r="545" spans="9:9">
      <c r="I545" s="244"/>
    </row>
    <row r="546" spans="9:9">
      <c r="I546" s="244"/>
    </row>
    <row r="547" spans="9:9">
      <c r="I547" s="244"/>
    </row>
    <row r="548" spans="9:9">
      <c r="I548" s="244"/>
    </row>
    <row r="549" spans="9:9">
      <c r="I549" s="244"/>
    </row>
    <row r="550" spans="9:9">
      <c r="I550" s="244"/>
    </row>
    <row r="551" spans="9:9">
      <c r="I551" s="244"/>
    </row>
    <row r="552" spans="9:9">
      <c r="I552" s="244"/>
    </row>
    <row r="553" spans="9:9">
      <c r="I553" s="244"/>
    </row>
    <row r="554" spans="9:9">
      <c r="I554" s="244"/>
    </row>
    <row r="555" spans="9:9">
      <c r="I555" s="244"/>
    </row>
    <row r="556" spans="9:9">
      <c r="I556" s="244"/>
    </row>
    <row r="557" spans="9:9">
      <c r="I557" s="244"/>
    </row>
    <row r="558" spans="9:9">
      <c r="I558" s="244"/>
    </row>
    <row r="559" spans="9:9">
      <c r="I559" s="244"/>
    </row>
    <row r="560" spans="9:9">
      <c r="I560" s="244"/>
    </row>
    <row r="561" spans="9:9">
      <c r="I561" s="244"/>
    </row>
    <row r="562" spans="9:9">
      <c r="I562" s="244"/>
    </row>
    <row r="563" spans="9:9">
      <c r="I563" s="244"/>
    </row>
    <row r="564" spans="9:9">
      <c r="I564" s="244"/>
    </row>
    <row r="565" spans="9:9">
      <c r="I565" s="244"/>
    </row>
  </sheetData>
  <sortState xmlns:xlrd2="http://schemas.microsoft.com/office/spreadsheetml/2017/richdata2" ref="A34:B73">
    <sortCondition ref="B34"/>
  </sortState>
  <mergeCells count="42">
    <mergeCell ref="AB32:AC32"/>
    <mergeCell ref="AB33:AC33"/>
    <mergeCell ref="AB45:AC45"/>
    <mergeCell ref="AB37:AC37"/>
    <mergeCell ref="AB38:AC38"/>
    <mergeCell ref="AB40:AC40"/>
    <mergeCell ref="AH28:AH30"/>
    <mergeCell ref="AB48:AC48"/>
    <mergeCell ref="AB46:AC46"/>
    <mergeCell ref="AB47:AC47"/>
    <mergeCell ref="AB43:AC43"/>
    <mergeCell ref="AB29:AC30"/>
    <mergeCell ref="AB31:AC31"/>
    <mergeCell ref="AB41:AC41"/>
    <mergeCell ref="AB39:AC39"/>
    <mergeCell ref="AB44:AC44"/>
    <mergeCell ref="AG28:AG30"/>
    <mergeCell ref="AF28:AF30"/>
    <mergeCell ref="AB34:AC34"/>
    <mergeCell ref="AB42:AC42"/>
    <mergeCell ref="AB35:AC35"/>
    <mergeCell ref="AB36:AC36"/>
    <mergeCell ref="W41:X41"/>
    <mergeCell ref="W37:X37"/>
    <mergeCell ref="F8:G8"/>
    <mergeCell ref="W29:X30"/>
    <mergeCell ref="W31:X31"/>
    <mergeCell ref="W32:X32"/>
    <mergeCell ref="W36:X36"/>
    <mergeCell ref="W40:X40"/>
    <mergeCell ref="W39:X39"/>
    <mergeCell ref="W33:X33"/>
    <mergeCell ref="W34:X34"/>
    <mergeCell ref="W38:X38"/>
    <mergeCell ref="W35:X35"/>
    <mergeCell ref="W48:X48"/>
    <mergeCell ref="W45:X45"/>
    <mergeCell ref="W42:X42"/>
    <mergeCell ref="W46:X46"/>
    <mergeCell ref="W43:X43"/>
    <mergeCell ref="W47:X47"/>
    <mergeCell ref="W44:X44"/>
  </mergeCells>
  <phoneticPr fontId="0" type="noConversion"/>
  <printOptions horizontalCentered="1" gridLinesSet="0"/>
  <pageMargins left="0.5" right="0.5" top="1" bottom="0.75" header="0.5" footer="1"/>
  <pageSetup scale="110" orientation="portrait" horizontalDpi="300" verticalDpi="300" r:id="rId1"/>
  <headerFooter alignWithMargins="0">
    <oddFooter xml:space="preserve">&amp;LSeries
A    - Air Cylinder
AM - Modified Air Cylinder
H    - Hydraulic Cylinder
HM - Modified Hydraulic Cylinder
HS  - Sidener Cylinder&amp;RStyle Options           
S  -  Standard 
X  -  Double Rod End 
Y  -  Duplex 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CE98"/>
  <sheetViews>
    <sheetView tabSelected="1" topLeftCell="A15" zoomScale="75" zoomScaleNormal="75" workbookViewId="0">
      <selection activeCell="C16" sqref="C16:E16"/>
    </sheetView>
  </sheetViews>
  <sheetFormatPr defaultColWidth="9.08984375" defaultRowHeight="13.5"/>
  <cols>
    <col min="1" max="1" width="12.81640625" style="7" bestFit="1" customWidth="1"/>
    <col min="2" max="2" width="33.453125" style="7" customWidth="1"/>
    <col min="3" max="3" width="4.81640625" style="7" customWidth="1"/>
    <col min="4" max="4" width="10.54296875" style="7" customWidth="1"/>
    <col min="5" max="5" width="12.08984375" style="7" customWidth="1"/>
    <col min="6" max="6" width="7.36328125" style="7" customWidth="1"/>
    <col min="7" max="7" width="25" style="7" customWidth="1"/>
    <col min="8" max="8" width="10" style="1" customWidth="1"/>
    <col min="9" max="9" width="11.08984375" style="7" customWidth="1"/>
    <col min="10" max="10" width="7" style="7" customWidth="1"/>
    <col min="11" max="11" width="9.81640625" style="7" customWidth="1"/>
    <col min="12" max="12" width="12" style="7" bestFit="1" customWidth="1"/>
    <col min="13" max="14" width="9.08984375" style="7"/>
    <col min="15" max="15" width="13.81640625" style="7" customWidth="1"/>
    <col min="16" max="16" width="8" style="7" customWidth="1"/>
    <col min="17" max="18" width="9.08984375" style="7"/>
    <col min="19" max="19" width="59.81640625" style="7" customWidth="1"/>
    <col min="20" max="21" width="9.08984375" style="7"/>
    <col min="22" max="22" width="21.453125" style="7" bestFit="1" customWidth="1"/>
    <col min="23" max="23" width="60.08984375" style="7" customWidth="1"/>
    <col min="24" max="33" width="9.08984375" style="7"/>
    <col min="34" max="35" width="9.08984375" style="182"/>
    <col min="36" max="36" width="5.54296875" style="267" bestFit="1" customWidth="1"/>
    <col min="37" max="37" width="4.453125" style="267" bestFit="1" customWidth="1"/>
    <col min="38" max="38" width="6.36328125" style="182" bestFit="1" customWidth="1"/>
    <col min="39" max="39" width="7.81640625" style="182" bestFit="1" customWidth="1"/>
    <col min="40" max="41" width="6.54296875" style="182" bestFit="1" customWidth="1"/>
    <col min="42" max="42" width="5.54296875" style="182" bestFit="1" customWidth="1"/>
    <col min="43" max="43" width="10.453125" style="182" customWidth="1"/>
    <col min="44" max="46" width="9.08984375" style="182"/>
    <col min="47" max="47" width="6" style="182" bestFit="1" customWidth="1"/>
    <col min="48" max="48" width="5.54296875" style="182" bestFit="1" customWidth="1"/>
    <col min="49" max="49" width="7.81640625" style="182" bestFit="1" customWidth="1"/>
    <col min="50" max="51" width="6.54296875" style="182" bestFit="1" customWidth="1"/>
    <col min="52" max="65" width="9.08984375" style="182"/>
    <col min="66" max="82" width="9.08984375" style="1"/>
    <col min="83" max="16384" width="9.08984375" style="7"/>
  </cols>
  <sheetData>
    <row r="1" spans="1:83" s="6" customFormat="1" ht="20.25" customHeight="1">
      <c r="A1" s="322"/>
      <c r="B1" s="537" t="s">
        <v>32379</v>
      </c>
      <c r="C1" s="537"/>
      <c r="D1" s="537"/>
      <c r="E1" s="537"/>
      <c r="F1" s="282" t="s">
        <v>22204</v>
      </c>
      <c r="G1" s="328" t="s">
        <v>39497</v>
      </c>
      <c r="H1" s="1"/>
      <c r="I1" s="26" t="s">
        <v>346</v>
      </c>
      <c r="AF1" s="7"/>
      <c r="AG1" s="7"/>
      <c r="AH1" s="183"/>
      <c r="AI1" s="186" t="str">
        <f>IF(OR($B$13=25,$B$13=32),0.25,"")</f>
        <v/>
      </c>
      <c r="AJ1" s="267">
        <v>25</v>
      </c>
      <c r="AK1" s="267">
        <v>32</v>
      </c>
      <c r="AL1" s="182"/>
      <c r="AM1" s="182"/>
      <c r="AN1" s="182"/>
      <c r="AO1" s="182"/>
      <c r="AP1" s="182"/>
      <c r="AQ1" s="182"/>
      <c r="AR1" s="182"/>
      <c r="AS1" s="182"/>
      <c r="AT1" s="182"/>
      <c r="AU1" s="182"/>
      <c r="AV1" s="182"/>
      <c r="AW1" s="182"/>
      <c r="AX1" s="182"/>
      <c r="AY1" s="182"/>
      <c r="AZ1" s="182"/>
      <c r="BA1" s="182"/>
      <c r="BB1" s="182"/>
      <c r="BC1" s="182"/>
      <c r="BD1" s="182"/>
      <c r="BE1" s="182"/>
      <c r="BF1" s="182"/>
      <c r="BG1" s="182"/>
      <c r="BH1" s="182"/>
      <c r="BI1" s="182"/>
      <c r="BJ1" s="182"/>
      <c r="BK1" s="182"/>
      <c r="BL1" s="182"/>
      <c r="BM1" s="18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</row>
    <row r="2" spans="1:83" s="6" customFormat="1" ht="18" customHeight="1">
      <c r="A2" s="323"/>
      <c r="B2" s="537"/>
      <c r="C2" s="537"/>
      <c r="D2" s="537"/>
      <c r="E2" s="537"/>
      <c r="F2" s="282" t="s">
        <v>651</v>
      </c>
      <c r="G2" s="321">
        <f ca="1">NOW()</f>
        <v>46294.786677430558</v>
      </c>
      <c r="H2" s="262" t="s">
        <v>653</v>
      </c>
      <c r="AF2" s="7"/>
      <c r="AG2" s="7"/>
      <c r="AH2" s="183"/>
      <c r="AI2" s="186" t="str">
        <f>IF($B$13=40,0.375,"")</f>
        <v/>
      </c>
      <c r="AJ2" s="267">
        <v>40</v>
      </c>
      <c r="AK2" s="267"/>
      <c r="AL2" s="182"/>
      <c r="AM2" s="182"/>
      <c r="AN2" s="182"/>
      <c r="AO2" s="182"/>
      <c r="AP2" s="182"/>
      <c r="AQ2" s="182"/>
      <c r="AS2" s="182"/>
      <c r="AW2" s="6" t="s">
        <v>653</v>
      </c>
      <c r="BB2" s="182"/>
      <c r="BG2" s="182"/>
      <c r="BH2" s="182"/>
      <c r="BI2" s="183"/>
      <c r="BJ2" s="182"/>
      <c r="BK2" s="182"/>
      <c r="BL2" s="183"/>
      <c r="BM2" s="182"/>
      <c r="BN2" s="2" t="s">
        <v>748</v>
      </c>
      <c r="BO2" s="2"/>
      <c r="BP2" s="2" t="s">
        <v>63</v>
      </c>
      <c r="BQ2" s="2" t="s">
        <v>9</v>
      </c>
      <c r="BR2" s="2" t="s">
        <v>18</v>
      </c>
      <c r="BS2" s="2" t="s">
        <v>17</v>
      </c>
      <c r="BT2" s="2" t="s">
        <v>20</v>
      </c>
      <c r="BU2" s="2" t="s">
        <v>19</v>
      </c>
      <c r="BV2" s="2" t="s">
        <v>21</v>
      </c>
      <c r="BW2" s="2" t="str">
        <f>IF(BW3&gt;0,CONCATENATE("XC = ",BW3,""""),"")</f>
        <v/>
      </c>
      <c r="BX2" s="2" t="str">
        <f>IF(BX3&gt;0,CONCATENATE("XD = ",BX3,""""),"")</f>
        <v/>
      </c>
      <c r="BY2" s="2" t="str">
        <f>IF(BY3&gt;0,CONCATENATE("XG = ",BY3,""""),"")</f>
        <v/>
      </c>
      <c r="BZ2" s="2" t="str">
        <f>IF(BZ3&gt;0,CONCATENATE("XH = ",BZ3,""""),"")</f>
        <v/>
      </c>
      <c r="CA2" s="2" t="str">
        <f>IF(CA3&gt;0,CONCATENATE("XJ = ",CA3,""""),"")</f>
        <v/>
      </c>
      <c r="CB2" s="2" t="str">
        <f>IF(CB3&gt;0,CONCATENATE("XS = ",CB3,""""),"")</f>
        <v/>
      </c>
      <c r="CC2" s="2" t="str">
        <f>IF(CC3&gt;0,CONCATENATE("XT = ",CC3,""""),"")</f>
        <v/>
      </c>
      <c r="CD2" s="2" t="str">
        <f>IF(CD3&gt;0,CONCATENATE("XC = ",CD3),"")</f>
        <v/>
      </c>
      <c r="CE2" s="6" t="str">
        <f>IF(CE3&gt;0,CONCATENATE("XC = ",CE3),"")</f>
        <v/>
      </c>
    </row>
    <row r="3" spans="1:83" s="6" customFormat="1" ht="15" customHeight="1">
      <c r="A3" s="322"/>
      <c r="B3" s="452"/>
      <c r="C3" s="452"/>
      <c r="D3" s="452"/>
      <c r="E3" s="452"/>
      <c r="F3" s="282" t="s">
        <v>650</v>
      </c>
      <c r="G3" s="284" t="s">
        <v>20339</v>
      </c>
      <c r="H3" s="263"/>
      <c r="AF3" s="7"/>
      <c r="AG3" s="7"/>
      <c r="AH3" s="183"/>
      <c r="AI3" s="186" t="str">
        <f>IF(OR($B$13=50,$B$13=63),0.5,"")</f>
        <v/>
      </c>
      <c r="AJ3" s="267">
        <v>50</v>
      </c>
      <c r="AK3" s="267">
        <v>63</v>
      </c>
      <c r="AP3" s="182"/>
      <c r="AQ3" s="182"/>
      <c r="AR3" s="182"/>
      <c r="AS3" s="182"/>
      <c r="BB3" s="182"/>
      <c r="BG3" s="182"/>
      <c r="BH3" s="182"/>
      <c r="BI3" s="183"/>
      <c r="BJ3" s="182"/>
      <c r="BK3" s="182"/>
      <c r="BL3" s="183"/>
      <c r="BM3" s="182"/>
      <c r="BN3" s="2" t="s">
        <v>418</v>
      </c>
      <c r="BO3" s="2" t="s">
        <v>227</v>
      </c>
      <c r="BP3" s="2" t="s">
        <v>10</v>
      </c>
      <c r="BQ3" s="2" t="s">
        <v>11</v>
      </c>
      <c r="BR3" s="2" t="s">
        <v>12</v>
      </c>
      <c r="BS3" s="2" t="s">
        <v>13</v>
      </c>
      <c r="BT3" s="2" t="s">
        <v>14</v>
      </c>
      <c r="BU3" s="2" t="s">
        <v>15</v>
      </c>
      <c r="BV3" s="2" t="s">
        <v>16</v>
      </c>
      <c r="BW3" s="2">
        <f>IF(SUM(BW4:BW98)=0,0,SUM(BW4:BW98)+Data!B11)</f>
        <v>0</v>
      </c>
      <c r="BX3" s="2">
        <f t="shared" ref="BX3:CC3" si="0">SUM(BX4:BX98)</f>
        <v>0</v>
      </c>
      <c r="BY3" s="2">
        <f t="shared" si="0"/>
        <v>0</v>
      </c>
      <c r="BZ3" s="2">
        <f t="shared" si="0"/>
        <v>0</v>
      </c>
      <c r="CA3" s="2">
        <f t="shared" si="0"/>
        <v>0</v>
      </c>
      <c r="CB3" s="2">
        <f t="shared" si="0"/>
        <v>0</v>
      </c>
      <c r="CC3" s="2">
        <f t="shared" si="0"/>
        <v>0</v>
      </c>
      <c r="CD3" s="2"/>
    </row>
    <row r="4" spans="1:83" s="9" customFormat="1" ht="19.5" customHeight="1">
      <c r="A4" s="323"/>
      <c r="B4" s="453" t="s">
        <v>22206</v>
      </c>
      <c r="C4" s="544" t="str">
        <f>Customer!B1</f>
        <v>K C I Inc - Kansas City</v>
      </c>
      <c r="D4" s="544"/>
      <c r="E4" s="544"/>
      <c r="F4" s="282"/>
      <c r="G4" s="281"/>
      <c r="H4" s="264" t="str">
        <f>Data!B5</f>
        <v>MF1</v>
      </c>
      <c r="AF4" s="17" t="s">
        <v>650</v>
      </c>
      <c r="AG4" s="8" t="str">
        <f>IF(AF12&gt;19999,"1/3 1/3 1/3","Net 30")</f>
        <v>1/3 1/3 1/3</v>
      </c>
      <c r="AH4" s="183"/>
      <c r="AI4" s="186" t="str">
        <f>IF(OR($B$13=80,$B$13=100),0.75,"")</f>
        <v/>
      </c>
      <c r="AJ4" s="318">
        <v>80</v>
      </c>
      <c r="AK4" s="318">
        <v>100</v>
      </c>
      <c r="AP4" s="182"/>
      <c r="AQ4" s="182"/>
      <c r="AR4" s="182"/>
      <c r="AS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3"/>
      <c r="BL4" s="182"/>
      <c r="BM4" s="182"/>
      <c r="BN4" s="15">
        <v>1.5</v>
      </c>
      <c r="BO4" s="15">
        <v>0.625</v>
      </c>
      <c r="BP4" s="15">
        <v>6.375</v>
      </c>
      <c r="BQ4" s="15">
        <v>6.75</v>
      </c>
      <c r="BR4" s="15">
        <v>1.875</v>
      </c>
      <c r="BS4" s="15">
        <v>6.4349999999999996</v>
      </c>
      <c r="BT4" s="15">
        <v>4.875</v>
      </c>
      <c r="BU4" s="15">
        <v>1.375</v>
      </c>
      <c r="BV4" s="15">
        <v>1.9370000000000001</v>
      </c>
      <c r="BW4" s="15" t="str">
        <f>IF(Data!$B$3="h",IF(AND(Data!$B$4=$BN4,$BO4=$B$15),IF(OR(Data!$B$5="mp1",Data!$B$5="mp3"),BP4+$B$18,""),""),"")</f>
        <v/>
      </c>
      <c r="BX4" s="15" t="str">
        <f>IF(Data!$B$3="h",IF(AND(Data!$B$4=$BN4,$BO4=$B$15),IF(Data!$B$5="mp2",BQ4+$B$18,""),""),"")</f>
        <v/>
      </c>
      <c r="BY4" s="15" t="str">
        <f>IF(Data!$B$3="h",IF(AND(Data!$B$4=$BN4,$BO4=$B$15),IF(Data!$B$5="mt1",BR4,""),""),"")</f>
        <v/>
      </c>
      <c r="BZ4" s="15" t="str">
        <f>IF(Data!$B$3="h",IF(AND(Data!$B$4=$BN4,$BO4=$B$15),IF(Data!$B$5="mpu3",BS4+$B$18,""),""),"")</f>
        <v/>
      </c>
      <c r="CA4" s="15" t="str">
        <f>IF(Data!$B$3="h",IF(AND(Data!$B$4=$BN4,$BO4=$B$15),IF(Data!$B$5="mt2",BT4+$B$18,""),""),"")</f>
        <v/>
      </c>
      <c r="CB4" s="15" t="str">
        <f>IF(Data!$B$3="h",IF(AND(Data!$B$4=$BN4,$BO4=$B$15),IF(Data!$B$5="ms2",BU4,""),""),"")</f>
        <v/>
      </c>
      <c r="CC4" s="15" t="str">
        <f>IF(Data!$B$3="h",IF(AND(Data!$B$4=$BN4,$BO4=$B$15),IF(Data!$B$5="ms4",BV4,""),""),"")</f>
        <v/>
      </c>
      <c r="CD4" s="15"/>
    </row>
    <row r="5" spans="1:83" s="9" customFormat="1" ht="14.5">
      <c r="A5" s="285"/>
      <c r="B5" s="280" t="s">
        <v>396</v>
      </c>
      <c r="C5" s="543" t="str">
        <f>Customer!D1</f>
        <v xml:space="preserve">Kansas City,MO </v>
      </c>
      <c r="D5" s="544"/>
      <c r="E5" s="544"/>
      <c r="F5" s="282" t="s">
        <v>20356</v>
      </c>
      <c r="G5" s="283">
        <v>30</v>
      </c>
      <c r="H5" s="15"/>
      <c r="J5" s="212"/>
      <c r="AF5" s="9" t="str">
        <f>IF(AF12&gt;19999,"        Progressive Payment","")</f>
        <v xml:space="preserve">        Progressive Payment</v>
      </c>
      <c r="AG5" s="10"/>
      <c r="AH5" s="183"/>
      <c r="AI5" s="186" t="str">
        <f>IF(OR($B$13=125,$B$13=160),1,"")</f>
        <v/>
      </c>
      <c r="AJ5" s="318">
        <v>125</v>
      </c>
      <c r="AK5" s="318">
        <v>160</v>
      </c>
      <c r="AP5" s="182"/>
      <c r="AQ5" s="182"/>
      <c r="AR5" s="182"/>
      <c r="AS5" s="182"/>
      <c r="AT5" s="182"/>
      <c r="AU5" s="183"/>
      <c r="AV5" s="182"/>
      <c r="AW5" s="182"/>
      <c r="AX5" s="182"/>
      <c r="AY5" s="182"/>
      <c r="AZ5" s="182"/>
      <c r="BC5" s="182"/>
      <c r="BD5" s="182"/>
      <c r="BE5" s="182"/>
      <c r="BF5" s="182"/>
      <c r="BG5" s="182"/>
      <c r="BH5" s="182"/>
      <c r="BI5" s="182"/>
      <c r="BJ5" s="182"/>
      <c r="BK5" s="182"/>
      <c r="BL5" s="182"/>
      <c r="BM5" s="182"/>
      <c r="BN5" s="15">
        <v>1.5</v>
      </c>
      <c r="BO5" s="15">
        <v>1</v>
      </c>
      <c r="BP5" s="15">
        <v>6.75</v>
      </c>
      <c r="BQ5" s="15">
        <v>7.13</v>
      </c>
      <c r="BR5" s="15">
        <v>2.25</v>
      </c>
      <c r="BS5" s="15">
        <v>6.81</v>
      </c>
      <c r="BT5" s="15">
        <v>5.25</v>
      </c>
      <c r="BU5" s="15">
        <v>1.75</v>
      </c>
      <c r="BV5" s="15">
        <v>2.3119999999999998</v>
      </c>
      <c r="BW5" s="15" t="str">
        <f>IF(Data!$B$3="h",IF(AND(Data!$B$4=BN5,BO5=$B$15),IF(OR(Data!$B$5="mp1",Data!$B$5="mp3"),BP5+$B$18,""),""),"")</f>
        <v/>
      </c>
      <c r="BX5" s="15" t="str">
        <f>IF(Data!$B$3="h",IF(AND(Data!$B$4=$BN5,$BO5=$B$15),IF(Data!$B$5="mp2",BQ5+$B$18,""),""),"")</f>
        <v/>
      </c>
      <c r="BY5" s="15" t="str">
        <f>IF(Data!$B$3="h",IF(AND(Data!$B$4=$BN5,$BO5=$B$15),IF(Data!$B$5="mt1",BR5,""),""),"")</f>
        <v/>
      </c>
      <c r="BZ5" s="15" t="str">
        <f>IF(Data!$B$3="h",IF(AND(Data!$B$4=$BN5,$BO5=$B$15),IF(Data!$B$5="mpu3",BS5+$B$18,""),""),"")</f>
        <v/>
      </c>
      <c r="CA5" s="15" t="str">
        <f>IF(Data!$B$3="h",IF(AND(Data!$B$4=$BN5,$BO5=$B$15),IF(Data!$B$5="mt2",BT5+$B$18,""),""),"")</f>
        <v/>
      </c>
      <c r="CB5" s="15" t="str">
        <f>IF(Data!$B$3="h",IF(AND(Data!$B$4=$BN5,$BO5=$B$15),IF(Data!$B$5="ms2",BU5,""),""),"")</f>
        <v/>
      </c>
      <c r="CC5" s="15" t="str">
        <f>IF(Data!$B$3="h",IF(AND(Data!$B$4=$BN5,$BO5=$B$15),IF(Data!$B$5="ms4",BV5,""),""),"")</f>
        <v/>
      </c>
      <c r="CD5" s="15"/>
    </row>
    <row r="6" spans="1:83" s="9" customFormat="1" ht="16.5" customHeight="1">
      <c r="A6" s="324"/>
      <c r="B6" s="280" t="s">
        <v>20328</v>
      </c>
      <c r="C6" s="545">
        <f>Customer!E1</f>
        <v>0</v>
      </c>
      <c r="D6" s="545"/>
      <c r="E6" s="545"/>
      <c r="F6" s="282" t="s">
        <v>22155</v>
      </c>
      <c r="G6" s="337" t="s">
        <v>39489</v>
      </c>
      <c r="H6" s="15"/>
      <c r="AH6" s="183"/>
      <c r="AI6" s="186" t="str">
        <f>IF($B$13=200,1.25,"")</f>
        <v/>
      </c>
      <c r="AJ6" s="318">
        <v>200</v>
      </c>
      <c r="AK6" s="318"/>
      <c r="AP6" s="182"/>
      <c r="AQ6" s="182"/>
      <c r="AR6" s="182"/>
      <c r="AS6" s="182"/>
      <c r="AT6" s="182"/>
      <c r="AU6" s="182"/>
      <c r="AV6" s="182"/>
      <c r="AW6" s="182"/>
      <c r="AX6" s="182"/>
      <c r="AY6" s="182"/>
      <c r="AZ6" s="182"/>
      <c r="BC6" s="182"/>
      <c r="BD6" s="182"/>
      <c r="BE6" s="182"/>
      <c r="BF6" s="182"/>
      <c r="BG6" s="182"/>
      <c r="BH6" s="182"/>
      <c r="BI6" s="182"/>
      <c r="BJ6" s="182"/>
      <c r="BK6" s="182"/>
      <c r="BL6" s="182"/>
      <c r="BM6" s="182"/>
      <c r="BN6" s="15">
        <v>2</v>
      </c>
      <c r="BO6" s="15">
        <v>1</v>
      </c>
      <c r="BP6" s="15">
        <v>7.25</v>
      </c>
      <c r="BQ6" s="15">
        <v>7.88</v>
      </c>
      <c r="BR6" s="15">
        <v>2.25</v>
      </c>
      <c r="BS6" s="15">
        <v>7.19</v>
      </c>
      <c r="BT6" s="15">
        <v>5.25</v>
      </c>
      <c r="BU6" s="15">
        <v>1.875</v>
      </c>
      <c r="BV6" s="15">
        <v>2.3119999999999998</v>
      </c>
      <c r="BW6" s="15" t="str">
        <f>IF(Data!$B$3="h",IF(AND(Data!$B$4=BN6,BO6=$B$15),IF(OR(Data!$B$5="mp1",Data!$B$5="mp3"),BP6+$B$18,""),""),"")</f>
        <v/>
      </c>
      <c r="BX6" s="15" t="str">
        <f>IF(Data!$B$3="h",IF(AND(Data!$B$4=$BN6,$BO6=$B$15),IF(Data!$B$5="mp2",BQ6+$B$18,""),""),"")</f>
        <v/>
      </c>
      <c r="BY6" s="15" t="str">
        <f>IF(Data!$B$3="h",IF(AND(Data!$B$4=$BN6,$BO6=$B$15),IF(Data!$B$5="mt1",BR6,""),""),"")</f>
        <v/>
      </c>
      <c r="BZ6" s="15" t="str">
        <f>IF(Data!$B$3="h",IF(AND(Data!$B$4=$BN6,$BO6=$B$15),IF(Data!$B$5="mpu3",BS6+$B$18,""),""),"")</f>
        <v/>
      </c>
      <c r="CA6" s="15" t="str">
        <f>IF(Data!$B$3="h",IF(AND(Data!$B$4=$BN6,$BO6=$B$15),IF(Data!$B$5="mt2",BT6+$B$18,""),""),"")</f>
        <v/>
      </c>
      <c r="CB6" s="15" t="str">
        <f>IF(Data!$B$3="h",IF(AND(Data!$B$4=$BN6,$BO6=$B$15),IF(Data!$B$5="ms2",BU6,""),""),"")</f>
        <v/>
      </c>
      <c r="CC6" s="15" t="str">
        <f>IF(Data!$B$3="h",IF(AND(Data!$B$4=$BN6,$BO6=$B$15),IF(Data!$B$5="ms4",BV6,""),""),"")</f>
        <v/>
      </c>
      <c r="CD6" s="15"/>
    </row>
    <row r="7" spans="1:83" s="9" customFormat="1" ht="16.5" customHeight="1">
      <c r="A7" s="325"/>
      <c r="B7" s="280" t="s">
        <v>406</v>
      </c>
      <c r="C7" s="542"/>
      <c r="D7" s="542"/>
      <c r="E7" s="542"/>
      <c r="F7" s="282" t="s">
        <v>649</v>
      </c>
      <c r="G7" s="284" t="s">
        <v>20466</v>
      </c>
      <c r="H7" s="15"/>
      <c r="AH7" s="182"/>
      <c r="AI7" s="186">
        <f>SUM(AI1:AI6)</f>
        <v>0</v>
      </c>
      <c r="AJ7" s="318"/>
      <c r="AK7" s="318"/>
      <c r="AP7" s="182"/>
      <c r="AQ7" s="182"/>
      <c r="AR7" s="182"/>
      <c r="AS7" s="182"/>
      <c r="AT7" s="182"/>
      <c r="AU7" s="182"/>
      <c r="AV7" s="182"/>
      <c r="AW7" s="182"/>
      <c r="AX7" s="182"/>
      <c r="AY7" s="182"/>
      <c r="AZ7" s="182"/>
      <c r="BA7" s="182"/>
      <c r="BB7" s="182"/>
      <c r="BC7" s="182"/>
      <c r="BD7" s="182"/>
      <c r="BE7" s="182"/>
      <c r="BF7" s="182"/>
      <c r="BG7" s="182"/>
      <c r="BH7" s="182"/>
      <c r="BI7" s="182"/>
      <c r="BJ7" s="182"/>
      <c r="BK7" s="182"/>
      <c r="BL7" s="182"/>
      <c r="BM7" s="182"/>
      <c r="BN7" s="15">
        <v>2</v>
      </c>
      <c r="BO7" s="15">
        <v>1.375</v>
      </c>
      <c r="BP7" s="15">
        <v>7.5</v>
      </c>
      <c r="BQ7" s="15">
        <v>8.1300000000000008</v>
      </c>
      <c r="BR7" s="15">
        <v>2.5</v>
      </c>
      <c r="BS7" s="15">
        <v>7.44</v>
      </c>
      <c r="BT7" s="15">
        <v>5.5</v>
      </c>
      <c r="BU7" s="15">
        <v>2.125</v>
      </c>
      <c r="BV7" s="15">
        <v>2.5619999999999998</v>
      </c>
      <c r="BW7" s="15" t="str">
        <f>IF(Data!$B$3="h",IF(AND(Data!$B$4=BN7,BO7=$B$15),IF(OR(Data!$B$5="mp1",Data!$B$5="mp3"),BP7+$B$18,""),""),"")</f>
        <v/>
      </c>
      <c r="BX7" s="15" t="str">
        <f>IF(Data!$B$3="h",IF(AND(Data!$B$4=$BN7,$BO7=$B$15),IF(Data!$B$5="mp2",BQ7+$B$18,""),""),"")</f>
        <v/>
      </c>
      <c r="BY7" s="15" t="str">
        <f>IF(Data!$B$3="h",IF(AND(Data!$B$4=$BN7,$BO7=$B$15),IF(Data!$B$5="mt1",BR7,""),""),"")</f>
        <v/>
      </c>
      <c r="BZ7" s="15" t="str">
        <f>IF(Data!$B$3="h",IF(AND(Data!$B$4=$BN7,$BO7=$B$15),IF(Data!$B$5="mpu3",BS7+$B$18,""),""),"")</f>
        <v/>
      </c>
      <c r="CA7" s="15" t="str">
        <f>IF(Data!$B$3="h",IF(AND(Data!$B$4=$BN7,$BO7=$B$15),IF(Data!$B$5="mt2",BT7+$B$18,""),""),"")</f>
        <v/>
      </c>
      <c r="CB7" s="15" t="str">
        <f>IF(Data!$B$3="h",IF(AND(Data!$B$4=$BN7,$BO7=$B$15),IF(Data!$B$5="ms2",BU7,""),""),"")</f>
        <v/>
      </c>
      <c r="CC7" s="15" t="str">
        <f>IF(Data!$B$3="h",IF(AND(Data!$B$4=$BN7,$BO7=$B$15),IF(Data!$B$5="ms4",BV7,""),""),"")</f>
        <v/>
      </c>
      <c r="CD7" s="15"/>
    </row>
    <row r="8" spans="1:83" s="9" customFormat="1" ht="6.75" customHeight="1">
      <c r="A8" s="324"/>
      <c r="B8" s="326"/>
      <c r="C8" s="327"/>
      <c r="D8" s="328"/>
      <c r="E8" s="328"/>
      <c r="F8" s="329"/>
      <c r="G8" s="330"/>
      <c r="H8" s="15"/>
      <c r="AH8" s="182"/>
      <c r="AI8" s="182"/>
      <c r="AJ8" s="182" t="s">
        <v>39496</v>
      </c>
      <c r="AK8" s="182" t="s">
        <v>39494</v>
      </c>
      <c r="AL8" s="182" t="s">
        <v>39495</v>
      </c>
      <c r="AM8" s="182" t="s">
        <v>39493</v>
      </c>
      <c r="AN8" s="182"/>
      <c r="AO8" s="182"/>
      <c r="AP8" s="182"/>
      <c r="AQ8" s="182"/>
      <c r="AR8" s="182"/>
      <c r="AS8" s="267"/>
      <c r="AT8" s="182"/>
      <c r="AU8" s="182"/>
      <c r="AV8" s="267"/>
      <c r="AW8" s="182"/>
      <c r="AX8" s="182"/>
      <c r="AY8" s="182"/>
      <c r="AZ8" s="182"/>
      <c r="BA8" s="182"/>
      <c r="BB8" s="182"/>
      <c r="BC8" s="182"/>
      <c r="BD8" s="182"/>
      <c r="BE8" s="182"/>
      <c r="BF8" s="182"/>
      <c r="BG8" s="182"/>
      <c r="BH8" s="182"/>
      <c r="BI8" s="182"/>
      <c r="BJ8" s="182"/>
      <c r="BK8" s="182"/>
      <c r="BL8" s="182"/>
      <c r="BM8" s="182"/>
      <c r="BN8" s="15">
        <v>2.5</v>
      </c>
      <c r="BO8" s="15">
        <v>1</v>
      </c>
      <c r="BP8" s="15">
        <v>7.375</v>
      </c>
      <c r="BQ8" s="15">
        <v>8.0050000000000008</v>
      </c>
      <c r="BR8" s="15">
        <v>2.25</v>
      </c>
      <c r="BS8" s="15">
        <v>7.3150000000000004</v>
      </c>
      <c r="BT8" s="15">
        <v>5.375</v>
      </c>
      <c r="BU8" s="15">
        <v>2.0619999999999998</v>
      </c>
      <c r="BV8" s="15">
        <v>2.3119999999999998</v>
      </c>
      <c r="BW8" s="15" t="str">
        <f>IF(Data!$B$3="h",IF(AND(Data!$B$4=BN8,BO8=$B$15),IF(OR(Data!$B$5="mp1",Data!$B$5="mp3"),BP8+$B$18,""),""),"")</f>
        <v/>
      </c>
      <c r="BX8" s="15" t="str">
        <f>IF(Data!$B$3="h",IF(AND(Data!$B$4=$BN8,$BO8=$B$15),IF(Data!$B$5="mp2",BQ8+$B$18,""),""),"")</f>
        <v/>
      </c>
      <c r="BY8" s="15" t="str">
        <f>IF(Data!$B$3="h",IF(AND(Data!$B$4=$BN8,$BO8=$B$15),IF(Data!$B$5="mt1",BR8,""),""),"")</f>
        <v/>
      </c>
      <c r="BZ8" s="15" t="str">
        <f>IF(Data!$B$3="h",IF(AND(Data!$B$4=$BN8,$BO8=$B$15),IF(Data!$B$5="mpu3",BS8+$B$18,""),""),"")</f>
        <v/>
      </c>
      <c r="CA8" s="15" t="str">
        <f>IF(Data!$B$3="h",IF(AND(Data!$B$4=$BN8,$BO8=$B$15),IF(Data!$B$5="mt2",BT8+$B$18,""),""),"")</f>
        <v/>
      </c>
      <c r="CB8" s="15" t="str">
        <f>IF(Data!$B$3="h",IF(AND(Data!$B$4=$BN8,$BO8=$B$15),IF(Data!$B$5="ms2",BU8,""),""),"")</f>
        <v/>
      </c>
      <c r="CC8" s="15" t="str">
        <f>IF(Data!$B$3="h",IF(AND(Data!$B$4=$BN8,$BO8=$B$15),IF(Data!$B$5="ms4",BV8,""),""),"")</f>
        <v/>
      </c>
      <c r="CD8" s="15"/>
    </row>
    <row r="9" spans="1:83" ht="2.25" customHeight="1" thickBot="1">
      <c r="A9" s="319"/>
      <c r="B9" s="322"/>
      <c r="C9" s="319"/>
      <c r="D9" s="541"/>
      <c r="E9" s="541"/>
      <c r="F9" s="541"/>
      <c r="G9" s="331"/>
      <c r="AQ9" s="182" t="str">
        <f t="shared" ref="AQ9:BL9" si="1">IF(AQ10="","",CONCATENATE(AQ11," = ",AQ10,""""))</f>
        <v/>
      </c>
      <c r="AR9" s="182" t="str">
        <f t="shared" si="1"/>
        <v/>
      </c>
      <c r="AS9" s="182" t="str">
        <f t="shared" si="1"/>
        <v/>
      </c>
      <c r="AT9" s="182" t="str">
        <f t="shared" si="1"/>
        <v/>
      </c>
      <c r="AU9" s="182" t="str">
        <f t="shared" si="1"/>
        <v/>
      </c>
      <c r="AV9" s="182" t="str">
        <f t="shared" si="1"/>
        <v/>
      </c>
      <c r="AW9" s="182" t="str">
        <f t="shared" si="1"/>
        <v/>
      </c>
      <c r="AX9" s="182" t="str">
        <f t="shared" si="1"/>
        <v/>
      </c>
      <c r="AY9" s="182" t="str">
        <f t="shared" si="1"/>
        <v>F = 0.88"</v>
      </c>
      <c r="AZ9" s="182" t="str">
        <f t="shared" si="1"/>
        <v/>
      </c>
      <c r="BA9" s="182" t="str">
        <f t="shared" si="1"/>
        <v/>
      </c>
      <c r="BB9" s="182" t="str">
        <f t="shared" si="1"/>
        <v>R = 4.95"</v>
      </c>
      <c r="BC9" s="182" t="str">
        <f t="shared" si="1"/>
        <v/>
      </c>
      <c r="BD9" s="182" t="str">
        <f t="shared" si="1"/>
        <v/>
      </c>
      <c r="BE9" s="182" t="str">
        <f t="shared" si="1"/>
        <v/>
      </c>
      <c r="BF9" s="182" t="str">
        <f t="shared" si="1"/>
        <v/>
      </c>
      <c r="BG9" s="182" t="str">
        <f t="shared" si="1"/>
        <v/>
      </c>
      <c r="BH9" s="182" t="str">
        <f t="shared" si="1"/>
        <v/>
      </c>
      <c r="BI9" s="182" t="str">
        <f t="shared" si="1"/>
        <v/>
      </c>
      <c r="BJ9" s="182" t="str">
        <f t="shared" si="1"/>
        <v/>
      </c>
      <c r="BK9" s="182" t="str">
        <f t="shared" si="1"/>
        <v>FB = 0.94"</v>
      </c>
      <c r="BL9" s="182" t="str">
        <f t="shared" si="1"/>
        <v>TF = 8.19"</v>
      </c>
      <c r="BN9" s="1">
        <v>2.5</v>
      </c>
      <c r="BO9" s="1">
        <v>1.375</v>
      </c>
      <c r="BP9" s="1">
        <v>7.625</v>
      </c>
      <c r="BQ9" s="1">
        <v>8.2550000000000008</v>
      </c>
      <c r="BR9" s="1">
        <v>2.5</v>
      </c>
      <c r="BS9" s="1">
        <v>7.5650000000000004</v>
      </c>
      <c r="BT9" s="1">
        <v>5.625</v>
      </c>
      <c r="BU9" s="1">
        <v>2.3119999999999998</v>
      </c>
      <c r="BV9" s="1">
        <v>2.5619999999999998</v>
      </c>
      <c r="BW9" s="1" t="str">
        <f>IF(Data!$B$3="h",IF(AND(Data!$B$4=BN9,BO9=$B$15),IF(OR(Data!$B$5="mp1",Data!$B$5="mp3"),BP9+$B$18,""),""),"")</f>
        <v/>
      </c>
      <c r="BX9" s="1" t="str">
        <f>IF(Data!$B$3="h",IF(AND(Data!$B$4=$BN9,$BO9=$B$15),IF(Data!$B$5="mp2",BQ9+$B$18,""),""),"")</f>
        <v/>
      </c>
      <c r="BY9" s="1" t="str">
        <f>IF(Data!$B$3="h",IF(AND(Data!$B$4=$BN9,$BO9=$B$15),IF(Data!$B$5="mt1",BR9,""),""),"")</f>
        <v/>
      </c>
      <c r="BZ9" s="1" t="str">
        <f>IF(Data!$B$3="h",IF(AND(Data!$B$4=$BN9,$BO9=$B$15),IF(Data!$B$5="mpu3",BS9+$B$18,""),""),"")</f>
        <v/>
      </c>
      <c r="CA9" s="1" t="str">
        <f>IF(Data!$B$3="h",IF(AND(Data!$B$4=$BN9,$BO9=$B$15),IF(Data!$B$5="mt2",BT9+$B$18,""),""),"")</f>
        <v/>
      </c>
      <c r="CB9" s="15" t="str">
        <f>IF(Data!$B$3="h",IF(AND(Data!$B$4=$BN9,$BO9=$B$15),IF(Data!$B$5="ms2",BU9,""),""),"")</f>
        <v/>
      </c>
      <c r="CC9" s="1" t="str">
        <f>IF(Data!$B$3="h",IF(AND(Data!$B$4=$BN9,$BO9=$B$15),IF(Data!$B$5="ms4",BV9,""),""),"")</f>
        <v/>
      </c>
    </row>
    <row r="10" spans="1:83" s="9" customFormat="1" ht="15.5" thickTop="1" thickBot="1">
      <c r="A10" s="538" t="s">
        <v>732</v>
      </c>
      <c r="B10" s="539"/>
      <c r="C10" s="332" t="s">
        <v>139</v>
      </c>
      <c r="D10" s="332" t="s">
        <v>231</v>
      </c>
      <c r="E10" s="332" t="s">
        <v>172</v>
      </c>
      <c r="F10" s="539" t="s">
        <v>21379</v>
      </c>
      <c r="G10" s="540"/>
      <c r="H10" s="22" t="s">
        <v>20070</v>
      </c>
      <c r="I10" s="22" t="s">
        <v>20071</v>
      </c>
      <c r="J10" s="22" t="s">
        <v>22205</v>
      </c>
      <c r="K10" s="22"/>
      <c r="L10" s="22"/>
      <c r="Q10" s="182" t="s">
        <v>227</v>
      </c>
      <c r="R10" s="182" t="s">
        <v>212</v>
      </c>
      <c r="S10" s="182" t="s">
        <v>567</v>
      </c>
      <c r="AA10" s="551" t="s">
        <v>732</v>
      </c>
      <c r="AB10" s="551"/>
      <c r="AC10" s="25" t="s">
        <v>139</v>
      </c>
      <c r="AD10" s="25" t="s">
        <v>231</v>
      </c>
      <c r="AE10" s="25" t="s">
        <v>172</v>
      </c>
      <c r="AF10" s="551" t="str">
        <f>IF(AH12&lt;0.2,"Special Approval","Price Each: (Net)")</f>
        <v>Special Approval</v>
      </c>
      <c r="AG10" s="551"/>
      <c r="AH10" s="379" t="str">
        <f>IF(Data!D2="F",CONCATENATE(AI10,""""," Flange"),IF(Data!D2="N",CONCATENATE(AI10," ","NPT"),IF(Data!D2="M",CONCATENATE(AI10,"G",AI7),(CONCATENATE("#",AI10," SAE")))))</f>
        <v>#12 SAE</v>
      </c>
      <c r="AI10" s="184">
        <f>IF(SUM(AI11:AI40)&lt;0.1,"",SUM(AI11:AI40))</f>
        <v>12</v>
      </c>
      <c r="AJ10" s="267" t="s">
        <v>525</v>
      </c>
      <c r="AK10" s="267"/>
      <c r="AL10" s="182" t="s">
        <v>597</v>
      </c>
      <c r="AM10" s="182"/>
      <c r="AN10" s="182"/>
      <c r="AO10" s="182"/>
      <c r="AP10" s="182"/>
      <c r="AQ10" s="182" t="str">
        <f>IF(OR(Data!$B$5="MP1",Data!$B$5="MP3"),IF(Data!$B$3="h",VLOOKUP($B$13,$AJ$12:AQ26,8,FALSE),IF(OR(Data!$B$3="a",Data!$B$3="lh"),VLOOKUP($B$13,$AJ29:AQ40,8,FALSE),"")),"")</f>
        <v/>
      </c>
      <c r="AR10" s="182" t="str">
        <f>IF(OR(Data!$B$5="MP1",Data!$B$5="MP3",Data!$B$5="MPu3"),IF(Data!$B$3="h",VLOOKUP($B$13,$AJ$12:AR26,9,FALSE),IF(OR(Data!$B$3="a",Data!$B$3="lh"),VLOOKUP($B$13,$AJ29:AR40,9,FALSE),"")),"")</f>
        <v/>
      </c>
      <c r="AS10" s="182" t="str">
        <f>IF(OR(Data!$B$5="MP1",Data!$B$5="MP3"),IF(Data!$B$3="h",VLOOKUP($B$13,$AJ$12:AS26,10,FALSE),IF(OR(Data!$B$3="a",Data!$B$3="lh"),VLOOKUP($B$13,$AJ29:AS40,10,FALSE),"")),"")</f>
        <v/>
      </c>
      <c r="AT10" s="182" t="str">
        <f>IF(Data!$B$5="Mt4",IF(Data!$B$3="h",VLOOKUP($B$13,$AJ$12:AT26,11),IF(OR(Data!$B$3="a",Data!$B$3="lh"),VLOOKUP($B$13,$AJ29:AT40,11),"")),"")</f>
        <v/>
      </c>
      <c r="AU10" s="182" t="str">
        <f>IF(Data!$B$5="Mt4",IF(Data!$B$3="h",VLOOKUP($B$13,$AJ$12:AU26,12),IF(OR(Data!$B$3="a",Data!$B$3="lh"),VLOOKUP($B$13,$AJ29:AU40,12),"")),"")</f>
        <v/>
      </c>
      <c r="AV10" s="182" t="str">
        <f>IF(OR(Data!$B$5="Mt1",Data!$B$5="Mt2"),IF(Data!$B$3="h",VLOOKUP($B$13,$AJ$12:AV26,13),IF(OR(Data!$B$3="a",Data!$B$3="lh"),VLOOKUP($B$13,$AJ29:AV40,13),"")),"")</f>
        <v/>
      </c>
      <c r="AW10" s="182" t="str">
        <f>IF(OR(Data!$B$5="Mt1",Data!$B$5="Mt2",Data!$B$5="Mt4"),IF(Data!$B$3="h",VLOOKUP($B$13,$AJ$12:AW26,14),IF(OR(Data!$B$3="a",Data!$B$3="lh"),VLOOKUP($B$13,$AJ29:AW40,14),"")),"")</f>
        <v/>
      </c>
      <c r="AX10" s="182" t="str">
        <f>IF(OR(Data!$B$5="Mt1",Data!$B$5="Mt2",Data!$B$5="Mt4"),IF(Data!$B$3="h",VLOOKUP($B$13,$AJ$12:AX26,15),IF(OR(Data!$B$3="a",Data!$B$3="lh"),VLOOKUP($B$13,$AJ29:AX40,15),"")),"")</f>
        <v/>
      </c>
      <c r="AY10" s="182">
        <f>IF(OR(Data!$B$5="mx1",Data!$B$5="Mx2",Data!$B$5="Mx3",Data!$B$5="mf1",Data!$B$5="Mf2",Data!$B$5="Mf5",Data!$B$5="Mf6"),IF(Data!$B$3="h",VLOOKUP($B$13,$AJ$12:AY26,16),IF(OR(Data!$B$3="a",Data!$B$3="lh"),VLOOKUP($B$13,$AJ29:AY40,16),"")),"")</f>
        <v>0.88</v>
      </c>
      <c r="AZ10" s="182" t="str">
        <f>IF(OR(Data!$B$5="mx1",Data!$B$5="Mx2",Data!$B$5="Mx3"),IF(Data!$B$3="h",VLOOKUP($B$13,$AJ$12:AZ26,17),IF(OR(Data!$B$3="a",Data!$B$3="lh"),VLOOKUP($B$13,$AJ29:AZ40,17),"")),"")</f>
        <v/>
      </c>
      <c r="BA10" s="182" t="str">
        <f>IF(OR(Data!$B$5="mx1",Data!$B$5="Mx2",Data!$B$5="Mx3"),IF(Data!$B$3="h",VLOOKUP($B$13,$AJ$12:BA26,18),IF(OR(Data!$B$3="a",Data!$B$3="lh"),VLOOKUP($B$13,$AJ29:BA40,18),"")),"")</f>
        <v/>
      </c>
      <c r="BB10" s="182">
        <f>IF(OR(Data!$B$5="mx1",Data!$B$5="Mx2",Data!$B$5="Mx3",Data!$B$5="Me5",Data!$B$5="Me6",Data!$B$5="mf1",Data!$B$5="Mf2",Data!$B$5="Mf5",Data!$B$5="Mf6"),IF(Data!$B$3="h",VLOOKUP($B$13,$AJ$12:BB26,19),IF(OR(Data!$B$3="a",Data!$B$3="lh"),VLOOKUP($B$13,$AJ29:BB40,19),"")),"")</f>
        <v>4.95</v>
      </c>
      <c r="BC10" s="185" t="str">
        <f>IF(Data!$B$5="Mpu3",IF(Data!$B$3="h",VLOOKUP($B$13,$AJ$12:BC26,20),IF(OR(Data!$B$3="a",Data!$B$3="lh"),VLOOKUP($B$13,$AJ29:BC40,20),"")),"")</f>
        <v/>
      </c>
      <c r="BD10" s="185" t="str">
        <f>IF(Data!$B$5="Mpu3",IF(Data!$B$3="h",VLOOKUP($B$13,$AJ$12:BD26,21),IF(OR(Data!$B$3="a",Data!$B$3="lh"),VLOOKUP($B$13,$AJ29:BD40,21),"")),"")</f>
        <v/>
      </c>
      <c r="BE10" s="182" t="str">
        <f>IF(Data!$B$5="Ms2",IF(Data!$B$3="h",VLOOKUP($B$13,$AJ$12:BE26,22),IF(OR(Data!$B$3="a",Data!$B$3="lh"),VLOOKUP($B$13,$AJ29:BE40,22),"")),"")</f>
        <v/>
      </c>
      <c r="BF10" s="182" t="str">
        <f>IF(Data!$B$5="Ms2",IF(Data!$B$3="h",VLOOKUP($B$13,$AJ$12:BF26,23),IF(OR(Data!$B$3="a",Data!$B$3="lh"),VLOOKUP($B$13,$AJ29:BF40,23),"")),"")</f>
        <v/>
      </c>
      <c r="BG10" s="182" t="str">
        <f>IF(Data!$B$5="Ms2",IF(Data!$B$3="h",VLOOKUP($B$13,$AJ$12:BG26,24)+B18,IF(OR(Data!$B$3="a",Data!$B$3="lh"),VLOOKUP($B$13,$AJ29:BG40,24)+B18,"")),"")</f>
        <v/>
      </c>
      <c r="BH10" s="182" t="str">
        <f>IF(Data!$B$5="Ms4",IF(Data!$B$3="h",VLOOKUP($B$13,$AJ$12:BH26,25),IF(OR(Data!$B$3="a",Data!$B$3="lh"),VLOOKUP($B$13,$AJ29:BH40,25),"")),"")</f>
        <v/>
      </c>
      <c r="BI10" s="182" t="str">
        <f>IF(Data!$B$5="Ms4",IF(Data!$B$3="h",VLOOKUP($B$13,$AJ$12:BI26,26),IF(OR(Data!$B$3="a",Data!$B$3="lh"),VLOOKUP($B$13,$AJ29:BI40,26),"")),"")</f>
        <v/>
      </c>
      <c r="BJ10" s="182" t="str">
        <f>IF(Data!$B$5="Ms4",IF(Data!$B$3="h",VLOOKUP($B$13,$AJ$12:BJ26,27)+B18,IF(OR(Data!$B$3="a",Data!$B$3="lh"),VLOOKUP($B$13,$AJ29:BJ40,27)+B18,"")),"")</f>
        <v/>
      </c>
      <c r="BK10" s="182">
        <f>IF(OR(Data!$B$5="mf1",Data!$B$5="Mf2",Data!$B$5="Me5",Data!$B$5="Me6",Data!$B$5="Mf5",Data!$B$5="Mf6"),IF(Data!$B$3="h",VLOOKUP($B$13,$AJ$12:BK26,28),IF(OR(Data!$B$3="a",Data!$B$3="lh"),VLOOKUP($B$13,$AJ29:BK40,28),"")),"")</f>
        <v>0.94</v>
      </c>
      <c r="BL10" s="182">
        <f>IF(OR(Data!$B$5="mf1",Data!$B$5="Mf2",Data!$B$5="Me5",Data!$B$5="Me6",Data!$B$5="Mf5",Data!$B$5="Mf6"),IF(Data!$B$3="h",VLOOKUP($B$13,$AJ$12:BL26,29),IF(OR(Data!$B$3="a",Data!$B$3="lh"),VLOOKUP($B$13,$AJ29:BL40,29),"")),"")</f>
        <v>8.19</v>
      </c>
      <c r="BM10" s="182"/>
      <c r="BN10" s="15">
        <v>2.5</v>
      </c>
      <c r="BO10" s="15">
        <v>1.75</v>
      </c>
      <c r="BP10" s="15">
        <v>7.875</v>
      </c>
      <c r="BQ10" s="15">
        <v>8.5050000000000008</v>
      </c>
      <c r="BR10" s="15">
        <v>2.75</v>
      </c>
      <c r="BS10" s="15">
        <v>7.8150000000000004</v>
      </c>
      <c r="BT10" s="15">
        <v>5.875</v>
      </c>
      <c r="BU10" s="15">
        <v>2.5619999999999998</v>
      </c>
      <c r="BV10" s="15">
        <v>2.8130000000000002</v>
      </c>
      <c r="BW10" s="15" t="str">
        <f>IF(Data!$B$3="h",IF(AND(Data!$B$4=BN10,BO10=$B$15),IF(OR(Data!$B$5="mp1",Data!$B$5="mp3"),BP10+$B$18,""),""),"")</f>
        <v/>
      </c>
      <c r="BX10" s="15" t="str">
        <f>IF(Data!$B$3="h",IF(AND(Data!$B$4=$BN10,$BO10=$B$15),IF(Data!$B$5="mp2",BQ10+$B$18,""),""),"")</f>
        <v/>
      </c>
      <c r="BY10" s="15" t="str">
        <f>IF(Data!$B$3="h",IF(AND(Data!$B$4=$BN10,$BO10=$B$15),IF(Data!$B$5="mt1",BR10,""),""),"")</f>
        <v/>
      </c>
      <c r="BZ10" s="15" t="str">
        <f>IF(Data!$B$3="h",IF(AND(Data!$B$4=$BN10,$BO10=$B$15),IF(Data!$B$5="mpu3",BS10+$B$18,""),""),"")</f>
        <v/>
      </c>
      <c r="CA10" s="15" t="str">
        <f>IF(Data!$B$3="h",IF(AND(Data!$B$4=$BN10,$BO10=$B$15),IF(Data!$B$5="mt2",BT10+$B$18,""),""),"")</f>
        <v/>
      </c>
      <c r="CB10" s="15" t="str">
        <f>IF(Data!$B$3="h",IF(AND(Data!$B$4=$BN10,$BO10=$B$15),IF(Data!$B$5="ms2",BU10,""),""),"")</f>
        <v/>
      </c>
      <c r="CC10" s="15" t="str">
        <f>IF(Data!$B$3="h",IF(AND(Data!$B$4=$BN10,$BO10=$B$15),IF(Data!$B$5="ms4",BV10,""),""),"")</f>
        <v/>
      </c>
      <c r="CD10" s="15"/>
    </row>
    <row r="11" spans="1:83" s="9" customFormat="1" ht="16.5" thickTop="1">
      <c r="A11" s="309" t="s">
        <v>419</v>
      </c>
      <c r="B11" s="310" t="str">
        <f>IF(Data!I1="","Parts Order",Data!I1)</f>
        <v>High Pressure Hydraulic Cylinder</v>
      </c>
      <c r="C11" s="455">
        <f>IF(Data!B2="",1,Data!B2)</f>
        <v>1</v>
      </c>
      <c r="D11" s="456">
        <f>IF(Data!B3="W",Data!I13*0.85,Data!I13)</f>
        <v>2218</v>
      </c>
      <c r="E11" s="338">
        <f>Data!D4</f>
        <v>0</v>
      </c>
      <c r="F11" s="528" t="str">
        <f>CONCATENATE("$", TEXT(Data!D6, "#,##0"), " - ", G5, " Days")</f>
        <v>$2,218 - 30 Days</v>
      </c>
      <c r="G11" s="529"/>
      <c r="H11" s="204">
        <f>ROUNDUP(Data!D6-J11-I11,0)</f>
        <v>998</v>
      </c>
      <c r="I11" s="204">
        <f>IF(Data!D6&lt;1000,Data!D6*0.4,Data!D6*0.27)</f>
        <v>598.86</v>
      </c>
      <c r="J11" s="204">
        <f>ROUNDUP(Inventory!E1,0)</f>
        <v>622</v>
      </c>
      <c r="K11" s="204"/>
      <c r="L11" s="204"/>
      <c r="Q11" s="182">
        <v>0.625</v>
      </c>
      <c r="R11" s="182">
        <v>0.75</v>
      </c>
      <c r="S11" s="182">
        <v>1</v>
      </c>
      <c r="AA11" s="11" t="s">
        <v>419</v>
      </c>
      <c r="AB11" s="4" t="str">
        <f>IF(Data!AI1="","Parts Order",Data!AI1)</f>
        <v>Parts Order</v>
      </c>
      <c r="AC11" s="21">
        <f>IF(Data!AB2="",1,Data!AB2)</f>
        <v>1</v>
      </c>
      <c r="AD11" s="335">
        <f>IF(Data!AB3="W",Data!AI13*0.85,Data!AI13)</f>
        <v>0</v>
      </c>
      <c r="AE11" s="23">
        <f>Data!AD4</f>
        <v>0</v>
      </c>
      <c r="AF11" s="552" t="str">
        <f>CONCATENATE("$", TEXT(Data!AD6, "#,##0"), " - ", AG5, " Days")</f>
        <v>$0 -  Days</v>
      </c>
      <c r="AG11" s="552"/>
      <c r="AH11" s="182"/>
      <c r="AI11" s="182"/>
      <c r="AJ11" s="267" t="s">
        <v>418</v>
      </c>
      <c r="AK11" s="267" t="s">
        <v>22</v>
      </c>
      <c r="AL11" s="182" t="s">
        <v>23</v>
      </c>
      <c r="AM11" s="182" t="s">
        <v>24</v>
      </c>
      <c r="AN11" s="182" t="s">
        <v>518</v>
      </c>
      <c r="AO11" s="182" t="s">
        <v>25</v>
      </c>
      <c r="AP11" s="182" t="s">
        <v>26</v>
      </c>
      <c r="AQ11" s="182" t="s">
        <v>27</v>
      </c>
      <c r="AR11" s="182" t="s">
        <v>28</v>
      </c>
      <c r="AS11" s="182" t="s">
        <v>586</v>
      </c>
      <c r="AT11" s="182" t="s">
        <v>29</v>
      </c>
      <c r="AU11" s="182" t="s">
        <v>30</v>
      </c>
      <c r="AV11" s="182" t="s">
        <v>31</v>
      </c>
      <c r="AW11" s="182" t="s">
        <v>32</v>
      </c>
      <c r="AX11" s="182" t="s">
        <v>33</v>
      </c>
      <c r="AY11" s="186" t="s">
        <v>597</v>
      </c>
      <c r="AZ11" s="186" t="s">
        <v>34</v>
      </c>
      <c r="BA11" s="186" t="s">
        <v>35</v>
      </c>
      <c r="BB11" s="186" t="s">
        <v>517</v>
      </c>
      <c r="BC11" s="182" t="s">
        <v>36</v>
      </c>
      <c r="BD11" s="182" t="s">
        <v>37</v>
      </c>
      <c r="BE11" s="182" t="s">
        <v>38</v>
      </c>
      <c r="BF11" s="182" t="s">
        <v>39</v>
      </c>
      <c r="BG11" s="182" t="s">
        <v>65</v>
      </c>
      <c r="BH11" s="182" t="s">
        <v>41</v>
      </c>
      <c r="BI11" s="182" t="s">
        <v>42</v>
      </c>
      <c r="BJ11" s="182" t="s">
        <v>66</v>
      </c>
      <c r="BK11" s="182" t="s">
        <v>44</v>
      </c>
      <c r="BL11" s="182" t="s">
        <v>45</v>
      </c>
      <c r="BN11" s="15">
        <v>3.25</v>
      </c>
      <c r="BO11" s="15">
        <v>1.375</v>
      </c>
      <c r="BP11" s="15">
        <v>8.625</v>
      </c>
      <c r="BQ11" s="15">
        <v>9.375</v>
      </c>
      <c r="BR11" s="15">
        <v>2.625</v>
      </c>
      <c r="BS11" s="15">
        <v>8.6850000000000005</v>
      </c>
      <c r="BT11" s="15">
        <v>6.25</v>
      </c>
      <c r="BU11" s="15">
        <v>2.3119999999999998</v>
      </c>
      <c r="BV11" s="15">
        <v>2.5619999999999998</v>
      </c>
      <c r="BW11" s="15" t="str">
        <f>IF(Data!$B$3="h",IF(AND(Data!$B$4=BN11,BO11=$B$15),IF(OR(Data!$B$5="mp1",Data!$B$5="mp3"),BP11+$B$18,""),""),"")</f>
        <v/>
      </c>
      <c r="BX11" s="15" t="str">
        <f>IF(Data!$B$3="h",IF(AND(Data!$B$4=$BN11,$BO11=$B$15),IF(Data!$B$5="mp2",BQ11+$B$18,""),""),"")</f>
        <v/>
      </c>
      <c r="BY11" s="15" t="str">
        <f>IF(Data!$B$3="h",IF(AND(Data!$B$4=$BN11,$BO11=$B$15),IF(Data!$B$5="mt1",BR11,""),""),"")</f>
        <v/>
      </c>
      <c r="BZ11" s="15" t="str">
        <f>IF(Data!$B$3="h",IF(AND(Data!$B$4=$BN11,$BO11=$B$15),IF(Data!$B$5="mpu3",BS11+$B$18,""),""),"")</f>
        <v/>
      </c>
      <c r="CA11" s="15" t="str">
        <f>IF(Data!$B$3="h",IF(AND(Data!$B$4=$BN11,$BO11=$B$15),IF(Data!$B$5="mt2",BT11+$B$18,""),""),"")</f>
        <v/>
      </c>
      <c r="CB11" s="15" t="str">
        <f>IF(Data!$B$3="h",IF(AND(Data!$B$4=$BN11,$BO11=$B$15),IF(Data!$B$5="ms2",BU11,""),""),"")</f>
        <v/>
      </c>
      <c r="CC11" s="15" t="str">
        <f>IF(Data!$B$3="h",IF(AND(Data!$B$4=$BN11,$BO11=$B$15),IF(Data!$B$5="ms4",BV11,""),""),"")</f>
        <v/>
      </c>
      <c r="CD11" s="15"/>
    </row>
    <row r="12" spans="1:83" s="9" customFormat="1" ht="16">
      <c r="A12" s="311" t="s">
        <v>635</v>
      </c>
      <c r="B12" s="467" t="str">
        <f>Data!A1</f>
        <v>H-MF1-5x12x2-1-NC-S-P-S</v>
      </c>
      <c r="C12" s="312"/>
      <c r="D12" s="349"/>
      <c r="E12" s="333" t="s">
        <v>39479</v>
      </c>
      <c r="F12" s="532" t="str">
        <f>CONCATENATE("$", TEXT(ROUNDUP(Data!D6*1.35,0), "#,##0"), "(", G5/2, " Days) $", TEXT(ROUNDUP(Data!D6*1.95,0), "#,##0"), "(NOW)")</f>
        <v>$2,995(15 Days) $4,326(NOW)</v>
      </c>
      <c r="G12" s="533"/>
      <c r="H12" s="273">
        <f>ROUNDDOWN(H11/Data!D6,2)</f>
        <v>0.44</v>
      </c>
      <c r="I12" s="22"/>
      <c r="J12" s="22"/>
      <c r="Q12" s="182">
        <v>1</v>
      </c>
      <c r="R12" s="182">
        <v>1.125</v>
      </c>
      <c r="S12" s="182">
        <v>1.375</v>
      </c>
      <c r="AA12" s="12" t="s">
        <v>635</v>
      </c>
      <c r="AB12" s="557">
        <f>Data!AA1</f>
        <v>0</v>
      </c>
      <c r="AC12" s="557"/>
      <c r="AD12" s="5"/>
      <c r="AE12" s="3" t="s">
        <v>39479</v>
      </c>
      <c r="AF12" s="553" t="str">
        <f>CONCATENATE("$", TEXT(ROUNDUP(Data!AD6*1.35,0), "#,##0"), "(", AG5/2, " Days) $", TEXT(ROUNDUP(Data!AD6*1.95,0), "#,##0"), "(NOW)")</f>
        <v>$0(0 Days) $0(NOW)</v>
      </c>
      <c r="AG12" s="553"/>
      <c r="AH12" s="182"/>
      <c r="AI12" s="182" t="str">
        <f>IF(AND(OR(Data!B$3="H",Data!B$3="MH"),AJ12=$B$13),IF(Data!D$2=AK$11,AK12,AL12),"")</f>
        <v/>
      </c>
      <c r="AJ12" s="267">
        <v>1.5</v>
      </c>
      <c r="AK12" s="267">
        <v>10</v>
      </c>
      <c r="AL12" s="182">
        <v>0.5</v>
      </c>
      <c r="AM12" s="182">
        <v>2.5</v>
      </c>
      <c r="AN12" s="182">
        <v>1.75</v>
      </c>
      <c r="AO12" s="182">
        <v>1.5</v>
      </c>
      <c r="AP12" s="182">
        <v>4.625</v>
      </c>
      <c r="AQ12" s="182">
        <v>0.502</v>
      </c>
      <c r="AR12" s="182">
        <v>0.75</v>
      </c>
      <c r="AS12" s="182">
        <v>0.75</v>
      </c>
      <c r="AT12" s="182">
        <v>5</v>
      </c>
      <c r="AU12" s="182">
        <v>3</v>
      </c>
      <c r="AV12" s="182">
        <v>4.5</v>
      </c>
      <c r="AW12" s="182">
        <v>1</v>
      </c>
      <c r="AX12" s="182">
        <v>1</v>
      </c>
      <c r="AY12" s="186">
        <v>0.38</v>
      </c>
      <c r="AZ12" s="186" t="s">
        <v>46</v>
      </c>
      <c r="BA12" s="186">
        <v>1.375</v>
      </c>
      <c r="BB12" s="186">
        <v>1.63</v>
      </c>
      <c r="BC12" s="185">
        <v>0.4375</v>
      </c>
      <c r="BD12" s="182">
        <v>0.81</v>
      </c>
      <c r="BE12" s="182">
        <v>0.437</v>
      </c>
      <c r="BF12" s="182">
        <v>3.25</v>
      </c>
      <c r="BG12" s="182">
        <v>3.875</v>
      </c>
      <c r="BH12" s="182" t="s">
        <v>47</v>
      </c>
      <c r="BI12" s="182">
        <v>0.75</v>
      </c>
      <c r="BJ12" s="182">
        <v>2.875</v>
      </c>
      <c r="BK12" s="182">
        <v>0.44</v>
      </c>
      <c r="BL12" s="182">
        <v>3.44</v>
      </c>
      <c r="BN12" s="15">
        <v>3.25</v>
      </c>
      <c r="BO12" s="15">
        <v>1.75</v>
      </c>
      <c r="BP12" s="15">
        <v>8.875</v>
      </c>
      <c r="BQ12" s="15">
        <v>9.625</v>
      </c>
      <c r="BR12" s="15">
        <v>2.875</v>
      </c>
      <c r="BS12" s="15">
        <v>8.9350000000000005</v>
      </c>
      <c r="BT12" s="15">
        <v>6.5</v>
      </c>
      <c r="BU12" s="15">
        <v>2.5619999999999998</v>
      </c>
      <c r="BV12" s="15">
        <v>2.8130000000000002</v>
      </c>
      <c r="BW12" s="15" t="str">
        <f>IF(Data!$B$3="h",IF(AND(Data!$B$4=BN12,BO12=$B$15),IF(OR(Data!$B$5="mp1",Data!$B$5="mp3"),BP12+$B$18,""),""),"")</f>
        <v/>
      </c>
      <c r="BX12" s="15" t="str">
        <f>IF(Data!$B$3="h",IF(AND(Data!$B$4=$BN12,$BO12=$B$15),IF(Data!$B$5="mp2",BQ12+$B$18,""),""),"")</f>
        <v/>
      </c>
      <c r="BY12" s="15" t="str">
        <f>IF(Data!$B$3="h",IF(AND(Data!$B$4=$BN12,$BO12=$B$15),IF(Data!$B$5="mt1",BR12,""),""),"")</f>
        <v/>
      </c>
      <c r="BZ12" s="15" t="str">
        <f>IF(Data!$B$3="h",IF(AND(Data!$B$4=$BN12,$BO12=$B$15),IF(Data!$B$5="mpu3",BS12+$B$18,""),""),"")</f>
        <v/>
      </c>
      <c r="CA12" s="15" t="str">
        <f>IF(Data!$B$3="h",IF(AND(Data!$B$4=$BN12,$BO12=$B$15),IF(Data!$B$5="mt2",BT12+$B$18,""),""),"")</f>
        <v/>
      </c>
      <c r="CB12" s="15" t="str">
        <f>IF(Data!$B$3="h",IF(AND(Data!$B$4=$BN12,$BO12=$B$15),IF(Data!$B$5="ms2",BU12,""),""),"")</f>
        <v/>
      </c>
      <c r="CC12" s="15" t="str">
        <f>IF(Data!$B$3="h",IF(AND(Data!$B$4=$BN12,$BO12=$B$15),IF(Data!$B$5="ms4",BV12,""),""),"")</f>
        <v/>
      </c>
      <c r="CD12" s="15"/>
    </row>
    <row r="13" spans="1:83" s="9" customFormat="1" ht="16.5" thickBot="1">
      <c r="A13" s="313" t="s">
        <v>85</v>
      </c>
      <c r="B13" s="467">
        <f>IF(Data!B4="","",Data!B4)</f>
        <v>5</v>
      </c>
      <c r="C13" s="314"/>
      <c r="D13" s="336"/>
      <c r="E13" s="334" t="s">
        <v>39480</v>
      </c>
      <c r="F13" s="530" t="str">
        <f>CONCATENATE("$", TEXT(Data!D6*1.05, "#,##0"), " - ", G5, " Days")</f>
        <v>$2,329 - 30 Days</v>
      </c>
      <c r="G13" s="531"/>
      <c r="H13" s="204"/>
      <c r="I13" s="205"/>
      <c r="J13" s="205"/>
      <c r="K13" s="5"/>
      <c r="L13" s="353"/>
      <c r="M13" s="205"/>
      <c r="Q13" s="182">
        <v>1.375</v>
      </c>
      <c r="R13" s="182">
        <v>1.625</v>
      </c>
      <c r="S13" s="182">
        <v>1.625</v>
      </c>
      <c r="AA13" s="9" t="s">
        <v>85</v>
      </c>
      <c r="AB13" s="18" t="str">
        <f>IF(Data!AB4="","",Data!AB4)</f>
        <v/>
      </c>
      <c r="AC13" s="14"/>
      <c r="AE13" s="17" t="s">
        <v>39480</v>
      </c>
      <c r="AF13" s="553" t="str">
        <f>CONCATENATE("$", TEXT(Data!AD6*1.05, "#,##0"), " - ", AG5, " Days")</f>
        <v>$0 -  Days</v>
      </c>
      <c r="AG13" s="553"/>
      <c r="AH13" s="182"/>
      <c r="AI13" s="182" t="str">
        <f>IF(AND(OR(Data!B$3="H",Data!B$3="MH"),AJ13=$B$13),IF(Data!D$2=AK$11,AK13,AL13),"")</f>
        <v/>
      </c>
      <c r="AJ13" s="267">
        <v>2</v>
      </c>
      <c r="AK13" s="267">
        <v>10</v>
      </c>
      <c r="AL13" s="182">
        <v>0.5</v>
      </c>
      <c r="AM13" s="182">
        <v>3</v>
      </c>
      <c r="AN13" s="182">
        <v>1.75</v>
      </c>
      <c r="AO13" s="182">
        <v>1.5</v>
      </c>
      <c r="AP13" s="182">
        <v>4.625</v>
      </c>
      <c r="AQ13" s="182">
        <v>0.752</v>
      </c>
      <c r="AR13" s="182">
        <v>1.25</v>
      </c>
      <c r="AS13" s="182">
        <v>1.25</v>
      </c>
      <c r="AT13" s="182">
        <v>6.25</v>
      </c>
      <c r="AU13" s="182">
        <v>3.5</v>
      </c>
      <c r="AV13" s="182">
        <v>5.75</v>
      </c>
      <c r="AW13" s="182">
        <v>1.375</v>
      </c>
      <c r="AX13" s="182">
        <v>1.375</v>
      </c>
      <c r="AY13" s="186">
        <v>0.63</v>
      </c>
      <c r="AZ13" s="186" t="s">
        <v>189</v>
      </c>
      <c r="BA13" s="186">
        <v>1.8129999999999999</v>
      </c>
      <c r="BB13" s="186">
        <v>2.0499999999999998</v>
      </c>
      <c r="BC13" s="185">
        <v>0.65625</v>
      </c>
      <c r="BD13" s="182">
        <v>1.19</v>
      </c>
      <c r="BE13" s="182">
        <v>0.56200000000000006</v>
      </c>
      <c r="BF13" s="182">
        <v>4</v>
      </c>
      <c r="BG13" s="182">
        <v>3.625</v>
      </c>
      <c r="BH13" s="182" t="s">
        <v>48</v>
      </c>
      <c r="BI13" s="182">
        <v>0.93700000000000006</v>
      </c>
      <c r="BJ13" s="182">
        <v>2.875</v>
      </c>
      <c r="BK13" s="182">
        <v>0.56000000000000005</v>
      </c>
      <c r="BL13" s="182">
        <v>4.13</v>
      </c>
      <c r="BN13" s="15">
        <v>3.25</v>
      </c>
      <c r="BO13" s="15">
        <v>2</v>
      </c>
      <c r="BP13" s="15">
        <v>9</v>
      </c>
      <c r="BQ13" s="15">
        <v>9.75</v>
      </c>
      <c r="BR13" s="15">
        <v>3</v>
      </c>
      <c r="BS13" s="15">
        <v>9.06</v>
      </c>
      <c r="BT13" s="15">
        <v>6.625</v>
      </c>
      <c r="BU13" s="15">
        <v>2.6880000000000002</v>
      </c>
      <c r="BV13" s="15">
        <v>2.9369999999999998</v>
      </c>
      <c r="BW13" s="15" t="str">
        <f>IF(Data!$B$3="h",IF(AND(Data!$B$4=BN13,BO13=$B$15),IF(OR(Data!$B$5="mp1",Data!$B$5="mp3"),BP13+$B$18,""),""),"")</f>
        <v/>
      </c>
      <c r="BX13" s="15" t="str">
        <f>IF(Data!$B$3="h",IF(AND(Data!$B$4=$BN13,$BO13=$B$15),IF(Data!$B$5="mp2",BQ13+$B$18,""),""),"")</f>
        <v/>
      </c>
      <c r="BY13" s="15" t="str">
        <f>IF(Data!$B$3="h",IF(AND(Data!$B$4=$BN13,$BO13=$B$15),IF(Data!$B$5="mt1",BR13,""),""),"")</f>
        <v/>
      </c>
      <c r="BZ13" s="15" t="str">
        <f>IF(Data!$B$3="h",IF(AND(Data!$B$4=$BN13,$BO13=$B$15),IF(Data!$B$5="mpu3",BS13+$B$18,""),""),"")</f>
        <v/>
      </c>
      <c r="CA13" s="15" t="str">
        <f>IF(Data!$B$3="h",IF(AND(Data!$B$4=$BN13,$BO13=$B$15),IF(Data!$B$5="mt2",BT13+$B$18,""),""),"")</f>
        <v/>
      </c>
      <c r="CB13" s="15" t="str">
        <f>IF(Data!$B$3="h",IF(AND(Data!$B$4=$BN13,$BO13=$B$15),IF(Data!$B$5="ms2",BU13,""),""),"")</f>
        <v/>
      </c>
      <c r="CC13" s="15" t="str">
        <f>IF(Data!$B$3="h",IF(AND(Data!$B$4=$BN13,$BO13=$B$15),IF(Data!$B$5="ms4",BV13,""),""),"")</f>
        <v/>
      </c>
      <c r="CD13" s="15"/>
    </row>
    <row r="14" spans="1:83" s="9" customFormat="1" ht="17" thickTop="1" thickBot="1">
      <c r="A14" s="313" t="s">
        <v>228</v>
      </c>
      <c r="B14" s="468" t="str">
        <f>IF(Data!N6="","",Data!N6)</f>
        <v>Rect Head Flange (MF1)</v>
      </c>
      <c r="C14" s="534" t="s">
        <v>345</v>
      </c>
      <c r="D14" s="535"/>
      <c r="E14" s="535"/>
      <c r="F14" s="535"/>
      <c r="G14" s="536"/>
      <c r="H14" s="305"/>
      <c r="I14" s="206"/>
      <c r="J14" s="208"/>
      <c r="K14" s="201"/>
      <c r="L14" s="5"/>
      <c r="M14" s="5"/>
      <c r="N14" s="9" t="str">
        <f>IF(M14&gt;L14,"No Stock","")</f>
        <v/>
      </c>
      <c r="O14" s="139" t="str">
        <f>IF(M14="","",M14*K14)</f>
        <v/>
      </c>
      <c r="Q14" s="182">
        <v>1.75</v>
      </c>
      <c r="R14" s="182">
        <v>2</v>
      </c>
      <c r="S14" s="182">
        <v>1.875</v>
      </c>
      <c r="AA14" s="9" t="s">
        <v>228</v>
      </c>
      <c r="AB14" s="19" t="str">
        <f>IF(Data!AN6="","",Data!AN6)</f>
        <v/>
      </c>
      <c r="AC14" s="558" t="s">
        <v>345</v>
      </c>
      <c r="AD14" s="559"/>
      <c r="AE14" s="559"/>
      <c r="AF14" s="559"/>
      <c r="AG14" s="560"/>
      <c r="AH14" s="182"/>
      <c r="AI14" s="182" t="str">
        <f>IF(AND(OR(Data!B$3="H",Data!B$3="MH"),AJ14=$B$13),IF(Data!D$2=AK$11,AK14,AL14),"")</f>
        <v/>
      </c>
      <c r="AJ14" s="267">
        <v>2.5</v>
      </c>
      <c r="AK14" s="267">
        <v>10</v>
      </c>
      <c r="AL14" s="182">
        <v>0.5</v>
      </c>
      <c r="AM14" s="182">
        <v>3.5</v>
      </c>
      <c r="AN14" s="182">
        <v>1.75</v>
      </c>
      <c r="AO14" s="182">
        <v>1.5</v>
      </c>
      <c r="AP14" s="182">
        <v>4.75</v>
      </c>
      <c r="AQ14" s="182">
        <v>0.75</v>
      </c>
      <c r="AR14" s="182">
        <v>1.25</v>
      </c>
      <c r="AS14" s="182">
        <v>1.25</v>
      </c>
      <c r="AT14" s="182">
        <v>6.75</v>
      </c>
      <c r="AU14" s="182">
        <v>4</v>
      </c>
      <c r="AV14" s="182">
        <v>6.25</v>
      </c>
      <c r="AW14" s="182">
        <v>1.375</v>
      </c>
      <c r="AX14" s="182">
        <v>1.375</v>
      </c>
      <c r="AY14" s="186">
        <v>0.63</v>
      </c>
      <c r="AZ14" s="186" t="s">
        <v>189</v>
      </c>
      <c r="BA14" s="186">
        <v>1.8129999999999999</v>
      </c>
      <c r="BB14" s="186">
        <v>2.5499999999999998</v>
      </c>
      <c r="BC14" s="185">
        <v>0.65625</v>
      </c>
      <c r="BD14" s="182">
        <v>1.19</v>
      </c>
      <c r="BE14" s="182">
        <v>0.81299999999999994</v>
      </c>
      <c r="BF14" s="182">
        <v>4.875</v>
      </c>
      <c r="BG14" s="182">
        <v>3.375</v>
      </c>
      <c r="BH14" s="182" t="s">
        <v>49</v>
      </c>
      <c r="BI14" s="182">
        <v>1.3120000000000001</v>
      </c>
      <c r="BJ14" s="182">
        <v>3</v>
      </c>
      <c r="BK14" s="182">
        <v>0.56000000000000005</v>
      </c>
      <c r="BL14" s="182">
        <v>4.63</v>
      </c>
      <c r="BN14" s="15">
        <v>4</v>
      </c>
      <c r="BO14" s="15">
        <v>1.75</v>
      </c>
      <c r="BP14" s="15">
        <v>9.75</v>
      </c>
      <c r="BQ14" s="15">
        <v>10.63</v>
      </c>
      <c r="BR14" s="15">
        <v>2.875</v>
      </c>
      <c r="BS14" s="15">
        <v>9.75</v>
      </c>
      <c r="BT14" s="15">
        <v>6.75</v>
      </c>
      <c r="BU14" s="15">
        <v>2.75</v>
      </c>
      <c r="BV14" s="15">
        <v>2.9369999999999998</v>
      </c>
      <c r="BW14" s="15" t="str">
        <f>IF(Data!$B$3="h",IF(AND(Data!$B$4=BN14,BO14=$B$15),IF(OR(Data!$B$5="mp1",Data!$B$5="mp3"),BP14+$B$18,""),""),"")</f>
        <v/>
      </c>
      <c r="BX14" s="15" t="str">
        <f>IF(Data!$B$3="h",IF(AND(Data!$B$4=$BN14,$BO14=$B$15),IF(Data!$B$5="mp2",BQ14+$B$18,""),""),"")</f>
        <v/>
      </c>
      <c r="BY14" s="15" t="str">
        <f>IF(Data!$B$3="h",IF(AND(Data!$B$4=$BN14,$BO14=$B$15),IF(Data!$B$5="mt1",BR14,""),""),"")</f>
        <v/>
      </c>
      <c r="BZ14" s="15" t="str">
        <f>IF(Data!$B$3="h",IF(AND(Data!$B$4=$BN14,$BO14=$B$15),IF(Data!$B$5="mpu3",BS14+$B$18,""),""),"")</f>
        <v/>
      </c>
      <c r="CA14" s="15" t="str">
        <f>IF(Data!$B$3="h",IF(AND(Data!$B$4=$BN14,$BO14=$B$15),IF(Data!$B$5="mt2",BT14+$B$18,""),""),"")</f>
        <v/>
      </c>
      <c r="CB14" s="15" t="str">
        <f>IF(Data!$B$3="h",IF(AND(Data!$B$4=$BN14,$BO14=$B$15),IF(Data!$B$5="ms2",BU14,""),""),"")</f>
        <v/>
      </c>
      <c r="CC14" s="15" t="str">
        <f>IF(Data!$B$3="h",IF(AND(Data!$B$4=$BN14,$BO14=$B$15),IF(Data!$B$5="ms4",BV14,""),""),"")</f>
        <v/>
      </c>
      <c r="CD14" s="15"/>
    </row>
    <row r="15" spans="1:83" s="9" customFormat="1" ht="18" customHeight="1" thickTop="1">
      <c r="A15" s="313" t="s">
        <v>766</v>
      </c>
      <c r="B15" s="467">
        <f>IF(Data!B6="","",Data!B6)</f>
        <v>2</v>
      </c>
      <c r="C15" s="548" t="s">
        <v>690</v>
      </c>
      <c r="D15" s="549"/>
      <c r="E15" s="549"/>
      <c r="F15" s="550">
        <f>Data!L2</f>
        <v>779</v>
      </c>
      <c r="G15" s="533"/>
      <c r="H15" s="265"/>
      <c r="I15" s="206"/>
      <c r="J15" s="207"/>
      <c r="K15" s="201"/>
      <c r="L15" s="5"/>
      <c r="M15" s="5"/>
      <c r="N15" s="9" t="str">
        <f t="shared" ref="N15:N43" si="2">IF(M15&gt;L15,"No Stock","")</f>
        <v/>
      </c>
      <c r="O15" s="139" t="str">
        <f t="shared" ref="O15:O43" si="3">IF(M15="","",M15*K15)</f>
        <v/>
      </c>
      <c r="Q15" s="182">
        <v>2</v>
      </c>
      <c r="R15" s="182">
        <v>2.25</v>
      </c>
      <c r="S15" s="182">
        <v>2</v>
      </c>
      <c r="AA15" s="9" t="s">
        <v>766</v>
      </c>
      <c r="AB15" s="18" t="str">
        <f>IF(Data!AB6="","",Data!AB6)</f>
        <v/>
      </c>
      <c r="AC15" s="561" t="s">
        <v>690</v>
      </c>
      <c r="AD15" s="562"/>
      <c r="AE15" s="562"/>
      <c r="AF15" s="553">
        <f>Data!AL2</f>
        <v>0</v>
      </c>
      <c r="AG15" s="556"/>
      <c r="AH15" s="182"/>
      <c r="AI15" s="182" t="str">
        <f>IF(AND(OR(Data!B$3="H",Data!B$3="MH"),AJ15=$B$13),IF(Data!D$2=AK$11,AK15,AL15),"")</f>
        <v/>
      </c>
      <c r="AJ15" s="267">
        <v>3.25</v>
      </c>
      <c r="AK15" s="267">
        <v>12</v>
      </c>
      <c r="AL15" s="182">
        <v>0.75</v>
      </c>
      <c r="AM15" s="182">
        <v>4.5</v>
      </c>
      <c r="AN15" s="182">
        <v>2</v>
      </c>
      <c r="AO15" s="182">
        <v>1.75</v>
      </c>
      <c r="AP15" s="182">
        <v>5.5</v>
      </c>
      <c r="AQ15" s="182">
        <v>1.002</v>
      </c>
      <c r="AR15" s="182">
        <v>1.5</v>
      </c>
      <c r="AS15" s="182">
        <v>1.5</v>
      </c>
      <c r="AT15" s="182">
        <v>8.5</v>
      </c>
      <c r="AU15" s="182">
        <v>5</v>
      </c>
      <c r="AV15" s="182">
        <v>8</v>
      </c>
      <c r="AW15" s="182">
        <v>1.75</v>
      </c>
      <c r="AX15" s="182">
        <v>1.75</v>
      </c>
      <c r="AY15" s="186">
        <v>0.75</v>
      </c>
      <c r="AZ15" s="186" t="s">
        <v>50</v>
      </c>
      <c r="BA15" s="186">
        <v>2.3119999999999998</v>
      </c>
      <c r="BB15" s="186">
        <v>3.25</v>
      </c>
      <c r="BC15" s="185">
        <v>0.88</v>
      </c>
      <c r="BD15" s="182">
        <v>1.56</v>
      </c>
      <c r="BE15" s="182">
        <v>0.81299999999999994</v>
      </c>
      <c r="BF15" s="182">
        <v>5.875</v>
      </c>
      <c r="BG15" s="182">
        <v>4.125</v>
      </c>
      <c r="BH15" s="182" t="s">
        <v>51</v>
      </c>
      <c r="BI15" s="182">
        <v>1.5</v>
      </c>
      <c r="BJ15" s="182">
        <v>3.5</v>
      </c>
      <c r="BK15" s="182">
        <v>0.69</v>
      </c>
      <c r="BL15" s="182">
        <v>5.88</v>
      </c>
      <c r="BN15" s="15">
        <v>4</v>
      </c>
      <c r="BO15" s="15">
        <v>2</v>
      </c>
      <c r="BP15" s="15">
        <v>9.875</v>
      </c>
      <c r="BQ15" s="15">
        <v>10.755000000000001</v>
      </c>
      <c r="BR15" s="15">
        <v>3</v>
      </c>
      <c r="BS15" s="15">
        <v>9.875</v>
      </c>
      <c r="BT15" s="15">
        <v>6.875</v>
      </c>
      <c r="BU15" s="15">
        <v>2.875</v>
      </c>
      <c r="BV15" s="15">
        <v>3.0619999999999998</v>
      </c>
      <c r="BW15" s="15" t="str">
        <f>IF(Data!$B$3="h",IF(AND(Data!$B$4=BN15,BO15=$B$15),IF(OR(Data!$B$5="mp1",Data!$B$5="mp3"),BP15+$B$18,""),""),"")</f>
        <v/>
      </c>
      <c r="BX15" s="15" t="str">
        <f>IF(Data!$B$3="h",IF(AND(Data!$B$4=$BN15,$BO15=$B$15),IF(Data!$B$5="mp2",BQ15+$B$18,""),""),"")</f>
        <v/>
      </c>
      <c r="BY15" s="15" t="str">
        <f>IF(Data!$B$3="h",IF(AND(Data!$B$4=$BN15,$BO15=$B$15),IF(Data!$B$5="mt1",BR15,""),""),"")</f>
        <v/>
      </c>
      <c r="BZ15" s="15" t="str">
        <f>IF(Data!$B$3="h",IF(AND(Data!$B$4=$BN15,$BO15=$B$15),IF(Data!$B$5="mpu3",BS15+$B$18,""),""),"")</f>
        <v/>
      </c>
      <c r="CA15" s="15" t="str">
        <f>IF(Data!$B$3="h",IF(AND(Data!$B$4=$BN15,$BO15=$B$15),IF(Data!$B$5="mt2",BT15+$B$18,""),""),"")</f>
        <v/>
      </c>
      <c r="CB15" s="15" t="str">
        <f>IF(Data!$B$3="h",IF(AND(Data!$B$4=$BN15,$BO15=$B$15),IF(Data!$B$5="ms2",BU15,""),""),"")</f>
        <v/>
      </c>
      <c r="CC15" s="15" t="str">
        <f>IF(Data!$B$3="h",IF(AND(Data!$B$4=$BN15,$BO15=$B$15),IF(Data!$B$5="ms4",BV15,""),""),"")</f>
        <v/>
      </c>
      <c r="CD15" s="15"/>
    </row>
    <row r="16" spans="1:83" s="9" customFormat="1" ht="18" customHeight="1">
      <c r="A16" s="313" t="s">
        <v>424</v>
      </c>
      <c r="B16" s="469" t="str">
        <f>IF(Data!D28="","",Data!D28)</f>
        <v>Non Cushion</v>
      </c>
      <c r="C16" s="546" t="str">
        <f>IF(ShipVia!G90="","",ShipVia!G90)</f>
        <v>Hyd Rod Poly Seal Kit KHR20</v>
      </c>
      <c r="D16" s="547"/>
      <c r="E16" s="547"/>
      <c r="F16" s="550">
        <f>IF(C16="","",(ShipVia!H90*(1-E$11)))</f>
        <v>80</v>
      </c>
      <c r="G16" s="533"/>
      <c r="H16" s="17" t="s">
        <v>22060</v>
      </c>
      <c r="I16" s="355" t="s">
        <v>22056</v>
      </c>
      <c r="J16" s="356" t="s">
        <v>22057</v>
      </c>
      <c r="K16" s="357" t="s">
        <v>22058</v>
      </c>
      <c r="L16" s="3" t="s">
        <v>22059</v>
      </c>
      <c r="M16" s="5"/>
      <c r="N16" s="9" t="str">
        <f t="shared" si="2"/>
        <v/>
      </c>
      <c r="O16" s="139" t="str">
        <f t="shared" si="3"/>
        <v/>
      </c>
      <c r="Q16" s="182">
        <v>2.5</v>
      </c>
      <c r="R16" s="182">
        <v>3</v>
      </c>
      <c r="S16" s="182">
        <v>2.25</v>
      </c>
      <c r="AA16" s="9" t="s">
        <v>424</v>
      </c>
      <c r="AB16" s="19" t="str">
        <f>IF(Data!AD28="","",Data!AD28)</f>
        <v/>
      </c>
      <c r="AC16" s="554" t="str">
        <f>IF(ShipVia!AG90="","",ShipVia!AG90)</f>
        <v/>
      </c>
      <c r="AD16" s="555"/>
      <c r="AE16" s="555"/>
      <c r="AF16" s="553" t="str">
        <f>IF(AC16="","",(ShipVia!AH90*(1-AE$11)))</f>
        <v/>
      </c>
      <c r="AG16" s="556"/>
      <c r="AH16" s="182"/>
      <c r="AI16" s="182" t="str">
        <f>IF(AND(OR(Data!B$3="H",Data!B$3="MH"),AJ16=$B$13),IF(Data!D$2=AK$11,AK16,AL16),"")</f>
        <v/>
      </c>
      <c r="AJ16" s="267">
        <v>4</v>
      </c>
      <c r="AK16" s="267">
        <v>12</v>
      </c>
      <c r="AL16" s="182">
        <v>0.75</v>
      </c>
      <c r="AM16" s="182">
        <v>5</v>
      </c>
      <c r="AN16" s="182">
        <v>2</v>
      </c>
      <c r="AO16" s="182">
        <v>1.75</v>
      </c>
      <c r="AP16" s="182">
        <v>5.75</v>
      </c>
      <c r="AQ16" s="182">
        <v>1.377</v>
      </c>
      <c r="AR16" s="182">
        <v>2</v>
      </c>
      <c r="AS16" s="182">
        <v>2.125</v>
      </c>
      <c r="AT16" s="182">
        <v>9</v>
      </c>
      <c r="AU16" s="182">
        <v>5.5</v>
      </c>
      <c r="AV16" s="182">
        <v>8.5</v>
      </c>
      <c r="AW16" s="182">
        <v>1.75</v>
      </c>
      <c r="AX16" s="182">
        <v>1.75</v>
      </c>
      <c r="AY16" s="186">
        <v>0.88</v>
      </c>
      <c r="AZ16" s="186" t="s">
        <v>50</v>
      </c>
      <c r="BA16" s="186">
        <v>2.3119999999999998</v>
      </c>
      <c r="BB16" s="186">
        <v>3.82</v>
      </c>
      <c r="BC16" s="185">
        <v>1.1875</v>
      </c>
      <c r="BD16" s="182">
        <v>2.125</v>
      </c>
      <c r="BE16" s="182">
        <v>1.0620000000000001</v>
      </c>
      <c r="BF16" s="182">
        <v>6.75</v>
      </c>
      <c r="BG16" s="182">
        <v>4</v>
      </c>
      <c r="BH16" s="182" t="s">
        <v>52</v>
      </c>
      <c r="BI16" s="182">
        <v>2.0619999999999998</v>
      </c>
      <c r="BJ16" s="182">
        <v>3.75</v>
      </c>
      <c r="BK16" s="182">
        <v>0.69</v>
      </c>
      <c r="BL16" s="182">
        <v>6.38</v>
      </c>
      <c r="BN16" s="15">
        <v>4</v>
      </c>
      <c r="BO16" s="15">
        <v>2.5</v>
      </c>
      <c r="BP16" s="15">
        <v>10.125</v>
      </c>
      <c r="BQ16" s="15">
        <v>11.005000000000001</v>
      </c>
      <c r="BR16" s="15">
        <v>3.25</v>
      </c>
      <c r="BS16" s="15">
        <v>10.125</v>
      </c>
      <c r="BT16" s="15">
        <v>7.125</v>
      </c>
      <c r="BU16" s="15">
        <v>3.125</v>
      </c>
      <c r="BV16" s="15">
        <v>3.3119999999999998</v>
      </c>
      <c r="BW16" s="15" t="str">
        <f>IF(Data!$B$3="h",IF(AND(Data!$B$4=BN16,BO16=$B$15),IF(OR(Data!$B$5="mp1",Data!$B$5="mp3"),BP16+$B$18,""),""),"")</f>
        <v/>
      </c>
      <c r="BX16" s="15" t="str">
        <f>IF(Data!$B$3="h",IF(AND(Data!$B$4=$BN16,$BO16=$B$15),IF(Data!$B$5="mp2",BQ16+$B$18,""),""),"")</f>
        <v/>
      </c>
      <c r="BY16" s="15" t="str">
        <f>IF(Data!$B$3="h",IF(AND(Data!$B$4=$BN16,$BO16=$B$15),IF(Data!$B$5="mt1",BR16,""),""),"")</f>
        <v/>
      </c>
      <c r="BZ16" s="15" t="str">
        <f>IF(Data!$B$3="h",IF(AND(Data!$B$4=$BN16,$BO16=$B$15),IF(Data!$B$5="mpu3",BS16+$B$18,""),""),"")</f>
        <v/>
      </c>
      <c r="CA16" s="15" t="str">
        <f>IF(Data!$B$3="h",IF(AND(Data!$B$4=$BN16,$BO16=$B$15),IF(Data!$B$5="mt2",BT16+$B$18,""),""),"")</f>
        <v/>
      </c>
      <c r="CB16" s="15" t="str">
        <f>IF(Data!$B$3="h",IF(AND(Data!$B$4=$BN16,$BO16=$B$15),IF(Data!$B$5="ms2",BU16,""),""),"")</f>
        <v/>
      </c>
      <c r="CC16" s="15" t="str">
        <f>IF(Data!$B$3="h",IF(AND(Data!$B$4=$BN16,$BO16=$B$15),IF(Data!$B$5="ms4",BV16,""),""),"")</f>
        <v/>
      </c>
      <c r="CD16" s="15"/>
    </row>
    <row r="17" spans="1:82" s="9" customFormat="1" ht="18" customHeight="1">
      <c r="A17" s="313" t="s">
        <v>848</v>
      </c>
      <c r="B17" s="468" t="str">
        <f>IF(Data!D2="","",AH10)</f>
        <v>#12 SAE</v>
      </c>
      <c r="C17" s="546" t="str">
        <f>IF(ShipVia!G91="","",ShipVia!G91)</f>
        <v>Hyd Piston Poly Seal Kit KHP50</v>
      </c>
      <c r="D17" s="547"/>
      <c r="E17" s="547"/>
      <c r="F17" s="550">
        <f>IF(C17="","",(ShipVia!H91*(1-E$11)))</f>
        <v>233</v>
      </c>
      <c r="G17" s="533"/>
      <c r="H17" s="358">
        <v>2</v>
      </c>
      <c r="I17" s="355" t="s">
        <v>22055</v>
      </c>
      <c r="J17" s="359">
        <v>25</v>
      </c>
      <c r="K17" s="360">
        <v>20</v>
      </c>
      <c r="L17" s="360">
        <v>18</v>
      </c>
      <c r="M17" s="354"/>
      <c r="N17" s="9" t="str">
        <f t="shared" si="2"/>
        <v/>
      </c>
      <c r="O17" s="139" t="str">
        <f t="shared" si="3"/>
        <v/>
      </c>
      <c r="Q17" s="182">
        <v>3</v>
      </c>
      <c r="R17" s="182">
        <v>3.5</v>
      </c>
      <c r="S17" s="182">
        <v>2.25</v>
      </c>
      <c r="AA17" s="9" t="s">
        <v>848</v>
      </c>
      <c r="AB17" s="19" t="str">
        <f>IF(Data!AD2="","",BH10)</f>
        <v/>
      </c>
      <c r="AC17" s="554" t="str">
        <f>IF(ShipVia!AG91="","",ShipVia!AG91)</f>
        <v/>
      </c>
      <c r="AD17" s="555"/>
      <c r="AE17" s="555"/>
      <c r="AF17" s="553" t="str">
        <f>IF(AC17="","",(ShipVia!AH91*(1-AE$11)))</f>
        <v/>
      </c>
      <c r="AG17" s="556"/>
      <c r="AH17" s="182"/>
      <c r="AI17" s="182">
        <f>IF(AND(OR(Data!B$3="H",Data!B$3="MH"),AJ17=$B$13),IF(OR(Data!D$2="S"),AK17,AL17),"")</f>
        <v>12</v>
      </c>
      <c r="AJ17" s="267">
        <v>5</v>
      </c>
      <c r="AK17" s="267">
        <v>12</v>
      </c>
      <c r="AL17" s="182">
        <v>0.75</v>
      </c>
      <c r="AM17" s="182">
        <v>6.5</v>
      </c>
      <c r="AN17" s="182">
        <v>2</v>
      </c>
      <c r="AO17" s="182">
        <v>1.75</v>
      </c>
      <c r="AP17" s="182">
        <v>6.25</v>
      </c>
      <c r="AQ17" s="182">
        <v>1.752</v>
      </c>
      <c r="AR17" s="182">
        <v>2.5</v>
      </c>
      <c r="AS17" s="182">
        <v>2.25</v>
      </c>
      <c r="AT17" s="182">
        <v>10.5</v>
      </c>
      <c r="AU17" s="182">
        <v>7</v>
      </c>
      <c r="AV17" s="182">
        <v>10</v>
      </c>
      <c r="AW17" s="182">
        <v>1.75</v>
      </c>
      <c r="AX17" s="182">
        <v>1.75</v>
      </c>
      <c r="AY17" s="186">
        <v>0.88</v>
      </c>
      <c r="AZ17" s="186" t="s">
        <v>392</v>
      </c>
      <c r="BA17" s="186">
        <v>3.1880000000000002</v>
      </c>
      <c r="BB17" s="186">
        <v>4.95</v>
      </c>
      <c r="BC17" s="185">
        <v>1.53125</v>
      </c>
      <c r="BD17" s="182">
        <v>2.25</v>
      </c>
      <c r="BE17" s="182">
        <v>1.0620000000000001</v>
      </c>
      <c r="BF17" s="182">
        <v>8.25</v>
      </c>
      <c r="BG17" s="182">
        <v>4.5</v>
      </c>
      <c r="BH17" s="182" t="s">
        <v>52</v>
      </c>
      <c r="BI17" s="182">
        <v>2.9369999999999998</v>
      </c>
      <c r="BJ17" s="182">
        <v>4.25</v>
      </c>
      <c r="BK17" s="182">
        <v>0.94</v>
      </c>
      <c r="BL17" s="182">
        <v>8.19</v>
      </c>
      <c r="BN17" s="15">
        <v>5</v>
      </c>
      <c r="BO17" s="15">
        <v>2</v>
      </c>
      <c r="BP17" s="15">
        <v>10.5</v>
      </c>
      <c r="BQ17" s="15">
        <v>11.38</v>
      </c>
      <c r="BR17" s="15">
        <v>3</v>
      </c>
      <c r="BS17" s="15">
        <v>10.5</v>
      </c>
      <c r="BT17" s="15">
        <v>7.375</v>
      </c>
      <c r="BU17" s="15">
        <v>2.875</v>
      </c>
      <c r="BV17" s="15">
        <v>3</v>
      </c>
      <c r="BW17" s="15" t="str">
        <f>IF(Data!$B$3="h",IF(AND(Data!$B$4=BN17,BO17=$B$15),IF(OR(Data!$B$5="mp1",Data!$B$5="mp3"),BP17+$B$18,""),""),"")</f>
        <v/>
      </c>
      <c r="BX17" s="15" t="str">
        <f>IF(Data!$B$3="h",IF(AND(Data!$B$4=$BN17,$BO17=$B$15),IF(Data!$B$5="mp2",BQ17+$B$18,""),""),"")</f>
        <v/>
      </c>
      <c r="BY17" s="15" t="str">
        <f>IF(Data!$B$3="h",IF(AND(Data!$B$4=$BN17,$BO17=$B$15),IF(Data!$B$5="mt1",BR17,""),""),"")</f>
        <v/>
      </c>
      <c r="BZ17" s="15" t="str">
        <f>IF(Data!$B$3="h",IF(AND(Data!$B$4=$BN17,$BO17=$B$15),IF(Data!$B$5="mpu3",BS17+$B$18,""),""),"")</f>
        <v/>
      </c>
      <c r="CA17" s="15" t="str">
        <f>IF(Data!$B$3="h",IF(AND(Data!$B$4=$BN17,$BO17=$B$15),IF(Data!$B$5="mt2",BT17+$B$18,""),""),"")</f>
        <v/>
      </c>
      <c r="CB17" s="15" t="str">
        <f>IF(Data!$B$3="h",IF(AND(Data!$B$4=$BN17,$BO17=$B$15),IF(Data!$B$5="ms2",BU17,""),""),"")</f>
        <v/>
      </c>
      <c r="CC17" s="15" t="str">
        <f>IF(Data!$B$3="h",IF(AND(Data!$B$4=$BN17,$BO17=$B$15),IF(Data!$B$5="ms4",BV17,""),""),"")</f>
        <v/>
      </c>
      <c r="CD17" s="15"/>
    </row>
    <row r="18" spans="1:82" s="9" customFormat="1" ht="18" customHeight="1">
      <c r="A18" s="313" t="s">
        <v>841</v>
      </c>
      <c r="B18" s="467">
        <f>IF(Data!B8="","",Data!B8)</f>
        <v>12</v>
      </c>
      <c r="C18" s="546" t="str">
        <f>IF(ShipVia!G92="",ShipVia!G89,ShipVia!G92)</f>
        <v>Hyd Gland Poly Seal Kit KHG20</v>
      </c>
      <c r="D18" s="547"/>
      <c r="E18" s="547"/>
      <c r="F18" s="563">
        <f>IF(C18="","",IF(ShipVia!G92="",ShipVia!H89*(1-E$11),ShipVia!H92*(1-E$11)))</f>
        <v>409</v>
      </c>
      <c r="G18" s="564"/>
      <c r="H18" s="358">
        <v>2</v>
      </c>
      <c r="I18" s="355" t="s">
        <v>22055</v>
      </c>
      <c r="J18" s="359">
        <v>40</v>
      </c>
      <c r="K18" s="360">
        <v>50</v>
      </c>
      <c r="L18" s="360">
        <v>22</v>
      </c>
      <c r="M18" s="354"/>
      <c r="N18" s="9" t="str">
        <f t="shared" si="2"/>
        <v/>
      </c>
      <c r="O18" s="139" t="str">
        <f t="shared" si="3"/>
        <v/>
      </c>
      <c r="Q18" s="182">
        <v>3.5</v>
      </c>
      <c r="R18" s="182">
        <v>3.5</v>
      </c>
      <c r="S18" s="182">
        <v>2.25</v>
      </c>
      <c r="AA18" s="9" t="s">
        <v>841</v>
      </c>
      <c r="AB18" s="18" t="str">
        <f>IF(Data!AB8="","",Data!AB8)</f>
        <v/>
      </c>
      <c r="AC18" s="554">
        <f>IF(ShipVia!AG92="",ShipVia!AG89,ShipVia!AG92)</f>
        <v>0</v>
      </c>
      <c r="AD18" s="555"/>
      <c r="AE18" s="555"/>
      <c r="AF18" s="553">
        <f>IF(AC18="","",IF(ShipVia!AG92="",ShipVia!AH89*(1-AE$11),ShipVia!AH92*(1-AE$11)))</f>
        <v>0</v>
      </c>
      <c r="AG18" s="556"/>
      <c r="AH18" s="182"/>
      <c r="AI18" s="182" t="str">
        <f>IF(AND(OR(Data!B$3="H",Data!B$3="MH"),AJ18=$B$13),IF(Data!D$2=AK$11,AK18,AL18),"")</f>
        <v/>
      </c>
      <c r="AJ18" s="267">
        <v>6</v>
      </c>
      <c r="AK18" s="267">
        <v>16</v>
      </c>
      <c r="AL18" s="182">
        <v>1</v>
      </c>
      <c r="AM18" s="182">
        <v>7.5</v>
      </c>
      <c r="AN18" s="182">
        <v>2.25</v>
      </c>
      <c r="AO18" s="182">
        <v>2.25</v>
      </c>
      <c r="AP18" s="182">
        <v>7.375</v>
      </c>
      <c r="AQ18" s="182">
        <v>2.0019999999999998</v>
      </c>
      <c r="AR18" s="182">
        <v>2.5</v>
      </c>
      <c r="AS18" s="182">
        <v>2.5</v>
      </c>
      <c r="AT18" s="182">
        <v>12.5</v>
      </c>
      <c r="AU18" s="182">
        <v>8.5</v>
      </c>
      <c r="AV18" s="182">
        <v>11.5</v>
      </c>
      <c r="AW18" s="182">
        <v>2</v>
      </c>
      <c r="AX18" s="182">
        <v>2</v>
      </c>
      <c r="AY18" s="186">
        <v>1</v>
      </c>
      <c r="AZ18" s="186" t="s">
        <v>857</v>
      </c>
      <c r="BA18" s="186">
        <v>3.625</v>
      </c>
      <c r="BB18" s="186">
        <v>5.73</v>
      </c>
      <c r="BC18" s="185">
        <v>1.75</v>
      </c>
      <c r="BD18" s="182">
        <v>2.5</v>
      </c>
      <c r="BE18" s="182">
        <v>1.3120000000000001</v>
      </c>
      <c r="BF18" s="182">
        <v>9.75</v>
      </c>
      <c r="BG18" s="182">
        <v>5.125</v>
      </c>
      <c r="BH18" s="182" t="s">
        <v>53</v>
      </c>
      <c r="BI18" s="182">
        <v>3.3119999999999998</v>
      </c>
      <c r="BJ18" s="182">
        <v>5.125</v>
      </c>
      <c r="BK18" s="182">
        <v>1.06</v>
      </c>
      <c r="BL18" s="182">
        <v>9.44</v>
      </c>
      <c r="BN18" s="15">
        <v>5</v>
      </c>
      <c r="BO18" s="15">
        <v>2.5</v>
      </c>
      <c r="BP18" s="15">
        <v>10.75</v>
      </c>
      <c r="BQ18" s="15">
        <v>11.63</v>
      </c>
      <c r="BR18" s="15">
        <v>3.25</v>
      </c>
      <c r="BS18" s="15">
        <v>10.75</v>
      </c>
      <c r="BT18" s="15">
        <v>7.625</v>
      </c>
      <c r="BU18" s="15">
        <v>3.125</v>
      </c>
      <c r="BV18" s="15">
        <v>3.25</v>
      </c>
      <c r="BW18" s="15" t="str">
        <f>IF(Data!$B$3="h",IF(AND(Data!$B$4=BN18,BO18=$B$15),IF(OR(Data!$B$5="mp1",Data!$B$5="mp3"),BP18+$B$18,""),""),"")</f>
        <v/>
      </c>
      <c r="BX18" s="15" t="str">
        <f>IF(Data!$B$3="h",IF(AND(Data!$B$4=$BN18,$BO18=$B$15),IF(Data!$B$5="mp2",BQ18+$B$18,""),""),"")</f>
        <v/>
      </c>
      <c r="BY18" s="15" t="str">
        <f>IF(Data!$B$3="h",IF(AND(Data!$B$4=$BN18,$BO18=$B$15),IF(Data!$B$5="mt1",BR18,""),""),"")</f>
        <v/>
      </c>
      <c r="BZ18" s="15" t="str">
        <f>IF(Data!$B$3="h",IF(AND(Data!$B$4=$BN18,$BO18=$B$15),IF(Data!$B$5="mpu3",BS18+$B$18,""),""),"")</f>
        <v/>
      </c>
      <c r="CA18" s="15" t="str">
        <f>IF(Data!$B$3="h",IF(AND(Data!$B$4=$BN18,$BO18=$B$15),IF(Data!$B$5="mt2",BT18+$B$18,""),""),"")</f>
        <v/>
      </c>
      <c r="CB18" s="15" t="str">
        <f>IF(Data!$B$3="h",IF(AND(Data!$B$4=$BN18,$BO18=$B$15),IF(Data!$B$5="ms2",BU18,""),""),"")</f>
        <v/>
      </c>
      <c r="CC18" s="15" t="str">
        <f>IF(Data!$B$3="h",IF(AND(Data!$B$4=$BN18,$BO18=$B$15),IF(Data!$B$5="ms4",BV18,""),""),"")</f>
        <v/>
      </c>
      <c r="CD18" s="15"/>
    </row>
    <row r="19" spans="1:82" s="9" customFormat="1" ht="16">
      <c r="A19" s="313" t="s">
        <v>130</v>
      </c>
      <c r="B19" s="470" t="str">
        <f>IF(Data!D9="","",CONCATENATE(Data!D23,AW2,Data!D9))</f>
        <v>Male 1 1/2-12</v>
      </c>
      <c r="C19" s="522" t="str">
        <f>IF(F19="","","Cylinder Weight")</f>
        <v>Cylinder Weight</v>
      </c>
      <c r="D19" s="523"/>
      <c r="E19" s="523"/>
      <c r="F19" s="572">
        <f>IF(Data!D27=0,"",Data!$D27)</f>
        <v>122.8</v>
      </c>
      <c r="G19" s="573"/>
      <c r="H19" s="358">
        <v>1</v>
      </c>
      <c r="I19" s="355" t="s">
        <v>22061</v>
      </c>
      <c r="J19" s="359">
        <v>40</v>
      </c>
      <c r="K19" s="360">
        <v>250</v>
      </c>
      <c r="L19" s="360">
        <v>28</v>
      </c>
      <c r="M19" s="354"/>
      <c r="N19" s="9" t="str">
        <f t="shared" si="2"/>
        <v/>
      </c>
      <c r="O19" s="139" t="str">
        <f t="shared" si="3"/>
        <v/>
      </c>
      <c r="Q19" s="182">
        <v>4</v>
      </c>
      <c r="R19" s="182">
        <v>4</v>
      </c>
      <c r="S19" s="182">
        <v>2.25</v>
      </c>
      <c r="AA19" s="9" t="s">
        <v>130</v>
      </c>
      <c r="AB19" s="20" t="str">
        <f>IF(Data!AD9="","",CONCATENATE(Data!AD23,BW2,Data!AD9))</f>
        <v/>
      </c>
      <c r="AC19" s="520" t="str">
        <f>IF(AF19="","","Cylinder Weight")</f>
        <v/>
      </c>
      <c r="AD19" s="521"/>
      <c r="AE19" s="521"/>
      <c r="AF19" s="570" t="str">
        <f>IF(Data!AD27=0,"",Data!$D27)</f>
        <v/>
      </c>
      <c r="AG19" s="571"/>
      <c r="AH19" s="182"/>
      <c r="AI19" s="182" t="str">
        <f>IF(AND(OR(Data!B$3="H",Data!B$3="MH"),AJ19=$B$13),IF(Data!D$2=AK$11,AK19,AL19),"")</f>
        <v/>
      </c>
      <c r="AJ19" s="267">
        <v>7</v>
      </c>
      <c r="AK19" s="267">
        <v>20</v>
      </c>
      <c r="AL19" s="182">
        <v>1.25</v>
      </c>
      <c r="AM19" s="182">
        <v>8.5</v>
      </c>
      <c r="AN19" s="182">
        <v>2.75</v>
      </c>
      <c r="AO19" s="182">
        <v>2.75</v>
      </c>
      <c r="AP19" s="182">
        <v>8.5</v>
      </c>
      <c r="AQ19" s="182">
        <v>2.5019999999999998</v>
      </c>
      <c r="AR19" s="182">
        <v>3</v>
      </c>
      <c r="AS19" s="182">
        <v>3</v>
      </c>
      <c r="AT19" s="182">
        <v>14.75</v>
      </c>
      <c r="AU19" s="182">
        <v>9.75</v>
      </c>
      <c r="AV19" s="182">
        <v>13.5</v>
      </c>
      <c r="AW19" s="182">
        <v>2.5</v>
      </c>
      <c r="AX19" s="182">
        <v>2.5</v>
      </c>
      <c r="AY19" s="186">
        <v>1</v>
      </c>
      <c r="AZ19" s="186" t="s">
        <v>54</v>
      </c>
      <c r="BA19" s="186">
        <v>4.125</v>
      </c>
      <c r="BB19" s="186">
        <v>6.58</v>
      </c>
      <c r="BC19" s="182"/>
      <c r="BD19" s="182"/>
      <c r="BE19" s="182">
        <v>1.5620000000000001</v>
      </c>
      <c r="BF19" s="182">
        <v>11.25</v>
      </c>
      <c r="BG19" s="182">
        <v>5.75</v>
      </c>
      <c r="BH19" s="182" t="s">
        <v>55</v>
      </c>
      <c r="BI19" s="182">
        <v>3.75</v>
      </c>
      <c r="BJ19" s="182">
        <v>5.875</v>
      </c>
      <c r="BK19" s="182">
        <v>1.19</v>
      </c>
      <c r="BL19" s="182">
        <v>10.63</v>
      </c>
      <c r="BN19" s="15">
        <v>5</v>
      </c>
      <c r="BO19" s="15">
        <v>3</v>
      </c>
      <c r="BP19" s="15">
        <v>10.75</v>
      </c>
      <c r="BQ19" s="15">
        <v>11.63</v>
      </c>
      <c r="BR19" s="15">
        <v>3.25</v>
      </c>
      <c r="BS19" s="15">
        <v>10.75</v>
      </c>
      <c r="BT19" s="15">
        <v>7.625</v>
      </c>
      <c r="BU19" s="15">
        <v>3.125</v>
      </c>
      <c r="BV19" s="15">
        <v>3.25</v>
      </c>
      <c r="BW19" s="15" t="str">
        <f>IF(Data!$B$3="h",IF(AND(Data!$B$4=BN19,BO19=$B$15),IF(OR(Data!$B$5="mp1",Data!$B$5="mp3"),BP19+$B$18,""),""),"")</f>
        <v/>
      </c>
      <c r="BX19" s="15" t="str">
        <f>IF(Data!$B$3="h",IF(AND(Data!$B$4=$BN19,$BO19=$B$15),IF(Data!$B$5="mp2",BQ19+$B$18,""),""),"")</f>
        <v/>
      </c>
      <c r="BY19" s="15" t="str">
        <f>IF(Data!$B$3="h",IF(AND(Data!$B$4=$BN19,$BO19=$B$15),IF(Data!$B$5="mt1",BR19,""),""),"")</f>
        <v/>
      </c>
      <c r="BZ19" s="15" t="str">
        <f>IF(Data!$B$3="h",IF(AND(Data!$B$4=$BN19,$BO19=$B$15),IF(Data!$B$5="mpu3",BS19+$B$18,""),""),"")</f>
        <v/>
      </c>
      <c r="CA19" s="15" t="str">
        <f>IF(Data!$B$3="h",IF(AND(Data!$B$4=$BN19,$BO19=$B$15),IF(Data!$B$5="mt2",BT19+$B$18,""),""),"")</f>
        <v/>
      </c>
      <c r="CB19" s="15" t="str">
        <f>IF(Data!$B$3="h",IF(AND(Data!$B$4=$BN19,$BO19=$B$15),IF(Data!$B$5="ms2",BU19,""),""),"")</f>
        <v/>
      </c>
      <c r="CC19" s="15" t="str">
        <f>IF(Data!$B$3="h",IF(AND(Data!$B$4=$BN19,$BO19=$B$15),IF(Data!$B$5="ms4",BV19,""),""),"")</f>
        <v/>
      </c>
      <c r="CD19" s="15"/>
    </row>
    <row r="20" spans="1:82" s="9" customFormat="1" ht="19.5" customHeight="1">
      <c r="A20" s="313" t="s">
        <v>453</v>
      </c>
      <c r="B20" s="469" t="str">
        <f>IF(Data!D30="","",Data!D30)</f>
        <v>Polyurethane</v>
      </c>
      <c r="C20" s="522" t="str">
        <f>IF(Data!I16="","",CONCATENATE("Push @ ",Data!I16," PSI"))</f>
        <v>Push @ 3000 PSI</v>
      </c>
      <c r="D20" s="523"/>
      <c r="E20" s="523"/>
      <c r="F20" s="524" t="str">
        <f>IF(C20="","",CONCATENATE(Data!I18," lbs"))</f>
        <v>58905 lbs</v>
      </c>
      <c r="G20" s="525"/>
      <c r="H20" s="358">
        <v>1</v>
      </c>
      <c r="I20" s="355" t="s">
        <v>18</v>
      </c>
      <c r="J20" s="359">
        <v>40</v>
      </c>
      <c r="K20" s="360">
        <v>160</v>
      </c>
      <c r="L20" s="360">
        <v>22</v>
      </c>
      <c r="M20" s="354"/>
      <c r="N20" s="9" t="str">
        <f t="shared" si="2"/>
        <v/>
      </c>
      <c r="O20" s="139" t="str">
        <f t="shared" si="3"/>
        <v/>
      </c>
      <c r="Q20" s="182">
        <v>4.5</v>
      </c>
      <c r="R20" s="182">
        <v>4.5</v>
      </c>
      <c r="S20" s="182">
        <v>2.25</v>
      </c>
      <c r="AA20" s="9" t="s">
        <v>453</v>
      </c>
      <c r="AB20" s="19" t="str">
        <f>IF(Data!AD30="","",Data!AD30)</f>
        <v/>
      </c>
      <c r="AC20" s="520" t="str">
        <f>IF(Data!AI16="","",CONCATENATE("Push @ ",Data!AI16," PSI"))</f>
        <v/>
      </c>
      <c r="AD20" s="521"/>
      <c r="AE20" s="521"/>
      <c r="AF20" s="568" t="str">
        <f>IF(AC20="","",CONCATENATE(Data!AI18," lbs"))</f>
        <v/>
      </c>
      <c r="AG20" s="569"/>
      <c r="AH20" s="182"/>
      <c r="AI20" s="182" t="str">
        <f>IF(AND(OR(Data!B$3="H",Data!B$3="MH"),AJ20=$B$13),IF(Data!D$2=AK$11,AK20,AL20),"")</f>
        <v/>
      </c>
      <c r="AJ20" s="267">
        <v>8</v>
      </c>
      <c r="AK20" s="267">
        <v>24</v>
      </c>
      <c r="AL20" s="182">
        <v>1.25</v>
      </c>
      <c r="AM20" s="182">
        <v>9.5</v>
      </c>
      <c r="AN20" s="182">
        <v>3</v>
      </c>
      <c r="AO20" s="182">
        <v>3</v>
      </c>
      <c r="AP20" s="182">
        <v>9.5</v>
      </c>
      <c r="AQ20" s="182">
        <v>3</v>
      </c>
      <c r="AR20" s="182">
        <v>3</v>
      </c>
      <c r="AS20" s="182">
        <v>3.25</v>
      </c>
      <c r="AT20" s="182">
        <v>17</v>
      </c>
      <c r="AU20" s="182">
        <v>11</v>
      </c>
      <c r="AV20" s="182">
        <v>15.5</v>
      </c>
      <c r="AW20" s="182">
        <v>3</v>
      </c>
      <c r="AX20" s="182">
        <v>3</v>
      </c>
      <c r="AY20" s="186">
        <v>1</v>
      </c>
      <c r="AZ20" s="186" t="s">
        <v>858</v>
      </c>
      <c r="BA20" s="186">
        <v>4.5</v>
      </c>
      <c r="BB20" s="186">
        <v>7.5</v>
      </c>
      <c r="BC20" s="182"/>
      <c r="BD20" s="182"/>
      <c r="BE20" s="182">
        <v>1.5620000000000001</v>
      </c>
      <c r="BF20" s="182">
        <v>12.25</v>
      </c>
      <c r="BG20" s="182">
        <v>6.75</v>
      </c>
      <c r="BH20" s="182" t="s">
        <v>55</v>
      </c>
      <c r="BI20" s="182">
        <v>4.25</v>
      </c>
      <c r="BJ20" s="182">
        <v>6.625</v>
      </c>
      <c r="BK20" s="182">
        <v>1.31</v>
      </c>
      <c r="BL20" s="182">
        <v>11.8125</v>
      </c>
      <c r="BN20" s="15">
        <v>5</v>
      </c>
      <c r="BO20" s="15">
        <v>3.5</v>
      </c>
      <c r="BP20" s="15">
        <v>10.75</v>
      </c>
      <c r="BQ20" s="15">
        <v>11.63</v>
      </c>
      <c r="BR20" s="15">
        <v>3.25</v>
      </c>
      <c r="BS20" s="15">
        <v>10.75</v>
      </c>
      <c r="BT20" s="15">
        <v>7.625</v>
      </c>
      <c r="BU20" s="15">
        <v>3.125</v>
      </c>
      <c r="BV20" s="15">
        <v>3.25</v>
      </c>
      <c r="BW20" s="15" t="str">
        <f>IF(Data!$B$3="h",IF(AND(Data!$B$4=BN20,BO20=$B$15),IF(OR(Data!$B$5="mp1",Data!$B$5="mp3"),BP20+$B$18,""),""),"")</f>
        <v/>
      </c>
      <c r="BX20" s="15" t="str">
        <f>IF(Data!$B$3="h",IF(AND(Data!$B$4=$BN20,$BO20=$B$15),IF(Data!$B$5="mp2",BQ20+$B$18,""),""),"")</f>
        <v/>
      </c>
      <c r="BY20" s="15" t="str">
        <f>IF(Data!$B$3="h",IF(AND(Data!$B$4=$BN20,$BO20=$B$15),IF(Data!$B$5="mt1",BR20,""),""),"")</f>
        <v/>
      </c>
      <c r="BZ20" s="15" t="str">
        <f>IF(Data!$B$3="h",IF(AND(Data!$B$4=$BN20,$BO20=$B$15),IF(Data!$B$5="mpu3",BS20+$B$18,""),""),"")</f>
        <v/>
      </c>
      <c r="CA20" s="15" t="str">
        <f>IF(Data!$B$3="h",IF(AND(Data!$B$4=$BN20,$BO20=$B$15),IF(Data!$B$5="mt2",BT20+$B$18,""),""),"")</f>
        <v/>
      </c>
      <c r="CB20" s="15" t="str">
        <f>IF(Data!$B$3="h",IF(AND(Data!$B$4=$BN20,$BO20=$B$15),IF(Data!$B$5="ms2",BU20,""),""),"")</f>
        <v/>
      </c>
      <c r="CC20" s="15" t="str">
        <f>IF(Data!$B$3="h",IF(AND(Data!$B$4=$BN20,$BO20=$B$15),IF(Data!$B$5="ms4",BV20,""),""),"")</f>
        <v/>
      </c>
      <c r="CD20" s="15"/>
    </row>
    <row r="21" spans="1:82" s="9" customFormat="1" ht="18" customHeight="1" thickBot="1">
      <c r="A21" s="315" t="s">
        <v>394</v>
      </c>
      <c r="B21" s="316"/>
      <c r="C21" s="522" t="str">
        <f>IF(Data!I16="","",CONCATENATE("Pull @ ",Data!I16," PSI"))</f>
        <v>Pull @ 3000 PSI</v>
      </c>
      <c r="D21" s="523"/>
      <c r="E21" s="523"/>
      <c r="F21" s="524" t="str">
        <f>IF(C21="","",CONCATENATE(Data!I20," lbs"))</f>
        <v>49481 lbs</v>
      </c>
      <c r="G21" s="525"/>
      <c r="H21" s="358">
        <v>2</v>
      </c>
      <c r="I21" s="355" t="s">
        <v>22061</v>
      </c>
      <c r="J21" s="359">
        <v>50</v>
      </c>
      <c r="K21" s="360">
        <v>20</v>
      </c>
      <c r="L21" s="360">
        <v>28</v>
      </c>
      <c r="M21" s="354"/>
      <c r="N21" s="9" t="str">
        <f t="shared" si="2"/>
        <v/>
      </c>
      <c r="O21" s="139" t="str">
        <f t="shared" si="3"/>
        <v/>
      </c>
      <c r="Q21" s="182">
        <v>5</v>
      </c>
      <c r="R21" s="182">
        <v>5</v>
      </c>
      <c r="S21" s="182">
        <v>2.25</v>
      </c>
      <c r="AA21" s="24" t="s">
        <v>394</v>
      </c>
      <c r="AB21" s="13"/>
      <c r="AC21" s="520" t="str">
        <f>IF(Data!AI16="","",CONCATENATE("Pull @ ",Data!AI16," PSI"))</f>
        <v/>
      </c>
      <c r="AD21" s="521"/>
      <c r="AE21" s="521"/>
      <c r="AF21" s="568" t="str">
        <f>IF(AC21="","",CONCATENATE(Data!AI20," lbs"))</f>
        <v/>
      </c>
      <c r="AG21" s="569"/>
      <c r="AH21" s="182"/>
      <c r="AI21" s="182" t="str">
        <f>IF(AND(OR(Data!B$3="H",Data!B$3="MH"),AJ21=$B$13),IF(Data!D$2=AK$11,AK21,AL21),"")</f>
        <v/>
      </c>
      <c r="AJ21" s="267">
        <v>10</v>
      </c>
      <c r="AK21" s="267">
        <v>24</v>
      </c>
      <c r="AL21" s="182">
        <v>2</v>
      </c>
      <c r="AM21" s="182">
        <v>12.625</v>
      </c>
      <c r="AN21" s="182">
        <v>3.6880000000000002</v>
      </c>
      <c r="AO21" s="182">
        <v>3.6880000000000002</v>
      </c>
      <c r="AP21" s="182">
        <v>12.125</v>
      </c>
      <c r="AQ21" s="182">
        <v>3.5</v>
      </c>
      <c r="AR21" s="182">
        <v>4</v>
      </c>
      <c r="AS21" s="182">
        <v>4</v>
      </c>
      <c r="AT21" s="182">
        <v>21</v>
      </c>
      <c r="AU21" s="182">
        <v>14</v>
      </c>
      <c r="AV21" s="182">
        <v>19.625</v>
      </c>
      <c r="AW21" s="182">
        <v>3.5</v>
      </c>
      <c r="AX21" s="182">
        <v>3.5</v>
      </c>
      <c r="AY21" s="182"/>
      <c r="AZ21" s="182"/>
      <c r="BA21" s="182"/>
      <c r="BB21" s="182">
        <v>9.89</v>
      </c>
      <c r="BC21" s="182"/>
      <c r="BD21" s="182"/>
      <c r="BE21" s="182">
        <v>1.5620000000000001</v>
      </c>
      <c r="BF21" s="182">
        <v>15.875</v>
      </c>
      <c r="BG21" s="182">
        <v>8.875</v>
      </c>
      <c r="BH21" s="182"/>
      <c r="BI21" s="182"/>
      <c r="BJ21" s="182"/>
      <c r="BK21" s="182">
        <v>1.3125</v>
      </c>
      <c r="BL21" s="182">
        <v>14.13</v>
      </c>
      <c r="BN21" s="15">
        <v>6</v>
      </c>
      <c r="BO21" s="15">
        <v>2.5</v>
      </c>
      <c r="BP21" s="15">
        <v>12.125</v>
      </c>
      <c r="BQ21" s="15">
        <v>13.125</v>
      </c>
      <c r="BR21" s="15">
        <v>3.375</v>
      </c>
      <c r="BS21" s="15">
        <v>12.125</v>
      </c>
      <c r="BT21" s="15">
        <v>8.375</v>
      </c>
      <c r="BU21" s="15">
        <v>3.375</v>
      </c>
      <c r="BV21" s="15">
        <v>3.3119999999999998</v>
      </c>
      <c r="BW21" s="15" t="str">
        <f>IF(Data!$B$3="h",IF(AND(Data!$B$4=BN21,BO21=$B$15),IF(OR(Data!$B$5="mp1",Data!$B$5="mp3"),BP21+$B$18,""),""),"")</f>
        <v/>
      </c>
      <c r="BX21" s="15" t="str">
        <f>IF(Data!$B$3="h",IF(AND(Data!$B$4=$BN21,$BO21=$B$15),IF(Data!$B$5="mp2",BQ21+$B$18,""),""),"")</f>
        <v/>
      </c>
      <c r="BY21" s="15" t="str">
        <f>IF(Data!$B$3="h",IF(AND(Data!$B$4=$BN21,$BO21=$B$15),IF(Data!$B$5="mt1",BR21,""),""),"")</f>
        <v/>
      </c>
      <c r="BZ21" s="15" t="str">
        <f>IF(Data!$B$3="h",IF(AND(Data!$B$4=$BN21,$BO21=$B$15),IF(Data!$B$5="mpu3",BS21+$B$18,""),""),"")</f>
        <v/>
      </c>
      <c r="CA21" s="15" t="str">
        <f>IF(Data!$B$3="h",IF(AND(Data!$B$4=$BN21,$BO21=$B$15),IF(Data!$B$5="mt2",BT21+$B$18,""),""),"")</f>
        <v/>
      </c>
      <c r="CB21" s="15" t="str">
        <f>IF(Data!$B$3="h",IF(AND(Data!$B$4=$BN21,$BO21=$B$15),IF(Data!$B$5="ms2",BU21,""),""),"")</f>
        <v/>
      </c>
      <c r="CC21" s="15" t="str">
        <f>IF(Data!$B$3="h",IF(AND(Data!$B$4=$BN21,$BO21=$B$15),IF(Data!$B$5="ms4",BV21,""),""),"")</f>
        <v/>
      </c>
      <c r="CD21" s="15"/>
    </row>
    <row r="22" spans="1:82" s="9" customFormat="1" ht="21.75" customHeight="1" thickTop="1">
      <c r="A22" s="442"/>
      <c r="B22" s="443"/>
      <c r="C22" s="574"/>
      <c r="D22" s="575"/>
      <c r="E22" s="575"/>
      <c r="F22" s="575"/>
      <c r="G22" s="576"/>
      <c r="H22" s="358">
        <v>1</v>
      </c>
      <c r="I22" s="356" t="s">
        <v>22055</v>
      </c>
      <c r="J22" s="359">
        <v>50</v>
      </c>
      <c r="K22" s="361">
        <v>210</v>
      </c>
      <c r="L22" s="360">
        <v>28</v>
      </c>
      <c r="M22" s="354"/>
      <c r="N22" s="9" t="str">
        <f t="shared" si="2"/>
        <v/>
      </c>
      <c r="O22" s="139" t="str">
        <f t="shared" si="3"/>
        <v/>
      </c>
      <c r="Q22" s="182">
        <v>5.5</v>
      </c>
      <c r="R22" s="182">
        <v>5.5</v>
      </c>
      <c r="S22" s="182">
        <v>2.25</v>
      </c>
      <c r="AA22" s="27"/>
      <c r="AB22" s="27"/>
      <c r="AC22" s="565"/>
      <c r="AD22" s="566"/>
      <c r="AE22" s="566"/>
      <c r="AF22" s="566"/>
      <c r="AG22" s="567"/>
      <c r="AH22" s="182"/>
      <c r="AI22" s="182" t="str">
        <f>IF(AND(OR(Data!B$3="H",Data!B$3="MH"),AJ22=$B$13),IF(Data!D$2=AK$11,AK22,AL22),"")</f>
        <v/>
      </c>
      <c r="AJ22" s="267">
        <v>12</v>
      </c>
      <c r="AK22" s="267">
        <v>24</v>
      </c>
      <c r="AL22" s="182">
        <v>2.5</v>
      </c>
      <c r="AM22" s="182">
        <v>14.875</v>
      </c>
      <c r="AN22" s="182">
        <v>4.4379999999999997</v>
      </c>
      <c r="AO22" s="182">
        <v>4.4379999999999997</v>
      </c>
      <c r="AP22" s="182">
        <v>14.5</v>
      </c>
      <c r="AQ22" s="182">
        <v>4</v>
      </c>
      <c r="AR22" s="182">
        <v>4.5</v>
      </c>
      <c r="AS22" s="182">
        <v>4.5</v>
      </c>
      <c r="AT22" s="182">
        <v>24.5</v>
      </c>
      <c r="AU22" s="182">
        <v>16.5</v>
      </c>
      <c r="AV22" s="182">
        <v>22.875</v>
      </c>
      <c r="AW22" s="182">
        <v>4</v>
      </c>
      <c r="AX22" s="182">
        <v>4</v>
      </c>
      <c r="AY22" s="182"/>
      <c r="AZ22" s="182"/>
      <c r="BA22" s="182"/>
      <c r="BB22" s="182">
        <v>11.75</v>
      </c>
      <c r="BC22" s="182"/>
      <c r="BD22" s="182"/>
      <c r="BE22" s="182">
        <v>1.5620000000000001</v>
      </c>
      <c r="BF22" s="182">
        <v>18.875</v>
      </c>
      <c r="BG22" s="182">
        <v>10.5</v>
      </c>
      <c r="BH22" s="182"/>
      <c r="BI22" s="182"/>
      <c r="BJ22" s="182"/>
      <c r="BK22" s="182">
        <v>1.5625</v>
      </c>
      <c r="BL22" s="182">
        <v>16.79</v>
      </c>
      <c r="BN22" s="15">
        <v>6</v>
      </c>
      <c r="BO22" s="15">
        <v>3</v>
      </c>
      <c r="BP22" s="15">
        <v>12.125</v>
      </c>
      <c r="BQ22" s="15">
        <v>13.125</v>
      </c>
      <c r="BR22" s="15">
        <v>3.375</v>
      </c>
      <c r="BS22" s="15">
        <v>12.125</v>
      </c>
      <c r="BT22" s="15">
        <v>8.375</v>
      </c>
      <c r="BU22" s="15">
        <v>3.375</v>
      </c>
      <c r="BV22" s="15">
        <v>3.3119999999999998</v>
      </c>
      <c r="BW22" s="15" t="str">
        <f>IF(Data!$B$3="h",IF(AND(Data!$B$4=BN22,BO22=$B$15),IF(OR(Data!$B$5="mp1",Data!$B$5="mp3"),BP22+$B$18,""),""),"")</f>
        <v/>
      </c>
      <c r="BX22" s="15" t="str">
        <f>IF(Data!$B$3="h",IF(AND(Data!$B$4=$BN22,$BO22=$B$15),IF(Data!$B$5="mp2",BQ22+$B$18,""),""),"")</f>
        <v/>
      </c>
      <c r="BY22" s="15" t="str">
        <f>IF(Data!$B$3="h",IF(AND(Data!$B$4=$BN22,$BO22=$B$15),IF(Data!$B$5="mt1",BR22,""),""),"")</f>
        <v/>
      </c>
      <c r="BZ22" s="15" t="str">
        <f>IF(Data!$B$3="h",IF(AND(Data!$B$4=$BN22,$BO22=$B$15),IF(Data!$B$5="mpu3",BS22+$B$18,""),""),"")</f>
        <v/>
      </c>
      <c r="CA22" s="15" t="str">
        <f>IF(Data!$B$3="h",IF(AND(Data!$B$4=$BN22,$BO22=$B$15),IF(Data!$B$5="mt2",BT22+$B$18,""),""),"")</f>
        <v/>
      </c>
      <c r="CB22" s="15" t="str">
        <f>IF(Data!$B$3="h",IF(AND(Data!$B$4=$BN22,$BO22=$B$15),IF(Data!$B$5="ms2",BU22,""),""),"")</f>
        <v/>
      </c>
      <c r="CC22" s="15" t="str">
        <f>IF(Data!$B$3="h",IF(AND(Data!$B$4=$BN22,$BO22=$B$15),IF(Data!$B$5="ms4",BV22,""),""),"")</f>
        <v/>
      </c>
      <c r="CD22" s="15"/>
    </row>
    <row r="23" spans="1:82" ht="21.75" customHeight="1">
      <c r="A23" s="317"/>
      <c r="B23" s="444"/>
      <c r="C23" s="577"/>
      <c r="D23" s="578"/>
      <c r="E23" s="578"/>
      <c r="F23" s="578"/>
      <c r="G23" s="579"/>
      <c r="H23" s="362">
        <v>3</v>
      </c>
      <c r="I23" s="356" t="s">
        <v>22061</v>
      </c>
      <c r="J23" s="359">
        <v>63</v>
      </c>
      <c r="K23" s="361">
        <v>180</v>
      </c>
      <c r="L23" s="360">
        <v>45</v>
      </c>
      <c r="M23" s="354"/>
      <c r="N23" s="7" t="str">
        <f t="shared" si="2"/>
        <v/>
      </c>
      <c r="O23" s="139" t="str">
        <f t="shared" si="3"/>
        <v/>
      </c>
      <c r="Q23" s="182">
        <v>7</v>
      </c>
      <c r="R23" s="182">
        <v>7</v>
      </c>
      <c r="S23" s="182">
        <v>3.5</v>
      </c>
      <c r="AA23" s="28"/>
      <c r="AB23" s="28"/>
      <c r="AC23" s="565"/>
      <c r="AD23" s="566"/>
      <c r="AE23" s="566"/>
      <c r="AF23" s="566"/>
      <c r="AG23" s="567"/>
      <c r="AI23" s="182" t="str">
        <f>IF(AND(OR(Data!B$3="H",Data!B$3="MH"),AJ23=$B$13),IF(Data!D$2=AK$11,AK23,AL23),"")</f>
        <v/>
      </c>
      <c r="AJ23" s="267">
        <v>14</v>
      </c>
      <c r="AK23" s="267">
        <v>24</v>
      </c>
      <c r="AL23" s="182">
        <v>2.5</v>
      </c>
      <c r="AM23" s="182">
        <v>17.125</v>
      </c>
      <c r="AN23" s="182">
        <v>4.875</v>
      </c>
      <c r="AO23" s="182">
        <v>4.875</v>
      </c>
      <c r="AP23" s="182">
        <v>15.625</v>
      </c>
      <c r="AQ23" s="182">
        <v>5</v>
      </c>
      <c r="AR23" s="182">
        <v>6</v>
      </c>
      <c r="AS23" s="182">
        <v>5.75</v>
      </c>
      <c r="AT23" s="182">
        <v>28.5</v>
      </c>
      <c r="AU23" s="182">
        <v>19.5</v>
      </c>
      <c r="AV23" s="182">
        <v>26.125</v>
      </c>
      <c r="AW23" s="182">
        <v>4.5</v>
      </c>
      <c r="AX23" s="182">
        <v>4.5</v>
      </c>
      <c r="BB23" s="182">
        <v>12.9</v>
      </c>
      <c r="BE23" s="182">
        <v>2.3130000000000002</v>
      </c>
      <c r="BF23" s="182">
        <v>21.625</v>
      </c>
      <c r="BG23" s="182">
        <v>11.125</v>
      </c>
      <c r="BK23" s="182">
        <v>1.8</v>
      </c>
      <c r="BL23" s="182">
        <v>18.43</v>
      </c>
      <c r="BM23" s="7"/>
      <c r="BN23" s="15">
        <v>6</v>
      </c>
      <c r="BO23" s="1">
        <v>3.5</v>
      </c>
      <c r="BP23" s="1">
        <v>12.125</v>
      </c>
      <c r="BQ23" s="1">
        <v>13.125</v>
      </c>
      <c r="BR23" s="1">
        <v>3.375</v>
      </c>
      <c r="BS23" s="1">
        <v>12.125</v>
      </c>
      <c r="BT23" s="1">
        <v>8.375</v>
      </c>
      <c r="BU23" s="1">
        <v>3.375</v>
      </c>
      <c r="BV23" s="1">
        <v>3.3119999999999998</v>
      </c>
      <c r="BW23" s="1" t="str">
        <f>IF(Data!$B$3="h",IF(AND(Data!$B$4=BN23,BO23=$B$15),IF(OR(Data!$B$5="mp1",Data!$B$5="mp3"),BP23+$B$18,""),""),"")</f>
        <v/>
      </c>
      <c r="BX23" s="1" t="str">
        <f>IF(Data!$B$3="h",IF(AND(Data!$B$4=$BN23,$BO23=$B$15),IF(Data!$B$5="mp2",BQ23+$B$18,""),""),"")</f>
        <v/>
      </c>
      <c r="BY23" s="1" t="str">
        <f>IF(Data!$B$3="h",IF(AND(Data!$B$4=$BN23,$BO23=$B$15),IF(Data!$B$5="mt1",BR23,""),""),"")</f>
        <v/>
      </c>
      <c r="BZ23" s="1" t="str">
        <f>IF(Data!$B$3="h",IF(AND(Data!$B$4=$BN23,$BO23=$B$15),IF(Data!$B$5="mpu3",BS23+$B$18,""),""),"")</f>
        <v/>
      </c>
      <c r="CA23" s="1" t="str">
        <f>IF(Data!$B$3="h",IF(AND(Data!$B$4=$BN23,$BO23=$B$15),IF(Data!$B$5="mt2",BT23+$B$18,""),""),"")</f>
        <v/>
      </c>
      <c r="CB23" s="15" t="str">
        <f>IF(Data!$B$3="h",IF(AND(Data!$B$4=$BN23,$BO23=$B$15),IF(Data!$B$5="ms2",BU23,""),""),"")</f>
        <v/>
      </c>
      <c r="CC23" s="1" t="str">
        <f>IF(Data!$B$3="h",IF(AND(Data!$B$4=$BN23,$BO23=$B$15),IF(Data!$B$5="ms4",BV23,""),""),"")</f>
        <v/>
      </c>
    </row>
    <row r="24" spans="1:82" ht="21.75" customHeight="1">
      <c r="A24" s="317"/>
      <c r="B24" s="444"/>
      <c r="C24" s="577"/>
      <c r="D24" s="578"/>
      <c r="E24" s="578"/>
      <c r="F24" s="578"/>
      <c r="G24" s="579"/>
      <c r="H24" s="362">
        <v>4</v>
      </c>
      <c r="I24" s="356" t="s">
        <v>22062</v>
      </c>
      <c r="J24" s="359">
        <v>63</v>
      </c>
      <c r="K24" s="361">
        <v>830</v>
      </c>
      <c r="L24" s="360">
        <v>45</v>
      </c>
      <c r="M24" s="354"/>
      <c r="N24" s="7" t="str">
        <f t="shared" si="2"/>
        <v/>
      </c>
      <c r="O24" s="139" t="str">
        <f t="shared" si="3"/>
        <v/>
      </c>
      <c r="Q24" s="182">
        <v>8</v>
      </c>
      <c r="R24" s="182">
        <v>8</v>
      </c>
      <c r="S24" s="182">
        <v>4.25</v>
      </c>
      <c r="AA24" s="28"/>
      <c r="AB24" s="28"/>
      <c r="AC24" s="565"/>
      <c r="AD24" s="566"/>
      <c r="AE24" s="566"/>
      <c r="AF24" s="566"/>
      <c r="AG24" s="567"/>
      <c r="AI24" s="182" t="str">
        <f>IF(AND(OR(Data!B$3="H",Data!B$3="MH"),AJ24=$B$13),IF(Data!D$2=AK$11,AK24,AL24),"")</f>
        <v/>
      </c>
      <c r="AJ24" s="267">
        <v>16</v>
      </c>
      <c r="AK24" s="267">
        <v>24</v>
      </c>
      <c r="AL24" s="182">
        <v>3</v>
      </c>
      <c r="AM24" s="182">
        <v>19.25</v>
      </c>
      <c r="AN24" s="182">
        <v>5.875</v>
      </c>
      <c r="AO24" s="182">
        <v>5.875</v>
      </c>
      <c r="AP24" s="182">
        <v>18.125</v>
      </c>
      <c r="AQ24" s="182">
        <v>6</v>
      </c>
      <c r="AR24" s="182">
        <v>7</v>
      </c>
      <c r="AS24" s="182">
        <v>7</v>
      </c>
      <c r="BB24" s="182">
        <v>15.28</v>
      </c>
      <c r="BE24" s="182">
        <v>2.5630000000000002</v>
      </c>
      <c r="BF24" s="182">
        <v>24.25</v>
      </c>
      <c r="BG24" s="182">
        <v>12.625</v>
      </c>
      <c r="BK24" s="182">
        <v>1.8125</v>
      </c>
      <c r="BL24" s="182">
        <v>21.03</v>
      </c>
      <c r="BM24" s="7"/>
      <c r="BN24" s="15">
        <v>6</v>
      </c>
      <c r="BO24" s="1">
        <v>4</v>
      </c>
      <c r="BP24" s="1">
        <v>12.125</v>
      </c>
      <c r="BQ24" s="1">
        <v>13.125</v>
      </c>
      <c r="BR24" s="1">
        <v>3.375</v>
      </c>
      <c r="BS24" s="1">
        <v>12.125</v>
      </c>
      <c r="BT24" s="1">
        <v>8.375</v>
      </c>
      <c r="BU24" s="1">
        <v>3.375</v>
      </c>
      <c r="BV24" s="1">
        <v>3.3119999999999998</v>
      </c>
      <c r="BW24" s="1" t="str">
        <f>IF(Data!$B$3="h",IF(AND(Data!$B$4=BN24,BO24=$B$15),IF(OR(Data!$B$5="mp1",Data!$B$5="mp3"),BP24+$B$18,""),""),"")</f>
        <v/>
      </c>
      <c r="BX24" s="1" t="str">
        <f>IF(Data!$B$3="h",IF(AND(Data!$B$4=$BN24,$BO24=$B$15),IF(Data!$B$5="mp2",BQ24+$B$18,""),""),"")</f>
        <v/>
      </c>
      <c r="BY24" s="1" t="str">
        <f>IF(Data!$B$3="h",IF(AND(Data!$B$4=$BN24,$BO24=$B$15),IF(Data!$B$5="mt1",BR24,""),""),"")</f>
        <v/>
      </c>
      <c r="BZ24" s="1" t="str">
        <f>IF(Data!$B$3="h",IF(AND(Data!$B$4=$BN24,$BO24=$B$15),IF(Data!$B$5="mpu3",BS24+$B$18,""),""),"")</f>
        <v/>
      </c>
      <c r="CA24" s="1" t="str">
        <f>IF(Data!$B$3="h",IF(AND(Data!$B$4=$BN24,$BO24=$B$15),IF(Data!$B$5="mt2",BT24+$B$18,""),""),"")</f>
        <v/>
      </c>
      <c r="CB24" s="15" t="str">
        <f>IF(Data!$B$3="h",IF(AND(Data!$B$4=$BN24,$BO24=$B$15),IF(Data!$B$5="ms2",BU24,""),""),"")</f>
        <v/>
      </c>
      <c r="CC24" s="1" t="str">
        <f>IF(Data!$B$3="h",IF(AND(Data!$B$4=$BN24,$BO24=$B$15),IF(Data!$B$5="ms4",BV24,""),""),"")</f>
        <v/>
      </c>
    </row>
    <row r="25" spans="1:82" ht="18" customHeight="1">
      <c r="A25" s="442"/>
      <c r="B25" s="318"/>
      <c r="C25" s="577"/>
      <c r="D25" s="578"/>
      <c r="E25" s="578"/>
      <c r="F25" s="578"/>
      <c r="G25" s="579"/>
      <c r="H25" s="362">
        <v>1</v>
      </c>
      <c r="I25" s="356" t="s">
        <v>22055</v>
      </c>
      <c r="J25" s="359">
        <v>63</v>
      </c>
      <c r="K25" s="360">
        <v>380</v>
      </c>
      <c r="L25" s="360">
        <v>36</v>
      </c>
      <c r="M25" s="354"/>
      <c r="N25" s="7" t="str">
        <f t="shared" si="2"/>
        <v/>
      </c>
      <c r="O25" s="139" t="str">
        <f t="shared" si="3"/>
        <v/>
      </c>
      <c r="Q25" s="182">
        <v>10</v>
      </c>
      <c r="R25" s="182">
        <v>10</v>
      </c>
      <c r="S25" s="182">
        <v>4.5</v>
      </c>
      <c r="AA25" s="28"/>
      <c r="AB25" s="28"/>
      <c r="AC25" s="565"/>
      <c r="AD25" s="566"/>
      <c r="AE25" s="566"/>
      <c r="AF25" s="566"/>
      <c r="AG25" s="567"/>
      <c r="AI25" s="182" t="str">
        <f>IF(AND(OR(Data!B$3="H",Data!B$3="MH"),AJ25=$B$13),IF(Data!D$2=AK$11,AK25,AL25),"")</f>
        <v/>
      </c>
      <c r="AJ25" s="267">
        <v>18</v>
      </c>
      <c r="AK25" s="267">
        <v>24</v>
      </c>
      <c r="AL25" s="182">
        <v>3</v>
      </c>
      <c r="AM25" s="182">
        <v>22</v>
      </c>
      <c r="AN25" s="182">
        <v>6.875</v>
      </c>
      <c r="AO25" s="182">
        <v>6.875</v>
      </c>
      <c r="AP25" s="182">
        <v>21.125</v>
      </c>
      <c r="AQ25" s="182">
        <v>6.5</v>
      </c>
      <c r="AR25" s="182">
        <v>8</v>
      </c>
      <c r="AS25" s="182">
        <v>7.625</v>
      </c>
      <c r="BB25" s="182">
        <v>16.45</v>
      </c>
      <c r="BE25" s="182">
        <v>2.8130000000000002</v>
      </c>
      <c r="BF25" s="182">
        <v>27.5</v>
      </c>
      <c r="BG25" s="182">
        <v>14.625</v>
      </c>
      <c r="BK25" s="182">
        <v>2.0625</v>
      </c>
      <c r="BL25" s="182">
        <v>22.65</v>
      </c>
      <c r="BM25" s="7"/>
      <c r="BN25" s="1">
        <v>7</v>
      </c>
      <c r="BO25" s="1">
        <v>3</v>
      </c>
      <c r="BP25" s="1">
        <v>13.75</v>
      </c>
      <c r="BQ25" s="1">
        <v>14.75</v>
      </c>
      <c r="BR25" s="1">
        <v>3.625</v>
      </c>
      <c r="BT25" s="1">
        <v>9.375</v>
      </c>
      <c r="BU25" s="1">
        <v>3.625</v>
      </c>
      <c r="BV25" s="1">
        <v>3.8130000000000002</v>
      </c>
      <c r="BW25" s="1" t="str">
        <f>IF(Data!$B$3="h",IF(AND(Data!$B$4=BN25,BO25=$B$15),IF(OR(Data!$B$5="mp1",Data!$B$5="mp3"),BP25+$B$18,""),""),"")</f>
        <v/>
      </c>
      <c r="BX25" s="1" t="str">
        <f>IF(Data!$B$3="h",IF(AND(Data!$B$4=$BN25,$BO25=$B$15),IF(Data!$B$5="mp2",BQ25+$B$18,""),""),"")</f>
        <v/>
      </c>
      <c r="BY25" s="1" t="str">
        <f>IF(Data!$B$3="h",IF(AND(Data!$B$4=$BN25,$BO25=$B$15),IF(Data!$B$5="mt1",BR25,""),""),"")</f>
        <v/>
      </c>
      <c r="BZ25" s="1" t="str">
        <f>IF(Data!$B$3="h",IF(AND(Data!$B$4=$BN25,$BO25=$B$15),IF(Data!$B$5="mpu3",BS25+$B$18,""),""),"")</f>
        <v/>
      </c>
      <c r="CA25" s="1" t="str">
        <f>IF(Data!$B$3="h",IF(AND(Data!$B$4=$BN25,$BO25=$B$15),IF(Data!$B$5="mt2",BT25+$B$18,""),""),"")</f>
        <v/>
      </c>
      <c r="CB25" s="15" t="str">
        <f>IF(Data!$B$3="h",IF(AND(Data!$B$4=$BN25,$BO25=$B$15),IF(Data!$B$5="ms2",BU25,""),""),"")</f>
        <v/>
      </c>
      <c r="CC25" s="1" t="str">
        <f>IF(Data!$B$3="h",IF(AND(Data!$B$4=$BN25,$BO25=$B$15),IF(Data!$B$5="ms4",BV25,""),""),"")</f>
        <v/>
      </c>
    </row>
    <row r="26" spans="1:82" ht="15.5">
      <c r="A26" s="317"/>
      <c r="B26" s="318"/>
      <c r="C26" s="577"/>
      <c r="D26" s="578"/>
      <c r="E26" s="578"/>
      <c r="F26" s="578"/>
      <c r="G26" s="579"/>
      <c r="H26" s="362">
        <v>1</v>
      </c>
      <c r="I26" s="356" t="s">
        <v>22062</v>
      </c>
      <c r="J26" s="359">
        <v>63</v>
      </c>
      <c r="K26" s="360">
        <v>230</v>
      </c>
      <c r="L26" s="360">
        <v>45</v>
      </c>
      <c r="M26" s="354"/>
      <c r="N26" s="7" t="str">
        <f t="shared" si="2"/>
        <v/>
      </c>
      <c r="O26" s="139" t="str">
        <f t="shared" si="3"/>
        <v/>
      </c>
      <c r="AA26" s="28"/>
      <c r="AB26" s="28"/>
      <c r="AC26" s="565"/>
      <c r="AD26" s="566"/>
      <c r="AE26" s="566"/>
      <c r="AF26" s="566"/>
      <c r="AG26" s="567"/>
      <c r="AI26" s="182" t="str">
        <f>IF(AND(OR(Data!B$3="H",Data!B$3="MH"),AJ26=$B$13),IF(Data!D$2=AK$11,AK26,AL26),"")</f>
        <v/>
      </c>
      <c r="AJ26" s="267">
        <v>20</v>
      </c>
      <c r="AK26" s="267">
        <v>24</v>
      </c>
      <c r="AL26" s="182">
        <v>3</v>
      </c>
      <c r="AM26" s="182">
        <v>23.625</v>
      </c>
      <c r="AN26" s="182">
        <v>7.875</v>
      </c>
      <c r="AO26" s="182">
        <v>7.875</v>
      </c>
      <c r="AP26" s="182">
        <v>23.625</v>
      </c>
      <c r="AQ26" s="182">
        <v>7.5</v>
      </c>
      <c r="AR26" s="182">
        <v>9</v>
      </c>
      <c r="AS26" s="182">
        <v>8.75</v>
      </c>
      <c r="BB26" s="182">
        <v>18.07</v>
      </c>
      <c r="BE26" s="182">
        <v>3.0630000000000002</v>
      </c>
      <c r="BF26" s="182">
        <v>30.125</v>
      </c>
      <c r="BG26" s="182">
        <v>15.875</v>
      </c>
      <c r="BK26" s="182">
        <v>2.0625</v>
      </c>
      <c r="BL26" s="182">
        <v>24.87</v>
      </c>
      <c r="BM26" s="7"/>
      <c r="BN26" s="1">
        <v>7</v>
      </c>
      <c r="BO26" s="1">
        <v>3.5</v>
      </c>
      <c r="BP26" s="1">
        <v>13.75</v>
      </c>
      <c r="BQ26" s="1">
        <v>14.75</v>
      </c>
      <c r="BR26" s="1">
        <v>3.625</v>
      </c>
      <c r="BT26" s="1">
        <v>9.375</v>
      </c>
      <c r="BU26" s="1">
        <v>3.625</v>
      </c>
      <c r="BV26" s="1">
        <v>3.8130000000000002</v>
      </c>
      <c r="BW26" s="1" t="str">
        <f>IF(Data!$B$3="h",IF(AND(Data!$B$4=BN26,BO26=$B$15),IF(OR(Data!$B$5="mp1",Data!$B$5="mp3"),BP26+$B$18,""),""),"")</f>
        <v/>
      </c>
      <c r="BX26" s="1" t="str">
        <f>IF(Data!$B$3="h",IF(AND(Data!$B$4=$BN26,$BO26=$B$15),IF(Data!$B$5="mp2",BQ26+$B$18,""),""),"")</f>
        <v/>
      </c>
      <c r="BY26" s="1" t="str">
        <f>IF(Data!$B$3="h",IF(AND(Data!$B$4=$BN26,$BO26=$B$15),IF(Data!$B$5="mt1",BR26,""),""),"")</f>
        <v/>
      </c>
      <c r="BZ26" s="1" t="str">
        <f>IF(Data!$B$3="h",IF(AND(Data!$B$4=$BN26,$BO26=$B$15),IF(Data!$B$5="mpu3",BS26+$B$18,""),""),"")</f>
        <v/>
      </c>
      <c r="CA26" s="1" t="str">
        <f>IF(Data!$B$3="h",IF(AND(Data!$B$4=$BN26,$BO26=$B$15),IF(Data!$B$5="mt2",BT26+$B$18,""),""),"")</f>
        <v/>
      </c>
      <c r="CB26" s="15" t="str">
        <f>IF(Data!$B$3="h",IF(AND(Data!$B$4=$BN26,$BO26=$B$15),IF(Data!$B$5="ms2",BU26,""),""),"")</f>
        <v/>
      </c>
      <c r="CC26" s="1" t="str">
        <f>IF(Data!$B$3="h",IF(AND(Data!$B$4=$BN26,$BO26=$B$15),IF(Data!$B$5="ms4",BV26,""),""),"")</f>
        <v/>
      </c>
    </row>
    <row r="27" spans="1:82" ht="15.5">
      <c r="A27" s="442"/>
      <c r="B27" s="318"/>
      <c r="C27" s="577"/>
      <c r="D27" s="578"/>
      <c r="E27" s="578"/>
      <c r="F27" s="578"/>
      <c r="G27" s="579"/>
      <c r="H27" s="362">
        <v>2</v>
      </c>
      <c r="I27" s="356" t="s">
        <v>22055</v>
      </c>
      <c r="J27" s="359">
        <v>80</v>
      </c>
      <c r="K27" s="363">
        <v>485</v>
      </c>
      <c r="L27" s="363">
        <v>56</v>
      </c>
      <c r="M27" s="354"/>
      <c r="N27" s="7" t="str">
        <f t="shared" si="2"/>
        <v/>
      </c>
      <c r="O27" s="139" t="str">
        <f t="shared" si="3"/>
        <v/>
      </c>
      <c r="AA27" s="28"/>
      <c r="AB27" s="28"/>
      <c r="AC27" s="565"/>
      <c r="AD27" s="566"/>
      <c r="AE27" s="566"/>
      <c r="AF27" s="566"/>
      <c r="AG27" s="567"/>
      <c r="AJ27" s="267" t="s">
        <v>212</v>
      </c>
      <c r="BM27" s="7"/>
      <c r="BN27" s="1">
        <v>7</v>
      </c>
      <c r="BO27" s="1">
        <v>4</v>
      </c>
      <c r="BP27" s="1">
        <v>13.75</v>
      </c>
      <c r="BQ27" s="1">
        <v>14.75</v>
      </c>
      <c r="BR27" s="1">
        <v>3.625</v>
      </c>
      <c r="BT27" s="1">
        <v>9.375</v>
      </c>
      <c r="BU27" s="1">
        <v>3.625</v>
      </c>
      <c r="BV27" s="1">
        <v>3.8130000000000002</v>
      </c>
      <c r="BW27" s="1" t="str">
        <f>IF(Data!$B$3="h",IF(AND(Data!$B$4=BN27,BO27=$B$15),IF(OR(Data!$B$5="mp1",Data!$B$5="mp3"),BP27+$B$18,""),""),"")</f>
        <v/>
      </c>
      <c r="BX27" s="1" t="str">
        <f>IF(Data!$B$3="h",IF(AND(Data!$B$4=$BN27,$BO27=$B$15),IF(Data!$B$5="mp2",BQ27+$B$18,""),""),"")</f>
        <v/>
      </c>
      <c r="BY27" s="1" t="str">
        <f>IF(Data!$B$3="h",IF(AND(Data!$B$4=$BN27,$BO27=$B$15),IF(Data!$B$5="mt1",BR27,""),""),"")</f>
        <v/>
      </c>
      <c r="BZ27" s="1" t="str">
        <f>IF(Data!$B$3="h",IF(AND(Data!$B$4=$BN27,$BO27=$B$15),IF(Data!$B$5="mpu3",BS27+$B$18,""),""),"")</f>
        <v/>
      </c>
      <c r="CA27" s="1" t="str">
        <f>IF(Data!$B$3="h",IF(AND(Data!$B$4=$BN27,$BO27=$B$15),IF(Data!$B$5="mt2",BT27+$B$18,""),""),"")</f>
        <v/>
      </c>
      <c r="CB27" s="15" t="str">
        <f>IF(Data!$B$3="h",IF(AND(Data!$B$4=$BN27,$BO27=$B$15),IF(Data!$B$5="ms2",BU27,""),""),"")</f>
        <v/>
      </c>
      <c r="CC27" s="1" t="str">
        <f>IF(Data!$B$3="h",IF(AND(Data!$B$4=$BN27,$BO27=$B$15),IF(Data!$B$5="ms4",BV27,""),""),"")</f>
        <v/>
      </c>
    </row>
    <row r="28" spans="1:82" ht="16" thickBot="1">
      <c r="A28" s="442"/>
      <c r="B28" s="318"/>
      <c r="C28" s="577"/>
      <c r="D28" s="578"/>
      <c r="E28" s="578"/>
      <c r="F28" s="578"/>
      <c r="G28" s="579"/>
      <c r="H28" s="364">
        <v>3</v>
      </c>
      <c r="I28" s="368" t="s">
        <v>22061</v>
      </c>
      <c r="J28" s="359">
        <v>80</v>
      </c>
      <c r="K28" s="363">
        <v>15</v>
      </c>
      <c r="L28" s="363">
        <v>56</v>
      </c>
      <c r="M28" s="354"/>
      <c r="N28" s="7" t="str">
        <f t="shared" si="2"/>
        <v/>
      </c>
      <c r="O28" s="139" t="str">
        <f t="shared" si="3"/>
        <v/>
      </c>
      <c r="AA28" s="28"/>
      <c r="AB28" s="28"/>
      <c r="AC28" s="565"/>
      <c r="AD28" s="566"/>
      <c r="AE28" s="566"/>
      <c r="AF28" s="566"/>
      <c r="AG28" s="567"/>
      <c r="AJ28" s="267" t="s">
        <v>418</v>
      </c>
      <c r="AK28" s="267" t="s">
        <v>56</v>
      </c>
      <c r="AL28" s="182" t="s">
        <v>57</v>
      </c>
      <c r="AM28" s="182" t="s">
        <v>24</v>
      </c>
      <c r="AN28" s="182" t="s">
        <v>518</v>
      </c>
      <c r="AO28" s="182" t="s">
        <v>25</v>
      </c>
      <c r="AP28" s="182" t="s">
        <v>26</v>
      </c>
      <c r="AQ28" s="182" t="s">
        <v>27</v>
      </c>
      <c r="AR28" s="182" t="s">
        <v>28</v>
      </c>
      <c r="AS28" s="182" t="s">
        <v>586</v>
      </c>
      <c r="AT28" s="182" t="s">
        <v>29</v>
      </c>
      <c r="AU28" s="182" t="s">
        <v>30</v>
      </c>
      <c r="AV28" s="182" t="s">
        <v>31</v>
      </c>
      <c r="AW28" s="182" t="s">
        <v>32</v>
      </c>
      <c r="AX28" s="182" t="s">
        <v>33</v>
      </c>
      <c r="AY28" s="182" t="s">
        <v>58</v>
      </c>
      <c r="AZ28" s="182" t="s">
        <v>34</v>
      </c>
      <c r="BA28" s="182" t="s">
        <v>35</v>
      </c>
      <c r="BB28" s="182" t="s">
        <v>517</v>
      </c>
      <c r="BC28" s="182" t="s">
        <v>36</v>
      </c>
      <c r="BD28" s="182" t="s">
        <v>37</v>
      </c>
      <c r="BE28" s="182" t="s">
        <v>38</v>
      </c>
      <c r="BF28" s="182" t="s">
        <v>39</v>
      </c>
      <c r="BG28" s="182" t="s">
        <v>40</v>
      </c>
      <c r="BH28" s="182" t="s">
        <v>41</v>
      </c>
      <c r="BI28" s="182" t="s">
        <v>42</v>
      </c>
      <c r="BJ28" s="182" t="s">
        <v>43</v>
      </c>
      <c r="BK28" s="182" t="s">
        <v>44</v>
      </c>
      <c r="BL28" s="182" t="s">
        <v>45</v>
      </c>
      <c r="BM28" s="7"/>
      <c r="BN28" s="1">
        <v>7</v>
      </c>
      <c r="BO28" s="1">
        <v>4.5</v>
      </c>
      <c r="BP28" s="1">
        <v>13.75</v>
      </c>
      <c r="BQ28" s="1">
        <v>14.75</v>
      </c>
      <c r="BR28" s="1">
        <v>3.625</v>
      </c>
      <c r="BT28" s="1">
        <v>9.375</v>
      </c>
      <c r="BU28" s="1">
        <v>3.625</v>
      </c>
      <c r="BV28" s="1">
        <v>3.8130000000000002</v>
      </c>
      <c r="BW28" s="1" t="str">
        <f>IF(Data!$B$3="h",IF(AND(Data!$B$4=BN28,BO28=$B$15),IF(OR(Data!$B$5="mp1",Data!$B$5="mp3"),BP28+$B$18,""),""),"")</f>
        <v/>
      </c>
      <c r="BX28" s="1" t="str">
        <f>IF(Data!$B$3="h",IF(AND(Data!$B$4=$BN28,$BO28=$B$15),IF(Data!$B$5="mp2",BQ28+$B$18,""),""),"")</f>
        <v/>
      </c>
      <c r="BY28" s="1" t="str">
        <f>IF(Data!$B$3="h",IF(AND(Data!$B$4=$BN28,$BO28=$B$15),IF(Data!$B$5="mt1",BR28,""),""),"")</f>
        <v/>
      </c>
      <c r="BZ28" s="1" t="str">
        <f>IF(Data!$B$3="h",IF(AND(Data!$B$4=$BN28,$BO28=$B$15),IF(Data!$B$5="mpu3",BS28+$B$18,""),""),"")</f>
        <v/>
      </c>
      <c r="CA28" s="1" t="str">
        <f>IF(Data!$B$3="h",IF(AND(Data!$B$4=$BN28,$BO28=$B$15),IF(Data!$B$5="mt2",BT28+$B$18,""),""),"")</f>
        <v/>
      </c>
      <c r="CB28" s="15" t="str">
        <f>IF(Data!$B$3="h",IF(AND(Data!$B$4=$BN28,$BO28=$B$15),IF(Data!$B$5="ms2",BU28,""),""),"")</f>
        <v/>
      </c>
      <c r="CC28" s="1" t="str">
        <f>IF(Data!$B$3="h",IF(AND(Data!$B$4=$BN28,$BO28=$B$15),IF(Data!$B$5="ms4",BV28,""),""),"")</f>
        <v/>
      </c>
    </row>
    <row r="29" spans="1:82" ht="18" customHeight="1" thickTop="1">
      <c r="A29" s="317"/>
      <c r="B29" s="318"/>
      <c r="C29" s="526" t="str">
        <f>IF(B$13="","",CONCATENATE("E = ",IF(Data!B$3="h",VLOOKUP(Data!B$4,AJ$12:AM$26,4),VLOOKUP(Data!B$4,AJ$29:AM$40,4)),""""))</f>
        <v>E = 6.5"</v>
      </c>
      <c r="D29" s="527"/>
      <c r="E29" s="502" t="s">
        <v>64</v>
      </c>
      <c r="F29" s="502"/>
      <c r="G29" s="503"/>
      <c r="H29" s="364">
        <v>2</v>
      </c>
      <c r="I29" s="368" t="s">
        <v>22062</v>
      </c>
      <c r="J29" s="359">
        <v>80</v>
      </c>
      <c r="K29" s="363">
        <v>180</v>
      </c>
      <c r="L29" s="363">
        <v>56</v>
      </c>
      <c r="M29" s="354"/>
      <c r="N29" s="7" t="str">
        <f t="shared" si="2"/>
        <v/>
      </c>
      <c r="O29" s="139" t="str">
        <f t="shared" si="3"/>
        <v/>
      </c>
      <c r="AA29" s="28"/>
      <c r="AB29" s="28"/>
      <c r="AC29" s="590" t="str">
        <f>IF(AB$13="","",CONCATENATE("E = ",IF(Data!AB$3="h",VLOOKUP(Data!AB$4,BJ$12:BM$26,4),VLOOKUP(Data!AB$4,BJ$29:BM$40,4)),""""))</f>
        <v/>
      </c>
      <c r="AD29" s="591"/>
      <c r="AE29" s="586" t="s">
        <v>64</v>
      </c>
      <c r="AF29" s="586"/>
      <c r="AG29" s="587"/>
      <c r="AI29" s="182" t="str">
        <f>IF(AND(OR(Data!B$3="LH",Data!B$3="A",Data!B$3="VA"),AJ29=$B$13),IF(OR(Data!D$2=AL$11,Data!D$2=AL$10),AK29,AL29),"")</f>
        <v/>
      </c>
      <c r="AJ29" s="267">
        <v>1.5</v>
      </c>
      <c r="AK29" s="267">
        <v>0.375</v>
      </c>
      <c r="AL29" s="182">
        <v>6</v>
      </c>
      <c r="AM29" s="182">
        <v>2</v>
      </c>
      <c r="AN29" s="182">
        <v>1.5</v>
      </c>
      <c r="AO29" s="182">
        <v>1</v>
      </c>
      <c r="AP29" s="182">
        <v>3.625</v>
      </c>
      <c r="AQ29" s="182">
        <v>0.5</v>
      </c>
      <c r="AR29" s="182">
        <v>0.75</v>
      </c>
      <c r="AS29" s="182">
        <v>0.75</v>
      </c>
      <c r="AT29" s="182">
        <v>4.5</v>
      </c>
      <c r="AU29" s="182">
        <v>2.5</v>
      </c>
      <c r="AV29" s="182">
        <v>4</v>
      </c>
      <c r="AW29" s="182">
        <v>1</v>
      </c>
      <c r="AX29" s="182">
        <v>1</v>
      </c>
      <c r="AY29" s="182">
        <v>0.375</v>
      </c>
      <c r="AZ29" s="182" t="s">
        <v>59</v>
      </c>
      <c r="BA29" s="182">
        <v>1</v>
      </c>
      <c r="BB29" s="182">
        <v>1.43</v>
      </c>
      <c r="BC29" s="182">
        <v>0.44</v>
      </c>
      <c r="BD29" s="182">
        <v>0.81</v>
      </c>
      <c r="BE29" s="182">
        <v>0.437</v>
      </c>
      <c r="BF29" s="182">
        <v>2.75</v>
      </c>
      <c r="BG29" s="182">
        <v>2.875</v>
      </c>
      <c r="BH29" s="182" t="s">
        <v>60</v>
      </c>
      <c r="BI29" s="182">
        <v>0.625</v>
      </c>
      <c r="BJ29" s="182">
        <v>2.25</v>
      </c>
      <c r="BK29" s="182">
        <v>0.56200000000000006</v>
      </c>
      <c r="BL29" s="182">
        <v>2.75</v>
      </c>
      <c r="BM29" s="7"/>
      <c r="BN29" s="1">
        <v>7</v>
      </c>
      <c r="BO29" s="1">
        <v>5</v>
      </c>
      <c r="BP29" s="1">
        <v>13.75</v>
      </c>
      <c r="BQ29" s="1">
        <v>14.75</v>
      </c>
      <c r="BR29" s="1">
        <v>3.625</v>
      </c>
      <c r="BT29" s="1">
        <v>9.375</v>
      </c>
      <c r="BU29" s="1">
        <v>3.625</v>
      </c>
      <c r="BV29" s="1">
        <v>3.8130000000000002</v>
      </c>
      <c r="BW29" s="1" t="str">
        <f>IF(Data!$B$3="h",IF(AND(Data!$B$4=BN29,BO29=$B$15),IF(OR(Data!$B$5="mp1",Data!$B$5="mp3"),BP29+$B$18,""),""),"")</f>
        <v/>
      </c>
      <c r="BX29" s="1" t="str">
        <f>IF(Data!$B$3="h",IF(AND(Data!$B$4=$BN29,$BO29=$B$15),IF(Data!$B$5="mp2",BQ29+$B$18,""),""),"")</f>
        <v/>
      </c>
      <c r="BY29" s="1" t="str">
        <f>IF(Data!$B$3="h",IF(AND(Data!$B$4=$BN29,$BO29=$B$15),IF(Data!$B$5="mt1",BR29,""),""),"")</f>
        <v/>
      </c>
      <c r="BZ29" s="1" t="str">
        <f>IF(Data!$B$3="h",IF(AND(Data!$B$4=$BN29,$BO29=$B$15),IF(Data!$B$5="mpu3",BS29+$B$18,""),""),"")</f>
        <v/>
      </c>
      <c r="CA29" s="1" t="str">
        <f>IF(Data!$B$3="h",IF(AND(Data!$B$4=$BN29,$BO29=$B$15),IF(Data!$B$5="mt2",BT29+$B$18,""),""),"")</f>
        <v/>
      </c>
      <c r="CB29" s="15" t="str">
        <f>IF(Data!$B$3="h",IF(AND(Data!$B$4=$BN29,$BO29=$B$15),IF(Data!$B$5="ms2",BU29,""),""),"")</f>
        <v/>
      </c>
      <c r="CC29" s="1" t="str">
        <f>IF(Data!$B$3="h",IF(AND(Data!$B$4=$BN29,$BO29=$B$15),IF(Data!$B$5="ms4",BV29,""),""),"")</f>
        <v/>
      </c>
    </row>
    <row r="30" spans="1:82" ht="18" customHeight="1">
      <c r="A30" s="317"/>
      <c r="B30" s="318"/>
      <c r="C30" s="510" t="str">
        <f>IF(B$13="","",CONCATENATE("G = ",IF(Data!B$3="h",VLOOKUP(Data!B$4,AJ$12:AN$26,5),VLOOKUP(Data!B$4,AJ$29:AN$40,5)),""""))</f>
        <v>G = 2"</v>
      </c>
      <c r="D30" s="511"/>
      <c r="E30" s="504"/>
      <c r="F30" s="504"/>
      <c r="G30" s="505"/>
      <c r="H30" s="364">
        <v>1</v>
      </c>
      <c r="I30" s="368" t="s">
        <v>22055</v>
      </c>
      <c r="J30" s="356">
        <v>80</v>
      </c>
      <c r="K30" s="366">
        <v>100</v>
      </c>
      <c r="L30" s="367">
        <v>56</v>
      </c>
      <c r="M30" s="5"/>
      <c r="N30" s="7" t="str">
        <f t="shared" si="2"/>
        <v/>
      </c>
      <c r="O30" s="139" t="str">
        <f t="shared" si="3"/>
        <v/>
      </c>
      <c r="AA30" s="28"/>
      <c r="AB30" s="28"/>
      <c r="AC30" s="582" t="str">
        <f>IF(AB$13="","",CONCATENATE("G = ",IF(Data!AB$3="h",VLOOKUP(Data!AB$4,BJ$12:BN$26,5),VLOOKUP(Data!AB$4,BJ$29:BN$40,5)),""""))</f>
        <v/>
      </c>
      <c r="AD30" s="583"/>
      <c r="AE30" s="586"/>
      <c r="AF30" s="586"/>
      <c r="AG30" s="587"/>
      <c r="AI30" s="182" t="str">
        <f>IF(AND(OR(Data!B$3="LH",Data!B$3="A",Data!B$3="VA"),AJ30=$B$13),IF(OR(Data!D$2=AL$11,Data!D$2=AL$10),AK30,AL30),"")</f>
        <v/>
      </c>
      <c r="AJ30" s="267">
        <v>2</v>
      </c>
      <c r="AK30" s="267">
        <v>0.375</v>
      </c>
      <c r="AL30" s="182">
        <v>6</v>
      </c>
      <c r="AM30" s="182">
        <v>2.5</v>
      </c>
      <c r="AN30" s="182">
        <v>1.5</v>
      </c>
      <c r="AO30" s="182">
        <v>1</v>
      </c>
      <c r="AP30" s="182">
        <v>3.625</v>
      </c>
      <c r="AQ30" s="182">
        <v>0.5</v>
      </c>
      <c r="AR30" s="182">
        <v>0.75</v>
      </c>
      <c r="AS30" s="182">
        <v>0.75</v>
      </c>
      <c r="AT30" s="182">
        <v>5</v>
      </c>
      <c r="AU30" s="182">
        <v>3</v>
      </c>
      <c r="AV30" s="182">
        <v>4.5</v>
      </c>
      <c r="AW30" s="182">
        <v>1</v>
      </c>
      <c r="AX30" s="182">
        <v>1</v>
      </c>
      <c r="AY30" s="182">
        <v>0.375</v>
      </c>
      <c r="AZ30" s="182" t="s">
        <v>61</v>
      </c>
      <c r="BA30" s="182">
        <v>1.125</v>
      </c>
      <c r="BB30" s="182">
        <v>1.84</v>
      </c>
      <c r="BC30" s="182">
        <v>0.44</v>
      </c>
      <c r="BD30" s="182">
        <v>0.81</v>
      </c>
      <c r="BE30" s="182">
        <v>0.437</v>
      </c>
      <c r="BF30" s="182">
        <v>3.25</v>
      </c>
      <c r="BG30" s="182">
        <v>2.875</v>
      </c>
      <c r="BH30" s="182" t="s">
        <v>62</v>
      </c>
      <c r="BI30" s="182">
        <v>0.875</v>
      </c>
      <c r="BJ30" s="182">
        <v>2.25</v>
      </c>
      <c r="BK30" s="182">
        <v>0.375</v>
      </c>
      <c r="BL30" s="182">
        <v>3.375</v>
      </c>
      <c r="BM30" s="7"/>
      <c r="BN30" s="1">
        <v>8</v>
      </c>
      <c r="BO30" s="1">
        <v>3.5</v>
      </c>
      <c r="BP30" s="1">
        <v>15</v>
      </c>
      <c r="BQ30" s="1">
        <v>16</v>
      </c>
      <c r="BR30" s="1">
        <v>3.75</v>
      </c>
      <c r="BT30" s="1">
        <v>10.25</v>
      </c>
      <c r="BU30" s="1">
        <v>3.625</v>
      </c>
      <c r="BV30" s="1">
        <v>3.9369999999999998</v>
      </c>
      <c r="BW30" s="1" t="str">
        <f>IF(Data!$B$3="h",IF(AND(Data!$B$4=BN30,BO30=$B$15),IF(OR(Data!$B$5="mp1",Data!$B$5="mp3"),BP30+$B$18,""),""),"")</f>
        <v/>
      </c>
      <c r="BX30" s="1" t="str">
        <f>IF(Data!$B$3="h",IF(AND(Data!$B$4=$BN30,$BO30=$B$15),IF(Data!$B$5="mp2",BQ30+$B$18,""),""),"")</f>
        <v/>
      </c>
      <c r="BY30" s="1" t="str">
        <f>IF(Data!$B$3="h",IF(AND(Data!$B$4=$BN30,$BO30=$B$15),IF(Data!$B$5="mt1",BR30,""),""),"")</f>
        <v/>
      </c>
      <c r="BZ30" s="1" t="str">
        <f>IF(Data!$B$3="h",IF(AND(Data!$B$4=$BN30,$BO30=$B$15),IF(Data!$B$5="mpu3",BS30+$B$18,""),""),"")</f>
        <v/>
      </c>
      <c r="CA30" s="1" t="str">
        <f>IF(Data!$B$3="h",IF(AND(Data!$B$4=$BN30,$BO30=$B$15),IF(Data!$B$5="mt2",BT30+$B$18,""),""),"")</f>
        <v/>
      </c>
      <c r="CB30" s="15" t="str">
        <f>IF(Data!$B$3="h",IF(AND(Data!$B$4=$BN30,$BO30=$B$15),IF(Data!$B$5="ms2",BU30,""),""),"")</f>
        <v/>
      </c>
      <c r="CC30" s="1" t="str">
        <f>IF(Data!$B$3="h",IF(AND(Data!$B$4=$BN30,$BO30=$B$15),IF(Data!$B$5="ms4",BV30,""),""),"")</f>
        <v/>
      </c>
    </row>
    <row r="31" spans="1:82" ht="18" customHeight="1">
      <c r="A31" s="315" t="s">
        <v>19247</v>
      </c>
      <c r="B31" s="439" t="s">
        <v>261</v>
      </c>
      <c r="C31" s="510" t="str">
        <f>IF(B$13="","",CONCATENATE("J = ",IF(Data!B$3="h",VLOOKUP(Data!B$4,AJ$12:AO$26,6),VLOOKUP(Data!B$4,AJ$29:AO$40,6)),""""))</f>
        <v>J = 1.75"</v>
      </c>
      <c r="D31" s="511"/>
      <c r="E31" s="504"/>
      <c r="F31" s="504"/>
      <c r="G31" s="505"/>
      <c r="H31" s="369">
        <v>4</v>
      </c>
      <c r="I31" s="368" t="s">
        <v>22061</v>
      </c>
      <c r="J31" s="356">
        <v>100</v>
      </c>
      <c r="K31" s="366">
        <v>30</v>
      </c>
      <c r="L31" s="367">
        <v>56</v>
      </c>
      <c r="M31" s="5"/>
      <c r="N31" s="7" t="str">
        <f t="shared" si="2"/>
        <v/>
      </c>
      <c r="O31" s="139" t="str">
        <f t="shared" si="3"/>
        <v/>
      </c>
      <c r="AA31" s="24" t="s">
        <v>19247</v>
      </c>
      <c r="AB31" s="255" t="s">
        <v>261</v>
      </c>
      <c r="AC31" s="582" t="str">
        <f>IF(AB$13="","",CONCATENATE("J = ",IF(Data!AB$3="h",VLOOKUP(Data!AB$4,BJ$12:BO$26,6),VLOOKUP(Data!AB$4,BJ$29:BO$40,6)),""""))</f>
        <v/>
      </c>
      <c r="AD31" s="583"/>
      <c r="AE31" s="586"/>
      <c r="AF31" s="586"/>
      <c r="AG31" s="587"/>
      <c r="AI31" s="182" t="str">
        <f>IF(AND(OR(Data!B$3="LH",Data!B$3="A",Data!B$3="VA"),AJ31=$B$13),IF(OR(Data!D$2=AL$11,Data!D$2=AL$10),AK31,AL31),"")</f>
        <v/>
      </c>
      <c r="AJ31" s="267">
        <v>2.5</v>
      </c>
      <c r="AK31" s="267">
        <v>0.375</v>
      </c>
      <c r="AL31" s="182">
        <v>6</v>
      </c>
      <c r="AM31" s="182">
        <v>3</v>
      </c>
      <c r="AN31" s="182">
        <v>1.5</v>
      </c>
      <c r="AO31" s="182">
        <v>1</v>
      </c>
      <c r="AP31" s="182">
        <v>3.75</v>
      </c>
      <c r="AQ31" s="182">
        <v>0.5</v>
      </c>
      <c r="AR31" s="182">
        <v>0.75</v>
      </c>
      <c r="AS31" s="182">
        <v>0.75</v>
      </c>
      <c r="AT31" s="182">
        <v>5.5</v>
      </c>
      <c r="AU31" s="182">
        <v>3.5</v>
      </c>
      <c r="AV31" s="182">
        <v>5</v>
      </c>
      <c r="AW31" s="182">
        <v>1</v>
      </c>
      <c r="AX31" s="182">
        <v>1</v>
      </c>
      <c r="AY31" s="182">
        <v>0.375</v>
      </c>
      <c r="AZ31" s="182" t="s">
        <v>61</v>
      </c>
      <c r="BA31" s="182">
        <v>1.125</v>
      </c>
      <c r="BB31" s="182">
        <v>2.19</v>
      </c>
      <c r="BC31" s="182">
        <v>0.44</v>
      </c>
      <c r="BD31" s="182">
        <v>0.81</v>
      </c>
      <c r="BE31" s="182">
        <v>0.437</v>
      </c>
      <c r="BF31" s="182">
        <v>3.75</v>
      </c>
      <c r="BG31" s="182">
        <v>3</v>
      </c>
      <c r="BH31" s="182" t="s">
        <v>47</v>
      </c>
      <c r="BI31" s="182">
        <v>1.25</v>
      </c>
      <c r="BJ31" s="182">
        <v>2.375</v>
      </c>
      <c r="BK31" s="182">
        <v>0.375</v>
      </c>
      <c r="BL31" s="182">
        <v>3.875</v>
      </c>
      <c r="BM31" s="7"/>
      <c r="BN31" s="1">
        <v>8</v>
      </c>
      <c r="BO31" s="1">
        <v>4</v>
      </c>
      <c r="BP31" s="1">
        <v>15</v>
      </c>
      <c r="BQ31" s="1">
        <v>16</v>
      </c>
      <c r="BR31" s="1">
        <v>3.75</v>
      </c>
      <c r="BT31" s="1">
        <v>10.25</v>
      </c>
      <c r="BU31" s="1">
        <v>3.625</v>
      </c>
      <c r="BV31" s="1">
        <v>3.9369999999999998</v>
      </c>
      <c r="BW31" s="1" t="str">
        <f>IF(Data!$B$3="h",IF(AND(Data!$B$4=BN31,BO31=$B$15),IF(OR(Data!$B$5="mp1",Data!$B$5="mp3"),BP31+$B$18,""),""),"")</f>
        <v/>
      </c>
      <c r="BX31" s="1" t="str">
        <f>IF(Data!$B$3="h",IF(AND(Data!$B$4=$BN31,$BO31=$B$15),IF(Data!$B$5="mp2",BQ31+$B$18,""),""),"")</f>
        <v/>
      </c>
      <c r="BY31" s="1" t="str">
        <f>IF(Data!$B$3="h",IF(AND(Data!$B$4=$BN31,$BO31=$B$15),IF(Data!$B$5="mt1",BR31,""),""),"")</f>
        <v/>
      </c>
      <c r="BZ31" s="1" t="str">
        <f>IF(Data!$B$3="h",IF(AND(Data!$B$4=$BN31,$BO31=$B$15),IF(Data!$B$5="mpu3",BS31+$B$18,""),""),"")</f>
        <v/>
      </c>
      <c r="CA31" s="1" t="str">
        <f>IF(Data!$B$3="h",IF(AND(Data!$B$4=$BN31,$BO31=$B$15),IF(Data!$B$5="mt2",BT31+$B$18,""),""),"")</f>
        <v/>
      </c>
      <c r="CB31" s="15" t="str">
        <f>IF(Data!$B$3="h",IF(AND(Data!$B$4=$BN31,$BO31=$B$15),IF(Data!$B$5="ms2",BU31,""),""),"")</f>
        <v/>
      </c>
      <c r="CC31" s="1" t="str">
        <f>IF(Data!$B$3="h",IF(AND(Data!$B$4=$BN31,$BO31=$B$15),IF(Data!$B$5="ms4",BV31,""),""),"")</f>
        <v/>
      </c>
    </row>
    <row r="32" spans="1:82" ht="18" customHeight="1">
      <c r="A32" s="496"/>
      <c r="B32" s="497"/>
      <c r="C32" s="510" t="str">
        <f>IF(B$13="","",CONCATENATE("LB = ",IF(Data!B$3="h",VLOOKUP(Data!B$4,AJ$12:AP$26,7)+B18,IF(OR(Data!B$3="lh",Data!B$3="a"),VLOOKUP(Data!B$4,AJ$29:AP$40,7)+B18)),""""))</f>
        <v>LB = 18.25"</v>
      </c>
      <c r="D32" s="511"/>
      <c r="E32" s="504"/>
      <c r="F32" s="504"/>
      <c r="G32" s="505"/>
      <c r="H32" s="364">
        <v>1</v>
      </c>
      <c r="I32" s="368" t="s">
        <v>22062</v>
      </c>
      <c r="J32" s="356">
        <v>100</v>
      </c>
      <c r="K32" s="366">
        <v>500</v>
      </c>
      <c r="L32" s="367">
        <v>56</v>
      </c>
      <c r="M32" s="5"/>
      <c r="N32" s="7" t="str">
        <f t="shared" si="2"/>
        <v/>
      </c>
      <c r="O32" s="139" t="str">
        <f t="shared" si="3"/>
        <v/>
      </c>
      <c r="AA32" s="514"/>
      <c r="AB32" s="515"/>
      <c r="AC32" s="582" t="str">
        <f>IF(AB$13="","",CONCATENATE("LB = ",IF(Data!AB$3="h",VLOOKUP(Data!AB$4,BJ$12:BP$26,7)+AB18,IF(OR(Data!AB$3="lh",Data!AB$3="a"),VLOOKUP(Data!AB$4,BJ$29:BP$40,7)+AB18)),""""))</f>
        <v/>
      </c>
      <c r="AD32" s="583"/>
      <c r="AE32" s="586"/>
      <c r="AF32" s="586"/>
      <c r="AG32" s="587"/>
      <c r="AI32" s="182" t="str">
        <f>IF(AND(OR(Data!B$3="LH",Data!B$3="A",Data!B$3="VA"),AJ32=$B$13),IF(OR(Data!D$2=AL$11,Data!D$2=AL$10),AK32,AL32),"")</f>
        <v/>
      </c>
      <c r="AJ32" s="267">
        <v>3.25</v>
      </c>
      <c r="AK32" s="267">
        <v>0.5</v>
      </c>
      <c r="AL32" s="182">
        <v>8</v>
      </c>
      <c r="AM32" s="182">
        <v>3.75</v>
      </c>
      <c r="AN32" s="182">
        <v>1.75</v>
      </c>
      <c r="AO32" s="182">
        <v>1.25</v>
      </c>
      <c r="AP32" s="182">
        <v>4.25</v>
      </c>
      <c r="AQ32" s="182">
        <v>0.75</v>
      </c>
      <c r="AR32" s="182">
        <v>1.25</v>
      </c>
      <c r="AS32" s="182">
        <v>1.25</v>
      </c>
      <c r="AT32" s="182">
        <v>6.5</v>
      </c>
      <c r="AU32" s="182">
        <v>4.5</v>
      </c>
      <c r="AV32" s="182">
        <v>5.75</v>
      </c>
      <c r="AW32" s="182">
        <v>1</v>
      </c>
      <c r="AX32" s="182">
        <v>1</v>
      </c>
      <c r="AY32" s="182">
        <v>0.625</v>
      </c>
      <c r="AZ32" s="182" t="s">
        <v>46</v>
      </c>
      <c r="BA32" s="182">
        <v>1.375</v>
      </c>
      <c r="BB32" s="182">
        <v>2.76</v>
      </c>
      <c r="BC32" s="182">
        <v>0.66</v>
      </c>
      <c r="BD32" s="182">
        <v>1.19</v>
      </c>
      <c r="BE32" s="182">
        <v>0.56200000000000006</v>
      </c>
      <c r="BF32" s="182">
        <v>4.75</v>
      </c>
      <c r="BG32" s="182">
        <v>3.25</v>
      </c>
      <c r="BH32" s="182" t="s">
        <v>48</v>
      </c>
      <c r="BI32" s="182">
        <v>1.5</v>
      </c>
      <c r="BJ32" s="182">
        <v>2.625</v>
      </c>
      <c r="BK32" s="182">
        <v>0.437</v>
      </c>
      <c r="BL32" s="182">
        <v>4.6879999999999997</v>
      </c>
      <c r="BM32" s="7"/>
      <c r="BN32" s="1">
        <v>8</v>
      </c>
      <c r="BO32" s="1">
        <v>4.5</v>
      </c>
      <c r="BP32" s="1">
        <v>15</v>
      </c>
      <c r="BQ32" s="1">
        <v>16</v>
      </c>
      <c r="BR32" s="1">
        <v>3.75</v>
      </c>
      <c r="BT32" s="1">
        <v>10.25</v>
      </c>
      <c r="BU32" s="1">
        <v>3.625</v>
      </c>
      <c r="BV32" s="1">
        <v>3.9369999999999998</v>
      </c>
      <c r="BW32" s="1" t="str">
        <f>IF(Data!$B$3="h",IF(AND(Data!$B$4=BN32,BO32=$B$15),IF(OR(Data!$B$5="mp1",Data!$B$5="mp3"),BP32+$B$18,""),""),"")</f>
        <v/>
      </c>
      <c r="BX32" s="1" t="str">
        <f>IF(Data!$B$3="h",IF(AND(Data!$B$4=$BN32,$BO32=$B$15),IF(Data!$B$5="mp2",BQ32+$B$18,""),""),"")</f>
        <v/>
      </c>
      <c r="BY32" s="1" t="str">
        <f>IF(Data!$B$3="h",IF(AND(Data!$B$4=$BN32,$BO32=$B$15),IF(Data!$B$5="mt1",BR32,""),""),"")</f>
        <v/>
      </c>
      <c r="BZ32" s="1" t="str">
        <f>IF(Data!$B$3="h",IF(AND(Data!$B$4=$BN32,$BO32=$B$15),IF(Data!$B$5="mpu3",BS32+$B$18,""),""),"")</f>
        <v/>
      </c>
      <c r="CA32" s="1" t="str">
        <f>IF(Data!$B$3="h",IF(AND(Data!$B$4=$BN32,$BO32=$B$15),IF(Data!$B$5="mt2",BT32+$B$18,""),""),"")</f>
        <v/>
      </c>
      <c r="CB32" s="15" t="str">
        <f>IF(Data!$B$3="h",IF(AND(Data!$B$4=$BN32,$BO32=$B$15),IF(Data!$B$5="ms2",BU32,""),""),"")</f>
        <v/>
      </c>
      <c r="CC32" s="1" t="str">
        <f>IF(Data!$B$3="h",IF(AND(Data!$B$4=$BN32,$BO32=$B$15),IF(Data!$B$5="ms4",BV32,""),""),"")</f>
        <v/>
      </c>
    </row>
    <row r="33" spans="1:81" ht="18" customHeight="1">
      <c r="A33" s="498"/>
      <c r="B33" s="499"/>
      <c r="C33" s="510" t="str">
        <f>AJ8</f>
        <v>TF = 8.19"</v>
      </c>
      <c r="D33" s="511"/>
      <c r="E33" s="504"/>
      <c r="F33" s="504"/>
      <c r="G33" s="505"/>
      <c r="H33" s="365"/>
      <c r="I33" s="356"/>
      <c r="J33" s="356"/>
      <c r="K33" s="366"/>
      <c r="L33" s="367"/>
      <c r="M33" s="5"/>
      <c r="N33" s="7" t="str">
        <f t="shared" si="2"/>
        <v/>
      </c>
      <c r="O33" s="139" t="str">
        <f t="shared" si="3"/>
        <v/>
      </c>
      <c r="AA33" s="516"/>
      <c r="AB33" s="517"/>
      <c r="AC33" s="582">
        <f>BJ8</f>
        <v>0</v>
      </c>
      <c r="AD33" s="583"/>
      <c r="AE33" s="586"/>
      <c r="AF33" s="586"/>
      <c r="AG33" s="587"/>
      <c r="AI33" s="182" t="str">
        <f>IF(AND(OR(Data!B$3="LH",Data!B$3="A",Data!B$3="VA"),AJ33=$B$13),IF(OR(Data!D$2=AL$11,Data!D$2=AL$10),AK33,AL33),"")</f>
        <v/>
      </c>
      <c r="AJ33" s="267">
        <v>4</v>
      </c>
      <c r="AK33" s="267">
        <v>0.5</v>
      </c>
      <c r="AL33" s="182">
        <v>8</v>
      </c>
      <c r="AM33" s="182">
        <v>4.5</v>
      </c>
      <c r="AN33" s="182">
        <v>1.75</v>
      </c>
      <c r="AO33" s="182">
        <v>1.25</v>
      </c>
      <c r="AP33" s="182">
        <v>4.25</v>
      </c>
      <c r="AQ33" s="182">
        <v>0.75</v>
      </c>
      <c r="AR33" s="182">
        <v>1.25</v>
      </c>
      <c r="AS33" s="182">
        <v>1.25</v>
      </c>
      <c r="AT33" s="182">
        <v>7.25</v>
      </c>
      <c r="AU33" s="182">
        <v>5.25</v>
      </c>
      <c r="AV33" s="182">
        <v>6.5</v>
      </c>
      <c r="AW33" s="182">
        <v>1</v>
      </c>
      <c r="AX33" s="182">
        <v>1</v>
      </c>
      <c r="AY33" s="182">
        <v>0.625</v>
      </c>
      <c r="AZ33" s="182" t="s">
        <v>46</v>
      </c>
      <c r="BA33" s="182">
        <v>1.375</v>
      </c>
      <c r="BB33" s="182">
        <v>3.32</v>
      </c>
      <c r="BC33" s="182">
        <v>0.66</v>
      </c>
      <c r="BD33" s="182">
        <v>1.19</v>
      </c>
      <c r="BE33" s="182">
        <v>0.56200000000000006</v>
      </c>
      <c r="BF33" s="182">
        <v>5.5</v>
      </c>
      <c r="BG33" s="182">
        <v>3.25</v>
      </c>
      <c r="BH33" s="182" t="s">
        <v>48</v>
      </c>
      <c r="BI33" s="182">
        <v>2.0619999999999998</v>
      </c>
      <c r="BJ33" s="182">
        <v>2.625</v>
      </c>
      <c r="BK33" s="182">
        <v>0.437</v>
      </c>
      <c r="BL33" s="182">
        <v>5.4370000000000003</v>
      </c>
      <c r="BM33" s="7"/>
      <c r="BN33" s="1">
        <v>8</v>
      </c>
      <c r="BO33" s="1">
        <v>5</v>
      </c>
      <c r="BP33" s="1">
        <v>15</v>
      </c>
      <c r="BQ33" s="1">
        <v>16</v>
      </c>
      <c r="BR33" s="1">
        <v>3.75</v>
      </c>
      <c r="BT33" s="1">
        <v>10.25</v>
      </c>
      <c r="BU33" s="1">
        <v>3.625</v>
      </c>
      <c r="BV33" s="1">
        <v>3.9369999999999998</v>
      </c>
      <c r="BW33" s="1" t="str">
        <f>IF(Data!$B$3="h",IF(AND(Data!$B$4=BN33,BO33=$B$15),IF(OR(Data!$B$5="mp1",Data!$B$5="mp3"),BP33+$B$18,""),""),"")</f>
        <v/>
      </c>
      <c r="BX33" s="1" t="str">
        <f>IF(Data!$B$3="h",IF(AND(Data!$B$4=$BN33,$BO33=$B$15),IF(Data!$B$5="mp2",BQ33+$B$18,""),""),"")</f>
        <v/>
      </c>
      <c r="BY33" s="1" t="str">
        <f>IF(Data!$B$3="h",IF(AND(Data!$B$4=$BN33,$BO33=$B$15),IF(Data!$B$5="mt1",BR33,""),""),"")</f>
        <v/>
      </c>
      <c r="BZ33" s="1" t="str">
        <f>IF(Data!$B$3="h",IF(AND(Data!$B$4=$BN33,$BO33=$B$15),IF(Data!$B$5="mpu3",BS33+$B$18,""),""),"")</f>
        <v/>
      </c>
      <c r="CA33" s="1" t="str">
        <f>IF(Data!$B$3="h",IF(AND(Data!$B$4=$BN33,$BO33=$B$15),IF(Data!$B$5="mt2",BT33+$B$18,""),""),"")</f>
        <v/>
      </c>
      <c r="CB33" s="15" t="str">
        <f>IF(Data!$B$3="h",IF(AND(Data!$B$4=$BN33,$BO33=$B$15),IF(Data!$B$5="ms2",BU33,""),""),"")</f>
        <v/>
      </c>
      <c r="CC33" s="1" t="str">
        <f>IF(Data!$B$3="h",IF(AND(Data!$B$4=$BN33,$BO33=$B$15),IF(Data!$B$5="ms4",BV33,""),""),"")</f>
        <v/>
      </c>
    </row>
    <row r="34" spans="1:81" ht="18" customHeight="1">
      <c r="A34" s="498"/>
      <c r="B34" s="499"/>
      <c r="C34" s="510" t="str">
        <f>AK8</f>
        <v>R = 4.95"</v>
      </c>
      <c r="D34" s="511"/>
      <c r="E34" s="504"/>
      <c r="F34" s="504"/>
      <c r="G34" s="505"/>
      <c r="H34" s="365"/>
      <c r="I34" s="356"/>
      <c r="J34" s="356"/>
      <c r="K34" s="366"/>
      <c r="L34" s="367"/>
      <c r="M34" s="5"/>
      <c r="N34" s="7" t="str">
        <f t="shared" si="2"/>
        <v/>
      </c>
      <c r="O34" s="139" t="str">
        <f t="shared" si="3"/>
        <v/>
      </c>
      <c r="AA34" s="516"/>
      <c r="AB34" s="517"/>
      <c r="AC34" s="582">
        <f>BK8</f>
        <v>0</v>
      </c>
      <c r="AD34" s="583"/>
      <c r="AE34" s="586"/>
      <c r="AF34" s="586"/>
      <c r="AG34" s="587"/>
      <c r="AI34" s="182" t="str">
        <f>IF(AND(OR(Data!B$3="LH",Data!B$3="A",Data!B$3="VA"),AJ34=$B$13),IF(OR(Data!D$2=AL$11,Data!D$2=AL$10),AK34,AL34),"")</f>
        <v/>
      </c>
      <c r="AJ34" s="267">
        <v>5</v>
      </c>
      <c r="AK34" s="267">
        <v>0.5</v>
      </c>
      <c r="AL34" s="182">
        <v>8</v>
      </c>
      <c r="AM34" s="182">
        <v>5.5</v>
      </c>
      <c r="AN34" s="182">
        <v>1.75</v>
      </c>
      <c r="AO34" s="182">
        <v>1.25</v>
      </c>
      <c r="AP34" s="182">
        <v>4.5</v>
      </c>
      <c r="AQ34" s="182">
        <v>0.75</v>
      </c>
      <c r="AR34" s="182">
        <v>1.25</v>
      </c>
      <c r="AS34" s="182">
        <v>1.25</v>
      </c>
      <c r="AT34" s="182">
        <v>8.25</v>
      </c>
      <c r="AU34" s="182">
        <v>6.25</v>
      </c>
      <c r="AV34" s="182">
        <v>7.5</v>
      </c>
      <c r="AW34" s="182">
        <v>1</v>
      </c>
      <c r="AX34" s="182">
        <v>1</v>
      </c>
      <c r="AY34" s="182">
        <v>0.625</v>
      </c>
      <c r="AZ34" s="182" t="s">
        <v>189</v>
      </c>
      <c r="BA34" s="182">
        <v>1.8125</v>
      </c>
      <c r="BB34" s="182">
        <v>4.0999999999999996</v>
      </c>
      <c r="BC34" s="182">
        <v>0.66</v>
      </c>
      <c r="BD34" s="182">
        <v>1.19</v>
      </c>
      <c r="BE34" s="182">
        <v>0.81299999999999994</v>
      </c>
      <c r="BF34" s="182">
        <v>6.875</v>
      </c>
      <c r="BG34" s="182">
        <v>3.125</v>
      </c>
      <c r="BH34" s="182" t="s">
        <v>49</v>
      </c>
      <c r="BI34" s="182">
        <v>2.6880000000000002</v>
      </c>
      <c r="BJ34" s="182">
        <v>2.875</v>
      </c>
      <c r="BK34" s="182">
        <v>0.56200000000000006</v>
      </c>
      <c r="BL34" s="182">
        <v>6.625</v>
      </c>
      <c r="BM34" s="7"/>
      <c r="BN34" s="1">
        <v>8</v>
      </c>
      <c r="BO34" s="1">
        <v>5.5</v>
      </c>
      <c r="BP34" s="1">
        <v>15</v>
      </c>
      <c r="BQ34" s="1">
        <v>16</v>
      </c>
      <c r="BR34" s="1">
        <v>3.75</v>
      </c>
      <c r="BT34" s="1">
        <v>10.25</v>
      </c>
      <c r="BU34" s="1">
        <v>3.625</v>
      </c>
      <c r="BV34" s="1">
        <v>3.9369999999999998</v>
      </c>
      <c r="BW34" s="1" t="str">
        <f>IF(Data!$B$3="h",IF(AND(Data!$B$4=BN34,BO34=$B$15),IF(OR(Data!$B$5="mp1",Data!$B$5="mp3"),BP34+$B$18,""),""),"")</f>
        <v/>
      </c>
      <c r="BX34" s="1" t="str">
        <f>IF(Data!$B$3="h",IF(AND(Data!$B$4=$BN34,$BO34=$B$15),IF(Data!$B$5="mp2",BQ34+$B$18,""),""),"")</f>
        <v/>
      </c>
      <c r="BY34" s="1" t="str">
        <f>IF(Data!$B$3="h",IF(AND(Data!$B$4=$BN34,$BO34=$B$15),IF(Data!$B$5="mt1",BR34,""),""),"")</f>
        <v/>
      </c>
      <c r="BZ34" s="1" t="str">
        <f>IF(Data!$B$3="h",IF(AND(Data!$B$4=$BN34,$BO34=$B$15),IF(Data!$B$5="mpu3",BS34+$B$18,""),""),"")</f>
        <v/>
      </c>
      <c r="CA34" s="1" t="str">
        <f>IF(Data!$B$3="h",IF(AND(Data!$B$4=$BN34,$BO34=$B$15),IF(Data!$B$5="mt2",BT34+$B$18,""),""),"")</f>
        <v/>
      </c>
      <c r="CB34" s="15" t="str">
        <f>IF(Data!$B$3="h",IF(AND(Data!$B$4=$BN34,$BO34=$B$15),IF(Data!$B$5="ms2",BU34,""),""),"")</f>
        <v/>
      </c>
      <c r="CC34" s="1" t="str">
        <f>IF(Data!$B$3="h",IF(AND(Data!$B$4=$BN34,$BO34=$B$15),IF(Data!$B$5="ms4",BV34,""),""),"")</f>
        <v/>
      </c>
    </row>
    <row r="35" spans="1:81" ht="16">
      <c r="A35" s="498"/>
      <c r="B35" s="499"/>
      <c r="C35" s="510" t="str">
        <f>IF(AL8="","",AL8)</f>
        <v>FB = 0.94"</v>
      </c>
      <c r="D35" s="511"/>
      <c r="E35" s="471"/>
      <c r="F35" s="508" t="str">
        <f>IF(B$13="","",CONCATENATE("A = ",VLOOKUP(B$15,Q$11:S$25,2)+Data!B27,""""," Male/Female"))</f>
        <v>A = 2.25" Male/Female</v>
      </c>
      <c r="G35" s="509"/>
      <c r="H35" s="28"/>
      <c r="I35" s="208"/>
      <c r="J35" s="207"/>
      <c r="K35" s="209"/>
      <c r="L35" s="210"/>
      <c r="M35" s="5"/>
      <c r="N35" s="7" t="str">
        <f t="shared" si="2"/>
        <v/>
      </c>
      <c r="O35" s="139" t="str">
        <f t="shared" si="3"/>
        <v/>
      </c>
      <c r="AA35" s="516"/>
      <c r="AB35" s="517"/>
      <c r="AC35" s="582" t="str">
        <f>IF(BL8="","",BL8)</f>
        <v/>
      </c>
      <c r="AD35" s="583"/>
      <c r="AE35" s="190"/>
      <c r="AF35" s="584" t="str">
        <f>IF(AB$13="","",CONCATENATE("A = ",VLOOKUP(AB$15,AQ$11:AS$25,2)+Data!AB27,""""," Male/Female"))</f>
        <v/>
      </c>
      <c r="AG35" s="585"/>
      <c r="AI35" s="182" t="str">
        <f>IF(AND(OR(Data!B$3="LH",Data!B$3="A",Data!B$3="VA"),AJ35=$B$13),IF(OR(Data!D$2=AL$11,Data!D$2=AL$10),AK35,AL35),"")</f>
        <v/>
      </c>
      <c r="AJ35" s="267">
        <v>6</v>
      </c>
      <c r="AK35" s="267">
        <v>0.75</v>
      </c>
      <c r="AL35" s="182">
        <v>12</v>
      </c>
      <c r="AM35" s="182">
        <v>6.5</v>
      </c>
      <c r="AN35" s="182">
        <v>2</v>
      </c>
      <c r="AO35" s="182">
        <v>1.5</v>
      </c>
      <c r="AP35" s="182">
        <v>5</v>
      </c>
      <c r="AQ35" s="182">
        <v>1</v>
      </c>
      <c r="AR35" s="182">
        <v>1.5</v>
      </c>
      <c r="AS35" s="182">
        <v>1.5</v>
      </c>
      <c r="AT35" s="182">
        <v>10.375</v>
      </c>
      <c r="AU35" s="182">
        <v>7.625</v>
      </c>
      <c r="AV35" s="182">
        <v>9.25</v>
      </c>
      <c r="AW35" s="182">
        <v>1.375</v>
      </c>
      <c r="AX35" s="182">
        <v>1.375</v>
      </c>
      <c r="AY35" s="182">
        <v>0.75</v>
      </c>
      <c r="AZ35" s="182" t="s">
        <v>189</v>
      </c>
      <c r="BA35" s="182">
        <v>1.8125</v>
      </c>
      <c r="BB35" s="182">
        <v>4.88</v>
      </c>
      <c r="BC35" s="182">
        <v>0.88</v>
      </c>
      <c r="BD35" s="182">
        <v>1.56</v>
      </c>
      <c r="BE35" s="182">
        <v>0.81299999999999994</v>
      </c>
      <c r="BF35" s="182">
        <v>7.875</v>
      </c>
      <c r="BG35" s="182">
        <v>3.625</v>
      </c>
      <c r="BH35" s="182" t="s">
        <v>51</v>
      </c>
      <c r="BI35" s="182">
        <v>3.25</v>
      </c>
      <c r="BJ35" s="182">
        <v>3.125</v>
      </c>
      <c r="BK35" s="182">
        <v>0.56200000000000006</v>
      </c>
      <c r="BL35" s="182">
        <v>7.625</v>
      </c>
      <c r="BM35" s="7"/>
      <c r="BN35" s="1">
        <v>10</v>
      </c>
      <c r="BO35" s="1">
        <v>4.5</v>
      </c>
      <c r="BP35" s="1">
        <v>19.0625</v>
      </c>
      <c r="BR35" s="1">
        <v>4.75</v>
      </c>
      <c r="BT35" s="1">
        <v>13.25</v>
      </c>
      <c r="BW35" s="1" t="str">
        <f>IF(Data!$B$3="h",IF(AND(Data!$B$4=BN35,BO35=$B$15),IF(OR(Data!$B$5="mp1",Data!$B$5="mp3"),BP35+$B$18,""),""),"")</f>
        <v/>
      </c>
      <c r="BX35" s="1" t="str">
        <f>IF(Data!$B$3="h",IF(AND(Data!$B$4=$BN35,$BO35=$B$15),IF(Data!$B$5="mp2",BQ35+$B$18,""),""),"")</f>
        <v/>
      </c>
      <c r="BY35" s="1" t="str">
        <f>IF(Data!$B$3="h",IF(AND(Data!$B$4=$BN35,$BO35=$B$15),IF(Data!$B$5="mt1",BR35,""),""),"")</f>
        <v/>
      </c>
      <c r="BZ35" s="1" t="str">
        <f>IF(Data!$B$3="h",IF(AND(Data!$B$4=$BN35,$BO35=$B$15),IF(Data!$B$5="mpu3",BS35+$B$18,""),""),"")</f>
        <v/>
      </c>
      <c r="CA35" s="1" t="str">
        <f>IF(Data!$B$3="h",IF(AND(Data!$B$4=$BN35,$BO35=$B$15),IF(Data!$B$5="mt2",BT35+$B$18,""),""),"")</f>
        <v/>
      </c>
      <c r="CB35" s="15" t="str">
        <f>IF(Data!$B$3="h",IF(AND(Data!$B$4=$BN35,$BO35=$B$15),IF(Data!$B$5="ms2",BU35,""),""),"")</f>
        <v/>
      </c>
      <c r="CC35" s="1" t="str">
        <f>IF(Data!$B$3="h",IF(AND(Data!$B$4=$BN35,$BO35=$B$15),IF(Data!$B$5="ms4",BV35,""),""),"")</f>
        <v/>
      </c>
    </row>
    <row r="36" spans="1:81" ht="16.5" thickBot="1">
      <c r="A36" s="500"/>
      <c r="B36" s="501"/>
      <c r="C36" s="506" t="str">
        <f>IF(AM8="","",AM8)</f>
        <v>F = 0.88"</v>
      </c>
      <c r="D36" s="507"/>
      <c r="E36" s="472" t="str">
        <f>CONCATENATE(BW2,BX2,BY2,BZ2,CA2,CB2,CC2)</f>
        <v/>
      </c>
      <c r="F36" s="512" t="str">
        <f>IF(B$13="","",CONCATENATE("WF = ",VLOOKUP(B$15,Q$11:S$25,3)+Data!B11,""""))</f>
        <v>WF = 2"</v>
      </c>
      <c r="G36" s="513"/>
      <c r="H36" s="28"/>
      <c r="I36" s="208"/>
      <c r="J36" s="207"/>
      <c r="K36" s="209"/>
      <c r="L36" s="210"/>
      <c r="M36" s="5"/>
      <c r="N36" s="7" t="str">
        <f t="shared" si="2"/>
        <v/>
      </c>
      <c r="O36" s="139" t="str">
        <f t="shared" si="3"/>
        <v/>
      </c>
      <c r="AA36" s="518"/>
      <c r="AB36" s="519"/>
      <c r="AC36" s="588" t="str">
        <f>IF(BM8="","",BM8)</f>
        <v/>
      </c>
      <c r="AD36" s="589"/>
      <c r="AE36" s="191" t="str">
        <f>CONCATENATE(CW2,CX2,CY2,CZ2,DA2,DB2,DC2)</f>
        <v/>
      </c>
      <c r="AF36" s="580" t="str">
        <f>IF(AB$13="","",CONCATENATE("WF = ",VLOOKUP(AB$15,AQ$11:AS$25,3)+Data!AB11,""""))</f>
        <v/>
      </c>
      <c r="AG36" s="581"/>
      <c r="AI36" s="182" t="str">
        <f>IF(AND(OR(Data!B$3="LH",Data!B$3="A",Data!B$3="VA"),AJ36=$B$13),IF(OR(Data!D$2=AL$11,Data!D$2=AL$10),AK36,AL36),"")</f>
        <v/>
      </c>
      <c r="AJ36" s="267">
        <v>7</v>
      </c>
      <c r="AK36" s="267">
        <v>0.75</v>
      </c>
      <c r="AL36" s="182">
        <v>12</v>
      </c>
      <c r="AM36" s="182">
        <v>7.5</v>
      </c>
      <c r="AN36" s="182">
        <v>2</v>
      </c>
      <c r="AO36" s="182">
        <v>1.5</v>
      </c>
      <c r="AP36" s="182">
        <v>5.125</v>
      </c>
      <c r="AQ36" s="182">
        <v>1</v>
      </c>
      <c r="AR36" s="182">
        <v>1.5</v>
      </c>
      <c r="AS36" s="182">
        <v>1.5</v>
      </c>
      <c r="AT36" s="182">
        <v>11.5</v>
      </c>
      <c r="AU36" s="182">
        <v>8.75</v>
      </c>
      <c r="AV36" s="182">
        <v>10.25</v>
      </c>
      <c r="AW36" s="182">
        <v>1.375</v>
      </c>
      <c r="AX36" s="182">
        <v>1.375</v>
      </c>
      <c r="AZ36" s="182" t="s">
        <v>50</v>
      </c>
      <c r="BA36" s="182">
        <v>2.3125</v>
      </c>
      <c r="BB36" s="182">
        <v>5.73</v>
      </c>
      <c r="BE36" s="182">
        <v>0.81299999999999994</v>
      </c>
      <c r="BF36" s="182">
        <v>8.875</v>
      </c>
      <c r="BG36" s="182">
        <v>3.75</v>
      </c>
      <c r="BH36" s="182" t="s">
        <v>51</v>
      </c>
      <c r="BI36" s="182">
        <v>3.75</v>
      </c>
      <c r="BJ36" s="182">
        <v>3.25</v>
      </c>
      <c r="BM36" s="7"/>
      <c r="BN36" s="1">
        <v>10</v>
      </c>
      <c r="BO36" s="1">
        <v>5</v>
      </c>
      <c r="BP36" s="1">
        <v>19.3125</v>
      </c>
      <c r="BR36" s="1">
        <v>4.75</v>
      </c>
      <c r="BT36" s="1">
        <v>13.25</v>
      </c>
      <c r="BW36" s="1" t="str">
        <f>IF(Data!$B$3="h",IF(AND(Data!$B$4=BN36,BO36=$B$15),IF(OR(Data!$B$5="mp1",Data!$B$5="mp3"),BP36+$B$18,""),""),"")</f>
        <v/>
      </c>
      <c r="BX36" s="1" t="str">
        <f>IF(Data!$B$3="h",IF(AND(Data!$B$4=$BN36,$BO36=$B$15),IF(Data!$B$5="mp2",BQ36+$B$18,""),""),"")</f>
        <v/>
      </c>
      <c r="BY36" s="1" t="str">
        <f>IF(Data!$B$3="h",IF(AND(Data!$B$4=$BN36,$BO36=$B$15),IF(Data!$B$5="mt1",BR36,""),""),"")</f>
        <v/>
      </c>
      <c r="BZ36" s="1" t="str">
        <f>IF(Data!$B$3="h",IF(AND(Data!$B$4=$BN36,$BO36=$B$15),IF(Data!$B$5="mpu3",BS36+$B$18,""),""),"")</f>
        <v/>
      </c>
      <c r="CA36" s="1" t="str">
        <f>IF(Data!$B$3="h",IF(AND(Data!$B$4=$BN36,$BO36=$B$15),IF(Data!$B$5="mt2",BT36+$B$18,""),""),"")</f>
        <v/>
      </c>
      <c r="CB36" s="15" t="str">
        <f>IF(Data!$B$3="h",IF(AND(Data!$B$4=$BN36,$BO36=$B$15),IF(Data!$B$5="ms2",BU36,""),""),"")</f>
        <v/>
      </c>
      <c r="CC36" s="1" t="str">
        <f>IF(Data!$B$3="h",IF(AND(Data!$B$4=$BN36,$BO36=$B$15),IF(Data!$B$5="ms4",BV36,""),""),"")</f>
        <v/>
      </c>
    </row>
    <row r="37" spans="1:81" ht="19.5" customHeight="1" thickTop="1">
      <c r="A37" s="479"/>
      <c r="B37" s="480"/>
      <c r="C37" s="480"/>
      <c r="D37" s="480"/>
      <c r="E37" s="480"/>
      <c r="F37" s="462"/>
      <c r="G37" s="463"/>
      <c r="H37" s="28"/>
      <c r="I37" s="208"/>
      <c r="J37" s="207"/>
      <c r="K37" s="209"/>
      <c r="L37" s="210"/>
      <c r="M37" s="5"/>
      <c r="N37" s="7" t="str">
        <f t="shared" si="2"/>
        <v/>
      </c>
      <c r="O37" s="139" t="str">
        <f t="shared" si="3"/>
        <v/>
      </c>
      <c r="AI37" s="182" t="str">
        <f>IF(AND(OR(Data!B$3="LH",Data!B$3="A",Data!B$3="VA"),AJ37=$B$13),IF(OR(Data!D$2=AL$11,Data!D$2=AL$10),AK37,AL37),"")</f>
        <v/>
      </c>
      <c r="AJ37" s="267">
        <v>8</v>
      </c>
      <c r="AK37" s="267">
        <v>0.75</v>
      </c>
      <c r="AL37" s="182">
        <v>12</v>
      </c>
      <c r="AM37" s="182">
        <v>8.5</v>
      </c>
      <c r="AN37" s="182">
        <v>2</v>
      </c>
      <c r="AO37" s="182">
        <v>1.5</v>
      </c>
      <c r="AP37" s="182">
        <v>5.125</v>
      </c>
      <c r="AQ37" s="182">
        <v>1</v>
      </c>
      <c r="AR37" s="182">
        <v>1.5</v>
      </c>
      <c r="AS37" s="182">
        <v>1.5</v>
      </c>
      <c r="AT37" s="182">
        <v>12.5</v>
      </c>
      <c r="AU37" s="182">
        <v>9.75</v>
      </c>
      <c r="AV37" s="182">
        <v>11.25</v>
      </c>
      <c r="AW37" s="182">
        <v>1.375</v>
      </c>
      <c r="AX37" s="182">
        <v>1.375</v>
      </c>
      <c r="AZ37" s="182" t="s">
        <v>50</v>
      </c>
      <c r="BA37" s="182">
        <v>2.3125</v>
      </c>
      <c r="BB37" s="182">
        <v>6.44</v>
      </c>
      <c r="BE37" s="182">
        <v>0.81299999999999994</v>
      </c>
      <c r="BF37" s="182">
        <v>9.875</v>
      </c>
      <c r="BG37" s="182">
        <v>3.75</v>
      </c>
      <c r="BH37" s="182" t="s">
        <v>51</v>
      </c>
      <c r="BI37" s="182">
        <v>4.5</v>
      </c>
      <c r="BJ37" s="182">
        <v>3.25</v>
      </c>
      <c r="BM37" s="7"/>
      <c r="BN37" s="1">
        <v>10</v>
      </c>
      <c r="BO37" s="1">
        <v>5.5</v>
      </c>
      <c r="BP37" s="1">
        <v>19.3125</v>
      </c>
      <c r="BR37" s="1">
        <v>4.75</v>
      </c>
      <c r="BT37" s="1">
        <v>13.25</v>
      </c>
      <c r="BW37" s="1" t="str">
        <f>IF(Data!$B$3="h",IF(AND(Data!$B$4=BN37,BO37=$B$15),IF(OR(Data!$B$5="mp1",Data!$B$5="mp3"),BP37+$B$18,""),""),"")</f>
        <v/>
      </c>
      <c r="BX37" s="1" t="str">
        <f>IF(Data!$B$3="h",IF(AND(Data!$B$4=$BN37,$BO37=$B$15),IF(Data!$B$5="mp2",BQ37+$B$18,""),""),"")</f>
        <v/>
      </c>
      <c r="BY37" s="1" t="str">
        <f>IF(Data!$B$3="h",IF(AND(Data!$B$4=$BN37,$BO37=$B$15),IF(Data!$B$5="mt1",BR37,""),""),"")</f>
        <v/>
      </c>
      <c r="BZ37" s="1" t="str">
        <f>IF(Data!$B$3="h",IF(AND(Data!$B$4=$BN37,$BO37=$B$15),IF(Data!$B$5="mpu3",BS37+$B$18,""),""),"")</f>
        <v/>
      </c>
      <c r="CA37" s="1" t="str">
        <f>IF(Data!$B$3="h",IF(AND(Data!$B$4=$BN37,$BO37=$B$15),IF(Data!$B$5="mt2",BT37+$B$18,""),""),"")</f>
        <v/>
      </c>
      <c r="CB37" s="15" t="str">
        <f>IF(Data!$B$3="h",IF(AND(Data!$B$4=$BN37,$BO37=$B$15),IF(Data!$B$5="ms2",BU37,""),""),"")</f>
        <v/>
      </c>
      <c r="CC37" s="1" t="str">
        <f>IF(Data!$B$3="h",IF(AND(Data!$B$4=$BN37,$BO37=$B$15),IF(Data!$B$5="ms4",BV37,""),""),"")</f>
        <v/>
      </c>
    </row>
    <row r="38" spans="1:81" ht="55.5" customHeight="1">
      <c r="A38" s="481"/>
      <c r="B38" s="482"/>
      <c r="C38" s="482"/>
      <c r="D38" s="482"/>
      <c r="E38" s="482"/>
      <c r="F38" s="460"/>
      <c r="G38" s="461"/>
      <c r="H38" s="28"/>
      <c r="I38" s="208"/>
      <c r="J38" s="207"/>
      <c r="K38" s="209"/>
      <c r="L38" s="210"/>
      <c r="M38" s="5"/>
      <c r="N38" s="7" t="str">
        <f t="shared" si="2"/>
        <v/>
      </c>
      <c r="O38" s="139" t="str">
        <f t="shared" si="3"/>
        <v/>
      </c>
      <c r="AI38" s="182" t="str">
        <f>IF(AND(OR(Data!B$3="LH",Data!B$3="A",Data!B$3="VA"),AJ38=$B$13),IF(OR(Data!D$2=AL$11,Data!D$2=AL$10),AK38,AL38),"")</f>
        <v/>
      </c>
      <c r="AJ38" s="267">
        <v>10</v>
      </c>
      <c r="AK38" s="267">
        <v>1</v>
      </c>
      <c r="AL38" s="182">
        <v>16</v>
      </c>
      <c r="AM38" s="182">
        <v>10.625</v>
      </c>
      <c r="AN38" s="182">
        <v>2.25</v>
      </c>
      <c r="AO38" s="182">
        <v>2</v>
      </c>
      <c r="AP38" s="182">
        <v>6.375</v>
      </c>
      <c r="AQ38" s="182">
        <v>1.375</v>
      </c>
      <c r="AR38" s="182">
        <v>2</v>
      </c>
      <c r="AS38" s="182">
        <v>2.125</v>
      </c>
      <c r="AT38" s="182">
        <v>15.5</v>
      </c>
      <c r="AU38" s="182">
        <v>12</v>
      </c>
      <c r="AV38" s="182">
        <v>14.125</v>
      </c>
      <c r="AW38" s="182">
        <v>1.75</v>
      </c>
      <c r="AX38" s="182">
        <v>1.75</v>
      </c>
      <c r="AZ38" s="182" t="s">
        <v>856</v>
      </c>
      <c r="BA38" s="182">
        <v>2.6875</v>
      </c>
      <c r="BB38" s="182">
        <v>7.92</v>
      </c>
      <c r="BE38" s="182">
        <v>1.0625</v>
      </c>
      <c r="BF38" s="182">
        <v>12.375</v>
      </c>
      <c r="BG38" s="182">
        <v>4.625</v>
      </c>
      <c r="BM38" s="7"/>
      <c r="BN38" s="1">
        <v>10</v>
      </c>
      <c r="BO38" s="1">
        <v>7</v>
      </c>
      <c r="BP38" s="1">
        <v>19.75</v>
      </c>
      <c r="BR38" s="1">
        <v>4.75</v>
      </c>
      <c r="BT38" s="1">
        <v>13.25</v>
      </c>
      <c r="BW38" s="1" t="str">
        <f>IF(Data!$B$3="h",IF(AND(Data!$B$4=BN38,BO38=$B$15),IF(OR(Data!$B$5="mp1",Data!$B$5="mp3"),BP38+$B$18,""),""),"")</f>
        <v/>
      </c>
      <c r="BX38" s="1" t="str">
        <f>IF(Data!$B$3="h",IF(AND(Data!$B$4=$BN38,$BO38=$B$15),IF(Data!$B$5="mp2",BQ38+$B$18,""),""),"")</f>
        <v/>
      </c>
      <c r="BY38" s="1" t="str">
        <f>IF(Data!$B$3="h",IF(AND(Data!$B$4=$BN38,$BO38=$B$15),IF(Data!$B$5="mt1",BR38,""),""),"")</f>
        <v/>
      </c>
      <c r="BZ38" s="1" t="str">
        <f>IF(Data!$B$3="h",IF(AND(Data!$B$4=$BN38,$BO38=$B$15),IF(Data!$B$5="mpu3",BS38+$B$18,""),""),"")</f>
        <v/>
      </c>
      <c r="CA38" s="1" t="str">
        <f>IF(Data!$B$3="h",IF(AND(Data!$B$4=$BN38,$BO38=$B$15),IF(Data!$B$5="mt2",BT38+$B$18,""),""),"")</f>
        <v/>
      </c>
      <c r="CB38" s="15" t="str">
        <f>IF(Data!$B$3="h",IF(AND(Data!$B$4=$BN38,$BO38=$B$15),IF(Data!$B$5="ms2",BU38,""),""),"")</f>
        <v/>
      </c>
      <c r="CC38" s="1" t="str">
        <f>IF(Data!$B$3="h",IF(AND(Data!$B$4=$BN38,$BO38=$B$15),IF(Data!$B$5="ms4",BV38,""),""),"")</f>
        <v/>
      </c>
    </row>
    <row r="39" spans="1:81" ht="15.75" customHeight="1">
      <c r="A39" s="481"/>
      <c r="B39" s="482"/>
      <c r="C39" s="482"/>
      <c r="D39" s="482"/>
      <c r="E39" s="482"/>
      <c r="F39" s="460"/>
      <c r="G39" s="461"/>
      <c r="H39" s="28"/>
      <c r="I39" s="208"/>
      <c r="J39" s="207"/>
      <c r="K39" s="209"/>
      <c r="L39" s="210"/>
      <c r="M39" s="5"/>
      <c r="N39" s="7" t="str">
        <f t="shared" si="2"/>
        <v/>
      </c>
      <c r="O39" s="139" t="str">
        <f t="shared" si="3"/>
        <v/>
      </c>
      <c r="AI39" s="182" t="str">
        <f>IF(AND(OR(Data!B$3="LH",Data!B$3="A",Data!B$3="VA"),AJ39=$B$13),IF(OR(Data!D$2=AL$11,Data!D$2=AL$10),AK39,AL39),"")</f>
        <v/>
      </c>
      <c r="AJ39" s="267">
        <v>12</v>
      </c>
      <c r="AK39" s="267">
        <v>1</v>
      </c>
      <c r="AL39" s="182">
        <v>16</v>
      </c>
      <c r="AM39" s="182">
        <v>12.75</v>
      </c>
      <c r="AN39" s="182">
        <v>2.25</v>
      </c>
      <c r="AO39" s="182">
        <v>2</v>
      </c>
      <c r="AP39" s="182">
        <v>6.875</v>
      </c>
      <c r="AQ39" s="182">
        <v>1.75</v>
      </c>
      <c r="AR39" s="182">
        <v>2.5</v>
      </c>
      <c r="AS39" s="182">
        <v>2.25</v>
      </c>
      <c r="AT39" s="182">
        <v>17.5</v>
      </c>
      <c r="AU39" s="182">
        <v>14</v>
      </c>
      <c r="AV39" s="182">
        <v>16.25</v>
      </c>
      <c r="AW39" s="182">
        <v>1.75</v>
      </c>
      <c r="AX39" s="182">
        <v>1.75</v>
      </c>
      <c r="AZ39" s="182" t="s">
        <v>856</v>
      </c>
      <c r="BA39" s="182">
        <v>2.6875</v>
      </c>
      <c r="BB39" s="182">
        <v>9.4</v>
      </c>
      <c r="BE39" s="182">
        <v>1.0625</v>
      </c>
      <c r="BF39" s="182">
        <v>14.5</v>
      </c>
      <c r="BG39" s="182">
        <v>5.125</v>
      </c>
      <c r="BM39" s="7"/>
      <c r="BN39" s="1">
        <v>12</v>
      </c>
      <c r="BO39" s="1">
        <v>5.5</v>
      </c>
      <c r="BP39" s="1">
        <v>22.1875</v>
      </c>
      <c r="BR39" s="1">
        <v>5.375</v>
      </c>
      <c r="BT39" s="1">
        <v>15.5</v>
      </c>
      <c r="BW39" s="1" t="str">
        <f>IF(Data!$B$3="h",IF(AND(Data!$B$4=BN39,BO39=$B$15),IF(OR(Data!$B$5="mp1",Data!$B$5="mp3"),BP39+$B$18,""),""),"")</f>
        <v/>
      </c>
      <c r="BX39" s="1" t="str">
        <f>IF(Data!$B$3="h",IF(AND(Data!$B$4=$BN39,$BO39=$B$15),IF(Data!$B$5="mp2",BQ39+$B$18,""),""),"")</f>
        <v/>
      </c>
      <c r="BY39" s="1" t="str">
        <f>IF(Data!$B$3="h",IF(AND(Data!$B$4=$BN39,$BO39=$B$15),IF(Data!$B$5="mt1",BR39,""),""),"")</f>
        <v/>
      </c>
      <c r="BZ39" s="1" t="str">
        <f>IF(Data!$B$3="h",IF(AND(Data!$B$4=$BN39,$BO39=$B$15),IF(Data!$B$5="mpu3",BS39+$B$18,""),""),"")</f>
        <v/>
      </c>
      <c r="CA39" s="1" t="str">
        <f>IF(Data!$B$3="h",IF(AND(Data!$B$4=$BN39,$BO39=$B$15),IF(Data!$B$5="mt2",BT39+$B$18,""),""),"")</f>
        <v/>
      </c>
      <c r="CB39" s="15" t="str">
        <f>IF(Data!$B$3="h",IF(AND(Data!$B$4=$BN39,$BO39=$B$15),IF(Data!$B$5="ms2",BU39,""),""),"")</f>
        <v/>
      </c>
      <c r="CC39" s="1" t="str">
        <f>IF(Data!$B$3="h",IF(AND(Data!$B$4=$BN39,$BO39=$B$15),IF(Data!$B$5="ms4",BV39,""),""),"")</f>
        <v/>
      </c>
    </row>
    <row r="40" spans="1:81" ht="15.75" customHeight="1" thickBot="1">
      <c r="A40" s="483"/>
      <c r="B40" s="484"/>
      <c r="C40" s="484"/>
      <c r="D40" s="484"/>
      <c r="E40" s="484"/>
      <c r="F40" s="464"/>
      <c r="G40" s="465"/>
      <c r="H40" s="28"/>
      <c r="I40" s="208"/>
      <c r="J40" s="207"/>
      <c r="K40" s="209"/>
      <c r="L40" s="210"/>
      <c r="M40" s="5"/>
      <c r="N40" s="7" t="str">
        <f t="shared" si="2"/>
        <v/>
      </c>
      <c r="O40" s="139" t="str">
        <f t="shared" si="3"/>
        <v/>
      </c>
      <c r="AI40" s="182" t="str">
        <f>IF(AND(OR(Data!B$3="LH",Data!B$3="A",Data!B$3="VA"),AJ40=$B$13),IF(OR(Data!D$2=AL$11,Data!D$2=AL$10),AK40,AL40),"")</f>
        <v/>
      </c>
      <c r="AJ40" s="267">
        <v>14</v>
      </c>
      <c r="AK40" s="267">
        <v>1.25</v>
      </c>
      <c r="AL40" s="182">
        <v>20</v>
      </c>
      <c r="AM40" s="182">
        <v>14.75</v>
      </c>
      <c r="AN40" s="182">
        <v>2.75</v>
      </c>
      <c r="AO40" s="182">
        <v>2.25</v>
      </c>
      <c r="AP40" s="182">
        <v>8.125</v>
      </c>
      <c r="AQ40" s="182">
        <v>2</v>
      </c>
      <c r="AR40" s="182">
        <v>2.5</v>
      </c>
      <c r="AS40" s="182">
        <v>2.5</v>
      </c>
      <c r="AT40" s="182">
        <v>20.25</v>
      </c>
      <c r="AU40" s="182">
        <v>16.25</v>
      </c>
      <c r="AV40" s="182">
        <v>18.75</v>
      </c>
      <c r="AW40" s="182">
        <v>2</v>
      </c>
      <c r="AX40" s="182">
        <v>2</v>
      </c>
      <c r="AZ40" s="182" t="s">
        <v>392</v>
      </c>
      <c r="BA40" s="182">
        <v>3.1875</v>
      </c>
      <c r="BB40" s="182">
        <v>10.9</v>
      </c>
      <c r="BE40" s="182">
        <v>1.3125</v>
      </c>
      <c r="BF40" s="182">
        <v>17</v>
      </c>
      <c r="BG40" s="182">
        <v>5.875</v>
      </c>
      <c r="BM40" s="7"/>
      <c r="BN40" s="1">
        <v>12</v>
      </c>
      <c r="BO40" s="1">
        <v>7</v>
      </c>
      <c r="BP40" s="1">
        <v>22.5</v>
      </c>
      <c r="BR40" s="1">
        <v>5.375</v>
      </c>
      <c r="BT40" s="1">
        <v>15.5</v>
      </c>
      <c r="BW40" s="1" t="str">
        <f>IF(Data!$B$3="h",IF(AND(Data!$B$4=BN40,BO40=$B$15),IF(OR(Data!$B$5="mp1",Data!$B$5="mp3"),BP40+$B$18,""),""),"")</f>
        <v/>
      </c>
      <c r="BX40" s="1" t="str">
        <f>IF(Data!$B$3="h",IF(AND(Data!$B$4=$BN40,$BO40=$B$15),IF(Data!$B$5="mp2",BQ40+$B$18,""),""),"")</f>
        <v/>
      </c>
      <c r="BY40" s="1" t="str">
        <f>IF(Data!$B$3="h",IF(AND(Data!$B$4=$BN40,$BO40=$B$15),IF(Data!$B$5="mt1",BR40,""),""),"")</f>
        <v/>
      </c>
      <c r="BZ40" s="1" t="str">
        <f>IF(Data!$B$3="h",IF(AND(Data!$B$4=$BN40,$BO40=$B$15),IF(Data!$B$5="mpu3",BS40+$B$18,""),""),"")</f>
        <v/>
      </c>
      <c r="CA40" s="1" t="str">
        <f>IF(Data!$B$3="h",IF(AND(Data!$B$4=$BN40,$BO40=$B$15),IF(Data!$B$5="mt2",BT40+$B$18,""),""),"")</f>
        <v/>
      </c>
      <c r="CB40" s="15" t="str">
        <f>IF(Data!$B$3="h",IF(AND(Data!$B$4=$BN40,$BO40=$B$15),IF(Data!$B$5="ms2",BU40,""),""),"")</f>
        <v/>
      </c>
      <c r="CC40" s="1" t="str">
        <f>IF(Data!$B$3="h",IF(AND(Data!$B$4=$BN40,$BO40=$B$15),IF(Data!$B$5="ms4",BV40,""),""),"")</f>
        <v/>
      </c>
    </row>
    <row r="41" spans="1:81" ht="16" thickTop="1">
      <c r="A41" s="485" t="s">
        <v>22096</v>
      </c>
      <c r="B41" s="486"/>
      <c r="C41" s="440" t="s">
        <v>414</v>
      </c>
      <c r="D41" s="319"/>
      <c r="E41" s="319"/>
      <c r="F41" s="319"/>
      <c r="G41" s="441"/>
      <c r="H41" s="28"/>
      <c r="I41" s="208"/>
      <c r="J41" s="207"/>
      <c r="K41" s="209"/>
      <c r="L41" s="210"/>
      <c r="M41" s="5"/>
      <c r="N41" s="7" t="str">
        <f t="shared" si="2"/>
        <v/>
      </c>
      <c r="O41" s="139" t="str">
        <f t="shared" si="3"/>
        <v/>
      </c>
      <c r="BM41" s="7"/>
      <c r="BN41" s="1">
        <v>12</v>
      </c>
      <c r="BO41" s="1">
        <v>8</v>
      </c>
      <c r="BP41" s="1">
        <v>23</v>
      </c>
      <c r="BR41" s="1">
        <v>5.375</v>
      </c>
      <c r="BT41" s="1">
        <v>15.5</v>
      </c>
      <c r="BW41" s="1" t="str">
        <f>IF(Data!$B$3="h",IF(AND(Data!$B$4=BN41,BO41=$B$15),IF(OR(Data!$B$5="mp1",Data!$B$5="mp3"),BP41+$B$18,""),""),"")</f>
        <v/>
      </c>
      <c r="BX41" s="1" t="str">
        <f>IF(Data!$B$3="h",IF(AND(Data!$B$4=$BN41,$BO41=$B$15),IF(Data!$B$5="mp2",BQ41+$B$18,""),""),"")</f>
        <v/>
      </c>
      <c r="BY41" s="1" t="str">
        <f>IF(Data!$B$3="h",IF(AND(Data!$B$4=$BN41,$BO41=$B$15),IF(Data!$B$5="mt1",BR41,""),""),"")</f>
        <v/>
      </c>
      <c r="BZ41" s="1" t="str">
        <f>IF(Data!$B$3="h",IF(AND(Data!$B$4=$BN41,$BO41=$B$15),IF(Data!$B$5="mpu3",BS41+$B$18,""),""),"")</f>
        <v/>
      </c>
      <c r="CA41" s="1" t="str">
        <f>IF(Data!$B$3="h",IF(AND(Data!$B$4=$BN41,$BO41=$B$15),IF(Data!$B$5="mt2",BT41+$B$18,""),""),"")</f>
        <v/>
      </c>
      <c r="CB41" s="15" t="str">
        <f>IF(Data!$B$3="h",IF(AND(Data!$B$4=$BN41,$BO41=$B$15),IF(Data!$B$5="ms2",BU41,""),""),"")</f>
        <v/>
      </c>
      <c r="CC41" s="1" t="str">
        <f>IF(Data!$B$3="h",IF(AND(Data!$B$4=$BN41,$BO41=$B$15),IF(Data!$B$5="ms4",BV41,""),""),"")</f>
        <v/>
      </c>
    </row>
    <row r="42" spans="1:81" ht="16">
      <c r="A42" s="488" t="s">
        <v>20966</v>
      </c>
      <c r="B42" s="489"/>
      <c r="C42" s="489"/>
      <c r="D42" s="489"/>
      <c r="E42" s="489"/>
      <c r="F42" s="494" t="s">
        <v>21065</v>
      </c>
      <c r="G42" s="495"/>
      <c r="H42" s="28"/>
      <c r="I42" s="208"/>
      <c r="J42" s="207"/>
      <c r="K42" s="209"/>
      <c r="L42" s="210"/>
      <c r="M42" s="5"/>
      <c r="N42" s="7" t="str">
        <f t="shared" si="2"/>
        <v/>
      </c>
      <c r="O42" s="139" t="str">
        <f t="shared" si="3"/>
        <v/>
      </c>
      <c r="BM42" s="7"/>
      <c r="BN42" s="1">
        <v>14</v>
      </c>
      <c r="BO42" s="1">
        <v>8</v>
      </c>
      <c r="BP42" s="1">
        <v>25.375</v>
      </c>
      <c r="BR42" s="1">
        <v>5.9375</v>
      </c>
      <c r="BT42" s="1">
        <v>16.6875</v>
      </c>
      <c r="BW42" s="1" t="str">
        <f>IF(Data!$B$3="h",IF(AND(Data!$B$4=BN42,BO42=$B$15),IF(OR(Data!$B$5="mp1",Data!$B$5="mp3"),BP42+$B$18,""),""),"")</f>
        <v/>
      </c>
      <c r="BX42" s="1" t="str">
        <f>IF(Data!$B$3="h",IF(AND(Data!$B$4=$BN42,$BO42=$B$15),IF(Data!$B$5="mp2",BQ42+$B$18,""),""),"")</f>
        <v/>
      </c>
      <c r="BY42" s="1" t="str">
        <f>IF(Data!$B$3="h",IF(AND(Data!$B$4=$BN42,$BO42=$B$15),IF(Data!$B$5="mt1",BR42,""),""),"")</f>
        <v/>
      </c>
      <c r="BZ42" s="1" t="str">
        <f>IF(Data!$B$3="h",IF(AND(Data!$B$4=$BN42,$BO42=$B$15),IF(Data!$B$5="mpu3",BS42+$B$18,""),""),"")</f>
        <v/>
      </c>
      <c r="CA42" s="1" t="str">
        <f>IF(Data!$B$3="h",IF(AND(Data!$B$4=$BN42,$BO42=$B$15),IF(Data!$B$5="mt2",BT42+$B$18,""),""),"")</f>
        <v/>
      </c>
      <c r="CB42" s="15" t="str">
        <f>IF(Data!$B$3="h",IF(AND(Data!$B$4=$BN42,$BO42=$B$15),IF(Data!$B$5="ms2",BU42,""),""),"")</f>
        <v/>
      </c>
      <c r="CC42" s="1" t="str">
        <f>IF(Data!$B$3="h",IF(AND(Data!$B$4=$BN42,$BO42=$B$15),IF(Data!$B$5="ms4",BV42,""),""),"")</f>
        <v/>
      </c>
    </row>
    <row r="43" spans="1:81" ht="16.5" thickBot="1">
      <c r="A43" s="490"/>
      <c r="B43" s="491"/>
      <c r="C43" s="491"/>
      <c r="D43" s="491"/>
      <c r="E43" s="491"/>
      <c r="F43" s="492" t="s">
        <v>19246</v>
      </c>
      <c r="G43" s="493"/>
      <c r="H43" s="28"/>
      <c r="I43" s="208"/>
      <c r="J43" s="207"/>
      <c r="K43" s="209"/>
      <c r="L43" s="210"/>
      <c r="M43" s="5"/>
      <c r="N43" s="7" t="str">
        <f t="shared" si="2"/>
        <v/>
      </c>
      <c r="O43" s="139" t="str">
        <f t="shared" si="3"/>
        <v/>
      </c>
      <c r="BN43" s="1">
        <v>14</v>
      </c>
      <c r="BO43" s="1">
        <v>10</v>
      </c>
      <c r="BP43" s="1">
        <v>25.875</v>
      </c>
      <c r="BR43" s="1">
        <v>5.9375</v>
      </c>
      <c r="BT43" s="1">
        <v>16.6875</v>
      </c>
      <c r="BW43" s="1" t="str">
        <f>IF(Data!$B$3="h",IF(AND(Data!$B$4=BN43,BO43=$B$15),IF(OR(Data!$B$5="mp1",Data!$B$5="mp3"),BP43+$B$18,""),""),"")</f>
        <v/>
      </c>
      <c r="BX43" s="1" t="str">
        <f>IF(Data!$B$3="h",IF(AND(Data!$B$4=$BN43,$BO43=$B$15),IF(Data!$B$5="mp2",BQ43+$B$18,""),""),"")</f>
        <v/>
      </c>
      <c r="BY43" s="1" t="str">
        <f>IF(Data!$B$3="h",IF(AND(Data!$B$4=$BN43,$BO43=$B$15),IF(Data!$B$5="mt1",BR43,""),""),"")</f>
        <v/>
      </c>
      <c r="BZ43" s="1" t="str">
        <f>IF(Data!$B$3="h",IF(AND(Data!$B$4=$BN43,$BO43=$B$15),IF(Data!$B$5="mpu3",BS43+$B$18,""),""),"")</f>
        <v/>
      </c>
      <c r="CA43" s="1" t="str">
        <f>IF(Data!$B$3="h",IF(AND(Data!$B$4=$BN43,$BO43=$B$15),IF(Data!$B$5="mt2",BT43+$B$18,""),""),"")</f>
        <v/>
      </c>
      <c r="CB43" s="15" t="str">
        <f>IF(Data!$B$3="h",IF(AND(Data!$B$4=$BN43,$BO43=$B$15),IF(Data!$B$5="ms2",BU43,""),""),"")</f>
        <v/>
      </c>
      <c r="CC43" s="1" t="str">
        <f>IF(Data!$B$3="h",IF(AND(Data!$B$4=$BN43,$BO43=$B$15),IF(Data!$B$5="ms4",BV43,""),""),"")</f>
        <v/>
      </c>
    </row>
    <row r="44" spans="1:81" ht="16" thickTop="1">
      <c r="H44" s="28"/>
      <c r="I44" s="487"/>
      <c r="J44" s="487"/>
      <c r="K44" s="209"/>
      <c r="L44" s="211"/>
      <c r="M44" s="5"/>
      <c r="O44" s="139"/>
      <c r="BN44" s="1">
        <v>16</v>
      </c>
      <c r="BO44" s="1">
        <v>8</v>
      </c>
      <c r="BP44" s="1">
        <v>29.125</v>
      </c>
      <c r="BR44" s="1">
        <v>6.9375</v>
      </c>
      <c r="BT44" s="1">
        <v>19.1875</v>
      </c>
      <c r="BW44" s="1" t="str">
        <f>IF(Data!$B$3="h",IF(AND(Data!$B$4=BN44,BO44=$B$15),IF(OR(Data!$B$5="mp1",Data!$B$5="mp3"),BP44+$B$18,""),""),"")</f>
        <v/>
      </c>
      <c r="BX44" s="1" t="str">
        <f>IF(Data!$B$3="h",IF(AND(Data!$B$4=$BN44,$BO44=$B$15),IF(Data!$B$5="mp2",BQ44+$B$18,""),""),"")</f>
        <v/>
      </c>
      <c r="BY44" s="1" t="str">
        <f>IF(Data!$B$3="h",IF(AND(Data!$B$4=$BN44,$BO44=$B$15),IF(Data!$B$5="mt1",BR44,""),""),"")</f>
        <v/>
      </c>
      <c r="BZ44" s="1" t="str">
        <f>IF(Data!$B$3="h",IF(AND(Data!$B$4=$BN44,$BO44=$B$15),IF(Data!$B$5="mpu3",BS44+$B$18,""),""),"")</f>
        <v/>
      </c>
      <c r="CA44" s="1" t="str">
        <f>IF(Data!$B$3="h",IF(AND(Data!$B$4=$BN44,$BO44=$B$15),IF(Data!$B$5="mt2",BT44+$B$18,""),""),"")</f>
        <v/>
      </c>
      <c r="CB44" s="15" t="str">
        <f>IF(Data!$B$3="h",IF(AND(Data!$B$4=$BN44,$BO44=$B$15),IF(Data!$B$5="ms2",BU44,""),""),"")</f>
        <v/>
      </c>
      <c r="CC44" s="1" t="str">
        <f>IF(Data!$B$3="h",IF(AND(Data!$B$4=$BN44,$BO44=$B$15),IF(Data!$B$5="ms4",BV44,""),""),"")</f>
        <v/>
      </c>
    </row>
    <row r="45" spans="1:81" ht="11.25" customHeight="1">
      <c r="H45" s="29"/>
      <c r="I45" s="145"/>
      <c r="J45" s="145"/>
      <c r="K45" s="202"/>
      <c r="L45" s="203"/>
      <c r="M45" s="5"/>
      <c r="BN45" s="1">
        <v>16</v>
      </c>
      <c r="BO45" s="1">
        <v>10</v>
      </c>
      <c r="BP45" s="1">
        <v>29.625</v>
      </c>
      <c r="BR45" s="1">
        <v>6.9375</v>
      </c>
      <c r="BT45" s="1">
        <v>19.1875</v>
      </c>
      <c r="BW45" s="1" t="str">
        <f>IF(Data!$B$3="h",IF(AND(Data!$B$4=BN45,BO45=$B$15),IF(OR(Data!$B$5="mp1",Data!$B$5="mp3"),BP45+$B$18,""),""),"")</f>
        <v/>
      </c>
      <c r="BX45" s="1" t="str">
        <f>IF(Data!$B$3="h",IF(AND(Data!$B$4=$BN45,$BO45=$B$15),IF(Data!$B$5="mp2",BQ45+$B$18,""),""),"")</f>
        <v/>
      </c>
      <c r="BY45" s="1" t="str">
        <f>IF(Data!$B$3="h",IF(AND(Data!$B$4=$BN45,$BO45=$B$15),IF(Data!$B$5="mt1",BR45,""),""),"")</f>
        <v/>
      </c>
      <c r="BZ45" s="1" t="str">
        <f>IF(Data!$B$3="h",IF(AND(Data!$B$4=$BN45,$BO45=$B$15),IF(Data!$B$5="mpu3",BS45+$B$18,""),""),"")</f>
        <v/>
      </c>
      <c r="CA45" s="1" t="str">
        <f>IF(Data!$B$3="h",IF(AND(Data!$B$4=$BN45,$BO45=$B$15),IF(Data!$B$5="mt2",BT45+$B$18,""),""),"")</f>
        <v/>
      </c>
      <c r="CB45" s="15" t="str">
        <f>IF(Data!$B$3="h",IF(AND(Data!$B$4=$BN45,$BO45=$B$15),IF(Data!$B$5="ms2",BU45,""),""),"")</f>
        <v/>
      </c>
      <c r="CC45" s="1" t="str">
        <f>IF(Data!$B$3="h",IF(AND(Data!$B$4=$BN45,$BO45=$B$15),IF(Data!$B$5="ms4",BV45,""),""),"")</f>
        <v/>
      </c>
    </row>
    <row r="46" spans="1:81" ht="14.5">
      <c r="H46" s="2"/>
      <c r="BN46" s="1">
        <v>18</v>
      </c>
      <c r="BO46" s="1">
        <v>8</v>
      </c>
      <c r="BP46" s="1">
        <v>33</v>
      </c>
      <c r="BR46" s="1">
        <v>7.6875</v>
      </c>
      <c r="BT46" s="1">
        <v>21.9375</v>
      </c>
      <c r="BW46" s="1" t="str">
        <f>IF(Data!$B$3="h",IF(AND(Data!$B$4=BN46,BO46=$B$15),IF(OR(Data!$B$5="mp1",Data!$B$5="mp3"),BP46+$B$18,""),""),"")</f>
        <v/>
      </c>
      <c r="BX46" s="1" t="str">
        <f>IF(Data!$B$3="h",IF(AND(Data!$B$4=$BN46,$BO46=$B$15),IF(Data!$B$5="mp2",BQ46+$B$18,""),""),"")</f>
        <v/>
      </c>
      <c r="BY46" s="1" t="str">
        <f>IF(Data!$B$3="h",IF(AND(Data!$B$4=$BN46,$BO46=$B$15),IF(Data!$B$5="mt1",BR46,""),""),"")</f>
        <v/>
      </c>
      <c r="BZ46" s="1" t="str">
        <f>IF(Data!$B$3="h",IF(AND(Data!$B$4=$BN46,$BO46=$B$15),IF(Data!$B$5="mpu3",BS46+$B$18,""),""),"")</f>
        <v/>
      </c>
      <c r="CA46" s="1" t="str">
        <f>IF(Data!$B$3="h",IF(AND(Data!$B$4=$BN46,$BO46=$B$15),IF(Data!$B$5="mt2",BT46+$B$18,""),""),"")</f>
        <v/>
      </c>
      <c r="CB46" s="15" t="str">
        <f>IF(Data!$B$3="h",IF(AND(Data!$B$4=$BN46,$BO46=$B$15),IF(Data!$B$5="ms2",BU46,""),""),"")</f>
        <v/>
      </c>
      <c r="CC46" s="1" t="str">
        <f>IF(Data!$B$3="h",IF(AND(Data!$B$4=$BN46,$BO46=$B$15),IF(Data!$B$5="ms4",BV46,""),""),"")</f>
        <v/>
      </c>
    </row>
    <row r="47" spans="1:81" ht="18" customHeight="1">
      <c r="H47" s="16"/>
      <c r="BN47" s="1">
        <v>18</v>
      </c>
      <c r="BO47" s="1">
        <v>10</v>
      </c>
      <c r="BP47" s="1">
        <v>33.25</v>
      </c>
      <c r="BR47" s="1">
        <v>7.6875</v>
      </c>
      <c r="BT47" s="1">
        <v>21.9375</v>
      </c>
      <c r="BW47" s="1" t="str">
        <f>IF(Data!$B$3="h",IF(AND(Data!$B$4=BN47,BO47=$B$15),IF(OR(Data!$B$5="mp1",Data!$B$5="mp3"),BP47+$B$18,""),""),"")</f>
        <v/>
      </c>
      <c r="BX47" s="1" t="str">
        <f>IF(Data!$B$3="h",IF(AND(Data!$B$4=$BN47,$BO47=$B$15),IF(Data!$B$5="mp2",BQ47+$B$18,""),""),"")</f>
        <v/>
      </c>
      <c r="BY47" s="1" t="str">
        <f>IF(Data!$B$3="h",IF(AND(Data!$B$4=$BN47,$BO47=$B$15),IF(Data!$B$5="mt1",BR47,""),""),"")</f>
        <v/>
      </c>
      <c r="BZ47" s="1" t="str">
        <f>IF(Data!$B$3="h",IF(AND(Data!$B$4=$BN47,$BO47=$B$15),IF(Data!$B$5="mpu3",BS47+$B$18,""),""),"")</f>
        <v/>
      </c>
      <c r="CA47" s="1" t="str">
        <f>IF(Data!$B$3="h",IF(AND(Data!$B$4=$BN47,$BO47=$B$15),IF(Data!$B$5="mt2",BT47+$B$18,""),""),"")</f>
        <v/>
      </c>
      <c r="CB47" s="15" t="str">
        <f>IF(Data!$B$3="h",IF(AND(Data!$B$4=$BN47,$BO47=$B$15),IF(Data!$B$5="ms2",BU47,""),""),"")</f>
        <v/>
      </c>
      <c r="CC47" s="1" t="str">
        <f>IF(Data!$B$3="h",IF(AND(Data!$B$4=$BN47,$BO47=$B$15),IF(Data!$B$5="ms4",BV47,""),""),"")</f>
        <v/>
      </c>
    </row>
    <row r="48" spans="1:81" ht="18" customHeight="1">
      <c r="BN48" s="1">
        <v>20</v>
      </c>
      <c r="BO48" s="1">
        <v>10</v>
      </c>
      <c r="BP48" s="1">
        <v>36.875</v>
      </c>
      <c r="BR48" s="1">
        <v>8.4375</v>
      </c>
      <c r="BT48" s="1">
        <v>24.1875</v>
      </c>
      <c r="BW48" s="1" t="str">
        <f>IF(Data!$B$3="h",IF(AND(Data!$B$4=BN48,BO48=$B$15),IF(OR(Data!$B$5="mp1",Data!$B$5="mp3"),BP48+$B$18,""),""),"")</f>
        <v/>
      </c>
      <c r="BX48" s="1" t="str">
        <f>IF(Data!$B$3="h",IF(AND(Data!$B$4=$BN48,$BO48=$B$15),IF(Data!$B$5="mp2",BQ48+$B$18,""),""),"")</f>
        <v/>
      </c>
      <c r="BY48" s="1" t="str">
        <f>IF(Data!$B$3="h",IF(AND(Data!$B$4=$BN48,$BO48=$B$15),IF(Data!$B$5="mt1",BR48,""),""),"")</f>
        <v/>
      </c>
      <c r="BZ48" s="1" t="str">
        <f>IF(Data!$B$3="h",IF(AND(Data!$B$4=$BN48,$BO48=$B$15),IF(Data!$B$5="mpu3",BS48+$B$18,""),""),"")</f>
        <v/>
      </c>
      <c r="CA48" s="1" t="str">
        <f>IF(Data!$B$3="h",IF(AND(Data!$B$4=$BN48,$BO48=$B$15),IF(Data!$B$5="mt2",BT48+$B$18,""),""),"")</f>
        <v/>
      </c>
      <c r="CB48" s="15" t="str">
        <f>IF(Data!$B$3="h",IF(AND(Data!$B$4=$BN48,$BO48=$B$15),IF(Data!$B$5="ms2",BU48,""),""),"")</f>
        <v/>
      </c>
      <c r="CC48" s="1" t="str">
        <f>IF(Data!$B$3="h",IF(AND(Data!$B$4=$BN48,$BO48=$B$15),IF(Data!$B$5="ms4",BV48,""),""),"")</f>
        <v/>
      </c>
    </row>
    <row r="49" spans="3:81">
      <c r="C49" s="14"/>
    </row>
    <row r="50" spans="3:81">
      <c r="C50" s="14"/>
      <c r="BN50" s="2" t="s">
        <v>747</v>
      </c>
      <c r="BO50" s="2"/>
      <c r="BP50" s="2"/>
      <c r="BQ50" s="2"/>
      <c r="BR50" s="2"/>
      <c r="BS50" s="2"/>
      <c r="BT50" s="2"/>
      <c r="BU50" s="2"/>
      <c r="BV50" s="2"/>
    </row>
    <row r="51" spans="3:81" ht="130.5" customHeight="1">
      <c r="C51" s="14"/>
      <c r="D51" s="14"/>
      <c r="E51" s="14"/>
      <c r="F51" s="14"/>
      <c r="G51" s="14"/>
      <c r="H51" s="266"/>
      <c r="R51" s="7" t="s">
        <v>677</v>
      </c>
      <c r="BN51" s="2" t="s">
        <v>418</v>
      </c>
      <c r="BO51" s="2" t="s">
        <v>227</v>
      </c>
      <c r="BP51" s="2" t="s">
        <v>10</v>
      </c>
      <c r="BQ51" s="2" t="s">
        <v>11</v>
      </c>
      <c r="BR51" s="2" t="s">
        <v>12</v>
      </c>
      <c r="BS51" s="2" t="s">
        <v>13</v>
      </c>
      <c r="BT51" s="2" t="s">
        <v>14</v>
      </c>
      <c r="BU51" s="2" t="s">
        <v>15</v>
      </c>
      <c r="BV51" s="2" t="s">
        <v>16</v>
      </c>
    </row>
    <row r="52" spans="3:81" ht="144" customHeight="1">
      <c r="C52" s="14"/>
      <c r="D52" s="14"/>
      <c r="E52" s="14"/>
      <c r="F52" s="14"/>
      <c r="G52" s="14"/>
      <c r="H52" s="266"/>
      <c r="R52" s="7" t="s">
        <v>176</v>
      </c>
      <c r="BN52" s="15">
        <v>1.5</v>
      </c>
      <c r="BO52" s="15">
        <v>0.625</v>
      </c>
      <c r="BP52" s="15">
        <v>5.375</v>
      </c>
      <c r="BQ52" s="15">
        <v>5.7549999999999999</v>
      </c>
      <c r="BR52" s="15">
        <v>1.75</v>
      </c>
      <c r="BS52" s="15">
        <v>5.4379999999999997</v>
      </c>
      <c r="BT52" s="15">
        <v>4.125</v>
      </c>
      <c r="BU52" s="15">
        <v>1.375</v>
      </c>
      <c r="BV52" s="15">
        <v>1.9370000000000001</v>
      </c>
      <c r="BW52" s="1" t="str">
        <f>IF(OR(Data!$B$3="lh",Data!$B$3="a"),IF(AND(Data!$B$4=BN52,BO52=$B$15),IF(OR(Data!$B$5="mp1",Data!$B$5="mp3"),BP52+$B$18,""),""),"")</f>
        <v/>
      </c>
      <c r="BX52" s="1" t="str">
        <f>IF(OR(Data!$B$3="lh",Data!$B$3="a"),IF(AND(Data!$B$4=$BN52,$BO52=$B$15),IF(Data!$B$5="mp2",BQ52+$B$18,""),""),"")</f>
        <v/>
      </c>
      <c r="BY52" s="1" t="str">
        <f>IF(OR(Data!$B$3="lh",Data!$B$3="a"),IF(AND(Data!$B$4=$BN52,$BO52=$B$15),IF(Data!$B$5="mt1",BR52,""),""),"")</f>
        <v/>
      </c>
      <c r="BZ52" s="1" t="str">
        <f>IF(OR(Data!$B$3="lh",Data!$B$3="a"),IF(AND(Data!$B$4=$BN52,$BO52=$B$15),IF(Data!$B$5="mpu3",BS52+$B$18,""),""),"")</f>
        <v/>
      </c>
      <c r="CA52" s="1" t="str">
        <f>IF(OR(Data!$B$3="lh",Data!$B$3="a"),IF(AND(Data!$B$4=$BN52,$BO52=$B$15),IF(Data!$B$5="mt2",BT52+$B$18,""),""),"")</f>
        <v/>
      </c>
      <c r="CB52" s="1" t="str">
        <f>IF(OR(Data!$B$3="lh",Data!$B$3="a"),IF(AND(Data!$B$4=$BN52,$BO52=$B$15),IF(Data!$B$5="ms2",BU52,""),""),"")</f>
        <v/>
      </c>
      <c r="CC52" s="1" t="str">
        <f>IF(OR(Data!$B$3="lh",Data!$B$3="a"),IF(AND(Data!$B$4=$BN52,$BO52=$B$15),IF(Data!$B$5="ms4",BV52,""),""),"")</f>
        <v/>
      </c>
    </row>
    <row r="53" spans="3:81" ht="130.5" customHeight="1">
      <c r="C53" s="14"/>
      <c r="D53" s="14"/>
      <c r="E53" s="14"/>
      <c r="F53" s="14"/>
      <c r="G53" s="14"/>
      <c r="H53" s="266"/>
      <c r="R53" s="7" t="s">
        <v>488</v>
      </c>
      <c r="BN53" s="15">
        <v>1.5</v>
      </c>
      <c r="BO53" s="15">
        <v>1</v>
      </c>
      <c r="BP53" s="15">
        <v>5.75</v>
      </c>
      <c r="BQ53" s="15">
        <v>6.13</v>
      </c>
      <c r="BR53" s="15">
        <v>2.125</v>
      </c>
      <c r="BS53" s="15">
        <v>5.8129999999999997</v>
      </c>
      <c r="BT53" s="15">
        <v>4.5</v>
      </c>
      <c r="BU53" s="15">
        <v>1.75</v>
      </c>
      <c r="BV53" s="15">
        <v>2.3119999999999998</v>
      </c>
      <c r="BW53" s="1" t="str">
        <f>IF(OR(Data!$B$3="lh",Data!$B$3="a"),IF(AND(Data!$B$4=BN53,BO53=$B$15),IF(OR(Data!$B$5="mp1",Data!$B$5="mp3"),BP53+$B$18,""),""),"")</f>
        <v/>
      </c>
      <c r="BX53" s="1" t="str">
        <f>IF(OR(Data!$B$3="lh",Data!$B$3="a"),IF(AND(Data!$B$4=$BN53,$BO53=$B$15),IF(Data!$B$5="mp2",BQ53+$B$18,""),""),"")</f>
        <v/>
      </c>
      <c r="BY53" s="1" t="str">
        <f>IF(OR(Data!$B$3="lh",Data!$B$3="a"),IF(AND(Data!$B$4=$BN53,$BO53=$B$15),IF(Data!$B$5="mt1",BR53,""),""),"")</f>
        <v/>
      </c>
      <c r="BZ53" s="1" t="str">
        <f>IF(OR(Data!$B$3="lh",Data!$B$3="a"),IF(AND(Data!$B$4=$BN53,$BO53=$B$15),IF(Data!$B$5="mpu3",BS53+$B$18,""),""),"")</f>
        <v/>
      </c>
      <c r="CA53" s="1" t="str">
        <f>IF(OR(Data!$B$3="lh",Data!$B$3="a"),IF(AND(Data!$B$4=$BN53,$BO53=$B$15),IF(Data!$B$5="mt2",BT53+$B$18,""),""),"")</f>
        <v/>
      </c>
      <c r="CB53" s="1" t="str">
        <f>IF(OR(Data!$B$3="lh",Data!$B$3="a"),IF(AND(Data!$B$4=$BN53,$BO53=$B$15),IF(Data!$B$5="ms2",BU53,""),""),"")</f>
        <v/>
      </c>
      <c r="CC53" s="1" t="str">
        <f>IF(OR(Data!$B$3="lh",Data!$B$3="a"),IF(AND(Data!$B$4=$BN53,$BO53=$B$15),IF(Data!$B$5="ms4",BV53,""),""),"")</f>
        <v/>
      </c>
    </row>
    <row r="54" spans="3:81" ht="135" customHeight="1">
      <c r="C54" s="14"/>
      <c r="D54" s="14"/>
      <c r="E54" s="14"/>
      <c r="F54" s="14"/>
      <c r="G54" s="14"/>
      <c r="H54" s="266"/>
      <c r="R54" s="7" t="s">
        <v>357</v>
      </c>
      <c r="BN54" s="15">
        <v>2</v>
      </c>
      <c r="BO54" s="15">
        <v>0.625</v>
      </c>
      <c r="BP54" s="15">
        <v>5.375</v>
      </c>
      <c r="BQ54" s="15">
        <v>5.75</v>
      </c>
      <c r="BR54" s="15">
        <v>1.75</v>
      </c>
      <c r="BS54" s="15">
        <v>5.4379999999999997</v>
      </c>
      <c r="BT54" s="15">
        <v>4.125</v>
      </c>
      <c r="BU54" s="15">
        <v>1.375</v>
      </c>
      <c r="BV54" s="15">
        <v>1.9370000000000001</v>
      </c>
      <c r="BW54" s="1" t="str">
        <f>IF(OR(Data!$B$3="lh",Data!$B$3="a"),IF(AND(Data!$B$4=BN54,BO54=$B$15),IF(OR(Data!$B$5="mp1",Data!$B$5="mp3"),BP54+$B$18,""),""),"")</f>
        <v/>
      </c>
      <c r="BX54" s="1" t="str">
        <f>IF(OR(Data!$B$3="lh",Data!$B$3="a"),IF(AND(Data!$B$4=$BN54,$BO54=$B$15),IF(Data!$B$5="mp2",BQ54+$B$18,""),""),"")</f>
        <v/>
      </c>
      <c r="BY54" s="1" t="str">
        <f>IF(OR(Data!$B$3="lh",Data!$B$3="a"),IF(AND(Data!$B$4=$BN54,$BO54=$B$15),IF(Data!$B$5="mt1",BR54,""),""),"")</f>
        <v/>
      </c>
      <c r="BZ54" s="1" t="str">
        <f>IF(OR(Data!$B$3="lh",Data!$B$3="a"),IF(AND(Data!$B$4=$BN54,$BO54=$B$15),IF(Data!$B$5="mpu3",BS54+$B$18,""),""),"")</f>
        <v/>
      </c>
      <c r="CA54" s="1" t="str">
        <f>IF(OR(Data!$B$3="lh",Data!$B$3="a"),IF(AND(Data!$B$4=$BN54,$BO54=$B$15),IF(Data!$B$5="mt2",BT54+$B$18,""),""),"")</f>
        <v/>
      </c>
      <c r="CB54" s="1" t="str">
        <f>IF(OR(Data!$B$3="lh",Data!$B$3="a"),IF(AND(Data!$B$4=$BN54,$BO54=$B$15),IF(Data!$B$5="ms2",BU54,""),""),"")</f>
        <v/>
      </c>
      <c r="CC54" s="1" t="str">
        <f>IF(OR(Data!$B$3="lh",Data!$B$3="a"),IF(AND(Data!$B$4=$BN54,$BO54=$B$15),IF(Data!$B$5="ms4",BV54,""),""),"")</f>
        <v/>
      </c>
    </row>
    <row r="55" spans="3:81" ht="128.25" customHeight="1">
      <c r="C55" s="14"/>
      <c r="D55" s="14"/>
      <c r="E55" s="14"/>
      <c r="F55" s="14"/>
      <c r="G55" s="14"/>
      <c r="H55" s="266"/>
      <c r="R55" s="7" t="s">
        <v>531</v>
      </c>
      <c r="BN55" s="15">
        <v>2</v>
      </c>
      <c r="BO55" s="15">
        <v>1</v>
      </c>
      <c r="BP55" s="15">
        <v>5.75</v>
      </c>
      <c r="BQ55" s="15">
        <v>6.13</v>
      </c>
      <c r="BR55" s="15">
        <v>2.125</v>
      </c>
      <c r="BS55" s="15">
        <v>5.8129999999999997</v>
      </c>
      <c r="BT55" s="15">
        <v>4.5</v>
      </c>
      <c r="BU55" s="15">
        <v>1.75</v>
      </c>
      <c r="BV55" s="15">
        <v>2.3119999999999998</v>
      </c>
      <c r="BW55" s="1" t="str">
        <f>IF(OR(Data!$B$3="lh",Data!$B$3="a"),IF(AND(Data!$B$4=BN55,BO55=$B$15),IF(OR(Data!$B$5="mp1",Data!$B$5="mp3"),BP55+$B$18,""),""),"")</f>
        <v/>
      </c>
      <c r="BX55" s="1" t="str">
        <f>IF(OR(Data!$B$3="lh",Data!$B$3="a"),IF(AND(Data!$B$4=$BN55,$BO55=$B$15),IF(Data!$B$5="mp2",BQ55+$B$18,""),""),"")</f>
        <v/>
      </c>
      <c r="BY55" s="1" t="str">
        <f>IF(OR(Data!$B$3="lh",Data!$B$3="a"),IF(AND(Data!$B$4=$BN55,$BO55=$B$15),IF(Data!$B$5="mt1",BR55,""),""),"")</f>
        <v/>
      </c>
      <c r="BZ55" s="1" t="str">
        <f>IF(OR(Data!$B$3="lh",Data!$B$3="a"),IF(AND(Data!$B$4=$BN55,$BO55=$B$15),IF(Data!$B$5="mpu3",BS55+$B$18,""),""),"")</f>
        <v/>
      </c>
      <c r="CA55" s="1" t="str">
        <f>IF(OR(Data!$B$3="lh",Data!$B$3="a"),IF(AND(Data!$B$4=$BN55,$BO55=$B$15),IF(Data!$B$5="mt2",BT55+$B$18,""),""),"")</f>
        <v/>
      </c>
      <c r="CB55" s="1" t="str">
        <f>IF(OR(Data!$B$3="lh",Data!$B$3="a"),IF(AND(Data!$B$4=$BN55,$BO55=$B$15),IF(Data!$B$5="ms2",BU55,""),""),"")</f>
        <v/>
      </c>
      <c r="CC55" s="1" t="str">
        <f>IF(OR(Data!$B$3="lh",Data!$B$3="a"),IF(AND(Data!$B$4=$BN55,$BO55=$B$15),IF(Data!$B$5="ms4",BV55,""),""),"")</f>
        <v/>
      </c>
    </row>
    <row r="56" spans="3:81" ht="139.5" customHeight="1">
      <c r="C56" s="14"/>
      <c r="D56" s="14"/>
      <c r="E56" s="14"/>
      <c r="F56" s="14"/>
      <c r="G56" s="14"/>
      <c r="H56" s="266"/>
      <c r="R56" s="7" t="s">
        <v>331</v>
      </c>
      <c r="BN56" s="15">
        <v>2</v>
      </c>
      <c r="BO56" s="15">
        <v>1.375</v>
      </c>
      <c r="BP56" s="15">
        <v>6</v>
      </c>
      <c r="BQ56" s="15">
        <v>6.375</v>
      </c>
      <c r="BR56" s="15">
        <v>2.375</v>
      </c>
      <c r="BS56" s="15">
        <v>5.25</v>
      </c>
      <c r="BT56" s="15">
        <v>4.75</v>
      </c>
      <c r="BU56" s="15">
        <v>2</v>
      </c>
      <c r="BV56" s="15">
        <v>2.5619999999999998</v>
      </c>
      <c r="BW56" s="1" t="str">
        <f>IF(OR(Data!$B$3="lh",Data!$B$3="a"),IF(AND(Data!$B$4=BN56,BO56=$B$15),IF(OR(Data!$B$5="mp1",Data!$B$5="mp3"),BP56+$B$18,""),""),"")</f>
        <v/>
      </c>
      <c r="BX56" s="1" t="str">
        <f>IF(OR(Data!$B$3="lh",Data!$B$3="a"),IF(AND(Data!$B$4=$BN56,$BO56=$B$15),IF(Data!$B$5="mp2",BQ56+$B$18,""),""),"")</f>
        <v/>
      </c>
      <c r="BY56" s="1" t="str">
        <f>IF(OR(Data!$B$3="lh",Data!$B$3="a"),IF(AND(Data!$B$4=$BN56,$BO56=$B$15),IF(Data!$B$5="mt1",BR56,""),""),"")</f>
        <v/>
      </c>
      <c r="BZ56" s="1" t="str">
        <f>IF(OR(Data!$B$3="lh",Data!$B$3="a"),IF(AND(Data!$B$4=$BN56,$BO56=$B$15),IF(Data!$B$5="mpu3",BS56+$B$18,""),""),"")</f>
        <v/>
      </c>
      <c r="CA56" s="1" t="str">
        <f>IF(OR(Data!$B$3="lh",Data!$B$3="a"),IF(AND(Data!$B$4=$BN56,$BO56=$B$15),IF(Data!$B$5="mt2",BT56+$B$18,""),""),"")</f>
        <v/>
      </c>
      <c r="CB56" s="1" t="str">
        <f>IF(OR(Data!$B$3="lh",Data!$B$3="a"),IF(AND(Data!$B$4=$BN56,$BO56=$B$15),IF(Data!$B$5="ms2",BU56,""),""),"")</f>
        <v/>
      </c>
      <c r="CC56" s="1" t="str">
        <f>IF(OR(Data!$B$3="lh",Data!$B$3="a"),IF(AND(Data!$B$4=$BN56,$BO56=$B$15),IF(Data!$B$5="ms4",BV56,""),""),"")</f>
        <v/>
      </c>
    </row>
    <row r="57" spans="3:81" ht="135.75" customHeight="1">
      <c r="C57" s="14"/>
      <c r="D57" s="14"/>
      <c r="E57" s="14"/>
      <c r="F57" s="14"/>
      <c r="G57" s="14"/>
      <c r="H57" s="266"/>
      <c r="R57" s="7" t="s">
        <v>142</v>
      </c>
      <c r="BN57" s="1">
        <v>2.5</v>
      </c>
      <c r="BO57" s="1">
        <v>0.625</v>
      </c>
      <c r="BP57" s="1">
        <v>5.5</v>
      </c>
      <c r="BQ57" s="1">
        <v>5.88</v>
      </c>
      <c r="BR57" s="1">
        <v>1.75</v>
      </c>
      <c r="BS57" s="1">
        <v>5.5629999999999997</v>
      </c>
      <c r="BT57" s="1">
        <v>4.25</v>
      </c>
      <c r="BU57" s="1">
        <v>1.375</v>
      </c>
      <c r="BV57" s="1">
        <v>1.9370000000000001</v>
      </c>
      <c r="BW57" s="1" t="str">
        <f>IF(OR(Data!$B$3="lh",Data!$B$3="a"),IF(AND(Data!$B$4=BN57,BO57=$B$15),IF(OR(Data!$B$5="mp1",Data!$B$5="mp3"),BP57+$B$18,""),""),"")</f>
        <v/>
      </c>
      <c r="BX57" s="1" t="str">
        <f>IF(OR(Data!$B$3="lh",Data!$B$3="a"),IF(AND(Data!$B$4=$BN57,$BO57=$B$15),IF(Data!$B$5="mp2",BQ57+$B$18,""),""),"")</f>
        <v/>
      </c>
      <c r="BY57" s="1" t="str">
        <f>IF(OR(Data!$B$3="lh",Data!$B$3="a"),IF(AND(Data!$B$4=$BN57,$BO57=$B$15),IF(Data!$B$5="mt1",BR57,""),""),"")</f>
        <v/>
      </c>
      <c r="BZ57" s="1" t="str">
        <f>IF(OR(Data!$B$3="lh",Data!$B$3="a"),IF(AND(Data!$B$4=$BN57,$BO57=$B$15),IF(Data!$B$5="mpu3",BS57+$B$18,""),""),"")</f>
        <v/>
      </c>
      <c r="CA57" s="1" t="str">
        <f>IF(OR(Data!$B$3="lh",Data!$B$3="a"),IF(AND(Data!$B$4=$BN57,$BO57=$B$15),IF(Data!$B$5="mt2",BT57+$B$18,""),""),"")</f>
        <v/>
      </c>
      <c r="CB57" s="1" t="str">
        <f>IF(OR(Data!$B$3="lh",Data!$B$3="a"),IF(AND(Data!$B$4=$BN57,$BO57=$B$15),IF(Data!$B$5="ms2",BU57,""),""),"")</f>
        <v/>
      </c>
      <c r="CC57" s="1" t="str">
        <f>IF(OR(Data!$B$3="lh",Data!$B$3="a"),IF(AND(Data!$B$4=$BN57,$BO57=$B$15),IF(Data!$B$5="ms4",BV57,""),""),"")</f>
        <v/>
      </c>
    </row>
    <row r="58" spans="3:81" ht="150" customHeight="1">
      <c r="C58" s="14"/>
      <c r="D58" s="14"/>
      <c r="E58" s="14"/>
      <c r="F58" s="14"/>
      <c r="G58" s="14"/>
      <c r="H58" s="266"/>
      <c r="R58" s="7" t="s">
        <v>481</v>
      </c>
      <c r="BN58" s="1">
        <v>2.5</v>
      </c>
      <c r="BO58" s="15">
        <v>1</v>
      </c>
      <c r="BP58" s="15">
        <v>5.875</v>
      </c>
      <c r="BQ58" s="15">
        <v>6.25</v>
      </c>
      <c r="BR58" s="15">
        <v>2.125</v>
      </c>
      <c r="BS58" s="15">
        <v>5.9379999999999997</v>
      </c>
      <c r="BT58" s="15">
        <v>4.625</v>
      </c>
      <c r="BU58" s="15">
        <v>1.75</v>
      </c>
      <c r="BV58" s="15">
        <v>2.3119999999999998</v>
      </c>
      <c r="BW58" s="1" t="str">
        <f>IF(OR(Data!$B$3="lh",Data!$B$3="a"),IF(AND(Data!$B$4=BN58,BO58=$B$15),IF(OR(Data!$B$5="mp1",Data!$B$5="mp3"),BP58+$B$18,""),""),"")</f>
        <v/>
      </c>
      <c r="BX58" s="1" t="str">
        <f>IF(OR(Data!$B$3="lh",Data!$B$3="a"),IF(AND(Data!$B$4=$BN58,$BO58=$B$15),IF(Data!$B$5="mp2",BQ58+$B$18,""),""),"")</f>
        <v/>
      </c>
      <c r="BY58" s="1" t="str">
        <f>IF(OR(Data!$B$3="lh",Data!$B$3="a"),IF(AND(Data!$B$4=$BN58,$BO58=$B$15),IF(Data!$B$5="mt1",BR58,""),""),"")</f>
        <v/>
      </c>
      <c r="BZ58" s="1" t="str">
        <f>IF(OR(Data!$B$3="lh",Data!$B$3="a"),IF(AND(Data!$B$4=$BN58,$BO58=$B$15),IF(Data!$B$5="mpu3",BS58+$B$18,""),""),"")</f>
        <v/>
      </c>
      <c r="CA58" s="1" t="str">
        <f>IF(OR(Data!$B$3="lh",Data!$B$3="a"),IF(AND(Data!$B$4=$BN58,$BO58=$B$15),IF(Data!$B$5="mt2",BT58+$B$18,""),""),"")</f>
        <v/>
      </c>
      <c r="CB58" s="1" t="str">
        <f>IF(OR(Data!$B$3="lh",Data!$B$3="a"),IF(AND(Data!$B$4=$BN58,$BO58=$B$15),IF(Data!$B$5="ms2",BU58,""),""),"")</f>
        <v/>
      </c>
      <c r="CC58" s="1" t="str">
        <f>IF(OR(Data!$B$3="lh",Data!$B$3="a"),IF(AND(Data!$B$4=$BN58,$BO58=$B$15),IF(Data!$B$5="ms4",BV58,""),""),"")</f>
        <v/>
      </c>
    </row>
    <row r="59" spans="3:81" ht="144" customHeight="1">
      <c r="C59" s="14"/>
      <c r="D59" s="14"/>
      <c r="E59" s="14"/>
      <c r="F59" s="14"/>
      <c r="G59" s="14"/>
      <c r="H59" s="266"/>
      <c r="R59" s="7" t="s">
        <v>334</v>
      </c>
      <c r="BN59" s="1">
        <v>2.5</v>
      </c>
      <c r="BO59" s="15">
        <v>1.375</v>
      </c>
      <c r="BP59" s="15">
        <v>6.125</v>
      </c>
      <c r="BQ59" s="15">
        <v>6.5</v>
      </c>
      <c r="BR59" s="15">
        <v>2.375</v>
      </c>
      <c r="BS59" s="15">
        <v>6.1879999999999997</v>
      </c>
      <c r="BT59" s="15">
        <v>4.875</v>
      </c>
      <c r="BU59" s="15">
        <v>2</v>
      </c>
      <c r="BV59" s="15">
        <v>2.5619999999999998</v>
      </c>
      <c r="BW59" s="1" t="str">
        <f>IF(OR(Data!$B$3="lh",Data!$B$3="a"),IF(AND(Data!$B$4=BN59,BO59=$B$15),IF(OR(Data!$B$5="mp1",Data!$B$5="mp3"),BP59+$B$18,""),""),"")</f>
        <v/>
      </c>
      <c r="BX59" s="1" t="str">
        <f>IF(OR(Data!$B$3="lh",Data!$B$3="a"),IF(AND(Data!$B$4=$BN59,$BO59=$B$15),IF(Data!$B$5="mp2",BQ59+$B$18,""),""),"")</f>
        <v/>
      </c>
      <c r="BY59" s="1" t="str">
        <f>IF(OR(Data!$B$3="lh",Data!$B$3="a"),IF(AND(Data!$B$4=$BN59,$BO59=$B$15),IF(Data!$B$5="mt1",BR59,""),""),"")</f>
        <v/>
      </c>
      <c r="BZ59" s="1" t="str">
        <f>IF(OR(Data!$B$3="lh",Data!$B$3="a"),IF(AND(Data!$B$4=$BN59,$BO59=$B$15),IF(Data!$B$5="mpu3",BS59+$B$18,""),""),"")</f>
        <v/>
      </c>
      <c r="CA59" s="1" t="str">
        <f>IF(OR(Data!$B$3="lh",Data!$B$3="a"),IF(AND(Data!$B$4=$BN59,$BO59=$B$15),IF(Data!$B$5="mt2",BT59+$B$18,""),""),"")</f>
        <v/>
      </c>
      <c r="CB59" s="1" t="str">
        <f>IF(OR(Data!$B$3="lh",Data!$B$3="a"),IF(AND(Data!$B$4=$BN59,$BO59=$B$15),IF(Data!$B$5="ms2",BU59,""),""),"")</f>
        <v/>
      </c>
      <c r="CC59" s="1" t="str">
        <f>IF(OR(Data!$B$3="lh",Data!$B$3="a"),IF(AND(Data!$B$4=$BN59,$BO59=$B$15),IF(Data!$B$5="ms4",BV59,""),""),"")</f>
        <v/>
      </c>
    </row>
    <row r="60" spans="3:81" ht="141" customHeight="1">
      <c r="C60" s="14"/>
      <c r="D60" s="14"/>
      <c r="E60" s="14"/>
      <c r="F60" s="14"/>
      <c r="G60" s="14"/>
      <c r="H60" s="266"/>
      <c r="R60" s="7" t="s">
        <v>436</v>
      </c>
      <c r="BN60" s="1">
        <v>2.5</v>
      </c>
      <c r="BO60" s="15">
        <v>1.75</v>
      </c>
      <c r="BP60" s="15">
        <v>6.375</v>
      </c>
      <c r="BQ60" s="15">
        <v>6.75</v>
      </c>
      <c r="BR60" s="15">
        <v>2.625</v>
      </c>
      <c r="BS60" s="15">
        <v>6.4379999999999997</v>
      </c>
      <c r="BT60" s="15">
        <v>5.125</v>
      </c>
      <c r="BU60" s="15">
        <v>2.25</v>
      </c>
      <c r="BV60" s="15">
        <v>2.8130000000000002</v>
      </c>
      <c r="BW60" s="1" t="str">
        <f>IF(OR(Data!$B$3="lh",Data!$B$3="a"),IF(AND(Data!$B$4=BN60,BO60=$B$15),IF(OR(Data!$B$5="mp1",Data!$B$5="mp3"),BP60+$B$18,""),""),"")</f>
        <v/>
      </c>
      <c r="BX60" s="1" t="str">
        <f>IF(OR(Data!$B$3="lh",Data!$B$3="a"),IF(AND(Data!$B$4=$BN60,$BO60=$B$15),IF(Data!$B$5="mp2",BQ60+$B$18,""),""),"")</f>
        <v/>
      </c>
      <c r="BY60" s="1" t="str">
        <f>IF(OR(Data!$B$3="lh",Data!$B$3="a"),IF(AND(Data!$B$4=$BN60,$BO60=$B$15),IF(Data!$B$5="mt1",BR60,""),""),"")</f>
        <v/>
      </c>
      <c r="BZ60" s="1" t="str">
        <f>IF(OR(Data!$B$3="lh",Data!$B$3="a"),IF(AND(Data!$B$4=$BN60,$BO60=$B$15),IF(Data!$B$5="mpu3",BS60+$B$18,""),""),"")</f>
        <v/>
      </c>
      <c r="CA60" s="1" t="str">
        <f>IF(OR(Data!$B$3="lh",Data!$B$3="a"),IF(AND(Data!$B$4=$BN60,$BO60=$B$15),IF(Data!$B$5="mt2",BT60+$B$18,""),""),"")</f>
        <v/>
      </c>
      <c r="CB60" s="1" t="str">
        <f>IF(OR(Data!$B$3="lh",Data!$B$3="a"),IF(AND(Data!$B$4=$BN60,$BO60=$B$15),IF(Data!$B$5="ms2",BU60,""),""),"")</f>
        <v/>
      </c>
      <c r="CC60" s="1" t="str">
        <f>IF(OR(Data!$B$3="lh",Data!$B$3="a"),IF(AND(Data!$B$4=$BN60,$BO60=$B$15),IF(Data!$B$5="ms4",BV60,""),""),"")</f>
        <v/>
      </c>
    </row>
    <row r="61" spans="3:81" ht="137.25" customHeight="1">
      <c r="C61" s="14"/>
      <c r="D61" s="14"/>
      <c r="E61" s="14"/>
      <c r="F61" s="14"/>
      <c r="G61" s="14"/>
      <c r="H61" s="266"/>
      <c r="R61" s="7" t="s">
        <v>505</v>
      </c>
      <c r="BN61" s="15">
        <v>3.25</v>
      </c>
      <c r="BO61" s="15">
        <v>1</v>
      </c>
      <c r="BP61" s="15">
        <v>6.875</v>
      </c>
      <c r="BQ61" s="15">
        <v>7.5</v>
      </c>
      <c r="BR61" s="15">
        <v>2.25</v>
      </c>
      <c r="BS61" s="15">
        <v>6.8129999999999997</v>
      </c>
      <c r="BT61" s="15">
        <v>5</v>
      </c>
      <c r="BU61" s="15">
        <v>1.875</v>
      </c>
      <c r="BV61" s="15">
        <v>2.4369999999999998</v>
      </c>
      <c r="BW61" s="1" t="str">
        <f>IF(OR(Data!$B$3="lh",Data!$B$3="a"),IF(AND(Data!$B$4=BN61,BO61=$B$15),IF(OR(Data!$B$5="mp1",Data!$B$5="mp3"),BP61+$B$18,""),""),"")</f>
        <v/>
      </c>
      <c r="BX61" s="1" t="str">
        <f>IF(OR(Data!$B$3="lh",Data!$B$3="a"),IF(AND(Data!$B$4=$BN61,$BO61=$B$15),IF(Data!$B$5="mp2",BQ61+$B$18,""),""),"")</f>
        <v/>
      </c>
      <c r="BY61" s="1" t="str">
        <f>IF(OR(Data!$B$3="lh",Data!$B$3="a"),IF(AND(Data!$B$4=$BN61,$BO61=$B$15),IF(Data!$B$5="mt1",BR61,""),""),"")</f>
        <v/>
      </c>
      <c r="BZ61" s="1" t="str">
        <f>IF(OR(Data!$B$3="lh",Data!$B$3="a"),IF(AND(Data!$B$4=$BN61,$BO61=$B$15),IF(Data!$B$5="mpu3",BS61+$B$18,""),""),"")</f>
        <v/>
      </c>
      <c r="CA61" s="1" t="str">
        <f>IF(OR(Data!$B$3="lh",Data!$B$3="a"),IF(AND(Data!$B$4=$BN61,$BO61=$B$15),IF(Data!$B$5="mt2",BT61+$B$18,""),""),"")</f>
        <v/>
      </c>
      <c r="CB61" s="1" t="str">
        <f>IF(OR(Data!$B$3="lh",Data!$B$3="a"),IF(AND(Data!$B$4=$BN61,$BO61=$B$15),IF(Data!$B$5="ms2",BU61,""),""),"")</f>
        <v/>
      </c>
      <c r="CC61" s="1" t="str">
        <f>IF(OR(Data!$B$3="lh",Data!$B$3="a"),IF(AND(Data!$B$4=$BN61,$BO61=$B$15),IF(Data!$B$5="ms4",BV61,""),""),"")</f>
        <v/>
      </c>
    </row>
    <row r="62" spans="3:81" ht="138" customHeight="1">
      <c r="C62" s="14"/>
      <c r="D62" s="14"/>
      <c r="E62" s="14"/>
      <c r="F62" s="14"/>
      <c r="G62" s="14"/>
      <c r="H62" s="266"/>
      <c r="R62" s="7" t="s">
        <v>603</v>
      </c>
      <c r="BN62" s="15">
        <v>3.25</v>
      </c>
      <c r="BO62" s="15">
        <v>1.375</v>
      </c>
      <c r="BP62" s="15">
        <v>7.125</v>
      </c>
      <c r="BQ62" s="15">
        <v>7.75</v>
      </c>
      <c r="BR62" s="15">
        <v>2.5</v>
      </c>
      <c r="BS62" s="15">
        <v>7.0629999999999997</v>
      </c>
      <c r="BT62" s="15">
        <v>5.25</v>
      </c>
      <c r="BU62" s="15">
        <v>2.125</v>
      </c>
      <c r="BV62" s="15">
        <v>2.6880000000000002</v>
      </c>
      <c r="BW62" s="1" t="str">
        <f>IF(OR(Data!$B$3="lh",Data!$B$3="a"),IF(AND(Data!$B$4=BN62,BO62=$B$15),IF(OR(Data!$B$5="mp1",Data!$B$5="mp3"),BP62+$B$18,""),""),"")</f>
        <v/>
      </c>
      <c r="BX62" s="1" t="str">
        <f>IF(OR(Data!$B$3="lh",Data!$B$3="a"),IF(AND(Data!$B$4=$BN62,$BO62=$B$15),IF(Data!$B$5="mp2",BQ62+$B$18,""),""),"")</f>
        <v/>
      </c>
      <c r="BY62" s="1" t="str">
        <f>IF(OR(Data!$B$3="lh",Data!$B$3="a"),IF(AND(Data!$B$4=$BN62,$BO62=$B$15),IF(Data!$B$5="mt1",BR62,""),""),"")</f>
        <v/>
      </c>
      <c r="BZ62" s="1" t="str">
        <f>IF(OR(Data!$B$3="lh",Data!$B$3="a"),IF(AND(Data!$B$4=$BN62,$BO62=$B$15),IF(Data!$B$5="mpu3",BS62+$B$18,""),""),"")</f>
        <v/>
      </c>
      <c r="CA62" s="1" t="str">
        <f>IF(OR(Data!$B$3="lh",Data!$B$3="a"),IF(AND(Data!$B$4=$BN62,$BO62=$B$15),IF(Data!$B$5="mt2",BT62+$B$18,""),""),"")</f>
        <v/>
      </c>
      <c r="CB62" s="1" t="str">
        <f>IF(OR(Data!$B$3="lh",Data!$B$3="a"),IF(AND(Data!$B$4=$BN62,$BO62=$B$15),IF(Data!$B$5="ms2",BU62,""),""),"")</f>
        <v/>
      </c>
      <c r="CC62" s="1" t="str">
        <f>IF(OR(Data!$B$3="lh",Data!$B$3="a"),IF(AND(Data!$B$4=$BN62,$BO62=$B$15),IF(Data!$B$5="ms4",BV62,""),""),"")</f>
        <v/>
      </c>
    </row>
    <row r="63" spans="3:81" ht="119.25" customHeight="1">
      <c r="C63" s="14"/>
      <c r="D63" s="14"/>
      <c r="E63" s="14"/>
      <c r="F63" s="14"/>
      <c r="G63" s="14"/>
      <c r="H63" s="266"/>
      <c r="R63" s="7" t="s">
        <v>379</v>
      </c>
      <c r="BN63" s="15">
        <v>3.25</v>
      </c>
      <c r="BO63" s="15">
        <v>1.75</v>
      </c>
      <c r="BP63" s="15">
        <v>7.375</v>
      </c>
      <c r="BQ63" s="15">
        <v>8</v>
      </c>
      <c r="BR63" s="15">
        <v>2.75</v>
      </c>
      <c r="BS63" s="15">
        <v>7.3129999999999997</v>
      </c>
      <c r="BT63" s="15">
        <v>5.5</v>
      </c>
      <c r="BU63" s="15">
        <v>2.375</v>
      </c>
      <c r="BV63" s="15">
        <v>2.9369999999999998</v>
      </c>
      <c r="BW63" s="1" t="str">
        <f>IF(OR(Data!$B$3="lh",Data!$B$3="a"),IF(AND(Data!$B$4=BN63,BO63=$B$15),IF(OR(Data!$B$5="mp1",Data!$B$5="mp3"),BP63+$B$18,""),""),"")</f>
        <v/>
      </c>
      <c r="BX63" s="1" t="str">
        <f>IF(OR(Data!$B$3="lh",Data!$B$3="a"),IF(AND(Data!$B$4=$BN63,$BO63=$B$15),IF(Data!$B$5="mp2",BQ63+$B$18,""),""),"")</f>
        <v/>
      </c>
      <c r="BY63" s="1" t="str">
        <f>IF(OR(Data!$B$3="lh",Data!$B$3="a"),IF(AND(Data!$B$4=$BN63,$BO63=$B$15),IF(Data!$B$5="mt1",BR63,""),""),"")</f>
        <v/>
      </c>
      <c r="BZ63" s="1" t="str">
        <f>IF(OR(Data!$B$3="lh",Data!$B$3="a"),IF(AND(Data!$B$4=$BN63,$BO63=$B$15),IF(Data!$B$5="mpu3",BS63+$B$18,""),""),"")</f>
        <v/>
      </c>
      <c r="CA63" s="1" t="str">
        <f>IF(OR(Data!$B$3="lh",Data!$B$3="a"),IF(AND(Data!$B$4=$BN63,$BO63=$B$15),IF(Data!$B$5="mt2",BT63+$B$18,""),""),"")</f>
        <v/>
      </c>
      <c r="CB63" s="1" t="str">
        <f>IF(OR(Data!$B$3="lh",Data!$B$3="a"),IF(AND(Data!$B$4=$BN63,$BO63=$B$15),IF(Data!$B$5="ms2",BU63,""),""),"")</f>
        <v/>
      </c>
      <c r="CC63" s="1" t="str">
        <f>IF(OR(Data!$B$3="lh",Data!$B$3="a"),IF(AND(Data!$B$4=$BN63,$BO63=$B$15),IF(Data!$B$5="ms4",BV63,""),""),"")</f>
        <v/>
      </c>
    </row>
    <row r="64" spans="3:81" ht="164.25" customHeight="1">
      <c r="C64" s="14"/>
      <c r="D64" s="14"/>
      <c r="E64" s="14"/>
      <c r="F64" s="14"/>
      <c r="G64" s="14"/>
      <c r="H64" s="266"/>
      <c r="R64" s="7" t="s">
        <v>352</v>
      </c>
      <c r="BN64" s="15">
        <v>3.25</v>
      </c>
      <c r="BO64" s="15">
        <v>2</v>
      </c>
      <c r="BP64" s="15">
        <v>7.5</v>
      </c>
      <c r="BQ64" s="15">
        <v>8.1300000000000008</v>
      </c>
      <c r="BR64" s="15">
        <v>2.875</v>
      </c>
      <c r="BS64" s="15">
        <v>7.4379999999999997</v>
      </c>
      <c r="BT64" s="15">
        <v>5.625</v>
      </c>
      <c r="BU64" s="15">
        <v>2.5</v>
      </c>
      <c r="BV64" s="15">
        <v>3.0619999999999998</v>
      </c>
      <c r="BW64" s="1" t="str">
        <f>IF(OR(Data!$B$3="lh",Data!$B$3="a"),IF(AND(Data!$B$4=BN64,BO64=$B$15),IF(OR(Data!$B$5="mp1",Data!$B$5="mp3"),BP64+$B$18,""),""),"")</f>
        <v/>
      </c>
      <c r="BX64" s="1" t="str">
        <f>IF(OR(Data!$B$3="lh",Data!$B$3="a"),IF(AND(Data!$B$4=$BN64,$BO64=$B$15),IF(Data!$B$5="mp2",BQ64+$B$18,""),""),"")</f>
        <v/>
      </c>
      <c r="BY64" s="1" t="str">
        <f>IF(OR(Data!$B$3="lh",Data!$B$3="a"),IF(AND(Data!$B$4=$BN64,$BO64=$B$15),IF(Data!$B$5="mt1",BR64,""),""),"")</f>
        <v/>
      </c>
      <c r="BZ64" s="1" t="str">
        <f>IF(OR(Data!$B$3="lh",Data!$B$3="a"),IF(AND(Data!$B$4=$BN64,$BO64=$B$15),IF(Data!$B$5="mpu3",BS64+$B$18,""),""),"")</f>
        <v/>
      </c>
      <c r="CA64" s="1" t="str">
        <f>IF(OR(Data!$B$3="lh",Data!$B$3="a"),IF(AND(Data!$B$4=$BN64,$BO64=$B$15),IF(Data!$B$5="mt2",BT64+$B$18,""),""),"")</f>
        <v/>
      </c>
      <c r="CB64" s="1" t="str">
        <f>IF(OR(Data!$B$3="lh",Data!$B$3="a"),IF(AND(Data!$B$4=$BN64,$BO64=$B$15),IF(Data!$B$5="ms2",BU64,""),""),"")</f>
        <v/>
      </c>
      <c r="CC64" s="1" t="str">
        <f>IF(OR(Data!$B$3="lh",Data!$B$3="a"),IF(AND(Data!$B$4=$BN64,$BO64=$B$15),IF(Data!$B$5="ms4",BV64,""),""),"")</f>
        <v/>
      </c>
    </row>
    <row r="65" spans="3:81" ht="132" customHeight="1">
      <c r="C65" s="14"/>
      <c r="D65" s="14"/>
      <c r="E65" s="14"/>
      <c r="F65" s="14"/>
      <c r="G65" s="14"/>
      <c r="H65" s="266"/>
      <c r="R65" s="7" t="s">
        <v>224</v>
      </c>
      <c r="BN65" s="15">
        <v>4</v>
      </c>
      <c r="BO65" s="15">
        <v>1</v>
      </c>
      <c r="BP65" s="15">
        <v>6.875</v>
      </c>
      <c r="BQ65" s="15">
        <v>7.5</v>
      </c>
      <c r="BR65" s="15">
        <v>2.25</v>
      </c>
      <c r="BS65" s="15">
        <v>6.8129999999999997</v>
      </c>
      <c r="BT65" s="15">
        <v>5</v>
      </c>
      <c r="BU65" s="15">
        <v>1.875</v>
      </c>
      <c r="BV65" s="15">
        <v>2.4369999999999998</v>
      </c>
      <c r="BW65" s="1" t="str">
        <f>IF(OR(Data!$B$3="lh",Data!$B$3="a"),IF(AND(Data!$B$4=BN65,BO65=$B$15),IF(OR(Data!$B$5="mp1",Data!$B$5="mp3"),BP65+$B$18,""),""),"")</f>
        <v/>
      </c>
      <c r="BX65" s="1" t="str">
        <f>IF(OR(Data!$B$3="lh",Data!$B$3="a"),IF(AND(Data!$B$4=$BN65,$BO65=$B$15),IF(Data!$B$5="mp2",BQ65+$B$18,""),""),"")</f>
        <v/>
      </c>
      <c r="BY65" s="1" t="str">
        <f>IF(OR(Data!$B$3="lh",Data!$B$3="a"),IF(AND(Data!$B$4=$BN65,$BO65=$B$15),IF(Data!$B$5="mt1",BR65,""),""),"")</f>
        <v/>
      </c>
      <c r="BZ65" s="1" t="str">
        <f>IF(OR(Data!$B$3="lh",Data!$B$3="a"),IF(AND(Data!$B$4=$BN65,$BO65=$B$15),IF(Data!$B$5="mpu3",BS65+$B$18,""),""),"")</f>
        <v/>
      </c>
      <c r="CA65" s="1" t="str">
        <f>IF(OR(Data!$B$3="lh",Data!$B$3="a"),IF(AND(Data!$B$4=$BN65,$BO65=$B$15),IF(Data!$B$5="mt2",BT65+$B$18,""),""),"")</f>
        <v/>
      </c>
      <c r="CB65" s="1" t="str">
        <f>IF(OR(Data!$B$3="lh",Data!$B$3="a"),IF(AND(Data!$B$4=$BN65,$BO65=$B$15),IF(Data!$B$5="ms2",BU65,""),""),"")</f>
        <v/>
      </c>
      <c r="CC65" s="1" t="str">
        <f>IF(OR(Data!$B$3="lh",Data!$B$3="a"),IF(AND(Data!$B$4=$BN65,$BO65=$B$15),IF(Data!$B$5="ms4",BV65,""),""),"")</f>
        <v/>
      </c>
    </row>
    <row r="66" spans="3:81" ht="142.5" customHeight="1">
      <c r="C66" s="14"/>
      <c r="D66" s="14"/>
      <c r="E66" s="14"/>
      <c r="F66" s="14"/>
      <c r="G66" s="14"/>
      <c r="H66" s="266"/>
      <c r="R66" s="7" t="s">
        <v>332</v>
      </c>
      <c r="BN66" s="15">
        <v>4</v>
      </c>
      <c r="BO66" s="15">
        <v>1.375</v>
      </c>
      <c r="BP66" s="15">
        <v>7.125</v>
      </c>
      <c r="BQ66" s="15">
        <v>7.75</v>
      </c>
      <c r="BR66" s="15">
        <v>2.5</v>
      </c>
      <c r="BS66" s="15">
        <v>7.0629999999999997</v>
      </c>
      <c r="BT66" s="15">
        <v>5.25</v>
      </c>
      <c r="BU66" s="15">
        <v>2.125</v>
      </c>
      <c r="BV66" s="15">
        <v>2.6880000000000002</v>
      </c>
      <c r="BW66" s="1" t="str">
        <f>IF(OR(Data!$B$3="lh",Data!$B$3="a"),IF(AND(Data!$B$4=BN66,BO66=$B$15),IF(OR(Data!$B$5="mp1",Data!$B$5="mp3"),BP66+$B$18,""),""),"")</f>
        <v/>
      </c>
      <c r="BX66" s="1" t="str">
        <f>IF(OR(Data!$B$3="lh",Data!$B$3="a"),IF(AND(Data!$B$4=$BN66,$BO66=$B$15),IF(Data!$B$5="mp2",BQ66+$B$18,""),""),"")</f>
        <v/>
      </c>
      <c r="BY66" s="1" t="str">
        <f>IF(OR(Data!$B$3="lh",Data!$B$3="a"),IF(AND(Data!$B$4=$BN66,$BO66=$B$15),IF(Data!$B$5="mt1",BR66,""),""),"")</f>
        <v/>
      </c>
      <c r="BZ66" s="1" t="str">
        <f>IF(OR(Data!$B$3="lh",Data!$B$3="a"),IF(AND(Data!$B$4=$BN66,$BO66=$B$15),IF(Data!$B$5="mpu3",BS66+$B$18,""),""),"")</f>
        <v/>
      </c>
      <c r="CA66" s="1" t="str">
        <f>IF(OR(Data!$B$3="lh",Data!$B$3="a"),IF(AND(Data!$B$4=$BN66,$BO66=$B$15),IF(Data!$B$5="mt2",BT66+$B$18,""),""),"")</f>
        <v/>
      </c>
      <c r="CB66" s="1" t="str">
        <f>IF(OR(Data!$B$3="lh",Data!$B$3="a"),IF(AND(Data!$B$4=$BN66,$BO66=$B$15),IF(Data!$B$5="ms2",BU66,""),""),"")</f>
        <v/>
      </c>
      <c r="CC66" s="1" t="str">
        <f>IF(OR(Data!$B$3="lh",Data!$B$3="a"),IF(AND(Data!$B$4=$BN66,$BO66=$B$15),IF(Data!$B$5="ms4",BV66,""),""),"")</f>
        <v/>
      </c>
    </row>
    <row r="67" spans="3:81" ht="126" customHeight="1">
      <c r="C67" s="14"/>
      <c r="D67" s="14"/>
      <c r="E67" s="14"/>
      <c r="F67" s="14"/>
      <c r="G67" s="14"/>
      <c r="H67" s="266"/>
      <c r="R67" s="7" t="s">
        <v>134</v>
      </c>
      <c r="BN67" s="15">
        <v>4</v>
      </c>
      <c r="BO67" s="15">
        <v>1.75</v>
      </c>
      <c r="BP67" s="15">
        <v>7.375</v>
      </c>
      <c r="BQ67" s="15">
        <v>8</v>
      </c>
      <c r="BR67" s="15">
        <v>2.75</v>
      </c>
      <c r="BS67" s="15">
        <v>7.3129999999999997</v>
      </c>
      <c r="BT67" s="15">
        <v>5.5</v>
      </c>
      <c r="BU67" s="15">
        <v>2.375</v>
      </c>
      <c r="BV67" s="15">
        <v>2.9369999999999998</v>
      </c>
      <c r="BW67" s="1" t="str">
        <f>IF(OR(Data!$B$3="lh",Data!$B$3="a"),IF(AND(Data!$B$4=BN67,BO67=$B$15),IF(OR(Data!$B$5="mp1",Data!$B$5="mp3"),BP67+$B$18,""),""),"")</f>
        <v/>
      </c>
      <c r="BX67" s="1" t="str">
        <f>IF(OR(Data!$B$3="lh",Data!$B$3="a"),IF(AND(Data!$B$4=$BN67,$BO67=$B$15),IF(Data!$B$5="mp2",BQ67+$B$18,""),""),"")</f>
        <v/>
      </c>
      <c r="BY67" s="1" t="str">
        <f>IF(OR(Data!$B$3="lh",Data!$B$3="a"),IF(AND(Data!$B$4=$BN67,$BO67=$B$15),IF(Data!$B$5="mt1",BR67,""),""),"")</f>
        <v/>
      </c>
      <c r="BZ67" s="1" t="str">
        <f>IF(OR(Data!$B$3="lh",Data!$B$3="a"),IF(AND(Data!$B$4=$BN67,$BO67=$B$15),IF(Data!$B$5="mpu3",BS67+$B$18,""),""),"")</f>
        <v/>
      </c>
      <c r="CA67" s="1" t="str">
        <f>IF(OR(Data!$B$3="lh",Data!$B$3="a"),IF(AND(Data!$B$4=$BN67,$BO67=$B$15),IF(Data!$B$5="mt2",BT67+$B$18,""),""),"")</f>
        <v/>
      </c>
      <c r="CB67" s="1" t="str">
        <f>IF(OR(Data!$B$3="lh",Data!$B$3="a"),IF(AND(Data!$B$4=$BN67,$BO67=$B$15),IF(Data!$B$5="ms2",BU67,""),""),"")</f>
        <v/>
      </c>
      <c r="CC67" s="1" t="str">
        <f>IF(OR(Data!$B$3="lh",Data!$B$3="a"),IF(AND(Data!$B$4=$BN67,$BO67=$B$15),IF(Data!$B$5="ms4",BV67,""),""),"")</f>
        <v/>
      </c>
    </row>
    <row r="68" spans="3:81" ht="130.5" customHeight="1">
      <c r="C68" s="14"/>
      <c r="D68" s="14"/>
      <c r="E68" s="14"/>
      <c r="F68" s="14"/>
      <c r="G68" s="14"/>
      <c r="H68" s="266"/>
      <c r="R68" s="7" t="s">
        <v>507</v>
      </c>
      <c r="BN68" s="15">
        <v>4</v>
      </c>
      <c r="BO68" s="15">
        <v>2</v>
      </c>
      <c r="BP68" s="15">
        <v>7.5</v>
      </c>
      <c r="BQ68" s="15">
        <v>8.1300000000000008</v>
      </c>
      <c r="BR68" s="15">
        <v>2.875</v>
      </c>
      <c r="BS68" s="15">
        <v>7.4379999999999997</v>
      </c>
      <c r="BT68" s="15">
        <v>5.625</v>
      </c>
      <c r="BU68" s="15">
        <v>2.5</v>
      </c>
      <c r="BV68" s="15">
        <v>3.0619999999999998</v>
      </c>
      <c r="BW68" s="1" t="str">
        <f>IF(OR(Data!$B$3="lh",Data!$B$3="a"),IF(AND(Data!$B$4=BN68,BO68=$B$15),IF(OR(Data!$B$5="mp1",Data!$B$5="mp3"),BP68+$B$18,""),""),"")</f>
        <v/>
      </c>
      <c r="BX68" s="1" t="str">
        <f>IF(OR(Data!$B$3="lh",Data!$B$3="a"),IF(AND(Data!$B$4=$BN68,$BO68=$B$15),IF(Data!$B$5="mp2",BQ68+$B$18,""),""),"")</f>
        <v/>
      </c>
      <c r="BY68" s="1" t="str">
        <f>IF(OR(Data!$B$3="lh",Data!$B$3="a"),IF(AND(Data!$B$4=$BN68,$BO68=$B$15),IF(Data!$B$5="mt1",BR68,""),""),"")</f>
        <v/>
      </c>
      <c r="BZ68" s="1" t="str">
        <f>IF(OR(Data!$B$3="lh",Data!$B$3="a"),IF(AND(Data!$B$4=$BN68,$BO68=$B$15),IF(Data!$B$5="mpu3",BS68+$B$18,""),""),"")</f>
        <v/>
      </c>
      <c r="CA68" s="1" t="str">
        <f>IF(OR(Data!$B$3="lh",Data!$B$3="a"),IF(AND(Data!$B$4=$BN68,$BO68=$B$15),IF(Data!$B$5="mt2",BT68+$B$18,""),""),"")</f>
        <v/>
      </c>
      <c r="CB68" s="1" t="str">
        <f>IF(OR(Data!$B$3="lh",Data!$B$3="a"),IF(AND(Data!$B$4=$BN68,$BO68=$B$15),IF(Data!$B$5="ms2",BU68,""),""),"")</f>
        <v/>
      </c>
      <c r="CC68" s="1" t="str">
        <f>IF(OR(Data!$B$3="lh",Data!$B$3="a"),IF(AND(Data!$B$4=$BN68,$BO68=$B$15),IF(Data!$B$5="ms4",BV68,""),""),"")</f>
        <v/>
      </c>
    </row>
    <row r="69" spans="3:81" ht="127.5" customHeight="1">
      <c r="C69" s="14"/>
      <c r="D69" s="14"/>
      <c r="E69" s="14"/>
      <c r="F69" s="14"/>
      <c r="G69" s="14"/>
      <c r="H69" s="266"/>
      <c r="R69" s="7" t="s">
        <v>572</v>
      </c>
      <c r="BN69" s="15">
        <v>5</v>
      </c>
      <c r="BO69" s="15">
        <v>1</v>
      </c>
      <c r="BP69" s="15">
        <v>7.125</v>
      </c>
      <c r="BQ69" s="15">
        <v>7.75</v>
      </c>
      <c r="BR69" s="15">
        <v>2.25</v>
      </c>
      <c r="BS69" s="15">
        <v>7.0629999999999997</v>
      </c>
      <c r="BT69" s="15">
        <v>5.25</v>
      </c>
      <c r="BU69" s="15">
        <v>2.0619999999999998</v>
      </c>
      <c r="BV69" s="15">
        <v>2.4369999999999998</v>
      </c>
      <c r="BW69" s="1" t="str">
        <f>IF(OR(Data!$B$3="lh",Data!$B$3="a"),IF(AND(Data!$B$4=BN69,BO69=$B$15),IF(OR(Data!$B$5="mp1",Data!$B$5="mp3"),BP69+$B$18,""),""),"")</f>
        <v/>
      </c>
      <c r="BX69" s="1" t="str">
        <f>IF(OR(Data!$B$3="lh",Data!$B$3="a"),IF(AND(Data!$B$4=$BN69,$BO69=$B$15),IF(Data!$B$5="mp2",BQ69+$B$18,""),""),"")</f>
        <v/>
      </c>
      <c r="BY69" s="1" t="str">
        <f>IF(OR(Data!$B$3="lh",Data!$B$3="a"),IF(AND(Data!$B$4=$BN69,$BO69=$B$15),IF(Data!$B$5="mt1",BR69,""),""),"")</f>
        <v/>
      </c>
      <c r="BZ69" s="1" t="str">
        <f>IF(OR(Data!$B$3="lh",Data!$B$3="a"),IF(AND(Data!$B$4=$BN69,$BO69=$B$15),IF(Data!$B$5="mpu3",BS69+$B$18,""),""),"")</f>
        <v/>
      </c>
      <c r="CA69" s="1" t="str">
        <f>IF(OR(Data!$B$3="lh",Data!$B$3="a"),IF(AND(Data!$B$4=$BN69,$BO69=$B$15),IF(Data!$B$5="mt2",BT69+$B$18,""),""),"")</f>
        <v/>
      </c>
      <c r="CB69" s="1" t="str">
        <f>IF(OR(Data!$B$3="lh",Data!$B$3="a"),IF(AND(Data!$B$4=$BN69,$BO69=$B$15),IF(Data!$B$5="ms2",BU69,""),""),"")</f>
        <v/>
      </c>
      <c r="CC69" s="1" t="str">
        <f>IF(OR(Data!$B$3="lh",Data!$B$3="a"),IF(AND(Data!$B$4=$BN69,$BO69=$B$15),IF(Data!$B$5="ms4",BV69,""),""),"")</f>
        <v/>
      </c>
    </row>
    <row r="70" spans="3:81" ht="150.75" customHeight="1">
      <c r="C70" s="14"/>
      <c r="D70" s="14"/>
      <c r="E70" s="14"/>
      <c r="F70" s="14"/>
      <c r="G70" s="14"/>
      <c r="H70" s="266"/>
      <c r="R70" s="7" t="s">
        <v>309</v>
      </c>
      <c r="BN70" s="15">
        <v>5</v>
      </c>
      <c r="BO70" s="15">
        <v>1.375</v>
      </c>
      <c r="BP70" s="15">
        <v>7.375</v>
      </c>
      <c r="BQ70" s="15">
        <v>8</v>
      </c>
      <c r="BR70" s="15">
        <v>2.5</v>
      </c>
      <c r="BS70" s="15">
        <v>7.3129999999999997</v>
      </c>
      <c r="BT70" s="15">
        <v>5.5</v>
      </c>
      <c r="BU70" s="15">
        <v>2.3119999999999998</v>
      </c>
      <c r="BV70" s="15">
        <v>2.6880000000000002</v>
      </c>
      <c r="BW70" s="1" t="str">
        <f>IF(OR(Data!$B$3="lh",Data!$B$3="a"),IF(AND(Data!$B$4=BN70,BO70=$B$15),IF(OR(Data!$B$5="mp1",Data!$B$5="mp3"),BP70+$B$18,""),""),"")</f>
        <v/>
      </c>
      <c r="BX70" s="1" t="str">
        <f>IF(OR(Data!$B$3="lh",Data!$B$3="a"),IF(AND(Data!$B$4=$BN70,$BO70=$B$15),IF(Data!$B$5="mp2",BQ70+$B$18,""),""),"")</f>
        <v/>
      </c>
      <c r="BY70" s="1" t="str">
        <f>IF(OR(Data!$B$3="lh",Data!$B$3="a"),IF(AND(Data!$B$4=$BN70,$BO70=$B$15),IF(Data!$B$5="mt1",BR70,""),""),"")</f>
        <v/>
      </c>
      <c r="BZ70" s="1" t="str">
        <f>IF(OR(Data!$B$3="lh",Data!$B$3="a"),IF(AND(Data!$B$4=$BN70,$BO70=$B$15),IF(Data!$B$5="mpu3",BS70+$B$18,""),""),"")</f>
        <v/>
      </c>
      <c r="CA70" s="1" t="str">
        <f>IF(OR(Data!$B$3="lh",Data!$B$3="a"),IF(AND(Data!$B$4=$BN70,$BO70=$B$15),IF(Data!$B$5="mt2",BT70+$B$18,""),""),"")</f>
        <v/>
      </c>
      <c r="CB70" s="1" t="str">
        <f>IF(OR(Data!$B$3="lh",Data!$B$3="a"),IF(AND(Data!$B$4=$BN70,$BO70=$B$15),IF(Data!$B$5="ms2",BU70,""),""),"")</f>
        <v/>
      </c>
      <c r="CC70" s="1" t="str">
        <f>IF(OR(Data!$B$3="lh",Data!$B$3="a"),IF(AND(Data!$B$4=$BN70,$BO70=$B$15),IF(Data!$B$5="ms4",BV70,""),""),"")</f>
        <v/>
      </c>
    </row>
    <row r="71" spans="3:81" ht="138.75" customHeight="1">
      <c r="C71" s="14"/>
      <c r="D71" s="14"/>
      <c r="E71" s="14"/>
      <c r="F71" s="14"/>
      <c r="G71" s="14"/>
      <c r="H71" s="266"/>
      <c r="R71" s="7" t="s">
        <v>333</v>
      </c>
      <c r="BN71" s="15">
        <v>5</v>
      </c>
      <c r="BO71" s="1">
        <v>1.75</v>
      </c>
      <c r="BP71" s="1">
        <v>7.625</v>
      </c>
      <c r="BQ71" s="1">
        <v>8.25</v>
      </c>
      <c r="BR71" s="1">
        <v>2.75</v>
      </c>
      <c r="BS71" s="1">
        <v>7.5629999999999997</v>
      </c>
      <c r="BT71" s="1">
        <v>5.75</v>
      </c>
      <c r="BU71" s="1">
        <v>2.5619999999999998</v>
      </c>
      <c r="BV71" s="1">
        <v>2.9369999999999998</v>
      </c>
      <c r="BW71" s="1" t="str">
        <f>IF(OR(Data!$B$3="lh",Data!$B$3="a"),IF(AND(Data!$B$4=BN71,BO71=$B$15),IF(OR(Data!$B$5="mp1",Data!$B$5="mp3"),BP71+$B$18,""),""),"")</f>
        <v/>
      </c>
      <c r="BX71" s="1" t="str">
        <f>IF(OR(Data!$B$3="lh",Data!$B$3="a"),IF(AND(Data!$B$4=$BN71,$BO71=$B$15),IF(Data!$B$5="mp2",BQ71+$B$18,""),""),"")</f>
        <v/>
      </c>
      <c r="BY71" s="1" t="str">
        <f>IF(OR(Data!$B$3="lh",Data!$B$3="a"),IF(AND(Data!$B$4=$BN71,$BO71=$B$15),IF(Data!$B$5="mt1",BR71,""),""),"")</f>
        <v/>
      </c>
      <c r="BZ71" s="1" t="str">
        <f>IF(OR(Data!$B$3="lh",Data!$B$3="a"),IF(AND(Data!$B$4=$BN71,$BO71=$B$15),IF(Data!$B$5="mpu3",BS71+$B$18,""),""),"")</f>
        <v/>
      </c>
      <c r="CA71" s="1" t="str">
        <f>IF(OR(Data!$B$3="lh",Data!$B$3="a"),IF(AND(Data!$B$4=$BN71,$BO71=$B$15),IF(Data!$B$5="mt2",BT71+$B$18,""),""),"")</f>
        <v/>
      </c>
      <c r="CB71" s="1" t="str">
        <f>IF(OR(Data!$B$3="lh",Data!$B$3="a"),IF(AND(Data!$B$4=$BN71,$BO71=$B$15),IF(Data!$B$5="ms2",BU71,""),""),"")</f>
        <v/>
      </c>
      <c r="CC71" s="1" t="str">
        <f>IF(OR(Data!$B$3="lh",Data!$B$3="a"),IF(AND(Data!$B$4=$BN71,$BO71=$B$15),IF(Data!$B$5="ms4",BV71,""),""),"")</f>
        <v/>
      </c>
    </row>
    <row r="72" spans="3:81" ht="119.25" customHeight="1">
      <c r="C72" s="14"/>
      <c r="D72" s="14"/>
      <c r="E72" s="14"/>
      <c r="F72" s="14"/>
      <c r="G72" s="14"/>
      <c r="H72" s="266"/>
      <c r="R72" s="7" t="s">
        <v>88</v>
      </c>
      <c r="BN72" s="15">
        <v>5</v>
      </c>
      <c r="BO72" s="1">
        <v>2</v>
      </c>
      <c r="BP72" s="1">
        <v>7.75</v>
      </c>
      <c r="BQ72" s="1">
        <v>8.3800000000000008</v>
      </c>
      <c r="BR72" s="1">
        <v>2.875</v>
      </c>
      <c r="BS72" s="1">
        <v>7.6879999999999997</v>
      </c>
      <c r="BT72" s="1">
        <v>5.875</v>
      </c>
      <c r="BU72" s="1">
        <v>2.6880000000000002</v>
      </c>
      <c r="BV72" s="1">
        <v>3.0619999999999998</v>
      </c>
      <c r="BW72" s="1" t="str">
        <f>IF(OR(Data!$B$3="lh",Data!$B$3="a"),IF(AND(Data!$B$4=BN72,BO72=$B$15),IF(OR(Data!$B$5="mp1",Data!$B$5="mp3"),BP72+$B$18,""),""),"")</f>
        <v/>
      </c>
      <c r="BX72" s="1" t="str">
        <f>IF(OR(Data!$B$3="lh",Data!$B$3="a"),IF(AND(Data!$B$4=$BN72,$BO72=$B$15),IF(Data!$B$5="mp2",BQ72+$B$18,""),""),"")</f>
        <v/>
      </c>
      <c r="BY72" s="1" t="str">
        <f>IF(OR(Data!$B$3="lh",Data!$B$3="a"),IF(AND(Data!$B$4=$BN72,$BO72=$B$15),IF(Data!$B$5="mt1",BR72,""),""),"")</f>
        <v/>
      </c>
      <c r="BZ72" s="1" t="str">
        <f>IF(OR(Data!$B$3="lh",Data!$B$3="a"),IF(AND(Data!$B$4=$BN72,$BO72=$B$15),IF(Data!$B$5="mpu3",BS72+$B$18,""),""),"")</f>
        <v/>
      </c>
      <c r="CA72" s="1" t="str">
        <f>IF(OR(Data!$B$3="lh",Data!$B$3="a"),IF(AND(Data!$B$4=$BN72,$BO72=$B$15),IF(Data!$B$5="mt2",BT72+$B$18,""),""),"")</f>
        <v/>
      </c>
      <c r="CB72" s="1" t="str">
        <f>IF(OR(Data!$B$3="lh",Data!$B$3="a"),IF(AND(Data!$B$4=$BN72,$BO72=$B$15),IF(Data!$B$5="ms2",BU72,""),""),"")</f>
        <v/>
      </c>
      <c r="CC72" s="1" t="str">
        <f>IF(OR(Data!$B$3="lh",Data!$B$3="a"),IF(AND(Data!$B$4=$BN72,$BO72=$B$15),IF(Data!$B$5="ms4",BV72,""),""),"")</f>
        <v/>
      </c>
    </row>
    <row r="73" spans="3:81" ht="118.5" customHeight="1">
      <c r="C73" s="14"/>
      <c r="D73" s="14"/>
      <c r="E73" s="14"/>
      <c r="F73" s="14"/>
      <c r="G73" s="14"/>
      <c r="H73" s="266"/>
      <c r="R73" s="7" t="s">
        <v>321</v>
      </c>
      <c r="BN73" s="1">
        <v>6</v>
      </c>
      <c r="BO73" s="1">
        <v>1.375</v>
      </c>
      <c r="BP73" s="1">
        <v>8.125</v>
      </c>
      <c r="BQ73" s="1">
        <v>8.8800000000000008</v>
      </c>
      <c r="BR73" s="1">
        <v>2.625</v>
      </c>
      <c r="BS73" s="1">
        <v>8.1869999999999994</v>
      </c>
      <c r="BT73" s="1">
        <v>5.875</v>
      </c>
      <c r="BU73" s="1">
        <v>2.3119999999999998</v>
      </c>
      <c r="BV73" s="1">
        <v>2.8130000000000002</v>
      </c>
      <c r="BW73" s="1" t="str">
        <f>IF(OR(Data!$B$3="lh",Data!$B$3="a"),IF(AND(Data!$B$4=BN73,BO73=$B$15),IF(OR(Data!$B$5="mp1",Data!$B$5="mp3"),BP73+$B$18,""),""),"")</f>
        <v/>
      </c>
      <c r="BX73" s="1" t="str">
        <f>IF(OR(Data!$B$3="lh",Data!$B$3="a"),IF(AND(Data!$B$4=$BN73,$BO73=$B$15),IF(Data!$B$5="mp2",BQ73+$B$18,""),""),"")</f>
        <v/>
      </c>
      <c r="BY73" s="1" t="str">
        <f>IF(OR(Data!$B$3="lh",Data!$B$3="a"),IF(AND(Data!$B$4=$BN73,$BO73=$B$15),IF(Data!$B$5="mt1",BR73,""),""),"")</f>
        <v/>
      </c>
      <c r="BZ73" s="1" t="str">
        <f>IF(OR(Data!$B$3="lh",Data!$B$3="a"),IF(AND(Data!$B$4=$BN73,$BO73=$B$15),IF(Data!$B$5="mpu3",BS73+$B$18,""),""),"")</f>
        <v/>
      </c>
      <c r="CA73" s="1" t="str">
        <f>IF(OR(Data!$B$3="lh",Data!$B$3="a"),IF(AND(Data!$B$4=$BN73,$BO73=$B$15),IF(Data!$B$5="mt2",BT73+$B$18,""),""),"")</f>
        <v/>
      </c>
      <c r="CB73" s="1" t="str">
        <f>IF(OR(Data!$B$3="lh",Data!$B$3="a"),IF(AND(Data!$B$4=$BN73,$BO73=$B$15),IF(Data!$B$5="ms2",BU73,""),""),"")</f>
        <v/>
      </c>
      <c r="CC73" s="1" t="str">
        <f>IF(OR(Data!$B$3="lh",Data!$B$3="a"),IF(AND(Data!$B$4=$BN73,$BO73=$B$15),IF(Data!$B$5="ms4",BV73,""),""),"")</f>
        <v/>
      </c>
    </row>
    <row r="74" spans="3:81" ht="120" customHeight="1">
      <c r="C74" s="14"/>
      <c r="D74" s="14"/>
      <c r="E74" s="14"/>
      <c r="F74" s="14"/>
      <c r="G74" s="14"/>
      <c r="H74" s="266"/>
      <c r="R74" s="7" t="s">
        <v>89</v>
      </c>
      <c r="BN74" s="1">
        <v>6</v>
      </c>
      <c r="BO74" s="1">
        <v>1.75</v>
      </c>
      <c r="BP74" s="1">
        <v>8.375</v>
      </c>
      <c r="BQ74" s="1">
        <v>9.1300000000000008</v>
      </c>
      <c r="BR74" s="1">
        <v>2.875</v>
      </c>
      <c r="BS74" s="1">
        <v>8.4369999999999994</v>
      </c>
      <c r="BT74" s="1">
        <v>6.125</v>
      </c>
      <c r="BU74" s="1">
        <v>2.5619999999999998</v>
      </c>
      <c r="BV74" s="1">
        <v>3.0619999999999998</v>
      </c>
      <c r="BW74" s="1" t="str">
        <f>IF(OR(Data!$B$3="lh",Data!$B$3="a"),IF(AND(Data!$B$4=BN74,BO74=$B$15),IF(OR(Data!$B$5="mp1",Data!$B$5="mp3"),BP74+$B$18,""),""),"")</f>
        <v/>
      </c>
      <c r="BX74" s="1" t="str">
        <f>IF(OR(Data!$B$3="lh",Data!$B$3="a"),IF(AND(Data!$B$4=$BN74,$BO74=$B$15),IF(Data!$B$5="mp2",BQ74+$B$18,""),""),"")</f>
        <v/>
      </c>
      <c r="BY74" s="1" t="str">
        <f>IF(OR(Data!$B$3="lh",Data!$B$3="a"),IF(AND(Data!$B$4=$BN74,$BO74=$B$15),IF(Data!$B$5="mt1",BR74,""),""),"")</f>
        <v/>
      </c>
      <c r="BZ74" s="1" t="str">
        <f>IF(OR(Data!$B$3="lh",Data!$B$3="a"),IF(AND(Data!$B$4=$BN74,$BO74=$B$15),IF(Data!$B$5="mpu3",BS74+$B$18,""),""),"")</f>
        <v/>
      </c>
      <c r="CA74" s="1" t="str">
        <f>IF(OR(Data!$B$3="lh",Data!$B$3="a"),IF(AND(Data!$B$4=$BN74,$BO74=$B$15),IF(Data!$B$5="mt2",BT74+$B$18,""),""),"")</f>
        <v/>
      </c>
      <c r="CB74" s="1" t="str">
        <f>IF(OR(Data!$B$3="lh",Data!$B$3="a"),IF(AND(Data!$B$4=$BN74,$BO74=$B$15),IF(Data!$B$5="ms2",BU74,""),""),"")</f>
        <v/>
      </c>
      <c r="CC74" s="1" t="str">
        <f>IF(OR(Data!$B$3="lh",Data!$B$3="a"),IF(AND(Data!$B$4=$BN74,$BO74=$B$15),IF(Data!$B$5="ms4",BV74,""),""),"")</f>
        <v/>
      </c>
    </row>
    <row r="75" spans="3:81" ht="120.75" customHeight="1">
      <c r="C75" s="14"/>
      <c r="D75" s="14"/>
      <c r="E75" s="14"/>
      <c r="F75" s="14"/>
      <c r="G75" s="14"/>
      <c r="H75" s="266"/>
      <c r="R75" s="7" t="s">
        <v>222</v>
      </c>
      <c r="BN75" s="1">
        <v>6</v>
      </c>
      <c r="BO75" s="1">
        <v>2</v>
      </c>
      <c r="BP75" s="1">
        <v>8.5</v>
      </c>
      <c r="BQ75" s="1">
        <v>9.25</v>
      </c>
      <c r="BR75" s="1">
        <v>3</v>
      </c>
      <c r="BS75" s="1">
        <v>8.5619999999999994</v>
      </c>
      <c r="BT75" s="1">
        <v>6.25</v>
      </c>
      <c r="BU75" s="1">
        <v>2.6880000000000002</v>
      </c>
      <c r="BV75" s="1">
        <v>3.1880000000000002</v>
      </c>
      <c r="BW75" s="1" t="str">
        <f>IF(OR(Data!$B$3="lh",Data!$B$3="a"),IF(AND(Data!$B$4=BN75,BO75=$B$15),IF(OR(Data!$B$5="mp1",Data!$B$5="mp3"),BP75+$B$18,""),""),"")</f>
        <v/>
      </c>
      <c r="BX75" s="1" t="str">
        <f>IF(OR(Data!$B$3="lh",Data!$B$3="a"),IF(AND(Data!$B$4=$BN75,$BO75=$B$15),IF(Data!$B$5="mp2",BQ75+$B$18,""),""),"")</f>
        <v/>
      </c>
      <c r="BY75" s="1" t="str">
        <f>IF(OR(Data!$B$3="lh",Data!$B$3="a"),IF(AND(Data!$B$4=$BN75,$BO75=$B$15),IF(Data!$B$5="mt1",BR75,""),""),"")</f>
        <v/>
      </c>
      <c r="BZ75" s="1" t="str">
        <f>IF(OR(Data!$B$3="lh",Data!$B$3="a"),IF(AND(Data!$B$4=$BN75,$BO75=$B$15),IF(Data!$B$5="mpu3",BS75+$B$18,""),""),"")</f>
        <v/>
      </c>
      <c r="CA75" s="1" t="str">
        <f>IF(OR(Data!$B$3="lh",Data!$B$3="a"),IF(AND(Data!$B$4=$BN75,$BO75=$B$15),IF(Data!$B$5="mt2",BT75+$B$18,""),""),"")</f>
        <v/>
      </c>
      <c r="CB75" s="1" t="str">
        <f>IF(OR(Data!$B$3="lh",Data!$B$3="a"),IF(AND(Data!$B$4=$BN75,$BO75=$B$15),IF(Data!$B$5="ms2",BU75,""),""),"")</f>
        <v/>
      </c>
      <c r="CC75" s="1" t="str">
        <f>IF(OR(Data!$B$3="lh",Data!$B$3="a"),IF(AND(Data!$B$4=$BN75,$BO75=$B$15),IF(Data!$B$5="ms4",BV75,""),""),"")</f>
        <v/>
      </c>
    </row>
    <row r="76" spans="3:81">
      <c r="C76" s="14"/>
      <c r="D76" s="14"/>
      <c r="E76" s="14"/>
      <c r="F76" s="14"/>
      <c r="G76" s="14"/>
      <c r="H76" s="266"/>
      <c r="BN76" s="1">
        <v>6</v>
      </c>
      <c r="BO76" s="1">
        <v>2.5</v>
      </c>
      <c r="BP76" s="1">
        <v>8.75</v>
      </c>
      <c r="BQ76" s="1">
        <v>9.5</v>
      </c>
      <c r="BR76" s="1">
        <v>3.25</v>
      </c>
      <c r="BS76" s="1">
        <v>8.8119999999999994</v>
      </c>
      <c r="BT76" s="1">
        <v>6.5</v>
      </c>
      <c r="BU76" s="1">
        <v>2.9369999999999998</v>
      </c>
      <c r="BV76" s="1">
        <v>3.4369999999999998</v>
      </c>
      <c r="BW76" s="1" t="str">
        <f>IF(OR(Data!$B$3="lh",Data!$B$3="a"),IF(AND(Data!$B$4=BN76,BO76=$B$15),IF(OR(Data!$B$5="mp1",Data!$B$5="mp3"),BP76+$B$18,""),""),"")</f>
        <v/>
      </c>
      <c r="BX76" s="1" t="str">
        <f>IF(OR(Data!$B$3="lh",Data!$B$3="a"),IF(AND(Data!$B$4=$BN76,$BO76=$B$15),IF(Data!$B$5="mp2",BQ76+$B$18,""),""),"")</f>
        <v/>
      </c>
      <c r="BY76" s="1" t="str">
        <f>IF(OR(Data!$B$3="lh",Data!$B$3="a"),IF(AND(Data!$B$4=$BN76,$BO76=$B$15),IF(Data!$B$5="mt1",BR76,""),""),"")</f>
        <v/>
      </c>
      <c r="BZ76" s="1" t="str">
        <f>IF(OR(Data!$B$3="lh",Data!$B$3="a"),IF(AND(Data!$B$4=$BN76,$BO76=$B$15),IF(Data!$B$5="mpu3",BS76+$B$18,""),""),"")</f>
        <v/>
      </c>
      <c r="CA76" s="1" t="str">
        <f>IF(OR(Data!$B$3="lh",Data!$B$3="a"),IF(AND(Data!$B$4=$BN76,$BO76=$B$15),IF(Data!$B$5="mt2",BT76+$B$18,""),""),"")</f>
        <v/>
      </c>
      <c r="CB76" s="1" t="str">
        <f>IF(OR(Data!$B$3="lh",Data!$B$3="a"),IF(AND(Data!$B$4=$BN76,$BO76=$B$15),IF(Data!$B$5="ms2",BU76,""),""),"")</f>
        <v/>
      </c>
      <c r="CC76" s="1" t="str">
        <f>IF(OR(Data!$B$3="lh",Data!$B$3="a"),IF(AND(Data!$B$4=$BN76,$BO76=$B$15),IF(Data!$B$5="ms4",BV76,""),""),"")</f>
        <v/>
      </c>
    </row>
    <row r="77" spans="3:81">
      <c r="C77" s="14"/>
      <c r="D77" s="14"/>
      <c r="E77" s="14"/>
      <c r="F77" s="14"/>
      <c r="G77" s="14"/>
      <c r="H77" s="266"/>
      <c r="BN77" s="1">
        <v>7</v>
      </c>
      <c r="BO77" s="1">
        <v>1.375</v>
      </c>
      <c r="BP77" s="1">
        <v>8.25</v>
      </c>
      <c r="BR77" s="1">
        <v>2.625</v>
      </c>
      <c r="BT77" s="1">
        <v>6</v>
      </c>
      <c r="BU77" s="1">
        <v>2.3119999999999998</v>
      </c>
      <c r="BV77" s="1">
        <v>2.8130000000000002</v>
      </c>
      <c r="BW77" s="1" t="str">
        <f>IF(OR(Data!$B$3="lh",Data!$B$3="a"),IF(AND(Data!$B$4=BN77,BO77=$B$15),IF(OR(Data!$B$5="mp1",Data!$B$5="mp3"),BP77+$B$18,""),""),"")</f>
        <v/>
      </c>
      <c r="BX77" s="1" t="str">
        <f>IF(OR(Data!$B$3="lh",Data!$B$3="a"),IF(AND(Data!$B$4=$BN77,$BO77=$B$15),IF(Data!$B$5="mp2",BQ77+$B$18,""),""),"")</f>
        <v/>
      </c>
      <c r="BY77" s="1" t="str">
        <f>IF(OR(Data!$B$3="lh",Data!$B$3="a"),IF(AND(Data!$B$4=$BN77,$BO77=$B$15),IF(Data!$B$5="mt1",BR77,""),""),"")</f>
        <v/>
      </c>
      <c r="BZ77" s="1" t="str">
        <f>IF(OR(Data!$B$3="lh",Data!$B$3="a"),IF(AND(Data!$B$4=$BN77,$BO77=$B$15),IF(Data!$B$5="mpu3",BS77+$B$18,""),""),"")</f>
        <v/>
      </c>
      <c r="CA77" s="1" t="str">
        <f>IF(OR(Data!$B$3="lh",Data!$B$3="a"),IF(AND(Data!$B$4=$BN77,$BO77=$B$15),IF(Data!$B$5="mt2",BT77+$B$18,""),""),"")</f>
        <v/>
      </c>
      <c r="CB77" s="1" t="str">
        <f>IF(OR(Data!$B$3="lh",Data!$B$3="a"),IF(AND(Data!$B$4=$BN77,$BO77=$B$15),IF(Data!$B$5="ms2",BU77,""),""),"")</f>
        <v/>
      </c>
      <c r="CC77" s="1" t="str">
        <f>IF(OR(Data!$B$3="lh",Data!$B$3="a"),IF(AND(Data!$B$4=$BN77,$BO77=$B$15),IF(Data!$B$5="ms4",BV77,""),""),"")</f>
        <v/>
      </c>
    </row>
    <row r="78" spans="3:81">
      <c r="C78" s="14"/>
      <c r="D78" s="14"/>
      <c r="E78" s="14"/>
      <c r="F78" s="14"/>
      <c r="G78" s="14"/>
      <c r="H78" s="266"/>
      <c r="BN78" s="1">
        <v>7</v>
      </c>
      <c r="BO78" s="1">
        <v>1.75</v>
      </c>
      <c r="BP78" s="1">
        <v>8.5</v>
      </c>
      <c r="BR78" s="1">
        <v>2.875</v>
      </c>
      <c r="BT78" s="1">
        <v>6.25</v>
      </c>
      <c r="BU78" s="1">
        <v>2.5619999999999998</v>
      </c>
      <c r="BV78" s="1">
        <v>3.0619999999999998</v>
      </c>
      <c r="BW78" s="1" t="str">
        <f>IF(OR(Data!$B$3="lh",Data!$B$3="a"),IF(AND(Data!$B$4=BN78,BO78=$B$15),IF(OR(Data!$B$5="mp1",Data!$B$5="mp3"),BP78+$B$18,""),""),"")</f>
        <v/>
      </c>
      <c r="BX78" s="1" t="str">
        <f>IF(OR(Data!$B$3="lh",Data!$B$3="a"),IF(AND(Data!$B$4=$BN78,$BO78=$B$15),IF(Data!$B$5="mp2",BQ78+$B$18,""),""),"")</f>
        <v/>
      </c>
      <c r="BY78" s="1" t="str">
        <f>IF(OR(Data!$B$3="lh",Data!$B$3="a"),IF(AND(Data!$B$4=$BN78,$BO78=$B$15),IF(Data!$B$5="mt1",BR78,""),""),"")</f>
        <v/>
      </c>
      <c r="BZ78" s="1" t="str">
        <f>IF(OR(Data!$B$3="lh",Data!$B$3="a"),IF(AND(Data!$B$4=$BN78,$BO78=$B$15),IF(Data!$B$5="mpu3",BS78+$B$18,""),""),"")</f>
        <v/>
      </c>
      <c r="CA78" s="1" t="str">
        <f>IF(OR(Data!$B$3="lh",Data!$B$3="a"),IF(AND(Data!$B$4=$BN78,$BO78=$B$15),IF(Data!$B$5="mt2",BT78+$B$18,""),""),"")</f>
        <v/>
      </c>
      <c r="CB78" s="1" t="str">
        <f>IF(OR(Data!$B$3="lh",Data!$B$3="a"),IF(AND(Data!$B$4=$BN78,$BO78=$B$15),IF(Data!$B$5="ms2",BU78,""),""),"")</f>
        <v/>
      </c>
      <c r="CC78" s="1" t="str">
        <f>IF(OR(Data!$B$3="lh",Data!$B$3="a"),IF(AND(Data!$B$4=$BN78,$BO78=$B$15),IF(Data!$B$5="ms4",BV78,""),""),"")</f>
        <v/>
      </c>
    </row>
    <row r="79" spans="3:81">
      <c r="C79" s="14"/>
      <c r="D79" s="14"/>
      <c r="E79" s="14"/>
      <c r="F79" s="14"/>
      <c r="G79" s="14"/>
      <c r="H79" s="266"/>
      <c r="BN79" s="1">
        <v>7</v>
      </c>
      <c r="BO79" s="1">
        <v>2</v>
      </c>
      <c r="BP79" s="1">
        <v>8.625</v>
      </c>
      <c r="BR79" s="1">
        <v>3</v>
      </c>
      <c r="BT79" s="1">
        <v>6.375</v>
      </c>
      <c r="BU79" s="1">
        <v>2.6880000000000002</v>
      </c>
      <c r="BV79" s="1">
        <v>3.1880000000000002</v>
      </c>
      <c r="BW79" s="1" t="str">
        <f>IF(OR(Data!$B$3="lh",Data!$B$3="a"),IF(AND(Data!$B$4=BN79,BO79=$B$15),IF(OR(Data!$B$5="mp1",Data!$B$5="mp3"),BP79+$B$18,""),""),"")</f>
        <v/>
      </c>
      <c r="BX79" s="1" t="str">
        <f>IF(OR(Data!$B$3="lh",Data!$B$3="a"),IF(AND(Data!$B$4=$BN79,$BO79=$B$15),IF(Data!$B$5="mp2",BQ79+$B$18,""),""),"")</f>
        <v/>
      </c>
      <c r="BY79" s="1" t="str">
        <f>IF(OR(Data!$B$3="lh",Data!$B$3="a"),IF(AND(Data!$B$4=$BN79,$BO79=$B$15),IF(Data!$B$5="mt1",BR79,""),""),"")</f>
        <v/>
      </c>
      <c r="BZ79" s="1" t="str">
        <f>IF(OR(Data!$B$3="lh",Data!$B$3="a"),IF(AND(Data!$B$4=$BN79,$BO79=$B$15),IF(Data!$B$5="mpu3",BS79+$B$18,""),""),"")</f>
        <v/>
      </c>
      <c r="CA79" s="1" t="str">
        <f>IF(OR(Data!$B$3="lh",Data!$B$3="a"),IF(AND(Data!$B$4=$BN79,$BO79=$B$15),IF(Data!$B$5="mt2",BT79+$B$18,""),""),"")</f>
        <v/>
      </c>
      <c r="CB79" s="1" t="str">
        <f>IF(OR(Data!$B$3="lh",Data!$B$3="a"),IF(AND(Data!$B$4=$BN79,$BO79=$B$15),IF(Data!$B$5="ms2",BU79,""),""),"")</f>
        <v/>
      </c>
      <c r="CC79" s="1" t="str">
        <f>IF(OR(Data!$B$3="lh",Data!$B$3="a"),IF(AND(Data!$B$4=$BN79,$BO79=$B$15),IF(Data!$B$5="ms4",BV79,""),""),"")</f>
        <v/>
      </c>
    </row>
    <row r="80" spans="3:81">
      <c r="C80" s="14"/>
      <c r="D80" s="14"/>
      <c r="E80" s="14"/>
      <c r="F80" s="14"/>
      <c r="G80" s="14"/>
      <c r="H80" s="266"/>
      <c r="BN80" s="1">
        <v>7</v>
      </c>
      <c r="BO80" s="1">
        <v>2.5</v>
      </c>
      <c r="BP80" s="1">
        <v>8.875</v>
      </c>
      <c r="BR80" s="1">
        <v>3.25</v>
      </c>
      <c r="BT80" s="1">
        <v>6.625</v>
      </c>
      <c r="BU80" s="1">
        <v>2.9369999999999998</v>
      </c>
      <c r="BV80" s="1">
        <v>3.4369999999999998</v>
      </c>
      <c r="BW80" s="1" t="str">
        <f>IF(OR(Data!$B$3="lh",Data!$B$3="a"),IF(AND(Data!$B$4=BN80,BO80=$B$15),IF(OR(Data!$B$5="mp1",Data!$B$5="mp3"),BP80+$B$18,""),""),"")</f>
        <v/>
      </c>
      <c r="BX80" s="1" t="str">
        <f>IF(OR(Data!$B$3="lh",Data!$B$3="a"),IF(AND(Data!$B$4=$BN80,$BO80=$B$15),IF(Data!$B$5="mp2",BQ80+$B$18,""),""),"")</f>
        <v/>
      </c>
      <c r="BY80" s="1" t="str">
        <f>IF(OR(Data!$B$3="lh",Data!$B$3="a"),IF(AND(Data!$B$4=$BN80,$BO80=$B$15),IF(Data!$B$5="mt1",BR80,""),""),"")</f>
        <v/>
      </c>
      <c r="BZ80" s="1" t="str">
        <f>IF(OR(Data!$B$3="lh",Data!$B$3="a"),IF(AND(Data!$B$4=$BN80,$BO80=$B$15),IF(Data!$B$5="mpu3",BS80+$B$18,""),""),"")</f>
        <v/>
      </c>
      <c r="CA80" s="1" t="str">
        <f>IF(OR(Data!$B$3="lh",Data!$B$3="a"),IF(AND(Data!$B$4=$BN80,$BO80=$B$15),IF(Data!$B$5="mt2",BT80+$B$18,""),""),"")</f>
        <v/>
      </c>
      <c r="CB80" s="1" t="str">
        <f>IF(OR(Data!$B$3="lh",Data!$B$3="a"),IF(AND(Data!$B$4=$BN80,$BO80=$B$15),IF(Data!$B$5="ms2",BU80,""),""),"")</f>
        <v/>
      </c>
      <c r="CC80" s="1" t="str">
        <f>IF(OR(Data!$B$3="lh",Data!$B$3="a"),IF(AND(Data!$B$4=$BN80,$BO80=$B$15),IF(Data!$B$5="ms4",BV80,""),""),"")</f>
        <v/>
      </c>
    </row>
    <row r="81" spans="3:81">
      <c r="C81" s="14"/>
      <c r="D81" s="14"/>
      <c r="E81" s="14"/>
      <c r="F81" s="14"/>
      <c r="G81" s="14"/>
      <c r="H81" s="266"/>
      <c r="BN81" s="1">
        <v>8</v>
      </c>
      <c r="BO81" s="1">
        <v>1.375</v>
      </c>
      <c r="BP81" s="1">
        <v>8.25</v>
      </c>
      <c r="BR81" s="1">
        <v>2.625</v>
      </c>
      <c r="BT81" s="1">
        <v>6</v>
      </c>
      <c r="BU81" s="1">
        <v>2.3119999999999998</v>
      </c>
      <c r="BV81" s="1">
        <v>2.8130000000000002</v>
      </c>
      <c r="BW81" s="1" t="str">
        <f>IF(OR(Data!$B$3="lh",Data!$B$3="a"),IF(AND(Data!$B$4=BN81,BO81=$B$15),IF(OR(Data!$B$5="mp1",Data!$B$5="mp3"),BP81+$B$18,""),""),"")</f>
        <v/>
      </c>
      <c r="BX81" s="1" t="str">
        <f>IF(OR(Data!$B$3="lh",Data!$B$3="a"),IF(AND(Data!$B$4=$BN81,$BO81=$B$15),IF(Data!$B$5="mp2",BQ81+$B$18,""),""),"")</f>
        <v/>
      </c>
      <c r="BY81" s="1" t="str">
        <f>IF(OR(Data!$B$3="lh",Data!$B$3="a"),IF(AND(Data!$B$4=$BN81,$BO81=$B$15),IF(Data!$B$5="mt1",BR81,""),""),"")</f>
        <v/>
      </c>
      <c r="BZ81" s="1" t="str">
        <f>IF(OR(Data!$B$3="lh",Data!$B$3="a"),IF(AND(Data!$B$4=$BN81,$BO81=$B$15),IF(Data!$B$5="mpu3",BS81+$B$18,""),""),"")</f>
        <v/>
      </c>
      <c r="CA81" s="1" t="str">
        <f>IF(OR(Data!$B$3="lh",Data!$B$3="a"),IF(AND(Data!$B$4=$BN81,$BO81=$B$15),IF(Data!$B$5="mt2",BT81+$B$18,""),""),"")</f>
        <v/>
      </c>
      <c r="CB81" s="1" t="str">
        <f>IF(OR(Data!$B$3="lh",Data!$B$3="a"),IF(AND(Data!$B$4=$BN81,$BO81=$B$15),IF(Data!$B$5="ms2",BU81,""),""),"")</f>
        <v/>
      </c>
      <c r="CC81" s="1" t="str">
        <f>IF(OR(Data!$B$3="lh",Data!$B$3="a"),IF(AND(Data!$B$4=$BN81,$BO81=$B$15),IF(Data!$B$5="ms4",BV81,""),""),"")</f>
        <v/>
      </c>
    </row>
    <row r="82" spans="3:81">
      <c r="C82" s="14"/>
      <c r="D82" s="14"/>
      <c r="E82" s="14"/>
      <c r="F82" s="14"/>
      <c r="G82" s="14"/>
      <c r="H82" s="266"/>
      <c r="BN82" s="1">
        <v>8</v>
      </c>
      <c r="BO82" s="1">
        <v>1.75</v>
      </c>
      <c r="BP82" s="1">
        <v>8.5</v>
      </c>
      <c r="BR82" s="1">
        <v>2.875</v>
      </c>
      <c r="BT82" s="1">
        <v>6.25</v>
      </c>
      <c r="BU82" s="1">
        <v>2.5619999999999998</v>
      </c>
      <c r="BV82" s="1">
        <v>3.0619999999999998</v>
      </c>
      <c r="BW82" s="1" t="str">
        <f>IF(OR(Data!$B$3="lh",Data!$B$3="a"),IF(AND(Data!$B$4=BN82,BO82=$B$15),IF(OR(Data!$B$5="mp1",Data!$B$5="mp3"),BP82+$B$18,""),""),"")</f>
        <v/>
      </c>
      <c r="BX82" s="1" t="str">
        <f>IF(OR(Data!$B$3="lh",Data!$B$3="a"),IF(AND(Data!$B$4=$BN82,$BO82=$B$15),IF(Data!$B$5="mp2",BQ82+$B$18,""),""),"")</f>
        <v/>
      </c>
      <c r="BY82" s="1" t="str">
        <f>IF(OR(Data!$B$3="lh",Data!$B$3="a"),IF(AND(Data!$B$4=$BN82,$BO82=$B$15),IF(Data!$B$5="mt1",BR82,""),""),"")</f>
        <v/>
      </c>
      <c r="BZ82" s="1" t="str">
        <f>IF(OR(Data!$B$3="lh",Data!$B$3="a"),IF(AND(Data!$B$4=$BN82,$BO82=$B$15),IF(Data!$B$5="mpu3",BS82+$B$18,""),""),"")</f>
        <v/>
      </c>
      <c r="CA82" s="1" t="str">
        <f>IF(OR(Data!$B$3="lh",Data!$B$3="a"),IF(AND(Data!$B$4=$BN82,$BO82=$B$15),IF(Data!$B$5="mt2",BT82+$B$18,""),""),"")</f>
        <v/>
      </c>
      <c r="CB82" s="1" t="str">
        <f>IF(OR(Data!$B$3="lh",Data!$B$3="a"),IF(AND(Data!$B$4=$BN82,$BO82=$B$15),IF(Data!$B$5="ms2",BU82,""),""),"")</f>
        <v/>
      </c>
      <c r="CC82" s="1" t="str">
        <f>IF(OR(Data!$B$3="lh",Data!$B$3="a"),IF(AND(Data!$B$4=$BN82,$BO82=$B$15),IF(Data!$B$5="ms4",BV82,""),""),"")</f>
        <v/>
      </c>
    </row>
    <row r="83" spans="3:81">
      <c r="C83" s="14"/>
      <c r="D83" s="14"/>
      <c r="E83" s="14"/>
      <c r="F83" s="14"/>
      <c r="G83" s="14"/>
      <c r="H83" s="266"/>
      <c r="BN83" s="1">
        <v>8</v>
      </c>
      <c r="BO83" s="1">
        <v>2</v>
      </c>
      <c r="BP83" s="1">
        <v>8.625</v>
      </c>
      <c r="BR83" s="1">
        <v>3</v>
      </c>
      <c r="BT83" s="1">
        <v>6.375</v>
      </c>
      <c r="BU83" s="1">
        <v>2.6880000000000002</v>
      </c>
      <c r="BV83" s="1">
        <v>3.1880000000000002</v>
      </c>
      <c r="BW83" s="1" t="str">
        <f>IF(OR(Data!$B$3="lh",Data!$B$3="a"),IF(AND(Data!$B$4=BN83,BO83=$B$15),IF(OR(Data!$B$5="mp1",Data!$B$5="mp3"),BP83+$B$18,""),""),"")</f>
        <v/>
      </c>
      <c r="BX83" s="1" t="str">
        <f>IF(OR(Data!$B$3="lh",Data!$B$3="a"),IF(AND(Data!$B$4=$BN83,$BO83=$B$15),IF(Data!$B$5="mp2",BQ83+$B$18,""),""),"")</f>
        <v/>
      </c>
      <c r="BY83" s="1" t="str">
        <f>IF(OR(Data!$B$3="lh",Data!$B$3="a"),IF(AND(Data!$B$4=$BN83,$BO83=$B$15),IF(Data!$B$5="mt1",BR83,""),""),"")</f>
        <v/>
      </c>
      <c r="BZ83" s="1" t="str">
        <f>IF(OR(Data!$B$3="lh",Data!$B$3="a"),IF(AND(Data!$B$4=$BN83,$BO83=$B$15),IF(Data!$B$5="mpu3",BS83+$B$18,""),""),"")</f>
        <v/>
      </c>
      <c r="CA83" s="1" t="str">
        <f>IF(OR(Data!$B$3="lh",Data!$B$3="a"),IF(AND(Data!$B$4=$BN83,$BO83=$B$15),IF(Data!$B$5="mt2",BT83+$B$18,""),""),"")</f>
        <v/>
      </c>
      <c r="CB83" s="1" t="str">
        <f>IF(OR(Data!$B$3="lh",Data!$B$3="a"),IF(AND(Data!$B$4=$BN83,$BO83=$B$15),IF(Data!$B$5="ms2",BU83,""),""),"")</f>
        <v/>
      </c>
      <c r="CC83" s="1" t="str">
        <f>IF(OR(Data!$B$3="lh",Data!$B$3="a"),IF(AND(Data!$B$4=$BN83,$BO83=$B$15),IF(Data!$B$5="ms4",BV83,""),""),"")</f>
        <v/>
      </c>
    </row>
    <row r="84" spans="3:81">
      <c r="C84" s="14"/>
      <c r="D84" s="14"/>
      <c r="E84" s="14"/>
      <c r="F84" s="14"/>
      <c r="G84" s="14"/>
      <c r="H84" s="266"/>
      <c r="BN84" s="1">
        <v>8</v>
      </c>
      <c r="BO84" s="1">
        <v>2.5</v>
      </c>
      <c r="BP84" s="1">
        <v>8.875</v>
      </c>
      <c r="BR84" s="1">
        <v>3.25</v>
      </c>
      <c r="BT84" s="1">
        <v>6.625</v>
      </c>
      <c r="BU84" s="1">
        <v>2.9369999999999998</v>
      </c>
      <c r="BV84" s="1">
        <v>3.4369999999999998</v>
      </c>
      <c r="BW84" s="1" t="str">
        <f>IF(OR(Data!$B$3="lh",Data!$B$3="a"),IF(AND(Data!$B$4=BN84,BO84=$B$15),IF(OR(Data!$B$5="mp1",Data!$B$5="mp3"),BP84+$B$18,""),""),"")</f>
        <v/>
      </c>
      <c r="BX84" s="1" t="str">
        <f>IF(OR(Data!$B$3="lh",Data!$B$3="a"),IF(AND(Data!$B$4=$BN84,$BO84=$B$15),IF(Data!$B$5="mp2",BQ84+$B$18,""),""),"")</f>
        <v/>
      </c>
      <c r="BY84" s="1" t="str">
        <f>IF(OR(Data!$B$3="lh",Data!$B$3="a"),IF(AND(Data!$B$4=$BN84,$BO84=$B$15),IF(Data!$B$5="mt1",BR84,""),""),"")</f>
        <v/>
      </c>
      <c r="BZ84" s="1" t="str">
        <f>IF(OR(Data!$B$3="lh",Data!$B$3="a"),IF(AND(Data!$B$4=$BN84,$BO84=$B$15),IF(Data!$B$5="mpu3",BS84+$B$18,""),""),"")</f>
        <v/>
      </c>
      <c r="CA84" s="1" t="str">
        <f>IF(OR(Data!$B$3="lh",Data!$B$3="a"),IF(AND(Data!$B$4=$BN84,$BO84=$B$15),IF(Data!$B$5="mt2",BT84+$B$18,""),""),"")</f>
        <v/>
      </c>
      <c r="CB84" s="1" t="str">
        <f>IF(OR(Data!$B$3="lh",Data!$B$3="a"),IF(AND(Data!$B$4=$BN84,$BO84=$B$15),IF(Data!$B$5="ms2",BU84,""),""),"")</f>
        <v/>
      </c>
      <c r="CC84" s="1" t="str">
        <f>IF(OR(Data!$B$3="lh",Data!$B$3="a"),IF(AND(Data!$B$4=$BN84,$BO84=$B$15),IF(Data!$B$5="ms4",BV84,""),""),"")</f>
        <v/>
      </c>
    </row>
    <row r="85" spans="3:81">
      <c r="C85" s="14"/>
      <c r="D85" s="14"/>
      <c r="E85" s="14"/>
      <c r="F85" s="14"/>
      <c r="G85" s="14"/>
      <c r="H85" s="266"/>
      <c r="BN85" s="1">
        <v>10</v>
      </c>
      <c r="BO85" s="1">
        <v>1.75</v>
      </c>
      <c r="BP85" s="1">
        <v>10.375</v>
      </c>
      <c r="BR85" s="1">
        <v>3</v>
      </c>
      <c r="BT85" s="1">
        <v>7.25</v>
      </c>
      <c r="BW85" s="1" t="str">
        <f>IF(OR(Data!$B$3="lh",Data!$B$3="a"),IF(AND(Data!$B$4=BN85,BO85=$B$15),IF(OR(Data!$B$5="mp1",Data!$B$5="mp3"),BP85+$B$18,""),""),"")</f>
        <v/>
      </c>
      <c r="BX85" s="1" t="str">
        <f>IF(OR(Data!$B$3="lh",Data!$B$3="a"),IF(AND(Data!$B$4=$BN85,$BO85=$B$15),IF(Data!$B$5="mp2",BQ85+$B$18,""),""),"")</f>
        <v/>
      </c>
      <c r="BY85" s="1" t="str">
        <f>IF(OR(Data!$B$3="lh",Data!$B$3="a"),IF(AND(Data!$B$4=$BN85,$BO85=$B$15),IF(Data!$B$5="mt1",BR85,""),""),"")</f>
        <v/>
      </c>
      <c r="BZ85" s="1" t="str">
        <f>IF(OR(Data!$B$3="lh",Data!$B$3="a"),IF(AND(Data!$B$4=$BN85,$BO85=$B$15),IF(Data!$B$5="mpu3",BS85+$B$18,""),""),"")</f>
        <v/>
      </c>
      <c r="CA85" s="1" t="str">
        <f>IF(OR(Data!$B$3="lh",Data!$B$3="a"),IF(AND(Data!$B$4=$BN85,$BO85=$B$15),IF(Data!$B$5="mt2",BT85+$B$18,""),""),"")</f>
        <v/>
      </c>
      <c r="CB85" s="1" t="str">
        <f>IF(OR(Data!$B$3="lh",Data!$B$3="a"),IF(AND(Data!$B$4=$BN85,$BO85=$B$15),IF(Data!$B$5="ms2",BU85,""),""),"")</f>
        <v/>
      </c>
      <c r="CC85" s="1" t="str">
        <f>IF(OR(Data!$B$3="lh",Data!$B$3="a"),IF(AND(Data!$B$4=$BN85,$BO85=$B$15),IF(Data!$B$5="ms4",BV85,""),""),"")</f>
        <v/>
      </c>
    </row>
    <row r="86" spans="3:81">
      <c r="C86" s="14"/>
      <c r="D86" s="14"/>
      <c r="E86" s="14"/>
      <c r="F86" s="14"/>
      <c r="G86" s="14"/>
      <c r="H86" s="266"/>
      <c r="BN86" s="1">
        <v>10</v>
      </c>
      <c r="BO86" s="1">
        <v>2</v>
      </c>
      <c r="BP86" s="1">
        <v>10.5</v>
      </c>
      <c r="BR86" s="1">
        <v>3.125</v>
      </c>
      <c r="BT86" s="1">
        <v>7.375</v>
      </c>
      <c r="BW86" s="1" t="str">
        <f>IF(OR(Data!$B$3="lh",Data!$B$3="a"),IF(AND(Data!$B$4=BN86,BO86=$B$15),IF(OR(Data!$B$5="mp1",Data!$B$5="mp3"),BP86+$B$18,""),""),"")</f>
        <v/>
      </c>
      <c r="BX86" s="1" t="str">
        <f>IF(OR(Data!$B$3="lh",Data!$B$3="a"),IF(AND(Data!$B$4=$BN86,$BO86=$B$15),IF(Data!$B$5="mp2",BQ86+$B$18,""),""),"")</f>
        <v/>
      </c>
      <c r="BY86" s="1" t="str">
        <f>IF(OR(Data!$B$3="lh",Data!$B$3="a"),IF(AND(Data!$B$4=$BN86,$BO86=$B$15),IF(Data!$B$5="mt1",BR86,""),""),"")</f>
        <v/>
      </c>
      <c r="BZ86" s="1" t="str">
        <f>IF(OR(Data!$B$3="lh",Data!$B$3="a"),IF(AND(Data!$B$4=$BN86,$BO86=$B$15),IF(Data!$B$5="mpu3",BS86+$B$18,""),""),"")</f>
        <v/>
      </c>
      <c r="CA86" s="1" t="str">
        <f>IF(OR(Data!$B$3="lh",Data!$B$3="a"),IF(AND(Data!$B$4=$BN86,$BO86=$B$15),IF(Data!$B$5="mt2",BT86+$B$18,""),""),"")</f>
        <v/>
      </c>
      <c r="CB86" s="1" t="str">
        <f>IF(OR(Data!$B$3="lh",Data!$B$3="a"),IF(AND(Data!$B$4=$BN86,$BO86=$B$15),IF(Data!$B$5="ms2",BU86,""),""),"")</f>
        <v/>
      </c>
      <c r="CC86" s="1" t="str">
        <f>IF(OR(Data!$B$3="lh",Data!$B$3="a"),IF(AND(Data!$B$4=$BN86,$BO86=$B$15),IF(Data!$B$5="ms4",BV86,""),""),"")</f>
        <v/>
      </c>
    </row>
    <row r="87" spans="3:81">
      <c r="C87" s="14"/>
      <c r="D87" s="14"/>
      <c r="E87" s="14"/>
      <c r="F87" s="14"/>
      <c r="G87" s="14"/>
      <c r="H87" s="266"/>
      <c r="BN87" s="1">
        <v>10</v>
      </c>
      <c r="BO87" s="1">
        <v>2.5</v>
      </c>
      <c r="BP87" s="1">
        <v>10.75</v>
      </c>
      <c r="BR87" s="1">
        <v>3.375</v>
      </c>
      <c r="BT87" s="1">
        <v>7.625</v>
      </c>
      <c r="BW87" s="1" t="str">
        <f>IF(OR(Data!$B$3="lh",Data!$B$3="a"),IF(AND(Data!$B$4=BN87,BO87=$B$15),IF(OR(Data!$B$5="mp1",Data!$B$5="mp3"),BP87+$B$18,""),""),"")</f>
        <v/>
      </c>
      <c r="BX87" s="1" t="str">
        <f>IF(OR(Data!$B$3="lh",Data!$B$3="a"),IF(AND(Data!$B$4=$BN87,$BO87=$B$15),IF(Data!$B$5="mp2",BQ87+$B$18,""),""),"")</f>
        <v/>
      </c>
      <c r="BY87" s="1" t="str">
        <f>IF(OR(Data!$B$3="lh",Data!$B$3="a"),IF(AND(Data!$B$4=$BN87,$BO87=$B$15),IF(Data!$B$5="mt1",BR87,""),""),"")</f>
        <v/>
      </c>
      <c r="BZ87" s="1" t="str">
        <f>IF(OR(Data!$B$3="lh",Data!$B$3="a"),IF(AND(Data!$B$4=$BN87,$BO87=$B$15),IF(Data!$B$5="mpu3",BS87+$B$18,""),""),"")</f>
        <v/>
      </c>
      <c r="CA87" s="1" t="str">
        <f>IF(OR(Data!$B$3="lh",Data!$B$3="a"),IF(AND(Data!$B$4=$BN87,$BO87=$B$15),IF(Data!$B$5="mt2",BT87+$B$18,""),""),"")</f>
        <v/>
      </c>
      <c r="CB87" s="1" t="str">
        <f>IF(OR(Data!$B$3="lh",Data!$B$3="a"),IF(AND(Data!$B$4=$BN87,$BO87=$B$15),IF(Data!$B$5="ms2",BU87,""),""),"")</f>
        <v/>
      </c>
      <c r="CC87" s="1" t="str">
        <f>IF(OR(Data!$B$3="lh",Data!$B$3="a"),IF(AND(Data!$B$4=$BN87,$BO87=$B$15),IF(Data!$B$5="ms4",BV87,""),""),"")</f>
        <v/>
      </c>
    </row>
    <row r="88" spans="3:81">
      <c r="C88" s="14"/>
      <c r="D88" s="14"/>
      <c r="E88" s="14"/>
      <c r="F88" s="14"/>
      <c r="G88" s="14"/>
      <c r="H88" s="266"/>
      <c r="BN88" s="1">
        <v>10</v>
      </c>
      <c r="BO88" s="1">
        <v>3</v>
      </c>
      <c r="BP88" s="1">
        <v>10.75</v>
      </c>
      <c r="BR88" s="1">
        <v>3.375</v>
      </c>
      <c r="BT88" s="1">
        <v>7.625</v>
      </c>
      <c r="BW88" s="1" t="str">
        <f>IF(OR(Data!$B$3="lh",Data!$B$3="a"),IF(AND(Data!$B$4=BN88,BO88=$B$15),IF(OR(Data!$B$5="mp1",Data!$B$5="mp3"),BP88+$B$18,""),""),"")</f>
        <v/>
      </c>
      <c r="BX88" s="1" t="str">
        <f>IF(OR(Data!$B$3="lh",Data!$B$3="a"),IF(AND(Data!$B$4=$BN88,$BO88=$B$15),IF(Data!$B$5="mp2",BQ88+$B$18,""),""),"")</f>
        <v/>
      </c>
      <c r="BY88" s="1" t="str">
        <f>IF(OR(Data!$B$3="lh",Data!$B$3="a"),IF(AND(Data!$B$4=$BN88,$BO88=$B$15),IF(Data!$B$5="mt1",BR88,""),""),"")</f>
        <v/>
      </c>
      <c r="BZ88" s="1" t="str">
        <f>IF(OR(Data!$B$3="lh",Data!$B$3="a"),IF(AND(Data!$B$4=$BN88,$BO88=$B$15),IF(Data!$B$5="mpu3",BS88+$B$18,""),""),"")</f>
        <v/>
      </c>
      <c r="CA88" s="1" t="str">
        <f>IF(OR(Data!$B$3="lh",Data!$B$3="a"),IF(AND(Data!$B$4=$BN88,$BO88=$B$15),IF(Data!$B$5="mt2",BT88+$B$18,""),""),"")</f>
        <v/>
      </c>
      <c r="CB88" s="1" t="str">
        <f>IF(OR(Data!$B$3="lh",Data!$B$3="a"),IF(AND(Data!$B$4=$BN88,$BO88=$B$15),IF(Data!$B$5="ms2",BU88,""),""),"")</f>
        <v/>
      </c>
      <c r="CC88" s="1" t="str">
        <f>IF(OR(Data!$B$3="lh",Data!$B$3="a"),IF(AND(Data!$B$4=$BN88,$BO88=$B$15),IF(Data!$B$5="ms4",BV88,""),""),"")</f>
        <v/>
      </c>
    </row>
    <row r="89" spans="3:81">
      <c r="BN89" s="1">
        <v>10</v>
      </c>
      <c r="BO89" s="1">
        <v>3.5</v>
      </c>
      <c r="BP89" s="1">
        <v>10.75</v>
      </c>
      <c r="BR89" s="1">
        <v>3.375</v>
      </c>
      <c r="BT89" s="1">
        <v>7.63</v>
      </c>
      <c r="BW89" s="1" t="str">
        <f>IF(OR(Data!$B$3="lh",Data!$B$3="a"),IF(AND(Data!$B$4=BN89,BO89=$B$15),IF(OR(Data!$B$5="mp1",Data!$B$5="mp3"),BP89+$B$18,""),""),"")</f>
        <v/>
      </c>
      <c r="BX89" s="1" t="str">
        <f>IF(OR(Data!$B$3="lh",Data!$B$3="a"),IF(AND(Data!$B$4=$BN89,$BO89=$B$15),IF(Data!$B$5="mp2",BQ89+$B$18,""),""),"")</f>
        <v/>
      </c>
      <c r="BY89" s="1" t="str">
        <f>IF(OR(Data!$B$3="lh",Data!$B$3="a"),IF(AND(Data!$B$4=$BN89,$BO89=$B$15),IF(Data!$B$5="mt1",BR89,""),""),"")</f>
        <v/>
      </c>
      <c r="BZ89" s="1" t="str">
        <f>IF(OR(Data!$B$3="lh",Data!$B$3="a"),IF(AND(Data!$B$4=$BN89,$BO89=$B$15),IF(Data!$B$5="mpu3",BS89+$B$18,""),""),"")</f>
        <v/>
      </c>
      <c r="CA89" s="1" t="str">
        <f>IF(OR(Data!$B$3="lh",Data!$B$3="a"),IF(AND(Data!$B$4=$BN89,$BO89=$B$15),IF(Data!$B$5="mt2",BT89+$B$18,""),""),"")</f>
        <v/>
      </c>
      <c r="CB89" s="1" t="str">
        <f>IF(OR(Data!$B$3="lh",Data!$B$3="a"),IF(AND(Data!$B$4=$BN89,$BO89=$B$15),IF(Data!$B$5="ms2",BU89,""),""),"")</f>
        <v/>
      </c>
      <c r="CC89" s="1" t="str">
        <f>IF(OR(Data!$B$3="lh",Data!$B$3="a"),IF(AND(Data!$B$4=$BN89,$BO89=$B$15),IF(Data!$B$5="ms4",BV89,""),""),"")</f>
        <v/>
      </c>
    </row>
    <row r="90" spans="3:81">
      <c r="BN90" s="1">
        <v>12</v>
      </c>
      <c r="BO90" s="1">
        <v>2</v>
      </c>
      <c r="BP90" s="1">
        <v>11.125</v>
      </c>
      <c r="BR90" s="1">
        <v>3.125</v>
      </c>
      <c r="BT90" s="1">
        <v>7.875</v>
      </c>
      <c r="BW90" s="1" t="str">
        <f>IF(OR(Data!$B$3="lh",Data!$B$3="a"),IF(AND(Data!$B$4=BN90,BO90=$B$15),IF(OR(Data!$B$5="mp1",Data!$B$5="mp3"),BP90+$B$18,""),""),"")</f>
        <v/>
      </c>
      <c r="BX90" s="1" t="str">
        <f>IF(OR(Data!$B$3="lh",Data!$B$3="a"),IF(AND(Data!$B$4=$BN90,$BO90=$B$15),IF(Data!$B$5="mp2",BQ90+$B$18,""),""),"")</f>
        <v/>
      </c>
      <c r="BY90" s="1" t="str">
        <f>IF(OR(Data!$B$3="lh",Data!$B$3="a"),IF(AND(Data!$B$4=$BN90,$BO90=$B$15),IF(Data!$B$5="mt1",BR90,""),""),"")</f>
        <v/>
      </c>
      <c r="BZ90" s="1" t="str">
        <f>IF(OR(Data!$B$3="lh",Data!$B$3="a"),IF(AND(Data!$B$4=$BN90,$BO90=$B$15),IF(Data!$B$5="mpu3",BS90+$B$18,""),""),"")</f>
        <v/>
      </c>
      <c r="CA90" s="1" t="str">
        <f>IF(OR(Data!$B$3="lh",Data!$B$3="a"),IF(AND(Data!$B$4=$BN90,$BO90=$B$15),IF(Data!$B$5="mt2",BT90+$B$18,""),""),"")</f>
        <v/>
      </c>
      <c r="CB90" s="1" t="str">
        <f>IF(OR(Data!$B$3="lh",Data!$B$3="a"),IF(AND(Data!$B$4=$BN90,$BO90=$B$15),IF(Data!$B$5="ms2",BU90,""),""),"")</f>
        <v/>
      </c>
      <c r="CC90" s="1" t="str">
        <f>IF(OR(Data!$B$3="lh",Data!$B$3="a"),IF(AND(Data!$B$4=$BN90,$BO90=$B$15),IF(Data!$B$5="ms4",BV90,""),""),"")</f>
        <v/>
      </c>
    </row>
    <row r="91" spans="3:81">
      <c r="BN91" s="1">
        <v>12</v>
      </c>
      <c r="BO91" s="1">
        <v>2.5</v>
      </c>
      <c r="BP91" s="1">
        <v>11.375</v>
      </c>
      <c r="BR91" s="1">
        <v>3.375</v>
      </c>
      <c r="BT91" s="1">
        <v>8.125</v>
      </c>
      <c r="BW91" s="1" t="str">
        <f>IF(OR(Data!$B$3="lh",Data!$B$3="a"),IF(AND(Data!$B$4=BN91,BO91=$B$15),IF(OR(Data!$B$5="mp1",Data!$B$5="mp3"),BP91+$B$18,""),""),"")</f>
        <v/>
      </c>
      <c r="BX91" s="1" t="str">
        <f>IF(OR(Data!$B$3="lh",Data!$B$3="a"),IF(AND(Data!$B$4=$BN91,$BO91=$B$15),IF(Data!$B$5="mp2",BQ91+$B$18,""),""),"")</f>
        <v/>
      </c>
      <c r="BY91" s="1" t="str">
        <f>IF(OR(Data!$B$3="lh",Data!$B$3="a"),IF(AND(Data!$B$4=$BN91,$BO91=$B$15),IF(Data!$B$5="mt1",BR91,""),""),"")</f>
        <v/>
      </c>
      <c r="BZ91" s="1" t="str">
        <f>IF(OR(Data!$B$3="lh",Data!$B$3="a"),IF(AND(Data!$B$4=$BN91,$BO91=$B$15),IF(Data!$B$5="mpu3",BS91+$B$18,""),""),"")</f>
        <v/>
      </c>
      <c r="CA91" s="1" t="str">
        <f>IF(OR(Data!$B$3="lh",Data!$B$3="a"),IF(AND(Data!$B$4=$BN91,$BO91=$B$15),IF(Data!$B$5="mt2",BT91+$B$18,""),""),"")</f>
        <v/>
      </c>
      <c r="CB91" s="1" t="str">
        <f>IF(OR(Data!$B$3="lh",Data!$B$3="a"),IF(AND(Data!$B$4=$BN91,$BO91=$B$15),IF(Data!$B$5="ms2",BU91,""),""),"")</f>
        <v/>
      </c>
      <c r="CC91" s="1" t="str">
        <f>IF(OR(Data!$B$3="lh",Data!$B$3="a"),IF(AND(Data!$B$4=$BN91,$BO91=$B$15),IF(Data!$B$5="ms4",BV91,""),""),"")</f>
        <v/>
      </c>
    </row>
    <row r="92" spans="3:81">
      <c r="BN92" s="1">
        <v>12</v>
      </c>
      <c r="BO92" s="1">
        <v>3</v>
      </c>
      <c r="BP92" s="1">
        <v>11.375</v>
      </c>
      <c r="BR92" s="1">
        <v>3.375</v>
      </c>
      <c r="BT92" s="1">
        <v>8.125</v>
      </c>
      <c r="BW92" s="1" t="str">
        <f>IF(OR(Data!$B$3="lh",Data!$B$3="a"),IF(AND(Data!$B$4=BN92,BO92=$B$15),IF(OR(Data!$B$5="mp1",Data!$B$5="mp3"),BP92+$B$18,""),""),"")</f>
        <v/>
      </c>
      <c r="BX92" s="1" t="str">
        <f>IF(OR(Data!$B$3="lh",Data!$B$3="a"),IF(AND(Data!$B$4=$BN92,$BO92=$B$15),IF(Data!$B$5="mp2",BQ92+$B$18,""),""),"")</f>
        <v/>
      </c>
      <c r="BY92" s="1" t="str">
        <f>IF(OR(Data!$B$3="lh",Data!$B$3="a"),IF(AND(Data!$B$4=$BN92,$BO92=$B$15),IF(Data!$B$5="mt1",BR92,""),""),"")</f>
        <v/>
      </c>
      <c r="BZ92" s="1" t="str">
        <f>IF(OR(Data!$B$3="lh",Data!$B$3="a"),IF(AND(Data!$B$4=$BN92,$BO92=$B$15),IF(Data!$B$5="mpu3",BS92+$B$18,""),""),"")</f>
        <v/>
      </c>
      <c r="CA92" s="1" t="str">
        <f>IF(OR(Data!$B$3="lh",Data!$B$3="a"),IF(AND(Data!$B$4=$BN92,$BO92=$B$15),IF(Data!$B$5="mt2",BT92+$B$18,""),""),"")</f>
        <v/>
      </c>
      <c r="CB92" s="1" t="str">
        <f>IF(OR(Data!$B$3="lh",Data!$B$3="a"),IF(AND(Data!$B$4=$BN92,$BO92=$B$15),IF(Data!$B$5="ms2",BU92,""),""),"")</f>
        <v/>
      </c>
      <c r="CC92" s="1" t="str">
        <f>IF(OR(Data!$B$3="lh",Data!$B$3="a"),IF(AND(Data!$B$4=$BN92,$BO92=$B$15),IF(Data!$B$5="ms4",BV92,""),""),"")</f>
        <v/>
      </c>
    </row>
    <row r="93" spans="3:81">
      <c r="BN93" s="1">
        <v>12</v>
      </c>
      <c r="BO93" s="1">
        <v>3.5</v>
      </c>
      <c r="BP93" s="1">
        <v>11.375</v>
      </c>
      <c r="BR93" s="1">
        <v>3.375</v>
      </c>
      <c r="BT93" s="1">
        <v>8.125</v>
      </c>
      <c r="BW93" s="1" t="str">
        <f>IF(OR(Data!$B$3="lh",Data!$B$3="a"),IF(AND(Data!$B$4=BN93,BO93=$B$15),IF(OR(Data!$B$5="mp1",Data!$B$5="mp3"),BP93+$B$18,""),""),"")</f>
        <v/>
      </c>
      <c r="BX93" s="1" t="str">
        <f>IF(OR(Data!$B$3="lh",Data!$B$3="a"),IF(AND(Data!$B$4=$BN93,$BO93=$B$15),IF(Data!$B$5="mp2",BQ93+$B$18,""),""),"")</f>
        <v/>
      </c>
      <c r="BY93" s="1" t="str">
        <f>IF(OR(Data!$B$3="lh",Data!$B$3="a"),IF(AND(Data!$B$4=$BN93,$BO93=$B$15),IF(Data!$B$5="mt1",BR93,""),""),"")</f>
        <v/>
      </c>
      <c r="BZ93" s="1" t="str">
        <f>IF(OR(Data!$B$3="lh",Data!$B$3="a"),IF(AND(Data!$B$4=$BN93,$BO93=$B$15),IF(Data!$B$5="mpu3",BS93+$B$18,""),""),"")</f>
        <v/>
      </c>
      <c r="CA93" s="1" t="str">
        <f>IF(OR(Data!$B$3="lh",Data!$B$3="a"),IF(AND(Data!$B$4=$BN93,$BO93=$B$15),IF(Data!$B$5="mt2",BT93+$B$18,""),""),"")</f>
        <v/>
      </c>
      <c r="CB93" s="1" t="str">
        <f>IF(OR(Data!$B$3="lh",Data!$B$3="a"),IF(AND(Data!$B$4=$BN93,$BO93=$B$15),IF(Data!$B$5="ms2",BU93,""),""),"")</f>
        <v/>
      </c>
      <c r="CC93" s="1" t="str">
        <f>IF(OR(Data!$B$3="lh",Data!$B$3="a"),IF(AND(Data!$B$4=$BN93,$BO93=$B$15),IF(Data!$B$5="ms4",BV93,""),""),"")</f>
        <v/>
      </c>
    </row>
    <row r="94" spans="3:81">
      <c r="BN94" s="1">
        <v>12</v>
      </c>
      <c r="BO94" s="1">
        <v>4</v>
      </c>
      <c r="BP94" s="1">
        <v>11.375</v>
      </c>
      <c r="BR94" s="1">
        <v>3.375</v>
      </c>
      <c r="BT94" s="1">
        <v>8.1300000000000008</v>
      </c>
      <c r="BW94" s="1" t="str">
        <f>IF(OR(Data!$B$3="lh",Data!$B$3="a"),IF(AND(Data!$B$4=BN94,BO94=$B$15),IF(OR(Data!$B$5="mp1",Data!$B$5="mp3"),BP94+$B$18,""),""),"")</f>
        <v/>
      </c>
      <c r="BX94" s="1" t="str">
        <f>IF(OR(Data!$B$3="lh",Data!$B$3="a"),IF(AND(Data!$B$4=$BN94,$BO94=$B$15),IF(Data!$B$5="mp2",BQ94+$B$18,""),""),"")</f>
        <v/>
      </c>
      <c r="BY94" s="1" t="str">
        <f>IF(OR(Data!$B$3="lh",Data!$B$3="a"),IF(AND(Data!$B$4=$BN94,$BO94=$B$15),IF(Data!$B$5="mt1",BR94,""),""),"")</f>
        <v/>
      </c>
      <c r="BZ94" s="1" t="str">
        <f>IF(OR(Data!$B$3="lh",Data!$B$3="a"),IF(AND(Data!$B$4=$BN94,$BO94=$B$15),IF(Data!$B$5="mpu3",BS94+$B$18,""),""),"")</f>
        <v/>
      </c>
      <c r="CA94" s="1" t="str">
        <f>IF(OR(Data!$B$3="lh",Data!$B$3="a"),IF(AND(Data!$B$4=$BN94,$BO94=$B$15),IF(Data!$B$5="mt2",BT94+$B$18,""),""),"")</f>
        <v/>
      </c>
      <c r="CB94" s="1" t="str">
        <f>IF(OR(Data!$B$3="lh",Data!$B$3="a"),IF(AND(Data!$B$4=$BN94,$BO94=$B$15),IF(Data!$B$5="ms2",BU94,""),""),"")</f>
        <v/>
      </c>
      <c r="CC94" s="1" t="str">
        <f>IF(OR(Data!$B$3="lh",Data!$B$3="a"),IF(AND(Data!$B$4=$BN94,$BO94=$B$15),IF(Data!$B$5="ms4",BV94,""),""),"")</f>
        <v/>
      </c>
    </row>
    <row r="95" spans="3:81">
      <c r="BN95" s="1">
        <v>14</v>
      </c>
      <c r="BO95" s="1">
        <v>2.5</v>
      </c>
      <c r="BP95" s="1">
        <v>12.875</v>
      </c>
      <c r="BR95" s="1">
        <v>3.625</v>
      </c>
      <c r="BT95" s="1">
        <v>9.25</v>
      </c>
      <c r="BW95" s="1" t="str">
        <f>IF(OR(Data!$B$3="lh",Data!$B$3="a"),IF(AND(Data!$B$4=BN95,BO95=$B$15),IF(OR(Data!$B$5="mp1",Data!$B$5="mp3"),BP95+$B$18,""),""),"")</f>
        <v/>
      </c>
      <c r="BX95" s="1" t="str">
        <f>IF(OR(Data!$B$3="lh",Data!$B$3="a"),IF(AND(Data!$B$4=$BN95,$BO95=$B$15),IF(Data!$B$5="mp2",BQ95+$B$18,""),""),"")</f>
        <v/>
      </c>
      <c r="BY95" s="1" t="str">
        <f>IF(OR(Data!$B$3="lh",Data!$B$3="a"),IF(AND(Data!$B$4=$BN95,$BO95=$B$15),IF(Data!$B$5="mt1",BR95,""),""),"")</f>
        <v/>
      </c>
      <c r="BZ95" s="1" t="str">
        <f>IF(OR(Data!$B$3="lh",Data!$B$3="a"),IF(AND(Data!$B$4=$BN95,$BO95=$B$15),IF(Data!$B$5="mpu3",BS95+$B$18,""),""),"")</f>
        <v/>
      </c>
      <c r="CA95" s="1" t="str">
        <f>IF(OR(Data!$B$3="lh",Data!$B$3="a"),IF(AND(Data!$B$4=$BN95,$BO95=$B$15),IF(Data!$B$5="mt2",BT95+$B$18,""),""),"")</f>
        <v/>
      </c>
      <c r="CB95" s="1" t="str">
        <f>IF(OR(Data!$B$3="lh",Data!$B$3="a"),IF(AND(Data!$B$4=$BN95,$BO95=$B$15),IF(Data!$B$5="ms2",BU95,""),""),"")</f>
        <v/>
      </c>
      <c r="CC95" s="1" t="str">
        <f>IF(OR(Data!$B$3="lh",Data!$B$3="a"),IF(AND(Data!$B$4=$BN95,$BO95=$B$15),IF(Data!$B$5="ms4",BV95,""),""),"")</f>
        <v/>
      </c>
    </row>
    <row r="96" spans="3:81">
      <c r="BN96" s="1">
        <v>14</v>
      </c>
      <c r="BO96" s="1">
        <v>3</v>
      </c>
      <c r="BP96" s="1">
        <v>12.875</v>
      </c>
      <c r="BR96" s="1">
        <v>3.625</v>
      </c>
      <c r="BT96" s="1">
        <v>9.25</v>
      </c>
      <c r="BW96" s="1" t="str">
        <f>IF(OR(Data!$B$3="lh",Data!$B$3="a"),IF(AND(Data!$B$4=BN96,BO96=$B$15),IF(OR(Data!$B$5="mp1",Data!$B$5="mp3"),BP96+$B$18,""),""),"")</f>
        <v/>
      </c>
      <c r="BX96" s="1" t="str">
        <f>IF(OR(Data!$B$3="lh",Data!$B$3="a"),IF(AND(Data!$B$4=$BN96,$BO96=$B$15),IF(Data!$B$5="mp2",BQ96+$B$18,""),""),"")</f>
        <v/>
      </c>
      <c r="BY96" s="1" t="str">
        <f>IF(OR(Data!$B$3="lh",Data!$B$3="a"),IF(AND(Data!$B$4=$BN96,$BO96=$B$15),IF(Data!$B$5="mt1",BR96,""),""),"")</f>
        <v/>
      </c>
      <c r="BZ96" s="1" t="str">
        <f>IF(OR(Data!$B$3="lh",Data!$B$3="a"),IF(AND(Data!$B$4=$BN96,$BO96=$B$15),IF(Data!$B$5="mpu3",BS96+$B$18,""),""),"")</f>
        <v/>
      </c>
      <c r="CA96" s="1" t="str">
        <f>IF(OR(Data!$B$3="lh",Data!$B$3="a"),IF(AND(Data!$B$4=$BN96,$BO96=$B$15),IF(Data!$B$5="mt2",BT96+$B$18,""),""),"")</f>
        <v/>
      </c>
      <c r="CB96" s="1" t="str">
        <f>IF(OR(Data!$B$3="lh",Data!$B$3="a"),IF(AND(Data!$B$4=$BN96,$BO96=$B$15),IF(Data!$B$5="ms2",BU96,""),""),"")</f>
        <v/>
      </c>
      <c r="CC96" s="1" t="str">
        <f>IF(OR(Data!$B$3="lh",Data!$B$3="a"),IF(AND(Data!$B$4=$BN96,$BO96=$B$15),IF(Data!$B$5="ms4",BV96,""),""),"")</f>
        <v/>
      </c>
    </row>
    <row r="97" spans="66:81">
      <c r="BN97" s="1">
        <v>14</v>
      </c>
      <c r="BO97" s="1">
        <v>3.5</v>
      </c>
      <c r="BP97" s="1">
        <v>12.875</v>
      </c>
      <c r="BR97" s="1">
        <v>3.625</v>
      </c>
      <c r="BT97" s="1">
        <v>9.25</v>
      </c>
      <c r="BW97" s="1" t="str">
        <f>IF(OR(Data!$B$3="lh",Data!$B$3="a"),IF(AND(Data!$B$4=BN97,BO97=$B$15),IF(OR(Data!$B$5="mp1",Data!$B$5="mp3"),BP97+$B$18,""),""),"")</f>
        <v/>
      </c>
      <c r="BX97" s="1" t="str">
        <f>IF(OR(Data!$B$3="lh",Data!$B$3="a"),IF(AND(Data!$B$4=$BN97,$BO97=$B$15),IF(Data!$B$5="mp2",BQ97+$B$18,""),""),"")</f>
        <v/>
      </c>
      <c r="BY97" s="1" t="str">
        <f>IF(OR(Data!$B$3="lh",Data!$B$3="a"),IF(AND(Data!$B$4=$BN97,$BO97=$B$15),IF(Data!$B$5="mt1",BR97,""),""),"")</f>
        <v/>
      </c>
      <c r="BZ97" s="1" t="str">
        <f>IF(OR(Data!$B$3="lh",Data!$B$3="a"),IF(AND(Data!$B$4=$BN97,$BO97=$B$15),IF(Data!$B$5="mpu3",BS97+$B$18,""),""),"")</f>
        <v/>
      </c>
      <c r="CA97" s="1" t="str">
        <f>IF(OR(Data!$B$3="lh",Data!$B$3="a"),IF(AND(Data!$B$4=$BN97,$BO97=$B$15),IF(Data!$B$5="mt2",BT97+$B$18,""),""),"")</f>
        <v/>
      </c>
      <c r="CB97" s="1" t="str">
        <f>IF(OR(Data!$B$3="lh",Data!$B$3="a"),IF(AND(Data!$B$4=$BN97,$BO97=$B$15),IF(Data!$B$5="ms2",BU97,""),""),"")</f>
        <v/>
      </c>
      <c r="CC97" s="1" t="str">
        <f>IF(OR(Data!$B$3="lh",Data!$B$3="a"),IF(AND(Data!$B$4=$BN97,$BO97=$B$15),IF(Data!$B$5="ms4",BV97,""),""),"")</f>
        <v/>
      </c>
    </row>
    <row r="98" spans="66:81">
      <c r="BN98" s="1">
        <v>14</v>
      </c>
      <c r="BO98" s="1">
        <v>4</v>
      </c>
      <c r="BP98" s="1">
        <v>12.875</v>
      </c>
      <c r="BR98" s="1">
        <v>3.625</v>
      </c>
      <c r="BT98" s="1">
        <v>9.25</v>
      </c>
      <c r="BW98" s="1" t="str">
        <f>IF(OR(Data!$B$3="lh",Data!$B$3="a"),IF(AND(Data!$B$4=BN98,BO98=$B$15),IF(OR(Data!$B$5="mp1",Data!$B$5="mp3"),BP98+$B$18,""),""),"")</f>
        <v/>
      </c>
      <c r="BX98" s="1" t="str">
        <f>IF(OR(Data!$B$3="lh",Data!$B$3="a"),IF(AND(Data!$B$4=$BN98,$BO98=$B$15),IF(Data!$B$5="mp2",BQ98+$B$18,""),""),"")</f>
        <v/>
      </c>
      <c r="BY98" s="1" t="str">
        <f>IF(OR(Data!$B$3="lh",Data!$B$3="a"),IF(AND(Data!$B$4=$BN98,$BO98=$B$15),IF(Data!$B$5="mt1",BR98,""),""),"")</f>
        <v/>
      </c>
      <c r="BZ98" s="1" t="str">
        <f>IF(OR(Data!$B$3="lh",Data!$B$3="a"),IF(AND(Data!$B$4=$BN98,$BO98=$B$15),IF(Data!$B$5="mpu3",BS98+$B$18,""),""),"")</f>
        <v/>
      </c>
      <c r="CA98" s="1" t="str">
        <f>IF(OR(Data!$B$3="lh",Data!$B$3="a"),IF(AND(Data!$B$4=$BN98,$BO98=$B$15),IF(Data!$B$5="mt2",BT98+$B$18,""),""),"")</f>
        <v/>
      </c>
      <c r="CB98" s="1" t="str">
        <f>IF(OR(Data!$B$3="lh",Data!$B$3="a"),IF(AND(Data!$B$4=$BN98,$BO98=$B$15),IF(Data!$B$5="ms2",BU98,""),""),"")</f>
        <v/>
      </c>
      <c r="CC98" s="1" t="str">
        <f>IF(OR(Data!$B$3="lh",Data!$B$3="a"),IF(AND(Data!$B$4=$BN98,$BO98=$B$15),IF(Data!$B$5="ms4",BV98,""),""),"")</f>
        <v/>
      </c>
    </row>
  </sheetData>
  <sortState xmlns:xlrd2="http://schemas.microsoft.com/office/spreadsheetml/2017/richdata2" columnSort="1" ref="AJ8:BE8">
    <sortCondition descending="1" ref="AJ8:BE8"/>
  </sortState>
  <mergeCells count="79">
    <mergeCell ref="AF36:AG36"/>
    <mergeCell ref="AC31:AD31"/>
    <mergeCell ref="AC32:AD32"/>
    <mergeCell ref="AF35:AG35"/>
    <mergeCell ref="AE29:AG34"/>
    <mergeCell ref="AC35:AD35"/>
    <mergeCell ref="AC34:AD34"/>
    <mergeCell ref="AC33:AD33"/>
    <mergeCell ref="AC36:AD36"/>
    <mergeCell ref="AC29:AD29"/>
    <mergeCell ref="AC30:AD30"/>
    <mergeCell ref="AC19:AE19"/>
    <mergeCell ref="F18:G18"/>
    <mergeCell ref="F16:G16"/>
    <mergeCell ref="AC22:AG28"/>
    <mergeCell ref="AF21:AG21"/>
    <mergeCell ref="AF19:AG19"/>
    <mergeCell ref="AF18:AG18"/>
    <mergeCell ref="AC16:AE16"/>
    <mergeCell ref="AC17:AE17"/>
    <mergeCell ref="AF16:AG16"/>
    <mergeCell ref="F17:G17"/>
    <mergeCell ref="F19:G19"/>
    <mergeCell ref="AF17:AG17"/>
    <mergeCell ref="AF20:AG20"/>
    <mergeCell ref="C22:G28"/>
    <mergeCell ref="C19:E19"/>
    <mergeCell ref="AF10:AG10"/>
    <mergeCell ref="AF11:AG11"/>
    <mergeCell ref="AF12:AG12"/>
    <mergeCell ref="AF13:AG13"/>
    <mergeCell ref="AC18:AE18"/>
    <mergeCell ref="AF15:AG15"/>
    <mergeCell ref="AB12:AC12"/>
    <mergeCell ref="AC14:AG14"/>
    <mergeCell ref="AC15:AE15"/>
    <mergeCell ref="AA10:AB10"/>
    <mergeCell ref="C18:E18"/>
    <mergeCell ref="C17:E17"/>
    <mergeCell ref="C16:E16"/>
    <mergeCell ref="F20:G20"/>
    <mergeCell ref="C15:E15"/>
    <mergeCell ref="F15:G15"/>
    <mergeCell ref="F11:G11"/>
    <mergeCell ref="F13:G13"/>
    <mergeCell ref="F12:G12"/>
    <mergeCell ref="C14:G14"/>
    <mergeCell ref="B1:E2"/>
    <mergeCell ref="A10:B10"/>
    <mergeCell ref="F10:G10"/>
    <mergeCell ref="D9:F9"/>
    <mergeCell ref="C7:E7"/>
    <mergeCell ref="C5:E5"/>
    <mergeCell ref="C6:E6"/>
    <mergeCell ref="C4:E4"/>
    <mergeCell ref="AA32:AB36"/>
    <mergeCell ref="AC20:AE20"/>
    <mergeCell ref="C20:E20"/>
    <mergeCell ref="F21:G21"/>
    <mergeCell ref="C21:E21"/>
    <mergeCell ref="AC21:AE21"/>
    <mergeCell ref="C29:D29"/>
    <mergeCell ref="C35:D35"/>
    <mergeCell ref="C31:D31"/>
    <mergeCell ref="A32:B36"/>
    <mergeCell ref="E29:G34"/>
    <mergeCell ref="C36:D36"/>
    <mergeCell ref="F35:G35"/>
    <mergeCell ref="C30:D30"/>
    <mergeCell ref="F36:G36"/>
    <mergeCell ref="C32:D32"/>
    <mergeCell ref="C33:D33"/>
    <mergeCell ref="C34:D34"/>
    <mergeCell ref="A37:E40"/>
    <mergeCell ref="A41:B41"/>
    <mergeCell ref="I44:J44"/>
    <mergeCell ref="A42:E43"/>
    <mergeCell ref="F43:G43"/>
    <mergeCell ref="F42:G42"/>
  </mergeCells>
  <phoneticPr fontId="2" type="noConversion"/>
  <printOptions horizontalCentered="1"/>
  <pageMargins left="0" right="0" top="0.5" bottom="0.5" header="0.5" footer="0.5"/>
  <pageSetup scale="95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AutoCAD.Drawing.15" shapeId="137296" r:id="rId4">
          <objectPr defaultSize="0" autoPict="0" r:id="rId5">
            <anchor moveWithCells="1">
              <from>
                <xdr:col>18</xdr:col>
                <xdr:colOff>25400</xdr:colOff>
                <xdr:row>51</xdr:row>
                <xdr:rowOff>101600</xdr:rowOff>
              </from>
              <to>
                <xdr:col>19</xdr:col>
                <xdr:colOff>0</xdr:colOff>
                <xdr:row>52</xdr:row>
                <xdr:rowOff>31750</xdr:rowOff>
              </to>
            </anchor>
          </objectPr>
        </oleObject>
      </mc:Choice>
      <mc:Fallback>
        <oleObject progId="AutoCAD.Drawing.15" shapeId="137296" r:id="rId4"/>
      </mc:Fallback>
    </mc:AlternateContent>
  </oleObjects>
  <controls>
    <mc:AlternateContent xmlns:mc="http://schemas.openxmlformats.org/markup-compatibility/2006">
      <mc:Choice Requires="x14">
        <control shapeId="375840" r:id="rId6" name="CommandButton2">
          <controlPr defaultSize="0" autoLine="0" autoPict="0" r:id="rId7">
            <anchor moveWithCells="1">
              <from>
                <xdr:col>7</xdr:col>
                <xdr:colOff>69850</xdr:colOff>
                <xdr:row>2</xdr:row>
                <xdr:rowOff>127000</xdr:rowOff>
              </from>
              <to>
                <xdr:col>8</xdr:col>
                <xdr:colOff>698500</xdr:colOff>
                <xdr:row>4</xdr:row>
                <xdr:rowOff>50800</xdr:rowOff>
              </to>
            </anchor>
          </controlPr>
        </control>
      </mc:Choice>
      <mc:Fallback>
        <control shapeId="375840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O10032"/>
  <sheetViews>
    <sheetView zoomScale="86" zoomScaleNormal="86" workbookViewId="0">
      <selection activeCell="B10000" sqref="B10000:E10000"/>
    </sheetView>
  </sheetViews>
  <sheetFormatPr defaultColWidth="9.08984375" defaultRowHeight="13.5"/>
  <cols>
    <col min="1" max="1" width="5.81640625" style="200" customWidth="1"/>
    <col min="2" max="2" width="40" style="143" customWidth="1"/>
    <col min="3" max="3" width="19.81640625" style="143" bestFit="1" customWidth="1"/>
    <col min="4" max="4" width="17" style="143" bestFit="1" customWidth="1"/>
    <col min="5" max="5" width="14" style="144" bestFit="1" customWidth="1"/>
    <col min="6" max="6" width="13.81640625" style="144" bestFit="1" customWidth="1"/>
    <col min="7" max="7" width="44.36328125" style="143" customWidth="1"/>
    <col min="8" max="8" width="9.08984375" style="1"/>
    <col min="9" max="9" width="17.08984375" style="1" customWidth="1"/>
    <col min="10" max="10" width="10.08984375" style="1" customWidth="1"/>
    <col min="11" max="16384" width="9.08984375" style="1"/>
  </cols>
  <sheetData>
    <row r="1" spans="1:15" ht="14.25" customHeight="1" thickBot="1">
      <c r="B1" s="451" t="s">
        <v>9809</v>
      </c>
      <c r="C1" s="370">
        <f>IF($B1="","",VLOOKUP($B1,$B3:$E9995,2))</f>
        <v>0</v>
      </c>
      <c r="D1" s="370" t="str">
        <f>IF($B1="","",VLOOKUP($B1,$B3:$E9995,3))</f>
        <v xml:space="preserve">Kansas City,MO </v>
      </c>
      <c r="E1" s="370">
        <f>IF($B1="","",VLOOKUP($B1,$B3:$E9995,4))</f>
        <v>0</v>
      </c>
      <c r="F1" s="370">
        <f>IF($B1="","",VLOOKUP($B1,$B3:$F9995,5))</f>
        <v>0</v>
      </c>
      <c r="G1" s="142">
        <f>IF($B1="","",VLOOKUP($B1,$B3:$G9995,6))</f>
        <v>0</v>
      </c>
      <c r="H1" s="35"/>
      <c r="I1" s="2" t="str">
        <f>IF($H1="","",VLOOKUP($H1,$B3:$C9997,2))</f>
        <v/>
      </c>
      <c r="J1" s="2" t="str">
        <f>IF($H1="","",VLOOKUP($H1,$B3:$D9997,3))</f>
        <v/>
      </c>
      <c r="K1" s="2" t="str">
        <f>IF($H1="","",VLOOKUP($H1,$B3:$E9997,4))</f>
        <v/>
      </c>
      <c r="L1" s="2" t="str">
        <f>IF($H1="","",VLOOKUP($H1,$B3:$F9997,5))</f>
        <v/>
      </c>
      <c r="M1" s="2" t="str">
        <f>IF($H1="","",VLOOKUP($H1,$B3:$G9997,6))</f>
        <v/>
      </c>
      <c r="N1" s="2"/>
      <c r="O1" s="36"/>
    </row>
    <row r="2" spans="1:15" ht="30.75" customHeight="1" thickTop="1" thickBot="1">
      <c r="B2" s="198" t="s">
        <v>470</v>
      </c>
      <c r="C2" s="199" t="s">
        <v>533</v>
      </c>
      <c r="D2" s="199" t="s">
        <v>761</v>
      </c>
      <c r="E2" s="199" t="s">
        <v>310</v>
      </c>
      <c r="F2" s="199" t="s">
        <v>377</v>
      </c>
      <c r="G2" s="150" t="s">
        <v>553</v>
      </c>
    </row>
    <row r="3" spans="1:15" s="2" customFormat="1" ht="14" hidden="1" thickTop="1">
      <c r="A3" s="200"/>
      <c r="B3" s="148" t="s">
        <v>20381</v>
      </c>
      <c r="C3" s="148" t="s">
        <v>20380</v>
      </c>
      <c r="D3" s="148" t="s">
        <v>20379</v>
      </c>
      <c r="E3" s="292" t="s">
        <v>20382</v>
      </c>
      <c r="F3" s="292"/>
      <c r="G3" s="148"/>
      <c r="H3" s="1"/>
      <c r="I3" s="1"/>
      <c r="J3" s="1"/>
      <c r="K3" s="1"/>
      <c r="L3" s="1"/>
      <c r="M3" s="1"/>
    </row>
    <row r="4" spans="1:15" hidden="1">
      <c r="B4" s="141" t="s">
        <v>963</v>
      </c>
      <c r="C4" s="140" t="s">
        <v>964</v>
      </c>
      <c r="D4" s="141" t="s">
        <v>965</v>
      </c>
      <c r="E4" s="140" t="s">
        <v>966</v>
      </c>
      <c r="F4" s="140" t="s">
        <v>967</v>
      </c>
      <c r="G4" s="140"/>
    </row>
    <row r="5" spans="1:15" hidden="1">
      <c r="B5" s="141" t="s">
        <v>968</v>
      </c>
      <c r="C5" s="140" t="s">
        <v>969</v>
      </c>
      <c r="D5" s="141" t="s">
        <v>970</v>
      </c>
      <c r="E5" s="140" t="s">
        <v>971</v>
      </c>
      <c r="F5" s="140" t="s">
        <v>972</v>
      </c>
      <c r="G5" s="140"/>
    </row>
    <row r="6" spans="1:15" hidden="1">
      <c r="B6" s="141" t="s">
        <v>992</v>
      </c>
      <c r="C6" s="140" t="s">
        <v>993</v>
      </c>
      <c r="D6" s="141" t="s">
        <v>994</v>
      </c>
      <c r="E6" s="140" t="s">
        <v>995</v>
      </c>
      <c r="F6" s="140"/>
      <c r="G6" s="140"/>
    </row>
    <row r="7" spans="1:15" hidden="1">
      <c r="B7" s="141" t="s">
        <v>996</v>
      </c>
      <c r="C7" s="140" t="s">
        <v>997</v>
      </c>
      <c r="D7" s="141" t="s">
        <v>998</v>
      </c>
      <c r="E7" s="140" t="s">
        <v>999</v>
      </c>
      <c r="F7" s="140"/>
      <c r="G7" s="140"/>
    </row>
    <row r="8" spans="1:15" hidden="1">
      <c r="B8" s="141" t="s">
        <v>1000</v>
      </c>
      <c r="C8" s="140" t="s">
        <v>1001</v>
      </c>
      <c r="D8" s="141" t="s">
        <v>1002</v>
      </c>
      <c r="E8" s="140" t="s">
        <v>1003</v>
      </c>
      <c r="F8" s="140"/>
      <c r="G8" s="140"/>
    </row>
    <row r="9" spans="1:15" hidden="1">
      <c r="B9" s="141" t="s">
        <v>1004</v>
      </c>
      <c r="C9" s="140" t="s">
        <v>1005</v>
      </c>
      <c r="D9" s="141" t="s">
        <v>1006</v>
      </c>
      <c r="E9" s="140" t="s">
        <v>1007</v>
      </c>
      <c r="F9" s="140"/>
      <c r="G9" s="140"/>
    </row>
    <row r="10" spans="1:15" hidden="1">
      <c r="B10" s="141" t="s">
        <v>21391</v>
      </c>
      <c r="C10" s="140" t="s">
        <v>1008</v>
      </c>
      <c r="D10" s="141" t="s">
        <v>1009</v>
      </c>
      <c r="E10" s="140" t="s">
        <v>1010</v>
      </c>
      <c r="F10" s="140" t="s">
        <v>1011</v>
      </c>
      <c r="G10" s="140"/>
    </row>
    <row r="11" spans="1:15" hidden="1">
      <c r="B11" s="141" t="s">
        <v>1012</v>
      </c>
      <c r="C11" s="140" t="s">
        <v>1013</v>
      </c>
      <c r="D11" s="141" t="s">
        <v>1014</v>
      </c>
      <c r="E11" s="140" t="s">
        <v>1015</v>
      </c>
      <c r="F11" s="140" t="s">
        <v>1016</v>
      </c>
      <c r="G11" s="140"/>
    </row>
    <row r="12" spans="1:15" hidden="1">
      <c r="B12" s="141" t="s">
        <v>21392</v>
      </c>
      <c r="C12" s="140" t="s">
        <v>1017</v>
      </c>
      <c r="D12" s="141" t="s">
        <v>1018</v>
      </c>
      <c r="E12" s="140" t="s">
        <v>1019</v>
      </c>
      <c r="F12" s="140"/>
      <c r="G12" s="140"/>
    </row>
    <row r="13" spans="1:15" hidden="1">
      <c r="B13" s="141" t="s">
        <v>1020</v>
      </c>
      <c r="C13" s="140" t="s">
        <v>1021</v>
      </c>
      <c r="D13" s="141" t="s">
        <v>1022</v>
      </c>
      <c r="E13" s="140" t="s">
        <v>1023</v>
      </c>
      <c r="F13" s="140"/>
      <c r="G13" s="140"/>
    </row>
    <row r="14" spans="1:15" hidden="1">
      <c r="B14" s="141" t="s">
        <v>1024</v>
      </c>
      <c r="C14" s="141" t="s">
        <v>1025</v>
      </c>
      <c r="D14" s="141" t="s">
        <v>1026</v>
      </c>
      <c r="E14" s="141" t="s">
        <v>1027</v>
      </c>
      <c r="F14" s="140" t="s">
        <v>1028</v>
      </c>
      <c r="G14" s="140"/>
    </row>
    <row r="15" spans="1:15" hidden="1">
      <c r="B15" s="140" t="s">
        <v>21385</v>
      </c>
      <c r="C15" s="140" t="s">
        <v>973</v>
      </c>
      <c r="D15" s="140" t="s">
        <v>974</v>
      </c>
      <c r="E15" s="140" t="s">
        <v>975</v>
      </c>
      <c r="F15" s="140" t="s">
        <v>976</v>
      </c>
      <c r="G15" s="140" t="s">
        <v>977</v>
      </c>
    </row>
    <row r="16" spans="1:15" hidden="1">
      <c r="B16" s="140" t="s">
        <v>21386</v>
      </c>
      <c r="C16" s="140" t="s">
        <v>978</v>
      </c>
      <c r="D16" s="140" t="s">
        <v>979</v>
      </c>
      <c r="E16" s="142"/>
      <c r="F16" s="142"/>
      <c r="G16" s="140" t="s">
        <v>20089</v>
      </c>
    </row>
    <row r="17" spans="2:7" hidden="1">
      <c r="B17" s="141" t="s">
        <v>21387</v>
      </c>
      <c r="C17" s="141" t="s">
        <v>980</v>
      </c>
      <c r="D17" s="141" t="s">
        <v>981</v>
      </c>
      <c r="E17" s="141" t="s">
        <v>982</v>
      </c>
      <c r="F17" s="140" t="s">
        <v>983</v>
      </c>
      <c r="G17" s="140"/>
    </row>
    <row r="18" spans="2:7" hidden="1">
      <c r="B18" s="141" t="s">
        <v>21388</v>
      </c>
      <c r="C18" s="140" t="s">
        <v>984</v>
      </c>
      <c r="D18" s="141" t="s">
        <v>985</v>
      </c>
      <c r="E18" s="140" t="s">
        <v>986</v>
      </c>
      <c r="F18" s="140"/>
      <c r="G18" s="140"/>
    </row>
    <row r="19" spans="2:7" hidden="1">
      <c r="B19" s="140" t="s">
        <v>21389</v>
      </c>
      <c r="C19" s="140" t="s">
        <v>987</v>
      </c>
      <c r="D19" s="140" t="s">
        <v>988</v>
      </c>
      <c r="E19" s="140"/>
      <c r="F19" s="140"/>
      <c r="G19" s="140"/>
    </row>
    <row r="20" spans="2:7" hidden="1">
      <c r="B20" s="141" t="s">
        <v>1029</v>
      </c>
      <c r="C20" s="140" t="s">
        <v>1030</v>
      </c>
      <c r="D20" s="141" t="s">
        <v>1031</v>
      </c>
      <c r="E20" s="140" t="s">
        <v>1032</v>
      </c>
      <c r="F20" s="140" t="s">
        <v>1033</v>
      </c>
      <c r="G20" s="140"/>
    </row>
    <row r="21" spans="2:7" hidden="1">
      <c r="B21" s="141" t="s">
        <v>1034</v>
      </c>
      <c r="C21" s="140"/>
      <c r="D21" s="141" t="s">
        <v>1035</v>
      </c>
      <c r="E21" s="140" t="s">
        <v>1036</v>
      </c>
      <c r="F21" s="140" t="s">
        <v>1037</v>
      </c>
      <c r="G21" s="140"/>
    </row>
    <row r="22" spans="2:7" hidden="1">
      <c r="B22" s="141" t="s">
        <v>21390</v>
      </c>
      <c r="C22" s="140" t="s">
        <v>989</v>
      </c>
      <c r="D22" s="141" t="s">
        <v>990</v>
      </c>
      <c r="E22" s="140" t="s">
        <v>991</v>
      </c>
      <c r="F22" s="140"/>
      <c r="G22" s="140"/>
    </row>
    <row r="23" spans="2:7" hidden="1">
      <c r="B23" s="140" t="s">
        <v>21393</v>
      </c>
      <c r="C23" s="140" t="s">
        <v>1038</v>
      </c>
      <c r="D23" s="140" t="s">
        <v>1039</v>
      </c>
      <c r="E23" s="140" t="s">
        <v>1040</v>
      </c>
      <c r="F23" s="140"/>
      <c r="G23" s="140" t="s">
        <v>1041</v>
      </c>
    </row>
    <row r="24" spans="2:7" hidden="1">
      <c r="B24" s="140" t="s">
        <v>1042</v>
      </c>
      <c r="C24" s="140" t="s">
        <v>1043</v>
      </c>
      <c r="D24" s="140" t="s">
        <v>1044</v>
      </c>
      <c r="E24" s="142" t="s">
        <v>1045</v>
      </c>
      <c r="F24" s="142" t="s">
        <v>1046</v>
      </c>
      <c r="G24" s="140"/>
    </row>
    <row r="25" spans="2:7" hidden="1">
      <c r="B25" s="141" t="s">
        <v>1047</v>
      </c>
      <c r="C25" s="140" t="s">
        <v>1048</v>
      </c>
      <c r="D25" s="141" t="s">
        <v>1049</v>
      </c>
      <c r="E25" s="140" t="s">
        <v>1050</v>
      </c>
      <c r="F25" s="140" t="s">
        <v>1051</v>
      </c>
      <c r="G25" s="140"/>
    </row>
    <row r="26" spans="2:7" hidden="1">
      <c r="B26" s="141" t="s">
        <v>21394</v>
      </c>
      <c r="C26" s="140" t="s">
        <v>1052</v>
      </c>
      <c r="D26" s="141" t="s">
        <v>1053</v>
      </c>
      <c r="E26" s="140" t="s">
        <v>1054</v>
      </c>
      <c r="F26" s="140"/>
      <c r="G26" s="140"/>
    </row>
    <row r="27" spans="2:7" hidden="1">
      <c r="B27" s="140" t="s">
        <v>1055</v>
      </c>
      <c r="C27" s="140" t="s">
        <v>1056</v>
      </c>
      <c r="D27" s="140" t="s">
        <v>1057</v>
      </c>
      <c r="E27" s="142" t="s">
        <v>1058</v>
      </c>
      <c r="F27" s="142" t="s">
        <v>1059</v>
      </c>
      <c r="G27" s="140"/>
    </row>
    <row r="28" spans="2:7" hidden="1">
      <c r="B28" s="140" t="s">
        <v>21154</v>
      </c>
      <c r="C28" s="140" t="s">
        <v>21155</v>
      </c>
      <c r="D28" s="140" t="s">
        <v>974</v>
      </c>
      <c r="E28" s="142" t="s">
        <v>975</v>
      </c>
      <c r="F28" s="142"/>
      <c r="G28" s="140" t="s">
        <v>21132</v>
      </c>
    </row>
    <row r="29" spans="2:7" hidden="1">
      <c r="B29" s="140" t="s">
        <v>1060</v>
      </c>
      <c r="C29" s="140" t="s">
        <v>1061</v>
      </c>
      <c r="D29" s="140" t="s">
        <v>1062</v>
      </c>
      <c r="E29" s="140"/>
      <c r="F29" s="140"/>
      <c r="G29" s="140" t="s">
        <v>1063</v>
      </c>
    </row>
    <row r="30" spans="2:7" hidden="1">
      <c r="B30" s="140" t="s">
        <v>1064</v>
      </c>
      <c r="C30" s="140" t="s">
        <v>1065</v>
      </c>
      <c r="D30" s="140" t="s">
        <v>1066</v>
      </c>
      <c r="E30" s="142"/>
      <c r="F30" s="142"/>
      <c r="G30" s="140" t="s">
        <v>21395</v>
      </c>
    </row>
    <row r="31" spans="2:7" hidden="1">
      <c r="B31" s="141" t="s">
        <v>1067</v>
      </c>
      <c r="C31" s="140" t="s">
        <v>1068</v>
      </c>
      <c r="D31" s="141" t="s">
        <v>1069</v>
      </c>
      <c r="E31" s="140" t="s">
        <v>1070</v>
      </c>
      <c r="F31" s="140" t="s">
        <v>1071</v>
      </c>
      <c r="G31" s="140"/>
    </row>
    <row r="32" spans="2:7" hidden="1">
      <c r="B32" s="141" t="s">
        <v>1072</v>
      </c>
      <c r="C32" s="140"/>
      <c r="D32" s="141" t="s">
        <v>1073</v>
      </c>
      <c r="E32" s="140"/>
      <c r="F32" s="140"/>
      <c r="G32" s="140"/>
    </row>
    <row r="33" spans="2:7" hidden="1">
      <c r="B33" s="141" t="s">
        <v>1074</v>
      </c>
      <c r="C33" s="140" t="s">
        <v>1075</v>
      </c>
      <c r="D33" s="141" t="s">
        <v>1076</v>
      </c>
      <c r="E33" s="140" t="s">
        <v>1077</v>
      </c>
      <c r="F33" s="140" t="s">
        <v>1078</v>
      </c>
      <c r="G33" s="140"/>
    </row>
    <row r="34" spans="2:7" hidden="1">
      <c r="B34" s="141" t="s">
        <v>1079</v>
      </c>
      <c r="C34" s="140" t="s">
        <v>1080</v>
      </c>
      <c r="D34" s="141" t="s">
        <v>1081</v>
      </c>
      <c r="E34" s="140" t="s">
        <v>1082</v>
      </c>
      <c r="F34" s="140"/>
      <c r="G34" s="140"/>
    </row>
    <row r="35" spans="2:7" hidden="1">
      <c r="B35" s="141" t="s">
        <v>21396</v>
      </c>
      <c r="C35" s="140" t="s">
        <v>20090</v>
      </c>
      <c r="D35" s="141" t="s">
        <v>20091</v>
      </c>
      <c r="E35" s="140"/>
      <c r="F35" s="140"/>
      <c r="G35" s="140"/>
    </row>
    <row r="36" spans="2:7" hidden="1">
      <c r="B36" s="141" t="s">
        <v>1083</v>
      </c>
      <c r="C36" s="140" t="s">
        <v>1084</v>
      </c>
      <c r="D36" s="141" t="s">
        <v>1085</v>
      </c>
      <c r="E36" s="140" t="s">
        <v>1086</v>
      </c>
      <c r="F36" s="140"/>
      <c r="G36" s="140"/>
    </row>
    <row r="37" spans="2:7" hidden="1">
      <c r="B37" s="140" t="s">
        <v>1087</v>
      </c>
      <c r="C37" s="140" t="s">
        <v>1088</v>
      </c>
      <c r="D37" s="140" t="s">
        <v>1089</v>
      </c>
      <c r="E37" s="142" t="s">
        <v>1090</v>
      </c>
      <c r="F37" s="142"/>
      <c r="G37" s="140"/>
    </row>
    <row r="38" spans="2:7" hidden="1">
      <c r="B38" s="140" t="s">
        <v>1091</v>
      </c>
      <c r="C38" s="140" t="s">
        <v>1092</v>
      </c>
      <c r="D38" s="140" t="s">
        <v>1093</v>
      </c>
      <c r="E38" s="142" t="s">
        <v>1094</v>
      </c>
      <c r="F38" s="142"/>
      <c r="G38" s="140"/>
    </row>
    <row r="39" spans="2:7" hidden="1">
      <c r="B39" s="141" t="s">
        <v>1095</v>
      </c>
      <c r="C39" s="140" t="s">
        <v>1096</v>
      </c>
      <c r="D39" s="141" t="s">
        <v>1097</v>
      </c>
      <c r="E39" s="140" t="s">
        <v>1098</v>
      </c>
      <c r="F39" s="140"/>
      <c r="G39" s="140"/>
    </row>
    <row r="40" spans="2:7" hidden="1">
      <c r="B40" s="141" t="s">
        <v>1099</v>
      </c>
      <c r="C40" s="140"/>
      <c r="D40" s="141" t="s">
        <v>1100</v>
      </c>
      <c r="E40" s="140"/>
      <c r="F40" s="140"/>
      <c r="G40" s="140"/>
    </row>
    <row r="41" spans="2:7" hidden="1">
      <c r="B41" s="141" t="s">
        <v>1101</v>
      </c>
      <c r="C41" s="140"/>
      <c r="D41" s="141" t="s">
        <v>1102</v>
      </c>
      <c r="E41" s="140"/>
      <c r="F41" s="140"/>
      <c r="G41" s="140"/>
    </row>
    <row r="42" spans="2:7" hidden="1">
      <c r="B42" s="141" t="s">
        <v>21397</v>
      </c>
      <c r="C42" s="140" t="s">
        <v>1103</v>
      </c>
      <c r="D42" s="141" t="s">
        <v>1104</v>
      </c>
      <c r="E42" s="140" t="s">
        <v>1105</v>
      </c>
      <c r="F42" s="140"/>
      <c r="G42" s="140"/>
    </row>
    <row r="43" spans="2:7" hidden="1">
      <c r="B43" s="140" t="s">
        <v>1106</v>
      </c>
      <c r="C43" s="140" t="s">
        <v>1107</v>
      </c>
      <c r="D43" s="140" t="s">
        <v>1108</v>
      </c>
      <c r="E43" s="142" t="s">
        <v>1109</v>
      </c>
      <c r="F43" s="142"/>
      <c r="G43" s="140"/>
    </row>
    <row r="44" spans="2:7" hidden="1">
      <c r="B44" s="141" t="s">
        <v>1110</v>
      </c>
      <c r="C44" s="140" t="s">
        <v>1111</v>
      </c>
      <c r="D44" s="141" t="s">
        <v>1112</v>
      </c>
      <c r="E44" s="140" t="s">
        <v>1113</v>
      </c>
      <c r="F44" s="140"/>
      <c r="G44" s="140"/>
    </row>
    <row r="45" spans="2:7" hidden="1">
      <c r="B45" s="141" t="s">
        <v>1114</v>
      </c>
      <c r="C45" s="140" t="s">
        <v>1115</v>
      </c>
      <c r="D45" s="141" t="s">
        <v>1116</v>
      </c>
      <c r="E45" s="140" t="s">
        <v>1117</v>
      </c>
      <c r="F45" s="140"/>
      <c r="G45" s="140"/>
    </row>
    <row r="46" spans="2:7" hidden="1">
      <c r="B46" s="140" t="s">
        <v>1118</v>
      </c>
      <c r="C46" s="140" t="s">
        <v>1119</v>
      </c>
      <c r="D46" s="140" t="s">
        <v>1120</v>
      </c>
      <c r="E46" s="142" t="s">
        <v>1121</v>
      </c>
      <c r="F46" s="142"/>
      <c r="G46" s="140"/>
    </row>
    <row r="47" spans="2:7" hidden="1">
      <c r="B47" s="141" t="s">
        <v>1122</v>
      </c>
      <c r="C47" s="140" t="s">
        <v>1123</v>
      </c>
      <c r="D47" s="141" t="s">
        <v>1124</v>
      </c>
      <c r="E47" s="140"/>
      <c r="F47" s="140"/>
      <c r="G47" s="140"/>
    </row>
    <row r="48" spans="2:7" hidden="1">
      <c r="B48" s="141" t="s">
        <v>1125</v>
      </c>
      <c r="C48" s="140"/>
      <c r="D48" s="141" t="s">
        <v>1126</v>
      </c>
      <c r="E48" s="140"/>
      <c r="F48" s="140"/>
      <c r="G48" s="140"/>
    </row>
    <row r="49" spans="2:7" hidden="1">
      <c r="B49" s="141" t="s">
        <v>1127</v>
      </c>
      <c r="C49" s="140" t="s">
        <v>1128</v>
      </c>
      <c r="D49" s="141" t="s">
        <v>1129</v>
      </c>
      <c r="E49" s="140" t="s">
        <v>1130</v>
      </c>
      <c r="F49" s="140" t="s">
        <v>1131</v>
      </c>
      <c r="G49" s="140"/>
    </row>
    <row r="50" spans="2:7" hidden="1">
      <c r="B50" s="141" t="s">
        <v>1132</v>
      </c>
      <c r="C50" s="140" t="s">
        <v>1133</v>
      </c>
      <c r="D50" s="141" t="s">
        <v>1134</v>
      </c>
      <c r="E50" s="140" t="s">
        <v>1135</v>
      </c>
      <c r="F50" s="140"/>
      <c r="G50" s="140"/>
    </row>
    <row r="51" spans="2:7" hidden="1">
      <c r="B51" s="140" t="s">
        <v>1136</v>
      </c>
      <c r="C51" s="140" t="s">
        <v>1137</v>
      </c>
      <c r="D51" s="140" t="s">
        <v>1138</v>
      </c>
      <c r="E51" s="142" t="s">
        <v>1139</v>
      </c>
      <c r="F51" s="142"/>
      <c r="G51" s="140"/>
    </row>
    <row r="52" spans="2:7" hidden="1">
      <c r="B52" s="141" t="s">
        <v>1140</v>
      </c>
      <c r="C52" s="141" t="s">
        <v>1141</v>
      </c>
      <c r="D52" s="141" t="s">
        <v>1142</v>
      </c>
      <c r="E52" s="141" t="s">
        <v>1143</v>
      </c>
      <c r="F52" s="141" t="s">
        <v>1144</v>
      </c>
      <c r="G52" s="140"/>
    </row>
    <row r="53" spans="2:7" hidden="1">
      <c r="B53" s="141" t="s">
        <v>1145</v>
      </c>
      <c r="C53" s="140" t="s">
        <v>1146</v>
      </c>
      <c r="D53" s="141" t="s">
        <v>1147</v>
      </c>
      <c r="E53" s="140" t="s">
        <v>1148</v>
      </c>
      <c r="F53" s="140"/>
      <c r="G53" s="140"/>
    </row>
    <row r="54" spans="2:7" hidden="1">
      <c r="B54" s="141" t="s">
        <v>1149</v>
      </c>
      <c r="C54" s="140"/>
      <c r="D54" s="141" t="s">
        <v>1150</v>
      </c>
      <c r="E54" s="140" t="s">
        <v>1151</v>
      </c>
      <c r="F54" s="140"/>
      <c r="G54" s="140"/>
    </row>
    <row r="55" spans="2:7" hidden="1">
      <c r="B55" s="140" t="s">
        <v>21369</v>
      </c>
      <c r="C55" s="140" t="s">
        <v>21370</v>
      </c>
      <c r="D55" s="140" t="s">
        <v>15224</v>
      </c>
      <c r="E55" s="142"/>
      <c r="F55" s="142"/>
      <c r="G55" s="140" t="s">
        <v>21371</v>
      </c>
    </row>
    <row r="56" spans="2:7" hidden="1">
      <c r="B56" s="140" t="s">
        <v>21398</v>
      </c>
      <c r="C56" s="140" t="s">
        <v>1152</v>
      </c>
      <c r="D56" s="140" t="s">
        <v>1153</v>
      </c>
      <c r="E56" s="142"/>
      <c r="F56" s="142"/>
      <c r="G56" s="140"/>
    </row>
    <row r="57" spans="2:7" hidden="1">
      <c r="B57" s="141" t="s">
        <v>1154</v>
      </c>
      <c r="C57" s="140" t="s">
        <v>1155</v>
      </c>
      <c r="D57" s="141" t="s">
        <v>1156</v>
      </c>
      <c r="E57" s="140" t="s">
        <v>1157</v>
      </c>
      <c r="F57" s="140"/>
      <c r="G57" s="140"/>
    </row>
    <row r="58" spans="2:7" hidden="1">
      <c r="B58" s="141" t="s">
        <v>1158</v>
      </c>
      <c r="C58" s="140" t="s">
        <v>1159</v>
      </c>
      <c r="D58" s="141" t="s">
        <v>1160</v>
      </c>
      <c r="E58" s="140" t="s">
        <v>1161</v>
      </c>
      <c r="F58" s="140"/>
      <c r="G58" s="140"/>
    </row>
    <row r="59" spans="2:7" hidden="1">
      <c r="B59" s="140" t="s">
        <v>1162</v>
      </c>
      <c r="C59" s="140" t="s">
        <v>1163</v>
      </c>
      <c r="D59" s="140" t="s">
        <v>1164</v>
      </c>
      <c r="E59" s="142" t="s">
        <v>1165</v>
      </c>
      <c r="F59" s="142"/>
      <c r="G59" s="140"/>
    </row>
    <row r="60" spans="2:7" hidden="1">
      <c r="B60" s="141" t="s">
        <v>21399</v>
      </c>
      <c r="C60" s="140" t="s">
        <v>1166</v>
      </c>
      <c r="D60" s="141" t="s">
        <v>1167</v>
      </c>
      <c r="E60" s="140" t="s">
        <v>1168</v>
      </c>
      <c r="F60" s="140"/>
      <c r="G60" s="140"/>
    </row>
    <row r="61" spans="2:7" hidden="1">
      <c r="B61" s="141" t="s">
        <v>21400</v>
      </c>
      <c r="C61" s="140" t="s">
        <v>1169</v>
      </c>
      <c r="D61" s="141" t="s">
        <v>1170</v>
      </c>
      <c r="E61" s="140" t="s">
        <v>1171</v>
      </c>
      <c r="F61" s="140"/>
      <c r="G61" s="140"/>
    </row>
    <row r="62" spans="2:7" hidden="1">
      <c r="B62" s="141" t="s">
        <v>1172</v>
      </c>
      <c r="C62" s="140" t="s">
        <v>1173</v>
      </c>
      <c r="D62" s="141" t="s">
        <v>1174</v>
      </c>
      <c r="E62" s="140" t="s">
        <v>1175</v>
      </c>
      <c r="F62" s="140"/>
      <c r="G62" s="140"/>
    </row>
    <row r="63" spans="2:7" hidden="1">
      <c r="B63" s="141" t="s">
        <v>1176</v>
      </c>
      <c r="C63" s="140" t="s">
        <v>1177</v>
      </c>
      <c r="D63" s="141" t="s">
        <v>1178</v>
      </c>
      <c r="E63" s="140" t="s">
        <v>1179</v>
      </c>
      <c r="F63" s="140"/>
      <c r="G63" s="140"/>
    </row>
    <row r="64" spans="2:7" hidden="1">
      <c r="B64" s="141" t="s">
        <v>1180</v>
      </c>
      <c r="C64" s="140"/>
      <c r="D64" s="141" t="s">
        <v>1181</v>
      </c>
      <c r="E64" s="140"/>
      <c r="F64" s="140"/>
      <c r="G64" s="140"/>
    </row>
    <row r="65" spans="2:7" hidden="1">
      <c r="B65" s="141" t="s">
        <v>21401</v>
      </c>
      <c r="C65" s="140" t="s">
        <v>1182</v>
      </c>
      <c r="D65" s="141" t="s">
        <v>1183</v>
      </c>
      <c r="E65" s="140" t="s">
        <v>1184</v>
      </c>
      <c r="F65" s="140"/>
      <c r="G65" s="140"/>
    </row>
    <row r="66" spans="2:7" hidden="1">
      <c r="B66" s="141" t="s">
        <v>21402</v>
      </c>
      <c r="C66" s="140"/>
      <c r="D66" s="141" t="s">
        <v>1185</v>
      </c>
      <c r="E66" s="140"/>
      <c r="F66" s="140"/>
      <c r="G66" s="140"/>
    </row>
    <row r="67" spans="2:7" hidden="1">
      <c r="B67" s="141" t="s">
        <v>21403</v>
      </c>
      <c r="C67" s="140" t="s">
        <v>1186</v>
      </c>
      <c r="D67" s="141" t="s">
        <v>1187</v>
      </c>
      <c r="E67" s="140" t="s">
        <v>1188</v>
      </c>
      <c r="F67" s="140"/>
      <c r="G67" s="140"/>
    </row>
    <row r="68" spans="2:7" hidden="1">
      <c r="B68" s="141" t="s">
        <v>1189</v>
      </c>
      <c r="C68" s="141"/>
      <c r="D68" s="141" t="s">
        <v>1190</v>
      </c>
      <c r="E68" s="141"/>
      <c r="F68" s="141"/>
      <c r="G68" s="140"/>
    </row>
    <row r="69" spans="2:7" hidden="1">
      <c r="B69" s="140" t="s">
        <v>21404</v>
      </c>
      <c r="C69" s="140" t="s">
        <v>1191</v>
      </c>
      <c r="D69" s="140" t="s">
        <v>1192</v>
      </c>
      <c r="E69" s="142" t="s">
        <v>1193</v>
      </c>
      <c r="F69" s="142"/>
      <c r="G69" s="140"/>
    </row>
    <row r="70" spans="2:7" hidden="1">
      <c r="B70" s="140" t="s">
        <v>1194</v>
      </c>
      <c r="C70" s="141"/>
      <c r="D70" s="141" t="s">
        <v>1195</v>
      </c>
      <c r="E70" s="141"/>
      <c r="F70" s="141"/>
      <c r="G70" s="140"/>
    </row>
    <row r="71" spans="2:7" hidden="1">
      <c r="B71" s="140" t="s">
        <v>1196</v>
      </c>
      <c r="C71" s="140" t="s">
        <v>1197</v>
      </c>
      <c r="D71" s="141" t="s">
        <v>1198</v>
      </c>
      <c r="E71" s="140" t="s">
        <v>1199</v>
      </c>
      <c r="F71" s="140"/>
      <c r="G71" s="140"/>
    </row>
    <row r="72" spans="2:7" hidden="1">
      <c r="B72" s="141" t="s">
        <v>1200</v>
      </c>
      <c r="C72" s="140" t="s">
        <v>1201</v>
      </c>
      <c r="D72" s="141" t="s">
        <v>1202</v>
      </c>
      <c r="E72" s="140" t="s">
        <v>1203</v>
      </c>
      <c r="F72" s="140"/>
      <c r="G72" s="140"/>
    </row>
    <row r="73" spans="2:7" hidden="1">
      <c r="B73" s="141" t="s">
        <v>1204</v>
      </c>
      <c r="C73" s="140" t="s">
        <v>1205</v>
      </c>
      <c r="D73" s="141" t="s">
        <v>1206</v>
      </c>
      <c r="E73" s="140" t="s">
        <v>1207</v>
      </c>
      <c r="F73" s="140"/>
      <c r="G73" s="140"/>
    </row>
    <row r="74" spans="2:7" hidden="1">
      <c r="B74" s="141" t="s">
        <v>1208</v>
      </c>
      <c r="C74" s="140"/>
      <c r="D74" s="141" t="s">
        <v>1209</v>
      </c>
      <c r="E74" s="140"/>
      <c r="F74" s="140"/>
      <c r="G74" s="140"/>
    </row>
    <row r="75" spans="2:7" hidden="1">
      <c r="B75" s="140" t="s">
        <v>1210</v>
      </c>
      <c r="C75" s="140"/>
      <c r="D75" s="140" t="s">
        <v>1211</v>
      </c>
      <c r="E75" s="142"/>
      <c r="F75" s="142"/>
      <c r="G75" s="140"/>
    </row>
    <row r="76" spans="2:7" hidden="1">
      <c r="B76" s="141" t="s">
        <v>1212</v>
      </c>
      <c r="C76" s="140"/>
      <c r="D76" s="141" t="s">
        <v>1213</v>
      </c>
      <c r="E76" s="140"/>
      <c r="F76" s="140"/>
      <c r="G76" s="140"/>
    </row>
    <row r="77" spans="2:7" hidden="1">
      <c r="B77" s="141" t="s">
        <v>1214</v>
      </c>
      <c r="C77" s="140"/>
      <c r="D77" s="141" t="s">
        <v>1215</v>
      </c>
      <c r="E77" s="140"/>
      <c r="F77" s="140"/>
      <c r="G77" s="140"/>
    </row>
    <row r="78" spans="2:7" hidden="1">
      <c r="B78" s="141" t="s">
        <v>1216</v>
      </c>
      <c r="C78" s="141" t="s">
        <v>1217</v>
      </c>
      <c r="D78" s="141" t="s">
        <v>1218</v>
      </c>
      <c r="E78" s="141" t="s">
        <v>1219</v>
      </c>
      <c r="F78" s="140" t="s">
        <v>1220</v>
      </c>
      <c r="G78" s="140"/>
    </row>
    <row r="79" spans="2:7" hidden="1">
      <c r="B79" s="141" t="s">
        <v>1221</v>
      </c>
      <c r="C79" s="140"/>
      <c r="D79" s="141" t="s">
        <v>1222</v>
      </c>
      <c r="E79" s="140" t="s">
        <v>1223</v>
      </c>
      <c r="F79" s="140"/>
      <c r="G79" s="140"/>
    </row>
    <row r="80" spans="2:7" hidden="1">
      <c r="B80" s="141" t="s">
        <v>1224</v>
      </c>
      <c r="C80" s="140" t="s">
        <v>1225</v>
      </c>
      <c r="D80" s="141" t="s">
        <v>1226</v>
      </c>
      <c r="E80" s="140" t="s">
        <v>1227</v>
      </c>
      <c r="F80" s="140"/>
      <c r="G80" s="140"/>
    </row>
    <row r="81" spans="2:7" hidden="1">
      <c r="B81" s="141" t="s">
        <v>1228</v>
      </c>
      <c r="C81" s="140"/>
      <c r="D81" s="141" t="s">
        <v>1229</v>
      </c>
      <c r="E81" s="140"/>
      <c r="F81" s="140"/>
      <c r="G81" s="140"/>
    </row>
    <row r="82" spans="2:7" hidden="1">
      <c r="B82" s="141" t="s">
        <v>1230</v>
      </c>
      <c r="C82" s="140" t="s">
        <v>1231</v>
      </c>
      <c r="D82" s="141" t="s">
        <v>1232</v>
      </c>
      <c r="E82" s="140" t="s">
        <v>1233</v>
      </c>
      <c r="F82" s="140" t="s">
        <v>1234</v>
      </c>
      <c r="G82" s="140"/>
    </row>
    <row r="83" spans="2:7" hidden="1">
      <c r="B83" s="141" t="s">
        <v>1235</v>
      </c>
      <c r="C83" s="140" t="s">
        <v>1236</v>
      </c>
      <c r="D83" s="141" t="s">
        <v>1237</v>
      </c>
      <c r="E83" s="140" t="s">
        <v>1238</v>
      </c>
      <c r="F83" s="140" t="s">
        <v>1239</v>
      </c>
      <c r="G83" s="140"/>
    </row>
    <row r="84" spans="2:7" hidden="1">
      <c r="B84" s="141" t="s">
        <v>1240</v>
      </c>
      <c r="C84" s="140" t="s">
        <v>1241</v>
      </c>
      <c r="D84" s="141" t="s">
        <v>1242</v>
      </c>
      <c r="E84" s="140" t="s">
        <v>1243</v>
      </c>
      <c r="F84" s="140"/>
      <c r="G84" s="140"/>
    </row>
    <row r="85" spans="2:7" hidden="1">
      <c r="B85" s="141" t="s">
        <v>1244</v>
      </c>
      <c r="C85" s="140" t="s">
        <v>1245</v>
      </c>
      <c r="D85" s="141" t="s">
        <v>1246</v>
      </c>
      <c r="E85" s="140" t="s">
        <v>1247</v>
      </c>
      <c r="F85" s="140"/>
      <c r="G85" s="140"/>
    </row>
    <row r="86" spans="2:7" hidden="1">
      <c r="B86" s="141" t="s">
        <v>1248</v>
      </c>
      <c r="C86" s="140"/>
      <c r="D86" s="141" t="s">
        <v>1249</v>
      </c>
      <c r="E86" s="140"/>
      <c r="F86" s="140"/>
      <c r="G86" s="140"/>
    </row>
    <row r="87" spans="2:7" hidden="1">
      <c r="B87" s="141" t="s">
        <v>1250</v>
      </c>
      <c r="C87" s="140"/>
      <c r="D87" s="141" t="s">
        <v>1251</v>
      </c>
      <c r="E87" s="140"/>
      <c r="F87" s="140"/>
      <c r="G87" s="140"/>
    </row>
    <row r="88" spans="2:7" hidden="1">
      <c r="B88" s="141" t="s">
        <v>1252</v>
      </c>
      <c r="C88" s="140" t="s">
        <v>1253</v>
      </c>
      <c r="D88" s="140" t="s">
        <v>1254</v>
      </c>
      <c r="E88" s="140" t="s">
        <v>1255</v>
      </c>
      <c r="F88" s="140" t="s">
        <v>1256</v>
      </c>
      <c r="G88" s="140"/>
    </row>
    <row r="89" spans="2:7" hidden="1">
      <c r="B89" s="141" t="s">
        <v>1257</v>
      </c>
      <c r="C89" s="140" t="s">
        <v>1258</v>
      </c>
      <c r="D89" s="141" t="s">
        <v>1259</v>
      </c>
      <c r="E89" s="140" t="s">
        <v>1260</v>
      </c>
      <c r="F89" s="140"/>
      <c r="G89" s="140"/>
    </row>
    <row r="90" spans="2:7" hidden="1">
      <c r="B90" s="141" t="s">
        <v>1261</v>
      </c>
      <c r="C90" s="140" t="s">
        <v>1262</v>
      </c>
      <c r="D90" s="141" t="s">
        <v>1263</v>
      </c>
      <c r="E90" s="140" t="s">
        <v>1264</v>
      </c>
      <c r="F90" s="140" t="s">
        <v>1265</v>
      </c>
      <c r="G90" s="140"/>
    </row>
    <row r="91" spans="2:7" hidden="1">
      <c r="B91" s="141" t="s">
        <v>1266</v>
      </c>
      <c r="C91" s="140" t="s">
        <v>1267</v>
      </c>
      <c r="D91" s="141" t="s">
        <v>1268</v>
      </c>
      <c r="E91" s="140"/>
      <c r="F91" s="140"/>
      <c r="G91" s="140"/>
    </row>
    <row r="92" spans="2:7" hidden="1">
      <c r="B92" s="140" t="s">
        <v>21405</v>
      </c>
      <c r="C92" s="140" t="s">
        <v>1269</v>
      </c>
      <c r="D92" s="140" t="s">
        <v>1270</v>
      </c>
      <c r="E92" s="142" t="s">
        <v>1271</v>
      </c>
      <c r="F92" s="142" t="s">
        <v>1272</v>
      </c>
      <c r="G92" s="140"/>
    </row>
    <row r="93" spans="2:7" hidden="1">
      <c r="B93" s="141" t="s">
        <v>1273</v>
      </c>
      <c r="C93" s="140"/>
      <c r="D93" s="141" t="s">
        <v>1274</v>
      </c>
      <c r="E93" s="140"/>
      <c r="F93" s="140"/>
      <c r="G93" s="140"/>
    </row>
    <row r="94" spans="2:7" hidden="1">
      <c r="B94" s="141" t="s">
        <v>1275</v>
      </c>
      <c r="C94" s="140"/>
      <c r="D94" s="141" t="s">
        <v>1276</v>
      </c>
      <c r="E94" s="140"/>
      <c r="F94" s="140"/>
      <c r="G94" s="140"/>
    </row>
    <row r="95" spans="2:7" hidden="1">
      <c r="B95" s="140" t="s">
        <v>1277</v>
      </c>
      <c r="C95" s="140"/>
      <c r="D95" s="141" t="s">
        <v>1278</v>
      </c>
      <c r="E95" s="140"/>
      <c r="F95" s="140"/>
      <c r="G95" s="140"/>
    </row>
    <row r="96" spans="2:7" hidden="1">
      <c r="B96" s="140" t="s">
        <v>1279</v>
      </c>
      <c r="C96" s="140" t="s">
        <v>1280</v>
      </c>
      <c r="D96" s="140" t="s">
        <v>1281</v>
      </c>
      <c r="E96" s="142" t="s">
        <v>1282</v>
      </c>
      <c r="F96" s="142" t="s">
        <v>1283</v>
      </c>
      <c r="G96" s="140" t="s">
        <v>1284</v>
      </c>
    </row>
    <row r="97" spans="2:7" hidden="1">
      <c r="B97" s="141" t="s">
        <v>1285</v>
      </c>
      <c r="C97" s="140" t="s">
        <v>1286</v>
      </c>
      <c r="D97" s="141" t="s">
        <v>1287</v>
      </c>
      <c r="E97" s="140" t="s">
        <v>1288</v>
      </c>
      <c r="F97" s="140"/>
      <c r="G97" s="140"/>
    </row>
    <row r="98" spans="2:7" hidden="1">
      <c r="B98" s="141" t="s">
        <v>1289</v>
      </c>
      <c r="C98" s="141" t="s">
        <v>1290</v>
      </c>
      <c r="D98" s="141" t="s">
        <v>1291</v>
      </c>
      <c r="E98" s="141"/>
      <c r="F98" s="141"/>
      <c r="G98" s="140"/>
    </row>
    <row r="99" spans="2:7" hidden="1">
      <c r="B99" s="141" t="s">
        <v>1292</v>
      </c>
      <c r="C99" s="140" t="s">
        <v>1293</v>
      </c>
      <c r="D99" s="141" t="s">
        <v>1294</v>
      </c>
      <c r="E99" s="140" t="s">
        <v>1295</v>
      </c>
      <c r="F99" s="140"/>
      <c r="G99" s="140"/>
    </row>
    <row r="100" spans="2:7" hidden="1">
      <c r="B100" s="141" t="s">
        <v>1296</v>
      </c>
      <c r="C100" s="140" t="s">
        <v>1297</v>
      </c>
      <c r="D100" s="141" t="s">
        <v>1298</v>
      </c>
      <c r="E100" s="140"/>
      <c r="F100" s="140"/>
      <c r="G100" s="140"/>
    </row>
    <row r="101" spans="2:7" hidden="1">
      <c r="B101" s="141" t="s">
        <v>1299</v>
      </c>
      <c r="C101" s="140" t="s">
        <v>1300</v>
      </c>
      <c r="D101" s="141" t="s">
        <v>1301</v>
      </c>
      <c r="E101" s="140" t="s">
        <v>1302</v>
      </c>
      <c r="F101" s="140"/>
      <c r="G101" s="140"/>
    </row>
    <row r="102" spans="2:7" hidden="1">
      <c r="B102" s="140" t="s">
        <v>21125</v>
      </c>
      <c r="C102" s="140" t="s">
        <v>21123</v>
      </c>
      <c r="D102" s="140" t="s">
        <v>21122</v>
      </c>
      <c r="E102" s="142" t="s">
        <v>21124</v>
      </c>
      <c r="F102" s="142"/>
      <c r="G102" s="140"/>
    </row>
    <row r="103" spans="2:7" hidden="1">
      <c r="B103" s="141" t="s">
        <v>1303</v>
      </c>
      <c r="C103" s="140" t="s">
        <v>1304</v>
      </c>
      <c r="D103" s="141" t="s">
        <v>1305</v>
      </c>
      <c r="E103" s="140" t="s">
        <v>1306</v>
      </c>
      <c r="F103" s="140" t="s">
        <v>1307</v>
      </c>
      <c r="G103" s="140"/>
    </row>
    <row r="104" spans="2:7" hidden="1">
      <c r="B104" s="141" t="s">
        <v>1308</v>
      </c>
      <c r="C104" s="140" t="s">
        <v>1309</v>
      </c>
      <c r="D104" s="141" t="s">
        <v>1310</v>
      </c>
      <c r="E104" s="140" t="s">
        <v>1311</v>
      </c>
      <c r="F104" s="140"/>
      <c r="G104" s="140"/>
    </row>
    <row r="105" spans="2:7" hidden="1">
      <c r="B105" s="141" t="s">
        <v>1312</v>
      </c>
      <c r="C105" s="140" t="s">
        <v>1313</v>
      </c>
      <c r="D105" s="141" t="s">
        <v>1314</v>
      </c>
      <c r="E105" s="140" t="s">
        <v>1315</v>
      </c>
      <c r="F105" s="140"/>
      <c r="G105" s="140"/>
    </row>
    <row r="106" spans="2:7" hidden="1">
      <c r="B106" s="141" t="s">
        <v>1316</v>
      </c>
      <c r="C106" s="141" t="s">
        <v>1317</v>
      </c>
      <c r="D106" s="141" t="s">
        <v>1318</v>
      </c>
      <c r="E106" s="141" t="s">
        <v>1319</v>
      </c>
      <c r="F106" s="140"/>
      <c r="G106" s="140"/>
    </row>
    <row r="107" spans="2:7" hidden="1">
      <c r="B107" s="141" t="s">
        <v>1320</v>
      </c>
      <c r="C107" s="140" t="s">
        <v>1321</v>
      </c>
      <c r="D107" s="141" t="s">
        <v>1322</v>
      </c>
      <c r="E107" s="140" t="s">
        <v>1323</v>
      </c>
      <c r="F107" s="140"/>
      <c r="G107" s="140"/>
    </row>
    <row r="108" spans="2:7" hidden="1">
      <c r="B108" s="141" t="s">
        <v>1324</v>
      </c>
      <c r="C108" s="140" t="s">
        <v>1325</v>
      </c>
      <c r="D108" s="141" t="s">
        <v>1326</v>
      </c>
      <c r="E108" s="140" t="s">
        <v>1327</v>
      </c>
      <c r="F108" s="140"/>
      <c r="G108" s="140"/>
    </row>
    <row r="109" spans="2:7" hidden="1">
      <c r="B109" s="141" t="s">
        <v>1328</v>
      </c>
      <c r="C109" s="140" t="s">
        <v>1329</v>
      </c>
      <c r="D109" s="141" t="s">
        <v>1330</v>
      </c>
      <c r="E109" s="140" t="s">
        <v>1331</v>
      </c>
      <c r="F109" s="140"/>
      <c r="G109" s="140"/>
    </row>
    <row r="110" spans="2:7" hidden="1">
      <c r="B110" s="141" t="s">
        <v>1332</v>
      </c>
      <c r="C110" s="140" t="s">
        <v>1333</v>
      </c>
      <c r="D110" s="141" t="s">
        <v>1334</v>
      </c>
      <c r="E110" s="140" t="s">
        <v>1335</v>
      </c>
      <c r="F110" s="140" t="s">
        <v>1336</v>
      </c>
      <c r="G110" s="140"/>
    </row>
    <row r="111" spans="2:7" hidden="1">
      <c r="B111" s="141" t="s">
        <v>1337</v>
      </c>
      <c r="C111" s="140" t="s">
        <v>1338</v>
      </c>
      <c r="D111" s="141" t="s">
        <v>1339</v>
      </c>
      <c r="E111" s="140" t="s">
        <v>1340</v>
      </c>
      <c r="F111" s="140" t="s">
        <v>1341</v>
      </c>
      <c r="G111" s="140"/>
    </row>
    <row r="112" spans="2:7" hidden="1">
      <c r="B112" s="141" t="s">
        <v>1342</v>
      </c>
      <c r="C112" s="140" t="s">
        <v>1343</v>
      </c>
      <c r="D112" s="141" t="s">
        <v>1344</v>
      </c>
      <c r="E112" s="140" t="s">
        <v>1345</v>
      </c>
      <c r="F112" s="140" t="s">
        <v>1346</v>
      </c>
      <c r="G112" s="140"/>
    </row>
    <row r="113" spans="2:7" hidden="1">
      <c r="B113" s="141" t="s">
        <v>1347</v>
      </c>
      <c r="C113" s="140" t="s">
        <v>1348</v>
      </c>
      <c r="D113" s="141" t="s">
        <v>1349</v>
      </c>
      <c r="E113" s="140" t="s">
        <v>1350</v>
      </c>
      <c r="F113" s="140" t="s">
        <v>1351</v>
      </c>
      <c r="G113" s="140"/>
    </row>
    <row r="114" spans="2:7" hidden="1">
      <c r="B114" s="141" t="s">
        <v>1352</v>
      </c>
      <c r="C114" s="140" t="s">
        <v>1353</v>
      </c>
      <c r="D114" s="141" t="s">
        <v>1354</v>
      </c>
      <c r="E114" s="140" t="s">
        <v>1355</v>
      </c>
      <c r="F114" s="140" t="s">
        <v>1356</v>
      </c>
      <c r="G114" s="140"/>
    </row>
    <row r="115" spans="2:7" hidden="1">
      <c r="B115" s="141" t="s">
        <v>1357</v>
      </c>
      <c r="C115" s="140" t="s">
        <v>1358</v>
      </c>
      <c r="D115" s="141" t="s">
        <v>1359</v>
      </c>
      <c r="E115" s="140" t="s">
        <v>1360</v>
      </c>
      <c r="F115" s="140"/>
      <c r="G115" s="140"/>
    </row>
    <row r="116" spans="2:7" hidden="1">
      <c r="B116" s="141" t="s">
        <v>1361</v>
      </c>
      <c r="C116" s="140" t="s">
        <v>1362</v>
      </c>
      <c r="D116" s="141" t="s">
        <v>1363</v>
      </c>
      <c r="E116" s="140" t="s">
        <v>1364</v>
      </c>
      <c r="F116" s="140"/>
      <c r="G116" s="140"/>
    </row>
    <row r="117" spans="2:7" hidden="1">
      <c r="B117" s="141" t="s">
        <v>1365</v>
      </c>
      <c r="C117" s="140" t="s">
        <v>1362</v>
      </c>
      <c r="D117" s="141" t="s">
        <v>1366</v>
      </c>
      <c r="E117" s="140" t="s">
        <v>1367</v>
      </c>
      <c r="F117" s="140"/>
      <c r="G117" s="140"/>
    </row>
    <row r="118" spans="2:7" hidden="1">
      <c r="B118" s="141" t="s">
        <v>21406</v>
      </c>
      <c r="C118" s="140" t="s">
        <v>1368</v>
      </c>
      <c r="D118" s="141" t="s">
        <v>1369</v>
      </c>
      <c r="E118" s="140" t="s">
        <v>1370</v>
      </c>
      <c r="F118" s="140" t="s">
        <v>1371</v>
      </c>
      <c r="G118" s="140"/>
    </row>
    <row r="119" spans="2:7" hidden="1">
      <c r="B119" s="140" t="s">
        <v>21407</v>
      </c>
      <c r="C119" s="140" t="s">
        <v>1372</v>
      </c>
      <c r="D119" s="140" t="s">
        <v>1373</v>
      </c>
      <c r="E119" s="140" t="s">
        <v>1374</v>
      </c>
      <c r="F119" s="140"/>
      <c r="G119" s="140" t="s">
        <v>1375</v>
      </c>
    </row>
    <row r="120" spans="2:7" hidden="1">
      <c r="B120" s="141" t="s">
        <v>1376</v>
      </c>
      <c r="C120" s="140" t="s">
        <v>1377</v>
      </c>
      <c r="D120" s="141" t="s">
        <v>1378</v>
      </c>
      <c r="E120" s="140" t="s">
        <v>1379</v>
      </c>
      <c r="F120" s="140" t="s">
        <v>1380</v>
      </c>
      <c r="G120" s="140"/>
    </row>
    <row r="121" spans="2:7" hidden="1">
      <c r="B121" s="141" t="s">
        <v>1381</v>
      </c>
      <c r="C121" s="140" t="s">
        <v>1382</v>
      </c>
      <c r="D121" s="141" t="s">
        <v>1383</v>
      </c>
      <c r="E121" s="140" t="s">
        <v>1384</v>
      </c>
      <c r="F121" s="140" t="s">
        <v>1385</v>
      </c>
      <c r="G121" s="140"/>
    </row>
    <row r="122" spans="2:7" hidden="1">
      <c r="B122" s="141" t="s">
        <v>1386</v>
      </c>
      <c r="C122" s="140" t="s">
        <v>1387</v>
      </c>
      <c r="D122" s="141" t="s">
        <v>1388</v>
      </c>
      <c r="E122" s="140" t="s">
        <v>1389</v>
      </c>
      <c r="F122" s="140"/>
      <c r="G122" s="140"/>
    </row>
    <row r="123" spans="2:7" hidden="1">
      <c r="B123" s="140" t="s">
        <v>1390</v>
      </c>
      <c r="C123" s="140" t="s">
        <v>21408</v>
      </c>
      <c r="D123" s="140" t="s">
        <v>1391</v>
      </c>
      <c r="E123" s="140"/>
      <c r="F123" s="140"/>
      <c r="G123" s="140" t="s">
        <v>1392</v>
      </c>
    </row>
    <row r="124" spans="2:7" hidden="1">
      <c r="B124" s="141" t="s">
        <v>1393</v>
      </c>
      <c r="C124" s="141" t="s">
        <v>1394</v>
      </c>
      <c r="D124" s="141" t="s">
        <v>1395</v>
      </c>
      <c r="E124" s="141" t="s">
        <v>1396</v>
      </c>
      <c r="F124" s="140" t="s">
        <v>1397</v>
      </c>
      <c r="G124" s="140"/>
    </row>
    <row r="125" spans="2:7" hidden="1">
      <c r="B125" s="141" t="s">
        <v>1398</v>
      </c>
      <c r="C125" s="140"/>
      <c r="D125" s="141" t="s">
        <v>1399</v>
      </c>
      <c r="E125" s="140"/>
      <c r="F125" s="140"/>
      <c r="G125" s="140"/>
    </row>
    <row r="126" spans="2:7" hidden="1">
      <c r="B126" s="141" t="s">
        <v>1400</v>
      </c>
      <c r="C126" s="140"/>
      <c r="D126" s="141" t="s">
        <v>1401</v>
      </c>
      <c r="E126" s="140"/>
      <c r="F126" s="140"/>
      <c r="G126" s="140"/>
    </row>
    <row r="127" spans="2:7" hidden="1">
      <c r="B127" s="141" t="s">
        <v>1402</v>
      </c>
      <c r="C127" s="140" t="s">
        <v>1403</v>
      </c>
      <c r="D127" s="141" t="s">
        <v>1404</v>
      </c>
      <c r="E127" s="140" t="s">
        <v>1405</v>
      </c>
      <c r="F127" s="140"/>
      <c r="G127" s="140"/>
    </row>
    <row r="128" spans="2:7" hidden="1">
      <c r="B128" s="141" t="s">
        <v>1406</v>
      </c>
      <c r="C128" s="140" t="s">
        <v>1407</v>
      </c>
      <c r="D128" s="141" t="s">
        <v>1408</v>
      </c>
      <c r="E128" s="140" t="s">
        <v>1409</v>
      </c>
      <c r="F128" s="140" t="s">
        <v>1410</v>
      </c>
      <c r="G128" s="140"/>
    </row>
    <row r="129" spans="2:7" hidden="1">
      <c r="B129" s="140" t="s">
        <v>22207</v>
      </c>
      <c r="C129" s="140" t="s">
        <v>22209</v>
      </c>
      <c r="D129" s="140" t="s">
        <v>22208</v>
      </c>
      <c r="E129" s="142" t="s">
        <v>22210</v>
      </c>
      <c r="F129" s="142"/>
      <c r="G129" s="140"/>
    </row>
    <row r="130" spans="2:7" hidden="1">
      <c r="B130" s="141" t="s">
        <v>1411</v>
      </c>
      <c r="C130" s="140"/>
      <c r="D130" s="141" t="s">
        <v>1412</v>
      </c>
      <c r="E130" s="140"/>
      <c r="F130" s="140"/>
      <c r="G130" s="140"/>
    </row>
    <row r="131" spans="2:7" hidden="1">
      <c r="B131" s="140" t="s">
        <v>1413</v>
      </c>
      <c r="C131" s="140" t="s">
        <v>1414</v>
      </c>
      <c r="D131" s="140" t="s">
        <v>1415</v>
      </c>
      <c r="E131" s="142"/>
      <c r="F131" s="142"/>
      <c r="G131" s="140"/>
    </row>
    <row r="132" spans="2:7" hidden="1">
      <c r="B132" s="141" t="s">
        <v>1416</v>
      </c>
      <c r="C132" s="140" t="s">
        <v>1417</v>
      </c>
      <c r="D132" s="141" t="s">
        <v>1418</v>
      </c>
      <c r="E132" s="140" t="s">
        <v>1419</v>
      </c>
      <c r="F132" s="140"/>
      <c r="G132" s="140"/>
    </row>
    <row r="133" spans="2:7" hidden="1">
      <c r="B133" s="141" t="s">
        <v>1420</v>
      </c>
      <c r="C133" s="140"/>
      <c r="D133" s="141" t="s">
        <v>1421</v>
      </c>
      <c r="E133" s="140"/>
      <c r="F133" s="140"/>
      <c r="G133" s="140"/>
    </row>
    <row r="134" spans="2:7" hidden="1">
      <c r="B134" s="141" t="s">
        <v>1422</v>
      </c>
      <c r="C134" s="140" t="s">
        <v>1423</v>
      </c>
      <c r="D134" s="141" t="s">
        <v>1424</v>
      </c>
      <c r="E134" s="140" t="s">
        <v>1425</v>
      </c>
      <c r="F134" s="140"/>
      <c r="G134" s="140"/>
    </row>
    <row r="135" spans="2:7" hidden="1">
      <c r="B135" s="141" t="s">
        <v>1426</v>
      </c>
      <c r="C135" s="140"/>
      <c r="D135" s="141" t="s">
        <v>1427</v>
      </c>
      <c r="E135" s="140"/>
      <c r="F135" s="140"/>
      <c r="G135" s="140"/>
    </row>
    <row r="136" spans="2:7" hidden="1">
      <c r="B136" s="141" t="s">
        <v>1428</v>
      </c>
      <c r="C136" s="140"/>
      <c r="D136" s="141" t="s">
        <v>1429</v>
      </c>
      <c r="E136" s="140"/>
      <c r="F136" s="140"/>
      <c r="G136" s="140"/>
    </row>
    <row r="137" spans="2:7" hidden="1">
      <c r="B137" s="141" t="s">
        <v>1430</v>
      </c>
      <c r="C137" s="140" t="s">
        <v>1431</v>
      </c>
      <c r="D137" s="141" t="s">
        <v>1432</v>
      </c>
      <c r="E137" s="140" t="s">
        <v>1433</v>
      </c>
      <c r="F137" s="140"/>
      <c r="G137" s="140"/>
    </row>
    <row r="138" spans="2:7" hidden="1">
      <c r="B138" s="141" t="s">
        <v>1434</v>
      </c>
      <c r="C138" s="140" t="s">
        <v>1435</v>
      </c>
      <c r="D138" s="141" t="s">
        <v>1436</v>
      </c>
      <c r="E138" s="140" t="s">
        <v>1437</v>
      </c>
      <c r="F138" s="140"/>
      <c r="G138" s="140"/>
    </row>
    <row r="139" spans="2:7" hidden="1">
      <c r="B139" s="140" t="s">
        <v>1438</v>
      </c>
      <c r="C139" s="140"/>
      <c r="D139" s="140" t="s">
        <v>1439</v>
      </c>
      <c r="E139" s="142"/>
      <c r="F139" s="142"/>
      <c r="G139" s="140"/>
    </row>
    <row r="140" spans="2:7" hidden="1">
      <c r="B140" s="140" t="s">
        <v>1440</v>
      </c>
      <c r="C140" s="140"/>
      <c r="D140" s="140" t="s">
        <v>1441</v>
      </c>
      <c r="E140" s="142"/>
      <c r="F140" s="142"/>
      <c r="G140" s="140"/>
    </row>
    <row r="141" spans="2:7" hidden="1">
      <c r="B141" s="140" t="s">
        <v>1442</v>
      </c>
      <c r="C141" s="140" t="s">
        <v>1443</v>
      </c>
      <c r="D141" s="140" t="s">
        <v>1444</v>
      </c>
      <c r="E141" s="142"/>
      <c r="F141" s="142"/>
      <c r="G141" s="140"/>
    </row>
    <row r="142" spans="2:7" hidden="1">
      <c r="B142" s="141" t="s">
        <v>1445</v>
      </c>
      <c r="C142" s="140"/>
      <c r="D142" s="141" t="s">
        <v>1446</v>
      </c>
      <c r="E142" s="140"/>
      <c r="F142" s="140"/>
      <c r="G142" s="140"/>
    </row>
    <row r="143" spans="2:7" hidden="1">
      <c r="B143" s="140" t="s">
        <v>1447</v>
      </c>
      <c r="C143" s="140"/>
      <c r="D143" s="140" t="s">
        <v>1448</v>
      </c>
      <c r="E143" s="142"/>
      <c r="F143" s="142"/>
      <c r="G143" s="140"/>
    </row>
    <row r="144" spans="2:7" hidden="1">
      <c r="B144" s="141" t="s">
        <v>1449</v>
      </c>
      <c r="C144" s="141"/>
      <c r="D144" s="141" t="s">
        <v>1450</v>
      </c>
      <c r="E144" s="141"/>
      <c r="F144" s="141"/>
      <c r="G144" s="140"/>
    </row>
    <row r="145" spans="2:7" hidden="1">
      <c r="B145" s="141" t="s">
        <v>1451</v>
      </c>
      <c r="C145" s="141"/>
      <c r="D145" s="141" t="s">
        <v>1452</v>
      </c>
      <c r="E145" s="141"/>
      <c r="F145" s="141"/>
      <c r="G145" s="140"/>
    </row>
    <row r="146" spans="2:7" hidden="1">
      <c r="B146" s="141" t="s">
        <v>1453</v>
      </c>
      <c r="C146" s="140"/>
      <c r="D146" s="141" t="s">
        <v>1454</v>
      </c>
      <c r="E146" s="140"/>
      <c r="F146" s="140"/>
      <c r="G146" s="140"/>
    </row>
    <row r="147" spans="2:7" hidden="1">
      <c r="B147" s="141" t="s">
        <v>1455</v>
      </c>
      <c r="C147" s="141"/>
      <c r="D147" s="141" t="s">
        <v>1456</v>
      </c>
      <c r="E147" s="141"/>
      <c r="F147" s="141"/>
      <c r="G147" s="140"/>
    </row>
    <row r="148" spans="2:7" hidden="1">
      <c r="B148" s="141" t="s">
        <v>1457</v>
      </c>
      <c r="C148" s="141" t="s">
        <v>1458</v>
      </c>
      <c r="D148" s="141" t="s">
        <v>1459</v>
      </c>
      <c r="E148" s="141" t="s">
        <v>1460</v>
      </c>
      <c r="F148" s="141"/>
      <c r="G148" s="140"/>
    </row>
    <row r="149" spans="2:7" hidden="1">
      <c r="B149" s="141" t="s">
        <v>1461</v>
      </c>
      <c r="C149" s="140" t="s">
        <v>1462</v>
      </c>
      <c r="D149" s="141" t="s">
        <v>1463</v>
      </c>
      <c r="E149" s="140" t="s">
        <v>1464</v>
      </c>
      <c r="F149" s="140" t="s">
        <v>1465</v>
      </c>
      <c r="G149" s="140"/>
    </row>
    <row r="150" spans="2:7" hidden="1">
      <c r="B150" s="141" t="s">
        <v>1466</v>
      </c>
      <c r="C150" s="140"/>
      <c r="D150" s="141" t="s">
        <v>1467</v>
      </c>
      <c r="E150" s="140"/>
      <c r="F150" s="140"/>
      <c r="G150" s="140"/>
    </row>
    <row r="151" spans="2:7" hidden="1">
      <c r="B151" s="140" t="s">
        <v>20092</v>
      </c>
      <c r="C151" s="140" t="s">
        <v>20093</v>
      </c>
      <c r="D151" s="140" t="s">
        <v>20094</v>
      </c>
      <c r="E151" s="140" t="s">
        <v>20095</v>
      </c>
      <c r="F151" s="140" t="s">
        <v>20096</v>
      </c>
      <c r="G151" s="140"/>
    </row>
    <row r="152" spans="2:7" hidden="1">
      <c r="B152" s="140" t="s">
        <v>1468</v>
      </c>
      <c r="C152" s="140" t="s">
        <v>1469</v>
      </c>
      <c r="D152" s="140" t="s">
        <v>1469</v>
      </c>
      <c r="E152" s="142" t="s">
        <v>1470</v>
      </c>
      <c r="F152" s="142" t="s">
        <v>1471</v>
      </c>
      <c r="G152" s="140" t="s">
        <v>1472</v>
      </c>
    </row>
    <row r="153" spans="2:7" hidden="1">
      <c r="B153" s="140" t="s">
        <v>21375</v>
      </c>
      <c r="C153" s="140" t="s">
        <v>21378</v>
      </c>
      <c r="D153" s="140" t="s">
        <v>21376</v>
      </c>
      <c r="E153" s="142" t="s">
        <v>21377</v>
      </c>
      <c r="F153" s="142"/>
      <c r="G153" s="140"/>
    </row>
    <row r="154" spans="2:7" hidden="1">
      <c r="B154" s="141" t="s">
        <v>1473</v>
      </c>
      <c r="C154" s="140" t="s">
        <v>1474</v>
      </c>
      <c r="D154" s="141" t="s">
        <v>1475</v>
      </c>
      <c r="E154" s="140"/>
      <c r="F154" s="140"/>
      <c r="G154" s="140" t="s">
        <v>20097</v>
      </c>
    </row>
    <row r="155" spans="2:7" hidden="1">
      <c r="B155" s="140" t="s">
        <v>1476</v>
      </c>
      <c r="C155" s="140" t="s">
        <v>1477</v>
      </c>
      <c r="D155" s="140" t="s">
        <v>1478</v>
      </c>
      <c r="E155" s="142"/>
      <c r="F155" s="142"/>
      <c r="G155" s="140"/>
    </row>
    <row r="156" spans="2:7" hidden="1">
      <c r="B156" s="140" t="s">
        <v>1479</v>
      </c>
      <c r="C156" s="140"/>
      <c r="D156" s="140" t="s">
        <v>1480</v>
      </c>
      <c r="E156" s="142"/>
      <c r="F156" s="142"/>
      <c r="G156" s="140"/>
    </row>
    <row r="157" spans="2:7" hidden="1">
      <c r="B157" s="140" t="s">
        <v>1481</v>
      </c>
      <c r="C157" s="140" t="s">
        <v>1482</v>
      </c>
      <c r="D157" s="140" t="s">
        <v>1483</v>
      </c>
      <c r="E157" s="142"/>
      <c r="F157" s="142"/>
      <c r="G157" s="140"/>
    </row>
    <row r="158" spans="2:7" hidden="1">
      <c r="B158" s="141" t="s">
        <v>1484</v>
      </c>
      <c r="C158" s="140" t="s">
        <v>1485</v>
      </c>
      <c r="D158" s="141" t="s">
        <v>1486</v>
      </c>
      <c r="E158" s="140"/>
      <c r="F158" s="140"/>
      <c r="G158" s="140"/>
    </row>
    <row r="159" spans="2:7" hidden="1">
      <c r="B159" s="141" t="s">
        <v>1487</v>
      </c>
      <c r="C159" s="140" t="s">
        <v>1488</v>
      </c>
      <c r="D159" s="141" t="s">
        <v>1489</v>
      </c>
      <c r="E159" s="140" t="s">
        <v>1490</v>
      </c>
      <c r="F159" s="140" t="s">
        <v>1491</v>
      </c>
      <c r="G159" s="140"/>
    </row>
    <row r="160" spans="2:7" hidden="1">
      <c r="B160" s="141" t="s">
        <v>1492</v>
      </c>
      <c r="C160" s="140"/>
      <c r="D160" s="141" t="s">
        <v>1493</v>
      </c>
      <c r="E160" s="140" t="s">
        <v>1494</v>
      </c>
      <c r="F160" s="140" t="s">
        <v>1495</v>
      </c>
      <c r="G160" s="140"/>
    </row>
    <row r="161" spans="2:7" hidden="1">
      <c r="B161" s="141" t="s">
        <v>1496</v>
      </c>
      <c r="C161" s="140"/>
      <c r="D161" s="141" t="s">
        <v>1497</v>
      </c>
      <c r="E161" s="140"/>
      <c r="F161" s="140"/>
      <c r="G161" s="140"/>
    </row>
    <row r="162" spans="2:7" hidden="1">
      <c r="B162" s="141" t="s">
        <v>1498</v>
      </c>
      <c r="C162" s="140" t="s">
        <v>1499</v>
      </c>
      <c r="D162" s="141" t="s">
        <v>1500</v>
      </c>
      <c r="E162" s="140"/>
      <c r="F162" s="140"/>
      <c r="G162" s="140"/>
    </row>
    <row r="163" spans="2:7" hidden="1">
      <c r="B163" s="141" t="s">
        <v>21425</v>
      </c>
      <c r="C163" s="140"/>
      <c r="D163" s="141" t="s">
        <v>1560</v>
      </c>
      <c r="E163" s="140"/>
      <c r="F163" s="140"/>
      <c r="G163" s="140"/>
    </row>
    <row r="164" spans="2:7" hidden="1">
      <c r="B164" s="140" t="s">
        <v>1561</v>
      </c>
      <c r="C164" s="140" t="s">
        <v>1562</v>
      </c>
      <c r="D164" s="140" t="s">
        <v>1563</v>
      </c>
      <c r="E164" s="140" t="s">
        <v>1564</v>
      </c>
      <c r="F164" s="140"/>
      <c r="G164" s="140"/>
    </row>
    <row r="165" spans="2:7" hidden="1">
      <c r="B165" s="141" t="s">
        <v>1565</v>
      </c>
      <c r="C165" s="140" t="s">
        <v>1566</v>
      </c>
      <c r="D165" s="141" t="s">
        <v>1226</v>
      </c>
      <c r="E165" s="140" t="s">
        <v>1567</v>
      </c>
      <c r="F165" s="140" t="s">
        <v>1568</v>
      </c>
      <c r="G165" s="140"/>
    </row>
    <row r="166" spans="2:7" hidden="1">
      <c r="B166" s="141" t="s">
        <v>1569</v>
      </c>
      <c r="C166" s="140" t="s">
        <v>1570</v>
      </c>
      <c r="D166" s="141" t="s">
        <v>1571</v>
      </c>
      <c r="E166" s="140"/>
      <c r="F166" s="140"/>
      <c r="G166" s="140"/>
    </row>
    <row r="167" spans="2:7" hidden="1">
      <c r="B167" s="141" t="s">
        <v>20098</v>
      </c>
      <c r="C167" s="140" t="s">
        <v>20099</v>
      </c>
      <c r="D167" s="141" t="s">
        <v>20100</v>
      </c>
      <c r="E167" s="140"/>
      <c r="F167" s="140"/>
      <c r="G167" s="140" t="s">
        <v>20101</v>
      </c>
    </row>
    <row r="168" spans="2:7" hidden="1">
      <c r="B168" s="141" t="s">
        <v>1572</v>
      </c>
      <c r="C168" s="141" t="s">
        <v>1573</v>
      </c>
      <c r="D168" s="141" t="s">
        <v>1574</v>
      </c>
      <c r="E168" s="141"/>
      <c r="F168" s="140"/>
      <c r="G168" s="140"/>
    </row>
    <row r="169" spans="2:7" hidden="1">
      <c r="B169" s="140" t="s">
        <v>1575</v>
      </c>
      <c r="C169" s="140" t="s">
        <v>1576</v>
      </c>
      <c r="D169" s="140" t="s">
        <v>1577</v>
      </c>
      <c r="E169" s="140" t="s">
        <v>1578</v>
      </c>
      <c r="F169" s="140" t="s">
        <v>1579</v>
      </c>
      <c r="G169" s="140"/>
    </row>
    <row r="170" spans="2:7" hidden="1">
      <c r="B170" s="140" t="s">
        <v>1580</v>
      </c>
      <c r="C170" s="140" t="s">
        <v>1581</v>
      </c>
      <c r="D170" s="140" t="s">
        <v>1582</v>
      </c>
      <c r="E170" s="142" t="s">
        <v>1583</v>
      </c>
      <c r="F170" s="371"/>
      <c r="G170" s="192"/>
    </row>
    <row r="171" spans="2:7" hidden="1">
      <c r="B171" s="141" t="s">
        <v>1584</v>
      </c>
      <c r="C171" s="141" t="s">
        <v>1585</v>
      </c>
      <c r="D171" s="141" t="s">
        <v>1232</v>
      </c>
      <c r="E171" s="141" t="s">
        <v>1586</v>
      </c>
      <c r="F171" s="141" t="s">
        <v>1587</v>
      </c>
      <c r="G171" s="140"/>
    </row>
    <row r="172" spans="2:7" hidden="1">
      <c r="B172" s="141" t="s">
        <v>1588</v>
      </c>
      <c r="C172" s="140" t="s">
        <v>1589</v>
      </c>
      <c r="D172" s="141" t="s">
        <v>1590</v>
      </c>
      <c r="E172" s="140" t="s">
        <v>1591</v>
      </c>
      <c r="F172" s="140" t="s">
        <v>1592</v>
      </c>
      <c r="G172" s="140"/>
    </row>
    <row r="173" spans="2:7" hidden="1">
      <c r="B173" s="141" t="s">
        <v>1593</v>
      </c>
      <c r="C173" s="140" t="s">
        <v>1594</v>
      </c>
      <c r="D173" s="141" t="s">
        <v>1548</v>
      </c>
      <c r="E173" s="140" t="s">
        <v>1549</v>
      </c>
      <c r="F173" s="140" t="s">
        <v>1550</v>
      </c>
      <c r="G173" s="140"/>
    </row>
    <row r="174" spans="2:7" hidden="1">
      <c r="B174" s="140" t="s">
        <v>1595</v>
      </c>
      <c r="C174" s="140" t="s">
        <v>1596</v>
      </c>
      <c r="D174" s="140" t="s">
        <v>1597</v>
      </c>
      <c r="E174" s="140" t="s">
        <v>1598</v>
      </c>
      <c r="F174" s="140"/>
      <c r="G174" s="140"/>
    </row>
    <row r="175" spans="2:7" hidden="1">
      <c r="B175" s="141" t="s">
        <v>1599</v>
      </c>
      <c r="C175" s="140" t="s">
        <v>1600</v>
      </c>
      <c r="D175" s="141" t="s">
        <v>1601</v>
      </c>
      <c r="E175" s="140" t="s">
        <v>1602</v>
      </c>
      <c r="F175" s="140" t="s">
        <v>1602</v>
      </c>
      <c r="G175" s="140"/>
    </row>
    <row r="176" spans="2:7" hidden="1">
      <c r="B176" s="141" t="s">
        <v>1603</v>
      </c>
      <c r="C176" s="140" t="s">
        <v>1604</v>
      </c>
      <c r="D176" s="141" t="s">
        <v>1605</v>
      </c>
      <c r="E176" s="140" t="s">
        <v>1606</v>
      </c>
      <c r="F176" s="140"/>
      <c r="G176" s="140"/>
    </row>
    <row r="177" spans="2:7" hidden="1">
      <c r="B177" s="141" t="s">
        <v>1607</v>
      </c>
      <c r="C177" s="141" t="s">
        <v>1608</v>
      </c>
      <c r="D177" s="141" t="s">
        <v>1609</v>
      </c>
      <c r="E177" s="141" t="s">
        <v>1610</v>
      </c>
      <c r="F177" s="141"/>
      <c r="G177" s="140"/>
    </row>
    <row r="178" spans="2:7" hidden="1">
      <c r="B178" s="141" t="s">
        <v>21409</v>
      </c>
      <c r="C178" s="140" t="s">
        <v>1501</v>
      </c>
      <c r="D178" s="141" t="s">
        <v>1502</v>
      </c>
      <c r="E178" s="140" t="s">
        <v>1503</v>
      </c>
      <c r="F178" s="140" t="s">
        <v>1504</v>
      </c>
      <c r="G178" s="140"/>
    </row>
    <row r="179" spans="2:7" hidden="1">
      <c r="B179" s="141" t="s">
        <v>21410</v>
      </c>
      <c r="C179" s="141" t="s">
        <v>1505</v>
      </c>
      <c r="D179" s="141" t="s">
        <v>1506</v>
      </c>
      <c r="E179" s="140" t="s">
        <v>1507</v>
      </c>
      <c r="F179" s="140" t="s">
        <v>1508</v>
      </c>
      <c r="G179" s="140"/>
    </row>
    <row r="180" spans="2:7" hidden="1">
      <c r="B180" s="141" t="s">
        <v>21411</v>
      </c>
      <c r="C180" s="140" t="s">
        <v>1509</v>
      </c>
      <c r="D180" s="141" t="s">
        <v>1510</v>
      </c>
      <c r="E180" s="140" t="s">
        <v>1511</v>
      </c>
      <c r="F180" s="140" t="s">
        <v>1512</v>
      </c>
      <c r="G180" s="140"/>
    </row>
    <row r="181" spans="2:7" hidden="1">
      <c r="B181" s="141" t="s">
        <v>21412</v>
      </c>
      <c r="C181" s="140" t="s">
        <v>1513</v>
      </c>
      <c r="D181" s="140" t="s">
        <v>1514</v>
      </c>
      <c r="E181" s="141" t="s">
        <v>1515</v>
      </c>
      <c r="F181" s="141" t="s">
        <v>1516</v>
      </c>
      <c r="G181" s="140"/>
    </row>
    <row r="182" spans="2:7" hidden="1">
      <c r="B182" s="141" t="s">
        <v>21413</v>
      </c>
      <c r="C182" s="140" t="s">
        <v>1517</v>
      </c>
      <c r="D182" s="141" t="s">
        <v>1518</v>
      </c>
      <c r="E182" s="140" t="s">
        <v>1519</v>
      </c>
      <c r="F182" s="140"/>
      <c r="G182" s="140"/>
    </row>
    <row r="183" spans="2:7" hidden="1">
      <c r="B183" s="141" t="s">
        <v>21414</v>
      </c>
      <c r="C183" s="140" t="s">
        <v>1520</v>
      </c>
      <c r="D183" s="141" t="s">
        <v>1521</v>
      </c>
      <c r="E183" s="140" t="s">
        <v>1522</v>
      </c>
      <c r="F183" s="140" t="s">
        <v>1523</v>
      </c>
      <c r="G183" s="140"/>
    </row>
    <row r="184" spans="2:7" hidden="1">
      <c r="B184" s="141" t="s">
        <v>21415</v>
      </c>
      <c r="C184" s="141" t="s">
        <v>1524</v>
      </c>
      <c r="D184" s="141" t="s">
        <v>1525</v>
      </c>
      <c r="E184" s="141" t="s">
        <v>1526</v>
      </c>
      <c r="F184" s="141" t="s">
        <v>1527</v>
      </c>
      <c r="G184" s="140"/>
    </row>
    <row r="185" spans="2:7" hidden="1">
      <c r="B185" s="141" t="s">
        <v>21416</v>
      </c>
      <c r="C185" s="140" t="s">
        <v>1528</v>
      </c>
      <c r="D185" s="141" t="s">
        <v>1529</v>
      </c>
      <c r="E185" s="140" t="s">
        <v>1530</v>
      </c>
      <c r="F185" s="140" t="s">
        <v>1531</v>
      </c>
      <c r="G185" s="140"/>
    </row>
    <row r="186" spans="2:7" hidden="1">
      <c r="B186" s="140" t="s">
        <v>21417</v>
      </c>
      <c r="C186" s="140" t="s">
        <v>1532</v>
      </c>
      <c r="D186" s="140" t="s">
        <v>1533</v>
      </c>
      <c r="E186" s="142" t="s">
        <v>1534</v>
      </c>
      <c r="F186" s="142" t="s">
        <v>1535</v>
      </c>
      <c r="G186" s="140"/>
    </row>
    <row r="187" spans="2:7" hidden="1">
      <c r="B187" s="140" t="s">
        <v>21418</v>
      </c>
      <c r="C187" s="140" t="s">
        <v>1536</v>
      </c>
      <c r="D187" s="140" t="s">
        <v>1537</v>
      </c>
      <c r="E187" s="140" t="s">
        <v>1538</v>
      </c>
      <c r="F187" s="140" t="s">
        <v>1539</v>
      </c>
      <c r="G187" s="140"/>
    </row>
    <row r="188" spans="2:7" hidden="1">
      <c r="B188" s="141" t="s">
        <v>21419</v>
      </c>
      <c r="C188" s="140" t="s">
        <v>1540</v>
      </c>
      <c r="D188" s="141" t="s">
        <v>1541</v>
      </c>
      <c r="E188" s="140" t="s">
        <v>1542</v>
      </c>
      <c r="F188" s="140" t="s">
        <v>1543</v>
      </c>
      <c r="G188" s="140"/>
    </row>
    <row r="189" spans="2:7" hidden="1">
      <c r="B189" s="141" t="s">
        <v>21420</v>
      </c>
      <c r="C189" s="140"/>
      <c r="D189" s="141" t="s">
        <v>1544</v>
      </c>
      <c r="E189" s="140" t="s">
        <v>1545</v>
      </c>
      <c r="F189" s="140" t="s">
        <v>1546</v>
      </c>
      <c r="G189" s="140"/>
    </row>
    <row r="190" spans="2:7" hidden="1">
      <c r="B190" s="141" t="s">
        <v>21421</v>
      </c>
      <c r="C190" s="140" t="s">
        <v>1547</v>
      </c>
      <c r="D190" s="141" t="s">
        <v>1548</v>
      </c>
      <c r="E190" s="140" t="s">
        <v>1549</v>
      </c>
      <c r="F190" s="140" t="s">
        <v>1550</v>
      </c>
      <c r="G190" s="140" t="s">
        <v>1551</v>
      </c>
    </row>
    <row r="191" spans="2:7" hidden="1">
      <c r="B191" s="141" t="s">
        <v>21422</v>
      </c>
      <c r="C191" s="140" t="s">
        <v>1552</v>
      </c>
      <c r="D191" s="140" t="s">
        <v>1553</v>
      </c>
      <c r="E191" s="140" t="s">
        <v>1554</v>
      </c>
      <c r="F191" s="140" t="s">
        <v>1555</v>
      </c>
      <c r="G191" s="140"/>
    </row>
    <row r="192" spans="2:7" hidden="1">
      <c r="B192" s="141" t="s">
        <v>21423</v>
      </c>
      <c r="C192" s="140" t="s">
        <v>1556</v>
      </c>
      <c r="D192" s="141" t="s">
        <v>1557</v>
      </c>
      <c r="E192" s="140" t="s">
        <v>1558</v>
      </c>
      <c r="F192" s="140"/>
      <c r="G192" s="140"/>
    </row>
    <row r="193" spans="2:7" hidden="1">
      <c r="B193" s="140" t="s">
        <v>21424</v>
      </c>
      <c r="C193" s="140"/>
      <c r="D193" s="140" t="s">
        <v>1559</v>
      </c>
      <c r="E193" s="142"/>
      <c r="F193" s="142"/>
      <c r="G193" s="140"/>
    </row>
    <row r="194" spans="2:7" hidden="1">
      <c r="B194" s="140" t="s">
        <v>1611</v>
      </c>
      <c r="C194" s="140" t="s">
        <v>1612</v>
      </c>
      <c r="D194" s="140" t="s">
        <v>1613</v>
      </c>
      <c r="E194" s="142" t="s">
        <v>1614</v>
      </c>
      <c r="F194" s="142" t="s">
        <v>1615</v>
      </c>
      <c r="G194" s="140"/>
    </row>
    <row r="195" spans="2:7" hidden="1">
      <c r="B195" s="140" t="s">
        <v>1616</v>
      </c>
      <c r="C195" s="140" t="s">
        <v>1617</v>
      </c>
      <c r="D195" s="140" t="s">
        <v>1618</v>
      </c>
      <c r="E195" s="142" t="s">
        <v>1619</v>
      </c>
      <c r="F195" s="142"/>
      <c r="G195" s="140"/>
    </row>
    <row r="196" spans="2:7" hidden="1">
      <c r="B196" s="140" t="s">
        <v>1620</v>
      </c>
      <c r="C196" s="140" t="s">
        <v>1621</v>
      </c>
      <c r="D196" s="140" t="s">
        <v>1622</v>
      </c>
      <c r="E196" s="142" t="s">
        <v>1623</v>
      </c>
      <c r="F196" s="142"/>
      <c r="G196" s="140"/>
    </row>
    <row r="197" spans="2:7" hidden="1">
      <c r="B197" s="140" t="s">
        <v>1624</v>
      </c>
      <c r="C197" s="140" t="s">
        <v>1625</v>
      </c>
      <c r="D197" s="140" t="s">
        <v>1626</v>
      </c>
      <c r="E197" s="142" t="s">
        <v>1627</v>
      </c>
      <c r="F197" s="142"/>
      <c r="G197" s="140"/>
    </row>
    <row r="198" spans="2:7" hidden="1">
      <c r="B198" s="141" t="s">
        <v>1628</v>
      </c>
      <c r="C198" s="140" t="s">
        <v>1629</v>
      </c>
      <c r="D198" s="141" t="s">
        <v>1630</v>
      </c>
      <c r="E198" s="140" t="s">
        <v>1631</v>
      </c>
      <c r="F198" s="140" t="s">
        <v>1632</v>
      </c>
      <c r="G198" s="140"/>
    </row>
    <row r="199" spans="2:7" hidden="1">
      <c r="B199" s="141" t="s">
        <v>1633</v>
      </c>
      <c r="C199" s="140" t="s">
        <v>1634</v>
      </c>
      <c r="D199" s="141" t="s">
        <v>1635</v>
      </c>
      <c r="E199" s="140"/>
      <c r="F199" s="140"/>
      <c r="G199" s="140"/>
    </row>
    <row r="200" spans="2:7" hidden="1">
      <c r="B200" s="141" t="s">
        <v>1636</v>
      </c>
      <c r="C200" s="140" t="s">
        <v>1637</v>
      </c>
      <c r="D200" s="141" t="s">
        <v>1638</v>
      </c>
      <c r="E200" s="140" t="s">
        <v>1639</v>
      </c>
      <c r="F200" s="140"/>
      <c r="G200" s="140"/>
    </row>
    <row r="201" spans="2:7" hidden="1">
      <c r="B201" s="140" t="s">
        <v>1640</v>
      </c>
      <c r="C201" s="140" t="s">
        <v>1641</v>
      </c>
      <c r="D201" s="140" t="s">
        <v>1642</v>
      </c>
      <c r="E201" s="142" t="s">
        <v>1643</v>
      </c>
      <c r="F201" s="142"/>
      <c r="G201" s="140"/>
    </row>
    <row r="202" spans="2:7" hidden="1">
      <c r="B202" s="140" t="s">
        <v>1644</v>
      </c>
      <c r="C202" s="140" t="s">
        <v>1645</v>
      </c>
      <c r="D202" s="140" t="s">
        <v>1646</v>
      </c>
      <c r="E202" s="142" t="s">
        <v>1647</v>
      </c>
      <c r="F202" s="142"/>
      <c r="G202" s="140"/>
    </row>
    <row r="203" spans="2:7" hidden="1">
      <c r="B203" s="140" t="s">
        <v>1648</v>
      </c>
      <c r="C203" s="140" t="s">
        <v>1649</v>
      </c>
      <c r="D203" s="140" t="s">
        <v>1650</v>
      </c>
      <c r="E203" s="142" t="s">
        <v>1651</v>
      </c>
      <c r="F203" s="142"/>
      <c r="G203" s="140"/>
    </row>
    <row r="204" spans="2:7" hidden="1">
      <c r="B204" s="141" t="s">
        <v>1652</v>
      </c>
      <c r="C204" s="140" t="s">
        <v>1653</v>
      </c>
      <c r="D204" s="141" t="s">
        <v>1654</v>
      </c>
      <c r="E204" s="140" t="s">
        <v>1655</v>
      </c>
      <c r="F204" s="140"/>
      <c r="G204" s="140"/>
    </row>
    <row r="205" spans="2:7" hidden="1">
      <c r="B205" s="141" t="s">
        <v>1656</v>
      </c>
      <c r="C205" s="140" t="s">
        <v>1657</v>
      </c>
      <c r="D205" s="141" t="s">
        <v>1658</v>
      </c>
      <c r="E205" s="140" t="s">
        <v>1659</v>
      </c>
      <c r="F205" s="140" t="s">
        <v>1660</v>
      </c>
      <c r="G205" s="140"/>
    </row>
    <row r="206" spans="2:7" hidden="1">
      <c r="B206" s="141" t="s">
        <v>1661</v>
      </c>
      <c r="C206" s="140" t="s">
        <v>1662</v>
      </c>
      <c r="D206" s="141" t="s">
        <v>1663</v>
      </c>
      <c r="E206" s="140" t="s">
        <v>1664</v>
      </c>
      <c r="F206" s="140"/>
      <c r="G206" s="140"/>
    </row>
    <row r="207" spans="2:7" hidden="1">
      <c r="B207" s="141" t="s">
        <v>1665</v>
      </c>
      <c r="C207" s="140" t="s">
        <v>1666</v>
      </c>
      <c r="D207" s="141" t="s">
        <v>1301</v>
      </c>
      <c r="E207" s="140" t="s">
        <v>1667</v>
      </c>
      <c r="F207" s="140"/>
      <c r="G207" s="140"/>
    </row>
    <row r="208" spans="2:7" hidden="1">
      <c r="B208" s="141" t="s">
        <v>1668</v>
      </c>
      <c r="C208" s="140" t="s">
        <v>1669</v>
      </c>
      <c r="D208" s="141" t="s">
        <v>1670</v>
      </c>
      <c r="E208" s="140" t="s">
        <v>1671</v>
      </c>
      <c r="F208" s="140"/>
      <c r="G208" s="140"/>
    </row>
    <row r="209" spans="2:7" hidden="1">
      <c r="B209" s="141" t="s">
        <v>1672</v>
      </c>
      <c r="C209" s="140" t="s">
        <v>1673</v>
      </c>
      <c r="D209" s="141" t="s">
        <v>1674</v>
      </c>
      <c r="E209" s="140" t="s">
        <v>1675</v>
      </c>
      <c r="F209" s="140"/>
      <c r="G209" s="140"/>
    </row>
    <row r="210" spans="2:7" hidden="1">
      <c r="B210" s="140" t="s">
        <v>1676</v>
      </c>
      <c r="C210" s="140" t="s">
        <v>1677</v>
      </c>
      <c r="D210" s="140" t="s">
        <v>1678</v>
      </c>
      <c r="E210" s="142" t="s">
        <v>1679</v>
      </c>
      <c r="F210" s="142"/>
      <c r="G210" s="140"/>
    </row>
    <row r="211" spans="2:7" hidden="1">
      <c r="B211" s="141" t="s">
        <v>1680</v>
      </c>
      <c r="C211" s="140" t="s">
        <v>1681</v>
      </c>
      <c r="D211" s="141" t="s">
        <v>1682</v>
      </c>
      <c r="E211" s="140" t="s">
        <v>1683</v>
      </c>
      <c r="F211" s="140" t="s">
        <v>1684</v>
      </c>
      <c r="G211" s="140"/>
    </row>
    <row r="212" spans="2:7" hidden="1">
      <c r="B212" s="141" t="s">
        <v>1685</v>
      </c>
      <c r="C212" s="140"/>
      <c r="D212" s="141" t="s">
        <v>1686</v>
      </c>
      <c r="E212" s="140"/>
      <c r="F212" s="140"/>
      <c r="G212" s="140"/>
    </row>
    <row r="213" spans="2:7" hidden="1">
      <c r="B213" s="141" t="s">
        <v>1687</v>
      </c>
      <c r="C213" s="140"/>
      <c r="D213" s="141" t="s">
        <v>1688</v>
      </c>
      <c r="E213" s="140"/>
      <c r="F213" s="140"/>
      <c r="G213" s="140"/>
    </row>
    <row r="214" spans="2:7" hidden="1">
      <c r="B214" s="140" t="s">
        <v>1689</v>
      </c>
      <c r="C214" s="140"/>
      <c r="D214" s="140" t="s">
        <v>1206</v>
      </c>
      <c r="E214" s="142"/>
      <c r="F214" s="142"/>
      <c r="G214" s="140"/>
    </row>
    <row r="215" spans="2:7" hidden="1">
      <c r="B215" s="141" t="s">
        <v>1691</v>
      </c>
      <c r="C215" s="141"/>
      <c r="D215" s="141" t="s">
        <v>1692</v>
      </c>
      <c r="E215" s="141"/>
      <c r="F215" s="141"/>
      <c r="G215" s="140"/>
    </row>
    <row r="216" spans="2:7" hidden="1">
      <c r="B216" s="140" t="s">
        <v>21426</v>
      </c>
      <c r="C216" s="140"/>
      <c r="D216" s="140" t="s">
        <v>1690</v>
      </c>
      <c r="E216" s="142"/>
      <c r="F216" s="142"/>
      <c r="G216" s="140"/>
    </row>
    <row r="217" spans="2:7" hidden="1">
      <c r="B217" s="141" t="s">
        <v>21427</v>
      </c>
      <c r="C217" s="140" t="s">
        <v>1693</v>
      </c>
      <c r="D217" s="141" t="s">
        <v>1694</v>
      </c>
      <c r="E217" s="140" t="s">
        <v>1695</v>
      </c>
      <c r="F217" s="140" t="s">
        <v>1696</v>
      </c>
      <c r="G217" s="140"/>
    </row>
    <row r="218" spans="2:7" hidden="1">
      <c r="B218" s="140" t="s">
        <v>20088</v>
      </c>
      <c r="C218" s="140" t="s">
        <v>20102</v>
      </c>
      <c r="D218" s="140" t="s">
        <v>11915</v>
      </c>
      <c r="E218" s="140" t="s">
        <v>20103</v>
      </c>
      <c r="F218" s="140"/>
      <c r="G218" s="140" t="s">
        <v>20104</v>
      </c>
    </row>
    <row r="219" spans="2:7" hidden="1">
      <c r="B219" s="140" t="s">
        <v>21428</v>
      </c>
      <c r="C219" s="140"/>
      <c r="D219" s="140" t="s">
        <v>1697</v>
      </c>
      <c r="E219" s="142" t="s">
        <v>1698</v>
      </c>
      <c r="F219" s="142" t="s">
        <v>1699</v>
      </c>
      <c r="G219" s="140"/>
    </row>
    <row r="220" spans="2:7" hidden="1">
      <c r="B220" s="140" t="s">
        <v>21429</v>
      </c>
      <c r="C220" s="140" t="s">
        <v>1700</v>
      </c>
      <c r="D220" s="140" t="s">
        <v>1701</v>
      </c>
      <c r="E220" s="142" t="s">
        <v>1702</v>
      </c>
      <c r="F220" s="142" t="s">
        <v>1703</v>
      </c>
      <c r="G220" s="140"/>
    </row>
    <row r="221" spans="2:7" hidden="1">
      <c r="B221" s="141" t="s">
        <v>1704</v>
      </c>
      <c r="C221" s="141" t="s">
        <v>1705</v>
      </c>
      <c r="D221" s="141" t="s">
        <v>1706</v>
      </c>
      <c r="E221" s="141" t="s">
        <v>1707</v>
      </c>
      <c r="F221" s="140" t="s">
        <v>1708</v>
      </c>
      <c r="G221" s="140"/>
    </row>
    <row r="222" spans="2:7" hidden="1">
      <c r="B222" s="141" t="s">
        <v>1709</v>
      </c>
      <c r="C222" s="140" t="s">
        <v>1710</v>
      </c>
      <c r="D222" s="141" t="s">
        <v>1711</v>
      </c>
      <c r="E222" s="140" t="s">
        <v>1712</v>
      </c>
      <c r="F222" s="140"/>
      <c r="G222" s="140"/>
    </row>
    <row r="223" spans="2:7" hidden="1">
      <c r="B223" s="140" t="s">
        <v>21430</v>
      </c>
      <c r="C223" s="140" t="s">
        <v>21187</v>
      </c>
      <c r="D223" s="140" t="s">
        <v>9628</v>
      </c>
      <c r="E223" s="142" t="s">
        <v>21188</v>
      </c>
      <c r="F223" s="142"/>
      <c r="G223" s="140"/>
    </row>
    <row r="224" spans="2:7" hidden="1">
      <c r="B224" s="141" t="s">
        <v>1713</v>
      </c>
      <c r="C224" s="141" t="s">
        <v>1714</v>
      </c>
      <c r="D224" s="141" t="s">
        <v>1715</v>
      </c>
      <c r="E224" s="141" t="s">
        <v>1716</v>
      </c>
      <c r="F224" s="140" t="s">
        <v>1717</v>
      </c>
      <c r="G224" s="140"/>
    </row>
    <row r="225" spans="2:7" hidden="1">
      <c r="B225" s="141" t="s">
        <v>21431</v>
      </c>
      <c r="C225" s="140"/>
      <c r="D225" s="141" t="s">
        <v>1718</v>
      </c>
      <c r="E225" s="140"/>
      <c r="F225" s="140"/>
      <c r="G225" s="140"/>
    </row>
    <row r="226" spans="2:7" hidden="1">
      <c r="B226" s="141" t="s">
        <v>1719</v>
      </c>
      <c r="C226" s="141"/>
      <c r="D226" s="141" t="s">
        <v>1720</v>
      </c>
      <c r="E226" s="140" t="s">
        <v>1721</v>
      </c>
      <c r="F226" s="140" t="s">
        <v>1722</v>
      </c>
      <c r="G226" s="140"/>
    </row>
    <row r="227" spans="2:7" hidden="1">
      <c r="B227" s="141" t="s">
        <v>1723</v>
      </c>
      <c r="C227" s="140" t="s">
        <v>1724</v>
      </c>
      <c r="D227" s="141" t="s">
        <v>1725</v>
      </c>
      <c r="E227" s="140" t="s">
        <v>1726</v>
      </c>
      <c r="F227" s="140" t="s">
        <v>1727</v>
      </c>
      <c r="G227" s="140"/>
    </row>
    <row r="228" spans="2:7" hidden="1">
      <c r="B228" s="141" t="s">
        <v>1728</v>
      </c>
      <c r="C228" s="141" t="s">
        <v>1729</v>
      </c>
      <c r="D228" s="141" t="s">
        <v>1730</v>
      </c>
      <c r="E228" s="140" t="s">
        <v>1731</v>
      </c>
      <c r="F228" s="140" t="s">
        <v>1732</v>
      </c>
      <c r="G228" s="140"/>
    </row>
    <row r="229" spans="2:7" hidden="1">
      <c r="B229" s="141" t="s">
        <v>1733</v>
      </c>
      <c r="C229" s="140" t="s">
        <v>1734</v>
      </c>
      <c r="D229" s="141" t="s">
        <v>1735</v>
      </c>
      <c r="E229" s="140" t="s">
        <v>1736</v>
      </c>
      <c r="F229" s="140"/>
      <c r="G229" s="140"/>
    </row>
    <row r="230" spans="2:7" hidden="1">
      <c r="B230" s="140" t="s">
        <v>1737</v>
      </c>
      <c r="C230" s="140"/>
      <c r="D230" s="140" t="s">
        <v>1738</v>
      </c>
      <c r="E230" s="142"/>
      <c r="F230" s="142"/>
      <c r="G230" s="140"/>
    </row>
    <row r="231" spans="2:7" hidden="1">
      <c r="B231" s="141" t="s">
        <v>21432</v>
      </c>
      <c r="C231" s="140"/>
      <c r="D231" s="141" t="s">
        <v>1739</v>
      </c>
      <c r="E231" s="140"/>
      <c r="F231" s="140"/>
      <c r="G231" s="140"/>
    </row>
    <row r="232" spans="2:7" hidden="1">
      <c r="B232" s="141" t="s">
        <v>1740</v>
      </c>
      <c r="C232" s="140" t="s">
        <v>1741</v>
      </c>
      <c r="D232" s="141" t="s">
        <v>1742</v>
      </c>
      <c r="E232" s="140" t="s">
        <v>1743</v>
      </c>
      <c r="F232" s="140"/>
      <c r="G232" s="140"/>
    </row>
    <row r="233" spans="2:7" hidden="1">
      <c r="B233" s="141" t="s">
        <v>1744</v>
      </c>
      <c r="C233" s="140" t="s">
        <v>1745</v>
      </c>
      <c r="D233" s="141" t="s">
        <v>1746</v>
      </c>
      <c r="E233" s="140" t="s">
        <v>1747</v>
      </c>
      <c r="F233" s="140"/>
      <c r="G233" s="140"/>
    </row>
    <row r="234" spans="2:7" hidden="1">
      <c r="B234" s="140" t="s">
        <v>1748</v>
      </c>
      <c r="C234" s="140" t="s">
        <v>1749</v>
      </c>
      <c r="D234" s="140" t="s">
        <v>1750</v>
      </c>
      <c r="E234" s="142" t="s">
        <v>1751</v>
      </c>
      <c r="F234" s="142" t="s">
        <v>1752</v>
      </c>
      <c r="G234" s="140"/>
    </row>
    <row r="235" spans="2:7" hidden="1">
      <c r="B235" s="141" t="s">
        <v>1753</v>
      </c>
      <c r="C235" s="141" t="s">
        <v>1754</v>
      </c>
      <c r="D235" s="141" t="s">
        <v>20105</v>
      </c>
      <c r="E235" s="141"/>
      <c r="F235" s="141"/>
      <c r="G235" s="140" t="s">
        <v>20106</v>
      </c>
    </row>
    <row r="236" spans="2:7" hidden="1">
      <c r="B236" s="141" t="s">
        <v>21433</v>
      </c>
      <c r="C236" s="141"/>
      <c r="D236" s="141" t="s">
        <v>1031</v>
      </c>
      <c r="E236" s="141"/>
      <c r="F236" s="141"/>
      <c r="G236" s="140"/>
    </row>
    <row r="237" spans="2:7" hidden="1">
      <c r="B237" s="140" t="s">
        <v>1755</v>
      </c>
      <c r="C237" s="140"/>
      <c r="D237" s="140" t="s">
        <v>1756</v>
      </c>
      <c r="E237" s="140"/>
      <c r="F237" s="140"/>
      <c r="G237" s="140"/>
    </row>
    <row r="238" spans="2:7" hidden="1">
      <c r="B238" s="141" t="s">
        <v>21434</v>
      </c>
      <c r="C238" s="140"/>
      <c r="D238" s="141" t="s">
        <v>1757</v>
      </c>
      <c r="E238" s="140"/>
      <c r="F238" s="140"/>
      <c r="G238" s="140"/>
    </row>
    <row r="239" spans="2:7" hidden="1">
      <c r="B239" s="141" t="s">
        <v>1758</v>
      </c>
      <c r="C239" s="141" t="s">
        <v>1759</v>
      </c>
      <c r="D239" s="141" t="s">
        <v>1760</v>
      </c>
      <c r="E239" s="141"/>
      <c r="F239" s="141"/>
      <c r="G239" s="140"/>
    </row>
    <row r="240" spans="2:7" hidden="1">
      <c r="B240" s="141" t="s">
        <v>1761</v>
      </c>
      <c r="C240" s="141"/>
      <c r="D240" s="141" t="s">
        <v>1762</v>
      </c>
      <c r="E240" s="141"/>
      <c r="F240" s="141"/>
      <c r="G240" s="140"/>
    </row>
    <row r="241" spans="2:7" hidden="1">
      <c r="B241" s="141" t="s">
        <v>1763</v>
      </c>
      <c r="C241" s="140" t="s">
        <v>1764</v>
      </c>
      <c r="D241" s="141" t="s">
        <v>1765</v>
      </c>
      <c r="E241" s="140" t="s">
        <v>1766</v>
      </c>
      <c r="F241" s="140" t="s">
        <v>1767</v>
      </c>
      <c r="G241" s="140"/>
    </row>
    <row r="242" spans="2:7" hidden="1">
      <c r="B242" s="141" t="s">
        <v>1768</v>
      </c>
      <c r="C242" s="140" t="s">
        <v>1769</v>
      </c>
      <c r="D242" s="141" t="s">
        <v>1770</v>
      </c>
      <c r="E242" s="140"/>
      <c r="F242" s="140"/>
      <c r="G242" s="140" t="s">
        <v>21395</v>
      </c>
    </row>
    <row r="243" spans="2:7" hidden="1">
      <c r="B243" s="141" t="s">
        <v>1771</v>
      </c>
      <c r="C243" s="140"/>
      <c r="D243" s="141" t="s">
        <v>1772</v>
      </c>
      <c r="E243" s="140"/>
      <c r="F243" s="140"/>
      <c r="G243" s="140"/>
    </row>
    <row r="244" spans="2:7" hidden="1">
      <c r="B244" s="141" t="s">
        <v>1773</v>
      </c>
      <c r="C244" s="140"/>
      <c r="D244" s="141" t="s">
        <v>1774</v>
      </c>
      <c r="E244" s="140"/>
      <c r="F244" s="140"/>
      <c r="G244" s="140"/>
    </row>
    <row r="245" spans="2:7" hidden="1">
      <c r="B245" s="141" t="s">
        <v>21435</v>
      </c>
      <c r="C245" s="140"/>
      <c r="D245" s="141" t="s">
        <v>1775</v>
      </c>
      <c r="E245" s="140"/>
      <c r="F245" s="140"/>
      <c r="G245" s="140"/>
    </row>
    <row r="246" spans="2:7" hidden="1">
      <c r="B246" s="141" t="s">
        <v>1776</v>
      </c>
      <c r="C246" s="140"/>
      <c r="D246" s="141" t="s">
        <v>1202</v>
      </c>
      <c r="E246" s="140"/>
      <c r="F246" s="140"/>
      <c r="G246" s="140"/>
    </row>
    <row r="247" spans="2:7" hidden="1">
      <c r="B247" s="140" t="s">
        <v>1777</v>
      </c>
      <c r="C247" s="140"/>
      <c r="D247" s="140" t="s">
        <v>1778</v>
      </c>
      <c r="E247" s="140"/>
      <c r="F247" s="140"/>
      <c r="G247" s="140"/>
    </row>
    <row r="248" spans="2:7" hidden="1">
      <c r="B248" s="141" t="s">
        <v>1779</v>
      </c>
      <c r="C248" s="140"/>
      <c r="D248" s="141" t="s">
        <v>1780</v>
      </c>
      <c r="E248" s="140"/>
      <c r="F248" s="140"/>
      <c r="G248" s="140"/>
    </row>
    <row r="249" spans="2:7" hidden="1">
      <c r="B249" s="141" t="s">
        <v>1781</v>
      </c>
      <c r="C249" s="140" t="s">
        <v>1782</v>
      </c>
      <c r="D249" s="141" t="s">
        <v>1783</v>
      </c>
      <c r="E249" s="140"/>
      <c r="F249" s="140"/>
      <c r="G249" s="140"/>
    </row>
    <row r="250" spans="2:7" hidden="1">
      <c r="B250" s="141" t="s">
        <v>1784</v>
      </c>
      <c r="C250" s="140" t="s">
        <v>1785</v>
      </c>
      <c r="D250" s="141" t="s">
        <v>1786</v>
      </c>
      <c r="E250" s="140" t="s">
        <v>1787</v>
      </c>
      <c r="F250" s="140" t="s">
        <v>1788</v>
      </c>
      <c r="G250" s="140"/>
    </row>
    <row r="251" spans="2:7" hidden="1">
      <c r="B251" s="141" t="s">
        <v>1789</v>
      </c>
      <c r="C251" s="140" t="s">
        <v>1790</v>
      </c>
      <c r="D251" s="141" t="s">
        <v>1791</v>
      </c>
      <c r="E251" s="140" t="s">
        <v>1792</v>
      </c>
      <c r="F251" s="140"/>
      <c r="G251" s="140"/>
    </row>
    <row r="252" spans="2:7" hidden="1">
      <c r="B252" s="141" t="s">
        <v>1793</v>
      </c>
      <c r="C252" s="140" t="s">
        <v>1794</v>
      </c>
      <c r="D252" s="141" t="s">
        <v>1795</v>
      </c>
      <c r="E252" s="140" t="s">
        <v>1796</v>
      </c>
      <c r="F252" s="140"/>
      <c r="G252" s="140"/>
    </row>
    <row r="253" spans="2:7" hidden="1">
      <c r="B253" s="141" t="s">
        <v>21436</v>
      </c>
      <c r="C253" s="140" t="s">
        <v>1797</v>
      </c>
      <c r="D253" s="141" t="s">
        <v>1798</v>
      </c>
      <c r="E253" s="140" t="s">
        <v>1799</v>
      </c>
      <c r="F253" s="140" t="s">
        <v>1800</v>
      </c>
      <c r="G253" s="140"/>
    </row>
    <row r="254" spans="2:7" hidden="1">
      <c r="B254" s="141" t="s">
        <v>21437</v>
      </c>
      <c r="C254" s="140" t="s">
        <v>1801</v>
      </c>
      <c r="D254" s="141" t="s">
        <v>1802</v>
      </c>
      <c r="E254" s="140" t="s">
        <v>1803</v>
      </c>
      <c r="F254" s="140"/>
      <c r="G254" s="140"/>
    </row>
    <row r="255" spans="2:7" hidden="1">
      <c r="B255" s="140" t="s">
        <v>1804</v>
      </c>
      <c r="C255" s="140" t="s">
        <v>1805</v>
      </c>
      <c r="D255" s="140" t="s">
        <v>1806</v>
      </c>
      <c r="E255" s="140" t="s">
        <v>1807</v>
      </c>
      <c r="F255" s="140"/>
      <c r="G255" s="140"/>
    </row>
    <row r="256" spans="2:7" hidden="1">
      <c r="B256" s="141" t="s">
        <v>1808</v>
      </c>
      <c r="C256" s="140" t="s">
        <v>1809</v>
      </c>
      <c r="D256" s="141" t="s">
        <v>1810</v>
      </c>
      <c r="E256" s="140" t="s">
        <v>1811</v>
      </c>
      <c r="F256" s="140" t="s">
        <v>1812</v>
      </c>
      <c r="G256" s="140"/>
    </row>
    <row r="257" spans="2:7" hidden="1">
      <c r="B257" s="141" t="s">
        <v>1813</v>
      </c>
      <c r="C257" s="141" t="s">
        <v>1814</v>
      </c>
      <c r="D257" s="141" t="s">
        <v>1815</v>
      </c>
      <c r="E257" s="141" t="s">
        <v>1816</v>
      </c>
      <c r="F257" s="141"/>
      <c r="G257" s="140"/>
    </row>
    <row r="258" spans="2:7" hidden="1">
      <c r="B258" s="140" t="s">
        <v>1817</v>
      </c>
      <c r="C258" s="140" t="s">
        <v>1818</v>
      </c>
      <c r="D258" s="140" t="s">
        <v>1819</v>
      </c>
      <c r="E258" s="142" t="s">
        <v>1820</v>
      </c>
      <c r="F258" s="142"/>
      <c r="G258" s="140"/>
    </row>
    <row r="259" spans="2:7" hidden="1">
      <c r="B259" s="141" t="s">
        <v>1821</v>
      </c>
      <c r="C259" s="140" t="s">
        <v>1822</v>
      </c>
      <c r="D259" s="141" t="s">
        <v>1823</v>
      </c>
      <c r="E259" s="140" t="s">
        <v>1824</v>
      </c>
      <c r="F259" s="140"/>
      <c r="G259" s="140"/>
    </row>
    <row r="260" spans="2:7" hidden="1">
      <c r="B260" s="140" t="s">
        <v>22063</v>
      </c>
      <c r="C260" s="140" t="s">
        <v>1826</v>
      </c>
      <c r="D260" s="140" t="s">
        <v>22065</v>
      </c>
      <c r="E260" s="142" t="s">
        <v>22064</v>
      </c>
      <c r="F260" s="142"/>
      <c r="G260" s="140"/>
    </row>
    <row r="261" spans="2:7" hidden="1">
      <c r="B261" s="141" t="s">
        <v>1825</v>
      </c>
      <c r="C261" s="140" t="s">
        <v>1826</v>
      </c>
      <c r="D261" s="141" t="s">
        <v>1827</v>
      </c>
      <c r="E261" s="140"/>
      <c r="F261" s="140"/>
      <c r="G261" s="140"/>
    </row>
    <row r="262" spans="2:7" hidden="1">
      <c r="B262" s="141" t="s">
        <v>1828</v>
      </c>
      <c r="C262" s="141"/>
      <c r="D262" s="141" t="s">
        <v>1829</v>
      </c>
      <c r="E262" s="141"/>
      <c r="F262" s="140"/>
      <c r="G262" s="140"/>
    </row>
    <row r="263" spans="2:7" hidden="1">
      <c r="B263" s="141" t="s">
        <v>1830</v>
      </c>
      <c r="C263" s="140" t="s">
        <v>1831</v>
      </c>
      <c r="D263" s="141" t="s">
        <v>1832</v>
      </c>
      <c r="E263" s="140" t="s">
        <v>1833</v>
      </c>
      <c r="F263" s="140"/>
      <c r="G263" s="140"/>
    </row>
    <row r="264" spans="2:7" hidden="1">
      <c r="B264" s="140" t="s">
        <v>1834</v>
      </c>
      <c r="C264" s="140" t="s">
        <v>1835</v>
      </c>
      <c r="D264" s="140" t="s">
        <v>1836</v>
      </c>
      <c r="E264" s="142"/>
      <c r="F264" s="142"/>
      <c r="G264" s="140" t="s">
        <v>20107</v>
      </c>
    </row>
    <row r="265" spans="2:7" hidden="1">
      <c r="B265" s="141" t="s">
        <v>21438</v>
      </c>
      <c r="C265" s="140"/>
      <c r="D265" s="141" t="s">
        <v>1837</v>
      </c>
      <c r="E265" s="140" t="s">
        <v>1838</v>
      </c>
      <c r="F265" s="140" t="s">
        <v>1839</v>
      </c>
      <c r="G265" s="140"/>
    </row>
    <row r="266" spans="2:7" hidden="1">
      <c r="B266" s="140" t="s">
        <v>1840</v>
      </c>
      <c r="C266" s="140" t="s">
        <v>1841</v>
      </c>
      <c r="D266" s="141" t="s">
        <v>1842</v>
      </c>
      <c r="E266" s="140" t="s">
        <v>1843</v>
      </c>
      <c r="F266" s="140"/>
      <c r="G266" s="140"/>
    </row>
    <row r="267" spans="2:7" hidden="1">
      <c r="B267" s="141" t="s">
        <v>1844</v>
      </c>
      <c r="C267" s="141" t="s">
        <v>1845</v>
      </c>
      <c r="D267" s="141" t="s">
        <v>1846</v>
      </c>
      <c r="E267" s="141" t="s">
        <v>1847</v>
      </c>
      <c r="F267" s="141"/>
      <c r="G267" s="140"/>
    </row>
    <row r="268" spans="2:7" hidden="1">
      <c r="B268" s="141" t="s">
        <v>1848</v>
      </c>
      <c r="C268" s="140"/>
      <c r="D268" s="141" t="s">
        <v>1849</v>
      </c>
      <c r="E268" s="140"/>
      <c r="F268" s="140"/>
      <c r="G268" s="140"/>
    </row>
    <row r="269" spans="2:7" hidden="1">
      <c r="B269" s="141" t="s">
        <v>1850</v>
      </c>
      <c r="C269" s="140"/>
      <c r="D269" s="141"/>
      <c r="E269" s="140" t="s">
        <v>1851</v>
      </c>
      <c r="F269" s="140" t="s">
        <v>1852</v>
      </c>
      <c r="G269" s="140"/>
    </row>
    <row r="270" spans="2:7" hidden="1">
      <c r="B270" s="141" t="s">
        <v>1853</v>
      </c>
      <c r="C270" s="140"/>
      <c r="D270" s="141" t="s">
        <v>1854</v>
      </c>
      <c r="E270" s="140"/>
      <c r="F270" s="140"/>
      <c r="G270" s="140"/>
    </row>
    <row r="271" spans="2:7" hidden="1">
      <c r="B271" s="141" t="s">
        <v>1855</v>
      </c>
      <c r="C271" s="140"/>
      <c r="D271" s="141" t="s">
        <v>1856</v>
      </c>
      <c r="E271" s="140"/>
      <c r="F271" s="140"/>
      <c r="G271" s="140"/>
    </row>
    <row r="272" spans="2:7" hidden="1">
      <c r="B272" s="141" t="s">
        <v>1857</v>
      </c>
      <c r="C272" s="140"/>
      <c r="D272" s="141" t="s">
        <v>1858</v>
      </c>
      <c r="E272" s="140" t="s">
        <v>1859</v>
      </c>
      <c r="F272" s="140" t="s">
        <v>1860</v>
      </c>
      <c r="G272" s="140"/>
    </row>
    <row r="273" spans="2:7" hidden="1">
      <c r="B273" s="141" t="s">
        <v>1861</v>
      </c>
      <c r="C273" s="140" t="s">
        <v>1862</v>
      </c>
      <c r="D273" s="141" t="s">
        <v>1863</v>
      </c>
      <c r="E273" s="140" t="s">
        <v>1864</v>
      </c>
      <c r="F273" s="140"/>
      <c r="G273" s="140"/>
    </row>
    <row r="274" spans="2:7" hidden="1">
      <c r="B274" s="140" t="s">
        <v>1865</v>
      </c>
      <c r="C274" s="140"/>
      <c r="D274" s="140" t="s">
        <v>1866</v>
      </c>
      <c r="E274" s="142"/>
      <c r="F274" s="142"/>
      <c r="G274" s="140"/>
    </row>
    <row r="275" spans="2:7" hidden="1">
      <c r="B275" s="141" t="s">
        <v>1867</v>
      </c>
      <c r="C275" s="140"/>
      <c r="D275" s="141" t="s">
        <v>1868</v>
      </c>
      <c r="E275" s="140"/>
      <c r="F275" s="140"/>
      <c r="G275" s="140"/>
    </row>
    <row r="276" spans="2:7" hidden="1">
      <c r="B276" s="141" t="s">
        <v>1869</v>
      </c>
      <c r="C276" s="141"/>
      <c r="D276" s="141" t="s">
        <v>1870</v>
      </c>
      <c r="E276" s="141"/>
      <c r="F276" s="140"/>
      <c r="G276" s="140"/>
    </row>
    <row r="277" spans="2:7" hidden="1">
      <c r="B277" s="141" t="s">
        <v>1872</v>
      </c>
      <c r="C277" s="140"/>
      <c r="D277" s="141" t="s">
        <v>1873</v>
      </c>
      <c r="E277" s="140"/>
      <c r="F277" s="140"/>
      <c r="G277" s="140"/>
    </row>
    <row r="278" spans="2:7" hidden="1">
      <c r="B278" s="140" t="s">
        <v>1874</v>
      </c>
      <c r="C278" s="140" t="s">
        <v>1875</v>
      </c>
      <c r="D278" s="140" t="s">
        <v>1876</v>
      </c>
      <c r="E278" s="142" t="s">
        <v>1877</v>
      </c>
      <c r="F278" s="142"/>
      <c r="G278" s="140"/>
    </row>
    <row r="279" spans="2:7" hidden="1">
      <c r="B279" s="141" t="s">
        <v>21439</v>
      </c>
      <c r="C279" s="140"/>
      <c r="D279" s="141" t="s">
        <v>1871</v>
      </c>
      <c r="E279" s="140"/>
      <c r="F279" s="140"/>
      <c r="G279" s="140"/>
    </row>
    <row r="280" spans="2:7" hidden="1">
      <c r="B280" s="141" t="s">
        <v>1878</v>
      </c>
      <c r="C280" s="140" t="s">
        <v>21440</v>
      </c>
      <c r="D280" s="141" t="s">
        <v>1879</v>
      </c>
      <c r="E280" s="140"/>
      <c r="F280" s="140"/>
      <c r="G280" s="140"/>
    </row>
    <row r="281" spans="2:7" hidden="1">
      <c r="B281" s="140" t="s">
        <v>1880</v>
      </c>
      <c r="C281" s="140"/>
      <c r="D281" s="140" t="s">
        <v>1881</v>
      </c>
      <c r="E281" s="142"/>
      <c r="F281" s="142"/>
      <c r="G281" s="140"/>
    </row>
    <row r="282" spans="2:7" hidden="1">
      <c r="B282" s="140" t="s">
        <v>1882</v>
      </c>
      <c r="C282" s="140"/>
      <c r="D282" s="140" t="s">
        <v>1883</v>
      </c>
      <c r="E282" s="142"/>
      <c r="F282" s="142"/>
      <c r="G282" s="140"/>
    </row>
    <row r="283" spans="2:7" hidden="1">
      <c r="B283" s="141" t="s">
        <v>1887</v>
      </c>
      <c r="C283" s="140" t="s">
        <v>1888</v>
      </c>
      <c r="D283" s="141" t="s">
        <v>1889</v>
      </c>
      <c r="E283" s="140" t="s">
        <v>1890</v>
      </c>
      <c r="F283" s="140" t="s">
        <v>1891</v>
      </c>
      <c r="G283" s="140"/>
    </row>
    <row r="284" spans="2:7" hidden="1">
      <c r="B284" s="140" t="s">
        <v>21441</v>
      </c>
      <c r="C284" s="140" t="s">
        <v>1884</v>
      </c>
      <c r="D284" s="140" t="s">
        <v>1885</v>
      </c>
      <c r="E284" s="142" t="s">
        <v>1886</v>
      </c>
      <c r="F284" s="142"/>
      <c r="G284" s="140"/>
    </row>
    <row r="285" spans="2:7" hidden="1">
      <c r="B285" s="141" t="s">
        <v>1892</v>
      </c>
      <c r="C285" s="141"/>
      <c r="D285" s="141" t="s">
        <v>1893</v>
      </c>
      <c r="E285" s="141"/>
      <c r="F285" s="141"/>
      <c r="G285" s="140"/>
    </row>
    <row r="286" spans="2:7" hidden="1">
      <c r="B286" s="141" t="s">
        <v>1894</v>
      </c>
      <c r="C286" s="141" t="s">
        <v>1895</v>
      </c>
      <c r="D286" s="141" t="s">
        <v>1896</v>
      </c>
      <c r="E286" s="141"/>
      <c r="F286" s="141"/>
      <c r="G286" s="140"/>
    </row>
    <row r="287" spans="2:7" hidden="1">
      <c r="B287" s="141" t="s">
        <v>1897</v>
      </c>
      <c r="C287" s="141"/>
      <c r="D287" s="141" t="s">
        <v>1898</v>
      </c>
      <c r="E287" s="141"/>
      <c r="F287" s="140"/>
      <c r="G287" s="140"/>
    </row>
    <row r="288" spans="2:7" hidden="1">
      <c r="B288" s="141" t="s">
        <v>1899</v>
      </c>
      <c r="C288" s="140"/>
      <c r="D288" s="141" t="s">
        <v>1900</v>
      </c>
      <c r="E288" s="140"/>
      <c r="F288" s="140"/>
      <c r="G288" s="140"/>
    </row>
    <row r="289" spans="2:7" hidden="1">
      <c r="B289" s="141" t="s">
        <v>1901</v>
      </c>
      <c r="C289" s="140"/>
      <c r="D289" s="141" t="s">
        <v>1902</v>
      </c>
      <c r="E289" s="140"/>
      <c r="F289" s="140"/>
      <c r="G289" s="140"/>
    </row>
    <row r="290" spans="2:7" hidden="1">
      <c r="B290" s="141" t="s">
        <v>1903</v>
      </c>
      <c r="C290" s="140"/>
      <c r="D290" s="141" t="s">
        <v>1904</v>
      </c>
      <c r="E290" s="140"/>
      <c r="F290" s="140"/>
      <c r="G290" s="140"/>
    </row>
    <row r="291" spans="2:7" hidden="1">
      <c r="B291" s="141" t="s">
        <v>1905</v>
      </c>
      <c r="C291" s="140"/>
      <c r="D291" s="141" t="s">
        <v>1906</v>
      </c>
      <c r="E291" s="140"/>
      <c r="F291" s="140"/>
      <c r="G291" s="140"/>
    </row>
    <row r="292" spans="2:7" hidden="1">
      <c r="B292" s="141" t="s">
        <v>1907</v>
      </c>
      <c r="C292" s="141"/>
      <c r="D292" s="141" t="s">
        <v>1908</v>
      </c>
      <c r="E292" s="141"/>
      <c r="F292" s="141"/>
      <c r="G292" s="140"/>
    </row>
    <row r="293" spans="2:7" hidden="1">
      <c r="B293" s="141" t="s">
        <v>1909</v>
      </c>
      <c r="C293" s="141"/>
      <c r="D293" s="141" t="s">
        <v>1910</v>
      </c>
      <c r="E293" s="141"/>
      <c r="F293" s="140"/>
      <c r="G293" s="140"/>
    </row>
    <row r="294" spans="2:7" hidden="1">
      <c r="B294" s="141" t="s">
        <v>1911</v>
      </c>
      <c r="C294" s="140"/>
      <c r="D294" s="141" t="s">
        <v>1912</v>
      </c>
      <c r="E294" s="140"/>
      <c r="F294" s="140"/>
      <c r="G294" s="140"/>
    </row>
    <row r="295" spans="2:7" hidden="1">
      <c r="B295" s="141" t="s">
        <v>21442</v>
      </c>
      <c r="C295" s="140"/>
      <c r="D295" s="141" t="s">
        <v>1913</v>
      </c>
      <c r="E295" s="140"/>
      <c r="F295" s="140"/>
      <c r="G295" s="140"/>
    </row>
    <row r="296" spans="2:7" hidden="1">
      <c r="B296" s="140" t="s">
        <v>21443</v>
      </c>
      <c r="C296" s="140" t="s">
        <v>1914</v>
      </c>
      <c r="D296" s="140" t="s">
        <v>1915</v>
      </c>
      <c r="E296" s="142"/>
      <c r="F296" s="142"/>
      <c r="G296" s="140"/>
    </row>
    <row r="297" spans="2:7" hidden="1">
      <c r="B297" s="141" t="s">
        <v>1916</v>
      </c>
      <c r="C297" s="140"/>
      <c r="D297" s="141" t="s">
        <v>1917</v>
      </c>
      <c r="E297" s="140"/>
      <c r="F297" s="140"/>
      <c r="G297" s="140"/>
    </row>
    <row r="298" spans="2:7" hidden="1">
      <c r="B298" s="141" t="s">
        <v>1918</v>
      </c>
      <c r="C298" s="141"/>
      <c r="D298" s="141" t="s">
        <v>1919</v>
      </c>
      <c r="E298" s="140"/>
      <c r="F298" s="140"/>
      <c r="G298" s="140"/>
    </row>
    <row r="299" spans="2:7" hidden="1">
      <c r="B299" s="141" t="s">
        <v>1920</v>
      </c>
      <c r="C299" s="140"/>
      <c r="D299" s="141" t="s">
        <v>1921</v>
      </c>
      <c r="E299" s="140"/>
      <c r="F299" s="140"/>
      <c r="G299" s="140"/>
    </row>
    <row r="300" spans="2:7" hidden="1">
      <c r="B300" s="140" t="s">
        <v>1922</v>
      </c>
      <c r="C300" s="140" t="s">
        <v>1923</v>
      </c>
      <c r="D300" s="140" t="s">
        <v>1924</v>
      </c>
      <c r="E300" s="142"/>
      <c r="F300" s="142"/>
      <c r="G300" s="140"/>
    </row>
    <row r="301" spans="2:7" hidden="1">
      <c r="B301" s="141" t="s">
        <v>1925</v>
      </c>
      <c r="C301" s="140"/>
      <c r="D301" s="141" t="s">
        <v>1856</v>
      </c>
      <c r="E301" s="140"/>
      <c r="F301" s="140"/>
      <c r="G301" s="140"/>
    </row>
    <row r="302" spans="2:7" hidden="1">
      <c r="B302" s="140" t="s">
        <v>1926</v>
      </c>
      <c r="C302" s="140"/>
      <c r="D302" s="140" t="s">
        <v>1927</v>
      </c>
      <c r="E302" s="142"/>
      <c r="F302" s="142"/>
      <c r="G302" s="140"/>
    </row>
    <row r="303" spans="2:7" hidden="1">
      <c r="B303" s="141" t="s">
        <v>1928</v>
      </c>
      <c r="C303" s="140"/>
      <c r="D303" s="141" t="s">
        <v>1929</v>
      </c>
      <c r="E303" s="140"/>
      <c r="F303" s="140"/>
      <c r="G303" s="140"/>
    </row>
    <row r="304" spans="2:7" hidden="1">
      <c r="B304" s="141" t="s">
        <v>1930</v>
      </c>
      <c r="C304" s="140" t="s">
        <v>1931</v>
      </c>
      <c r="D304" s="141" t="s">
        <v>1932</v>
      </c>
      <c r="E304" s="140"/>
      <c r="F304" s="140"/>
      <c r="G304" s="140"/>
    </row>
    <row r="305" spans="2:7" hidden="1">
      <c r="B305" s="141" t="s">
        <v>1933</v>
      </c>
      <c r="C305" s="140"/>
      <c r="D305" s="141" t="s">
        <v>1934</v>
      </c>
      <c r="E305" s="140"/>
      <c r="F305" s="140"/>
      <c r="G305" s="140"/>
    </row>
    <row r="306" spans="2:7" hidden="1">
      <c r="B306" s="141" t="s">
        <v>1935</v>
      </c>
      <c r="C306" s="141" t="s">
        <v>1936</v>
      </c>
      <c r="D306" s="141" t="s">
        <v>1937</v>
      </c>
      <c r="E306" s="141" t="s">
        <v>1938</v>
      </c>
      <c r="F306" s="141" t="s">
        <v>1939</v>
      </c>
      <c r="G306" s="140"/>
    </row>
    <row r="307" spans="2:7" hidden="1">
      <c r="B307" s="141" t="s">
        <v>1940</v>
      </c>
      <c r="C307" s="140"/>
      <c r="D307" s="141" t="s">
        <v>1941</v>
      </c>
      <c r="E307" s="140"/>
      <c r="F307" s="140"/>
      <c r="G307" s="140"/>
    </row>
    <row r="308" spans="2:7" hidden="1">
      <c r="B308" s="141" t="s">
        <v>1942</v>
      </c>
      <c r="C308" s="141"/>
      <c r="D308" s="141" t="s">
        <v>1943</v>
      </c>
      <c r="E308" s="141"/>
      <c r="F308" s="141"/>
      <c r="G308" s="140"/>
    </row>
    <row r="309" spans="2:7" hidden="1">
      <c r="B309" s="141" t="s">
        <v>1944</v>
      </c>
      <c r="C309" s="141"/>
      <c r="D309" s="141" t="s">
        <v>1945</v>
      </c>
      <c r="E309" s="140"/>
      <c r="F309" s="140"/>
      <c r="G309" s="140"/>
    </row>
    <row r="310" spans="2:7" hidden="1">
      <c r="B310" s="141" t="s">
        <v>21444</v>
      </c>
      <c r="C310" s="140"/>
      <c r="D310" s="141" t="s">
        <v>1946</v>
      </c>
      <c r="E310" s="140"/>
      <c r="F310" s="140"/>
      <c r="G310" s="140"/>
    </row>
    <row r="311" spans="2:7" hidden="1">
      <c r="B311" s="141" t="s">
        <v>1947</v>
      </c>
      <c r="C311" s="141"/>
      <c r="D311" s="141" t="s">
        <v>1948</v>
      </c>
      <c r="E311" s="141"/>
      <c r="F311" s="141"/>
      <c r="G311" s="140"/>
    </row>
    <row r="312" spans="2:7" hidden="1">
      <c r="B312" s="141" t="s">
        <v>1949</v>
      </c>
      <c r="C312" s="140" t="s">
        <v>1950</v>
      </c>
      <c r="D312" s="141" t="s">
        <v>1951</v>
      </c>
      <c r="E312" s="140" t="s">
        <v>1952</v>
      </c>
      <c r="F312" s="140" t="s">
        <v>1953</v>
      </c>
      <c r="G312" s="140" t="s">
        <v>1954</v>
      </c>
    </row>
    <row r="313" spans="2:7" hidden="1">
      <c r="B313" s="141" t="s">
        <v>1955</v>
      </c>
      <c r="C313" s="141" t="s">
        <v>1956</v>
      </c>
      <c r="D313" s="141" t="s">
        <v>1957</v>
      </c>
      <c r="E313" s="141"/>
      <c r="F313" s="141"/>
      <c r="G313" s="140"/>
    </row>
    <row r="314" spans="2:7" hidden="1">
      <c r="B314" s="141" t="s">
        <v>1958</v>
      </c>
      <c r="C314" s="140"/>
      <c r="D314" s="141" t="s">
        <v>1929</v>
      </c>
      <c r="E314" s="140"/>
      <c r="F314" s="140"/>
      <c r="G314" s="140"/>
    </row>
    <row r="315" spans="2:7" hidden="1">
      <c r="B315" s="141" t="s">
        <v>1959</v>
      </c>
      <c r="C315" s="140"/>
      <c r="D315" s="141" t="s">
        <v>1960</v>
      </c>
      <c r="E315" s="141"/>
      <c r="F315" s="140"/>
      <c r="G315" s="140"/>
    </row>
    <row r="316" spans="2:7" hidden="1">
      <c r="B316" s="140" t="s">
        <v>1961</v>
      </c>
      <c r="C316" s="140" t="s">
        <v>1962</v>
      </c>
      <c r="D316" s="140" t="s">
        <v>1963</v>
      </c>
      <c r="E316" s="142" t="s">
        <v>1964</v>
      </c>
      <c r="F316" s="142"/>
      <c r="G316" s="140"/>
    </row>
    <row r="317" spans="2:7" hidden="1">
      <c r="B317" s="140" t="s">
        <v>22152</v>
      </c>
      <c r="C317" s="140" t="s">
        <v>22153</v>
      </c>
      <c r="D317" s="140" t="s">
        <v>16604</v>
      </c>
      <c r="E317" s="142" t="s">
        <v>22154</v>
      </c>
      <c r="F317" s="142"/>
      <c r="G317" s="140"/>
    </row>
    <row r="318" spans="2:7" hidden="1">
      <c r="B318" s="141" t="s">
        <v>1965</v>
      </c>
      <c r="C318" s="140" t="s">
        <v>1966</v>
      </c>
      <c r="D318" s="141" t="s">
        <v>1967</v>
      </c>
      <c r="E318" s="140" t="s">
        <v>1968</v>
      </c>
      <c r="F318" s="140" t="s">
        <v>1969</v>
      </c>
      <c r="G318" s="140"/>
    </row>
    <row r="319" spans="2:7" hidden="1">
      <c r="B319" s="140" t="s">
        <v>1970</v>
      </c>
      <c r="C319" s="140"/>
      <c r="D319" s="140" t="s">
        <v>1226</v>
      </c>
      <c r="E319" s="140"/>
      <c r="F319" s="140"/>
      <c r="G319" s="140"/>
    </row>
    <row r="320" spans="2:7" hidden="1">
      <c r="B320" s="141" t="s">
        <v>1971</v>
      </c>
      <c r="C320" s="140"/>
      <c r="D320" s="141" t="s">
        <v>1972</v>
      </c>
      <c r="E320" s="140"/>
      <c r="F320" s="140"/>
      <c r="G320" s="140"/>
    </row>
    <row r="321" spans="2:7" hidden="1">
      <c r="B321" s="141" t="s">
        <v>1973</v>
      </c>
      <c r="C321" s="141"/>
      <c r="D321" s="141" t="s">
        <v>1974</v>
      </c>
      <c r="E321" s="141"/>
      <c r="F321" s="140"/>
      <c r="G321" s="140"/>
    </row>
    <row r="322" spans="2:7" hidden="1">
      <c r="B322" s="141" t="s">
        <v>1975</v>
      </c>
      <c r="C322" s="140" t="s">
        <v>1976</v>
      </c>
      <c r="D322" s="141" t="s">
        <v>1977</v>
      </c>
      <c r="E322" s="140" t="s">
        <v>1978</v>
      </c>
      <c r="F322" s="140" t="s">
        <v>1979</v>
      </c>
      <c r="G322" s="140" t="s">
        <v>1954</v>
      </c>
    </row>
    <row r="323" spans="2:7" hidden="1">
      <c r="B323" s="141" t="s">
        <v>1980</v>
      </c>
      <c r="C323" s="140" t="s">
        <v>1981</v>
      </c>
      <c r="D323" s="141" t="s">
        <v>1982</v>
      </c>
      <c r="E323" s="140" t="s">
        <v>1983</v>
      </c>
      <c r="F323" s="140"/>
      <c r="G323" s="140"/>
    </row>
    <row r="324" spans="2:7" hidden="1">
      <c r="B324" s="141" t="s">
        <v>1984</v>
      </c>
      <c r="C324" s="140"/>
      <c r="D324" s="141" t="s">
        <v>1985</v>
      </c>
      <c r="E324" s="140"/>
      <c r="F324" s="140"/>
      <c r="G324" s="140"/>
    </row>
    <row r="325" spans="2:7" hidden="1">
      <c r="B325" s="141" t="s">
        <v>1986</v>
      </c>
      <c r="C325" s="140"/>
      <c r="D325" s="141" t="s">
        <v>1987</v>
      </c>
      <c r="E325" s="140"/>
      <c r="F325" s="140"/>
      <c r="G325" s="140"/>
    </row>
    <row r="326" spans="2:7" hidden="1">
      <c r="B326" s="141" t="s">
        <v>1988</v>
      </c>
      <c r="C326" s="140" t="s">
        <v>1989</v>
      </c>
      <c r="D326" s="141" t="s">
        <v>1990</v>
      </c>
      <c r="E326" s="140" t="s">
        <v>1991</v>
      </c>
      <c r="F326" s="140" t="s">
        <v>1992</v>
      </c>
      <c r="G326" s="140"/>
    </row>
    <row r="327" spans="2:7" hidden="1">
      <c r="B327" s="141" t="s">
        <v>1993</v>
      </c>
      <c r="C327" s="140"/>
      <c r="D327" s="141" t="s">
        <v>1994</v>
      </c>
      <c r="E327" s="140"/>
      <c r="F327" s="140"/>
      <c r="G327" s="140"/>
    </row>
    <row r="328" spans="2:7" hidden="1">
      <c r="B328" s="141" t="s">
        <v>1995</v>
      </c>
      <c r="C328" s="140" t="s">
        <v>1996</v>
      </c>
      <c r="D328" s="141" t="s">
        <v>1997</v>
      </c>
      <c r="E328" s="140"/>
      <c r="F328" s="140"/>
      <c r="G328" s="140"/>
    </row>
    <row r="329" spans="2:7" hidden="1">
      <c r="B329" s="141" t="s">
        <v>1998</v>
      </c>
      <c r="C329" s="140"/>
      <c r="D329" s="141" t="s">
        <v>1999</v>
      </c>
      <c r="E329" s="140"/>
      <c r="F329" s="140"/>
      <c r="G329" s="140"/>
    </row>
    <row r="330" spans="2:7" hidden="1">
      <c r="B330" s="141" t="s">
        <v>2000</v>
      </c>
      <c r="C330" s="141"/>
      <c r="D330" s="141" t="s">
        <v>2001</v>
      </c>
      <c r="E330" s="141"/>
      <c r="F330" s="140"/>
      <c r="G330" s="140"/>
    </row>
    <row r="331" spans="2:7" hidden="1">
      <c r="B331" s="140" t="s">
        <v>2002</v>
      </c>
      <c r="C331" s="140"/>
      <c r="D331" s="141" t="s">
        <v>2003</v>
      </c>
      <c r="E331" s="140"/>
      <c r="F331" s="140"/>
      <c r="G331" s="140"/>
    </row>
    <row r="332" spans="2:7" hidden="1">
      <c r="B332" s="141" t="s">
        <v>2004</v>
      </c>
      <c r="C332" s="140"/>
      <c r="D332" s="141" t="s">
        <v>2005</v>
      </c>
      <c r="E332" s="140"/>
      <c r="F332" s="140"/>
      <c r="G332" s="140"/>
    </row>
    <row r="333" spans="2:7" hidden="1">
      <c r="B333" s="141" t="s">
        <v>2006</v>
      </c>
      <c r="C333" s="141" t="s">
        <v>2007</v>
      </c>
      <c r="D333" s="141" t="s">
        <v>2008</v>
      </c>
      <c r="E333" s="140" t="s">
        <v>2009</v>
      </c>
      <c r="F333" s="140" t="s">
        <v>2010</v>
      </c>
      <c r="G333" s="140"/>
    </row>
    <row r="334" spans="2:7" hidden="1">
      <c r="B334" s="141" t="s">
        <v>2011</v>
      </c>
      <c r="C334" s="141" t="s">
        <v>2012</v>
      </c>
      <c r="D334" s="141" t="s">
        <v>2013</v>
      </c>
      <c r="E334" s="141" t="s">
        <v>2014</v>
      </c>
      <c r="F334" s="141" t="s">
        <v>2015</v>
      </c>
      <c r="G334" s="140"/>
    </row>
    <row r="335" spans="2:7" hidden="1">
      <c r="B335" s="141" t="s">
        <v>2016</v>
      </c>
      <c r="C335" s="140"/>
      <c r="D335" s="141" t="s">
        <v>1945</v>
      </c>
      <c r="E335" s="140"/>
      <c r="F335" s="140"/>
      <c r="G335" s="140"/>
    </row>
    <row r="336" spans="2:7" hidden="1">
      <c r="B336" s="140" t="s">
        <v>2017</v>
      </c>
      <c r="C336" s="140"/>
      <c r="D336" s="140" t="s">
        <v>2018</v>
      </c>
      <c r="E336" s="142"/>
      <c r="F336" s="142"/>
      <c r="G336" s="140"/>
    </row>
    <row r="337" spans="2:11" hidden="1">
      <c r="B337" s="140" t="s">
        <v>2019</v>
      </c>
      <c r="C337" s="140" t="s">
        <v>2020</v>
      </c>
      <c r="D337" s="140" t="s">
        <v>2021</v>
      </c>
      <c r="E337" s="142"/>
      <c r="F337" s="142"/>
      <c r="G337" s="140"/>
    </row>
    <row r="338" spans="2:11" hidden="1">
      <c r="B338" s="141" t="s">
        <v>2022</v>
      </c>
      <c r="C338" s="140" t="s">
        <v>2023</v>
      </c>
      <c r="D338" s="141" t="s">
        <v>1174</v>
      </c>
      <c r="E338" s="140"/>
      <c r="F338" s="140"/>
      <c r="G338" s="140"/>
    </row>
    <row r="339" spans="2:11" hidden="1">
      <c r="B339" s="141" t="s">
        <v>2024</v>
      </c>
      <c r="C339" s="140"/>
      <c r="D339" s="141" t="s">
        <v>2025</v>
      </c>
      <c r="E339" s="140"/>
      <c r="F339" s="140"/>
      <c r="G339" s="140"/>
    </row>
    <row r="340" spans="2:11" hidden="1">
      <c r="B340" s="141" t="s">
        <v>2026</v>
      </c>
      <c r="C340" s="140"/>
      <c r="D340" s="141" t="s">
        <v>2027</v>
      </c>
      <c r="E340" s="140"/>
      <c r="F340" s="140"/>
      <c r="G340" s="140"/>
    </row>
    <row r="341" spans="2:11" hidden="1">
      <c r="B341" s="141" t="s">
        <v>2028</v>
      </c>
      <c r="C341" s="141"/>
      <c r="D341" s="141" t="s">
        <v>2029</v>
      </c>
      <c r="E341" s="140"/>
      <c r="F341" s="140"/>
      <c r="G341" s="140"/>
    </row>
    <row r="342" spans="2:11" hidden="1">
      <c r="B342" s="141" t="s">
        <v>2030</v>
      </c>
      <c r="C342" s="371"/>
      <c r="D342" s="140" t="s">
        <v>2031</v>
      </c>
      <c r="E342" s="140"/>
      <c r="F342" s="149"/>
      <c r="G342" s="140"/>
    </row>
    <row r="343" spans="2:11" hidden="1">
      <c r="B343" s="141" t="s">
        <v>2032</v>
      </c>
      <c r="C343" s="140"/>
      <c r="D343" s="141"/>
      <c r="E343" s="140" t="s">
        <v>2033</v>
      </c>
      <c r="F343" s="140">
        <v>5036563530</v>
      </c>
      <c r="G343" s="140"/>
    </row>
    <row r="344" spans="2:11" hidden="1">
      <c r="B344" s="141" t="s">
        <v>2034</v>
      </c>
      <c r="C344" s="140"/>
      <c r="D344" s="141" t="s">
        <v>1085</v>
      </c>
      <c r="E344" s="140"/>
      <c r="F344" s="140"/>
      <c r="G344" s="140"/>
      <c r="I344" s="2"/>
      <c r="J344" s="2"/>
      <c r="K344" s="2"/>
    </row>
    <row r="345" spans="2:11" hidden="1">
      <c r="B345" s="141" t="s">
        <v>2035</v>
      </c>
      <c r="C345" s="140"/>
      <c r="D345" s="141" t="s">
        <v>2036</v>
      </c>
      <c r="E345" s="140"/>
      <c r="F345" s="140"/>
      <c r="G345" s="140"/>
    </row>
    <row r="346" spans="2:11" hidden="1">
      <c r="B346" s="141" t="s">
        <v>2037</v>
      </c>
      <c r="C346" s="140"/>
      <c r="D346" s="141" t="s">
        <v>2038</v>
      </c>
      <c r="E346" s="140"/>
      <c r="F346" s="140"/>
      <c r="G346" s="140"/>
    </row>
    <row r="347" spans="2:11" hidden="1">
      <c r="B347" s="141" t="s">
        <v>2039</v>
      </c>
      <c r="C347" s="140" t="s">
        <v>2040</v>
      </c>
      <c r="D347" s="141" t="s">
        <v>2041</v>
      </c>
      <c r="E347" s="140" t="s">
        <v>2042</v>
      </c>
      <c r="F347" s="140" t="s">
        <v>2043</v>
      </c>
      <c r="G347" s="140"/>
    </row>
    <row r="348" spans="2:11" hidden="1">
      <c r="B348" s="141" t="s">
        <v>2044</v>
      </c>
      <c r="C348" s="140"/>
      <c r="D348" s="141" t="s">
        <v>2045</v>
      </c>
      <c r="E348" s="140"/>
      <c r="F348" s="140"/>
      <c r="G348" s="140"/>
    </row>
    <row r="349" spans="2:11" hidden="1">
      <c r="B349" s="141" t="s">
        <v>2046</v>
      </c>
      <c r="C349" s="140"/>
      <c r="D349" s="141" t="s">
        <v>2047</v>
      </c>
      <c r="E349" s="140"/>
      <c r="F349" s="140"/>
      <c r="G349" s="140"/>
    </row>
    <row r="350" spans="2:11" hidden="1">
      <c r="B350" s="141" t="s">
        <v>2048</v>
      </c>
      <c r="C350" s="140"/>
      <c r="D350" s="141" t="s">
        <v>2049</v>
      </c>
      <c r="E350" s="140"/>
      <c r="F350" s="140"/>
      <c r="G350" s="140"/>
    </row>
    <row r="351" spans="2:11" hidden="1">
      <c r="B351" s="141" t="s">
        <v>2050</v>
      </c>
      <c r="C351" s="140" t="s">
        <v>2051</v>
      </c>
      <c r="D351" s="141" t="s">
        <v>1218</v>
      </c>
      <c r="E351" s="140" t="s">
        <v>2052</v>
      </c>
      <c r="F351" s="140" t="s">
        <v>2053</v>
      </c>
      <c r="G351" s="140"/>
    </row>
    <row r="352" spans="2:11" hidden="1">
      <c r="B352" s="141" t="s">
        <v>2054</v>
      </c>
      <c r="C352" s="140" t="s">
        <v>2055</v>
      </c>
      <c r="D352" s="141" t="s">
        <v>2056</v>
      </c>
      <c r="E352" s="140" t="s">
        <v>2052</v>
      </c>
      <c r="F352" s="140"/>
      <c r="G352" s="140"/>
    </row>
    <row r="353" spans="2:7" hidden="1">
      <c r="B353" s="141" t="s">
        <v>2057</v>
      </c>
      <c r="C353" s="140"/>
      <c r="D353" s="141" t="s">
        <v>2058</v>
      </c>
      <c r="E353" s="140"/>
      <c r="F353" s="140"/>
      <c r="G353" s="140"/>
    </row>
    <row r="354" spans="2:7" hidden="1">
      <c r="B354" s="141" t="s">
        <v>2059</v>
      </c>
      <c r="C354" s="140"/>
      <c r="D354" s="141" t="s">
        <v>2060</v>
      </c>
      <c r="E354" s="140"/>
      <c r="F354" s="140"/>
      <c r="G354" s="140"/>
    </row>
    <row r="355" spans="2:7" hidden="1">
      <c r="B355" s="140" t="s">
        <v>2061</v>
      </c>
      <c r="C355" s="140"/>
      <c r="D355" s="140" t="s">
        <v>2062</v>
      </c>
      <c r="E355" s="142"/>
      <c r="F355" s="142"/>
      <c r="G355" s="140"/>
    </row>
    <row r="356" spans="2:7" hidden="1">
      <c r="B356" s="141" t="s">
        <v>2063</v>
      </c>
      <c r="C356" s="140"/>
      <c r="D356" s="141" t="s">
        <v>2064</v>
      </c>
      <c r="E356" s="140"/>
      <c r="F356" s="140"/>
      <c r="G356" s="140"/>
    </row>
    <row r="357" spans="2:7" hidden="1">
      <c r="B357" s="140" t="s">
        <v>2065</v>
      </c>
      <c r="C357" s="140" t="s">
        <v>2066</v>
      </c>
      <c r="D357" s="140" t="s">
        <v>2067</v>
      </c>
      <c r="E357" s="142" t="s">
        <v>2068</v>
      </c>
      <c r="F357" s="142" t="s">
        <v>2069</v>
      </c>
      <c r="G357" s="140"/>
    </row>
    <row r="358" spans="2:7" hidden="1">
      <c r="B358" s="140" t="s">
        <v>2070</v>
      </c>
      <c r="C358" s="140" t="s">
        <v>2071</v>
      </c>
      <c r="D358" s="140" t="s">
        <v>2072</v>
      </c>
      <c r="E358" s="142" t="s">
        <v>2073</v>
      </c>
      <c r="F358" s="142" t="s">
        <v>2074</v>
      </c>
      <c r="G358" s="140"/>
    </row>
    <row r="359" spans="2:7" hidden="1">
      <c r="B359" s="141" t="s">
        <v>2075</v>
      </c>
      <c r="C359" s="140"/>
      <c r="D359" s="141" t="s">
        <v>2076</v>
      </c>
      <c r="E359" s="140"/>
      <c r="F359" s="140"/>
      <c r="G359" s="140"/>
    </row>
    <row r="360" spans="2:7" hidden="1">
      <c r="B360" s="141" t="s">
        <v>2077</v>
      </c>
      <c r="C360" s="140" t="s">
        <v>2078</v>
      </c>
      <c r="D360" s="141" t="s">
        <v>2079</v>
      </c>
      <c r="E360" s="140" t="s">
        <v>2080</v>
      </c>
      <c r="F360" s="140" t="s">
        <v>2081</v>
      </c>
      <c r="G360" s="140"/>
    </row>
    <row r="361" spans="2:7" hidden="1">
      <c r="B361" s="140" t="s">
        <v>2082</v>
      </c>
      <c r="C361" s="140"/>
      <c r="D361" s="140" t="s">
        <v>2083</v>
      </c>
      <c r="E361" s="142"/>
      <c r="F361" s="142"/>
      <c r="G361" s="140"/>
    </row>
    <row r="362" spans="2:7" hidden="1">
      <c r="B362" s="141" t="s">
        <v>2084</v>
      </c>
      <c r="C362" s="140"/>
      <c r="D362" s="141" t="s">
        <v>2085</v>
      </c>
      <c r="E362" s="140"/>
      <c r="F362" s="140"/>
      <c r="G362" s="140"/>
    </row>
    <row r="363" spans="2:7" hidden="1">
      <c r="B363" s="141" t="s">
        <v>2086</v>
      </c>
      <c r="C363" s="140" t="s">
        <v>2087</v>
      </c>
      <c r="D363" s="141" t="s">
        <v>2088</v>
      </c>
      <c r="E363" s="140"/>
      <c r="F363" s="140"/>
      <c r="G363" s="140" t="s">
        <v>20108</v>
      </c>
    </row>
    <row r="364" spans="2:7" hidden="1">
      <c r="B364" s="141" t="s">
        <v>2089</v>
      </c>
      <c r="C364" s="140"/>
      <c r="D364" s="141" t="s">
        <v>2090</v>
      </c>
      <c r="E364" s="140"/>
      <c r="F364" s="140"/>
      <c r="G364" s="140"/>
    </row>
    <row r="365" spans="2:7" hidden="1">
      <c r="B365" s="141" t="s">
        <v>2091</v>
      </c>
      <c r="C365" s="140"/>
      <c r="D365" s="141" t="s">
        <v>2092</v>
      </c>
      <c r="E365" s="140"/>
      <c r="F365" s="140"/>
      <c r="G365" s="140"/>
    </row>
    <row r="366" spans="2:7" hidden="1">
      <c r="B366" s="141" t="s">
        <v>2093</v>
      </c>
      <c r="C366" s="140"/>
      <c r="D366" s="141" t="s">
        <v>2094</v>
      </c>
      <c r="E366" s="140"/>
      <c r="F366" s="140"/>
      <c r="G366" s="140"/>
    </row>
    <row r="367" spans="2:7" hidden="1">
      <c r="B367" s="141" t="s">
        <v>2095</v>
      </c>
      <c r="C367" s="140"/>
      <c r="D367" s="141" t="s">
        <v>2096</v>
      </c>
      <c r="E367" s="140"/>
      <c r="F367" s="140"/>
      <c r="G367" s="140"/>
    </row>
    <row r="368" spans="2:7" hidden="1">
      <c r="B368" s="141" t="s">
        <v>2097</v>
      </c>
      <c r="C368" s="140"/>
      <c r="D368" s="141" t="s">
        <v>2098</v>
      </c>
      <c r="E368" s="140"/>
      <c r="F368" s="140"/>
      <c r="G368" s="140"/>
    </row>
    <row r="369" spans="2:7" hidden="1">
      <c r="B369" s="141" t="s">
        <v>2099</v>
      </c>
      <c r="C369" s="140"/>
      <c r="D369" s="141" t="s">
        <v>2100</v>
      </c>
      <c r="E369" s="140"/>
      <c r="F369" s="140"/>
      <c r="G369" s="140"/>
    </row>
    <row r="370" spans="2:7" hidden="1">
      <c r="B370" s="141" t="s">
        <v>2101</v>
      </c>
      <c r="C370" s="140"/>
      <c r="D370" s="141" t="s">
        <v>2102</v>
      </c>
      <c r="E370" s="140"/>
      <c r="F370" s="140"/>
      <c r="G370" s="140"/>
    </row>
    <row r="371" spans="2:7" hidden="1">
      <c r="B371" s="141" t="s">
        <v>2103</v>
      </c>
      <c r="C371" s="140"/>
      <c r="D371" s="141" t="s">
        <v>2104</v>
      </c>
      <c r="E371" s="140"/>
      <c r="F371" s="140"/>
      <c r="G371" s="140"/>
    </row>
    <row r="372" spans="2:7" hidden="1">
      <c r="B372" s="141" t="s">
        <v>2105</v>
      </c>
      <c r="C372" s="140"/>
      <c r="D372" s="141" t="s">
        <v>2106</v>
      </c>
      <c r="E372" s="140"/>
      <c r="F372" s="140"/>
      <c r="G372" s="140"/>
    </row>
    <row r="373" spans="2:7" hidden="1">
      <c r="B373" s="141" t="s">
        <v>2107</v>
      </c>
      <c r="C373" s="140"/>
      <c r="D373" s="141" t="s">
        <v>2108</v>
      </c>
      <c r="E373" s="140"/>
      <c r="F373" s="140"/>
      <c r="G373" s="140"/>
    </row>
    <row r="374" spans="2:7" hidden="1">
      <c r="B374" s="141" t="s">
        <v>2109</v>
      </c>
      <c r="C374" s="140"/>
      <c r="D374" s="140" t="s">
        <v>2110</v>
      </c>
      <c r="E374" s="140"/>
      <c r="F374" s="140"/>
      <c r="G374" s="140"/>
    </row>
    <row r="375" spans="2:7" hidden="1">
      <c r="B375" s="141" t="s">
        <v>2111</v>
      </c>
      <c r="C375" s="140"/>
      <c r="D375" s="141" t="s">
        <v>2112</v>
      </c>
      <c r="E375" s="140"/>
      <c r="F375" s="140"/>
      <c r="G375" s="140"/>
    </row>
    <row r="376" spans="2:7" hidden="1">
      <c r="B376" s="141" t="s">
        <v>21445</v>
      </c>
      <c r="C376" s="140"/>
      <c r="D376" s="141" t="s">
        <v>2113</v>
      </c>
      <c r="E376" s="140"/>
      <c r="F376" s="140"/>
      <c r="G376" s="140"/>
    </row>
    <row r="377" spans="2:7" hidden="1">
      <c r="B377" s="140" t="s">
        <v>2114</v>
      </c>
      <c r="C377" s="141"/>
      <c r="D377" s="141" t="s">
        <v>1730</v>
      </c>
      <c r="E377" s="141"/>
      <c r="F377" s="141"/>
      <c r="G377" s="140"/>
    </row>
    <row r="378" spans="2:7" hidden="1">
      <c r="B378" s="140" t="s">
        <v>2115</v>
      </c>
      <c r="C378" s="140" t="s">
        <v>2116</v>
      </c>
      <c r="D378" s="140" t="s">
        <v>2096</v>
      </c>
      <c r="E378" s="142" t="s">
        <v>2117</v>
      </c>
      <c r="F378" s="142" t="s">
        <v>2118</v>
      </c>
      <c r="G378" s="140"/>
    </row>
    <row r="379" spans="2:7" hidden="1">
      <c r="B379" s="141" t="s">
        <v>21446</v>
      </c>
      <c r="C379" s="141"/>
      <c r="D379" s="141" t="s">
        <v>1081</v>
      </c>
      <c r="E379" s="140"/>
      <c r="F379" s="140"/>
      <c r="G379" s="140"/>
    </row>
    <row r="380" spans="2:7" hidden="1">
      <c r="B380" s="141" t="s">
        <v>2119</v>
      </c>
      <c r="C380" s="140"/>
      <c r="D380" s="141" t="s">
        <v>2120</v>
      </c>
      <c r="E380" s="140"/>
      <c r="F380" s="140"/>
      <c r="G380" s="140"/>
    </row>
    <row r="381" spans="2:7" hidden="1">
      <c r="B381" s="141" t="s">
        <v>2121</v>
      </c>
      <c r="C381" s="140"/>
      <c r="D381" s="141" t="s">
        <v>2122</v>
      </c>
      <c r="E381" s="140"/>
      <c r="F381" s="140"/>
      <c r="G381" s="140"/>
    </row>
    <row r="382" spans="2:7" hidden="1">
      <c r="B382" s="141" t="s">
        <v>2123</v>
      </c>
      <c r="C382" s="140"/>
      <c r="D382" s="141" t="s">
        <v>2124</v>
      </c>
      <c r="E382" s="140"/>
      <c r="F382" s="140"/>
      <c r="G382" s="140"/>
    </row>
    <row r="383" spans="2:7" hidden="1">
      <c r="B383" s="141" t="s">
        <v>2125</v>
      </c>
      <c r="C383" s="140"/>
      <c r="D383" s="141" t="s">
        <v>1943</v>
      </c>
      <c r="E383" s="140"/>
      <c r="F383" s="140"/>
      <c r="G383" s="140"/>
    </row>
    <row r="384" spans="2:7" hidden="1">
      <c r="B384" s="141" t="s">
        <v>2126</v>
      </c>
      <c r="C384" s="140"/>
      <c r="D384" s="141" t="s">
        <v>2127</v>
      </c>
      <c r="E384" s="140"/>
      <c r="F384" s="140"/>
      <c r="G384" s="140"/>
    </row>
    <row r="385" spans="2:7" hidden="1">
      <c r="B385" s="141" t="s">
        <v>2128</v>
      </c>
      <c r="C385" s="140" t="s">
        <v>2129</v>
      </c>
      <c r="D385" s="141" t="s">
        <v>2130</v>
      </c>
      <c r="E385" s="140"/>
      <c r="F385" s="140"/>
      <c r="G385" s="140"/>
    </row>
    <row r="386" spans="2:7" hidden="1">
      <c r="B386" s="141" t="s">
        <v>2131</v>
      </c>
      <c r="C386" s="140" t="s">
        <v>2132</v>
      </c>
      <c r="D386" s="141" t="s">
        <v>2133</v>
      </c>
      <c r="E386" s="140" t="s">
        <v>2134</v>
      </c>
      <c r="F386" s="140" t="s">
        <v>2135</v>
      </c>
      <c r="G386" s="140"/>
    </row>
    <row r="387" spans="2:7" hidden="1">
      <c r="B387" s="141" t="s">
        <v>21447</v>
      </c>
      <c r="C387" s="140"/>
      <c r="D387" s="141" t="s">
        <v>2136</v>
      </c>
      <c r="E387" s="140"/>
      <c r="F387" s="140"/>
      <c r="G387" s="140"/>
    </row>
    <row r="388" spans="2:7" hidden="1">
      <c r="B388" s="141" t="s">
        <v>2137</v>
      </c>
      <c r="C388" s="141"/>
      <c r="D388" s="141" t="s">
        <v>2138</v>
      </c>
      <c r="E388" s="141"/>
      <c r="F388" s="140"/>
      <c r="G388" s="140"/>
    </row>
    <row r="389" spans="2:7" hidden="1">
      <c r="B389" s="141" t="s">
        <v>21448</v>
      </c>
      <c r="C389" s="140"/>
      <c r="D389" s="141" t="s">
        <v>2139</v>
      </c>
      <c r="E389" s="140"/>
      <c r="F389" s="140"/>
      <c r="G389" s="140"/>
    </row>
    <row r="390" spans="2:7" hidden="1">
      <c r="B390" s="141" t="s">
        <v>2140</v>
      </c>
      <c r="C390" s="140"/>
      <c r="D390" s="141" t="s">
        <v>2141</v>
      </c>
      <c r="E390" s="140"/>
      <c r="F390" s="140"/>
      <c r="G390" s="140"/>
    </row>
    <row r="391" spans="2:7" hidden="1">
      <c r="B391" s="141" t="s">
        <v>2142</v>
      </c>
      <c r="C391" s="141"/>
      <c r="D391" s="141" t="s">
        <v>2143</v>
      </c>
      <c r="E391" s="141"/>
      <c r="F391" s="140"/>
      <c r="G391" s="140"/>
    </row>
    <row r="392" spans="2:7" hidden="1">
      <c r="B392" s="141" t="s">
        <v>2144</v>
      </c>
      <c r="C392" s="140"/>
      <c r="D392" s="141" t="s">
        <v>2145</v>
      </c>
      <c r="E392" s="140"/>
      <c r="F392" s="140"/>
      <c r="G392" s="140"/>
    </row>
    <row r="393" spans="2:7" hidden="1">
      <c r="B393" s="141" t="s">
        <v>2146</v>
      </c>
      <c r="C393" s="141"/>
      <c r="D393" s="141" t="s">
        <v>2147</v>
      </c>
      <c r="E393" s="141"/>
      <c r="F393" s="141"/>
      <c r="G393" s="140"/>
    </row>
    <row r="394" spans="2:7" hidden="1">
      <c r="B394" s="141" t="s">
        <v>2148</v>
      </c>
      <c r="C394" s="140"/>
      <c r="D394" s="141" t="s">
        <v>2149</v>
      </c>
      <c r="E394" s="140"/>
      <c r="F394" s="140"/>
      <c r="G394" s="140"/>
    </row>
    <row r="395" spans="2:7" hidden="1">
      <c r="B395" s="141" t="s">
        <v>21449</v>
      </c>
      <c r="C395" s="140"/>
      <c r="D395" s="141" t="s">
        <v>2150</v>
      </c>
      <c r="E395" s="140"/>
      <c r="F395" s="140"/>
      <c r="G395" s="140"/>
    </row>
    <row r="396" spans="2:7" hidden="1">
      <c r="B396" s="140" t="s">
        <v>21346</v>
      </c>
      <c r="C396" s="140" t="s">
        <v>21343</v>
      </c>
      <c r="D396" s="140" t="s">
        <v>21344</v>
      </c>
      <c r="E396" s="142" t="s">
        <v>21345</v>
      </c>
      <c r="F396" s="142"/>
      <c r="G396" s="140"/>
    </row>
    <row r="397" spans="2:7" hidden="1">
      <c r="B397" s="140" t="s">
        <v>2151</v>
      </c>
      <c r="C397" s="140"/>
      <c r="D397" s="140" t="s">
        <v>2152</v>
      </c>
      <c r="E397" s="142"/>
      <c r="F397" s="142"/>
      <c r="G397" s="140"/>
    </row>
    <row r="398" spans="2:7" hidden="1">
      <c r="B398" s="141" t="s">
        <v>2153</v>
      </c>
      <c r="C398" s="140"/>
      <c r="D398" s="141" t="s">
        <v>2154</v>
      </c>
      <c r="E398" s="140"/>
      <c r="F398" s="140"/>
      <c r="G398" s="140"/>
    </row>
    <row r="399" spans="2:7" hidden="1">
      <c r="B399" s="140" t="s">
        <v>2155</v>
      </c>
      <c r="C399" s="140" t="s">
        <v>2156</v>
      </c>
      <c r="D399" s="140" t="s">
        <v>2157</v>
      </c>
      <c r="E399" s="140" t="s">
        <v>2158</v>
      </c>
      <c r="F399" s="140" t="s">
        <v>2159</v>
      </c>
      <c r="G399" s="140"/>
    </row>
    <row r="400" spans="2:7" hidden="1">
      <c r="B400" s="141" t="s">
        <v>2160</v>
      </c>
      <c r="C400" s="140"/>
      <c r="D400" s="141" t="s">
        <v>2161</v>
      </c>
      <c r="E400" s="140"/>
      <c r="F400" s="140"/>
      <c r="G400" s="140"/>
    </row>
    <row r="401" spans="2:7" hidden="1">
      <c r="B401" s="141" t="s">
        <v>2162</v>
      </c>
      <c r="C401" s="141" t="s">
        <v>2163</v>
      </c>
      <c r="D401" s="141" t="s">
        <v>2164</v>
      </c>
      <c r="E401" s="141"/>
      <c r="F401" s="141"/>
      <c r="G401" s="140" t="s">
        <v>20109</v>
      </c>
    </row>
    <row r="402" spans="2:7" hidden="1">
      <c r="B402" s="141" t="s">
        <v>2165</v>
      </c>
      <c r="C402" s="140"/>
      <c r="D402" s="141" t="s">
        <v>2166</v>
      </c>
      <c r="E402" s="140"/>
      <c r="F402" s="140"/>
      <c r="G402" s="140"/>
    </row>
    <row r="403" spans="2:7" hidden="1">
      <c r="B403" s="141" t="s">
        <v>2167</v>
      </c>
      <c r="C403" s="140"/>
      <c r="D403" s="141" t="s">
        <v>2168</v>
      </c>
      <c r="E403" s="140"/>
      <c r="F403" s="140"/>
      <c r="G403" s="140"/>
    </row>
    <row r="404" spans="2:7" hidden="1">
      <c r="B404" s="141" t="s">
        <v>2169</v>
      </c>
      <c r="C404" s="140"/>
      <c r="D404" s="141" t="s">
        <v>2170</v>
      </c>
      <c r="E404" s="140"/>
      <c r="F404" s="140"/>
      <c r="G404" s="140"/>
    </row>
    <row r="405" spans="2:7" hidden="1">
      <c r="B405" s="141" t="s">
        <v>2171</v>
      </c>
      <c r="C405" s="140"/>
      <c r="D405" s="141" t="s">
        <v>2172</v>
      </c>
      <c r="E405" s="140"/>
      <c r="F405" s="140"/>
      <c r="G405" s="140"/>
    </row>
    <row r="406" spans="2:7" hidden="1">
      <c r="B406" s="141" t="s">
        <v>2173</v>
      </c>
      <c r="C406" s="140"/>
      <c r="D406" s="141" t="s">
        <v>2174</v>
      </c>
      <c r="E406" s="140"/>
      <c r="F406" s="140"/>
      <c r="G406" s="140"/>
    </row>
    <row r="407" spans="2:7" hidden="1">
      <c r="B407" s="141" t="s">
        <v>2175</v>
      </c>
      <c r="C407" s="140"/>
      <c r="D407" s="141" t="s">
        <v>2176</v>
      </c>
      <c r="E407" s="140"/>
      <c r="F407" s="140"/>
      <c r="G407" s="140"/>
    </row>
    <row r="408" spans="2:7" hidden="1">
      <c r="B408" s="141" t="s">
        <v>2177</v>
      </c>
      <c r="C408" s="141"/>
      <c r="D408" s="141" t="s">
        <v>2178</v>
      </c>
      <c r="E408" s="141"/>
      <c r="F408" s="141"/>
      <c r="G408" s="140"/>
    </row>
    <row r="409" spans="2:7" hidden="1">
      <c r="B409" s="141" t="s">
        <v>2179</v>
      </c>
      <c r="C409" s="140" t="s">
        <v>21450</v>
      </c>
      <c r="D409" s="141" t="s">
        <v>2180</v>
      </c>
      <c r="E409" s="140"/>
      <c r="F409" s="140"/>
      <c r="G409" s="140"/>
    </row>
    <row r="410" spans="2:7" hidden="1">
      <c r="B410" s="141" t="s">
        <v>2181</v>
      </c>
      <c r="C410" s="140"/>
      <c r="D410" s="141" t="s">
        <v>2182</v>
      </c>
      <c r="E410" s="140"/>
      <c r="F410" s="140"/>
      <c r="G410" s="140"/>
    </row>
    <row r="411" spans="2:7" hidden="1">
      <c r="B411" s="140" t="s">
        <v>2183</v>
      </c>
      <c r="C411" s="140"/>
      <c r="D411" s="140" t="s">
        <v>2184</v>
      </c>
      <c r="E411" s="142"/>
      <c r="F411" s="142"/>
      <c r="G411" s="140"/>
    </row>
    <row r="412" spans="2:7" hidden="1">
      <c r="B412" s="141" t="s">
        <v>2185</v>
      </c>
      <c r="C412" s="140"/>
      <c r="D412" s="141" t="s">
        <v>2186</v>
      </c>
      <c r="E412" s="140"/>
      <c r="F412" s="140"/>
      <c r="G412" s="140"/>
    </row>
    <row r="413" spans="2:7" hidden="1">
      <c r="B413" s="141" t="s">
        <v>2187</v>
      </c>
      <c r="C413" s="141" t="s">
        <v>2188</v>
      </c>
      <c r="D413" s="141" t="s">
        <v>2189</v>
      </c>
      <c r="E413" s="141" t="s">
        <v>2190</v>
      </c>
      <c r="F413" s="140" t="s">
        <v>2191</v>
      </c>
      <c r="G413" s="140"/>
    </row>
    <row r="414" spans="2:7" hidden="1">
      <c r="B414" s="140" t="s">
        <v>2192</v>
      </c>
      <c r="C414" s="140" t="s">
        <v>2193</v>
      </c>
      <c r="D414" s="140" t="s">
        <v>2194</v>
      </c>
      <c r="E414" s="142" t="s">
        <v>2195</v>
      </c>
      <c r="F414" s="142" t="s">
        <v>2196</v>
      </c>
      <c r="G414" s="140" t="s">
        <v>2197</v>
      </c>
    </row>
    <row r="415" spans="2:7" hidden="1">
      <c r="B415" s="141" t="s">
        <v>2198</v>
      </c>
      <c r="C415" s="140" t="s">
        <v>2199</v>
      </c>
      <c r="D415" s="141" t="s">
        <v>2200</v>
      </c>
      <c r="E415" s="140" t="s">
        <v>2195</v>
      </c>
      <c r="F415" s="140" t="s">
        <v>2196</v>
      </c>
      <c r="G415" s="140"/>
    </row>
    <row r="416" spans="2:7" hidden="1">
      <c r="B416" s="141" t="s">
        <v>2201</v>
      </c>
      <c r="C416" s="141"/>
      <c r="D416" s="141" t="s">
        <v>2202</v>
      </c>
      <c r="E416" s="140"/>
      <c r="F416" s="140"/>
      <c r="G416" s="140"/>
    </row>
    <row r="417" spans="2:7" hidden="1">
      <c r="B417" s="141" t="s">
        <v>2203</v>
      </c>
      <c r="C417" s="140"/>
      <c r="D417" s="141" t="s">
        <v>2204</v>
      </c>
      <c r="E417" s="140"/>
      <c r="F417" s="140"/>
      <c r="G417" s="140"/>
    </row>
    <row r="418" spans="2:7" hidden="1">
      <c r="B418" s="141" t="s">
        <v>2205</v>
      </c>
      <c r="C418" s="140"/>
      <c r="D418" s="141" t="s">
        <v>2206</v>
      </c>
      <c r="E418" s="140"/>
      <c r="F418" s="140"/>
      <c r="G418" s="140"/>
    </row>
    <row r="419" spans="2:7" hidden="1">
      <c r="B419" s="141" t="s">
        <v>2207</v>
      </c>
      <c r="C419" s="140"/>
      <c r="D419" s="141" t="s">
        <v>2208</v>
      </c>
      <c r="E419" s="140"/>
      <c r="F419" s="140"/>
      <c r="G419" s="140"/>
    </row>
    <row r="420" spans="2:7" hidden="1">
      <c r="B420" s="140" t="s">
        <v>2209</v>
      </c>
      <c r="C420" s="140"/>
      <c r="D420" s="140" t="s">
        <v>2210</v>
      </c>
      <c r="E420" s="142"/>
      <c r="F420" s="142"/>
      <c r="G420" s="140"/>
    </row>
    <row r="421" spans="2:7" hidden="1">
      <c r="B421" s="141" t="s">
        <v>2211</v>
      </c>
      <c r="C421" s="140"/>
      <c r="D421" s="141" t="s">
        <v>2212</v>
      </c>
      <c r="E421" s="140"/>
      <c r="F421" s="140"/>
      <c r="G421" s="140"/>
    </row>
    <row r="422" spans="2:7" hidden="1">
      <c r="B422" s="141" t="s">
        <v>2213</v>
      </c>
      <c r="C422" s="140" t="s">
        <v>2214</v>
      </c>
      <c r="D422" s="141" t="s">
        <v>2215</v>
      </c>
      <c r="E422" s="140" t="s">
        <v>2216</v>
      </c>
      <c r="F422" s="140" t="s">
        <v>2217</v>
      </c>
      <c r="G422" s="140"/>
    </row>
    <row r="423" spans="2:7" hidden="1">
      <c r="B423" s="141" t="s">
        <v>2218</v>
      </c>
      <c r="C423" s="140" t="s">
        <v>2219</v>
      </c>
      <c r="D423" s="141" t="s">
        <v>2220</v>
      </c>
      <c r="E423" s="140" t="s">
        <v>2221</v>
      </c>
      <c r="F423" s="140" t="s">
        <v>2222</v>
      </c>
      <c r="G423" s="140"/>
    </row>
    <row r="424" spans="2:7" hidden="1">
      <c r="B424" s="141" t="s">
        <v>2223</v>
      </c>
      <c r="C424" s="140"/>
      <c r="D424" s="141" t="s">
        <v>2224</v>
      </c>
      <c r="E424" s="140"/>
      <c r="F424" s="140"/>
      <c r="G424" s="140"/>
    </row>
    <row r="425" spans="2:7" hidden="1">
      <c r="B425" s="140" t="s">
        <v>2225</v>
      </c>
      <c r="C425" s="140"/>
      <c r="D425" s="140" t="s">
        <v>2226</v>
      </c>
      <c r="E425" s="140"/>
      <c r="F425" s="140"/>
      <c r="G425" s="140"/>
    </row>
    <row r="426" spans="2:7" hidden="1">
      <c r="B426" s="141" t="s">
        <v>2227</v>
      </c>
      <c r="C426" s="141"/>
      <c r="D426" s="141" t="s">
        <v>2228</v>
      </c>
      <c r="E426" s="141"/>
      <c r="F426" s="140"/>
      <c r="G426" s="140"/>
    </row>
    <row r="427" spans="2:7" hidden="1">
      <c r="B427" s="141" t="s">
        <v>2229</v>
      </c>
      <c r="C427" s="141" t="s">
        <v>2230</v>
      </c>
      <c r="D427" s="141" t="s">
        <v>2231</v>
      </c>
      <c r="E427" s="141"/>
      <c r="F427" s="140"/>
      <c r="G427" s="140" t="s">
        <v>2232</v>
      </c>
    </row>
    <row r="428" spans="2:7" hidden="1">
      <c r="B428" s="141" t="s">
        <v>2233</v>
      </c>
      <c r="C428" s="140" t="s">
        <v>2234</v>
      </c>
      <c r="D428" s="141" t="s">
        <v>2235</v>
      </c>
      <c r="E428" s="140"/>
      <c r="F428" s="140"/>
      <c r="G428" s="140"/>
    </row>
    <row r="429" spans="2:7" hidden="1">
      <c r="B429" s="141" t="s">
        <v>2236</v>
      </c>
      <c r="C429" s="140"/>
      <c r="D429" s="141" t="s">
        <v>2237</v>
      </c>
      <c r="E429" s="140"/>
      <c r="F429" s="140"/>
      <c r="G429" s="140"/>
    </row>
    <row r="430" spans="2:7" hidden="1">
      <c r="B430" s="141" t="s">
        <v>2238</v>
      </c>
      <c r="C430" s="141"/>
      <c r="D430" s="141" t="s">
        <v>2239</v>
      </c>
      <c r="E430" s="141"/>
      <c r="F430" s="140"/>
      <c r="G430" s="140"/>
    </row>
    <row r="431" spans="2:7" hidden="1">
      <c r="B431" s="141" t="s">
        <v>2240</v>
      </c>
      <c r="C431" s="140"/>
      <c r="D431" s="141" t="s">
        <v>2241</v>
      </c>
      <c r="E431" s="140"/>
      <c r="F431" s="140"/>
      <c r="G431" s="140"/>
    </row>
    <row r="432" spans="2:7" hidden="1">
      <c r="B432" s="141" t="s">
        <v>2242</v>
      </c>
      <c r="C432" s="140"/>
      <c r="D432" s="141" t="s">
        <v>2243</v>
      </c>
      <c r="E432" s="140"/>
      <c r="F432" s="140"/>
      <c r="G432" s="140"/>
    </row>
    <row r="433" spans="2:7" hidden="1">
      <c r="B433" s="141" t="s">
        <v>2244</v>
      </c>
      <c r="C433" s="140"/>
      <c r="D433" s="141" t="s">
        <v>2245</v>
      </c>
      <c r="E433" s="140"/>
      <c r="F433" s="140"/>
      <c r="G433" s="140"/>
    </row>
    <row r="434" spans="2:7" hidden="1">
      <c r="B434" s="141" t="s">
        <v>2246</v>
      </c>
      <c r="C434" s="140"/>
      <c r="D434" s="141" t="s">
        <v>2247</v>
      </c>
      <c r="E434" s="140"/>
      <c r="F434" s="140"/>
      <c r="G434" s="140"/>
    </row>
    <row r="435" spans="2:7" hidden="1">
      <c r="B435" s="141" t="s">
        <v>2248</v>
      </c>
      <c r="C435" s="140"/>
      <c r="D435" s="141" t="s">
        <v>2249</v>
      </c>
      <c r="E435" s="140"/>
      <c r="F435" s="140"/>
      <c r="G435" s="140"/>
    </row>
    <row r="436" spans="2:7" hidden="1">
      <c r="B436" s="141" t="s">
        <v>2250</v>
      </c>
      <c r="C436" s="140"/>
      <c r="D436" s="141" t="s">
        <v>2251</v>
      </c>
      <c r="E436" s="140"/>
      <c r="F436" s="140"/>
      <c r="G436" s="140"/>
    </row>
    <row r="437" spans="2:7" hidden="1">
      <c r="B437" s="141" t="s">
        <v>2252</v>
      </c>
      <c r="C437" s="140"/>
      <c r="D437" s="141" t="s">
        <v>2253</v>
      </c>
      <c r="E437" s="140"/>
      <c r="F437" s="140"/>
      <c r="G437" s="140"/>
    </row>
    <row r="438" spans="2:7" hidden="1">
      <c r="B438" s="141" t="s">
        <v>2254</v>
      </c>
      <c r="C438" s="140"/>
      <c r="D438" s="141" t="s">
        <v>2255</v>
      </c>
      <c r="E438" s="140"/>
      <c r="F438" s="140"/>
      <c r="G438" s="140"/>
    </row>
    <row r="439" spans="2:7" hidden="1">
      <c r="B439" s="140" t="s">
        <v>2256</v>
      </c>
      <c r="C439" s="140" t="s">
        <v>2257</v>
      </c>
      <c r="D439" s="140" t="s">
        <v>2258</v>
      </c>
      <c r="E439" s="142" t="s">
        <v>2259</v>
      </c>
      <c r="F439" s="142"/>
      <c r="G439" s="140"/>
    </row>
    <row r="440" spans="2:7" hidden="1">
      <c r="B440" s="141" t="s">
        <v>2260</v>
      </c>
      <c r="C440" s="140"/>
      <c r="D440" s="141" t="s">
        <v>2261</v>
      </c>
      <c r="E440" s="140"/>
      <c r="F440" s="140"/>
      <c r="G440" s="140"/>
    </row>
    <row r="441" spans="2:7" hidden="1">
      <c r="B441" s="140" t="s">
        <v>2262</v>
      </c>
      <c r="C441" s="141" t="s">
        <v>2263</v>
      </c>
      <c r="D441" s="141" t="s">
        <v>2264</v>
      </c>
      <c r="E441" s="141" t="s">
        <v>2265</v>
      </c>
      <c r="F441" s="140"/>
      <c r="G441" s="140"/>
    </row>
    <row r="442" spans="2:7" hidden="1">
      <c r="B442" s="141" t="s">
        <v>2266</v>
      </c>
      <c r="C442" s="140"/>
      <c r="D442" s="141" t="s">
        <v>2267</v>
      </c>
      <c r="E442" s="140"/>
      <c r="F442" s="140"/>
      <c r="G442" s="140"/>
    </row>
    <row r="443" spans="2:7" hidden="1">
      <c r="B443" s="141" t="s">
        <v>2268</v>
      </c>
      <c r="C443" s="140"/>
      <c r="D443" s="141" t="s">
        <v>2269</v>
      </c>
      <c r="E443" s="140" t="s">
        <v>2270</v>
      </c>
      <c r="F443" s="140" t="s">
        <v>2271</v>
      </c>
      <c r="G443" s="140"/>
    </row>
    <row r="444" spans="2:7" hidden="1">
      <c r="B444" s="141" t="s">
        <v>2272</v>
      </c>
      <c r="C444" s="140" t="s">
        <v>2273</v>
      </c>
      <c r="D444" s="141" t="s">
        <v>2274</v>
      </c>
      <c r="E444" s="140" t="s">
        <v>2275</v>
      </c>
      <c r="F444" s="140"/>
      <c r="G444" s="140"/>
    </row>
    <row r="445" spans="2:7" hidden="1">
      <c r="B445" s="141" t="s">
        <v>2276</v>
      </c>
      <c r="C445" s="141" t="s">
        <v>2277</v>
      </c>
      <c r="D445" s="141" t="s">
        <v>2278</v>
      </c>
      <c r="E445" s="141" t="s">
        <v>2279</v>
      </c>
      <c r="F445" s="141" t="s">
        <v>2280</v>
      </c>
      <c r="G445" s="140"/>
    </row>
    <row r="446" spans="2:7" hidden="1">
      <c r="B446" s="140" t="s">
        <v>2281</v>
      </c>
      <c r="C446" s="140" t="s">
        <v>21451</v>
      </c>
      <c r="D446" s="140" t="s">
        <v>2168</v>
      </c>
      <c r="E446" s="142" t="s">
        <v>2282</v>
      </c>
      <c r="F446" s="142" t="s">
        <v>2283</v>
      </c>
      <c r="G446" s="140"/>
    </row>
    <row r="447" spans="2:7" hidden="1">
      <c r="B447" s="140" t="s">
        <v>21223</v>
      </c>
      <c r="C447" s="140" t="s">
        <v>21221</v>
      </c>
      <c r="D447" s="140" t="s">
        <v>21222</v>
      </c>
      <c r="E447" s="142" t="s">
        <v>21224</v>
      </c>
      <c r="F447" s="142"/>
      <c r="G447" s="140"/>
    </row>
    <row r="448" spans="2:7" hidden="1">
      <c r="B448" s="141" t="s">
        <v>2284</v>
      </c>
      <c r="C448" s="141"/>
      <c r="D448" s="141" t="s">
        <v>2285</v>
      </c>
      <c r="E448" s="140"/>
      <c r="F448" s="140"/>
      <c r="G448" s="140"/>
    </row>
    <row r="449" spans="2:7" hidden="1">
      <c r="B449" s="141" t="s">
        <v>2286</v>
      </c>
      <c r="C449" s="140"/>
      <c r="D449" s="141" t="s">
        <v>2287</v>
      </c>
      <c r="E449" s="140"/>
      <c r="F449" s="140"/>
      <c r="G449" s="140"/>
    </row>
    <row r="450" spans="2:7" hidden="1">
      <c r="B450" s="141" t="s">
        <v>2288</v>
      </c>
      <c r="C450" s="140"/>
      <c r="D450" s="141" t="s">
        <v>2289</v>
      </c>
      <c r="E450" s="140"/>
      <c r="F450" s="140"/>
      <c r="G450" s="140"/>
    </row>
    <row r="451" spans="2:7" hidden="1">
      <c r="B451" s="141" t="s">
        <v>2290</v>
      </c>
      <c r="C451" s="140"/>
      <c r="D451" s="141" t="s">
        <v>2291</v>
      </c>
      <c r="E451" s="140"/>
      <c r="F451" s="140"/>
      <c r="G451" s="140"/>
    </row>
    <row r="452" spans="2:7" hidden="1">
      <c r="B452" s="141" t="s">
        <v>2292</v>
      </c>
      <c r="C452" s="140"/>
      <c r="D452" s="141" t="s">
        <v>2293</v>
      </c>
      <c r="E452" s="140"/>
      <c r="F452" s="140"/>
      <c r="G452" s="140"/>
    </row>
    <row r="453" spans="2:7" hidden="1">
      <c r="B453" s="141" t="s">
        <v>2294</v>
      </c>
      <c r="C453" s="141"/>
      <c r="D453" s="141" t="s">
        <v>2295</v>
      </c>
      <c r="E453" s="141"/>
      <c r="F453" s="140"/>
      <c r="G453" s="140"/>
    </row>
    <row r="454" spans="2:7" hidden="1">
      <c r="B454" s="141" t="s">
        <v>2296</v>
      </c>
      <c r="C454" s="140" t="s">
        <v>2297</v>
      </c>
      <c r="D454" s="141" t="s">
        <v>2298</v>
      </c>
      <c r="E454" s="140" t="s">
        <v>2299</v>
      </c>
      <c r="F454" s="140" t="s">
        <v>2300</v>
      </c>
      <c r="G454" s="140"/>
    </row>
    <row r="455" spans="2:7" hidden="1">
      <c r="B455" s="140" t="s">
        <v>2301</v>
      </c>
      <c r="C455" s="140"/>
      <c r="D455" s="140" t="s">
        <v>2302</v>
      </c>
      <c r="E455" s="142"/>
      <c r="F455" s="142"/>
      <c r="G455" s="140"/>
    </row>
    <row r="456" spans="2:7" hidden="1">
      <c r="B456" s="141" t="s">
        <v>2303</v>
      </c>
      <c r="C456" s="140"/>
      <c r="D456" s="141" t="s">
        <v>2304</v>
      </c>
      <c r="E456" s="140"/>
      <c r="F456" s="140"/>
      <c r="G456" s="140"/>
    </row>
    <row r="457" spans="2:7" hidden="1">
      <c r="B457" s="141" t="s">
        <v>2305</v>
      </c>
      <c r="C457" s="140" t="s">
        <v>2306</v>
      </c>
      <c r="D457" s="141" t="s">
        <v>2307</v>
      </c>
      <c r="E457" s="140" t="s">
        <v>2308</v>
      </c>
      <c r="F457" s="140" t="s">
        <v>2309</v>
      </c>
      <c r="G457" s="140"/>
    </row>
    <row r="458" spans="2:7" hidden="1">
      <c r="B458" s="141" t="s">
        <v>2310</v>
      </c>
      <c r="C458" s="141"/>
      <c r="D458" s="141" t="s">
        <v>2311</v>
      </c>
      <c r="E458" s="141"/>
      <c r="F458" s="141"/>
      <c r="G458" s="140"/>
    </row>
    <row r="459" spans="2:7" hidden="1">
      <c r="B459" s="140" t="s">
        <v>2312</v>
      </c>
      <c r="C459" s="140"/>
      <c r="D459" s="140" t="s">
        <v>2313</v>
      </c>
      <c r="E459" s="140"/>
      <c r="F459" s="140" t="s">
        <v>2314</v>
      </c>
      <c r="G459" s="140"/>
    </row>
    <row r="460" spans="2:7" hidden="1">
      <c r="B460" s="140" t="s">
        <v>22044</v>
      </c>
      <c r="C460" s="140" t="s">
        <v>22045</v>
      </c>
      <c r="D460" s="140" t="s">
        <v>22046</v>
      </c>
      <c r="E460" s="142" t="s">
        <v>22047</v>
      </c>
      <c r="F460" s="142"/>
      <c r="G460" s="140"/>
    </row>
    <row r="461" spans="2:7" hidden="1">
      <c r="B461" s="140" t="s">
        <v>21267</v>
      </c>
      <c r="C461" s="140" t="s">
        <v>21268</v>
      </c>
      <c r="D461" s="140" t="s">
        <v>9138</v>
      </c>
      <c r="E461" s="142" t="s">
        <v>21269</v>
      </c>
      <c r="F461" s="142"/>
      <c r="G461" s="140"/>
    </row>
    <row r="462" spans="2:7" hidden="1">
      <c r="B462" s="141" t="s">
        <v>20423</v>
      </c>
      <c r="C462" s="140" t="s">
        <v>2319</v>
      </c>
      <c r="D462" s="141" t="s">
        <v>1108</v>
      </c>
      <c r="E462" s="140" t="s">
        <v>2320</v>
      </c>
      <c r="F462" s="140" t="s">
        <v>2321</v>
      </c>
      <c r="G462" s="140"/>
    </row>
    <row r="463" spans="2:7" hidden="1">
      <c r="B463" s="140" t="s">
        <v>20442</v>
      </c>
      <c r="C463" s="140" t="s">
        <v>20443</v>
      </c>
      <c r="D463" s="140" t="s">
        <v>20444</v>
      </c>
      <c r="E463" s="142" t="s">
        <v>20445</v>
      </c>
      <c r="F463" s="142"/>
      <c r="G463" s="140"/>
    </row>
    <row r="464" spans="2:7" hidden="1">
      <c r="B464" s="140" t="s">
        <v>22116</v>
      </c>
      <c r="C464" s="140" t="s">
        <v>22041</v>
      </c>
      <c r="D464" s="140" t="s">
        <v>22042</v>
      </c>
      <c r="E464" s="142" t="s">
        <v>22043</v>
      </c>
      <c r="F464" s="142"/>
      <c r="G464" s="140" t="s">
        <v>22102</v>
      </c>
    </row>
    <row r="465" spans="2:7" hidden="1">
      <c r="B465" s="140" t="s">
        <v>22221</v>
      </c>
      <c r="C465" s="140" t="s">
        <v>22222</v>
      </c>
      <c r="D465" s="140" t="s">
        <v>22223</v>
      </c>
      <c r="E465" s="142" t="s">
        <v>22224</v>
      </c>
      <c r="F465" s="142"/>
      <c r="G465" s="140"/>
    </row>
    <row r="466" spans="2:7" hidden="1">
      <c r="B466" s="140" t="s">
        <v>20460</v>
      </c>
      <c r="C466" s="140" t="s">
        <v>2322</v>
      </c>
      <c r="D466" s="140" t="s">
        <v>2323</v>
      </c>
      <c r="E466" s="142" t="s">
        <v>2324</v>
      </c>
      <c r="F466" s="142" t="s">
        <v>2325</v>
      </c>
      <c r="G466" s="140"/>
    </row>
    <row r="467" spans="2:7" hidden="1">
      <c r="B467" s="141" t="s">
        <v>20424</v>
      </c>
      <c r="C467" s="140" t="s">
        <v>20456</v>
      </c>
      <c r="D467" s="141" t="s">
        <v>20457</v>
      </c>
      <c r="E467" s="140" t="s">
        <v>20458</v>
      </c>
      <c r="F467" s="140" t="s">
        <v>2384</v>
      </c>
      <c r="G467" s="140"/>
    </row>
    <row r="468" spans="2:7" hidden="1">
      <c r="B468" s="141" t="s">
        <v>20425</v>
      </c>
      <c r="C468" s="141" t="s">
        <v>2326</v>
      </c>
      <c r="D468" s="141" t="s">
        <v>2327</v>
      </c>
      <c r="E468" s="141" t="s">
        <v>2328</v>
      </c>
      <c r="F468" s="141" t="s">
        <v>2329</v>
      </c>
      <c r="G468" s="140"/>
    </row>
    <row r="469" spans="2:7" hidden="1">
      <c r="B469" s="140" t="s">
        <v>2385</v>
      </c>
      <c r="C469" s="140" t="s">
        <v>2386</v>
      </c>
      <c r="D469" s="140" t="s">
        <v>2387</v>
      </c>
      <c r="E469" s="142" t="s">
        <v>2388</v>
      </c>
      <c r="F469" s="142" t="s">
        <v>2389</v>
      </c>
      <c r="G469" s="140" t="s">
        <v>20338</v>
      </c>
    </row>
    <row r="470" spans="2:7" hidden="1">
      <c r="B470" s="140" t="s">
        <v>21342</v>
      </c>
      <c r="C470" s="140" t="s">
        <v>21083</v>
      </c>
      <c r="D470" s="140" t="s">
        <v>21082</v>
      </c>
      <c r="E470" s="142" t="s">
        <v>21084</v>
      </c>
      <c r="F470" s="142"/>
      <c r="G470" s="140"/>
    </row>
    <row r="471" spans="2:7" hidden="1">
      <c r="B471" s="140" t="s">
        <v>22138</v>
      </c>
      <c r="C471" s="140" t="s">
        <v>22139</v>
      </c>
      <c r="D471" s="140" t="s">
        <v>5558</v>
      </c>
      <c r="E471" s="142"/>
      <c r="F471" s="142"/>
      <c r="G471" s="140"/>
    </row>
    <row r="472" spans="2:7" hidden="1">
      <c r="B472" s="140" t="s">
        <v>20360</v>
      </c>
      <c r="C472" s="140" t="s">
        <v>2390</v>
      </c>
      <c r="D472" s="140" t="s">
        <v>2391</v>
      </c>
      <c r="E472" s="140" t="s">
        <v>2392</v>
      </c>
      <c r="F472" s="140" t="s">
        <v>2393</v>
      </c>
      <c r="G472" s="140"/>
    </row>
    <row r="473" spans="2:7" hidden="1">
      <c r="B473" s="140" t="s">
        <v>2394</v>
      </c>
      <c r="C473" s="140" t="s">
        <v>2395</v>
      </c>
      <c r="D473" s="140" t="s">
        <v>2396</v>
      </c>
      <c r="E473" s="142"/>
      <c r="F473" s="142" t="s">
        <v>2397</v>
      </c>
      <c r="G473" s="140"/>
    </row>
    <row r="474" spans="2:7" hidden="1">
      <c r="B474" s="140" t="s">
        <v>21085</v>
      </c>
      <c r="C474" s="140" t="s">
        <v>21086</v>
      </c>
      <c r="D474" s="140" t="s">
        <v>12513</v>
      </c>
      <c r="E474" s="142" t="s">
        <v>21087</v>
      </c>
      <c r="F474" s="142"/>
      <c r="G474" s="140" t="s">
        <v>21088</v>
      </c>
    </row>
    <row r="475" spans="2:7" hidden="1">
      <c r="B475" s="141" t="s">
        <v>20446</v>
      </c>
      <c r="C475" s="140" t="s">
        <v>2420</v>
      </c>
      <c r="D475" s="141" t="s">
        <v>2421</v>
      </c>
      <c r="E475" s="140" t="s">
        <v>2422</v>
      </c>
      <c r="F475" s="140" t="s">
        <v>2423</v>
      </c>
      <c r="G475" s="140"/>
    </row>
    <row r="476" spans="2:7" hidden="1">
      <c r="B476" s="140" t="s">
        <v>22217</v>
      </c>
      <c r="C476" s="140" t="s">
        <v>22218</v>
      </c>
      <c r="D476" s="140" t="s">
        <v>22219</v>
      </c>
      <c r="E476" s="142" t="s">
        <v>22220</v>
      </c>
      <c r="F476" s="142"/>
      <c r="G476" s="140"/>
    </row>
    <row r="477" spans="2:7" hidden="1">
      <c r="B477" s="140" t="s">
        <v>20426</v>
      </c>
      <c r="C477" s="140" t="s">
        <v>2330</v>
      </c>
      <c r="D477" s="140" t="s">
        <v>2331</v>
      </c>
      <c r="E477" s="142" t="s">
        <v>2332</v>
      </c>
      <c r="F477" s="142"/>
      <c r="G477" s="140"/>
    </row>
    <row r="478" spans="2:7" hidden="1">
      <c r="B478" s="141" t="s">
        <v>21338</v>
      </c>
      <c r="C478" s="140" t="s">
        <v>21339</v>
      </c>
      <c r="D478" s="141" t="s">
        <v>21340</v>
      </c>
      <c r="E478" s="140" t="s">
        <v>21341</v>
      </c>
      <c r="F478" s="140"/>
      <c r="G478" s="140"/>
    </row>
    <row r="479" spans="2:7" hidden="1">
      <c r="B479" s="140" t="s">
        <v>20999</v>
      </c>
      <c r="C479" s="140" t="s">
        <v>21000</v>
      </c>
      <c r="D479" s="140" t="s">
        <v>21001</v>
      </c>
      <c r="E479" s="142"/>
      <c r="F479" s="142"/>
      <c r="G479" s="140"/>
    </row>
    <row r="480" spans="2:7" hidden="1">
      <c r="B480" s="140" t="s">
        <v>22072</v>
      </c>
      <c r="C480" s="140" t="s">
        <v>22073</v>
      </c>
      <c r="D480" s="140" t="s">
        <v>22074</v>
      </c>
      <c r="E480" s="142" t="s">
        <v>22075</v>
      </c>
      <c r="F480" s="142"/>
      <c r="G480" s="140"/>
    </row>
    <row r="481" spans="2:7" hidden="1">
      <c r="B481" s="141" t="s">
        <v>20427</v>
      </c>
      <c r="C481" s="140" t="s">
        <v>2333</v>
      </c>
      <c r="D481" s="141" t="s">
        <v>2334</v>
      </c>
      <c r="E481" s="140" t="s">
        <v>2335</v>
      </c>
      <c r="F481" s="140" t="s">
        <v>2336</v>
      </c>
      <c r="G481" s="140"/>
    </row>
    <row r="482" spans="2:7" hidden="1">
      <c r="B482" s="140" t="s">
        <v>2398</v>
      </c>
      <c r="C482" s="140" t="s">
        <v>2399</v>
      </c>
      <c r="D482" s="141" t="s">
        <v>2400</v>
      </c>
      <c r="E482" s="140" t="s">
        <v>2401</v>
      </c>
      <c r="F482" s="140" t="s">
        <v>2402</v>
      </c>
      <c r="G482" s="140"/>
    </row>
    <row r="483" spans="2:7" hidden="1">
      <c r="B483" s="140" t="s">
        <v>21146</v>
      </c>
      <c r="C483" s="140" t="s">
        <v>21147</v>
      </c>
      <c r="D483" s="140" t="s">
        <v>21148</v>
      </c>
      <c r="E483" s="142" t="s">
        <v>21149</v>
      </c>
      <c r="F483" s="142"/>
      <c r="G483" s="140"/>
    </row>
    <row r="484" spans="2:7" hidden="1">
      <c r="B484" s="140" t="s">
        <v>20428</v>
      </c>
      <c r="C484" s="140" t="s">
        <v>2380</v>
      </c>
      <c r="D484" s="140" t="s">
        <v>2381</v>
      </c>
      <c r="E484" s="140" t="s">
        <v>2382</v>
      </c>
      <c r="F484" s="140" t="s">
        <v>2383</v>
      </c>
      <c r="G484" s="140"/>
    </row>
    <row r="485" spans="2:7" hidden="1">
      <c r="B485" s="141" t="s">
        <v>20429</v>
      </c>
      <c r="C485" s="140" t="s">
        <v>2337</v>
      </c>
      <c r="D485" s="141" t="s">
        <v>2338</v>
      </c>
      <c r="E485" s="140" t="s">
        <v>2339</v>
      </c>
      <c r="F485" s="140" t="s">
        <v>2339</v>
      </c>
      <c r="G485" s="140"/>
    </row>
    <row r="486" spans="2:7" hidden="1">
      <c r="B486" s="140" t="s">
        <v>20430</v>
      </c>
      <c r="C486" s="140" t="s">
        <v>2340</v>
      </c>
      <c r="D486" s="140" t="s">
        <v>2341</v>
      </c>
      <c r="E486" s="142" t="s">
        <v>2342</v>
      </c>
      <c r="F486" s="142" t="s">
        <v>2343</v>
      </c>
      <c r="G486" s="140"/>
    </row>
    <row r="487" spans="2:7" hidden="1">
      <c r="B487" s="140" t="s">
        <v>21089</v>
      </c>
      <c r="C487" s="140" t="s">
        <v>21091</v>
      </c>
      <c r="D487" s="140" t="s">
        <v>21090</v>
      </c>
      <c r="E487" s="142" t="s">
        <v>21092</v>
      </c>
      <c r="F487" s="142"/>
      <c r="G487" s="140" t="s">
        <v>21093</v>
      </c>
    </row>
    <row r="488" spans="2:7" hidden="1">
      <c r="B488" s="140" t="s">
        <v>22108</v>
      </c>
      <c r="C488" s="140" t="s">
        <v>22107</v>
      </c>
      <c r="D488" s="140" t="s">
        <v>9098</v>
      </c>
      <c r="E488" s="142" t="s">
        <v>22109</v>
      </c>
      <c r="F488" s="142"/>
      <c r="G488" s="140"/>
    </row>
    <row r="489" spans="2:7" hidden="1">
      <c r="B489" s="140" t="s">
        <v>22194</v>
      </c>
      <c r="C489" s="140" t="s">
        <v>22195</v>
      </c>
      <c r="D489" s="140" t="s">
        <v>22196</v>
      </c>
      <c r="E489" s="142"/>
      <c r="F489" s="142"/>
      <c r="G489" s="140"/>
    </row>
    <row r="490" spans="2:7" hidden="1">
      <c r="B490" s="140" t="s">
        <v>21025</v>
      </c>
      <c r="C490" s="140" t="s">
        <v>21026</v>
      </c>
      <c r="D490" s="140" t="s">
        <v>21027</v>
      </c>
      <c r="E490" s="142" t="s">
        <v>21028</v>
      </c>
      <c r="F490" s="142"/>
      <c r="G490" s="140"/>
    </row>
    <row r="491" spans="2:7" hidden="1">
      <c r="B491" s="140" t="s">
        <v>22080</v>
      </c>
      <c r="C491" s="140" t="s">
        <v>22081</v>
      </c>
      <c r="D491" s="140" t="s">
        <v>22082</v>
      </c>
      <c r="E491" s="142" t="s">
        <v>22083</v>
      </c>
      <c r="F491" s="142"/>
      <c r="G491" s="140"/>
    </row>
    <row r="492" spans="2:7" hidden="1">
      <c r="B492" s="140" t="s">
        <v>22088</v>
      </c>
      <c r="C492" s="140" t="s">
        <v>22090</v>
      </c>
      <c r="D492" s="140" t="s">
        <v>22089</v>
      </c>
      <c r="E492" s="142" t="s">
        <v>22091</v>
      </c>
      <c r="F492" s="142"/>
      <c r="G492" s="140"/>
    </row>
    <row r="493" spans="2:7" hidden="1">
      <c r="B493" s="140" t="s">
        <v>21105</v>
      </c>
      <c r="C493" s="140" t="s">
        <v>21106</v>
      </c>
      <c r="D493" s="140" t="s">
        <v>21107</v>
      </c>
      <c r="E493" s="142" t="s">
        <v>21108</v>
      </c>
      <c r="F493" s="142"/>
      <c r="G493" s="140" t="s">
        <v>21109</v>
      </c>
    </row>
    <row r="494" spans="2:7" hidden="1">
      <c r="B494" s="141" t="s">
        <v>20431</v>
      </c>
      <c r="C494" s="140" t="s">
        <v>2344</v>
      </c>
      <c r="D494" s="141" t="s">
        <v>2345</v>
      </c>
      <c r="E494" s="140" t="s">
        <v>2346</v>
      </c>
      <c r="F494" s="140" t="s">
        <v>2347</v>
      </c>
      <c r="G494" s="140"/>
    </row>
    <row r="495" spans="2:7" hidden="1">
      <c r="B495" s="140" t="s">
        <v>21066</v>
      </c>
      <c r="C495" s="140" t="s">
        <v>21067</v>
      </c>
      <c r="D495" s="140" t="s">
        <v>13726</v>
      </c>
      <c r="E495" s="142" t="s">
        <v>21068</v>
      </c>
      <c r="F495" s="142" t="s">
        <v>21069</v>
      </c>
      <c r="G495" s="140" t="s">
        <v>21070</v>
      </c>
    </row>
    <row r="496" spans="2:7" hidden="1">
      <c r="B496" s="140" t="s">
        <v>21250</v>
      </c>
      <c r="C496" s="140" t="s">
        <v>21247</v>
      </c>
      <c r="D496" s="140" t="s">
        <v>21248</v>
      </c>
      <c r="E496" s="142" t="s">
        <v>21249</v>
      </c>
      <c r="F496" s="142"/>
      <c r="G496" s="140"/>
    </row>
    <row r="497" spans="2:7" hidden="1">
      <c r="B497" s="141" t="s">
        <v>20432</v>
      </c>
      <c r="C497" s="140" t="s">
        <v>2348</v>
      </c>
      <c r="D497" s="141" t="s">
        <v>2349</v>
      </c>
      <c r="E497" s="140" t="s">
        <v>2350</v>
      </c>
      <c r="F497" s="140" t="s">
        <v>2351</v>
      </c>
      <c r="G497" s="140"/>
    </row>
    <row r="498" spans="2:7" hidden="1">
      <c r="B498" s="141" t="s">
        <v>2403</v>
      </c>
      <c r="C498" s="140" t="s">
        <v>2404</v>
      </c>
      <c r="D498" s="141" t="s">
        <v>2405</v>
      </c>
      <c r="E498" s="140" t="s">
        <v>2406</v>
      </c>
      <c r="F498" s="140" t="s">
        <v>2407</v>
      </c>
      <c r="G498" s="140"/>
    </row>
    <row r="499" spans="2:7" hidden="1">
      <c r="B499" s="140" t="s">
        <v>20359</v>
      </c>
      <c r="C499" s="140" t="s">
        <v>2408</v>
      </c>
      <c r="D499" s="140" t="s">
        <v>2409</v>
      </c>
      <c r="E499" s="140"/>
      <c r="F499" s="140"/>
      <c r="G499" s="140"/>
    </row>
    <row r="500" spans="2:7" hidden="1">
      <c r="B500" s="140" t="s">
        <v>22225</v>
      </c>
      <c r="C500" s="140" t="s">
        <v>22226</v>
      </c>
      <c r="D500" s="140" t="s">
        <v>12240</v>
      </c>
      <c r="E500" s="142"/>
      <c r="F500" s="142"/>
      <c r="G500" s="140"/>
    </row>
    <row r="501" spans="2:7" hidden="1">
      <c r="B501" s="140" t="s">
        <v>20433</v>
      </c>
      <c r="C501" s="140" t="s">
        <v>2352</v>
      </c>
      <c r="D501" s="140" t="s">
        <v>2353</v>
      </c>
      <c r="E501" s="142" t="s">
        <v>2354</v>
      </c>
      <c r="F501" s="142" t="s">
        <v>2355</v>
      </c>
      <c r="G501" s="140"/>
    </row>
    <row r="502" spans="2:7" hidden="1">
      <c r="B502" s="141" t="s">
        <v>20357</v>
      </c>
      <c r="C502" s="140" t="s">
        <v>2430</v>
      </c>
      <c r="D502" s="141" t="s">
        <v>2431</v>
      </c>
      <c r="E502" s="140"/>
      <c r="F502" s="140"/>
      <c r="G502" s="140"/>
    </row>
    <row r="503" spans="2:7" hidden="1">
      <c r="B503" s="140" t="s">
        <v>21176</v>
      </c>
      <c r="C503" s="140" t="s">
        <v>21177</v>
      </c>
      <c r="D503" s="140" t="s">
        <v>1836</v>
      </c>
      <c r="E503" s="142" t="s">
        <v>21178</v>
      </c>
      <c r="F503" s="142"/>
      <c r="G503" s="140"/>
    </row>
    <row r="504" spans="2:7" hidden="1">
      <c r="B504" s="140" t="s">
        <v>21121</v>
      </c>
      <c r="C504" s="140" t="s">
        <v>21118</v>
      </c>
      <c r="D504" s="140" t="s">
        <v>21120</v>
      </c>
      <c r="E504" s="142" t="s">
        <v>21119</v>
      </c>
      <c r="F504" s="142"/>
      <c r="G504" s="140"/>
    </row>
    <row r="505" spans="2:7" hidden="1">
      <c r="B505" s="140" t="s">
        <v>22079</v>
      </c>
      <c r="C505" s="140" t="s">
        <v>22076</v>
      </c>
      <c r="D505" s="140" t="s">
        <v>22077</v>
      </c>
      <c r="E505" s="142" t="s">
        <v>22078</v>
      </c>
      <c r="F505" s="142"/>
      <c r="G505" s="140"/>
    </row>
    <row r="506" spans="2:7" hidden="1">
      <c r="B506" s="140" t="s">
        <v>21251</v>
      </c>
      <c r="C506" s="140" t="s">
        <v>21252</v>
      </c>
      <c r="D506" s="140" t="s">
        <v>1444</v>
      </c>
      <c r="E506" s="142" t="s">
        <v>21253</v>
      </c>
      <c r="F506" s="142" t="s">
        <v>21254</v>
      </c>
      <c r="G506" s="140"/>
    </row>
    <row r="507" spans="2:7" hidden="1">
      <c r="B507" s="140" t="s">
        <v>21213</v>
      </c>
      <c r="C507" s="140" t="s">
        <v>21215</v>
      </c>
      <c r="D507" s="140" t="s">
        <v>21214</v>
      </c>
      <c r="E507" s="142" t="s">
        <v>21216</v>
      </c>
      <c r="F507" s="142"/>
      <c r="G507" s="140"/>
    </row>
    <row r="508" spans="2:7" hidden="1">
      <c r="B508" s="140" t="s">
        <v>22084</v>
      </c>
      <c r="C508" s="140" t="s">
        <v>22085</v>
      </c>
      <c r="D508" s="140" t="s">
        <v>22086</v>
      </c>
      <c r="E508" s="142" t="s">
        <v>22087</v>
      </c>
      <c r="F508" s="142"/>
      <c r="G508" s="140"/>
    </row>
    <row r="509" spans="2:7" hidden="1">
      <c r="B509" s="140" t="s">
        <v>22092</v>
      </c>
      <c r="C509" s="140" t="s">
        <v>22093</v>
      </c>
      <c r="D509" s="140" t="s">
        <v>22094</v>
      </c>
      <c r="E509" s="142" t="s">
        <v>22095</v>
      </c>
      <c r="F509" s="142"/>
      <c r="G509" s="140"/>
    </row>
    <row r="510" spans="2:7" hidden="1">
      <c r="B510" s="140" t="s">
        <v>21277</v>
      </c>
      <c r="C510" s="140" t="s">
        <v>21278</v>
      </c>
      <c r="D510" s="140" t="s">
        <v>21279</v>
      </c>
      <c r="E510" s="142" t="s">
        <v>21280</v>
      </c>
      <c r="F510" s="142"/>
      <c r="G510" s="140"/>
    </row>
    <row r="511" spans="2:7" hidden="1">
      <c r="B511" s="141" t="s">
        <v>20461</v>
      </c>
      <c r="C511" s="140" t="s">
        <v>20451</v>
      </c>
      <c r="D511" s="141" t="s">
        <v>1544</v>
      </c>
      <c r="E511" s="140" t="s">
        <v>2370</v>
      </c>
      <c r="F511" s="140" t="s">
        <v>2371</v>
      </c>
      <c r="G511" s="140"/>
    </row>
    <row r="512" spans="2:7" hidden="1">
      <c r="B512" s="140" t="s">
        <v>21141</v>
      </c>
      <c r="C512" s="140" t="s">
        <v>21142</v>
      </c>
      <c r="D512" s="140" t="s">
        <v>21144</v>
      </c>
      <c r="E512" s="142" t="s">
        <v>21143</v>
      </c>
      <c r="F512" s="142"/>
      <c r="G512" s="140" t="s">
        <v>21145</v>
      </c>
    </row>
    <row r="513" spans="2:7" hidden="1">
      <c r="B513" s="140" t="s">
        <v>2410</v>
      </c>
      <c r="C513" s="140" t="s">
        <v>2411</v>
      </c>
      <c r="D513" s="140" t="s">
        <v>2412</v>
      </c>
      <c r="E513" s="142" t="s">
        <v>2413</v>
      </c>
      <c r="F513" s="142" t="s">
        <v>2414</v>
      </c>
      <c r="G513" s="140"/>
    </row>
    <row r="514" spans="2:7" hidden="1">
      <c r="B514" s="140" t="s">
        <v>20434</v>
      </c>
      <c r="C514" s="140" t="s">
        <v>2372</v>
      </c>
      <c r="D514" s="140" t="s">
        <v>2373</v>
      </c>
      <c r="E514" s="142" t="s">
        <v>2374</v>
      </c>
      <c r="F514" s="142" t="s">
        <v>2375</v>
      </c>
      <c r="G514" s="140"/>
    </row>
    <row r="515" spans="2:7" hidden="1">
      <c r="B515" s="140" t="s">
        <v>21305</v>
      </c>
      <c r="C515" s="140" t="s">
        <v>21306</v>
      </c>
      <c r="D515" s="140" t="s">
        <v>21308</v>
      </c>
      <c r="E515" s="142" t="s">
        <v>21307</v>
      </c>
      <c r="F515" s="142"/>
      <c r="G515" s="140"/>
    </row>
    <row r="516" spans="2:7" hidden="1">
      <c r="B516" s="140" t="s">
        <v>22117</v>
      </c>
      <c r="C516" s="140"/>
      <c r="D516" s="140" t="s">
        <v>13779</v>
      </c>
      <c r="E516" s="140" t="s">
        <v>22118</v>
      </c>
      <c r="F516" s="140"/>
      <c r="G516" s="140" t="s">
        <v>22119</v>
      </c>
    </row>
    <row r="517" spans="2:7" hidden="1">
      <c r="B517" s="140" t="s">
        <v>20435</v>
      </c>
      <c r="C517" s="140" t="s">
        <v>20448</v>
      </c>
      <c r="D517" s="140" t="s">
        <v>8896</v>
      </c>
      <c r="E517" s="140" t="s">
        <v>20449</v>
      </c>
      <c r="F517" s="140"/>
      <c r="G517" s="140"/>
    </row>
    <row r="518" spans="2:7" hidden="1">
      <c r="B518" s="140" t="s">
        <v>21351</v>
      </c>
      <c r="C518" s="140" t="s">
        <v>21353</v>
      </c>
      <c r="D518" s="140" t="s">
        <v>21352</v>
      </c>
      <c r="E518" s="142" t="s">
        <v>21354</v>
      </c>
      <c r="F518" s="142"/>
      <c r="G518" s="140"/>
    </row>
    <row r="519" spans="2:7" hidden="1">
      <c r="B519" s="140" t="s">
        <v>21173</v>
      </c>
      <c r="C519" s="140" t="s">
        <v>21172</v>
      </c>
      <c r="D519" s="140" t="s">
        <v>21174</v>
      </c>
      <c r="E519" s="142" t="s">
        <v>21175</v>
      </c>
      <c r="F519" s="142"/>
      <c r="G519" s="140"/>
    </row>
    <row r="520" spans="2:7" hidden="1">
      <c r="B520" s="141" t="s">
        <v>20358</v>
      </c>
      <c r="C520" s="140" t="s">
        <v>2426</v>
      </c>
      <c r="D520" s="141" t="s">
        <v>2427</v>
      </c>
      <c r="E520" s="140" t="s">
        <v>2428</v>
      </c>
      <c r="F520" s="140" t="s">
        <v>2429</v>
      </c>
      <c r="G520" s="140"/>
    </row>
    <row r="521" spans="2:7" hidden="1">
      <c r="B521" s="140" t="s">
        <v>22182</v>
      </c>
      <c r="C521" s="140" t="s">
        <v>22183</v>
      </c>
      <c r="D521" s="140" t="s">
        <v>22184</v>
      </c>
      <c r="E521" s="142"/>
      <c r="F521" s="142"/>
      <c r="G521" s="140"/>
    </row>
    <row r="522" spans="2:7" hidden="1">
      <c r="B522" s="141" t="s">
        <v>20454</v>
      </c>
      <c r="C522" s="140" t="s">
        <v>20452</v>
      </c>
      <c r="D522" s="141" t="s">
        <v>20453</v>
      </c>
      <c r="E522" s="140" t="s">
        <v>20455</v>
      </c>
      <c r="F522" s="140"/>
      <c r="G522" s="140"/>
    </row>
    <row r="523" spans="2:7" hidden="1">
      <c r="B523" s="140" t="s">
        <v>22143</v>
      </c>
      <c r="C523" s="140" t="s">
        <v>22144</v>
      </c>
      <c r="D523" s="140" t="s">
        <v>22145</v>
      </c>
      <c r="E523" s="142"/>
      <c r="F523" s="142"/>
      <c r="G523" s="140"/>
    </row>
    <row r="524" spans="2:7" hidden="1">
      <c r="B524" s="140" t="s">
        <v>21041</v>
      </c>
      <c r="C524" s="140" t="s">
        <v>21042</v>
      </c>
      <c r="D524" s="140" t="s">
        <v>21043</v>
      </c>
      <c r="E524" s="142" t="s">
        <v>21044</v>
      </c>
      <c r="F524" s="142"/>
      <c r="G524" s="140"/>
    </row>
    <row r="525" spans="2:7" hidden="1">
      <c r="B525" s="140" t="s">
        <v>21050</v>
      </c>
      <c r="C525" s="140" t="s">
        <v>21051</v>
      </c>
      <c r="D525" s="140" t="s">
        <v>21052</v>
      </c>
      <c r="E525" s="142"/>
      <c r="F525" s="142"/>
      <c r="G525" s="140"/>
    </row>
    <row r="526" spans="2:7" hidden="1">
      <c r="B526" s="140" t="s">
        <v>21270</v>
      </c>
      <c r="C526" s="140"/>
      <c r="D526" s="140" t="s">
        <v>21271</v>
      </c>
      <c r="E526" s="142" t="s">
        <v>21272</v>
      </c>
      <c r="F526" s="142"/>
      <c r="G526" s="140"/>
    </row>
    <row r="527" spans="2:7" hidden="1">
      <c r="B527" s="140" t="s">
        <v>20436</v>
      </c>
      <c r="C527" s="140" t="s">
        <v>2356</v>
      </c>
      <c r="D527" s="140" t="s">
        <v>2357</v>
      </c>
      <c r="E527" s="142" t="s">
        <v>2358</v>
      </c>
      <c r="F527" s="142" t="s">
        <v>2359</v>
      </c>
      <c r="G527" s="140"/>
    </row>
    <row r="528" spans="2:7" hidden="1">
      <c r="B528" s="141" t="s">
        <v>20437</v>
      </c>
      <c r="C528" s="140" t="s">
        <v>2360</v>
      </c>
      <c r="D528" s="141" t="s">
        <v>2361</v>
      </c>
      <c r="E528" s="140" t="s">
        <v>2362</v>
      </c>
      <c r="F528" s="140" t="s">
        <v>2363</v>
      </c>
      <c r="G528" s="140"/>
    </row>
    <row r="529" spans="2:7" hidden="1">
      <c r="B529" s="140" t="s">
        <v>21133</v>
      </c>
      <c r="C529" s="140" t="s">
        <v>21134</v>
      </c>
      <c r="D529" s="140" t="s">
        <v>14988</v>
      </c>
      <c r="E529" s="142" t="s">
        <v>21135</v>
      </c>
      <c r="F529" s="142"/>
      <c r="G529" s="140"/>
    </row>
    <row r="530" spans="2:7" hidden="1">
      <c r="B530" s="140" t="s">
        <v>21297</v>
      </c>
      <c r="C530" s="140" t="s">
        <v>21298</v>
      </c>
      <c r="D530" s="140" t="s">
        <v>21299</v>
      </c>
      <c r="E530" s="142" t="s">
        <v>21300</v>
      </c>
      <c r="F530" s="142"/>
      <c r="G530" s="140"/>
    </row>
    <row r="531" spans="2:7" hidden="1">
      <c r="B531" s="140" t="s">
        <v>22097</v>
      </c>
      <c r="C531" s="140" t="s">
        <v>22098</v>
      </c>
      <c r="D531" s="140" t="s">
        <v>22099</v>
      </c>
      <c r="E531" s="142" t="s">
        <v>22100</v>
      </c>
      <c r="F531" s="142"/>
      <c r="G531" s="140" t="s">
        <v>22101</v>
      </c>
    </row>
    <row r="532" spans="2:7" hidden="1">
      <c r="B532" s="140" t="s">
        <v>20447</v>
      </c>
      <c r="C532" s="140" t="s">
        <v>2424</v>
      </c>
      <c r="D532" s="140" t="s">
        <v>2425</v>
      </c>
      <c r="E532" s="142"/>
      <c r="F532" s="142"/>
      <c r="G532" s="140"/>
    </row>
    <row r="533" spans="2:7" hidden="1">
      <c r="B533" s="140" t="s">
        <v>22146</v>
      </c>
      <c r="C533" s="140" t="s">
        <v>22147</v>
      </c>
      <c r="D533" s="140" t="s">
        <v>22148</v>
      </c>
      <c r="E533" s="142"/>
      <c r="F533" s="142"/>
      <c r="G533" s="140"/>
    </row>
    <row r="534" spans="2:7" hidden="1">
      <c r="B534" s="140" t="s">
        <v>21217</v>
      </c>
      <c r="C534" s="140" t="s">
        <v>21218</v>
      </c>
      <c r="D534" s="140" t="s">
        <v>21220</v>
      </c>
      <c r="E534" s="142" t="s">
        <v>21219</v>
      </c>
      <c r="F534" s="142"/>
      <c r="G534" s="140"/>
    </row>
    <row r="535" spans="2:7" hidden="1">
      <c r="B535" s="140" t="s">
        <v>21114</v>
      </c>
      <c r="C535" s="140" t="s">
        <v>21116</v>
      </c>
      <c r="D535" s="140" t="s">
        <v>21115</v>
      </c>
      <c r="E535" s="142" t="s">
        <v>21117</v>
      </c>
      <c r="F535" s="142"/>
      <c r="G535" s="140"/>
    </row>
    <row r="536" spans="2:7" hidden="1">
      <c r="B536" s="141" t="s">
        <v>20438</v>
      </c>
      <c r="C536" s="141" t="s">
        <v>20450</v>
      </c>
      <c r="D536" s="141" t="s">
        <v>17947</v>
      </c>
      <c r="E536" s="141" t="s">
        <v>2364</v>
      </c>
      <c r="F536" s="140" t="s">
        <v>2365</v>
      </c>
      <c r="G536" s="140"/>
    </row>
    <row r="537" spans="2:7" hidden="1">
      <c r="B537" s="140" t="s">
        <v>21029</v>
      </c>
      <c r="C537" s="140" t="s">
        <v>21030</v>
      </c>
      <c r="D537" s="140" t="s">
        <v>21031</v>
      </c>
      <c r="E537" s="142" t="s">
        <v>21032</v>
      </c>
      <c r="F537" s="142"/>
      <c r="G537" s="140"/>
    </row>
    <row r="538" spans="2:7" hidden="1">
      <c r="B538" s="140" t="s">
        <v>21347</v>
      </c>
      <c r="C538" s="140" t="s">
        <v>21349</v>
      </c>
      <c r="D538" s="140" t="s">
        <v>21348</v>
      </c>
      <c r="E538" s="142" t="s">
        <v>21350</v>
      </c>
      <c r="F538" s="142"/>
      <c r="G538" s="140"/>
    </row>
    <row r="539" spans="2:7" hidden="1">
      <c r="B539" s="140" t="s">
        <v>21366</v>
      </c>
      <c r="C539" s="140" t="s">
        <v>21367</v>
      </c>
      <c r="D539" s="140" t="s">
        <v>21368</v>
      </c>
      <c r="E539" s="142"/>
      <c r="F539" s="142"/>
      <c r="G539" s="140"/>
    </row>
    <row r="540" spans="2:7" hidden="1">
      <c r="B540" s="140" t="s">
        <v>21273</v>
      </c>
      <c r="C540" s="140" t="s">
        <v>21274</v>
      </c>
      <c r="D540" s="140" t="s">
        <v>21275</v>
      </c>
      <c r="E540" s="142" t="s">
        <v>21276</v>
      </c>
      <c r="F540" s="142"/>
      <c r="G540" s="140"/>
    </row>
    <row r="541" spans="2:7" hidden="1">
      <c r="B541" s="140" t="s">
        <v>20439</v>
      </c>
      <c r="C541" s="140" t="s">
        <v>2376</v>
      </c>
      <c r="D541" s="140" t="s">
        <v>2377</v>
      </c>
      <c r="E541" s="140" t="s">
        <v>2378</v>
      </c>
      <c r="F541" s="140" t="s">
        <v>2379</v>
      </c>
      <c r="G541" s="140"/>
    </row>
    <row r="542" spans="2:7" hidden="1">
      <c r="B542" s="140" t="s">
        <v>21110</v>
      </c>
      <c r="C542" s="140" t="s">
        <v>21111</v>
      </c>
      <c r="D542" s="140" t="s">
        <v>21113</v>
      </c>
      <c r="E542" s="142" t="s">
        <v>21112</v>
      </c>
      <c r="F542" s="142"/>
      <c r="G542" s="140"/>
    </row>
    <row r="543" spans="2:7" hidden="1">
      <c r="B543" s="140" t="s">
        <v>21189</v>
      </c>
      <c r="C543" s="140" t="s">
        <v>21191</v>
      </c>
      <c r="D543" s="140" t="s">
        <v>21190</v>
      </c>
      <c r="E543" s="142" t="s">
        <v>21192</v>
      </c>
      <c r="F543" s="142"/>
      <c r="G543" s="140"/>
    </row>
    <row r="544" spans="2:7" hidden="1">
      <c r="B544" s="141" t="s">
        <v>20459</v>
      </c>
      <c r="C544" s="140" t="s">
        <v>2315</v>
      </c>
      <c r="D544" s="141" t="s">
        <v>2316</v>
      </c>
      <c r="E544" s="140" t="s">
        <v>2317</v>
      </c>
      <c r="F544" s="140" t="s">
        <v>2318</v>
      </c>
      <c r="G544" s="140"/>
    </row>
    <row r="545" spans="2:7" hidden="1">
      <c r="B545" s="140" t="s">
        <v>20440</v>
      </c>
      <c r="C545" s="140" t="s">
        <v>20361</v>
      </c>
      <c r="D545" s="140" t="s">
        <v>12255</v>
      </c>
      <c r="E545" s="142" t="s">
        <v>20362</v>
      </c>
      <c r="F545" s="142"/>
      <c r="G545" s="140" t="s">
        <v>20363</v>
      </c>
    </row>
    <row r="546" spans="2:7" hidden="1">
      <c r="B546" s="140" t="s">
        <v>21156</v>
      </c>
      <c r="C546" s="140" t="s">
        <v>21157</v>
      </c>
      <c r="D546" s="140" t="s">
        <v>21158</v>
      </c>
      <c r="E546" s="142" t="s">
        <v>21159</v>
      </c>
      <c r="F546" s="142"/>
      <c r="G546" s="140"/>
    </row>
    <row r="547" spans="2:7" hidden="1">
      <c r="B547" s="140" t="s">
        <v>21150</v>
      </c>
      <c r="C547" s="140" t="s">
        <v>21151</v>
      </c>
      <c r="D547" s="140" t="s">
        <v>21152</v>
      </c>
      <c r="E547" s="142" t="s">
        <v>21153</v>
      </c>
      <c r="F547" s="142"/>
      <c r="G547" s="140"/>
    </row>
    <row r="548" spans="2:7" hidden="1">
      <c r="B548" s="140" t="s">
        <v>2415</v>
      </c>
      <c r="C548" s="140" t="s">
        <v>2416</v>
      </c>
      <c r="D548" s="140" t="s">
        <v>2417</v>
      </c>
      <c r="E548" s="140" t="s">
        <v>2418</v>
      </c>
      <c r="F548" s="140" t="s">
        <v>2419</v>
      </c>
      <c r="G548" s="140"/>
    </row>
    <row r="549" spans="2:7" hidden="1">
      <c r="B549" s="141" t="s">
        <v>20441</v>
      </c>
      <c r="C549" s="140" t="s">
        <v>2366</v>
      </c>
      <c r="D549" s="141" t="s">
        <v>2367</v>
      </c>
      <c r="E549" s="140" t="s">
        <v>2368</v>
      </c>
      <c r="F549" s="140" t="s">
        <v>2369</v>
      </c>
      <c r="G549" s="140"/>
    </row>
    <row r="550" spans="2:7" hidden="1">
      <c r="B550" s="141" t="s">
        <v>2432</v>
      </c>
      <c r="C550" s="140"/>
      <c r="D550" s="141" t="s">
        <v>2433</v>
      </c>
      <c r="E550" s="140"/>
      <c r="F550" s="140"/>
      <c r="G550" s="140"/>
    </row>
    <row r="551" spans="2:7" hidden="1">
      <c r="B551" s="141" t="s">
        <v>2434</v>
      </c>
      <c r="C551" s="140"/>
      <c r="D551" s="141" t="s">
        <v>2435</v>
      </c>
      <c r="E551" s="140"/>
      <c r="F551" s="140"/>
      <c r="G551" s="140"/>
    </row>
    <row r="552" spans="2:7" hidden="1">
      <c r="B552" s="141" t="s">
        <v>2436</v>
      </c>
      <c r="C552" s="140" t="s">
        <v>2437</v>
      </c>
      <c r="D552" s="141" t="s">
        <v>2438</v>
      </c>
      <c r="E552" s="140" t="s">
        <v>2439</v>
      </c>
      <c r="F552" s="140"/>
      <c r="G552" s="140"/>
    </row>
    <row r="553" spans="2:7" hidden="1">
      <c r="B553" s="141" t="s">
        <v>2440</v>
      </c>
      <c r="C553" s="140"/>
      <c r="D553" s="141" t="s">
        <v>2441</v>
      </c>
      <c r="E553" s="140"/>
      <c r="F553" s="140"/>
      <c r="G553" s="140"/>
    </row>
    <row r="554" spans="2:7" hidden="1">
      <c r="B554" s="140" t="s">
        <v>2442</v>
      </c>
      <c r="C554" s="140"/>
      <c r="D554" s="140" t="s">
        <v>2443</v>
      </c>
      <c r="E554" s="142"/>
      <c r="F554" s="142"/>
      <c r="G554" s="140"/>
    </row>
    <row r="555" spans="2:7" hidden="1">
      <c r="B555" s="140" t="s">
        <v>2444</v>
      </c>
      <c r="C555" s="140"/>
      <c r="D555" s="140" t="s">
        <v>2445</v>
      </c>
      <c r="E555" s="142"/>
      <c r="F555" s="142"/>
      <c r="G555" s="140"/>
    </row>
    <row r="556" spans="2:7" hidden="1">
      <c r="B556" s="140" t="s">
        <v>2446</v>
      </c>
      <c r="C556" s="140"/>
      <c r="D556" s="140" t="s">
        <v>1053</v>
      </c>
      <c r="E556" s="142"/>
      <c r="F556" s="142"/>
      <c r="G556" s="140"/>
    </row>
    <row r="557" spans="2:7" hidden="1">
      <c r="B557" s="141" t="s">
        <v>2447</v>
      </c>
      <c r="C557" s="141"/>
      <c r="D557" s="141" t="s">
        <v>2448</v>
      </c>
      <c r="E557" s="141"/>
      <c r="F557" s="140"/>
      <c r="G557" s="140"/>
    </row>
    <row r="558" spans="2:7" hidden="1">
      <c r="B558" s="141" t="s">
        <v>2449</v>
      </c>
      <c r="C558" s="140"/>
      <c r="D558" s="141" t="s">
        <v>2450</v>
      </c>
      <c r="E558" s="140"/>
      <c r="F558" s="140"/>
      <c r="G558" s="140"/>
    </row>
    <row r="559" spans="2:7" hidden="1">
      <c r="B559" s="141" t="s">
        <v>2451</v>
      </c>
      <c r="C559" s="140"/>
      <c r="D559" s="141" t="s">
        <v>2452</v>
      </c>
      <c r="E559" s="140"/>
      <c r="F559" s="140"/>
      <c r="G559" s="140"/>
    </row>
    <row r="560" spans="2:7" hidden="1">
      <c r="B560" s="140" t="s">
        <v>2453</v>
      </c>
      <c r="C560" s="140"/>
      <c r="D560" s="140" t="s">
        <v>2454</v>
      </c>
      <c r="E560" s="142"/>
      <c r="F560" s="142"/>
      <c r="G560" s="140"/>
    </row>
    <row r="561" spans="2:7" hidden="1">
      <c r="B561" s="141" t="s">
        <v>2455</v>
      </c>
      <c r="C561" s="140" t="s">
        <v>2456</v>
      </c>
      <c r="D561" s="141" t="s">
        <v>2457</v>
      </c>
      <c r="E561" s="140"/>
      <c r="F561" s="140"/>
      <c r="G561" s="140" t="s">
        <v>2458</v>
      </c>
    </row>
    <row r="562" spans="2:7" hidden="1">
      <c r="B562" s="141" t="s">
        <v>2459</v>
      </c>
      <c r="C562" s="140" t="s">
        <v>2460</v>
      </c>
      <c r="D562" s="141" t="s">
        <v>2461</v>
      </c>
      <c r="E562" s="140" t="s">
        <v>2462</v>
      </c>
      <c r="F562" s="140" t="s">
        <v>2463</v>
      </c>
      <c r="G562" s="140" t="s">
        <v>2464</v>
      </c>
    </row>
    <row r="563" spans="2:7" hidden="1">
      <c r="B563" s="140" t="s">
        <v>2465</v>
      </c>
      <c r="C563" s="140"/>
      <c r="D563" s="140" t="s">
        <v>2466</v>
      </c>
      <c r="E563" s="142"/>
      <c r="F563" s="142"/>
      <c r="G563" s="140"/>
    </row>
    <row r="564" spans="2:7" hidden="1">
      <c r="B564" s="141" t="s">
        <v>2467</v>
      </c>
      <c r="C564" s="140"/>
      <c r="D564" s="141" t="s">
        <v>2468</v>
      </c>
      <c r="E564" s="140"/>
      <c r="F564" s="140"/>
      <c r="G564" s="140"/>
    </row>
    <row r="565" spans="2:7" hidden="1">
      <c r="B565" s="141" t="s">
        <v>2469</v>
      </c>
      <c r="C565" s="140"/>
      <c r="D565" s="141" t="s">
        <v>2470</v>
      </c>
      <c r="E565" s="140"/>
      <c r="F565" s="140"/>
      <c r="G565" s="140"/>
    </row>
    <row r="566" spans="2:7" hidden="1">
      <c r="B566" s="141" t="s">
        <v>21452</v>
      </c>
      <c r="C566" s="140"/>
      <c r="D566" s="141" t="s">
        <v>1725</v>
      </c>
      <c r="E566" s="140"/>
      <c r="F566" s="140"/>
      <c r="G566" s="140"/>
    </row>
    <row r="567" spans="2:7" hidden="1">
      <c r="B567" s="141" t="s">
        <v>2471</v>
      </c>
      <c r="C567" s="140"/>
      <c r="D567" s="141" t="s">
        <v>2472</v>
      </c>
      <c r="E567" s="140"/>
      <c r="F567" s="140"/>
      <c r="G567" s="140"/>
    </row>
    <row r="568" spans="2:7" hidden="1">
      <c r="B568" s="141" t="s">
        <v>2473</v>
      </c>
      <c r="C568" s="140"/>
      <c r="D568" s="141" t="s">
        <v>2474</v>
      </c>
      <c r="E568" s="140"/>
      <c r="F568" s="140"/>
      <c r="G568" s="140"/>
    </row>
    <row r="569" spans="2:7" hidden="1">
      <c r="B569" s="141" t="s">
        <v>2475</v>
      </c>
      <c r="C569" s="140"/>
      <c r="D569" s="141" t="s">
        <v>1206</v>
      </c>
      <c r="E569" s="140"/>
      <c r="F569" s="140"/>
      <c r="G569" s="140"/>
    </row>
    <row r="570" spans="2:7" hidden="1">
      <c r="B570" s="140" t="s">
        <v>2476</v>
      </c>
      <c r="C570" s="140"/>
      <c r="D570" s="140" t="s">
        <v>2477</v>
      </c>
      <c r="E570" s="142"/>
      <c r="F570" s="142"/>
      <c r="G570" s="140"/>
    </row>
    <row r="571" spans="2:7" hidden="1">
      <c r="B571" s="140" t="s">
        <v>2478</v>
      </c>
      <c r="C571" s="140"/>
      <c r="D571" s="140" t="s">
        <v>2479</v>
      </c>
      <c r="E571" s="140"/>
      <c r="F571" s="140"/>
      <c r="G571" s="140"/>
    </row>
    <row r="572" spans="2:7" hidden="1">
      <c r="B572" s="141" t="s">
        <v>2480</v>
      </c>
      <c r="C572" s="140"/>
      <c r="D572" s="141" t="s">
        <v>2481</v>
      </c>
      <c r="E572" s="140"/>
      <c r="F572" s="140"/>
      <c r="G572" s="140"/>
    </row>
    <row r="573" spans="2:7" hidden="1">
      <c r="B573" s="141" t="s">
        <v>2482</v>
      </c>
      <c r="C573" s="140"/>
      <c r="D573" s="141" t="s">
        <v>2483</v>
      </c>
      <c r="E573" s="140"/>
      <c r="F573" s="140"/>
      <c r="G573" s="140"/>
    </row>
    <row r="574" spans="2:7" hidden="1">
      <c r="B574" s="140" t="s">
        <v>2484</v>
      </c>
      <c r="C574" s="140"/>
      <c r="D574" s="140" t="s">
        <v>2485</v>
      </c>
      <c r="E574" s="142"/>
      <c r="F574" s="142"/>
      <c r="G574" s="140"/>
    </row>
    <row r="575" spans="2:7" hidden="1">
      <c r="B575" s="140" t="s">
        <v>2486</v>
      </c>
      <c r="C575" s="140"/>
      <c r="D575" s="140" t="s">
        <v>2487</v>
      </c>
      <c r="E575" s="142"/>
      <c r="F575" s="142"/>
      <c r="G575" s="140"/>
    </row>
    <row r="576" spans="2:7" hidden="1">
      <c r="B576" s="140" t="s">
        <v>2488</v>
      </c>
      <c r="C576" s="140" t="s">
        <v>2489</v>
      </c>
      <c r="D576" s="140" t="s">
        <v>2490</v>
      </c>
      <c r="E576" s="142"/>
      <c r="F576" s="142"/>
      <c r="G576" s="140" t="s">
        <v>2491</v>
      </c>
    </row>
    <row r="577" spans="2:7" hidden="1">
      <c r="B577" s="141" t="s">
        <v>2492</v>
      </c>
      <c r="C577" s="140" t="s">
        <v>2493</v>
      </c>
      <c r="D577" s="141" t="s">
        <v>2494</v>
      </c>
      <c r="E577" s="140"/>
      <c r="F577" s="140"/>
      <c r="G577" s="140" t="s">
        <v>2495</v>
      </c>
    </row>
    <row r="578" spans="2:7" hidden="1">
      <c r="B578" s="141" t="s">
        <v>2496</v>
      </c>
      <c r="C578" s="140" t="s">
        <v>2497</v>
      </c>
      <c r="D578" s="141" t="s">
        <v>2498</v>
      </c>
      <c r="E578" s="140"/>
      <c r="F578" s="140"/>
      <c r="G578" s="140"/>
    </row>
    <row r="579" spans="2:7" hidden="1">
      <c r="B579" s="140" t="s">
        <v>2499</v>
      </c>
      <c r="C579" s="140"/>
      <c r="D579" s="140" t="s">
        <v>2500</v>
      </c>
      <c r="E579" s="142"/>
      <c r="F579" s="142"/>
      <c r="G579" s="140"/>
    </row>
    <row r="580" spans="2:7" hidden="1">
      <c r="B580" s="141" t="s">
        <v>2501</v>
      </c>
      <c r="C580" s="140"/>
      <c r="D580" s="141" t="s">
        <v>2502</v>
      </c>
      <c r="E580" s="140"/>
      <c r="F580" s="140"/>
      <c r="G580" s="151"/>
    </row>
    <row r="581" spans="2:7" hidden="1">
      <c r="B581" s="141" t="s">
        <v>2503</v>
      </c>
      <c r="C581" s="140" t="s">
        <v>2504</v>
      </c>
      <c r="D581" s="141" t="s">
        <v>2505</v>
      </c>
      <c r="E581" s="140" t="s">
        <v>2506</v>
      </c>
      <c r="F581" s="140"/>
      <c r="G581" s="140"/>
    </row>
    <row r="582" spans="2:7" hidden="1">
      <c r="B582" s="141" t="s">
        <v>2507</v>
      </c>
      <c r="C582" s="140" t="s">
        <v>2508</v>
      </c>
      <c r="D582" s="141" t="s">
        <v>2509</v>
      </c>
      <c r="E582" s="140"/>
      <c r="F582" s="140"/>
      <c r="G582" s="140"/>
    </row>
    <row r="583" spans="2:7" hidden="1">
      <c r="B583" s="140" t="s">
        <v>2510</v>
      </c>
      <c r="C583" s="140"/>
      <c r="D583" s="140" t="s">
        <v>2511</v>
      </c>
      <c r="E583" s="142"/>
      <c r="F583" s="142"/>
      <c r="G583" s="140">
        <v>0.45</v>
      </c>
    </row>
    <row r="584" spans="2:7" hidden="1">
      <c r="B584" s="141" t="s">
        <v>2512</v>
      </c>
      <c r="C584" s="140"/>
      <c r="D584" s="141" t="s">
        <v>2513</v>
      </c>
      <c r="E584" s="140"/>
      <c r="F584" s="140"/>
      <c r="G584" s="140"/>
    </row>
    <row r="585" spans="2:7" hidden="1">
      <c r="B585" s="141" t="s">
        <v>2514</v>
      </c>
      <c r="C585" s="140"/>
      <c r="D585" s="141" t="s">
        <v>2515</v>
      </c>
      <c r="E585" s="140"/>
      <c r="F585" s="140"/>
      <c r="G585" s="140"/>
    </row>
    <row r="586" spans="2:7" hidden="1">
      <c r="B586" s="141" t="s">
        <v>2516</v>
      </c>
      <c r="C586" s="140" t="s">
        <v>2517</v>
      </c>
      <c r="D586" s="141" t="s">
        <v>2518</v>
      </c>
      <c r="E586" s="140" t="s">
        <v>2519</v>
      </c>
      <c r="F586" s="140" t="s">
        <v>2520</v>
      </c>
      <c r="G586" s="140"/>
    </row>
    <row r="587" spans="2:7" hidden="1">
      <c r="B587" s="141" t="s">
        <v>2521</v>
      </c>
      <c r="C587" s="140"/>
      <c r="D587" s="141" t="s">
        <v>2522</v>
      </c>
      <c r="E587" s="140"/>
      <c r="F587" s="140"/>
      <c r="G587" s="140"/>
    </row>
    <row r="588" spans="2:7" hidden="1">
      <c r="B588" s="140" t="s">
        <v>20502</v>
      </c>
      <c r="C588" s="140" t="s">
        <v>20501</v>
      </c>
      <c r="D588" s="140" t="s">
        <v>12642</v>
      </c>
      <c r="E588" s="142"/>
      <c r="F588" s="142"/>
      <c r="G588" s="140" t="s">
        <v>20503</v>
      </c>
    </row>
    <row r="589" spans="2:7" hidden="1">
      <c r="B589" s="141" t="s">
        <v>2523</v>
      </c>
      <c r="C589" s="140"/>
      <c r="D589" s="141" t="s">
        <v>2524</v>
      </c>
      <c r="E589" s="140"/>
      <c r="F589" s="140"/>
      <c r="G589" s="140"/>
    </row>
    <row r="590" spans="2:7" hidden="1">
      <c r="B590" s="141" t="s">
        <v>2525</v>
      </c>
      <c r="C590" s="140"/>
      <c r="D590" s="141" t="s">
        <v>2526</v>
      </c>
      <c r="E590" s="140"/>
      <c r="F590" s="140"/>
      <c r="G590" s="140"/>
    </row>
    <row r="591" spans="2:7" hidden="1">
      <c r="B591" s="141" t="s">
        <v>2527</v>
      </c>
      <c r="C591" s="140"/>
      <c r="D591" s="141" t="s">
        <v>2528</v>
      </c>
      <c r="E591" s="140"/>
      <c r="F591" s="140"/>
      <c r="G591" s="140"/>
    </row>
    <row r="592" spans="2:7" hidden="1">
      <c r="B592" s="140" t="s">
        <v>2529</v>
      </c>
      <c r="C592" s="141"/>
      <c r="D592" s="141" t="s">
        <v>2530</v>
      </c>
      <c r="E592" s="141"/>
      <c r="F592" s="141"/>
      <c r="G592" s="140"/>
    </row>
    <row r="593" spans="2:7" hidden="1">
      <c r="B593" s="141" t="s">
        <v>2531</v>
      </c>
      <c r="C593" s="140"/>
      <c r="D593" s="141" t="s">
        <v>2532</v>
      </c>
      <c r="E593" s="140"/>
      <c r="F593" s="140"/>
      <c r="G593" s="140"/>
    </row>
    <row r="594" spans="2:7" hidden="1">
      <c r="B594" s="141" t="s">
        <v>2533</v>
      </c>
      <c r="C594" s="140"/>
      <c r="D594" s="141" t="s">
        <v>2534</v>
      </c>
      <c r="E594" s="140"/>
      <c r="F594" s="140"/>
      <c r="G594" s="140"/>
    </row>
    <row r="595" spans="2:7" hidden="1">
      <c r="B595" s="141" t="s">
        <v>2535</v>
      </c>
      <c r="C595" s="140"/>
      <c r="D595" s="141" t="s">
        <v>2536</v>
      </c>
      <c r="E595" s="141"/>
      <c r="F595" s="141"/>
      <c r="G595" s="140"/>
    </row>
    <row r="596" spans="2:7" hidden="1">
      <c r="B596" s="141" t="s">
        <v>2537</v>
      </c>
      <c r="C596" s="140"/>
      <c r="D596" s="141" t="s">
        <v>2538</v>
      </c>
      <c r="E596" s="140"/>
      <c r="F596" s="140"/>
      <c r="G596" s="140"/>
    </row>
    <row r="597" spans="2:7" hidden="1">
      <c r="B597" s="141" t="s">
        <v>2539</v>
      </c>
      <c r="C597" s="140"/>
      <c r="D597" s="141" t="s">
        <v>2540</v>
      </c>
      <c r="E597" s="140"/>
      <c r="F597" s="140"/>
      <c r="G597" s="140"/>
    </row>
    <row r="598" spans="2:7" hidden="1">
      <c r="B598" s="141" t="s">
        <v>2541</v>
      </c>
      <c r="C598" s="140"/>
      <c r="D598" s="141" t="s">
        <v>2542</v>
      </c>
      <c r="E598" s="140"/>
      <c r="F598" s="140"/>
      <c r="G598" s="140"/>
    </row>
    <row r="599" spans="2:7" hidden="1">
      <c r="B599" s="140" t="s">
        <v>2543</v>
      </c>
      <c r="C599" s="140"/>
      <c r="D599" s="140" t="s">
        <v>2544</v>
      </c>
      <c r="E599" s="142"/>
      <c r="F599" s="142"/>
      <c r="G599" s="140"/>
    </row>
    <row r="600" spans="2:7" hidden="1">
      <c r="B600" s="141" t="s">
        <v>2545</v>
      </c>
      <c r="C600" s="141"/>
      <c r="D600" s="141" t="s">
        <v>2546</v>
      </c>
      <c r="E600" s="141"/>
      <c r="F600" s="140"/>
      <c r="G600" s="140"/>
    </row>
    <row r="601" spans="2:7" hidden="1">
      <c r="B601" s="140" t="s">
        <v>2547</v>
      </c>
      <c r="C601" s="140"/>
      <c r="D601" s="140" t="s">
        <v>2548</v>
      </c>
      <c r="E601" s="142"/>
      <c r="F601" s="142"/>
      <c r="G601" s="140"/>
    </row>
    <row r="602" spans="2:7" hidden="1">
      <c r="B602" s="140" t="s">
        <v>21184</v>
      </c>
      <c r="C602" s="140"/>
      <c r="D602" s="140" t="s">
        <v>3055</v>
      </c>
      <c r="E602" s="142" t="s">
        <v>21185</v>
      </c>
      <c r="F602" s="142"/>
      <c r="G602" s="140" t="s">
        <v>21186</v>
      </c>
    </row>
    <row r="603" spans="2:7" hidden="1">
      <c r="B603" s="141" t="s">
        <v>21183</v>
      </c>
      <c r="C603" s="140" t="s">
        <v>2549</v>
      </c>
      <c r="D603" s="141" t="s">
        <v>2550</v>
      </c>
      <c r="E603" s="140"/>
      <c r="F603" s="140"/>
      <c r="G603" s="140" t="s">
        <v>2551</v>
      </c>
    </row>
    <row r="604" spans="2:7" hidden="1">
      <c r="B604" s="141" t="s">
        <v>2552</v>
      </c>
      <c r="C604" s="140" t="s">
        <v>2553</v>
      </c>
      <c r="D604" s="141" t="s">
        <v>2554</v>
      </c>
      <c r="E604" s="140">
        <v>6204314500</v>
      </c>
      <c r="F604" s="140">
        <v>6204314552</v>
      </c>
      <c r="G604" s="140"/>
    </row>
    <row r="605" spans="2:7" hidden="1">
      <c r="B605" s="141" t="s">
        <v>2555</v>
      </c>
      <c r="C605" s="140" t="s">
        <v>2553</v>
      </c>
      <c r="D605" s="141" t="s">
        <v>2556</v>
      </c>
      <c r="E605" s="140"/>
      <c r="F605" s="140"/>
      <c r="G605" s="140"/>
    </row>
    <row r="606" spans="2:7" hidden="1">
      <c r="B606" s="141" t="s">
        <v>2557</v>
      </c>
      <c r="C606" s="140"/>
      <c r="D606" s="141" t="s">
        <v>2558</v>
      </c>
      <c r="E606" s="140"/>
      <c r="F606" s="140"/>
      <c r="G606" s="140"/>
    </row>
    <row r="607" spans="2:7" hidden="1">
      <c r="B607" s="141" t="s">
        <v>2559</v>
      </c>
      <c r="C607" s="140"/>
      <c r="D607" s="141" t="s">
        <v>2560</v>
      </c>
      <c r="E607" s="140"/>
      <c r="F607" s="140"/>
      <c r="G607" s="140"/>
    </row>
    <row r="608" spans="2:7" hidden="1">
      <c r="B608" s="141" t="s">
        <v>2561</v>
      </c>
      <c r="C608" s="140"/>
      <c r="D608" s="141" t="s">
        <v>2562</v>
      </c>
      <c r="E608" s="140"/>
      <c r="F608" s="140"/>
      <c r="G608" s="140"/>
    </row>
    <row r="609" spans="2:7" hidden="1">
      <c r="B609" s="141" t="s">
        <v>2563</v>
      </c>
      <c r="C609" s="140"/>
      <c r="D609" s="141" t="s">
        <v>2564</v>
      </c>
      <c r="E609" s="140"/>
      <c r="F609" s="140"/>
      <c r="G609" s="140"/>
    </row>
    <row r="610" spans="2:7" hidden="1">
      <c r="B610" s="141" t="s">
        <v>2565</v>
      </c>
      <c r="C610" s="140"/>
      <c r="D610" s="141" t="s">
        <v>2566</v>
      </c>
      <c r="E610" s="140"/>
      <c r="F610" s="140"/>
      <c r="G610" s="140"/>
    </row>
    <row r="611" spans="2:7" hidden="1">
      <c r="B611" s="140" t="s">
        <v>2567</v>
      </c>
      <c r="C611" s="140"/>
      <c r="D611" s="140" t="s">
        <v>2568</v>
      </c>
      <c r="E611" s="142"/>
      <c r="F611" s="142"/>
      <c r="G611" s="140"/>
    </row>
    <row r="612" spans="2:7" hidden="1">
      <c r="B612" s="140" t="s">
        <v>2569</v>
      </c>
      <c r="C612" s="140"/>
      <c r="D612" s="140" t="s">
        <v>2570</v>
      </c>
      <c r="E612" s="142"/>
      <c r="F612" s="142"/>
      <c r="G612" s="140"/>
    </row>
    <row r="613" spans="2:7" hidden="1">
      <c r="B613" s="141" t="s">
        <v>2571</v>
      </c>
      <c r="C613" s="140"/>
      <c r="D613" s="141" t="s">
        <v>2572</v>
      </c>
      <c r="E613" s="140"/>
      <c r="F613" s="140"/>
      <c r="G613" s="140"/>
    </row>
    <row r="614" spans="2:7" hidden="1">
      <c r="B614" s="141" t="s">
        <v>2573</v>
      </c>
      <c r="C614" s="140"/>
      <c r="D614" s="141" t="s">
        <v>2574</v>
      </c>
      <c r="E614" s="140"/>
      <c r="F614" s="140"/>
      <c r="G614" s="140"/>
    </row>
    <row r="615" spans="2:7" hidden="1">
      <c r="B615" s="141" t="s">
        <v>2575</v>
      </c>
      <c r="C615" s="140"/>
      <c r="D615" s="141" t="s">
        <v>2576</v>
      </c>
      <c r="E615" s="140"/>
      <c r="F615" s="140"/>
      <c r="G615" s="140"/>
    </row>
    <row r="616" spans="2:7" hidden="1">
      <c r="B616" s="141" t="s">
        <v>2577</v>
      </c>
      <c r="C616" s="140"/>
      <c r="D616" s="141" t="s">
        <v>2578</v>
      </c>
      <c r="E616" s="140"/>
      <c r="F616" s="140"/>
      <c r="G616" s="140"/>
    </row>
    <row r="617" spans="2:7" hidden="1">
      <c r="B617" s="141" t="s">
        <v>2579</v>
      </c>
      <c r="C617" s="140"/>
      <c r="D617" s="141" t="s">
        <v>2580</v>
      </c>
      <c r="E617" s="140"/>
      <c r="F617" s="140"/>
      <c r="G617" s="140"/>
    </row>
    <row r="618" spans="2:7" hidden="1">
      <c r="B618" s="141" t="s">
        <v>2581</v>
      </c>
      <c r="C618" s="140"/>
      <c r="D618" s="141" t="s">
        <v>2582</v>
      </c>
      <c r="E618" s="140"/>
      <c r="F618" s="140"/>
      <c r="G618" s="140"/>
    </row>
    <row r="619" spans="2:7" hidden="1">
      <c r="B619" s="141" t="s">
        <v>21453</v>
      </c>
      <c r="C619" s="140"/>
      <c r="D619" s="141" t="s">
        <v>2583</v>
      </c>
      <c r="E619" s="140"/>
      <c r="F619" s="140"/>
      <c r="G619" s="140"/>
    </row>
    <row r="620" spans="2:7" hidden="1">
      <c r="B620" s="141" t="s">
        <v>2584</v>
      </c>
      <c r="C620" s="140"/>
      <c r="D620" s="141" t="s">
        <v>2585</v>
      </c>
      <c r="E620" s="140"/>
      <c r="F620" s="140"/>
      <c r="G620" s="140"/>
    </row>
    <row r="621" spans="2:7" hidden="1">
      <c r="B621" s="140" t="s">
        <v>2586</v>
      </c>
      <c r="C621" s="140"/>
      <c r="D621" s="140" t="s">
        <v>2587</v>
      </c>
      <c r="E621" s="140"/>
      <c r="F621" s="140"/>
      <c r="G621" s="140"/>
    </row>
    <row r="622" spans="2:7" hidden="1">
      <c r="B622" s="141" t="s">
        <v>2588</v>
      </c>
      <c r="C622" s="140" t="s">
        <v>2589</v>
      </c>
      <c r="D622" s="141" t="s">
        <v>2590</v>
      </c>
      <c r="E622" s="140" t="s">
        <v>2591</v>
      </c>
      <c r="F622" s="140" t="s">
        <v>2592</v>
      </c>
      <c r="G622" s="140"/>
    </row>
    <row r="623" spans="2:7" hidden="1">
      <c r="B623" s="140" t="s">
        <v>20499</v>
      </c>
      <c r="C623" s="140" t="s">
        <v>20498</v>
      </c>
      <c r="D623" s="140" t="s">
        <v>20497</v>
      </c>
      <c r="E623" s="142" t="s">
        <v>20500</v>
      </c>
      <c r="F623" s="142"/>
      <c r="G623" s="140"/>
    </row>
    <row r="624" spans="2:7" hidden="1">
      <c r="B624" s="141" t="s">
        <v>2593</v>
      </c>
      <c r="C624" s="140"/>
      <c r="D624" s="141" t="s">
        <v>2594</v>
      </c>
      <c r="E624" s="140"/>
      <c r="F624" s="140"/>
      <c r="G624" s="140"/>
    </row>
    <row r="625" spans="2:7" hidden="1">
      <c r="B625" s="141" t="s">
        <v>2595</v>
      </c>
      <c r="C625" s="140" t="s">
        <v>2596</v>
      </c>
      <c r="D625" s="141" t="s">
        <v>2597</v>
      </c>
      <c r="E625" s="140" t="s">
        <v>2598</v>
      </c>
      <c r="F625" s="140" t="s">
        <v>2599</v>
      </c>
      <c r="G625" s="140" t="s">
        <v>2600</v>
      </c>
    </row>
    <row r="626" spans="2:7" hidden="1">
      <c r="B626" s="140" t="s">
        <v>2601</v>
      </c>
      <c r="C626" s="140"/>
      <c r="D626" s="140" t="s">
        <v>2602</v>
      </c>
      <c r="E626" s="142"/>
      <c r="F626" s="142"/>
      <c r="G626" s="140"/>
    </row>
    <row r="627" spans="2:7" hidden="1">
      <c r="B627" s="141" t="s">
        <v>2603</v>
      </c>
      <c r="C627" s="140"/>
      <c r="D627" s="141" t="s">
        <v>2604</v>
      </c>
      <c r="E627" s="140"/>
      <c r="F627" s="140"/>
      <c r="G627" s="140"/>
    </row>
    <row r="628" spans="2:7" hidden="1">
      <c r="B628" s="140" t="s">
        <v>2605</v>
      </c>
      <c r="C628" s="140"/>
      <c r="D628" s="140" t="s">
        <v>2606</v>
      </c>
      <c r="E628" s="142"/>
      <c r="F628" s="142"/>
      <c r="G628" s="140"/>
    </row>
    <row r="629" spans="2:7" hidden="1">
      <c r="B629" s="141" t="s">
        <v>2607</v>
      </c>
      <c r="C629" s="140" t="s">
        <v>2608</v>
      </c>
      <c r="D629" s="141" t="s">
        <v>2609</v>
      </c>
      <c r="E629" s="140"/>
      <c r="F629" s="140"/>
      <c r="G629" s="140"/>
    </row>
    <row r="630" spans="2:7" hidden="1">
      <c r="B630" s="141" t="s">
        <v>2610</v>
      </c>
      <c r="C630" s="140" t="s">
        <v>2611</v>
      </c>
      <c r="D630" s="141" t="s">
        <v>2612</v>
      </c>
      <c r="E630" s="140"/>
      <c r="F630" s="140"/>
      <c r="G630" s="140" t="s">
        <v>2613</v>
      </c>
    </row>
    <row r="631" spans="2:7" hidden="1">
      <c r="B631" s="141" t="s">
        <v>2614</v>
      </c>
      <c r="C631" s="140" t="s">
        <v>2615</v>
      </c>
      <c r="D631" s="141" t="s">
        <v>2616</v>
      </c>
      <c r="E631" s="140" t="s">
        <v>2617</v>
      </c>
      <c r="F631" s="140" t="s">
        <v>2618</v>
      </c>
      <c r="G631" s="140"/>
    </row>
    <row r="632" spans="2:7" hidden="1">
      <c r="B632" s="141" t="s">
        <v>2619</v>
      </c>
      <c r="C632" s="140" t="s">
        <v>21454</v>
      </c>
      <c r="D632" s="141" t="s">
        <v>2620</v>
      </c>
      <c r="E632" s="140"/>
      <c r="F632" s="140"/>
      <c r="G632" s="140"/>
    </row>
    <row r="633" spans="2:7" hidden="1">
      <c r="B633" s="141" t="s">
        <v>2621</v>
      </c>
      <c r="C633" s="140"/>
      <c r="D633" s="141" t="s">
        <v>2622</v>
      </c>
      <c r="E633" s="140"/>
      <c r="F633" s="140"/>
      <c r="G633" s="140"/>
    </row>
    <row r="634" spans="2:7" hidden="1">
      <c r="B634" s="141" t="s">
        <v>2623</v>
      </c>
      <c r="C634" s="141"/>
      <c r="D634" s="141" t="s">
        <v>2624</v>
      </c>
      <c r="E634" s="141"/>
      <c r="F634" s="141"/>
      <c r="G634" s="140"/>
    </row>
    <row r="635" spans="2:7" hidden="1">
      <c r="B635" s="141" t="s">
        <v>2625</v>
      </c>
      <c r="C635" s="140"/>
      <c r="D635" s="141" t="s">
        <v>2626</v>
      </c>
      <c r="E635" s="140"/>
      <c r="F635" s="140"/>
      <c r="G635" s="140"/>
    </row>
    <row r="636" spans="2:7" hidden="1">
      <c r="B636" s="140" t="s">
        <v>2627</v>
      </c>
      <c r="C636" s="140"/>
      <c r="D636" s="140" t="s">
        <v>2628</v>
      </c>
      <c r="E636" s="142"/>
      <c r="F636" s="142"/>
      <c r="G636" s="140"/>
    </row>
    <row r="637" spans="2:7" hidden="1">
      <c r="B637" s="141" t="s">
        <v>21455</v>
      </c>
      <c r="C637" s="140"/>
      <c r="D637" s="141" t="s">
        <v>2629</v>
      </c>
      <c r="E637" s="140"/>
      <c r="F637" s="140"/>
      <c r="G637" s="140"/>
    </row>
    <row r="638" spans="2:7" hidden="1">
      <c r="B638" s="141" t="s">
        <v>2630</v>
      </c>
      <c r="C638" s="140"/>
      <c r="D638" s="141" t="s">
        <v>2631</v>
      </c>
      <c r="E638" s="140"/>
      <c r="F638" s="140"/>
      <c r="G638" s="140"/>
    </row>
    <row r="639" spans="2:7" hidden="1">
      <c r="B639" s="141" t="s">
        <v>2632</v>
      </c>
      <c r="C639" s="140" t="s">
        <v>2633</v>
      </c>
      <c r="D639" s="141" t="s">
        <v>2634</v>
      </c>
      <c r="E639" s="140" t="s">
        <v>2635</v>
      </c>
      <c r="F639" s="140" t="s">
        <v>2636</v>
      </c>
      <c r="G639" s="140"/>
    </row>
    <row r="640" spans="2:7" hidden="1">
      <c r="B640" s="141" t="s">
        <v>2637</v>
      </c>
      <c r="C640" s="140"/>
      <c r="D640" s="141" t="s">
        <v>2638</v>
      </c>
      <c r="E640" s="140"/>
      <c r="F640" s="140"/>
      <c r="G640" s="140"/>
    </row>
    <row r="641" spans="2:7" hidden="1">
      <c r="B641" s="140" t="s">
        <v>2639</v>
      </c>
      <c r="C641" s="140"/>
      <c r="D641" s="140" t="s">
        <v>2640</v>
      </c>
      <c r="E641" s="142"/>
      <c r="F641" s="142"/>
      <c r="G641" s="140"/>
    </row>
    <row r="642" spans="2:7" hidden="1">
      <c r="B642" s="140" t="s">
        <v>21456</v>
      </c>
      <c r="C642" s="140" t="s">
        <v>2641</v>
      </c>
      <c r="D642" s="140" t="s">
        <v>2642</v>
      </c>
      <c r="E642" s="142" t="s">
        <v>2643</v>
      </c>
      <c r="F642" s="142" t="s">
        <v>2644</v>
      </c>
      <c r="G642" s="140"/>
    </row>
    <row r="643" spans="2:7" hidden="1">
      <c r="B643" s="140" t="s">
        <v>2645</v>
      </c>
      <c r="C643" s="140" t="s">
        <v>2646</v>
      </c>
      <c r="D643" s="140" t="s">
        <v>2647</v>
      </c>
      <c r="E643" s="140" t="s">
        <v>2648</v>
      </c>
      <c r="F643" s="140"/>
      <c r="G643" s="140"/>
    </row>
    <row r="644" spans="2:7" hidden="1">
      <c r="B644" s="141" t="s">
        <v>2649</v>
      </c>
      <c r="C644" s="140"/>
      <c r="D644" s="141" t="s">
        <v>2650</v>
      </c>
      <c r="E644" s="140"/>
      <c r="F644" s="140"/>
      <c r="G644" s="140"/>
    </row>
    <row r="645" spans="2:7" hidden="1">
      <c r="B645" s="141" t="s">
        <v>2651</v>
      </c>
      <c r="C645" s="140"/>
      <c r="D645" s="141" t="s">
        <v>2652</v>
      </c>
      <c r="E645" s="140"/>
      <c r="F645" s="140"/>
      <c r="G645" s="140"/>
    </row>
    <row r="646" spans="2:7" hidden="1">
      <c r="B646" s="141" t="s">
        <v>2653</v>
      </c>
      <c r="C646" s="140"/>
      <c r="D646" s="141" t="s">
        <v>2654</v>
      </c>
      <c r="E646" s="140"/>
      <c r="F646" s="140"/>
      <c r="G646" s="140"/>
    </row>
    <row r="647" spans="2:7" hidden="1">
      <c r="B647" s="140" t="s">
        <v>2655</v>
      </c>
      <c r="C647" s="140" t="s">
        <v>2656</v>
      </c>
      <c r="D647" s="140" t="s">
        <v>2657</v>
      </c>
      <c r="E647" s="142"/>
      <c r="F647" s="142"/>
      <c r="G647" s="140" t="s">
        <v>2658</v>
      </c>
    </row>
    <row r="648" spans="2:7" hidden="1">
      <c r="B648" s="140" t="s">
        <v>2659</v>
      </c>
      <c r="C648" s="140" t="s">
        <v>2660</v>
      </c>
      <c r="D648" s="140" t="s">
        <v>2661</v>
      </c>
      <c r="E648" s="140" t="s">
        <v>2662</v>
      </c>
      <c r="F648" s="140" t="s">
        <v>2663</v>
      </c>
      <c r="G648" s="140"/>
    </row>
    <row r="649" spans="2:7" hidden="1">
      <c r="B649" s="141" t="s">
        <v>2664</v>
      </c>
      <c r="C649" s="141"/>
      <c r="D649" s="141" t="s">
        <v>2665</v>
      </c>
      <c r="E649" s="141"/>
      <c r="F649" s="141"/>
      <c r="G649" s="140"/>
    </row>
    <row r="650" spans="2:7" hidden="1">
      <c r="B650" s="141" t="s">
        <v>2666</v>
      </c>
      <c r="C650" s="140"/>
      <c r="D650" s="141" t="s">
        <v>2626</v>
      </c>
      <c r="E650" s="140"/>
      <c r="F650" s="140"/>
      <c r="G650" s="140"/>
    </row>
    <row r="651" spans="2:7" hidden="1">
      <c r="B651" s="141" t="s">
        <v>2667</v>
      </c>
      <c r="C651" s="140"/>
      <c r="D651" s="141" t="s">
        <v>1412</v>
      </c>
      <c r="E651" s="140"/>
      <c r="F651" s="140"/>
      <c r="G651" s="140"/>
    </row>
    <row r="652" spans="2:7" hidden="1">
      <c r="B652" s="141" t="s">
        <v>2668</v>
      </c>
      <c r="C652" s="140" t="s">
        <v>2669</v>
      </c>
      <c r="D652" s="141" t="s">
        <v>2670</v>
      </c>
      <c r="E652" s="140"/>
      <c r="F652" s="140"/>
      <c r="G652" s="140" t="s">
        <v>2671</v>
      </c>
    </row>
    <row r="653" spans="2:7" hidden="1">
      <c r="B653" s="141" t="s">
        <v>2672</v>
      </c>
      <c r="C653" s="140"/>
      <c r="D653" s="141" t="s">
        <v>2673</v>
      </c>
      <c r="E653" s="140"/>
      <c r="F653" s="140"/>
      <c r="G653" s="140"/>
    </row>
    <row r="654" spans="2:7" hidden="1">
      <c r="B654" s="141" t="s">
        <v>2674</v>
      </c>
      <c r="C654" s="140"/>
      <c r="D654" s="141" t="s">
        <v>2675</v>
      </c>
      <c r="E654" s="140"/>
      <c r="F654" s="140"/>
      <c r="G654" s="140"/>
    </row>
    <row r="655" spans="2:7" hidden="1">
      <c r="B655" s="141" t="s">
        <v>2676</v>
      </c>
      <c r="C655" s="140" t="s">
        <v>2677</v>
      </c>
      <c r="D655" s="141" t="s">
        <v>1164</v>
      </c>
      <c r="E655" s="140" t="s">
        <v>2678</v>
      </c>
      <c r="F655" s="140" t="s">
        <v>2679</v>
      </c>
      <c r="G655" s="140"/>
    </row>
    <row r="656" spans="2:7" hidden="1">
      <c r="B656" s="141" t="s">
        <v>2680</v>
      </c>
      <c r="C656" s="140"/>
      <c r="D656" s="141" t="s">
        <v>2681</v>
      </c>
      <c r="E656" s="140"/>
      <c r="F656" s="140"/>
      <c r="G656" s="140"/>
    </row>
    <row r="657" spans="2:7" hidden="1">
      <c r="B657" s="141" t="s">
        <v>2683</v>
      </c>
      <c r="C657" s="140"/>
      <c r="D657" s="141" t="s">
        <v>2684</v>
      </c>
      <c r="E657" s="140"/>
      <c r="F657" s="140"/>
      <c r="G657" s="140"/>
    </row>
    <row r="658" spans="2:7" hidden="1">
      <c r="B658" s="141" t="s">
        <v>21457</v>
      </c>
      <c r="C658" s="140"/>
      <c r="D658" s="141" t="s">
        <v>2682</v>
      </c>
      <c r="E658" s="140"/>
      <c r="F658" s="140"/>
      <c r="G658" s="140"/>
    </row>
    <row r="659" spans="2:7" hidden="1">
      <c r="B659" s="140" t="s">
        <v>2685</v>
      </c>
      <c r="C659" s="140"/>
      <c r="D659" s="140" t="s">
        <v>2686</v>
      </c>
      <c r="E659" s="142"/>
      <c r="F659" s="142"/>
      <c r="G659" s="140"/>
    </row>
    <row r="660" spans="2:7" hidden="1">
      <c r="B660" s="141" t="s">
        <v>2687</v>
      </c>
      <c r="C660" s="140"/>
      <c r="D660" s="141" t="s">
        <v>2688</v>
      </c>
      <c r="E660" s="140"/>
      <c r="F660" s="140"/>
      <c r="G660" s="140"/>
    </row>
    <row r="661" spans="2:7" hidden="1">
      <c r="B661" s="141" t="s">
        <v>2689</v>
      </c>
      <c r="C661" s="140"/>
      <c r="D661" s="141" t="s">
        <v>2690</v>
      </c>
      <c r="E661" s="140"/>
      <c r="F661" s="140"/>
      <c r="G661" s="140"/>
    </row>
    <row r="662" spans="2:7" hidden="1">
      <c r="B662" s="140" t="s">
        <v>2691</v>
      </c>
      <c r="C662" s="140"/>
      <c r="D662" s="140" t="s">
        <v>2692</v>
      </c>
      <c r="E662" s="142"/>
      <c r="F662" s="142"/>
      <c r="G662" s="140"/>
    </row>
    <row r="663" spans="2:7" hidden="1">
      <c r="B663" s="141" t="s">
        <v>2693</v>
      </c>
      <c r="C663" s="140" t="s">
        <v>2694</v>
      </c>
      <c r="D663" s="141" t="s">
        <v>2695</v>
      </c>
      <c r="E663" s="140" t="s">
        <v>2696</v>
      </c>
      <c r="F663" s="140" t="s">
        <v>2697</v>
      </c>
      <c r="G663" s="140"/>
    </row>
    <row r="664" spans="2:7" hidden="1">
      <c r="B664" s="141" t="s">
        <v>2698</v>
      </c>
      <c r="C664" s="140"/>
      <c r="D664" s="141" t="s">
        <v>2699</v>
      </c>
      <c r="E664" s="140"/>
      <c r="F664" s="140"/>
      <c r="G664" s="140"/>
    </row>
    <row r="665" spans="2:7" hidden="1">
      <c r="B665" s="141" t="s">
        <v>2700</v>
      </c>
      <c r="C665" s="140" t="s">
        <v>2701</v>
      </c>
      <c r="D665" s="141" t="s">
        <v>2702</v>
      </c>
      <c r="E665" s="140" t="s">
        <v>2703</v>
      </c>
      <c r="F665" s="140" t="s">
        <v>2704</v>
      </c>
      <c r="G665" s="140"/>
    </row>
    <row r="666" spans="2:7" hidden="1">
      <c r="B666" s="141" t="s">
        <v>2705</v>
      </c>
      <c r="C666" s="140" t="s">
        <v>2706</v>
      </c>
      <c r="D666" s="141" t="s">
        <v>2707</v>
      </c>
      <c r="E666" s="140" t="s">
        <v>2708</v>
      </c>
      <c r="F666" s="140" t="s">
        <v>2709</v>
      </c>
      <c r="G666" s="140"/>
    </row>
    <row r="667" spans="2:7" hidden="1">
      <c r="B667" s="141" t="s">
        <v>21458</v>
      </c>
      <c r="C667" s="140"/>
      <c r="D667" s="141" t="s">
        <v>2710</v>
      </c>
      <c r="E667" s="140"/>
      <c r="F667" s="140"/>
      <c r="G667" s="140"/>
    </row>
    <row r="668" spans="2:7" hidden="1">
      <c r="B668" s="141" t="s">
        <v>2711</v>
      </c>
      <c r="C668" s="141"/>
      <c r="D668" s="141" t="s">
        <v>2712</v>
      </c>
      <c r="E668" s="141"/>
      <c r="F668" s="140"/>
      <c r="G668" s="140"/>
    </row>
    <row r="669" spans="2:7" hidden="1">
      <c r="B669" s="140" t="s">
        <v>2713</v>
      </c>
      <c r="C669" s="140"/>
      <c r="D669" s="141" t="s">
        <v>2714</v>
      </c>
      <c r="E669" s="140"/>
      <c r="F669" s="140"/>
      <c r="G669" s="140"/>
    </row>
    <row r="670" spans="2:7" hidden="1">
      <c r="B670" s="141" t="s">
        <v>2715</v>
      </c>
      <c r="C670" s="140" t="s">
        <v>2716</v>
      </c>
      <c r="D670" s="141" t="s">
        <v>2717</v>
      </c>
      <c r="E670" s="140" t="s">
        <v>2718</v>
      </c>
      <c r="F670" s="140" t="s">
        <v>2719</v>
      </c>
      <c r="G670" s="140"/>
    </row>
    <row r="671" spans="2:7" hidden="1">
      <c r="B671" s="141" t="s">
        <v>2720</v>
      </c>
      <c r="C671" s="140" t="s">
        <v>2721</v>
      </c>
      <c r="D671" s="141" t="s">
        <v>2722</v>
      </c>
      <c r="E671" s="140" t="s">
        <v>2723</v>
      </c>
      <c r="F671" s="140" t="s">
        <v>2724</v>
      </c>
      <c r="G671" s="140"/>
    </row>
    <row r="672" spans="2:7" hidden="1">
      <c r="B672" s="141" t="s">
        <v>2725</v>
      </c>
      <c r="C672" s="140" t="s">
        <v>2726</v>
      </c>
      <c r="D672" s="141" t="s">
        <v>2727</v>
      </c>
      <c r="E672" s="140" t="s">
        <v>2728</v>
      </c>
      <c r="F672" s="140" t="s">
        <v>2729</v>
      </c>
      <c r="G672" s="140"/>
    </row>
    <row r="673" spans="2:7" hidden="1">
      <c r="B673" s="141" t="s">
        <v>2730</v>
      </c>
      <c r="C673" s="140"/>
      <c r="D673" s="141" t="s">
        <v>2731</v>
      </c>
      <c r="E673" s="140"/>
      <c r="F673" s="140"/>
      <c r="G673" s="140"/>
    </row>
    <row r="674" spans="2:7" hidden="1">
      <c r="B674" s="141" t="s">
        <v>2732</v>
      </c>
      <c r="C674" s="140"/>
      <c r="D674" s="141" t="s">
        <v>2733</v>
      </c>
      <c r="E674" s="140"/>
      <c r="F674" s="140"/>
      <c r="G674" s="140"/>
    </row>
    <row r="675" spans="2:7" hidden="1">
      <c r="B675" s="141" t="s">
        <v>2734</v>
      </c>
      <c r="C675" s="140" t="s">
        <v>2735</v>
      </c>
      <c r="D675" s="141" t="s">
        <v>2736</v>
      </c>
      <c r="E675" s="140" t="s">
        <v>2737</v>
      </c>
      <c r="F675" s="140" t="s">
        <v>2738</v>
      </c>
      <c r="G675" s="140"/>
    </row>
    <row r="676" spans="2:7" hidden="1">
      <c r="B676" s="140" t="s">
        <v>2739</v>
      </c>
      <c r="C676" s="140" t="s">
        <v>2740</v>
      </c>
      <c r="D676" s="140" t="s">
        <v>2741</v>
      </c>
      <c r="E676" s="142" t="s">
        <v>2742</v>
      </c>
      <c r="F676" s="142" t="s">
        <v>2743</v>
      </c>
      <c r="G676" s="140"/>
    </row>
    <row r="677" spans="2:7" hidden="1">
      <c r="B677" s="140" t="s">
        <v>2744</v>
      </c>
      <c r="C677" s="140"/>
      <c r="D677" s="140" t="s">
        <v>2745</v>
      </c>
      <c r="E677" s="142"/>
      <c r="F677" s="142"/>
      <c r="G677" s="140"/>
    </row>
    <row r="678" spans="2:7" hidden="1">
      <c r="B678" s="141" t="s">
        <v>2746</v>
      </c>
      <c r="C678" s="140"/>
      <c r="D678" s="141" t="s">
        <v>2747</v>
      </c>
      <c r="E678" s="140"/>
      <c r="F678" s="140"/>
      <c r="G678" s="140"/>
    </row>
    <row r="679" spans="2:7" hidden="1">
      <c r="B679" s="141" t="s">
        <v>2748</v>
      </c>
      <c r="C679" s="140"/>
      <c r="D679" s="141" t="s">
        <v>2749</v>
      </c>
      <c r="E679" s="140"/>
      <c r="F679" s="140"/>
      <c r="G679" s="140"/>
    </row>
    <row r="680" spans="2:7" hidden="1">
      <c r="B680" s="140" t="s">
        <v>2750</v>
      </c>
      <c r="C680" s="140"/>
      <c r="D680" s="140" t="s">
        <v>2692</v>
      </c>
      <c r="E680" s="140"/>
      <c r="F680" s="140"/>
      <c r="G680" s="140"/>
    </row>
    <row r="681" spans="2:7" hidden="1">
      <c r="B681" s="141" t="s">
        <v>2751</v>
      </c>
      <c r="C681" s="140"/>
      <c r="D681" s="141" t="s">
        <v>1418</v>
      </c>
      <c r="E681" s="140"/>
      <c r="F681" s="140"/>
      <c r="G681" s="140"/>
    </row>
    <row r="682" spans="2:7" hidden="1">
      <c r="B682" s="141" t="s">
        <v>2752</v>
      </c>
      <c r="C682" s="141"/>
      <c r="D682" s="141" t="s">
        <v>2753</v>
      </c>
      <c r="E682" s="141"/>
      <c r="F682" s="140"/>
      <c r="G682" s="140"/>
    </row>
    <row r="683" spans="2:7" hidden="1">
      <c r="B683" s="141" t="s">
        <v>2754</v>
      </c>
      <c r="C683" s="140"/>
      <c r="D683" s="141" t="s">
        <v>2755</v>
      </c>
      <c r="E683" s="140"/>
      <c r="F683" s="140"/>
      <c r="G683" s="140"/>
    </row>
    <row r="684" spans="2:7" hidden="1">
      <c r="B684" s="141" t="s">
        <v>2756</v>
      </c>
      <c r="C684" s="141" t="s">
        <v>2757</v>
      </c>
      <c r="D684" s="141" t="s">
        <v>2758</v>
      </c>
      <c r="E684" s="140"/>
      <c r="F684" s="140"/>
      <c r="G684" s="140" t="s">
        <v>2759</v>
      </c>
    </row>
    <row r="685" spans="2:7" hidden="1">
      <c r="B685" s="141" t="s">
        <v>2760</v>
      </c>
      <c r="C685" s="140" t="s">
        <v>2761</v>
      </c>
      <c r="D685" s="141" t="s">
        <v>2762</v>
      </c>
      <c r="E685" s="140" t="s">
        <v>2763</v>
      </c>
      <c r="F685" s="140" t="s">
        <v>2764</v>
      </c>
      <c r="G685" s="140"/>
    </row>
    <row r="686" spans="2:7" hidden="1">
      <c r="B686" s="141" t="s">
        <v>2765</v>
      </c>
      <c r="C686" s="140"/>
      <c r="D686" s="141" t="s">
        <v>2766</v>
      </c>
      <c r="E686" s="140"/>
      <c r="F686" s="140"/>
      <c r="G686" s="140"/>
    </row>
    <row r="687" spans="2:7" hidden="1">
      <c r="B687" s="141" t="s">
        <v>2767</v>
      </c>
      <c r="C687" s="140" t="s">
        <v>2768</v>
      </c>
      <c r="D687" s="141" t="s">
        <v>2769</v>
      </c>
      <c r="E687" s="140" t="s">
        <v>2770</v>
      </c>
      <c r="F687" s="140"/>
      <c r="G687" s="140"/>
    </row>
    <row r="688" spans="2:7" hidden="1">
      <c r="B688" s="141" t="s">
        <v>21472</v>
      </c>
      <c r="C688" s="141" t="s">
        <v>2798</v>
      </c>
      <c r="D688" s="141" t="s">
        <v>2799</v>
      </c>
      <c r="E688" s="141" t="s">
        <v>2800</v>
      </c>
      <c r="F688" s="140"/>
      <c r="G688" s="140"/>
    </row>
    <row r="689" spans="2:7" hidden="1">
      <c r="B689" s="141" t="s">
        <v>2801</v>
      </c>
      <c r="C689" s="140"/>
      <c r="D689" s="141" t="s">
        <v>2802</v>
      </c>
      <c r="E689" s="140" t="s">
        <v>2803</v>
      </c>
      <c r="F689" s="140" t="s">
        <v>2804</v>
      </c>
      <c r="G689" s="140"/>
    </row>
    <row r="690" spans="2:7" hidden="1">
      <c r="B690" s="140" t="s">
        <v>2805</v>
      </c>
      <c r="C690" s="140"/>
      <c r="D690" s="140" t="s">
        <v>1206</v>
      </c>
      <c r="E690" s="142"/>
      <c r="F690" s="142"/>
      <c r="G690" s="140"/>
    </row>
    <row r="691" spans="2:7" hidden="1">
      <c r="B691" s="141" t="s">
        <v>2806</v>
      </c>
      <c r="C691" s="140"/>
      <c r="D691" s="141" t="s">
        <v>2807</v>
      </c>
      <c r="E691" s="140"/>
      <c r="F691" s="140"/>
      <c r="G691" s="140"/>
    </row>
    <row r="692" spans="2:7" hidden="1">
      <c r="B692" s="141" t="s">
        <v>2808</v>
      </c>
      <c r="C692" s="140"/>
      <c r="D692" s="141" t="s">
        <v>2809</v>
      </c>
      <c r="E692" s="140" t="s">
        <v>2810</v>
      </c>
      <c r="F692" s="140"/>
      <c r="G692" s="140"/>
    </row>
    <row r="693" spans="2:7" hidden="1">
      <c r="B693" s="140" t="s">
        <v>2811</v>
      </c>
      <c r="C693" s="140" t="s">
        <v>2812</v>
      </c>
      <c r="D693" s="140" t="s">
        <v>2813</v>
      </c>
      <c r="E693" s="142" t="s">
        <v>2814</v>
      </c>
      <c r="F693" s="142"/>
      <c r="G693" s="140"/>
    </row>
    <row r="694" spans="2:7" hidden="1">
      <c r="B694" s="141" t="s">
        <v>21459</v>
      </c>
      <c r="C694" s="140" t="s">
        <v>2771</v>
      </c>
      <c r="D694" s="141" t="s">
        <v>2772</v>
      </c>
      <c r="E694" s="140" t="s">
        <v>2773</v>
      </c>
      <c r="F694" s="140" t="s">
        <v>2774</v>
      </c>
      <c r="G694" s="140"/>
    </row>
    <row r="695" spans="2:7" hidden="1">
      <c r="B695" s="141" t="s">
        <v>21460</v>
      </c>
      <c r="C695" s="140" t="s">
        <v>2775</v>
      </c>
      <c r="D695" s="141" t="s">
        <v>2776</v>
      </c>
      <c r="E695" s="140" t="s">
        <v>2777</v>
      </c>
      <c r="F695" s="140"/>
      <c r="G695" s="140"/>
    </row>
    <row r="696" spans="2:7" hidden="1">
      <c r="B696" s="141" t="s">
        <v>21461</v>
      </c>
      <c r="C696" s="140"/>
      <c r="D696" s="141" t="s">
        <v>2778</v>
      </c>
      <c r="E696" s="140"/>
      <c r="F696" s="140"/>
      <c r="G696" s="140"/>
    </row>
    <row r="697" spans="2:7" hidden="1">
      <c r="B697" s="141" t="s">
        <v>21462</v>
      </c>
      <c r="C697" s="140"/>
      <c r="D697" s="141" t="s">
        <v>2779</v>
      </c>
      <c r="E697" s="140"/>
      <c r="F697" s="140"/>
      <c r="G697" s="140"/>
    </row>
    <row r="698" spans="2:7" hidden="1">
      <c r="B698" s="141" t="s">
        <v>21463</v>
      </c>
      <c r="C698" s="140" t="s">
        <v>2780</v>
      </c>
      <c r="D698" s="141" t="s">
        <v>2781</v>
      </c>
      <c r="E698" s="140" t="s">
        <v>2782</v>
      </c>
      <c r="F698" s="140"/>
      <c r="G698" s="140"/>
    </row>
    <row r="699" spans="2:7" hidden="1">
      <c r="B699" s="141" t="s">
        <v>21464</v>
      </c>
      <c r="C699" s="140" t="s">
        <v>2783</v>
      </c>
      <c r="D699" s="141" t="s">
        <v>2784</v>
      </c>
      <c r="E699" s="140" t="s">
        <v>2785</v>
      </c>
      <c r="F699" s="140"/>
      <c r="G699" s="140"/>
    </row>
    <row r="700" spans="2:7" hidden="1">
      <c r="B700" s="141" t="s">
        <v>21465</v>
      </c>
      <c r="C700" s="140"/>
      <c r="D700" s="141" t="s">
        <v>2786</v>
      </c>
      <c r="E700" s="140"/>
      <c r="F700" s="140"/>
      <c r="G700" s="140"/>
    </row>
    <row r="701" spans="2:7" hidden="1">
      <c r="B701" s="141" t="s">
        <v>21466</v>
      </c>
      <c r="C701" s="140" t="s">
        <v>2787</v>
      </c>
      <c r="D701" s="141" t="s">
        <v>2788</v>
      </c>
      <c r="E701" s="140" t="s">
        <v>2789</v>
      </c>
      <c r="F701" s="140"/>
      <c r="G701" s="140"/>
    </row>
    <row r="702" spans="2:7" hidden="1">
      <c r="B702" s="141" t="s">
        <v>20110</v>
      </c>
      <c r="C702" s="140" t="s">
        <v>20111</v>
      </c>
      <c r="D702" s="141" t="s">
        <v>20112</v>
      </c>
      <c r="E702" s="140" t="s">
        <v>20113</v>
      </c>
      <c r="F702" s="140" t="s">
        <v>20114</v>
      </c>
      <c r="G702" s="140"/>
    </row>
    <row r="703" spans="2:7" hidden="1">
      <c r="B703" s="140" t="s">
        <v>20210</v>
      </c>
      <c r="C703" s="140" t="s">
        <v>20212</v>
      </c>
      <c r="D703" s="140" t="s">
        <v>20112</v>
      </c>
      <c r="E703" s="142" t="s">
        <v>20113</v>
      </c>
      <c r="F703" s="142"/>
      <c r="G703" s="140" t="s">
        <v>20211</v>
      </c>
    </row>
    <row r="704" spans="2:7" hidden="1">
      <c r="B704" s="141" t="s">
        <v>21467</v>
      </c>
      <c r="C704" s="141"/>
      <c r="D704" s="141" t="s">
        <v>2790</v>
      </c>
      <c r="E704" s="141"/>
      <c r="F704" s="140"/>
      <c r="G704" s="140"/>
    </row>
    <row r="705" spans="2:7" hidden="1">
      <c r="B705" s="141" t="s">
        <v>21468</v>
      </c>
      <c r="C705" s="140"/>
      <c r="D705" s="141" t="s">
        <v>2791</v>
      </c>
      <c r="E705" s="140"/>
      <c r="F705" s="140"/>
      <c r="G705" s="140"/>
    </row>
    <row r="706" spans="2:7" hidden="1">
      <c r="B706" s="141" t="s">
        <v>21469</v>
      </c>
      <c r="C706" s="140" t="s">
        <v>2792</v>
      </c>
      <c r="D706" s="141" t="s">
        <v>2793</v>
      </c>
      <c r="E706" s="140" t="s">
        <v>2794</v>
      </c>
      <c r="F706" s="140"/>
      <c r="G706" s="140"/>
    </row>
    <row r="707" spans="2:7" hidden="1">
      <c r="B707" s="141" t="s">
        <v>21470</v>
      </c>
      <c r="C707" s="140" t="s">
        <v>2795</v>
      </c>
      <c r="D707" s="141" t="s">
        <v>2796</v>
      </c>
      <c r="E707" s="140" t="s">
        <v>2797</v>
      </c>
      <c r="F707" s="140"/>
      <c r="G707" s="140"/>
    </row>
    <row r="708" spans="2:7" hidden="1">
      <c r="B708" s="141" t="s">
        <v>21471</v>
      </c>
      <c r="C708" s="140"/>
      <c r="D708" s="141" t="s">
        <v>2481</v>
      </c>
      <c r="E708" s="140"/>
      <c r="F708" s="140"/>
      <c r="G708" s="140"/>
    </row>
    <row r="709" spans="2:7" hidden="1">
      <c r="B709" s="141" t="s">
        <v>2815</v>
      </c>
      <c r="C709" s="140" t="s">
        <v>2816</v>
      </c>
      <c r="D709" s="141" t="s">
        <v>2817</v>
      </c>
      <c r="E709" s="140" t="s">
        <v>2818</v>
      </c>
      <c r="F709" s="140" t="s">
        <v>2819</v>
      </c>
      <c r="G709" s="140" t="s">
        <v>2820</v>
      </c>
    </row>
    <row r="710" spans="2:7" hidden="1">
      <c r="B710" s="141" t="s">
        <v>21473</v>
      </c>
      <c r="C710" s="140" t="s">
        <v>2821</v>
      </c>
      <c r="D710" s="141" t="s">
        <v>2822</v>
      </c>
      <c r="E710" s="140" t="s">
        <v>2823</v>
      </c>
      <c r="F710" s="140"/>
      <c r="G710" s="140"/>
    </row>
    <row r="711" spans="2:7" hidden="1">
      <c r="B711" s="141" t="s">
        <v>2824</v>
      </c>
      <c r="C711" s="140" t="s">
        <v>2825</v>
      </c>
      <c r="D711" s="141" t="s">
        <v>2536</v>
      </c>
      <c r="E711" s="140" t="s">
        <v>2826</v>
      </c>
      <c r="F711" s="140" t="s">
        <v>2827</v>
      </c>
      <c r="G711" s="140"/>
    </row>
    <row r="712" spans="2:7" hidden="1">
      <c r="B712" s="141" t="s">
        <v>2828</v>
      </c>
      <c r="C712" s="141" t="s">
        <v>2829</v>
      </c>
      <c r="D712" s="141" t="s">
        <v>2830</v>
      </c>
      <c r="E712" s="141" t="s">
        <v>2831</v>
      </c>
      <c r="F712" s="141" t="s">
        <v>2832</v>
      </c>
      <c r="G712" s="140"/>
    </row>
    <row r="713" spans="2:7" hidden="1">
      <c r="B713" s="141" t="s">
        <v>2833</v>
      </c>
      <c r="C713" s="140" t="s">
        <v>2834</v>
      </c>
      <c r="D713" s="141" t="s">
        <v>2835</v>
      </c>
      <c r="E713" s="140" t="s">
        <v>2836</v>
      </c>
      <c r="F713" s="140"/>
      <c r="G713" s="140"/>
    </row>
    <row r="714" spans="2:7" hidden="1">
      <c r="B714" s="141" t="s">
        <v>2837</v>
      </c>
      <c r="C714" s="140" t="s">
        <v>2838</v>
      </c>
      <c r="D714" s="141" t="s">
        <v>2839</v>
      </c>
      <c r="E714" s="140" t="s">
        <v>2840</v>
      </c>
      <c r="F714" s="140"/>
      <c r="G714" s="140"/>
    </row>
    <row r="715" spans="2:7" hidden="1">
      <c r="B715" s="140" t="s">
        <v>2841</v>
      </c>
      <c r="C715" s="140"/>
      <c r="D715" s="140" t="s">
        <v>2842</v>
      </c>
      <c r="E715" s="142"/>
      <c r="F715" s="142"/>
      <c r="G715" s="140"/>
    </row>
    <row r="716" spans="2:7" hidden="1">
      <c r="B716" s="140" t="s">
        <v>2843</v>
      </c>
      <c r="C716" s="140"/>
      <c r="D716" s="140" t="s">
        <v>2844</v>
      </c>
      <c r="E716" s="142"/>
      <c r="F716" s="142"/>
      <c r="G716" s="140"/>
    </row>
    <row r="717" spans="2:7" hidden="1">
      <c r="B717" s="141" t="s">
        <v>2845</v>
      </c>
      <c r="C717" s="140" t="s">
        <v>2846</v>
      </c>
      <c r="D717" s="141" t="s">
        <v>2847</v>
      </c>
      <c r="E717" s="140" t="s">
        <v>2848</v>
      </c>
      <c r="F717" s="140" t="s">
        <v>2849</v>
      </c>
      <c r="G717" s="140"/>
    </row>
    <row r="718" spans="2:7" hidden="1">
      <c r="B718" s="141" t="s">
        <v>2850</v>
      </c>
      <c r="C718" s="140"/>
      <c r="D718" s="141" t="s">
        <v>2851</v>
      </c>
      <c r="E718" s="140"/>
      <c r="F718" s="140"/>
      <c r="G718" s="140"/>
    </row>
    <row r="719" spans="2:7" hidden="1">
      <c r="B719" s="141" t="s">
        <v>2852</v>
      </c>
      <c r="C719" s="140" t="s">
        <v>2853</v>
      </c>
      <c r="D719" s="140" t="s">
        <v>2854</v>
      </c>
      <c r="E719" s="141" t="s">
        <v>2855</v>
      </c>
      <c r="F719" s="140" t="s">
        <v>2856</v>
      </c>
      <c r="G719" s="140"/>
    </row>
    <row r="720" spans="2:7" hidden="1">
      <c r="B720" s="141" t="s">
        <v>2857</v>
      </c>
      <c r="C720" s="141" t="s">
        <v>2858</v>
      </c>
      <c r="D720" s="141" t="s">
        <v>2377</v>
      </c>
      <c r="E720" s="140" t="s">
        <v>2859</v>
      </c>
      <c r="F720" s="140" t="s">
        <v>2860</v>
      </c>
      <c r="G720" s="140"/>
    </row>
    <row r="721" spans="2:7" hidden="1">
      <c r="B721" s="141" t="s">
        <v>2861</v>
      </c>
      <c r="C721" s="140" t="s">
        <v>2862</v>
      </c>
      <c r="D721" s="141" t="s">
        <v>2863</v>
      </c>
      <c r="E721" s="140"/>
      <c r="F721" s="140"/>
      <c r="G721" s="140"/>
    </row>
    <row r="722" spans="2:7" hidden="1">
      <c r="B722" s="141" t="s">
        <v>2864</v>
      </c>
      <c r="C722" s="140"/>
      <c r="D722" s="141" t="s">
        <v>2865</v>
      </c>
      <c r="E722" s="140"/>
      <c r="F722" s="140"/>
      <c r="G722" s="140"/>
    </row>
    <row r="723" spans="2:7" hidden="1">
      <c r="B723" s="141" t="s">
        <v>2866</v>
      </c>
      <c r="C723" s="140" t="s">
        <v>2867</v>
      </c>
      <c r="D723" s="141" t="s">
        <v>2868</v>
      </c>
      <c r="E723" s="140" t="s">
        <v>2869</v>
      </c>
      <c r="F723" s="140"/>
      <c r="G723" s="140"/>
    </row>
    <row r="724" spans="2:7" hidden="1">
      <c r="B724" s="140" t="s">
        <v>2870</v>
      </c>
      <c r="C724" s="140" t="s">
        <v>2871</v>
      </c>
      <c r="D724" s="140" t="s">
        <v>2872</v>
      </c>
      <c r="E724" s="140" t="s">
        <v>2873</v>
      </c>
      <c r="F724" s="140" t="s">
        <v>2874</v>
      </c>
      <c r="G724" s="140"/>
    </row>
    <row r="725" spans="2:7" hidden="1">
      <c r="B725" s="141" t="s">
        <v>2875</v>
      </c>
      <c r="C725" s="140"/>
      <c r="D725" s="141" t="s">
        <v>2876</v>
      </c>
      <c r="E725" s="140"/>
      <c r="F725" s="140"/>
      <c r="G725" s="140"/>
    </row>
    <row r="726" spans="2:7" hidden="1">
      <c r="B726" s="141" t="s">
        <v>2877</v>
      </c>
      <c r="C726" s="140"/>
      <c r="D726" s="141" t="s">
        <v>2878</v>
      </c>
      <c r="E726" s="140"/>
      <c r="F726" s="140"/>
      <c r="G726" s="140"/>
    </row>
    <row r="727" spans="2:7" hidden="1">
      <c r="B727" s="141" t="s">
        <v>2879</v>
      </c>
      <c r="C727" s="140"/>
      <c r="D727" s="141" t="s">
        <v>2880</v>
      </c>
      <c r="E727" s="140"/>
      <c r="F727" s="140"/>
      <c r="G727" s="140"/>
    </row>
    <row r="728" spans="2:7" hidden="1">
      <c r="B728" s="141" t="s">
        <v>2881</v>
      </c>
      <c r="C728" s="140"/>
      <c r="D728" s="141" t="s">
        <v>2882</v>
      </c>
      <c r="E728" s="140"/>
      <c r="F728" s="140"/>
      <c r="G728" s="140"/>
    </row>
    <row r="729" spans="2:7" hidden="1">
      <c r="B729" s="141" t="s">
        <v>2883</v>
      </c>
      <c r="C729" s="140" t="s">
        <v>2884</v>
      </c>
      <c r="D729" s="141" t="s">
        <v>2885</v>
      </c>
      <c r="E729" s="140" t="s">
        <v>2886</v>
      </c>
      <c r="F729" s="140" t="s">
        <v>2887</v>
      </c>
      <c r="G729" s="140"/>
    </row>
    <row r="730" spans="2:7" hidden="1">
      <c r="B730" s="141" t="s">
        <v>2888</v>
      </c>
      <c r="C730" s="140"/>
      <c r="D730" s="141" t="s">
        <v>2889</v>
      </c>
      <c r="E730" s="140"/>
      <c r="F730" s="140"/>
      <c r="G730" s="140"/>
    </row>
    <row r="731" spans="2:7" hidden="1">
      <c r="B731" s="141" t="s">
        <v>2890</v>
      </c>
      <c r="C731" s="140"/>
      <c r="D731" s="141" t="s">
        <v>2891</v>
      </c>
      <c r="E731" s="140"/>
      <c r="F731" s="140"/>
      <c r="G731" s="140"/>
    </row>
    <row r="732" spans="2:7" hidden="1">
      <c r="B732" s="141" t="s">
        <v>2892</v>
      </c>
      <c r="C732" s="140"/>
      <c r="D732" s="141" t="s">
        <v>2893</v>
      </c>
      <c r="E732" s="140"/>
      <c r="F732" s="140"/>
      <c r="G732" s="140"/>
    </row>
    <row r="733" spans="2:7" hidden="1">
      <c r="B733" s="140" t="s">
        <v>2894</v>
      </c>
      <c r="C733" s="140" t="s">
        <v>2895</v>
      </c>
      <c r="D733" s="140" t="s">
        <v>2896</v>
      </c>
      <c r="E733" s="142" t="s">
        <v>2897</v>
      </c>
      <c r="F733" s="142" t="s">
        <v>2898</v>
      </c>
      <c r="G733" s="140"/>
    </row>
    <row r="734" spans="2:7" hidden="1">
      <c r="B734" s="141" t="s">
        <v>2899</v>
      </c>
      <c r="C734" s="140" t="s">
        <v>2900</v>
      </c>
      <c r="D734" s="141" t="s">
        <v>2901</v>
      </c>
      <c r="E734" s="140" t="s">
        <v>2902</v>
      </c>
      <c r="F734" s="140" t="s">
        <v>2903</v>
      </c>
      <c r="G734" s="140"/>
    </row>
    <row r="735" spans="2:7" hidden="1">
      <c r="B735" s="141" t="s">
        <v>2904</v>
      </c>
      <c r="C735" s="140"/>
      <c r="D735" s="141" t="s">
        <v>2905</v>
      </c>
      <c r="E735" s="140"/>
      <c r="F735" s="140"/>
      <c r="G735" s="140"/>
    </row>
    <row r="736" spans="2:7" hidden="1">
      <c r="B736" s="140" t="s">
        <v>2906</v>
      </c>
      <c r="C736" s="140" t="s">
        <v>2907</v>
      </c>
      <c r="D736" s="140" t="s">
        <v>2908</v>
      </c>
      <c r="E736" s="142" t="s">
        <v>2909</v>
      </c>
      <c r="F736" s="142" t="s">
        <v>2910</v>
      </c>
      <c r="G736" s="140"/>
    </row>
    <row r="737" spans="2:7" hidden="1">
      <c r="B737" s="141" t="s">
        <v>2911</v>
      </c>
      <c r="C737" s="140" t="s">
        <v>2912</v>
      </c>
      <c r="D737" s="141" t="s">
        <v>2913</v>
      </c>
      <c r="E737" s="140" t="s">
        <v>2914</v>
      </c>
      <c r="F737" s="140"/>
      <c r="G737" s="140"/>
    </row>
    <row r="738" spans="2:7" hidden="1">
      <c r="B738" s="141" t="s">
        <v>2915</v>
      </c>
      <c r="C738" s="140" t="s">
        <v>2916</v>
      </c>
      <c r="D738" s="141" t="s">
        <v>2917</v>
      </c>
      <c r="E738" s="140" t="s">
        <v>2918</v>
      </c>
      <c r="F738" s="140"/>
      <c r="G738" s="140"/>
    </row>
    <row r="739" spans="2:7" hidden="1">
      <c r="B739" s="141" t="s">
        <v>2919</v>
      </c>
      <c r="C739" s="140"/>
      <c r="D739" s="141" t="s">
        <v>2920</v>
      </c>
      <c r="E739" s="140"/>
      <c r="F739" s="140"/>
      <c r="G739" s="140"/>
    </row>
    <row r="740" spans="2:7" hidden="1">
      <c r="B740" s="140" t="s">
        <v>2921</v>
      </c>
      <c r="C740" s="140"/>
      <c r="D740" s="140" t="s">
        <v>2922</v>
      </c>
      <c r="E740" s="140"/>
      <c r="F740" s="140"/>
      <c r="G740" s="140"/>
    </row>
    <row r="741" spans="2:7" hidden="1">
      <c r="B741" s="140" t="s">
        <v>21474</v>
      </c>
      <c r="C741" s="140" t="s">
        <v>2923</v>
      </c>
      <c r="D741" s="140" t="s">
        <v>2924</v>
      </c>
      <c r="E741" s="142" t="s">
        <v>2925</v>
      </c>
      <c r="F741" s="142" t="s">
        <v>2926</v>
      </c>
      <c r="G741" s="140"/>
    </row>
    <row r="742" spans="2:7" hidden="1">
      <c r="B742" s="140" t="s">
        <v>21475</v>
      </c>
      <c r="C742" s="140" t="s">
        <v>2927</v>
      </c>
      <c r="D742" s="140" t="s">
        <v>2928</v>
      </c>
      <c r="E742" s="142" t="s">
        <v>2929</v>
      </c>
      <c r="F742" s="142" t="s">
        <v>2930</v>
      </c>
      <c r="G742" s="140"/>
    </row>
    <row r="743" spans="2:7" hidden="1">
      <c r="B743" s="141" t="s">
        <v>2931</v>
      </c>
      <c r="C743" s="140"/>
      <c r="D743" s="141" t="s">
        <v>2110</v>
      </c>
      <c r="E743" s="140"/>
      <c r="F743" s="140"/>
      <c r="G743" s="140"/>
    </row>
    <row r="744" spans="2:7" hidden="1">
      <c r="B744" s="141" t="s">
        <v>2932</v>
      </c>
      <c r="C744" s="141" t="s">
        <v>2933</v>
      </c>
      <c r="D744" s="141" t="s">
        <v>2934</v>
      </c>
      <c r="E744" s="141"/>
      <c r="F744" s="141"/>
      <c r="G744" s="140"/>
    </row>
    <row r="745" spans="2:7" hidden="1">
      <c r="B745" s="140" t="s">
        <v>2935</v>
      </c>
      <c r="C745" s="140"/>
      <c r="D745" s="140" t="s">
        <v>2936</v>
      </c>
      <c r="E745" s="142"/>
      <c r="F745" s="142"/>
      <c r="G745" s="140"/>
    </row>
    <row r="746" spans="2:7" hidden="1">
      <c r="B746" s="141" t="s">
        <v>2937</v>
      </c>
      <c r="C746" s="140" t="s">
        <v>2938</v>
      </c>
      <c r="D746" s="141" t="s">
        <v>2939</v>
      </c>
      <c r="E746" s="140"/>
      <c r="F746" s="140"/>
      <c r="G746" s="140" t="s">
        <v>2940</v>
      </c>
    </row>
    <row r="747" spans="2:7" hidden="1">
      <c r="B747" s="140" t="s">
        <v>2941</v>
      </c>
      <c r="C747" s="140"/>
      <c r="D747" s="140" t="s">
        <v>2942</v>
      </c>
      <c r="E747" s="142"/>
      <c r="F747" s="142"/>
      <c r="G747" s="140"/>
    </row>
    <row r="748" spans="2:7" hidden="1">
      <c r="B748" s="141" t="s">
        <v>2943</v>
      </c>
      <c r="C748" s="140"/>
      <c r="D748" s="141" t="s">
        <v>2944</v>
      </c>
      <c r="E748" s="141"/>
      <c r="F748" s="140"/>
      <c r="G748" s="140"/>
    </row>
    <row r="749" spans="2:7" hidden="1">
      <c r="B749" s="141" t="s">
        <v>2945</v>
      </c>
      <c r="C749" s="140" t="s">
        <v>2946</v>
      </c>
      <c r="D749" s="141" t="s">
        <v>2947</v>
      </c>
      <c r="E749" s="140"/>
      <c r="F749" s="140"/>
      <c r="G749" s="140"/>
    </row>
    <row r="750" spans="2:7" hidden="1">
      <c r="B750" s="141" t="s">
        <v>2948</v>
      </c>
      <c r="C750" s="140"/>
      <c r="D750" s="141" t="s">
        <v>2949</v>
      </c>
      <c r="E750" s="140"/>
      <c r="F750" s="140"/>
      <c r="G750" s="140"/>
    </row>
    <row r="751" spans="2:7" hidden="1">
      <c r="B751" s="141" t="s">
        <v>2950</v>
      </c>
      <c r="C751" s="140" t="s">
        <v>2951</v>
      </c>
      <c r="D751" s="141" t="s">
        <v>2952</v>
      </c>
      <c r="E751" s="140"/>
      <c r="F751" s="140"/>
      <c r="G751" s="140"/>
    </row>
    <row r="752" spans="2:7" hidden="1">
      <c r="B752" s="141" t="s">
        <v>2953</v>
      </c>
      <c r="C752" s="140"/>
      <c r="D752" s="141" t="s">
        <v>2954</v>
      </c>
      <c r="E752" s="140"/>
      <c r="F752" s="140"/>
      <c r="G752" s="140"/>
    </row>
    <row r="753" spans="2:7" hidden="1">
      <c r="B753" s="141" t="s">
        <v>2955</v>
      </c>
      <c r="C753" s="140" t="s">
        <v>2956</v>
      </c>
      <c r="D753" s="141" t="s">
        <v>2957</v>
      </c>
      <c r="E753" s="140" t="s">
        <v>2958</v>
      </c>
      <c r="F753" s="140" t="s">
        <v>2959</v>
      </c>
      <c r="G753" s="140"/>
    </row>
    <row r="754" spans="2:7" hidden="1">
      <c r="B754" s="141" t="s">
        <v>2960</v>
      </c>
      <c r="C754" s="140" t="s">
        <v>2961</v>
      </c>
      <c r="D754" s="141" t="s">
        <v>2962</v>
      </c>
      <c r="E754" s="140" t="s">
        <v>2963</v>
      </c>
      <c r="F754" s="140" t="s">
        <v>2964</v>
      </c>
      <c r="G754" s="140"/>
    </row>
    <row r="755" spans="2:7" hidden="1">
      <c r="B755" s="141" t="s">
        <v>2965</v>
      </c>
      <c r="C755" s="140" t="s">
        <v>2966</v>
      </c>
      <c r="D755" s="141" t="s">
        <v>2967</v>
      </c>
      <c r="E755" s="140" t="s">
        <v>2968</v>
      </c>
      <c r="F755" s="140" t="s">
        <v>2969</v>
      </c>
      <c r="G755" s="140"/>
    </row>
    <row r="756" spans="2:7" hidden="1">
      <c r="B756" s="141" t="s">
        <v>2970</v>
      </c>
      <c r="C756" s="140" t="s">
        <v>2971</v>
      </c>
      <c r="D756" s="141" t="s">
        <v>2972</v>
      </c>
      <c r="E756" s="140" t="s">
        <v>2973</v>
      </c>
      <c r="F756" s="140" t="s">
        <v>2974</v>
      </c>
      <c r="G756" s="140"/>
    </row>
    <row r="757" spans="2:7" hidden="1">
      <c r="B757" s="141" t="s">
        <v>2975</v>
      </c>
      <c r="C757" s="140" t="s">
        <v>2976</v>
      </c>
      <c r="D757" s="141" t="s">
        <v>2977</v>
      </c>
      <c r="E757" s="140" t="s">
        <v>2978</v>
      </c>
      <c r="F757" s="140" t="s">
        <v>2979</v>
      </c>
      <c r="G757" s="140"/>
    </row>
    <row r="758" spans="2:7" hidden="1">
      <c r="B758" s="140" t="s">
        <v>2980</v>
      </c>
      <c r="C758" s="140" t="s">
        <v>2981</v>
      </c>
      <c r="D758" s="140" t="s">
        <v>2982</v>
      </c>
      <c r="E758" s="142" t="s">
        <v>2983</v>
      </c>
      <c r="F758" s="142" t="s">
        <v>2984</v>
      </c>
      <c r="G758" s="140" t="s">
        <v>2985</v>
      </c>
    </row>
    <row r="759" spans="2:7" hidden="1">
      <c r="B759" s="141" t="s">
        <v>2986</v>
      </c>
      <c r="C759" s="140" t="s">
        <v>2987</v>
      </c>
      <c r="D759" s="141" t="s">
        <v>2226</v>
      </c>
      <c r="E759" s="140" t="s">
        <v>2988</v>
      </c>
      <c r="F759" s="140" t="s">
        <v>2989</v>
      </c>
      <c r="G759" s="140"/>
    </row>
    <row r="760" spans="2:7" hidden="1">
      <c r="B760" s="141" t="s">
        <v>21476</v>
      </c>
      <c r="C760" s="140"/>
      <c r="D760" s="141" t="s">
        <v>2361</v>
      </c>
      <c r="E760" s="140"/>
      <c r="F760" s="140"/>
      <c r="G760" s="140"/>
    </row>
    <row r="761" spans="2:7" hidden="1">
      <c r="B761" s="141" t="s">
        <v>2990</v>
      </c>
      <c r="C761" s="140"/>
      <c r="D761" s="141" t="s">
        <v>2991</v>
      </c>
      <c r="E761" s="140"/>
      <c r="F761" s="140"/>
      <c r="G761" s="140"/>
    </row>
    <row r="762" spans="2:7" hidden="1">
      <c r="B762" s="141" t="s">
        <v>2992</v>
      </c>
      <c r="C762" s="141"/>
      <c r="D762" s="141" t="s">
        <v>2993</v>
      </c>
      <c r="E762" s="141"/>
      <c r="F762" s="140"/>
      <c r="G762" s="140"/>
    </row>
    <row r="763" spans="2:7" hidden="1">
      <c r="B763" s="141" t="s">
        <v>2994</v>
      </c>
      <c r="C763" s="140"/>
      <c r="D763" s="141" t="s">
        <v>2995</v>
      </c>
      <c r="E763" s="140"/>
      <c r="F763" s="140"/>
      <c r="G763" s="140"/>
    </row>
    <row r="764" spans="2:7" hidden="1">
      <c r="B764" s="141" t="s">
        <v>2996</v>
      </c>
      <c r="C764" s="140"/>
      <c r="D764" s="141" t="s">
        <v>2997</v>
      </c>
      <c r="E764" s="140"/>
      <c r="F764" s="140"/>
      <c r="G764" s="140"/>
    </row>
    <row r="765" spans="2:7" hidden="1">
      <c r="B765" s="141" t="s">
        <v>2998</v>
      </c>
      <c r="C765" s="140"/>
      <c r="D765" s="141" t="s">
        <v>2999</v>
      </c>
      <c r="E765" s="140"/>
      <c r="F765" s="140"/>
      <c r="G765" s="140"/>
    </row>
    <row r="766" spans="2:7" hidden="1">
      <c r="B766" s="141" t="s">
        <v>3000</v>
      </c>
      <c r="C766" s="140"/>
      <c r="D766" s="141" t="s">
        <v>3001</v>
      </c>
      <c r="E766" s="140"/>
      <c r="F766" s="140"/>
      <c r="G766" s="140"/>
    </row>
    <row r="767" spans="2:7" hidden="1">
      <c r="B767" s="141" t="s">
        <v>3002</v>
      </c>
      <c r="C767" s="140"/>
      <c r="D767" s="141" t="s">
        <v>3003</v>
      </c>
      <c r="E767" s="140"/>
      <c r="F767" s="140"/>
      <c r="G767" s="140"/>
    </row>
    <row r="768" spans="2:7" hidden="1">
      <c r="B768" s="141" t="s">
        <v>3004</v>
      </c>
      <c r="C768" s="140"/>
      <c r="D768" s="141" t="s">
        <v>2842</v>
      </c>
      <c r="E768" s="140"/>
      <c r="F768" s="140"/>
      <c r="G768" s="140"/>
    </row>
    <row r="769" spans="2:7" hidden="1">
      <c r="B769" s="141" t="s">
        <v>3005</v>
      </c>
      <c r="C769" s="140"/>
      <c r="D769" s="141" t="s">
        <v>3006</v>
      </c>
      <c r="E769" s="140"/>
      <c r="F769" s="140"/>
      <c r="G769" s="140"/>
    </row>
    <row r="770" spans="2:7" hidden="1">
      <c r="B770" s="141" t="s">
        <v>3007</v>
      </c>
      <c r="C770" s="140"/>
      <c r="D770" s="141" t="s">
        <v>3008</v>
      </c>
      <c r="E770" s="140"/>
      <c r="F770" s="140"/>
      <c r="G770" s="140"/>
    </row>
    <row r="771" spans="2:7" hidden="1">
      <c r="B771" s="141" t="s">
        <v>3009</v>
      </c>
      <c r="C771" s="140"/>
      <c r="D771" s="141" t="s">
        <v>3010</v>
      </c>
      <c r="E771" s="140"/>
      <c r="F771" s="140"/>
      <c r="G771" s="140"/>
    </row>
    <row r="772" spans="2:7" hidden="1">
      <c r="B772" s="140" t="s">
        <v>3011</v>
      </c>
      <c r="C772" s="140"/>
      <c r="D772" s="140" t="s">
        <v>3012</v>
      </c>
      <c r="E772" s="142"/>
      <c r="F772" s="142"/>
      <c r="G772" s="140"/>
    </row>
    <row r="773" spans="2:7" hidden="1">
      <c r="B773" s="141" t="s">
        <v>21477</v>
      </c>
      <c r="C773" s="141"/>
      <c r="D773" s="141" t="s">
        <v>3013</v>
      </c>
      <c r="E773" s="141"/>
      <c r="F773" s="141"/>
      <c r="G773" s="140"/>
    </row>
    <row r="774" spans="2:7" hidden="1">
      <c r="B774" s="141" t="s">
        <v>3014</v>
      </c>
      <c r="C774" s="140"/>
      <c r="D774" s="141" t="s">
        <v>2690</v>
      </c>
      <c r="E774" s="140"/>
      <c r="F774" s="140"/>
      <c r="G774" s="140"/>
    </row>
    <row r="775" spans="2:7" hidden="1">
      <c r="B775" s="141" t="s">
        <v>3015</v>
      </c>
      <c r="C775" s="140"/>
      <c r="D775" s="141" t="s">
        <v>3016</v>
      </c>
      <c r="E775" s="140"/>
      <c r="F775" s="140"/>
      <c r="G775" s="140"/>
    </row>
    <row r="776" spans="2:7" hidden="1">
      <c r="B776" s="140" t="s">
        <v>3017</v>
      </c>
      <c r="C776" s="140" t="s">
        <v>3018</v>
      </c>
      <c r="D776" s="140" t="s">
        <v>3019</v>
      </c>
      <c r="E776" s="142" t="s">
        <v>3020</v>
      </c>
      <c r="F776" s="142" t="s">
        <v>3021</v>
      </c>
      <c r="G776" s="140"/>
    </row>
    <row r="777" spans="2:7" hidden="1">
      <c r="B777" s="140" t="s">
        <v>3022</v>
      </c>
      <c r="C777" s="140"/>
      <c r="D777" s="140" t="s">
        <v>3023</v>
      </c>
      <c r="E777" s="142"/>
      <c r="F777" s="142"/>
      <c r="G777" s="140"/>
    </row>
    <row r="778" spans="2:7" hidden="1">
      <c r="B778" s="140" t="s">
        <v>3024</v>
      </c>
      <c r="C778" s="140"/>
      <c r="D778" s="140" t="s">
        <v>3025</v>
      </c>
      <c r="E778" s="142"/>
      <c r="F778" s="142"/>
      <c r="G778" s="140"/>
    </row>
    <row r="779" spans="2:7" hidden="1">
      <c r="B779" s="140" t="s">
        <v>3026</v>
      </c>
      <c r="C779" s="140"/>
      <c r="D779" s="140" t="s">
        <v>3027</v>
      </c>
      <c r="E779" s="142"/>
      <c r="F779" s="142"/>
      <c r="G779" s="140"/>
    </row>
    <row r="780" spans="2:7" hidden="1">
      <c r="B780" s="141" t="s">
        <v>3028</v>
      </c>
      <c r="C780" s="141" t="s">
        <v>3029</v>
      </c>
      <c r="D780" s="141" t="s">
        <v>3030</v>
      </c>
      <c r="E780" s="141" t="s">
        <v>3031</v>
      </c>
      <c r="F780" s="141"/>
      <c r="G780" s="140"/>
    </row>
    <row r="781" spans="2:7" hidden="1">
      <c r="B781" s="141" t="s">
        <v>3032</v>
      </c>
      <c r="C781" s="140" t="s">
        <v>3033</v>
      </c>
      <c r="D781" s="141" t="s">
        <v>3034</v>
      </c>
      <c r="E781" s="140"/>
      <c r="F781" s="140"/>
      <c r="G781" s="140"/>
    </row>
    <row r="782" spans="2:7" hidden="1">
      <c r="B782" s="141" t="s">
        <v>3035</v>
      </c>
      <c r="C782" s="140" t="s">
        <v>3036</v>
      </c>
      <c r="D782" s="141" t="s">
        <v>3037</v>
      </c>
      <c r="E782" s="140"/>
      <c r="F782" s="140"/>
      <c r="G782" s="140"/>
    </row>
    <row r="783" spans="2:7" hidden="1">
      <c r="B783" s="141" t="s">
        <v>3038</v>
      </c>
      <c r="C783" s="140" t="s">
        <v>3039</v>
      </c>
      <c r="D783" s="141" t="s">
        <v>3040</v>
      </c>
      <c r="E783" s="140" t="s">
        <v>3041</v>
      </c>
      <c r="F783" s="140" t="s">
        <v>3042</v>
      </c>
      <c r="G783" s="140"/>
    </row>
    <row r="784" spans="2:7" hidden="1">
      <c r="B784" s="141" t="s">
        <v>3043</v>
      </c>
      <c r="C784" s="140"/>
      <c r="D784" s="141" t="s">
        <v>3044</v>
      </c>
      <c r="E784" s="140"/>
      <c r="F784" s="140"/>
      <c r="G784" s="140"/>
    </row>
    <row r="785" spans="2:7" hidden="1">
      <c r="B785" s="141" t="s">
        <v>3045</v>
      </c>
      <c r="C785" s="140"/>
      <c r="D785" s="141" t="s">
        <v>3046</v>
      </c>
      <c r="E785" s="140"/>
      <c r="F785" s="140"/>
      <c r="G785" s="140"/>
    </row>
    <row r="786" spans="2:7" hidden="1">
      <c r="B786" s="141" t="s">
        <v>3047</v>
      </c>
      <c r="C786" s="141"/>
      <c r="D786" s="141" t="s">
        <v>3048</v>
      </c>
      <c r="E786" s="141" t="s">
        <v>3049</v>
      </c>
      <c r="F786" s="140"/>
      <c r="G786" s="140"/>
    </row>
    <row r="787" spans="2:7" hidden="1">
      <c r="B787" s="141" t="s">
        <v>3050</v>
      </c>
      <c r="C787" s="140"/>
      <c r="D787" s="141" t="s">
        <v>3051</v>
      </c>
      <c r="E787" s="140"/>
      <c r="F787" s="140"/>
      <c r="G787" s="140"/>
    </row>
    <row r="788" spans="2:7" hidden="1">
      <c r="B788" s="140" t="s">
        <v>3052</v>
      </c>
      <c r="C788" s="140"/>
      <c r="D788" s="140" t="s">
        <v>2253</v>
      </c>
      <c r="E788" s="142"/>
      <c r="F788" s="142"/>
      <c r="G788" s="140"/>
    </row>
    <row r="789" spans="2:7" hidden="1">
      <c r="B789" s="141" t="s">
        <v>21478</v>
      </c>
      <c r="C789" s="140"/>
      <c r="D789" s="141" t="s">
        <v>3053</v>
      </c>
      <c r="E789" s="140"/>
      <c r="F789" s="140"/>
      <c r="G789" s="140"/>
    </row>
    <row r="790" spans="2:7" hidden="1">
      <c r="B790" s="140" t="s">
        <v>3060</v>
      </c>
      <c r="C790" s="140"/>
      <c r="D790" s="140" t="s">
        <v>3061</v>
      </c>
      <c r="E790" s="142"/>
      <c r="F790" s="142"/>
      <c r="G790" s="140"/>
    </row>
    <row r="791" spans="2:7" hidden="1">
      <c r="B791" s="140" t="s">
        <v>3062</v>
      </c>
      <c r="C791" s="140"/>
      <c r="D791" s="140" t="s">
        <v>2924</v>
      </c>
      <c r="E791" s="142"/>
      <c r="F791" s="142"/>
      <c r="G791" s="140"/>
    </row>
    <row r="792" spans="2:7" hidden="1">
      <c r="B792" s="140" t="s">
        <v>3063</v>
      </c>
      <c r="C792" s="140"/>
      <c r="D792" s="140" t="s">
        <v>3064</v>
      </c>
      <c r="E792" s="142"/>
      <c r="F792" s="142"/>
      <c r="G792" s="140"/>
    </row>
    <row r="793" spans="2:7" hidden="1">
      <c r="B793" s="141" t="s">
        <v>3065</v>
      </c>
      <c r="C793" s="141"/>
      <c r="D793" s="141" t="s">
        <v>3066</v>
      </c>
      <c r="E793" s="141"/>
      <c r="F793" s="140"/>
      <c r="G793" s="140"/>
    </row>
    <row r="794" spans="2:7" hidden="1">
      <c r="B794" s="141" t="s">
        <v>21481</v>
      </c>
      <c r="C794" s="140"/>
      <c r="D794" s="141" t="s">
        <v>1249</v>
      </c>
      <c r="E794" s="140"/>
      <c r="F794" s="140"/>
      <c r="G794" s="140"/>
    </row>
    <row r="795" spans="2:7" hidden="1">
      <c r="B795" s="141" t="s">
        <v>3067</v>
      </c>
      <c r="C795" s="140"/>
      <c r="D795" s="141" t="s">
        <v>3068</v>
      </c>
      <c r="E795" s="140"/>
      <c r="F795" s="140"/>
      <c r="G795" s="140"/>
    </row>
    <row r="796" spans="2:7" hidden="1">
      <c r="B796" s="141" t="s">
        <v>3069</v>
      </c>
      <c r="C796" s="140" t="s">
        <v>3070</v>
      </c>
      <c r="D796" s="141" t="s">
        <v>3071</v>
      </c>
      <c r="E796" s="140" t="s">
        <v>3072</v>
      </c>
      <c r="F796" s="140"/>
      <c r="G796" s="140"/>
    </row>
    <row r="797" spans="2:7" hidden="1">
      <c r="B797" s="140" t="s">
        <v>3073</v>
      </c>
      <c r="C797" s="140" t="s">
        <v>3074</v>
      </c>
      <c r="D797" s="140" t="s">
        <v>3075</v>
      </c>
      <c r="E797" s="140" t="s">
        <v>3076</v>
      </c>
      <c r="F797" s="140" t="s">
        <v>3077</v>
      </c>
      <c r="G797" s="140"/>
    </row>
    <row r="798" spans="2:7" hidden="1">
      <c r="B798" s="141" t="s">
        <v>3078</v>
      </c>
      <c r="C798" s="140"/>
      <c r="D798" s="141" t="s">
        <v>3079</v>
      </c>
      <c r="E798" s="140"/>
      <c r="F798" s="140"/>
      <c r="G798" s="140"/>
    </row>
    <row r="799" spans="2:7" hidden="1">
      <c r="B799" s="141" t="s">
        <v>3080</v>
      </c>
      <c r="C799" s="140" t="s">
        <v>3081</v>
      </c>
      <c r="D799" s="141" t="s">
        <v>1395</v>
      </c>
      <c r="E799" s="140" t="s">
        <v>3082</v>
      </c>
      <c r="F799" s="140" t="s">
        <v>3083</v>
      </c>
      <c r="G799" s="140"/>
    </row>
    <row r="800" spans="2:7" hidden="1">
      <c r="B800" s="141" t="s">
        <v>3084</v>
      </c>
      <c r="C800" s="140"/>
      <c r="D800" s="141" t="s">
        <v>3085</v>
      </c>
      <c r="E800" s="140"/>
      <c r="F800" s="140"/>
      <c r="G800" s="140"/>
    </row>
    <row r="801" spans="2:7" hidden="1">
      <c r="B801" s="141" t="s">
        <v>3086</v>
      </c>
      <c r="C801" s="140" t="s">
        <v>3087</v>
      </c>
      <c r="D801" s="141" t="s">
        <v>3055</v>
      </c>
      <c r="E801" s="140"/>
      <c r="F801" s="140"/>
      <c r="G801" s="140" t="s">
        <v>3088</v>
      </c>
    </row>
    <row r="802" spans="2:7" hidden="1">
      <c r="B802" s="141" t="s">
        <v>21479</v>
      </c>
      <c r="C802" s="140" t="s">
        <v>3054</v>
      </c>
      <c r="D802" s="141" t="s">
        <v>3055</v>
      </c>
      <c r="E802" s="140" t="s">
        <v>3056</v>
      </c>
      <c r="F802" s="140"/>
      <c r="G802" s="140"/>
    </row>
    <row r="803" spans="2:7" hidden="1">
      <c r="B803" s="141" t="s">
        <v>21480</v>
      </c>
      <c r="C803" s="140" t="s">
        <v>3057</v>
      </c>
      <c r="D803" s="141" t="s">
        <v>3058</v>
      </c>
      <c r="E803" s="140" t="s">
        <v>3059</v>
      </c>
      <c r="F803" s="140"/>
      <c r="G803" s="140"/>
    </row>
    <row r="804" spans="2:7" hidden="1">
      <c r="B804" s="141" t="s">
        <v>3103</v>
      </c>
      <c r="C804" s="140"/>
      <c r="D804" s="141" t="s">
        <v>3104</v>
      </c>
      <c r="E804" s="140"/>
      <c r="F804" s="140"/>
      <c r="G804" s="140"/>
    </row>
    <row r="805" spans="2:7" hidden="1">
      <c r="B805" s="141" t="s">
        <v>21482</v>
      </c>
      <c r="C805" s="141"/>
      <c r="D805" s="141" t="s">
        <v>3089</v>
      </c>
      <c r="E805" s="141"/>
      <c r="F805" s="140"/>
      <c r="G805" s="140"/>
    </row>
    <row r="806" spans="2:7" hidden="1">
      <c r="B806" s="141" t="s">
        <v>21483</v>
      </c>
      <c r="C806" s="141" t="s">
        <v>3090</v>
      </c>
      <c r="D806" s="141" t="s">
        <v>3091</v>
      </c>
      <c r="E806" s="141" t="s">
        <v>3092</v>
      </c>
      <c r="F806" s="141" t="s">
        <v>3093</v>
      </c>
      <c r="G806" s="140"/>
    </row>
    <row r="807" spans="2:7" hidden="1">
      <c r="B807" s="141" t="s">
        <v>21484</v>
      </c>
      <c r="C807" s="140"/>
      <c r="D807" s="141" t="s">
        <v>3094</v>
      </c>
      <c r="E807" s="140"/>
      <c r="F807" s="140"/>
      <c r="G807" s="140"/>
    </row>
    <row r="808" spans="2:7" hidden="1">
      <c r="B808" s="141" t="s">
        <v>21485</v>
      </c>
      <c r="C808" s="140" t="s">
        <v>3095</v>
      </c>
      <c r="D808" s="141" t="s">
        <v>3096</v>
      </c>
      <c r="E808" s="140" t="s">
        <v>3097</v>
      </c>
      <c r="F808" s="140" t="s">
        <v>3098</v>
      </c>
      <c r="G808" s="140"/>
    </row>
    <row r="809" spans="2:7" hidden="1">
      <c r="B809" s="141" t="s">
        <v>21486</v>
      </c>
      <c r="C809" s="140" t="s">
        <v>3090</v>
      </c>
      <c r="D809" s="141" t="s">
        <v>3091</v>
      </c>
      <c r="E809" s="140" t="s">
        <v>3092</v>
      </c>
      <c r="F809" s="140" t="s">
        <v>3093</v>
      </c>
      <c r="G809" s="140"/>
    </row>
    <row r="810" spans="2:7" hidden="1">
      <c r="B810" s="141" t="s">
        <v>21487</v>
      </c>
      <c r="C810" s="140"/>
      <c r="D810" s="141" t="s">
        <v>3099</v>
      </c>
      <c r="E810" s="140"/>
      <c r="F810" s="140"/>
      <c r="G810" s="140"/>
    </row>
    <row r="811" spans="2:7" hidden="1">
      <c r="B811" s="141" t="s">
        <v>21488</v>
      </c>
      <c r="C811" s="140"/>
      <c r="D811" s="141" t="s">
        <v>3100</v>
      </c>
      <c r="E811" s="140"/>
      <c r="F811" s="140"/>
      <c r="G811" s="140"/>
    </row>
    <row r="812" spans="2:7" hidden="1">
      <c r="B812" s="141" t="s">
        <v>21489</v>
      </c>
      <c r="C812" s="140"/>
      <c r="D812" s="141" t="s">
        <v>3101</v>
      </c>
      <c r="E812" s="140"/>
      <c r="F812" s="140"/>
      <c r="G812" s="140"/>
    </row>
    <row r="813" spans="2:7" hidden="1">
      <c r="B813" s="141" t="s">
        <v>21490</v>
      </c>
      <c r="C813" s="140"/>
      <c r="D813" s="141" t="s">
        <v>3102</v>
      </c>
      <c r="E813" s="140"/>
      <c r="F813" s="140"/>
      <c r="G813" s="140"/>
    </row>
    <row r="814" spans="2:7" hidden="1">
      <c r="B814" s="140" t="s">
        <v>21491</v>
      </c>
      <c r="C814" s="140" t="s">
        <v>21355</v>
      </c>
      <c r="D814" s="140" t="s">
        <v>21356</v>
      </c>
      <c r="E814" s="142" t="s">
        <v>3059</v>
      </c>
      <c r="F814" s="142"/>
      <c r="G814" s="140"/>
    </row>
    <row r="815" spans="2:7" hidden="1">
      <c r="B815" s="141" t="s">
        <v>3105</v>
      </c>
      <c r="C815" s="140"/>
      <c r="D815" s="141" t="s">
        <v>3106</v>
      </c>
      <c r="E815" s="140"/>
      <c r="F815" s="140"/>
      <c r="G815" s="140"/>
    </row>
    <row r="816" spans="2:7" hidden="1">
      <c r="B816" s="141" t="s">
        <v>3107</v>
      </c>
      <c r="C816" s="140"/>
      <c r="D816" s="141" t="s">
        <v>3108</v>
      </c>
      <c r="E816" s="140"/>
      <c r="F816" s="140"/>
      <c r="G816" s="140"/>
    </row>
    <row r="817" spans="2:7" hidden="1">
      <c r="B817" s="141" t="s">
        <v>3109</v>
      </c>
      <c r="C817" s="140"/>
      <c r="D817" s="141" t="s">
        <v>3110</v>
      </c>
      <c r="E817" s="140"/>
      <c r="F817" s="140"/>
      <c r="G817" s="140"/>
    </row>
    <row r="818" spans="2:7" hidden="1">
      <c r="B818" s="141" t="s">
        <v>3111</v>
      </c>
      <c r="C818" s="140"/>
      <c r="D818" s="141" t="s">
        <v>3112</v>
      </c>
      <c r="E818" s="140"/>
      <c r="F818" s="140"/>
      <c r="G818" s="140"/>
    </row>
    <row r="819" spans="2:7" hidden="1">
      <c r="B819" s="141" t="s">
        <v>3113</v>
      </c>
      <c r="C819" s="140"/>
      <c r="D819" s="141" t="s">
        <v>3114</v>
      </c>
      <c r="E819" s="140"/>
      <c r="F819" s="140"/>
      <c r="G819" s="140"/>
    </row>
    <row r="820" spans="2:7" hidden="1">
      <c r="B820" s="141" t="s">
        <v>3115</v>
      </c>
      <c r="C820" s="141"/>
      <c r="D820" s="141" t="s">
        <v>3116</v>
      </c>
      <c r="E820" s="140"/>
      <c r="F820" s="140"/>
      <c r="G820" s="140"/>
    </row>
    <row r="821" spans="2:7" hidden="1">
      <c r="B821" s="141" t="s">
        <v>3117</v>
      </c>
      <c r="C821" s="140"/>
      <c r="D821" s="141" t="s">
        <v>3118</v>
      </c>
      <c r="E821" s="140"/>
      <c r="F821" s="140"/>
      <c r="G821" s="140"/>
    </row>
    <row r="822" spans="2:7" hidden="1">
      <c r="B822" s="141" t="s">
        <v>21492</v>
      </c>
      <c r="C822" s="140"/>
      <c r="D822" s="141" t="s">
        <v>3119</v>
      </c>
      <c r="E822" s="140"/>
      <c r="F822" s="140"/>
      <c r="G822" s="140"/>
    </row>
    <row r="823" spans="2:7" hidden="1">
      <c r="B823" s="141" t="s">
        <v>3120</v>
      </c>
      <c r="C823" s="140"/>
      <c r="D823" s="141" t="s">
        <v>3121</v>
      </c>
      <c r="E823" s="140"/>
      <c r="F823" s="140"/>
      <c r="G823" s="140"/>
    </row>
    <row r="824" spans="2:7" hidden="1">
      <c r="B824" s="141" t="s">
        <v>3122</v>
      </c>
      <c r="C824" s="140" t="s">
        <v>3123</v>
      </c>
      <c r="D824" s="141" t="s">
        <v>3124</v>
      </c>
      <c r="E824" s="140" t="s">
        <v>3125</v>
      </c>
      <c r="F824" s="140" t="s">
        <v>3126</v>
      </c>
      <c r="G824" s="140"/>
    </row>
    <row r="825" spans="2:7" hidden="1">
      <c r="B825" s="140" t="s">
        <v>21097</v>
      </c>
      <c r="C825" s="140" t="s">
        <v>21098</v>
      </c>
      <c r="D825" s="140" t="s">
        <v>21099</v>
      </c>
      <c r="E825" s="142" t="s">
        <v>21100</v>
      </c>
      <c r="F825" s="142"/>
      <c r="G825" s="140" t="s">
        <v>21101</v>
      </c>
    </row>
    <row r="826" spans="2:7" hidden="1">
      <c r="B826" s="141" t="s">
        <v>21493</v>
      </c>
      <c r="C826" s="140"/>
      <c r="D826" s="141" t="s">
        <v>3127</v>
      </c>
      <c r="E826" s="140"/>
      <c r="F826" s="140"/>
      <c r="G826" s="140"/>
    </row>
    <row r="827" spans="2:7" hidden="1">
      <c r="B827" s="141" t="s">
        <v>3128</v>
      </c>
      <c r="C827" s="140"/>
      <c r="D827" s="141" t="s">
        <v>3129</v>
      </c>
      <c r="E827" s="140"/>
      <c r="F827" s="140"/>
      <c r="G827" s="140"/>
    </row>
    <row r="828" spans="2:7" hidden="1">
      <c r="B828" s="141" t="s">
        <v>3130</v>
      </c>
      <c r="C828" s="140"/>
      <c r="D828" s="141" t="s">
        <v>3131</v>
      </c>
      <c r="E828" s="140"/>
      <c r="F828" s="140"/>
      <c r="G828" s="140"/>
    </row>
    <row r="829" spans="2:7" hidden="1">
      <c r="B829" s="141" t="s">
        <v>3132</v>
      </c>
      <c r="C829" s="140"/>
      <c r="D829" s="141" t="s">
        <v>3133</v>
      </c>
      <c r="E829" s="140"/>
      <c r="F829" s="140"/>
      <c r="G829" s="140"/>
    </row>
    <row r="830" spans="2:7" hidden="1">
      <c r="B830" s="140" t="s">
        <v>3134</v>
      </c>
      <c r="C830" s="140" t="s">
        <v>3135</v>
      </c>
      <c r="D830" s="140" t="s">
        <v>3136</v>
      </c>
      <c r="E830" s="142" t="s">
        <v>3137</v>
      </c>
      <c r="F830" s="142" t="s">
        <v>3138</v>
      </c>
      <c r="G830" s="140"/>
    </row>
    <row r="831" spans="2:7" hidden="1">
      <c r="B831" s="140" t="s">
        <v>3139</v>
      </c>
      <c r="C831" s="140"/>
      <c r="D831" s="140" t="s">
        <v>3140</v>
      </c>
      <c r="E831" s="142" t="s">
        <v>3141</v>
      </c>
      <c r="F831" s="142"/>
      <c r="G831" s="140"/>
    </row>
    <row r="832" spans="2:7" hidden="1">
      <c r="B832" s="141" t="s">
        <v>3142</v>
      </c>
      <c r="C832" s="140" t="s">
        <v>3143</v>
      </c>
      <c r="D832" s="141" t="s">
        <v>3144</v>
      </c>
      <c r="E832" s="140" t="s">
        <v>3145</v>
      </c>
      <c r="F832" s="140"/>
      <c r="G832" s="140"/>
    </row>
    <row r="833" spans="2:7" hidden="1">
      <c r="B833" s="141" t="s">
        <v>3146</v>
      </c>
      <c r="C833" s="140"/>
      <c r="D833" s="141" t="s">
        <v>3147</v>
      </c>
      <c r="E833" s="140"/>
      <c r="F833" s="140"/>
      <c r="G833" s="140"/>
    </row>
    <row r="834" spans="2:7" hidden="1">
      <c r="B834" s="141" t="s">
        <v>3148</v>
      </c>
      <c r="C834" s="140" t="s">
        <v>3149</v>
      </c>
      <c r="D834" s="141" t="s">
        <v>3150</v>
      </c>
      <c r="E834" s="140" t="s">
        <v>3151</v>
      </c>
      <c r="F834" s="140" t="s">
        <v>3152</v>
      </c>
      <c r="G834" s="140"/>
    </row>
    <row r="835" spans="2:7" hidden="1">
      <c r="B835" s="141" t="s">
        <v>3153</v>
      </c>
      <c r="C835" s="141"/>
      <c r="D835" s="141" t="s">
        <v>3154</v>
      </c>
      <c r="E835" s="141"/>
      <c r="F835" s="141"/>
      <c r="G835" s="140"/>
    </row>
    <row r="836" spans="2:7" hidden="1">
      <c r="B836" s="141" t="s">
        <v>3155</v>
      </c>
      <c r="C836" s="140"/>
      <c r="D836" s="141" t="s">
        <v>2029</v>
      </c>
      <c r="E836" s="140"/>
      <c r="F836" s="140"/>
      <c r="G836" s="140"/>
    </row>
    <row r="837" spans="2:7" hidden="1">
      <c r="B837" s="141" t="s">
        <v>3156</v>
      </c>
      <c r="C837" s="141"/>
      <c r="D837" s="141" t="s">
        <v>3157</v>
      </c>
      <c r="E837" s="141"/>
      <c r="F837" s="141"/>
      <c r="G837" s="140"/>
    </row>
    <row r="838" spans="2:7" hidden="1">
      <c r="B838" s="141" t="s">
        <v>3158</v>
      </c>
      <c r="C838" s="140"/>
      <c r="D838" s="141" t="s">
        <v>3159</v>
      </c>
      <c r="E838" s="140"/>
      <c r="F838" s="140"/>
      <c r="G838" s="140"/>
    </row>
    <row r="839" spans="2:7" hidden="1">
      <c r="B839" s="141" t="s">
        <v>3160</v>
      </c>
      <c r="C839" s="140"/>
      <c r="D839" s="141" t="s">
        <v>3124</v>
      </c>
      <c r="E839" s="140"/>
      <c r="F839" s="140"/>
      <c r="G839" s="140"/>
    </row>
    <row r="840" spans="2:7" hidden="1">
      <c r="B840" s="141" t="s">
        <v>3161</v>
      </c>
      <c r="C840" s="140"/>
      <c r="D840" s="141" t="s">
        <v>3162</v>
      </c>
      <c r="E840" s="140"/>
      <c r="F840" s="140"/>
      <c r="G840" s="140"/>
    </row>
    <row r="841" spans="2:7" hidden="1">
      <c r="B841" s="140" t="s">
        <v>3163</v>
      </c>
      <c r="C841" s="140"/>
      <c r="D841" s="140" t="s">
        <v>3164</v>
      </c>
      <c r="E841" s="142"/>
      <c r="F841" s="142"/>
      <c r="G841" s="140"/>
    </row>
    <row r="842" spans="2:7" hidden="1">
      <c r="B842" s="141" t="s">
        <v>3165</v>
      </c>
      <c r="C842" s="140" t="s">
        <v>3166</v>
      </c>
      <c r="D842" s="141" t="s">
        <v>3167</v>
      </c>
      <c r="E842" s="140"/>
      <c r="F842" s="140"/>
      <c r="G842" s="140"/>
    </row>
    <row r="843" spans="2:7" hidden="1">
      <c r="B843" s="141" t="s">
        <v>3168</v>
      </c>
      <c r="C843" s="141"/>
      <c r="D843" s="141" t="s">
        <v>3169</v>
      </c>
      <c r="E843" s="141"/>
      <c r="F843" s="141"/>
      <c r="G843" s="140"/>
    </row>
    <row r="844" spans="2:7" hidden="1">
      <c r="B844" s="141" t="s">
        <v>3170</v>
      </c>
      <c r="C844" s="140"/>
      <c r="D844" s="141" t="s">
        <v>3171</v>
      </c>
      <c r="E844" s="140"/>
      <c r="F844" s="140"/>
      <c r="G844" s="140"/>
    </row>
    <row r="845" spans="2:7" hidden="1">
      <c r="B845" s="141" t="s">
        <v>3172</v>
      </c>
      <c r="C845" s="140"/>
      <c r="D845" s="141" t="s">
        <v>3173</v>
      </c>
      <c r="E845" s="140"/>
      <c r="F845" s="140"/>
      <c r="G845" s="140"/>
    </row>
    <row r="846" spans="2:7" hidden="1">
      <c r="B846" s="141" t="s">
        <v>3174</v>
      </c>
      <c r="C846" s="140"/>
      <c r="D846" s="141" t="s">
        <v>2954</v>
      </c>
      <c r="E846" s="140"/>
      <c r="F846" s="140"/>
      <c r="G846" s="140"/>
    </row>
    <row r="847" spans="2:7" hidden="1">
      <c r="B847" s="141" t="s">
        <v>21494</v>
      </c>
      <c r="C847" s="140"/>
      <c r="D847" s="141" t="s">
        <v>3175</v>
      </c>
      <c r="E847" s="140"/>
      <c r="F847" s="140"/>
      <c r="G847" s="140"/>
    </row>
    <row r="848" spans="2:7" hidden="1">
      <c r="B848" s="140" t="s">
        <v>3176</v>
      </c>
      <c r="C848" s="140"/>
      <c r="D848" s="140" t="s">
        <v>3177</v>
      </c>
      <c r="E848" s="142"/>
      <c r="F848" s="142"/>
      <c r="G848" s="140"/>
    </row>
    <row r="849" spans="2:7" hidden="1">
      <c r="B849" s="140" t="s">
        <v>3178</v>
      </c>
      <c r="C849" s="140"/>
      <c r="D849" s="140" t="s">
        <v>3179</v>
      </c>
      <c r="E849" s="142"/>
      <c r="F849" s="142"/>
      <c r="G849" s="140"/>
    </row>
    <row r="850" spans="2:7" hidden="1">
      <c r="B850" s="141" t="s">
        <v>3180</v>
      </c>
      <c r="C850" s="140"/>
      <c r="D850" s="141" t="s">
        <v>3181</v>
      </c>
      <c r="E850" s="140"/>
      <c r="F850" s="140"/>
      <c r="G850" s="140"/>
    </row>
    <row r="851" spans="2:7" hidden="1">
      <c r="B851" s="141" t="s">
        <v>21495</v>
      </c>
      <c r="C851" s="141" t="s">
        <v>3182</v>
      </c>
      <c r="D851" s="141" t="s">
        <v>3183</v>
      </c>
      <c r="E851" s="141" t="s">
        <v>3184</v>
      </c>
      <c r="F851" s="141" t="s">
        <v>3185</v>
      </c>
      <c r="G851" s="140"/>
    </row>
    <row r="852" spans="2:7" hidden="1">
      <c r="B852" s="141" t="s">
        <v>3186</v>
      </c>
      <c r="C852" s="140"/>
      <c r="D852" s="141" t="s">
        <v>3187</v>
      </c>
      <c r="E852" s="140"/>
      <c r="F852" s="140"/>
      <c r="G852" s="140"/>
    </row>
    <row r="853" spans="2:7" hidden="1">
      <c r="B853" s="141" t="s">
        <v>3188</v>
      </c>
      <c r="C853" s="140"/>
      <c r="D853" s="141" t="s">
        <v>3189</v>
      </c>
      <c r="E853" s="140"/>
      <c r="F853" s="140"/>
      <c r="G853" s="140"/>
    </row>
    <row r="854" spans="2:7" hidden="1">
      <c r="B854" s="141" t="s">
        <v>3190</v>
      </c>
      <c r="C854" s="140"/>
      <c r="D854" s="141" t="s">
        <v>3191</v>
      </c>
      <c r="E854" s="140"/>
      <c r="F854" s="140"/>
      <c r="G854" s="140"/>
    </row>
    <row r="855" spans="2:7" hidden="1">
      <c r="B855" s="141" t="s">
        <v>3192</v>
      </c>
      <c r="C855" s="141" t="s">
        <v>3193</v>
      </c>
      <c r="D855" s="141" t="s">
        <v>3194</v>
      </c>
      <c r="E855" s="141" t="s">
        <v>3195</v>
      </c>
      <c r="F855" s="141" t="s">
        <v>3196</v>
      </c>
      <c r="G855" s="140"/>
    </row>
    <row r="856" spans="2:7" hidden="1">
      <c r="B856" s="141" t="s">
        <v>3197</v>
      </c>
      <c r="C856" s="140" t="s">
        <v>3198</v>
      </c>
      <c r="D856" s="141" t="s">
        <v>1213</v>
      </c>
      <c r="E856" s="140"/>
      <c r="F856" s="140"/>
      <c r="G856" s="140"/>
    </row>
    <row r="857" spans="2:7" hidden="1">
      <c r="B857" s="141" t="s">
        <v>3199</v>
      </c>
      <c r="C857" s="140" t="s">
        <v>3200</v>
      </c>
      <c r="D857" s="141" t="s">
        <v>3201</v>
      </c>
      <c r="E857" s="140" t="s">
        <v>3202</v>
      </c>
      <c r="F857" s="140" t="s">
        <v>3203</v>
      </c>
      <c r="G857" s="140"/>
    </row>
    <row r="858" spans="2:7" hidden="1">
      <c r="B858" s="141" t="s">
        <v>3204</v>
      </c>
      <c r="C858" s="140"/>
      <c r="D858" s="141" t="s">
        <v>3205</v>
      </c>
      <c r="E858" s="140"/>
      <c r="F858" s="140"/>
      <c r="G858" s="140"/>
    </row>
    <row r="859" spans="2:7" hidden="1">
      <c r="B859" s="141" t="s">
        <v>3206</v>
      </c>
      <c r="C859" s="140" t="s">
        <v>3207</v>
      </c>
      <c r="D859" s="141" t="s">
        <v>3208</v>
      </c>
      <c r="E859" s="140" t="s">
        <v>3209</v>
      </c>
      <c r="F859" s="140" t="s">
        <v>3210</v>
      </c>
      <c r="G859" s="140"/>
    </row>
    <row r="860" spans="2:7" hidden="1">
      <c r="B860" s="141" t="s">
        <v>3211</v>
      </c>
      <c r="C860" s="140" t="s">
        <v>3212</v>
      </c>
      <c r="D860" s="141" t="s">
        <v>3213</v>
      </c>
      <c r="E860" s="140" t="s">
        <v>3214</v>
      </c>
      <c r="F860" s="140" t="s">
        <v>3215</v>
      </c>
      <c r="G860" s="140"/>
    </row>
    <row r="861" spans="2:7" hidden="1">
      <c r="B861" s="141" t="s">
        <v>3216</v>
      </c>
      <c r="C861" s="140" t="s">
        <v>3217</v>
      </c>
      <c r="D861" s="141" t="s">
        <v>2143</v>
      </c>
      <c r="E861" s="140" t="s">
        <v>3218</v>
      </c>
      <c r="F861" s="140" t="s">
        <v>3219</v>
      </c>
      <c r="G861" s="140"/>
    </row>
    <row r="862" spans="2:7" hidden="1">
      <c r="B862" s="141" t="s">
        <v>3220</v>
      </c>
      <c r="C862" s="141" t="s">
        <v>3221</v>
      </c>
      <c r="D862" s="141" t="s">
        <v>3222</v>
      </c>
      <c r="E862" s="141"/>
      <c r="F862" s="140"/>
      <c r="G862" s="140"/>
    </row>
    <row r="863" spans="2:7" hidden="1">
      <c r="B863" s="140" t="s">
        <v>3223</v>
      </c>
      <c r="C863" s="140"/>
      <c r="D863" s="140" t="s">
        <v>3224</v>
      </c>
      <c r="E863" s="142"/>
      <c r="F863" s="142"/>
      <c r="G863" s="140"/>
    </row>
    <row r="864" spans="2:7" hidden="1">
      <c r="B864" s="141" t="s">
        <v>3225</v>
      </c>
      <c r="C864" s="140"/>
      <c r="D864" s="141" t="s">
        <v>3226</v>
      </c>
      <c r="E864" s="140"/>
      <c r="F864" s="140"/>
      <c r="G864" s="140"/>
    </row>
    <row r="865" spans="2:7" hidden="1">
      <c r="B865" s="140" t="s">
        <v>3227</v>
      </c>
      <c r="C865" s="140"/>
      <c r="D865" s="140" t="s">
        <v>3228</v>
      </c>
      <c r="E865" s="142"/>
      <c r="F865" s="142"/>
      <c r="G865" s="140"/>
    </row>
    <row r="866" spans="2:7" hidden="1">
      <c r="B866" s="141" t="s">
        <v>3229</v>
      </c>
      <c r="C866" s="140"/>
      <c r="D866" s="141" t="s">
        <v>3230</v>
      </c>
      <c r="E866" s="140"/>
      <c r="F866" s="140"/>
      <c r="G866" s="140"/>
    </row>
    <row r="867" spans="2:7" hidden="1">
      <c r="B867" s="141" t="s">
        <v>3231</v>
      </c>
      <c r="C867" s="140"/>
      <c r="D867" s="141" t="s">
        <v>3232</v>
      </c>
      <c r="E867" s="140"/>
      <c r="F867" s="140"/>
      <c r="G867" s="140"/>
    </row>
    <row r="868" spans="2:7" hidden="1">
      <c r="B868" s="141" t="s">
        <v>3233</v>
      </c>
      <c r="C868" s="140"/>
      <c r="D868" s="141" t="s">
        <v>3234</v>
      </c>
      <c r="E868" s="140"/>
      <c r="F868" s="140"/>
      <c r="G868" s="140"/>
    </row>
    <row r="869" spans="2:7" hidden="1">
      <c r="B869" s="141" t="s">
        <v>3235</v>
      </c>
      <c r="C869" s="140" t="s">
        <v>3236</v>
      </c>
      <c r="D869" s="141" t="s">
        <v>3237</v>
      </c>
      <c r="E869" s="140" t="s">
        <v>3238</v>
      </c>
      <c r="F869" s="140" t="s">
        <v>3239</v>
      </c>
      <c r="G869" s="140"/>
    </row>
    <row r="870" spans="2:7" hidden="1">
      <c r="B870" s="141" t="s">
        <v>3240</v>
      </c>
      <c r="C870" s="141"/>
      <c r="D870" s="141" t="s">
        <v>3241</v>
      </c>
      <c r="E870" s="141"/>
      <c r="F870" s="140"/>
      <c r="G870" s="140"/>
    </row>
    <row r="871" spans="2:7" hidden="1">
      <c r="B871" s="141" t="s">
        <v>3242</v>
      </c>
      <c r="C871" s="140"/>
      <c r="D871" s="141" t="s">
        <v>3243</v>
      </c>
      <c r="E871" s="140"/>
      <c r="F871" s="140"/>
      <c r="G871" s="140"/>
    </row>
    <row r="872" spans="2:7" hidden="1">
      <c r="B872" s="141" t="s">
        <v>3244</v>
      </c>
      <c r="C872" s="140"/>
      <c r="D872" s="141" t="s">
        <v>3245</v>
      </c>
      <c r="E872" s="140"/>
      <c r="F872" s="140"/>
      <c r="G872" s="140"/>
    </row>
    <row r="873" spans="2:7" hidden="1">
      <c r="B873" s="141" t="s">
        <v>3246</v>
      </c>
      <c r="C873" s="141" t="s">
        <v>3247</v>
      </c>
      <c r="D873" s="141" t="s">
        <v>3248</v>
      </c>
      <c r="E873" s="141" t="s">
        <v>3249</v>
      </c>
      <c r="F873" s="141" t="s">
        <v>3250</v>
      </c>
      <c r="G873" s="140"/>
    </row>
    <row r="874" spans="2:7" hidden="1">
      <c r="B874" s="141" t="s">
        <v>3251</v>
      </c>
      <c r="C874" s="140"/>
      <c r="D874" s="141" t="s">
        <v>3252</v>
      </c>
      <c r="E874" s="140"/>
      <c r="F874" s="140"/>
      <c r="G874" s="140"/>
    </row>
    <row r="875" spans="2:7" hidden="1">
      <c r="B875" s="141" t="s">
        <v>20523</v>
      </c>
      <c r="C875" s="140" t="s">
        <v>20524</v>
      </c>
      <c r="D875" s="141" t="s">
        <v>20525</v>
      </c>
      <c r="E875" s="140" t="s">
        <v>20526</v>
      </c>
      <c r="F875" s="140"/>
      <c r="G875" s="140"/>
    </row>
    <row r="876" spans="2:7" hidden="1">
      <c r="B876" s="141" t="s">
        <v>3253</v>
      </c>
      <c r="C876" s="140" t="s">
        <v>3254</v>
      </c>
      <c r="D876" s="141" t="s">
        <v>3255</v>
      </c>
      <c r="E876" s="140" t="s">
        <v>3256</v>
      </c>
      <c r="F876" s="140"/>
      <c r="G876" s="140"/>
    </row>
    <row r="877" spans="2:7" hidden="1">
      <c r="B877" s="141" t="s">
        <v>3257</v>
      </c>
      <c r="C877" s="141"/>
      <c r="D877" s="141" t="s">
        <v>3258</v>
      </c>
      <c r="E877" s="141"/>
      <c r="F877" s="140"/>
      <c r="G877" s="140"/>
    </row>
    <row r="878" spans="2:7" hidden="1">
      <c r="B878" s="141" t="s">
        <v>3259</v>
      </c>
      <c r="C878" s="140"/>
      <c r="D878" s="141" t="s">
        <v>3260</v>
      </c>
      <c r="E878" s="140"/>
      <c r="F878" s="140"/>
      <c r="G878" s="140"/>
    </row>
    <row r="879" spans="2:7" hidden="1">
      <c r="B879" s="141" t="s">
        <v>3261</v>
      </c>
      <c r="C879" s="140" t="s">
        <v>3262</v>
      </c>
      <c r="D879" s="141" t="s">
        <v>2842</v>
      </c>
      <c r="E879" s="140" t="s">
        <v>3263</v>
      </c>
      <c r="F879" s="140"/>
      <c r="G879" s="140"/>
    </row>
    <row r="880" spans="2:7" hidden="1">
      <c r="B880" s="141" t="s">
        <v>3264</v>
      </c>
      <c r="C880" s="140" t="s">
        <v>3265</v>
      </c>
      <c r="D880" s="141" t="s">
        <v>3266</v>
      </c>
      <c r="E880" s="140"/>
      <c r="F880" s="140"/>
      <c r="G880" s="140"/>
    </row>
    <row r="881" spans="2:7" hidden="1">
      <c r="B881" s="140" t="s">
        <v>3267</v>
      </c>
      <c r="C881" s="140"/>
      <c r="D881" s="140" t="s">
        <v>3268</v>
      </c>
      <c r="E881" s="142"/>
      <c r="F881" s="142"/>
      <c r="G881" s="140"/>
    </row>
    <row r="882" spans="2:7" hidden="1">
      <c r="B882" s="141" t="s">
        <v>3269</v>
      </c>
      <c r="C882" s="140" t="s">
        <v>3270</v>
      </c>
      <c r="D882" s="141" t="s">
        <v>3271</v>
      </c>
      <c r="E882" s="140"/>
      <c r="F882" s="140"/>
      <c r="G882" s="140"/>
    </row>
    <row r="883" spans="2:7" hidden="1">
      <c r="B883" s="141" t="s">
        <v>3272</v>
      </c>
      <c r="C883" s="140"/>
      <c r="D883" s="141" t="s">
        <v>3273</v>
      </c>
      <c r="E883" s="140"/>
      <c r="F883" s="140"/>
      <c r="G883" s="140"/>
    </row>
    <row r="884" spans="2:7" hidden="1">
      <c r="B884" s="141" t="s">
        <v>3274</v>
      </c>
      <c r="C884" s="140"/>
      <c r="D884" s="141" t="s">
        <v>3275</v>
      </c>
      <c r="E884" s="140"/>
      <c r="F884" s="140"/>
      <c r="G884" s="140"/>
    </row>
    <row r="885" spans="2:7" hidden="1">
      <c r="B885" s="141" t="s">
        <v>3276</v>
      </c>
      <c r="C885" s="140"/>
      <c r="D885" s="141" t="s">
        <v>3277</v>
      </c>
      <c r="E885" s="140"/>
      <c r="F885" s="140"/>
      <c r="G885" s="140"/>
    </row>
    <row r="886" spans="2:7" hidden="1">
      <c r="B886" s="141" t="s">
        <v>3278</v>
      </c>
      <c r="C886" s="140"/>
      <c r="D886" s="141" t="s">
        <v>3279</v>
      </c>
      <c r="E886" s="140"/>
      <c r="F886" s="140"/>
      <c r="G886" s="140"/>
    </row>
    <row r="887" spans="2:7" hidden="1">
      <c r="B887" s="140" t="s">
        <v>3280</v>
      </c>
      <c r="C887" s="140"/>
      <c r="D887" s="140" t="s">
        <v>3281</v>
      </c>
      <c r="E887" s="140"/>
      <c r="F887" s="140"/>
      <c r="G887" s="140"/>
    </row>
    <row r="888" spans="2:7" hidden="1">
      <c r="B888" s="141" t="s">
        <v>3282</v>
      </c>
      <c r="C888" s="140"/>
      <c r="D888" s="141" t="s">
        <v>3283</v>
      </c>
      <c r="E888" s="140"/>
      <c r="F888" s="140"/>
      <c r="G888" s="140"/>
    </row>
    <row r="889" spans="2:7" hidden="1">
      <c r="B889" s="141" t="s">
        <v>3284</v>
      </c>
      <c r="C889" s="140" t="s">
        <v>3285</v>
      </c>
      <c r="D889" s="141" t="s">
        <v>3286</v>
      </c>
      <c r="E889" s="140"/>
      <c r="F889" s="140"/>
      <c r="G889" s="140"/>
    </row>
    <row r="890" spans="2:7" hidden="1">
      <c r="B890" s="141" t="s">
        <v>3287</v>
      </c>
      <c r="C890" s="140" t="s">
        <v>3288</v>
      </c>
      <c r="D890" s="141" t="s">
        <v>3289</v>
      </c>
      <c r="E890" s="140" t="s">
        <v>3290</v>
      </c>
      <c r="F890" s="140"/>
      <c r="G890" s="140"/>
    </row>
    <row r="891" spans="2:7" hidden="1">
      <c r="B891" s="140" t="s">
        <v>3291</v>
      </c>
      <c r="C891" s="140" t="s">
        <v>3292</v>
      </c>
      <c r="D891" s="140" t="s">
        <v>3293</v>
      </c>
      <c r="E891" s="140" t="s">
        <v>3294</v>
      </c>
      <c r="F891" s="140" t="s">
        <v>3295</v>
      </c>
      <c r="G891" s="140"/>
    </row>
    <row r="892" spans="2:7" hidden="1">
      <c r="B892" s="141" t="s">
        <v>3296</v>
      </c>
      <c r="C892" s="140" t="s">
        <v>3297</v>
      </c>
      <c r="D892" s="141" t="s">
        <v>3298</v>
      </c>
      <c r="E892" s="140" t="s">
        <v>3299</v>
      </c>
      <c r="F892" s="140"/>
      <c r="G892" s="140"/>
    </row>
    <row r="893" spans="2:7" hidden="1">
      <c r="B893" s="140" t="s">
        <v>3300</v>
      </c>
      <c r="C893" s="140"/>
      <c r="D893" s="140" t="s">
        <v>3301</v>
      </c>
      <c r="E893" s="142"/>
      <c r="F893" s="142"/>
      <c r="G893" s="140"/>
    </row>
    <row r="894" spans="2:7" hidden="1">
      <c r="B894" s="141" t="s">
        <v>3302</v>
      </c>
      <c r="C894" s="140"/>
      <c r="D894" s="141" t="s">
        <v>3303</v>
      </c>
      <c r="E894" s="140"/>
      <c r="F894" s="140"/>
      <c r="G894" s="140"/>
    </row>
    <row r="895" spans="2:7" hidden="1">
      <c r="B895" s="141" t="s">
        <v>3304</v>
      </c>
      <c r="C895" s="140" t="s">
        <v>3305</v>
      </c>
      <c r="D895" s="141" t="s">
        <v>3306</v>
      </c>
      <c r="E895" s="140"/>
      <c r="F895" s="140"/>
      <c r="G895" s="140"/>
    </row>
    <row r="896" spans="2:7" hidden="1">
      <c r="B896" s="140" t="s">
        <v>3307</v>
      </c>
      <c r="C896" s="140"/>
      <c r="D896" s="140" t="s">
        <v>3308</v>
      </c>
      <c r="E896" s="142"/>
      <c r="F896" s="142"/>
      <c r="G896" s="140"/>
    </row>
    <row r="897" spans="2:7" hidden="1">
      <c r="B897" s="141" t="s">
        <v>3309</v>
      </c>
      <c r="C897" s="140"/>
      <c r="D897" s="141" t="s">
        <v>3310</v>
      </c>
      <c r="E897" s="140"/>
      <c r="F897" s="140"/>
      <c r="G897" s="140"/>
    </row>
    <row r="898" spans="2:7" hidden="1">
      <c r="B898" s="140" t="s">
        <v>3311</v>
      </c>
      <c r="C898" s="140"/>
      <c r="D898" s="140" t="s">
        <v>3312</v>
      </c>
      <c r="E898" s="142"/>
      <c r="F898" s="142"/>
      <c r="G898" s="140"/>
    </row>
    <row r="899" spans="2:7" hidden="1">
      <c r="B899" s="141" t="s">
        <v>3313</v>
      </c>
      <c r="C899" s="140"/>
      <c r="D899" s="141" t="s">
        <v>3314</v>
      </c>
      <c r="E899" s="140"/>
      <c r="F899" s="140"/>
      <c r="G899" s="140"/>
    </row>
    <row r="900" spans="2:7" hidden="1">
      <c r="B900" s="141" t="s">
        <v>3315</v>
      </c>
      <c r="C900" s="140"/>
      <c r="D900" s="141" t="s">
        <v>3316</v>
      </c>
      <c r="E900" s="140"/>
      <c r="F900" s="140"/>
      <c r="G900" s="140"/>
    </row>
    <row r="901" spans="2:7" hidden="1">
      <c r="B901" s="141" t="s">
        <v>3317</v>
      </c>
      <c r="C901" s="140"/>
      <c r="D901" s="141" t="s">
        <v>3318</v>
      </c>
      <c r="E901" s="140"/>
      <c r="F901" s="140"/>
      <c r="G901" s="140"/>
    </row>
    <row r="902" spans="2:7" hidden="1">
      <c r="B902" s="141" t="s">
        <v>3319</v>
      </c>
      <c r="C902" s="140"/>
      <c r="D902" s="141"/>
      <c r="E902" s="140" t="s">
        <v>3320</v>
      </c>
      <c r="F902" s="140" t="s">
        <v>3321</v>
      </c>
      <c r="G902" s="140"/>
    </row>
    <row r="903" spans="2:7" hidden="1">
      <c r="B903" s="141" t="s">
        <v>3322</v>
      </c>
      <c r="C903" s="140"/>
      <c r="D903" s="141" t="s">
        <v>3323</v>
      </c>
      <c r="E903" s="140" t="s">
        <v>3320</v>
      </c>
      <c r="F903" s="140" t="s">
        <v>3324</v>
      </c>
      <c r="G903" s="140"/>
    </row>
    <row r="904" spans="2:7" hidden="1">
      <c r="B904" s="141" t="s">
        <v>3325</v>
      </c>
      <c r="C904" s="140"/>
      <c r="D904" s="141" t="s">
        <v>3326</v>
      </c>
      <c r="E904" s="140"/>
      <c r="F904" s="140"/>
      <c r="G904" s="140"/>
    </row>
    <row r="905" spans="2:7" hidden="1">
      <c r="B905" s="141" t="s">
        <v>3327</v>
      </c>
      <c r="C905" s="140"/>
      <c r="D905" s="141" t="s">
        <v>3328</v>
      </c>
      <c r="E905" s="140"/>
      <c r="F905" s="140"/>
      <c r="G905" s="140"/>
    </row>
    <row r="906" spans="2:7" hidden="1">
      <c r="B906" s="141" t="s">
        <v>3329</v>
      </c>
      <c r="C906" s="140"/>
      <c r="D906" s="141" t="s">
        <v>3330</v>
      </c>
      <c r="E906" s="140"/>
      <c r="F906" s="140"/>
      <c r="G906" s="140"/>
    </row>
    <row r="907" spans="2:7" hidden="1">
      <c r="B907" s="141" t="s">
        <v>3331</v>
      </c>
      <c r="C907" s="140"/>
      <c r="D907" s="141" t="s">
        <v>3332</v>
      </c>
      <c r="E907" s="140"/>
      <c r="F907" s="140"/>
      <c r="G907" s="140"/>
    </row>
    <row r="908" spans="2:7" hidden="1">
      <c r="B908" s="141" t="s">
        <v>3333</v>
      </c>
      <c r="C908" s="140"/>
      <c r="D908" s="141" t="s">
        <v>3334</v>
      </c>
      <c r="E908" s="140"/>
      <c r="F908" s="140"/>
      <c r="G908" s="140"/>
    </row>
    <row r="909" spans="2:7" hidden="1">
      <c r="B909" s="141" t="s">
        <v>3335</v>
      </c>
      <c r="C909" s="140"/>
      <c r="D909" s="141" t="s">
        <v>3336</v>
      </c>
      <c r="E909" s="140"/>
      <c r="F909" s="140"/>
      <c r="G909" s="140"/>
    </row>
    <row r="910" spans="2:7" hidden="1">
      <c r="B910" s="141" t="s">
        <v>21496</v>
      </c>
      <c r="C910" s="140"/>
      <c r="D910" s="141" t="s">
        <v>3337</v>
      </c>
      <c r="E910" s="140"/>
      <c r="F910" s="140"/>
      <c r="G910" s="140"/>
    </row>
    <row r="911" spans="2:7" hidden="1">
      <c r="B911" s="141" t="s">
        <v>3338</v>
      </c>
      <c r="C911" s="140"/>
      <c r="D911" s="141" t="s">
        <v>3339</v>
      </c>
      <c r="E911" s="140"/>
      <c r="F911" s="140"/>
      <c r="G911" s="140"/>
    </row>
    <row r="912" spans="2:7" hidden="1">
      <c r="B912" s="141" t="s">
        <v>3340</v>
      </c>
      <c r="C912" s="140" t="s">
        <v>3341</v>
      </c>
      <c r="D912" s="141" t="s">
        <v>3342</v>
      </c>
      <c r="E912" s="140"/>
      <c r="F912" s="140"/>
      <c r="G912" s="140"/>
    </row>
    <row r="913" spans="2:7" hidden="1">
      <c r="B913" s="141" t="s">
        <v>3343</v>
      </c>
      <c r="C913" s="140" t="s">
        <v>3344</v>
      </c>
      <c r="D913" s="141" t="s">
        <v>3345</v>
      </c>
      <c r="E913" s="140" t="s">
        <v>3346</v>
      </c>
      <c r="F913" s="140" t="s">
        <v>3347</v>
      </c>
      <c r="G913" s="140"/>
    </row>
    <row r="914" spans="2:7" hidden="1">
      <c r="B914" s="140" t="s">
        <v>3348</v>
      </c>
      <c r="C914" s="140"/>
      <c r="D914" s="140" t="s">
        <v>3349</v>
      </c>
      <c r="E914" s="142"/>
      <c r="F914" s="142"/>
      <c r="G914" s="140"/>
    </row>
    <row r="915" spans="2:7" hidden="1">
      <c r="B915" s="141" t="s">
        <v>3350</v>
      </c>
      <c r="C915" s="140"/>
      <c r="D915" s="141" t="s">
        <v>3351</v>
      </c>
      <c r="E915" s="140"/>
      <c r="F915" s="140"/>
      <c r="G915" s="140"/>
    </row>
    <row r="916" spans="2:7" hidden="1">
      <c r="B916" s="141" t="s">
        <v>3352</v>
      </c>
      <c r="C916" s="140"/>
      <c r="D916" s="141" t="s">
        <v>3353</v>
      </c>
      <c r="E916" s="140"/>
      <c r="F916" s="140"/>
      <c r="G916" s="140"/>
    </row>
    <row r="917" spans="2:7" hidden="1">
      <c r="B917" s="141" t="s">
        <v>3354</v>
      </c>
      <c r="C917" s="141"/>
      <c r="D917" s="141" t="s">
        <v>3355</v>
      </c>
      <c r="E917" s="141"/>
      <c r="F917" s="140"/>
      <c r="G917" s="140"/>
    </row>
    <row r="918" spans="2:7" hidden="1">
      <c r="B918" s="141" t="s">
        <v>3356</v>
      </c>
      <c r="C918" s="140"/>
      <c r="D918" s="141" t="s">
        <v>3357</v>
      </c>
      <c r="E918" s="140"/>
      <c r="F918" s="140"/>
      <c r="G918" s="140"/>
    </row>
    <row r="919" spans="2:7" hidden="1">
      <c r="B919" s="141" t="s">
        <v>3358</v>
      </c>
      <c r="C919" s="140"/>
      <c r="D919" s="141" t="s">
        <v>3359</v>
      </c>
      <c r="E919" s="140"/>
      <c r="F919" s="140"/>
      <c r="G919" s="140"/>
    </row>
    <row r="920" spans="2:7" hidden="1">
      <c r="B920" s="140" t="s">
        <v>3360</v>
      </c>
      <c r="C920" s="140"/>
      <c r="D920" s="140" t="s">
        <v>3361</v>
      </c>
      <c r="E920" s="142"/>
      <c r="F920" s="142"/>
      <c r="G920" s="140"/>
    </row>
    <row r="921" spans="2:7" hidden="1">
      <c r="B921" s="140" t="s">
        <v>3362</v>
      </c>
      <c r="C921" s="140"/>
      <c r="D921" s="140" t="s">
        <v>3363</v>
      </c>
      <c r="E921" s="142"/>
      <c r="F921" s="142"/>
      <c r="G921" s="140"/>
    </row>
    <row r="922" spans="2:7" hidden="1">
      <c r="B922" s="141" t="s">
        <v>3364</v>
      </c>
      <c r="C922" s="140" t="s">
        <v>3365</v>
      </c>
      <c r="D922" s="141" t="s">
        <v>3366</v>
      </c>
      <c r="E922" s="140" t="s">
        <v>3367</v>
      </c>
      <c r="F922" s="140" t="s">
        <v>3368</v>
      </c>
      <c r="G922" s="140"/>
    </row>
    <row r="923" spans="2:7" hidden="1">
      <c r="B923" s="141" t="s">
        <v>3369</v>
      </c>
      <c r="C923" s="140" t="s">
        <v>3370</v>
      </c>
      <c r="D923" s="141" t="s">
        <v>3371</v>
      </c>
      <c r="E923" s="140" t="s">
        <v>3372</v>
      </c>
      <c r="F923" s="140" t="s">
        <v>3367</v>
      </c>
      <c r="G923" s="140"/>
    </row>
    <row r="924" spans="2:7" hidden="1">
      <c r="B924" s="141" t="s">
        <v>3373</v>
      </c>
      <c r="C924" s="141"/>
      <c r="D924" s="141" t="s">
        <v>3316</v>
      </c>
      <c r="E924" s="141"/>
      <c r="F924" s="141"/>
      <c r="G924" s="140"/>
    </row>
    <row r="925" spans="2:7" hidden="1">
      <c r="B925" s="140" t="s">
        <v>3374</v>
      </c>
      <c r="C925" s="140"/>
      <c r="D925" s="140" t="s">
        <v>3375</v>
      </c>
      <c r="E925" s="142"/>
      <c r="F925" s="142"/>
      <c r="G925" s="140"/>
    </row>
    <row r="926" spans="2:7" hidden="1">
      <c r="B926" s="141" t="s">
        <v>3376</v>
      </c>
      <c r="C926" s="140"/>
      <c r="D926" s="141" t="s">
        <v>3377</v>
      </c>
      <c r="E926" s="140"/>
      <c r="F926" s="140"/>
      <c r="G926" s="140"/>
    </row>
    <row r="927" spans="2:7" hidden="1">
      <c r="B927" s="140" t="s">
        <v>3378</v>
      </c>
      <c r="C927" s="140"/>
      <c r="D927" s="140" t="s">
        <v>3379</v>
      </c>
      <c r="E927" s="142"/>
      <c r="F927" s="142"/>
      <c r="G927" s="140"/>
    </row>
    <row r="928" spans="2:7" hidden="1">
      <c r="B928" s="141" t="s">
        <v>3380</v>
      </c>
      <c r="C928" s="141" t="s">
        <v>3381</v>
      </c>
      <c r="D928" s="141" t="s">
        <v>1480</v>
      </c>
      <c r="E928" s="141"/>
      <c r="F928" s="140"/>
      <c r="G928" s="140"/>
    </row>
    <row r="929" spans="2:7" hidden="1">
      <c r="B929" s="141" t="s">
        <v>3382</v>
      </c>
      <c r="C929" s="140" t="s">
        <v>3383</v>
      </c>
      <c r="D929" s="141" t="s">
        <v>3384</v>
      </c>
      <c r="E929" s="140"/>
      <c r="F929" s="140"/>
      <c r="G929" s="140"/>
    </row>
    <row r="930" spans="2:7" hidden="1">
      <c r="B930" s="141" t="s">
        <v>3385</v>
      </c>
      <c r="C930" s="140" t="s">
        <v>3386</v>
      </c>
      <c r="D930" s="141" t="s">
        <v>3387</v>
      </c>
      <c r="E930" s="140" t="s">
        <v>3388</v>
      </c>
      <c r="F930" s="140" t="s">
        <v>3389</v>
      </c>
      <c r="G930" s="140"/>
    </row>
    <row r="931" spans="2:7" hidden="1">
      <c r="B931" s="141" t="s">
        <v>3390</v>
      </c>
      <c r="C931" s="140" t="s">
        <v>3391</v>
      </c>
      <c r="D931" s="141" t="s">
        <v>3392</v>
      </c>
      <c r="E931" s="140" t="s">
        <v>3393</v>
      </c>
      <c r="F931" s="140" t="s">
        <v>3394</v>
      </c>
      <c r="G931" s="140"/>
    </row>
    <row r="932" spans="2:7" hidden="1">
      <c r="B932" s="141" t="s">
        <v>3395</v>
      </c>
      <c r="C932" s="140"/>
      <c r="D932" s="141" t="s">
        <v>3396</v>
      </c>
      <c r="E932" s="140"/>
      <c r="F932" s="140"/>
      <c r="G932" s="140"/>
    </row>
    <row r="933" spans="2:7" hidden="1">
      <c r="B933" s="141" t="s">
        <v>3397</v>
      </c>
      <c r="C933" s="140"/>
      <c r="D933" s="141" t="s">
        <v>3398</v>
      </c>
      <c r="E933" s="140"/>
      <c r="F933" s="140"/>
      <c r="G933" s="140"/>
    </row>
    <row r="934" spans="2:7" hidden="1">
      <c r="B934" s="141" t="s">
        <v>3399</v>
      </c>
      <c r="C934" s="141"/>
      <c r="D934" s="141" t="s">
        <v>3400</v>
      </c>
      <c r="E934" s="141"/>
      <c r="F934" s="140"/>
      <c r="G934" s="140"/>
    </row>
    <row r="935" spans="2:7" hidden="1">
      <c r="B935" s="140" t="s">
        <v>3401</v>
      </c>
      <c r="C935" s="140"/>
      <c r="D935" s="140" t="s">
        <v>3402</v>
      </c>
      <c r="E935" s="142"/>
      <c r="F935" s="142"/>
      <c r="G935" s="140"/>
    </row>
    <row r="936" spans="2:7" hidden="1">
      <c r="B936" s="141" t="s">
        <v>3403</v>
      </c>
      <c r="C936" s="140"/>
      <c r="D936" s="141" t="s">
        <v>3404</v>
      </c>
      <c r="E936" s="140"/>
      <c r="F936" s="140"/>
      <c r="G936" s="140"/>
    </row>
    <row r="937" spans="2:7" hidden="1">
      <c r="B937" s="141" t="s">
        <v>3405</v>
      </c>
      <c r="C937" s="140" t="s">
        <v>3406</v>
      </c>
      <c r="D937" s="141" t="s">
        <v>3407</v>
      </c>
      <c r="E937" s="140"/>
      <c r="F937" s="140"/>
      <c r="G937" s="140"/>
    </row>
    <row r="938" spans="2:7" hidden="1">
      <c r="B938" s="141" t="s">
        <v>3408</v>
      </c>
      <c r="C938" s="140" t="s">
        <v>3409</v>
      </c>
      <c r="D938" s="141" t="s">
        <v>3410</v>
      </c>
      <c r="E938" s="140"/>
      <c r="F938" s="140"/>
      <c r="G938" s="140"/>
    </row>
    <row r="939" spans="2:7" hidden="1">
      <c r="B939" s="141" t="s">
        <v>21497</v>
      </c>
      <c r="C939" s="140"/>
      <c r="D939" s="141" t="s">
        <v>3411</v>
      </c>
      <c r="E939" s="140"/>
      <c r="F939" s="140"/>
      <c r="G939" s="140"/>
    </row>
    <row r="940" spans="2:7" hidden="1">
      <c r="B940" s="141" t="s">
        <v>20115</v>
      </c>
      <c r="C940" s="140" t="s">
        <v>20082</v>
      </c>
      <c r="D940" s="141" t="s">
        <v>20083</v>
      </c>
      <c r="E940" s="140" t="s">
        <v>20084</v>
      </c>
      <c r="F940" s="140"/>
      <c r="G940" s="140" t="s">
        <v>20116</v>
      </c>
    </row>
    <row r="941" spans="2:7" hidden="1">
      <c r="B941" s="141" t="s">
        <v>3412</v>
      </c>
      <c r="C941" s="140"/>
      <c r="D941" s="141" t="s">
        <v>1213</v>
      </c>
      <c r="E941" s="140"/>
      <c r="F941" s="140"/>
      <c r="G941" s="140"/>
    </row>
    <row r="942" spans="2:7" hidden="1">
      <c r="B942" s="141" t="s">
        <v>3413</v>
      </c>
      <c r="C942" s="140"/>
      <c r="D942" s="141" t="s">
        <v>3414</v>
      </c>
      <c r="E942" s="140"/>
      <c r="F942" s="140"/>
      <c r="G942" s="140"/>
    </row>
    <row r="943" spans="2:7" hidden="1">
      <c r="B943" s="141" t="s">
        <v>3415</v>
      </c>
      <c r="C943" s="141"/>
      <c r="D943" s="141" t="s">
        <v>3416</v>
      </c>
      <c r="E943" s="141"/>
      <c r="F943" s="140"/>
      <c r="G943" s="140"/>
    </row>
    <row r="944" spans="2:7" hidden="1">
      <c r="B944" s="141" t="s">
        <v>3417</v>
      </c>
      <c r="C944" s="140"/>
      <c r="D944" s="141" t="s">
        <v>3418</v>
      </c>
      <c r="E944" s="140"/>
      <c r="F944" s="140"/>
      <c r="G944" s="140"/>
    </row>
    <row r="945" spans="2:7" hidden="1">
      <c r="B945" s="141" t="s">
        <v>3419</v>
      </c>
      <c r="C945" s="140"/>
      <c r="D945" s="141" t="s">
        <v>3420</v>
      </c>
      <c r="E945" s="140"/>
      <c r="F945" s="140"/>
      <c r="G945" s="140"/>
    </row>
    <row r="946" spans="2:7" hidden="1">
      <c r="B946" s="141" t="s">
        <v>3421</v>
      </c>
      <c r="C946" s="140"/>
      <c r="D946" s="141" t="s">
        <v>3422</v>
      </c>
      <c r="E946" s="140"/>
      <c r="F946" s="140"/>
      <c r="G946" s="140"/>
    </row>
    <row r="947" spans="2:7" hidden="1">
      <c r="B947" s="141" t="s">
        <v>3423</v>
      </c>
      <c r="C947" s="140"/>
      <c r="D947" s="141" t="s">
        <v>3424</v>
      </c>
      <c r="E947" s="140"/>
      <c r="F947" s="140"/>
      <c r="G947" s="140"/>
    </row>
    <row r="948" spans="2:7" hidden="1">
      <c r="B948" s="141" t="s">
        <v>3425</v>
      </c>
      <c r="C948" s="141"/>
      <c r="D948" s="141" t="s">
        <v>3426</v>
      </c>
      <c r="E948" s="141"/>
      <c r="F948" s="140"/>
      <c r="G948" s="140"/>
    </row>
    <row r="949" spans="2:7" hidden="1">
      <c r="B949" s="141" t="s">
        <v>3427</v>
      </c>
      <c r="C949" s="140"/>
      <c r="D949" s="141" t="s">
        <v>2942</v>
      </c>
      <c r="E949" s="140"/>
      <c r="F949" s="140"/>
      <c r="G949" s="140"/>
    </row>
    <row r="950" spans="2:7" hidden="1">
      <c r="B950" s="141" t="s">
        <v>3428</v>
      </c>
      <c r="C950" s="140"/>
      <c r="D950" s="141" t="s">
        <v>3429</v>
      </c>
      <c r="E950" s="140"/>
      <c r="F950" s="140"/>
      <c r="G950" s="140"/>
    </row>
    <row r="951" spans="2:7" hidden="1">
      <c r="B951" s="141" t="s">
        <v>3430</v>
      </c>
      <c r="C951" s="141"/>
      <c r="D951" s="141" t="s">
        <v>3431</v>
      </c>
      <c r="E951" s="141"/>
      <c r="F951" s="141"/>
      <c r="G951" s="140"/>
    </row>
    <row r="952" spans="2:7" hidden="1">
      <c r="B952" s="140" t="s">
        <v>3432</v>
      </c>
      <c r="C952" s="140"/>
      <c r="D952" s="140" t="s">
        <v>3433</v>
      </c>
      <c r="E952" s="142"/>
      <c r="F952" s="142"/>
      <c r="G952" s="140"/>
    </row>
    <row r="953" spans="2:7" hidden="1">
      <c r="B953" s="141" t="s">
        <v>3434</v>
      </c>
      <c r="C953" s="140"/>
      <c r="D953" s="141" t="s">
        <v>3435</v>
      </c>
      <c r="E953" s="140"/>
      <c r="F953" s="140"/>
      <c r="G953" s="140"/>
    </row>
    <row r="954" spans="2:7" hidden="1">
      <c r="B954" s="141" t="s">
        <v>3436</v>
      </c>
      <c r="C954" s="140"/>
      <c r="D954" s="141" t="s">
        <v>3437</v>
      </c>
      <c r="E954" s="140"/>
      <c r="F954" s="140"/>
      <c r="G954" s="140"/>
    </row>
    <row r="955" spans="2:7" hidden="1">
      <c r="B955" s="141" t="s">
        <v>3438</v>
      </c>
      <c r="C955" s="140" t="s">
        <v>3439</v>
      </c>
      <c r="D955" s="141" t="s">
        <v>3440</v>
      </c>
      <c r="E955" s="140"/>
      <c r="F955" s="140"/>
      <c r="G955" s="140"/>
    </row>
    <row r="956" spans="2:7" hidden="1">
      <c r="B956" s="141" t="s">
        <v>3441</v>
      </c>
      <c r="C956" s="141"/>
      <c r="D956" s="141" t="s">
        <v>3442</v>
      </c>
      <c r="E956" s="141"/>
      <c r="F956" s="141"/>
      <c r="G956" s="140"/>
    </row>
    <row r="957" spans="2:7" hidden="1">
      <c r="B957" s="140" t="s">
        <v>3443</v>
      </c>
      <c r="C957" s="140" t="s">
        <v>3444</v>
      </c>
      <c r="D957" s="140" t="s">
        <v>3445</v>
      </c>
      <c r="E957" s="142"/>
      <c r="F957" s="142"/>
      <c r="G957" s="140" t="s">
        <v>3446</v>
      </c>
    </row>
    <row r="958" spans="2:7" hidden="1">
      <c r="B958" s="141" t="s">
        <v>3447</v>
      </c>
      <c r="C958" s="140" t="s">
        <v>3448</v>
      </c>
      <c r="D958" s="141" t="s">
        <v>3449</v>
      </c>
      <c r="E958" s="140"/>
      <c r="F958" s="140"/>
      <c r="G958" s="140"/>
    </row>
    <row r="959" spans="2:7" hidden="1">
      <c r="B959" s="141" t="s">
        <v>3450</v>
      </c>
      <c r="C959" s="140" t="s">
        <v>3451</v>
      </c>
      <c r="D959" s="141" t="s">
        <v>3452</v>
      </c>
      <c r="E959" s="140"/>
      <c r="F959" s="140"/>
      <c r="G959" s="140"/>
    </row>
    <row r="960" spans="2:7" hidden="1">
      <c r="B960" s="141" t="s">
        <v>3453</v>
      </c>
      <c r="C960" s="140"/>
      <c r="D960" s="141" t="s">
        <v>3454</v>
      </c>
      <c r="E960" s="140"/>
      <c r="F960" s="140"/>
      <c r="G960" s="140"/>
    </row>
    <row r="961" spans="2:7" hidden="1">
      <c r="B961" s="141" t="s">
        <v>21498</v>
      </c>
      <c r="C961" s="140"/>
      <c r="D961" s="141" t="s">
        <v>3455</v>
      </c>
      <c r="E961" s="140"/>
      <c r="F961" s="140"/>
      <c r="G961" s="140"/>
    </row>
    <row r="962" spans="2:7" hidden="1">
      <c r="B962" s="141" t="s">
        <v>3456</v>
      </c>
      <c r="C962" s="140" t="s">
        <v>3457</v>
      </c>
      <c r="D962" s="141" t="s">
        <v>3458</v>
      </c>
      <c r="E962" s="140"/>
      <c r="F962" s="140"/>
      <c r="G962" s="140"/>
    </row>
    <row r="963" spans="2:7" hidden="1">
      <c r="B963" s="141" t="s">
        <v>3459</v>
      </c>
      <c r="C963" s="140"/>
      <c r="D963" s="141" t="s">
        <v>1215</v>
      </c>
      <c r="E963" s="140"/>
      <c r="F963" s="140"/>
      <c r="G963" s="140"/>
    </row>
    <row r="964" spans="2:7" hidden="1">
      <c r="B964" s="141" t="s">
        <v>3460</v>
      </c>
      <c r="C964" s="140"/>
      <c r="D964" s="141" t="s">
        <v>3461</v>
      </c>
      <c r="E964" s="140"/>
      <c r="F964" s="140"/>
      <c r="G964" s="140"/>
    </row>
    <row r="965" spans="2:7" hidden="1">
      <c r="B965" s="141" t="s">
        <v>3462</v>
      </c>
      <c r="C965" s="140" t="s">
        <v>3463</v>
      </c>
      <c r="D965" s="141" t="s">
        <v>3464</v>
      </c>
      <c r="E965" s="140" t="s">
        <v>3465</v>
      </c>
      <c r="F965" s="140" t="s">
        <v>3466</v>
      </c>
      <c r="G965" s="140"/>
    </row>
    <row r="966" spans="2:7" hidden="1">
      <c r="B966" s="141" t="s">
        <v>3467</v>
      </c>
      <c r="C966" s="141" t="s">
        <v>3468</v>
      </c>
      <c r="D966" s="141" t="s">
        <v>3469</v>
      </c>
      <c r="E966" s="141" t="s">
        <v>3470</v>
      </c>
      <c r="F966" s="140"/>
      <c r="G966" s="140"/>
    </row>
    <row r="967" spans="2:7" hidden="1">
      <c r="B967" s="141" t="s">
        <v>3471</v>
      </c>
      <c r="C967" s="140"/>
      <c r="D967" s="141" t="s">
        <v>3472</v>
      </c>
      <c r="E967" s="140"/>
      <c r="F967" s="140"/>
      <c r="G967" s="140"/>
    </row>
    <row r="968" spans="2:7" hidden="1">
      <c r="B968" s="141" t="s">
        <v>3473</v>
      </c>
      <c r="C968" s="141" t="s">
        <v>3474</v>
      </c>
      <c r="D968" s="141" t="s">
        <v>3475</v>
      </c>
      <c r="E968" s="141" t="s">
        <v>3476</v>
      </c>
      <c r="F968" s="140" t="s">
        <v>3477</v>
      </c>
      <c r="G968" s="140"/>
    </row>
    <row r="969" spans="2:7" hidden="1">
      <c r="B969" s="141" t="s">
        <v>3478</v>
      </c>
      <c r="C969" s="140" t="s">
        <v>3479</v>
      </c>
      <c r="D969" s="141" t="s">
        <v>3480</v>
      </c>
      <c r="E969" s="140" t="s">
        <v>3481</v>
      </c>
      <c r="F969" s="140" t="s">
        <v>3482</v>
      </c>
      <c r="G969" s="140"/>
    </row>
    <row r="970" spans="2:7" hidden="1">
      <c r="B970" s="141" t="s">
        <v>3483</v>
      </c>
      <c r="C970" s="140" t="s">
        <v>3484</v>
      </c>
      <c r="D970" s="141" t="s">
        <v>3485</v>
      </c>
      <c r="E970" s="140" t="s">
        <v>3486</v>
      </c>
      <c r="F970" s="140" t="s">
        <v>3487</v>
      </c>
      <c r="G970" s="140"/>
    </row>
    <row r="971" spans="2:7" hidden="1">
      <c r="B971" s="140" t="s">
        <v>3488</v>
      </c>
      <c r="C971" s="141" t="s">
        <v>3489</v>
      </c>
      <c r="D971" s="141" t="s">
        <v>1810</v>
      </c>
      <c r="E971" s="141" t="s">
        <v>3490</v>
      </c>
      <c r="F971" s="141" t="s">
        <v>3491</v>
      </c>
      <c r="G971" s="140"/>
    </row>
    <row r="972" spans="2:7" hidden="1">
      <c r="B972" s="140" t="s">
        <v>3492</v>
      </c>
      <c r="C972" s="140" t="s">
        <v>3493</v>
      </c>
      <c r="D972" s="140" t="s">
        <v>3494</v>
      </c>
      <c r="E972" s="142" t="s">
        <v>3495</v>
      </c>
      <c r="F972" s="142" t="s">
        <v>3496</v>
      </c>
      <c r="G972" s="140"/>
    </row>
    <row r="973" spans="2:7" hidden="1">
      <c r="B973" s="141" t="s">
        <v>3497</v>
      </c>
      <c r="C973" s="141"/>
      <c r="D973" s="141" t="s">
        <v>3498</v>
      </c>
      <c r="E973" s="141"/>
      <c r="F973" s="140"/>
      <c r="G973" s="140"/>
    </row>
    <row r="974" spans="2:7" hidden="1">
      <c r="B974" s="141" t="s">
        <v>3499</v>
      </c>
      <c r="C974" s="140"/>
      <c r="D974" s="141" t="s">
        <v>3500</v>
      </c>
      <c r="E974" s="140"/>
      <c r="F974" s="140"/>
      <c r="G974" s="140"/>
    </row>
    <row r="975" spans="2:7" hidden="1">
      <c r="B975" s="141" t="s">
        <v>3501</v>
      </c>
      <c r="C975" s="140"/>
      <c r="D975" s="141" t="s">
        <v>3502</v>
      </c>
      <c r="E975" s="140"/>
      <c r="F975" s="140"/>
      <c r="G975" s="140"/>
    </row>
    <row r="976" spans="2:7" hidden="1">
      <c r="B976" s="141" t="s">
        <v>3503</v>
      </c>
      <c r="C976" s="140"/>
      <c r="D976" s="141" t="s">
        <v>3504</v>
      </c>
      <c r="E976" s="140"/>
      <c r="F976" s="140"/>
      <c r="G976" s="140"/>
    </row>
    <row r="977" spans="2:7" hidden="1">
      <c r="B977" s="141" t="s">
        <v>3505</v>
      </c>
      <c r="C977" s="140" t="s">
        <v>3506</v>
      </c>
      <c r="D977" s="141" t="s">
        <v>3507</v>
      </c>
      <c r="E977" s="140"/>
      <c r="F977" s="140"/>
      <c r="G977" s="140"/>
    </row>
    <row r="978" spans="2:7" hidden="1">
      <c r="B978" s="140" t="s">
        <v>3508</v>
      </c>
      <c r="C978" s="140"/>
      <c r="D978" s="140" t="s">
        <v>3509</v>
      </c>
      <c r="E978" s="142"/>
      <c r="F978" s="142"/>
      <c r="G978" s="140"/>
    </row>
    <row r="979" spans="2:7" hidden="1">
      <c r="B979" s="141" t="s">
        <v>3510</v>
      </c>
      <c r="C979" s="140"/>
      <c r="D979" s="141" t="s">
        <v>3511</v>
      </c>
      <c r="E979" s="140"/>
      <c r="F979" s="140"/>
      <c r="G979" s="140"/>
    </row>
    <row r="980" spans="2:7" hidden="1">
      <c r="B980" s="140" t="s">
        <v>3512</v>
      </c>
      <c r="C980" s="140"/>
      <c r="D980" s="140" t="s">
        <v>3513</v>
      </c>
      <c r="E980" s="142"/>
      <c r="F980" s="142"/>
      <c r="G980" s="140"/>
    </row>
    <row r="981" spans="2:7" hidden="1">
      <c r="B981" s="141" t="s">
        <v>3514</v>
      </c>
      <c r="C981" s="140"/>
      <c r="D981" s="141" t="s">
        <v>3515</v>
      </c>
      <c r="E981" s="140"/>
      <c r="F981" s="140"/>
      <c r="G981" s="140"/>
    </row>
    <row r="982" spans="2:7" hidden="1">
      <c r="B982" s="140" t="s">
        <v>3516</v>
      </c>
      <c r="C982" s="140"/>
      <c r="D982" s="140" t="s">
        <v>3517</v>
      </c>
      <c r="E982" s="142"/>
      <c r="F982" s="142"/>
      <c r="G982" s="140"/>
    </row>
    <row r="983" spans="2:7" hidden="1">
      <c r="B983" s="141" t="s">
        <v>3518</v>
      </c>
      <c r="C983" s="140"/>
      <c r="D983" s="141" t="s">
        <v>2085</v>
      </c>
      <c r="E983" s="140"/>
      <c r="F983" s="140"/>
      <c r="G983" s="140"/>
    </row>
    <row r="984" spans="2:7" hidden="1">
      <c r="B984" s="141" t="s">
        <v>3519</v>
      </c>
      <c r="C984" s="140"/>
      <c r="D984" s="141" t="s">
        <v>3520</v>
      </c>
      <c r="E984" s="140"/>
      <c r="F984" s="140"/>
      <c r="G984" s="140"/>
    </row>
    <row r="985" spans="2:7" hidden="1">
      <c r="B985" s="141" t="s">
        <v>3521</v>
      </c>
      <c r="C985" s="140"/>
      <c r="D985" s="141" t="s">
        <v>3522</v>
      </c>
      <c r="E985" s="140"/>
      <c r="F985" s="140"/>
      <c r="G985" s="140"/>
    </row>
    <row r="986" spans="2:7" hidden="1">
      <c r="B986" s="140" t="s">
        <v>3523</v>
      </c>
      <c r="C986" s="140"/>
      <c r="D986" s="140" t="s">
        <v>3524</v>
      </c>
      <c r="E986" s="142"/>
      <c r="F986" s="142"/>
      <c r="G986" s="140"/>
    </row>
    <row r="987" spans="2:7" hidden="1">
      <c r="B987" s="141" t="s">
        <v>3525</v>
      </c>
      <c r="C987" s="140"/>
      <c r="D987" s="141" t="s">
        <v>3526</v>
      </c>
      <c r="E987" s="140"/>
      <c r="F987" s="140"/>
      <c r="G987" s="140"/>
    </row>
    <row r="988" spans="2:7" hidden="1">
      <c r="B988" s="141" t="s">
        <v>3527</v>
      </c>
      <c r="C988" s="140"/>
      <c r="D988" s="141" t="s">
        <v>3528</v>
      </c>
      <c r="E988" s="140"/>
      <c r="F988" s="140"/>
      <c r="G988" s="140"/>
    </row>
    <row r="989" spans="2:7" hidden="1">
      <c r="B989" s="141" t="s">
        <v>21499</v>
      </c>
      <c r="C989" s="140"/>
      <c r="D989" s="141" t="s">
        <v>3529</v>
      </c>
      <c r="E989" s="140"/>
      <c r="F989" s="140"/>
      <c r="G989" s="140"/>
    </row>
    <row r="990" spans="2:7" hidden="1">
      <c r="B990" s="140" t="s">
        <v>3530</v>
      </c>
      <c r="C990" s="140" t="s">
        <v>3531</v>
      </c>
      <c r="D990" s="140" t="s">
        <v>2168</v>
      </c>
      <c r="E990" s="140" t="s">
        <v>3532</v>
      </c>
      <c r="F990" s="140"/>
      <c r="G990" s="140"/>
    </row>
    <row r="991" spans="2:7" hidden="1">
      <c r="B991" s="140" t="s">
        <v>3533</v>
      </c>
      <c r="C991" s="140"/>
      <c r="D991" s="140" t="s">
        <v>3534</v>
      </c>
      <c r="E991" s="142"/>
      <c r="F991" s="142"/>
      <c r="G991" s="140"/>
    </row>
    <row r="992" spans="2:7" hidden="1">
      <c r="B992" s="141" t="s">
        <v>3535</v>
      </c>
      <c r="C992" s="140"/>
      <c r="D992" s="141" t="s">
        <v>3536</v>
      </c>
      <c r="E992" s="140"/>
      <c r="F992" s="140"/>
      <c r="G992" s="140"/>
    </row>
    <row r="993" spans="2:7" hidden="1">
      <c r="B993" s="141" t="s">
        <v>3537</v>
      </c>
      <c r="C993" s="140"/>
      <c r="D993" s="141" t="s">
        <v>3538</v>
      </c>
      <c r="E993" s="140"/>
      <c r="F993" s="140"/>
      <c r="G993" s="140"/>
    </row>
    <row r="994" spans="2:7" hidden="1">
      <c r="B994" s="141" t="s">
        <v>21500</v>
      </c>
      <c r="C994" s="140"/>
      <c r="D994" s="141" t="s">
        <v>3539</v>
      </c>
      <c r="E994" s="140"/>
      <c r="F994" s="140"/>
      <c r="G994" s="140"/>
    </row>
    <row r="995" spans="2:7" hidden="1">
      <c r="B995" s="140" t="s">
        <v>3540</v>
      </c>
      <c r="C995" s="140" t="s">
        <v>3541</v>
      </c>
      <c r="D995" s="140" t="s">
        <v>3542</v>
      </c>
      <c r="E995" s="142" t="s">
        <v>3543</v>
      </c>
      <c r="F995" s="142" t="s">
        <v>3544</v>
      </c>
      <c r="G995" s="140"/>
    </row>
    <row r="996" spans="2:7" hidden="1">
      <c r="B996" s="141" t="s">
        <v>3545</v>
      </c>
      <c r="C996" s="140" t="s">
        <v>3546</v>
      </c>
      <c r="D996" s="141" t="s">
        <v>3547</v>
      </c>
      <c r="E996" s="140" t="s">
        <v>3548</v>
      </c>
      <c r="F996" s="140"/>
      <c r="G996" s="140"/>
    </row>
    <row r="997" spans="2:7" hidden="1">
      <c r="B997" s="141" t="s">
        <v>3549</v>
      </c>
      <c r="C997" s="140"/>
      <c r="D997" s="141" t="s">
        <v>3550</v>
      </c>
      <c r="E997" s="140"/>
      <c r="F997" s="140"/>
      <c r="G997" s="140"/>
    </row>
    <row r="998" spans="2:7" hidden="1">
      <c r="B998" s="141" t="s">
        <v>3551</v>
      </c>
      <c r="C998" s="140"/>
      <c r="D998" s="141" t="s">
        <v>3552</v>
      </c>
      <c r="E998" s="140"/>
      <c r="F998" s="140"/>
      <c r="G998" s="140"/>
    </row>
    <row r="999" spans="2:7" hidden="1">
      <c r="B999" s="141" t="s">
        <v>3553</v>
      </c>
      <c r="C999" s="140"/>
      <c r="D999" s="141" t="s">
        <v>2139</v>
      </c>
      <c r="E999" s="140"/>
      <c r="F999" s="140"/>
      <c r="G999" s="140"/>
    </row>
    <row r="1000" spans="2:7" hidden="1">
      <c r="B1000" s="141" t="s">
        <v>3554</v>
      </c>
      <c r="C1000" s="141"/>
      <c r="D1000" s="141" t="s">
        <v>3555</v>
      </c>
      <c r="E1000" s="140"/>
      <c r="F1000" s="140"/>
      <c r="G1000" s="140"/>
    </row>
    <row r="1001" spans="2:7" hidden="1">
      <c r="B1001" s="141" t="s">
        <v>3556</v>
      </c>
      <c r="C1001" s="140"/>
      <c r="D1001" s="141" t="s">
        <v>3557</v>
      </c>
      <c r="E1001" s="140"/>
      <c r="F1001" s="140"/>
      <c r="G1001" s="140"/>
    </row>
    <row r="1002" spans="2:7" hidden="1">
      <c r="B1002" s="141" t="s">
        <v>3558</v>
      </c>
      <c r="C1002" s="140" t="s">
        <v>3559</v>
      </c>
      <c r="D1002" s="141" t="s">
        <v>3560</v>
      </c>
      <c r="E1002" s="140"/>
      <c r="F1002" s="140"/>
      <c r="G1002" s="140"/>
    </row>
    <row r="1003" spans="2:7" hidden="1">
      <c r="B1003" s="140" t="s">
        <v>3561</v>
      </c>
      <c r="C1003" s="140"/>
      <c r="D1003" s="140" t="s">
        <v>3562</v>
      </c>
      <c r="E1003" s="140"/>
      <c r="F1003" s="140"/>
      <c r="G1003" s="140"/>
    </row>
    <row r="1004" spans="2:7" hidden="1">
      <c r="B1004" s="141" t="s">
        <v>3563</v>
      </c>
      <c r="C1004" s="140"/>
      <c r="D1004" s="141" t="s">
        <v>3564</v>
      </c>
      <c r="E1004" s="140"/>
      <c r="F1004" s="140"/>
      <c r="G1004" s="140"/>
    </row>
    <row r="1005" spans="2:7" hidden="1">
      <c r="B1005" s="140" t="s">
        <v>3565</v>
      </c>
      <c r="C1005" s="140"/>
      <c r="D1005" s="140" t="s">
        <v>3566</v>
      </c>
      <c r="E1005" s="140"/>
      <c r="F1005" s="140"/>
      <c r="G1005" s="140"/>
    </row>
    <row r="1006" spans="2:7" hidden="1">
      <c r="B1006" s="141" t="s">
        <v>3568</v>
      </c>
      <c r="C1006" s="140"/>
      <c r="D1006" s="141" t="s">
        <v>3569</v>
      </c>
      <c r="E1006" s="140"/>
      <c r="F1006" s="140"/>
      <c r="G1006" s="140"/>
    </row>
    <row r="1007" spans="2:7" hidden="1">
      <c r="B1007" s="141" t="s">
        <v>21501</v>
      </c>
      <c r="C1007" s="140"/>
      <c r="D1007" s="141" t="s">
        <v>3567</v>
      </c>
      <c r="E1007" s="140"/>
      <c r="F1007" s="140"/>
      <c r="G1007" s="140"/>
    </row>
    <row r="1008" spans="2:7" hidden="1">
      <c r="B1008" s="141" t="s">
        <v>3570</v>
      </c>
      <c r="C1008" s="140"/>
      <c r="D1008" s="141" t="s">
        <v>3571</v>
      </c>
      <c r="E1008" s="140"/>
      <c r="F1008" s="140"/>
      <c r="G1008" s="140"/>
    </row>
    <row r="1009" spans="2:7" hidden="1">
      <c r="B1009" s="141" t="s">
        <v>3572</v>
      </c>
      <c r="C1009" s="141" t="s">
        <v>3573</v>
      </c>
      <c r="D1009" s="141" t="s">
        <v>3574</v>
      </c>
      <c r="E1009" s="140"/>
      <c r="F1009" s="140"/>
      <c r="G1009" s="140" t="s">
        <v>3575</v>
      </c>
    </row>
    <row r="1010" spans="2:7" hidden="1">
      <c r="B1010" s="141" t="s">
        <v>3576</v>
      </c>
      <c r="C1010" s="140"/>
      <c r="D1010" s="141" t="s">
        <v>3577</v>
      </c>
      <c r="E1010" s="140"/>
      <c r="F1010" s="140"/>
      <c r="G1010" s="140"/>
    </row>
    <row r="1011" spans="2:7" hidden="1">
      <c r="B1011" s="141" t="s">
        <v>3578</v>
      </c>
      <c r="C1011" s="141" t="s">
        <v>3579</v>
      </c>
      <c r="D1011" s="141" t="s">
        <v>3580</v>
      </c>
      <c r="E1011" s="141"/>
      <c r="F1011" s="140"/>
      <c r="G1011" s="140"/>
    </row>
    <row r="1012" spans="2:7" hidden="1">
      <c r="B1012" s="141" t="s">
        <v>3581</v>
      </c>
      <c r="C1012" s="140"/>
      <c r="D1012" s="141" t="s">
        <v>3582</v>
      </c>
      <c r="E1012" s="140"/>
      <c r="F1012" s="140"/>
      <c r="G1012" s="140"/>
    </row>
    <row r="1013" spans="2:7" hidden="1">
      <c r="B1013" s="141" t="s">
        <v>3583</v>
      </c>
      <c r="C1013" s="140"/>
      <c r="D1013" s="141" t="s">
        <v>3584</v>
      </c>
      <c r="E1013" s="140"/>
      <c r="F1013" s="140"/>
      <c r="G1013" s="140"/>
    </row>
    <row r="1014" spans="2:7" hidden="1">
      <c r="B1014" s="141" t="s">
        <v>3585</v>
      </c>
      <c r="C1014" s="141"/>
      <c r="D1014" s="141" t="s">
        <v>1934</v>
      </c>
      <c r="E1014" s="141"/>
      <c r="F1014" s="141"/>
      <c r="G1014" s="140"/>
    </row>
    <row r="1015" spans="2:7" hidden="1">
      <c r="B1015" s="141" t="s">
        <v>3586</v>
      </c>
      <c r="C1015" s="140" t="s">
        <v>3587</v>
      </c>
      <c r="D1015" s="140" t="s">
        <v>3588</v>
      </c>
      <c r="E1015" s="140" t="s">
        <v>3589</v>
      </c>
      <c r="F1015" s="140" t="s">
        <v>3590</v>
      </c>
      <c r="G1015" s="140"/>
    </row>
    <row r="1016" spans="2:7" hidden="1">
      <c r="B1016" s="141" t="s">
        <v>3591</v>
      </c>
      <c r="C1016" s="140"/>
      <c r="D1016" s="141" t="s">
        <v>3592</v>
      </c>
      <c r="E1016" s="140"/>
      <c r="F1016" s="140"/>
      <c r="G1016" s="140"/>
    </row>
    <row r="1017" spans="2:7" hidden="1">
      <c r="B1017" s="141" t="s">
        <v>3593</v>
      </c>
      <c r="C1017" s="140" t="s">
        <v>21502</v>
      </c>
      <c r="D1017" s="141" t="s">
        <v>3594</v>
      </c>
      <c r="E1017" s="140"/>
      <c r="F1017" s="140"/>
      <c r="G1017" s="140"/>
    </row>
    <row r="1018" spans="2:7" hidden="1">
      <c r="B1018" s="141" t="s">
        <v>3595</v>
      </c>
      <c r="C1018" s="140"/>
      <c r="D1018" s="141" t="s">
        <v>3596</v>
      </c>
      <c r="E1018" s="140"/>
      <c r="F1018" s="140"/>
      <c r="G1018" s="140"/>
    </row>
    <row r="1019" spans="2:7" hidden="1">
      <c r="B1019" s="141" t="s">
        <v>3599</v>
      </c>
      <c r="C1019" s="140"/>
      <c r="D1019" s="141" t="s">
        <v>3600</v>
      </c>
      <c r="E1019" s="140"/>
      <c r="F1019" s="140"/>
      <c r="G1019" s="140"/>
    </row>
    <row r="1020" spans="2:7" hidden="1">
      <c r="B1020" s="140" t="s">
        <v>21503</v>
      </c>
      <c r="C1020" s="140"/>
      <c r="D1020" s="140" t="s">
        <v>3597</v>
      </c>
      <c r="E1020" s="142"/>
      <c r="F1020" s="142"/>
      <c r="G1020" s="140"/>
    </row>
    <row r="1021" spans="2:7" hidden="1">
      <c r="B1021" s="140" t="s">
        <v>21504</v>
      </c>
      <c r="C1021" s="140"/>
      <c r="D1021" s="140" t="s">
        <v>3598</v>
      </c>
      <c r="E1021" s="142"/>
      <c r="F1021" s="142"/>
      <c r="G1021" s="140"/>
    </row>
    <row r="1022" spans="2:7" hidden="1">
      <c r="B1022" s="141" t="s">
        <v>3601</v>
      </c>
      <c r="C1022" s="140"/>
      <c r="D1022" s="141" t="s">
        <v>3602</v>
      </c>
      <c r="E1022" s="140"/>
      <c r="F1022" s="140"/>
      <c r="G1022" s="140"/>
    </row>
    <row r="1023" spans="2:7" hidden="1">
      <c r="B1023" s="141" t="s">
        <v>21505</v>
      </c>
      <c r="C1023" s="140"/>
      <c r="D1023" s="141" t="s">
        <v>3603</v>
      </c>
      <c r="E1023" s="140"/>
      <c r="F1023" s="140"/>
      <c r="G1023" s="140"/>
    </row>
    <row r="1024" spans="2:7" hidden="1">
      <c r="B1024" s="141" t="s">
        <v>3604</v>
      </c>
      <c r="C1024" s="140"/>
      <c r="D1024" s="141" t="s">
        <v>3605</v>
      </c>
      <c r="E1024" s="140"/>
      <c r="F1024" s="140"/>
      <c r="G1024" s="140"/>
    </row>
    <row r="1025" spans="2:7" hidden="1">
      <c r="B1025" s="141" t="s">
        <v>3606</v>
      </c>
      <c r="C1025" s="140"/>
      <c r="D1025" s="141" t="s">
        <v>3607</v>
      </c>
      <c r="E1025" s="140"/>
      <c r="F1025" s="140"/>
      <c r="G1025" s="140"/>
    </row>
    <row r="1026" spans="2:7" hidden="1">
      <c r="B1026" s="141" t="s">
        <v>3608</v>
      </c>
      <c r="C1026" s="140" t="s">
        <v>3609</v>
      </c>
      <c r="D1026" s="141" t="s">
        <v>3610</v>
      </c>
      <c r="E1026" s="140" t="s">
        <v>3611</v>
      </c>
      <c r="F1026" s="140" t="s">
        <v>3612</v>
      </c>
      <c r="G1026" s="140"/>
    </row>
    <row r="1027" spans="2:7" hidden="1">
      <c r="B1027" s="140" t="s">
        <v>3613</v>
      </c>
      <c r="C1027" s="140" t="s">
        <v>3614</v>
      </c>
      <c r="D1027" s="140" t="s">
        <v>3615</v>
      </c>
      <c r="E1027" s="142" t="s">
        <v>3616</v>
      </c>
      <c r="F1027" s="142" t="s">
        <v>3617</v>
      </c>
      <c r="G1027" s="140"/>
    </row>
    <row r="1028" spans="2:7" hidden="1">
      <c r="B1028" s="140" t="s">
        <v>3618</v>
      </c>
      <c r="C1028" s="140"/>
      <c r="D1028" s="140" t="s">
        <v>3619</v>
      </c>
      <c r="E1028" s="142"/>
      <c r="F1028" s="142"/>
      <c r="G1028" s="140"/>
    </row>
    <row r="1029" spans="2:7" hidden="1">
      <c r="B1029" s="141" t="s">
        <v>3620</v>
      </c>
      <c r="C1029" s="140"/>
      <c r="D1029" s="141" t="s">
        <v>3621</v>
      </c>
      <c r="E1029" s="140"/>
      <c r="F1029" s="140"/>
      <c r="G1029" s="140"/>
    </row>
    <row r="1030" spans="2:7" hidden="1">
      <c r="B1030" s="141" t="s">
        <v>3622</v>
      </c>
      <c r="C1030" s="140"/>
      <c r="D1030" s="141" t="s">
        <v>3623</v>
      </c>
      <c r="E1030" s="140"/>
      <c r="F1030" s="140"/>
      <c r="G1030" s="140"/>
    </row>
    <row r="1031" spans="2:7" hidden="1">
      <c r="B1031" s="141" t="s">
        <v>3624</v>
      </c>
      <c r="C1031" s="140"/>
      <c r="D1031" s="141" t="s">
        <v>3625</v>
      </c>
      <c r="E1031" s="140"/>
      <c r="F1031" s="140"/>
      <c r="G1031" s="140"/>
    </row>
    <row r="1032" spans="2:7" hidden="1">
      <c r="B1032" s="141" t="s">
        <v>3626</v>
      </c>
      <c r="C1032" s="140"/>
      <c r="D1032" s="141" t="s">
        <v>3627</v>
      </c>
      <c r="E1032" s="140"/>
      <c r="F1032" s="140"/>
      <c r="G1032" s="140"/>
    </row>
    <row r="1033" spans="2:7" hidden="1">
      <c r="B1033" s="141" t="s">
        <v>3628</v>
      </c>
      <c r="C1033" s="141" t="s">
        <v>3629</v>
      </c>
      <c r="D1033" s="141" t="s">
        <v>3630</v>
      </c>
      <c r="E1033" s="140" t="s">
        <v>3631</v>
      </c>
      <c r="F1033" s="140"/>
      <c r="G1033" s="140"/>
    </row>
    <row r="1034" spans="2:7" hidden="1">
      <c r="B1034" s="141" t="s">
        <v>3632</v>
      </c>
      <c r="C1034" s="141"/>
      <c r="D1034" s="141" t="s">
        <v>3633</v>
      </c>
      <c r="E1034" s="141"/>
      <c r="F1034" s="141"/>
      <c r="G1034" s="140"/>
    </row>
    <row r="1035" spans="2:7" hidden="1">
      <c r="B1035" s="141" t="s">
        <v>3634</v>
      </c>
      <c r="C1035" s="141"/>
      <c r="D1035" s="141" t="s">
        <v>3635</v>
      </c>
      <c r="E1035" s="141"/>
      <c r="F1035" s="141"/>
      <c r="G1035" s="140"/>
    </row>
    <row r="1036" spans="2:7" hidden="1">
      <c r="B1036" s="141" t="s">
        <v>3641</v>
      </c>
      <c r="C1036" s="140" t="s">
        <v>3642</v>
      </c>
      <c r="D1036" s="141" t="s">
        <v>3643</v>
      </c>
      <c r="E1036" s="140" t="s">
        <v>3644</v>
      </c>
      <c r="F1036" s="140"/>
      <c r="G1036" s="140"/>
    </row>
    <row r="1037" spans="2:7" hidden="1">
      <c r="B1037" s="140" t="s">
        <v>3645</v>
      </c>
      <c r="C1037" s="140" t="s">
        <v>3646</v>
      </c>
      <c r="D1037" s="140" t="s">
        <v>3647</v>
      </c>
      <c r="E1037" s="142" t="s">
        <v>3648</v>
      </c>
      <c r="F1037" s="142" t="s">
        <v>3649</v>
      </c>
      <c r="G1037" s="140"/>
    </row>
    <row r="1038" spans="2:7" hidden="1">
      <c r="B1038" s="141" t="s">
        <v>3650</v>
      </c>
      <c r="C1038" s="140" t="s">
        <v>3651</v>
      </c>
      <c r="D1038" s="141" t="s">
        <v>3652</v>
      </c>
      <c r="E1038" s="140" t="s">
        <v>3653</v>
      </c>
      <c r="F1038" s="140" t="s">
        <v>3654</v>
      </c>
      <c r="G1038" s="140"/>
    </row>
    <row r="1039" spans="2:7" hidden="1">
      <c r="B1039" s="141" t="s">
        <v>3655</v>
      </c>
      <c r="C1039" s="140"/>
      <c r="D1039" s="141" t="s">
        <v>3656</v>
      </c>
      <c r="E1039" s="140"/>
      <c r="F1039" s="140"/>
      <c r="G1039" s="140"/>
    </row>
    <row r="1040" spans="2:7" hidden="1">
      <c r="B1040" s="141" t="s">
        <v>21506</v>
      </c>
      <c r="C1040" s="140" t="s">
        <v>3636</v>
      </c>
      <c r="D1040" s="141" t="s">
        <v>3637</v>
      </c>
      <c r="E1040" s="140" t="s">
        <v>3638</v>
      </c>
      <c r="F1040" s="140" t="s">
        <v>3639</v>
      </c>
      <c r="G1040" s="140"/>
    </row>
    <row r="1041" spans="2:7" hidden="1">
      <c r="B1041" s="141" t="s">
        <v>21507</v>
      </c>
      <c r="C1041" s="141"/>
      <c r="D1041" s="141" t="s">
        <v>3640</v>
      </c>
      <c r="E1041" s="141"/>
      <c r="F1041" s="141"/>
      <c r="G1041" s="140"/>
    </row>
    <row r="1042" spans="2:7" hidden="1">
      <c r="B1042" s="141" t="s">
        <v>3657</v>
      </c>
      <c r="C1042" s="140"/>
      <c r="D1042" s="141" t="s">
        <v>3658</v>
      </c>
      <c r="E1042" s="140"/>
      <c r="F1042" s="140"/>
      <c r="G1042" s="140"/>
    </row>
    <row r="1043" spans="2:7" hidden="1">
      <c r="B1043" s="141" t="s">
        <v>3659</v>
      </c>
      <c r="C1043" s="141"/>
      <c r="D1043" s="141" t="s">
        <v>3619</v>
      </c>
      <c r="E1043" s="141"/>
      <c r="F1043" s="141"/>
      <c r="G1043" s="140"/>
    </row>
    <row r="1044" spans="2:7" hidden="1">
      <c r="B1044" s="140" t="s">
        <v>3660</v>
      </c>
      <c r="C1044" s="140" t="s">
        <v>3661</v>
      </c>
      <c r="D1044" s="140" t="s">
        <v>3662</v>
      </c>
      <c r="E1044" s="140" t="s">
        <v>3663</v>
      </c>
      <c r="F1044" s="140" t="s">
        <v>3664</v>
      </c>
      <c r="G1044" s="140"/>
    </row>
    <row r="1045" spans="2:7" hidden="1">
      <c r="B1045" s="140" t="s">
        <v>3665</v>
      </c>
      <c r="C1045" s="140" t="s">
        <v>3666</v>
      </c>
      <c r="D1045" s="140" t="s">
        <v>3667</v>
      </c>
      <c r="E1045" s="142" t="s">
        <v>3668</v>
      </c>
      <c r="F1045" s="142"/>
      <c r="G1045" s="140"/>
    </row>
    <row r="1046" spans="2:7" hidden="1">
      <c r="B1046" s="141" t="s">
        <v>3669</v>
      </c>
      <c r="C1046" s="140"/>
      <c r="D1046" s="141" t="s">
        <v>3670</v>
      </c>
      <c r="E1046" s="140"/>
      <c r="F1046" s="140"/>
      <c r="G1046" s="140"/>
    </row>
    <row r="1047" spans="2:7" hidden="1">
      <c r="B1047" s="141" t="s">
        <v>3671</v>
      </c>
      <c r="C1047" s="140"/>
      <c r="D1047" s="141" t="s">
        <v>3672</v>
      </c>
      <c r="E1047" s="140"/>
      <c r="F1047" s="140"/>
      <c r="G1047" s="140"/>
    </row>
    <row r="1048" spans="2:7" hidden="1">
      <c r="B1048" s="141" t="s">
        <v>3673</v>
      </c>
      <c r="C1048" s="140"/>
      <c r="D1048" s="141" t="s">
        <v>3674</v>
      </c>
      <c r="E1048" s="140"/>
      <c r="F1048" s="140"/>
      <c r="G1048" s="140"/>
    </row>
    <row r="1049" spans="2:7" hidden="1">
      <c r="B1049" s="140" t="s">
        <v>3675</v>
      </c>
      <c r="C1049" s="140"/>
      <c r="D1049" s="140" t="s">
        <v>3676</v>
      </c>
      <c r="E1049" s="140"/>
      <c r="F1049" s="140"/>
      <c r="G1049" s="140"/>
    </row>
    <row r="1050" spans="2:7" hidden="1">
      <c r="B1050" s="141" t="s">
        <v>3677</v>
      </c>
      <c r="C1050" s="140" t="s">
        <v>3678</v>
      </c>
      <c r="D1050" s="141" t="s">
        <v>3679</v>
      </c>
      <c r="E1050" s="140">
        <v>6203263152</v>
      </c>
      <c r="F1050" s="140">
        <v>6203265789</v>
      </c>
      <c r="G1050" s="140" t="s">
        <v>3680</v>
      </c>
    </row>
    <row r="1051" spans="2:7" hidden="1">
      <c r="B1051" s="141" t="s">
        <v>3681</v>
      </c>
      <c r="C1051" s="141"/>
      <c r="D1051" s="141" t="s">
        <v>3682</v>
      </c>
      <c r="E1051" s="141"/>
      <c r="F1051" s="140"/>
      <c r="G1051" s="140"/>
    </row>
    <row r="1052" spans="2:7" hidden="1">
      <c r="B1052" s="141" t="s">
        <v>3683</v>
      </c>
      <c r="C1052" s="140"/>
      <c r="D1052" s="141" t="s">
        <v>3684</v>
      </c>
      <c r="E1052" s="140"/>
      <c r="F1052" s="140"/>
      <c r="G1052" s="140"/>
    </row>
    <row r="1053" spans="2:7" hidden="1">
      <c r="B1053" s="141" t="s">
        <v>3685</v>
      </c>
      <c r="C1053" s="140"/>
      <c r="D1053" s="141" t="s">
        <v>3686</v>
      </c>
      <c r="E1053" s="140"/>
      <c r="F1053" s="140"/>
      <c r="G1053" s="140"/>
    </row>
    <row r="1054" spans="2:7" hidden="1">
      <c r="B1054" s="141" t="s">
        <v>3687</v>
      </c>
      <c r="C1054" s="140"/>
      <c r="D1054" s="141" t="s">
        <v>3688</v>
      </c>
      <c r="E1054" s="140"/>
      <c r="F1054" s="140"/>
      <c r="G1054" s="140"/>
    </row>
    <row r="1055" spans="2:7" hidden="1">
      <c r="B1055" s="141" t="s">
        <v>3689</v>
      </c>
      <c r="C1055" s="140" t="s">
        <v>3690</v>
      </c>
      <c r="D1055" s="141" t="s">
        <v>3691</v>
      </c>
      <c r="E1055" s="140"/>
      <c r="F1055" s="140"/>
      <c r="G1055" s="140" t="s">
        <v>3692</v>
      </c>
    </row>
    <row r="1056" spans="2:7" hidden="1">
      <c r="B1056" s="141" t="s">
        <v>3693</v>
      </c>
      <c r="C1056" s="140"/>
      <c r="D1056" s="141" t="s">
        <v>3694</v>
      </c>
      <c r="E1056" s="140"/>
      <c r="F1056" s="140"/>
      <c r="G1056" s="140"/>
    </row>
    <row r="1057" spans="2:7" hidden="1">
      <c r="B1057" s="140" t="s">
        <v>3695</v>
      </c>
      <c r="C1057" s="140"/>
      <c r="D1057" s="140" t="s">
        <v>3696</v>
      </c>
      <c r="E1057" s="142"/>
      <c r="F1057" s="142"/>
      <c r="G1057" s="140"/>
    </row>
    <row r="1058" spans="2:7" hidden="1">
      <c r="B1058" s="141" t="s">
        <v>3697</v>
      </c>
      <c r="C1058" s="140"/>
      <c r="D1058" s="141" t="s">
        <v>3698</v>
      </c>
      <c r="E1058" s="140"/>
      <c r="F1058" s="140"/>
      <c r="G1058" s="140"/>
    </row>
    <row r="1059" spans="2:7" hidden="1">
      <c r="B1059" s="141" t="s">
        <v>3699</v>
      </c>
      <c r="C1059" s="141"/>
      <c r="D1059" s="141" t="s">
        <v>3700</v>
      </c>
      <c r="E1059" s="141"/>
      <c r="F1059" s="140"/>
      <c r="G1059" s="140"/>
    </row>
    <row r="1060" spans="2:7" hidden="1">
      <c r="B1060" s="141" t="s">
        <v>3701</v>
      </c>
      <c r="C1060" s="140"/>
      <c r="D1060" s="141" t="s">
        <v>3702</v>
      </c>
      <c r="E1060" s="140"/>
      <c r="F1060" s="140"/>
      <c r="G1060" s="140"/>
    </row>
    <row r="1061" spans="2:7" hidden="1">
      <c r="B1061" s="141" t="s">
        <v>3703</v>
      </c>
      <c r="C1061" s="140"/>
      <c r="D1061" s="141" t="s">
        <v>3704</v>
      </c>
      <c r="E1061" s="140"/>
      <c r="F1061" s="140"/>
      <c r="G1061" s="140"/>
    </row>
    <row r="1062" spans="2:7" hidden="1">
      <c r="B1062" s="141" t="s">
        <v>3705</v>
      </c>
      <c r="C1062" s="140"/>
      <c r="D1062" s="141" t="s">
        <v>3706</v>
      </c>
      <c r="E1062" s="140"/>
      <c r="F1062" s="140"/>
      <c r="G1062" s="140"/>
    </row>
    <row r="1063" spans="2:7" hidden="1">
      <c r="B1063" s="140" t="s">
        <v>20323</v>
      </c>
      <c r="C1063" s="140" t="s">
        <v>20324</v>
      </c>
      <c r="D1063" s="140" t="s">
        <v>20325</v>
      </c>
      <c r="E1063" s="142" t="s">
        <v>20326</v>
      </c>
      <c r="F1063" s="142"/>
      <c r="G1063" s="140" t="s">
        <v>20327</v>
      </c>
    </row>
    <row r="1064" spans="2:7" hidden="1">
      <c r="B1064" s="141" t="s">
        <v>3707</v>
      </c>
      <c r="C1064" s="140"/>
      <c r="D1064" s="141" t="s">
        <v>3708</v>
      </c>
      <c r="E1064" s="140"/>
      <c r="F1064" s="140"/>
      <c r="G1064" s="140"/>
    </row>
    <row r="1065" spans="2:7" hidden="1">
      <c r="B1065" s="141" t="s">
        <v>3709</v>
      </c>
      <c r="C1065" s="141"/>
      <c r="D1065" s="141" t="s">
        <v>3710</v>
      </c>
      <c r="E1065" s="140"/>
      <c r="F1065" s="140"/>
      <c r="G1065" s="140"/>
    </row>
    <row r="1066" spans="2:7" hidden="1">
      <c r="B1066" s="141" t="s">
        <v>3711</v>
      </c>
      <c r="C1066" s="140"/>
      <c r="D1066" s="141" t="s">
        <v>3712</v>
      </c>
      <c r="E1066" s="140"/>
      <c r="F1066" s="140"/>
      <c r="G1066" s="140"/>
    </row>
    <row r="1067" spans="2:7" hidden="1">
      <c r="B1067" s="141" t="s">
        <v>3713</v>
      </c>
      <c r="C1067" s="141"/>
      <c r="D1067" s="141" t="s">
        <v>3714</v>
      </c>
      <c r="E1067" s="140"/>
      <c r="F1067" s="140"/>
      <c r="G1067" s="140"/>
    </row>
    <row r="1068" spans="2:7" hidden="1">
      <c r="B1068" s="141" t="s">
        <v>3715</v>
      </c>
      <c r="C1068" s="141"/>
      <c r="D1068" s="141" t="s">
        <v>3716</v>
      </c>
      <c r="E1068" s="141"/>
      <c r="F1068" s="140"/>
      <c r="G1068" s="140"/>
    </row>
    <row r="1069" spans="2:7" hidden="1">
      <c r="B1069" s="141" t="s">
        <v>3717</v>
      </c>
      <c r="C1069" s="140"/>
      <c r="D1069" s="141" t="s">
        <v>3718</v>
      </c>
      <c r="E1069" s="140"/>
      <c r="F1069" s="140"/>
      <c r="G1069" s="140"/>
    </row>
    <row r="1070" spans="2:7" hidden="1">
      <c r="B1070" s="141" t="s">
        <v>3719</v>
      </c>
      <c r="C1070" s="140"/>
      <c r="D1070" s="141" t="s">
        <v>3720</v>
      </c>
      <c r="E1070" s="140"/>
      <c r="F1070" s="140"/>
      <c r="G1070" s="140"/>
    </row>
    <row r="1071" spans="2:7" hidden="1">
      <c r="B1071" s="141" t="s">
        <v>3721</v>
      </c>
      <c r="C1071" s="140"/>
      <c r="D1071" s="141" t="s">
        <v>1454</v>
      </c>
      <c r="E1071" s="140"/>
      <c r="F1071" s="140"/>
      <c r="G1071" s="140"/>
    </row>
    <row r="1072" spans="2:7" hidden="1">
      <c r="B1072" s="141" t="s">
        <v>3722</v>
      </c>
      <c r="C1072" s="140"/>
      <c r="D1072" s="141" t="s">
        <v>3723</v>
      </c>
      <c r="E1072" s="140"/>
      <c r="F1072" s="140"/>
      <c r="G1072" s="140"/>
    </row>
    <row r="1073" spans="2:7" hidden="1">
      <c r="B1073" s="141" t="s">
        <v>3724</v>
      </c>
      <c r="C1073" s="140"/>
      <c r="D1073" s="141" t="s">
        <v>3725</v>
      </c>
      <c r="E1073" s="140"/>
      <c r="F1073" s="140"/>
      <c r="G1073" s="140"/>
    </row>
    <row r="1074" spans="2:7" hidden="1">
      <c r="B1074" s="141" t="s">
        <v>3726</v>
      </c>
      <c r="C1074" s="140"/>
      <c r="D1074" s="141" t="s">
        <v>3727</v>
      </c>
      <c r="E1074" s="140"/>
      <c r="F1074" s="140"/>
      <c r="G1074" s="140"/>
    </row>
    <row r="1075" spans="2:7" hidden="1">
      <c r="B1075" s="140" t="s">
        <v>3728</v>
      </c>
      <c r="C1075" s="140"/>
      <c r="D1075" s="140" t="s">
        <v>2249</v>
      </c>
      <c r="E1075" s="140"/>
      <c r="F1075" s="140"/>
      <c r="G1075" s="140"/>
    </row>
    <row r="1076" spans="2:7" hidden="1">
      <c r="B1076" s="140" t="s">
        <v>21508</v>
      </c>
      <c r="C1076" s="140"/>
      <c r="D1076" s="140" t="s">
        <v>1213</v>
      </c>
      <c r="E1076" s="140"/>
      <c r="F1076" s="140"/>
      <c r="G1076" s="140"/>
    </row>
    <row r="1077" spans="2:7" hidden="1">
      <c r="B1077" s="141" t="s">
        <v>3729</v>
      </c>
      <c r="C1077" s="140"/>
      <c r="D1077" s="141" t="s">
        <v>3730</v>
      </c>
      <c r="E1077" s="140"/>
      <c r="F1077" s="140"/>
      <c r="G1077" s="140"/>
    </row>
    <row r="1078" spans="2:7" hidden="1">
      <c r="B1078" s="141" t="s">
        <v>3731</v>
      </c>
      <c r="C1078" s="141" t="s">
        <v>3732</v>
      </c>
      <c r="D1078" s="141" t="s">
        <v>3733</v>
      </c>
      <c r="E1078" s="141" t="s">
        <v>3734</v>
      </c>
      <c r="F1078" s="140"/>
      <c r="G1078" s="140"/>
    </row>
    <row r="1079" spans="2:7" hidden="1">
      <c r="B1079" s="141" t="s">
        <v>3735</v>
      </c>
      <c r="C1079" s="140"/>
      <c r="D1079" s="141" t="s">
        <v>1254</v>
      </c>
      <c r="E1079" s="140"/>
      <c r="F1079" s="140"/>
      <c r="G1079" s="140"/>
    </row>
    <row r="1080" spans="2:7" hidden="1">
      <c r="B1080" s="141" t="s">
        <v>3736</v>
      </c>
      <c r="C1080" s="140"/>
      <c r="D1080" s="141" t="s">
        <v>3737</v>
      </c>
      <c r="E1080" s="140"/>
      <c r="F1080" s="140"/>
      <c r="G1080" s="140"/>
    </row>
    <row r="1081" spans="2:7" hidden="1">
      <c r="B1081" s="140" t="s">
        <v>3738</v>
      </c>
      <c r="C1081" s="140" t="s">
        <v>3739</v>
      </c>
      <c r="D1081" s="140" t="s">
        <v>3740</v>
      </c>
      <c r="E1081" s="142" t="s">
        <v>3741</v>
      </c>
      <c r="F1081" s="142" t="s">
        <v>3742</v>
      </c>
      <c r="G1081" s="140"/>
    </row>
    <row r="1082" spans="2:7" hidden="1">
      <c r="B1082" s="141" t="s">
        <v>3743</v>
      </c>
      <c r="C1082" s="140"/>
      <c r="D1082" s="141" t="s">
        <v>3744</v>
      </c>
      <c r="E1082" s="140"/>
      <c r="F1082" s="140"/>
      <c r="G1082" s="140"/>
    </row>
    <row r="1083" spans="2:7" hidden="1">
      <c r="B1083" s="141" t="s">
        <v>21509</v>
      </c>
      <c r="C1083" s="140"/>
      <c r="D1083" s="141" t="s">
        <v>3745</v>
      </c>
      <c r="E1083" s="140"/>
      <c r="F1083" s="140"/>
      <c r="G1083" s="140"/>
    </row>
    <row r="1084" spans="2:7" hidden="1">
      <c r="B1084" s="141" t="s">
        <v>3746</v>
      </c>
      <c r="C1084" s="140"/>
      <c r="D1084" s="141" t="s">
        <v>3747</v>
      </c>
      <c r="E1084" s="140"/>
      <c r="F1084" s="140"/>
      <c r="G1084" s="140"/>
    </row>
    <row r="1085" spans="2:7" hidden="1">
      <c r="B1085" s="141" t="s">
        <v>3768</v>
      </c>
      <c r="C1085" s="141"/>
      <c r="D1085" s="141" t="s">
        <v>3769</v>
      </c>
      <c r="E1085" s="141"/>
      <c r="F1085" s="141"/>
      <c r="G1085" s="140"/>
    </row>
    <row r="1086" spans="2:7" hidden="1">
      <c r="B1086" s="141" t="s">
        <v>3770</v>
      </c>
      <c r="C1086" s="140"/>
      <c r="D1086" s="141" t="s">
        <v>3771</v>
      </c>
      <c r="E1086" s="140"/>
      <c r="F1086" s="140"/>
      <c r="G1086" s="140"/>
    </row>
    <row r="1087" spans="2:7" hidden="1">
      <c r="B1087" s="141" t="s">
        <v>21510</v>
      </c>
      <c r="C1087" s="140"/>
      <c r="D1087" s="141" t="s">
        <v>3748</v>
      </c>
      <c r="E1087" s="140"/>
      <c r="F1087" s="140"/>
      <c r="G1087" s="140"/>
    </row>
    <row r="1088" spans="2:7" hidden="1">
      <c r="B1088" s="141" t="s">
        <v>21511</v>
      </c>
      <c r="C1088" s="140"/>
      <c r="D1088" s="141" t="s">
        <v>3749</v>
      </c>
      <c r="E1088" s="140"/>
      <c r="F1088" s="140"/>
      <c r="G1088" s="140"/>
    </row>
    <row r="1089" spans="2:7" hidden="1">
      <c r="B1089" s="141" t="s">
        <v>21512</v>
      </c>
      <c r="C1089" s="140"/>
      <c r="D1089" s="141" t="s">
        <v>3750</v>
      </c>
      <c r="E1089" s="140"/>
      <c r="F1089" s="140"/>
      <c r="G1089" s="140"/>
    </row>
    <row r="1090" spans="2:7" hidden="1">
      <c r="B1090" s="141" t="s">
        <v>21513</v>
      </c>
      <c r="C1090" s="140"/>
      <c r="D1090" s="141" t="s">
        <v>3751</v>
      </c>
      <c r="E1090" s="140"/>
      <c r="F1090" s="140"/>
      <c r="G1090" s="140"/>
    </row>
    <row r="1091" spans="2:7" hidden="1">
      <c r="B1091" s="141" t="s">
        <v>21514</v>
      </c>
      <c r="C1091" s="140"/>
      <c r="D1091" s="141" t="s">
        <v>3752</v>
      </c>
      <c r="E1091" s="140"/>
      <c r="F1091" s="140"/>
      <c r="G1091" s="140"/>
    </row>
    <row r="1092" spans="2:7" hidden="1">
      <c r="B1092" s="140" t="s">
        <v>21515</v>
      </c>
      <c r="C1092" s="140"/>
      <c r="D1092" s="140" t="s">
        <v>3753</v>
      </c>
      <c r="E1092" s="142"/>
      <c r="F1092" s="142"/>
      <c r="G1092" s="140"/>
    </row>
    <row r="1093" spans="2:7" hidden="1">
      <c r="B1093" s="140" t="s">
        <v>21516</v>
      </c>
      <c r="C1093" s="140"/>
      <c r="D1093" s="140" t="s">
        <v>3754</v>
      </c>
      <c r="E1093" s="142"/>
      <c r="F1093" s="142"/>
      <c r="G1093" s="140"/>
    </row>
    <row r="1094" spans="2:7" hidden="1">
      <c r="B1094" s="140" t="s">
        <v>21517</v>
      </c>
      <c r="C1094" s="140" t="s">
        <v>3755</v>
      </c>
      <c r="D1094" s="140" t="s">
        <v>1334</v>
      </c>
      <c r="E1094" s="142" t="s">
        <v>3756</v>
      </c>
      <c r="F1094" s="142"/>
      <c r="G1094" s="140"/>
    </row>
    <row r="1095" spans="2:7" hidden="1">
      <c r="B1095" s="141" t="s">
        <v>21518</v>
      </c>
      <c r="C1095" s="140"/>
      <c r="D1095" s="141" t="s">
        <v>3757</v>
      </c>
      <c r="E1095" s="140"/>
      <c r="F1095" s="140"/>
      <c r="G1095" s="140"/>
    </row>
    <row r="1096" spans="2:7" hidden="1">
      <c r="B1096" s="141" t="s">
        <v>3772</v>
      </c>
      <c r="C1096" s="140" t="s">
        <v>3758</v>
      </c>
      <c r="D1096" s="141" t="s">
        <v>2844</v>
      </c>
      <c r="E1096" s="140" t="s">
        <v>3759</v>
      </c>
      <c r="F1096" s="140" t="s">
        <v>3760</v>
      </c>
      <c r="G1096" s="140"/>
    </row>
    <row r="1097" spans="2:7" hidden="1">
      <c r="B1097" s="141" t="s">
        <v>3772</v>
      </c>
      <c r="C1097" s="140" t="s">
        <v>3773</v>
      </c>
      <c r="D1097" s="141" t="s">
        <v>2021</v>
      </c>
      <c r="E1097" s="140" t="s">
        <v>3774</v>
      </c>
      <c r="F1097" s="140" t="s">
        <v>3775</v>
      </c>
      <c r="G1097" s="140"/>
    </row>
    <row r="1098" spans="2:7" hidden="1">
      <c r="B1098" s="141" t="s">
        <v>21519</v>
      </c>
      <c r="C1098" s="140" t="s">
        <v>3761</v>
      </c>
      <c r="D1098" s="141" t="s">
        <v>3762</v>
      </c>
      <c r="E1098" s="140" t="s">
        <v>3763</v>
      </c>
      <c r="F1098" s="140" t="s">
        <v>3764</v>
      </c>
      <c r="G1098" s="140"/>
    </row>
    <row r="1099" spans="2:7" hidden="1">
      <c r="B1099" s="141" t="s">
        <v>21520</v>
      </c>
      <c r="C1099" s="140" t="s">
        <v>3765</v>
      </c>
      <c r="D1099" s="141" t="s">
        <v>3306</v>
      </c>
      <c r="E1099" s="140" t="s">
        <v>3766</v>
      </c>
      <c r="F1099" s="140" t="s">
        <v>3767</v>
      </c>
      <c r="G1099" s="140"/>
    </row>
    <row r="1100" spans="2:7" hidden="1">
      <c r="B1100" s="141" t="s">
        <v>3776</v>
      </c>
      <c r="C1100" s="140" t="s">
        <v>3777</v>
      </c>
      <c r="D1100" s="141" t="s">
        <v>3778</v>
      </c>
      <c r="E1100" s="140"/>
      <c r="F1100" s="140"/>
      <c r="G1100" s="140"/>
    </row>
    <row r="1101" spans="2:7" hidden="1">
      <c r="B1101" s="140" t="s">
        <v>3779</v>
      </c>
      <c r="C1101" s="140"/>
      <c r="D1101" s="140" t="s">
        <v>3780</v>
      </c>
      <c r="E1101" s="140"/>
      <c r="F1101" s="140"/>
      <c r="G1101" s="140"/>
    </row>
    <row r="1102" spans="2:7" hidden="1">
      <c r="B1102" s="141" t="s">
        <v>3781</v>
      </c>
      <c r="C1102" s="140"/>
      <c r="D1102" s="141" t="s">
        <v>1997</v>
      </c>
      <c r="E1102" s="140"/>
      <c r="F1102" s="140"/>
      <c r="G1102" s="140"/>
    </row>
    <row r="1103" spans="2:7" hidden="1">
      <c r="B1103" s="141" t="s">
        <v>3782</v>
      </c>
      <c r="C1103" s="140"/>
      <c r="D1103" s="141" t="s">
        <v>3783</v>
      </c>
      <c r="E1103" s="140"/>
      <c r="F1103" s="140"/>
      <c r="G1103" s="140"/>
    </row>
    <row r="1104" spans="2:7" hidden="1">
      <c r="B1104" s="141" t="s">
        <v>3784</v>
      </c>
      <c r="C1104" s="140"/>
      <c r="D1104" s="141" t="s">
        <v>3785</v>
      </c>
      <c r="E1104" s="140"/>
      <c r="F1104" s="140"/>
      <c r="G1104" s="140"/>
    </row>
    <row r="1105" spans="2:7" hidden="1">
      <c r="B1105" s="141" t="s">
        <v>3786</v>
      </c>
      <c r="C1105" s="140" t="s">
        <v>3787</v>
      </c>
      <c r="D1105" s="141" t="s">
        <v>3788</v>
      </c>
      <c r="E1105" s="140"/>
      <c r="F1105" s="140"/>
      <c r="G1105" s="140"/>
    </row>
    <row r="1106" spans="2:7" hidden="1">
      <c r="B1106" s="141" t="s">
        <v>3789</v>
      </c>
      <c r="C1106" s="140"/>
      <c r="D1106" s="141" t="s">
        <v>3790</v>
      </c>
      <c r="E1106" s="140"/>
      <c r="F1106" s="140"/>
      <c r="G1106" s="140"/>
    </row>
    <row r="1107" spans="2:7" hidden="1">
      <c r="B1107" s="141" t="s">
        <v>3791</v>
      </c>
      <c r="C1107" s="140"/>
      <c r="D1107" s="141" t="s">
        <v>2692</v>
      </c>
      <c r="E1107" s="140"/>
      <c r="F1107" s="140"/>
      <c r="G1107" s="140"/>
    </row>
    <row r="1108" spans="2:7" hidden="1">
      <c r="B1108" s="141" t="s">
        <v>3792</v>
      </c>
      <c r="C1108" s="141"/>
      <c r="D1108" s="141" t="s">
        <v>3793</v>
      </c>
      <c r="E1108" s="141"/>
      <c r="F1108" s="140"/>
      <c r="G1108" s="140"/>
    </row>
    <row r="1109" spans="2:7" hidden="1">
      <c r="B1109" s="141" t="s">
        <v>3794</v>
      </c>
      <c r="C1109" s="140"/>
      <c r="D1109" s="141" t="s">
        <v>3795</v>
      </c>
      <c r="E1109" s="140"/>
      <c r="F1109" s="140"/>
      <c r="G1109" s="140"/>
    </row>
    <row r="1110" spans="2:7" hidden="1">
      <c r="B1110" s="141" t="s">
        <v>3796</v>
      </c>
      <c r="C1110" s="140"/>
      <c r="D1110" s="141" t="s">
        <v>3797</v>
      </c>
      <c r="E1110" s="140"/>
      <c r="F1110" s="140"/>
      <c r="G1110" s="140"/>
    </row>
    <row r="1111" spans="2:7" hidden="1">
      <c r="B1111" s="141" t="s">
        <v>3798</v>
      </c>
      <c r="C1111" s="141"/>
      <c r="D1111" s="141" t="s">
        <v>3201</v>
      </c>
      <c r="E1111" s="141"/>
      <c r="F1111" s="140"/>
      <c r="G1111" s="140"/>
    </row>
    <row r="1112" spans="2:7" hidden="1">
      <c r="B1112" s="141" t="s">
        <v>3799</v>
      </c>
      <c r="C1112" s="140" t="s">
        <v>3800</v>
      </c>
      <c r="D1112" s="141" t="s">
        <v>3801</v>
      </c>
      <c r="E1112" s="140" t="s">
        <v>3802</v>
      </c>
      <c r="F1112" s="140" t="s">
        <v>3803</v>
      </c>
      <c r="G1112" s="140"/>
    </row>
    <row r="1113" spans="2:7" hidden="1">
      <c r="B1113" s="140" t="s">
        <v>22190</v>
      </c>
      <c r="C1113" s="140" t="s">
        <v>22191</v>
      </c>
      <c r="D1113" s="140" t="s">
        <v>22192</v>
      </c>
      <c r="E1113" s="142" t="s">
        <v>22193</v>
      </c>
      <c r="F1113" s="142"/>
      <c r="G1113" s="140"/>
    </row>
    <row r="1114" spans="2:7" hidden="1">
      <c r="B1114" s="141" t="s">
        <v>3804</v>
      </c>
      <c r="C1114" s="140" t="s">
        <v>3805</v>
      </c>
      <c r="D1114" s="141" t="s">
        <v>3806</v>
      </c>
      <c r="E1114" s="140" t="s">
        <v>3807</v>
      </c>
      <c r="F1114" s="140"/>
      <c r="G1114" s="140"/>
    </row>
    <row r="1115" spans="2:7" hidden="1">
      <c r="B1115" s="141" t="s">
        <v>3808</v>
      </c>
      <c r="C1115" s="140" t="s">
        <v>3809</v>
      </c>
      <c r="D1115" s="141" t="s">
        <v>3810</v>
      </c>
      <c r="E1115" s="140"/>
      <c r="F1115" s="140"/>
      <c r="G1115" s="140"/>
    </row>
    <row r="1116" spans="2:7" hidden="1">
      <c r="B1116" s="141" t="s">
        <v>3811</v>
      </c>
      <c r="C1116" s="141"/>
      <c r="D1116" s="141" t="s">
        <v>3812</v>
      </c>
      <c r="E1116" s="141"/>
      <c r="F1116" s="140"/>
      <c r="G1116" s="140"/>
    </row>
    <row r="1117" spans="2:7" hidden="1">
      <c r="B1117" s="141" t="s">
        <v>3813</v>
      </c>
      <c r="C1117" s="140"/>
      <c r="D1117" s="141" t="s">
        <v>3814</v>
      </c>
      <c r="E1117" s="140" t="s">
        <v>3815</v>
      </c>
      <c r="F1117" s="140" t="s">
        <v>3816</v>
      </c>
      <c r="G1117" s="140"/>
    </row>
    <row r="1118" spans="2:7" hidden="1">
      <c r="B1118" s="141" t="s">
        <v>3817</v>
      </c>
      <c r="C1118" s="140" t="s">
        <v>3818</v>
      </c>
      <c r="D1118" s="141" t="s">
        <v>3819</v>
      </c>
      <c r="E1118" s="140" t="s">
        <v>3820</v>
      </c>
      <c r="F1118" s="140"/>
      <c r="G1118" s="140"/>
    </row>
    <row r="1119" spans="2:7" hidden="1">
      <c r="B1119" s="140" t="s">
        <v>3821</v>
      </c>
      <c r="C1119" s="140"/>
      <c r="D1119" s="140" t="s">
        <v>3822</v>
      </c>
      <c r="E1119" s="142"/>
      <c r="F1119" s="142"/>
      <c r="G1119" s="140"/>
    </row>
    <row r="1120" spans="2:7" hidden="1">
      <c r="B1120" s="141" t="s">
        <v>3823</v>
      </c>
      <c r="C1120" s="140"/>
      <c r="D1120" s="141" t="s">
        <v>3733</v>
      </c>
      <c r="E1120" s="140"/>
      <c r="F1120" s="140"/>
      <c r="G1120" s="140"/>
    </row>
    <row r="1121" spans="2:7" hidden="1">
      <c r="B1121" s="141" t="s">
        <v>3824</v>
      </c>
      <c r="C1121" s="140" t="s">
        <v>3825</v>
      </c>
      <c r="D1121" s="141" t="s">
        <v>3826</v>
      </c>
      <c r="E1121" s="140" t="s">
        <v>3827</v>
      </c>
      <c r="F1121" s="140" t="s">
        <v>3828</v>
      </c>
      <c r="G1121" s="140"/>
    </row>
    <row r="1122" spans="2:7" hidden="1">
      <c r="B1122" s="141" t="s">
        <v>3829</v>
      </c>
      <c r="C1122" s="140"/>
      <c r="D1122" s="141" t="s">
        <v>3830</v>
      </c>
      <c r="E1122" s="140"/>
      <c r="F1122" s="140"/>
      <c r="G1122" s="140"/>
    </row>
    <row r="1123" spans="2:7" hidden="1">
      <c r="B1123" s="141" t="s">
        <v>3831</v>
      </c>
      <c r="C1123" s="140"/>
      <c r="D1123" s="141" t="s">
        <v>3832</v>
      </c>
      <c r="E1123" s="140"/>
      <c r="F1123" s="140"/>
      <c r="G1123" s="140"/>
    </row>
    <row r="1124" spans="2:7" hidden="1">
      <c r="B1124" s="140" t="s">
        <v>3833</v>
      </c>
      <c r="C1124" s="140"/>
      <c r="D1124" s="140" t="s">
        <v>3834</v>
      </c>
      <c r="E1124" s="142"/>
      <c r="F1124" s="142"/>
      <c r="G1124" s="140"/>
    </row>
    <row r="1125" spans="2:7" hidden="1">
      <c r="B1125" s="141" t="s">
        <v>3835</v>
      </c>
      <c r="C1125" s="140"/>
      <c r="D1125" s="141" t="s">
        <v>3836</v>
      </c>
      <c r="E1125" s="140"/>
      <c r="F1125" s="140"/>
      <c r="G1125" s="140"/>
    </row>
    <row r="1126" spans="2:7" hidden="1">
      <c r="B1126" s="141" t="s">
        <v>3837</v>
      </c>
      <c r="C1126" s="140"/>
      <c r="D1126" s="141" t="s">
        <v>1073</v>
      </c>
      <c r="E1126" s="140"/>
      <c r="F1126" s="140"/>
      <c r="G1126" s="140"/>
    </row>
    <row r="1127" spans="2:7" hidden="1">
      <c r="B1127" s="141" t="s">
        <v>3838</v>
      </c>
      <c r="C1127" s="140"/>
      <c r="D1127" s="141" t="s">
        <v>3839</v>
      </c>
      <c r="E1127" s="140"/>
      <c r="F1127" s="140"/>
      <c r="G1127" s="140"/>
    </row>
    <row r="1128" spans="2:7" hidden="1">
      <c r="B1128" s="141" t="s">
        <v>3840</v>
      </c>
      <c r="C1128" s="140"/>
      <c r="D1128" s="141" t="s">
        <v>3841</v>
      </c>
      <c r="E1128" s="140"/>
      <c r="F1128" s="140"/>
      <c r="G1128" s="140"/>
    </row>
    <row r="1129" spans="2:7" hidden="1">
      <c r="B1129" s="141" t="s">
        <v>3842</v>
      </c>
      <c r="C1129" s="141"/>
      <c r="D1129" s="141" t="s">
        <v>3843</v>
      </c>
      <c r="E1129" s="141"/>
      <c r="F1129" s="140"/>
      <c r="G1129" s="140"/>
    </row>
    <row r="1130" spans="2:7" hidden="1">
      <c r="B1130" s="141" t="s">
        <v>3844</v>
      </c>
      <c r="C1130" s="140"/>
      <c r="D1130" s="141" t="s">
        <v>3845</v>
      </c>
      <c r="E1130" s="140"/>
      <c r="F1130" s="140"/>
      <c r="G1130" s="140"/>
    </row>
    <row r="1131" spans="2:7" hidden="1">
      <c r="B1131" s="141" t="s">
        <v>3846</v>
      </c>
      <c r="C1131" s="140"/>
      <c r="D1131" s="141" t="s">
        <v>3847</v>
      </c>
      <c r="E1131" s="140"/>
      <c r="F1131" s="140"/>
      <c r="G1131" s="140"/>
    </row>
    <row r="1132" spans="2:7" hidden="1">
      <c r="B1132" s="141" t="s">
        <v>3848</v>
      </c>
      <c r="C1132" s="140"/>
      <c r="D1132" s="141" t="s">
        <v>3849</v>
      </c>
      <c r="E1132" s="140"/>
      <c r="F1132" s="140"/>
      <c r="G1132" s="140"/>
    </row>
    <row r="1133" spans="2:7" hidden="1">
      <c r="B1133" s="141" t="s">
        <v>3850</v>
      </c>
      <c r="C1133" s="140"/>
      <c r="D1133" s="141" t="s">
        <v>3851</v>
      </c>
      <c r="E1133" s="140"/>
      <c r="F1133" s="140"/>
      <c r="G1133" s="140"/>
    </row>
    <row r="1134" spans="2:7" hidden="1">
      <c r="B1134" s="141" t="s">
        <v>3852</v>
      </c>
      <c r="C1134" s="140"/>
      <c r="D1134" s="141" t="s">
        <v>2106</v>
      </c>
      <c r="E1134" s="140"/>
      <c r="F1134" s="140"/>
      <c r="G1134" s="140"/>
    </row>
    <row r="1135" spans="2:7" hidden="1">
      <c r="B1135" s="141" t="s">
        <v>3854</v>
      </c>
      <c r="C1135" s="140"/>
      <c r="D1135" s="141" t="s">
        <v>2896</v>
      </c>
      <c r="E1135" s="140"/>
      <c r="F1135" s="140"/>
      <c r="G1135" s="140"/>
    </row>
    <row r="1136" spans="2:7" hidden="1">
      <c r="B1136" s="140" t="s">
        <v>21521</v>
      </c>
      <c r="C1136" s="140"/>
      <c r="D1136" s="140" t="s">
        <v>3853</v>
      </c>
      <c r="E1136" s="140"/>
      <c r="F1136" s="140"/>
      <c r="G1136" s="140"/>
    </row>
    <row r="1137" spans="2:7" hidden="1">
      <c r="B1137" s="141" t="s">
        <v>3855</v>
      </c>
      <c r="C1137" s="140" t="s">
        <v>3856</v>
      </c>
      <c r="D1137" s="141" t="s">
        <v>3857</v>
      </c>
      <c r="E1137" s="140" t="s">
        <v>3858</v>
      </c>
      <c r="F1137" s="140" t="s">
        <v>3859</v>
      </c>
      <c r="G1137" s="140"/>
    </row>
    <row r="1138" spans="2:7" hidden="1">
      <c r="B1138" s="141" t="s">
        <v>3860</v>
      </c>
      <c r="C1138" s="140"/>
      <c r="D1138" s="141" t="s">
        <v>3861</v>
      </c>
      <c r="E1138" s="140"/>
      <c r="F1138" s="140"/>
      <c r="G1138" s="140"/>
    </row>
    <row r="1139" spans="2:7" hidden="1">
      <c r="B1139" s="141" t="s">
        <v>21522</v>
      </c>
      <c r="C1139" s="140" t="s">
        <v>3862</v>
      </c>
      <c r="D1139" s="141" t="s">
        <v>3863</v>
      </c>
      <c r="E1139" s="140" t="s">
        <v>3864</v>
      </c>
      <c r="F1139" s="140" t="s">
        <v>3865</v>
      </c>
      <c r="G1139" s="140"/>
    </row>
    <row r="1140" spans="2:7" hidden="1">
      <c r="B1140" s="141" t="s">
        <v>3866</v>
      </c>
      <c r="C1140" s="140"/>
      <c r="D1140" s="141" t="s">
        <v>3867</v>
      </c>
      <c r="E1140" s="140"/>
      <c r="F1140" s="140"/>
      <c r="G1140" s="140"/>
    </row>
    <row r="1141" spans="2:7" hidden="1">
      <c r="B1141" s="141" t="s">
        <v>3868</v>
      </c>
      <c r="C1141" s="140"/>
      <c r="D1141" s="141" t="s">
        <v>2702</v>
      </c>
      <c r="E1141" s="140"/>
      <c r="F1141" s="140"/>
      <c r="G1141" s="140"/>
    </row>
    <row r="1142" spans="2:7" hidden="1">
      <c r="B1142" s="141" t="s">
        <v>3869</v>
      </c>
      <c r="C1142" s="140"/>
      <c r="D1142" s="141" t="s">
        <v>3870</v>
      </c>
      <c r="E1142" s="140"/>
      <c r="F1142" s="140"/>
      <c r="G1142" s="140"/>
    </row>
    <row r="1143" spans="2:7" hidden="1">
      <c r="B1143" s="141" t="s">
        <v>3871</v>
      </c>
      <c r="C1143" s="140"/>
      <c r="D1143" s="141" t="s">
        <v>3872</v>
      </c>
      <c r="E1143" s="140"/>
      <c r="F1143" s="140"/>
      <c r="G1143" s="140"/>
    </row>
    <row r="1144" spans="2:7" hidden="1">
      <c r="B1144" s="141" t="s">
        <v>3873</v>
      </c>
      <c r="C1144" s="140"/>
      <c r="D1144" s="141" t="s">
        <v>3874</v>
      </c>
      <c r="E1144" s="140"/>
      <c r="F1144" s="140"/>
      <c r="G1144" s="140"/>
    </row>
    <row r="1145" spans="2:7" hidden="1">
      <c r="B1145" s="141" t="s">
        <v>3875</v>
      </c>
      <c r="C1145" s="140"/>
      <c r="D1145" s="141" t="s">
        <v>3876</v>
      </c>
      <c r="E1145" s="140"/>
      <c r="F1145" s="140"/>
      <c r="G1145" s="140"/>
    </row>
    <row r="1146" spans="2:7" hidden="1">
      <c r="B1146" s="141" t="s">
        <v>3877</v>
      </c>
      <c r="C1146" s="140"/>
      <c r="D1146" s="141" t="s">
        <v>3878</v>
      </c>
      <c r="E1146" s="140"/>
      <c r="F1146" s="140"/>
      <c r="G1146" s="140"/>
    </row>
    <row r="1147" spans="2:7" hidden="1">
      <c r="B1147" s="140" t="s">
        <v>3879</v>
      </c>
      <c r="C1147" s="140"/>
      <c r="D1147" s="140" t="s">
        <v>3880</v>
      </c>
      <c r="E1147" s="142"/>
      <c r="F1147" s="142"/>
      <c r="G1147" s="140"/>
    </row>
    <row r="1148" spans="2:7" hidden="1">
      <c r="B1148" s="141" t="s">
        <v>3883</v>
      </c>
      <c r="C1148" s="140"/>
      <c r="D1148" s="141" t="s">
        <v>3884</v>
      </c>
      <c r="E1148" s="140"/>
      <c r="F1148" s="140"/>
      <c r="G1148" s="140"/>
    </row>
    <row r="1149" spans="2:7" hidden="1">
      <c r="B1149" s="141" t="s">
        <v>3885</v>
      </c>
      <c r="C1149" s="140"/>
      <c r="D1149" s="141" t="s">
        <v>3886</v>
      </c>
      <c r="E1149" s="140"/>
      <c r="F1149" s="140"/>
      <c r="G1149" s="140"/>
    </row>
    <row r="1150" spans="2:7" hidden="1">
      <c r="B1150" s="140" t="s">
        <v>21523</v>
      </c>
      <c r="C1150" s="140"/>
      <c r="D1150" s="141" t="s">
        <v>3881</v>
      </c>
      <c r="E1150" s="140"/>
      <c r="F1150" s="140"/>
      <c r="G1150" s="140"/>
    </row>
    <row r="1151" spans="2:7" hidden="1">
      <c r="B1151" s="140" t="s">
        <v>21524</v>
      </c>
      <c r="C1151" s="140"/>
      <c r="D1151" s="140" t="s">
        <v>3882</v>
      </c>
      <c r="E1151" s="140"/>
      <c r="F1151" s="140"/>
      <c r="G1151" s="140"/>
    </row>
    <row r="1152" spans="2:7" hidden="1">
      <c r="B1152" s="141" t="s">
        <v>3887</v>
      </c>
      <c r="C1152" s="140"/>
      <c r="D1152" s="141" t="s">
        <v>3888</v>
      </c>
      <c r="E1152" s="140"/>
      <c r="F1152" s="140"/>
      <c r="G1152" s="140"/>
    </row>
    <row r="1153" spans="2:7" hidden="1">
      <c r="B1153" s="141" t="s">
        <v>3889</v>
      </c>
      <c r="C1153" s="140"/>
      <c r="D1153" s="141" t="s">
        <v>3890</v>
      </c>
      <c r="E1153" s="140"/>
      <c r="F1153" s="140"/>
      <c r="G1153" s="140"/>
    </row>
    <row r="1154" spans="2:7" hidden="1">
      <c r="B1154" s="141" t="s">
        <v>3891</v>
      </c>
      <c r="C1154" s="140"/>
      <c r="D1154" s="141" t="s">
        <v>3892</v>
      </c>
      <c r="E1154" s="140"/>
      <c r="F1154" s="140"/>
      <c r="G1154" s="140"/>
    </row>
    <row r="1155" spans="2:7" hidden="1">
      <c r="B1155" s="141" t="s">
        <v>3893</v>
      </c>
      <c r="C1155" s="140"/>
      <c r="D1155" s="141" t="s">
        <v>3894</v>
      </c>
      <c r="E1155" s="140"/>
      <c r="F1155" s="140"/>
      <c r="G1155" s="140"/>
    </row>
    <row r="1156" spans="2:7" hidden="1">
      <c r="B1156" s="141" t="s">
        <v>3895</v>
      </c>
      <c r="C1156" s="140"/>
      <c r="D1156" s="141" t="s">
        <v>3896</v>
      </c>
      <c r="E1156" s="140"/>
      <c r="F1156" s="140"/>
      <c r="G1156" s="140"/>
    </row>
    <row r="1157" spans="2:7" hidden="1">
      <c r="B1157" s="141" t="s">
        <v>3897</v>
      </c>
      <c r="C1157" s="140"/>
      <c r="D1157" s="141" t="s">
        <v>3898</v>
      </c>
      <c r="E1157" s="140"/>
      <c r="F1157" s="140"/>
      <c r="G1157" s="140"/>
    </row>
    <row r="1158" spans="2:7" hidden="1">
      <c r="B1158" s="141" t="s">
        <v>3899</v>
      </c>
      <c r="C1158" s="140" t="s">
        <v>3900</v>
      </c>
      <c r="D1158" s="141" t="s">
        <v>1378</v>
      </c>
      <c r="E1158" s="140" t="s">
        <v>3901</v>
      </c>
      <c r="F1158" s="140" t="s">
        <v>3902</v>
      </c>
      <c r="G1158" s="140"/>
    </row>
    <row r="1159" spans="2:7" hidden="1">
      <c r="B1159" s="140" t="s">
        <v>3903</v>
      </c>
      <c r="C1159" s="140" t="s">
        <v>3904</v>
      </c>
      <c r="D1159" s="140" t="s">
        <v>3905</v>
      </c>
      <c r="E1159" s="142" t="s">
        <v>3906</v>
      </c>
      <c r="F1159" s="142"/>
      <c r="G1159" s="140"/>
    </row>
    <row r="1160" spans="2:7" hidden="1">
      <c r="B1160" s="140" t="s">
        <v>3907</v>
      </c>
      <c r="C1160" s="140"/>
      <c r="D1160" s="140" t="s">
        <v>3908</v>
      </c>
      <c r="E1160" s="142"/>
      <c r="F1160" s="142"/>
      <c r="G1160" s="140"/>
    </row>
    <row r="1161" spans="2:7" hidden="1">
      <c r="B1161" s="141" t="s">
        <v>3909</v>
      </c>
      <c r="C1161" s="140"/>
      <c r="D1161" s="141" t="s">
        <v>3910</v>
      </c>
      <c r="E1161" s="140"/>
      <c r="F1161" s="140"/>
      <c r="G1161" s="140"/>
    </row>
    <row r="1162" spans="2:7" hidden="1">
      <c r="B1162" s="141" t="s">
        <v>3911</v>
      </c>
      <c r="C1162" s="141" t="s">
        <v>3912</v>
      </c>
      <c r="D1162" s="141" t="s">
        <v>3913</v>
      </c>
      <c r="E1162" s="141" t="s">
        <v>3914</v>
      </c>
      <c r="F1162" s="141" t="s">
        <v>3915</v>
      </c>
      <c r="G1162" s="140"/>
    </row>
    <row r="1163" spans="2:7" hidden="1">
      <c r="B1163" s="140" t="s">
        <v>3916</v>
      </c>
      <c r="C1163" s="140"/>
      <c r="D1163" s="140" t="s">
        <v>3917</v>
      </c>
      <c r="E1163" s="142"/>
      <c r="F1163" s="142"/>
      <c r="G1163" s="140"/>
    </row>
    <row r="1164" spans="2:7" hidden="1">
      <c r="B1164" s="141" t="s">
        <v>3918</v>
      </c>
      <c r="C1164" s="141"/>
      <c r="D1164" s="141" t="s">
        <v>3919</v>
      </c>
      <c r="E1164" s="141"/>
      <c r="F1164" s="141"/>
      <c r="G1164" s="140"/>
    </row>
    <row r="1165" spans="2:7" hidden="1">
      <c r="B1165" s="141" t="s">
        <v>3920</v>
      </c>
      <c r="C1165" s="140"/>
      <c r="D1165" s="141" t="s">
        <v>3921</v>
      </c>
      <c r="E1165" s="140"/>
      <c r="F1165" s="140"/>
      <c r="G1165" s="140"/>
    </row>
    <row r="1166" spans="2:7" hidden="1">
      <c r="B1166" s="141" t="s">
        <v>3922</v>
      </c>
      <c r="C1166" s="140" t="s">
        <v>3923</v>
      </c>
      <c r="D1166" s="141" t="s">
        <v>3924</v>
      </c>
      <c r="E1166" s="140" t="s">
        <v>3925</v>
      </c>
      <c r="F1166" s="140" t="s">
        <v>3926</v>
      </c>
      <c r="G1166" s="140"/>
    </row>
    <row r="1167" spans="2:7" hidden="1">
      <c r="B1167" s="141" t="s">
        <v>3927</v>
      </c>
      <c r="C1167" s="140" t="s">
        <v>3928</v>
      </c>
      <c r="D1167" s="141" t="s">
        <v>3929</v>
      </c>
      <c r="E1167" s="140" t="s">
        <v>3930</v>
      </c>
      <c r="F1167" s="140" t="s">
        <v>3931</v>
      </c>
      <c r="G1167" s="140"/>
    </row>
    <row r="1168" spans="2:7" hidden="1">
      <c r="B1168" s="141" t="s">
        <v>21525</v>
      </c>
      <c r="C1168" s="140"/>
      <c r="D1168" s="141" t="s">
        <v>3932</v>
      </c>
      <c r="E1168" s="140"/>
      <c r="F1168" s="140"/>
      <c r="G1168" s="140"/>
    </row>
    <row r="1169" spans="2:7" hidden="1">
      <c r="B1169" s="141" t="s">
        <v>3933</v>
      </c>
      <c r="C1169" s="140"/>
      <c r="D1169" s="141" t="s">
        <v>3934</v>
      </c>
      <c r="E1169" s="140"/>
      <c r="F1169" s="140"/>
      <c r="G1169" s="140"/>
    </row>
    <row r="1170" spans="2:7" hidden="1">
      <c r="B1170" s="141" t="s">
        <v>3935</v>
      </c>
      <c r="C1170" s="140"/>
      <c r="D1170" s="141" t="s">
        <v>3936</v>
      </c>
      <c r="E1170" s="140"/>
      <c r="F1170" s="140"/>
      <c r="G1170" s="140"/>
    </row>
    <row r="1171" spans="2:7" hidden="1">
      <c r="B1171" s="141" t="s">
        <v>3937</v>
      </c>
      <c r="C1171" s="140"/>
      <c r="D1171" s="141" t="s">
        <v>3938</v>
      </c>
      <c r="E1171" s="140"/>
      <c r="F1171" s="140"/>
      <c r="G1171" s="140"/>
    </row>
    <row r="1172" spans="2:7" hidden="1">
      <c r="B1172" s="141" t="s">
        <v>3939</v>
      </c>
      <c r="C1172" s="140"/>
      <c r="D1172" s="141" t="s">
        <v>3720</v>
      </c>
      <c r="E1172" s="140"/>
      <c r="F1172" s="140"/>
      <c r="G1172" s="140"/>
    </row>
    <row r="1173" spans="2:7" hidden="1">
      <c r="B1173" s="141" t="s">
        <v>3940</v>
      </c>
      <c r="C1173" s="140"/>
      <c r="D1173" s="141" t="s">
        <v>3941</v>
      </c>
      <c r="E1173" s="140"/>
      <c r="F1173" s="140"/>
      <c r="G1173" s="140"/>
    </row>
    <row r="1174" spans="2:7" hidden="1">
      <c r="B1174" s="141" t="s">
        <v>3942</v>
      </c>
      <c r="C1174" s="140"/>
      <c r="D1174" s="141" t="s">
        <v>3943</v>
      </c>
      <c r="E1174" s="140"/>
      <c r="F1174" s="140"/>
      <c r="G1174" s="140"/>
    </row>
    <row r="1175" spans="2:7" hidden="1">
      <c r="B1175" s="141" t="s">
        <v>3944</v>
      </c>
      <c r="C1175" s="140"/>
      <c r="D1175" s="141" t="s">
        <v>3547</v>
      </c>
      <c r="E1175" s="140"/>
      <c r="F1175" s="140"/>
      <c r="G1175" s="140"/>
    </row>
    <row r="1176" spans="2:7" hidden="1">
      <c r="B1176" s="141" t="s">
        <v>3945</v>
      </c>
      <c r="C1176" s="140" t="s">
        <v>3946</v>
      </c>
      <c r="D1176" s="141" t="s">
        <v>3947</v>
      </c>
      <c r="E1176" s="140" t="s">
        <v>3948</v>
      </c>
      <c r="F1176" s="140" t="s">
        <v>3949</v>
      </c>
      <c r="G1176" s="140"/>
    </row>
    <row r="1177" spans="2:7" hidden="1">
      <c r="B1177" s="140" t="s">
        <v>3950</v>
      </c>
      <c r="C1177" s="140"/>
      <c r="D1177" s="140" t="s">
        <v>3951</v>
      </c>
      <c r="E1177" s="142"/>
      <c r="F1177" s="142"/>
      <c r="G1177" s="140"/>
    </row>
    <row r="1178" spans="2:7" hidden="1">
      <c r="B1178" s="141" t="s">
        <v>3952</v>
      </c>
      <c r="C1178" s="140" t="s">
        <v>3953</v>
      </c>
      <c r="D1178" s="141" t="s">
        <v>3954</v>
      </c>
      <c r="E1178" s="140" t="s">
        <v>3955</v>
      </c>
      <c r="F1178" s="140" t="s">
        <v>3956</v>
      </c>
      <c r="G1178" s="140"/>
    </row>
    <row r="1179" spans="2:7" hidden="1">
      <c r="B1179" s="141" t="s">
        <v>3957</v>
      </c>
      <c r="C1179" s="140"/>
      <c r="D1179" s="141" t="s">
        <v>3958</v>
      </c>
      <c r="E1179" s="140"/>
      <c r="F1179" s="140"/>
      <c r="G1179" s="140"/>
    </row>
    <row r="1180" spans="2:7" hidden="1">
      <c r="B1180" s="141" t="s">
        <v>3959</v>
      </c>
      <c r="C1180" s="140"/>
      <c r="D1180" s="141" t="s">
        <v>2110</v>
      </c>
      <c r="E1180" s="140"/>
      <c r="F1180" s="140"/>
      <c r="G1180" s="140"/>
    </row>
    <row r="1181" spans="2:7" hidden="1">
      <c r="B1181" s="141" t="s">
        <v>3960</v>
      </c>
      <c r="C1181" s="140"/>
      <c r="D1181" s="141" t="s">
        <v>3961</v>
      </c>
      <c r="E1181" s="140"/>
      <c r="F1181" s="140"/>
      <c r="G1181" s="140"/>
    </row>
    <row r="1182" spans="2:7" hidden="1">
      <c r="B1182" s="141" t="s">
        <v>3962</v>
      </c>
      <c r="C1182" s="140"/>
      <c r="D1182" s="141" t="s">
        <v>3963</v>
      </c>
      <c r="E1182" s="140"/>
      <c r="F1182" s="140"/>
      <c r="G1182" s="140"/>
    </row>
    <row r="1183" spans="2:7" hidden="1">
      <c r="B1183" s="141" t="s">
        <v>3964</v>
      </c>
      <c r="C1183" s="140"/>
      <c r="D1183" s="141" t="s">
        <v>3965</v>
      </c>
      <c r="E1183" s="140"/>
      <c r="F1183" s="140"/>
      <c r="G1183" s="140"/>
    </row>
    <row r="1184" spans="2:7" hidden="1">
      <c r="B1184" s="141" t="s">
        <v>3966</v>
      </c>
      <c r="C1184" s="140"/>
      <c r="D1184" s="141" t="s">
        <v>3967</v>
      </c>
      <c r="E1184" s="140"/>
      <c r="F1184" s="140"/>
      <c r="G1184" s="140"/>
    </row>
    <row r="1185" spans="2:7" hidden="1">
      <c r="B1185" s="141" t="s">
        <v>21526</v>
      </c>
      <c r="C1185" s="141"/>
      <c r="D1185" s="141" t="s">
        <v>2139</v>
      </c>
      <c r="E1185" s="141"/>
      <c r="F1185" s="140"/>
      <c r="G1185" s="140"/>
    </row>
    <row r="1186" spans="2:7" hidden="1">
      <c r="B1186" s="141" t="s">
        <v>3968</v>
      </c>
      <c r="C1186" s="140"/>
      <c r="D1186" s="141" t="s">
        <v>2578</v>
      </c>
      <c r="E1186" s="140"/>
      <c r="F1186" s="140"/>
      <c r="G1186" s="140"/>
    </row>
    <row r="1187" spans="2:7" hidden="1">
      <c r="B1187" s="141" t="s">
        <v>3969</v>
      </c>
      <c r="C1187" s="141"/>
      <c r="D1187" s="141" t="s">
        <v>3970</v>
      </c>
      <c r="E1187" s="141"/>
      <c r="F1187" s="141"/>
      <c r="G1187" s="140"/>
    </row>
    <row r="1188" spans="2:7" hidden="1">
      <c r="B1188" s="141" t="s">
        <v>21527</v>
      </c>
      <c r="C1188" s="141" t="s">
        <v>3971</v>
      </c>
      <c r="D1188" s="141" t="s">
        <v>3905</v>
      </c>
      <c r="E1188" s="141" t="s">
        <v>3972</v>
      </c>
      <c r="F1188" s="140" t="s">
        <v>3973</v>
      </c>
      <c r="G1188" s="140"/>
    </row>
    <row r="1189" spans="2:7" hidden="1">
      <c r="B1189" s="141" t="s">
        <v>3974</v>
      </c>
      <c r="C1189" s="140"/>
      <c r="D1189" s="141" t="s">
        <v>3975</v>
      </c>
      <c r="E1189" s="140"/>
      <c r="F1189" s="140"/>
      <c r="G1189" s="140"/>
    </row>
    <row r="1190" spans="2:7" hidden="1">
      <c r="B1190" s="141" t="s">
        <v>3976</v>
      </c>
      <c r="C1190" s="140"/>
      <c r="D1190" s="141" t="s">
        <v>3977</v>
      </c>
      <c r="E1190" s="140"/>
      <c r="F1190" s="140"/>
      <c r="G1190" s="140"/>
    </row>
    <row r="1191" spans="2:7" hidden="1">
      <c r="B1191" s="141" t="s">
        <v>3978</v>
      </c>
      <c r="C1191" s="140" t="s">
        <v>3979</v>
      </c>
      <c r="D1191" s="141" t="s">
        <v>3980</v>
      </c>
      <c r="E1191" s="140" t="s">
        <v>3981</v>
      </c>
      <c r="F1191" s="140" t="s">
        <v>3982</v>
      </c>
      <c r="G1191" s="140"/>
    </row>
    <row r="1192" spans="2:7" hidden="1">
      <c r="B1192" s="141" t="s">
        <v>3983</v>
      </c>
      <c r="C1192" s="140"/>
      <c r="D1192" s="141" t="s">
        <v>3984</v>
      </c>
      <c r="E1192" s="140"/>
      <c r="F1192" s="140"/>
      <c r="G1192" s="140"/>
    </row>
    <row r="1193" spans="2:7" hidden="1">
      <c r="B1193" s="141" t="s">
        <v>3985</v>
      </c>
      <c r="C1193" s="140"/>
      <c r="D1193" s="141" t="s">
        <v>3986</v>
      </c>
      <c r="E1193" s="140"/>
      <c r="F1193" s="140"/>
      <c r="G1193" s="140"/>
    </row>
    <row r="1194" spans="2:7" hidden="1">
      <c r="B1194" s="141" t="s">
        <v>3987</v>
      </c>
      <c r="C1194" s="140"/>
      <c r="D1194" s="141" t="s">
        <v>3524</v>
      </c>
      <c r="E1194" s="140"/>
      <c r="F1194" s="140"/>
      <c r="G1194" s="140"/>
    </row>
    <row r="1195" spans="2:7" hidden="1">
      <c r="B1195" s="141" t="s">
        <v>3988</v>
      </c>
      <c r="C1195" s="141"/>
      <c r="D1195" s="141" t="s">
        <v>3989</v>
      </c>
      <c r="E1195" s="141"/>
      <c r="F1195" s="140"/>
      <c r="G1195" s="140"/>
    </row>
    <row r="1196" spans="2:7" hidden="1">
      <c r="B1196" s="141" t="s">
        <v>3990</v>
      </c>
      <c r="C1196" s="140"/>
      <c r="D1196" s="141" t="s">
        <v>3991</v>
      </c>
      <c r="E1196" s="140"/>
      <c r="F1196" s="140"/>
      <c r="G1196" s="140"/>
    </row>
    <row r="1197" spans="2:7" hidden="1">
      <c r="B1197" s="141" t="s">
        <v>3992</v>
      </c>
      <c r="C1197" s="140" t="s">
        <v>3993</v>
      </c>
      <c r="D1197" s="141" t="s">
        <v>2650</v>
      </c>
      <c r="E1197" s="140" t="s">
        <v>3994</v>
      </c>
      <c r="F1197" s="140" t="s">
        <v>3995</v>
      </c>
      <c r="G1197" s="140"/>
    </row>
    <row r="1198" spans="2:7" hidden="1">
      <c r="B1198" s="141" t="s">
        <v>3996</v>
      </c>
      <c r="C1198" s="140" t="s">
        <v>3997</v>
      </c>
      <c r="D1198" s="141" t="s">
        <v>3998</v>
      </c>
      <c r="E1198" s="140" t="s">
        <v>3999</v>
      </c>
      <c r="F1198" s="140" t="s">
        <v>4000</v>
      </c>
      <c r="G1198" s="140"/>
    </row>
    <row r="1199" spans="2:7" hidden="1">
      <c r="B1199" s="141" t="s">
        <v>4001</v>
      </c>
      <c r="C1199" s="140" t="s">
        <v>4002</v>
      </c>
      <c r="D1199" s="141" t="s">
        <v>4003</v>
      </c>
      <c r="E1199" s="140" t="s">
        <v>4004</v>
      </c>
      <c r="F1199" s="140" t="s">
        <v>3995</v>
      </c>
      <c r="G1199" s="140"/>
    </row>
    <row r="1200" spans="2:7" hidden="1">
      <c r="B1200" s="141" t="s">
        <v>4005</v>
      </c>
      <c r="C1200" s="140" t="s">
        <v>4006</v>
      </c>
      <c r="D1200" s="141" t="s">
        <v>4007</v>
      </c>
      <c r="E1200" s="140" t="s">
        <v>4008</v>
      </c>
      <c r="F1200" s="140" t="s">
        <v>4009</v>
      </c>
      <c r="G1200" s="140"/>
    </row>
    <row r="1201" spans="2:7" hidden="1">
      <c r="B1201" s="140" t="s">
        <v>4010</v>
      </c>
      <c r="C1201" s="140" t="s">
        <v>4011</v>
      </c>
      <c r="D1201" s="140" t="s">
        <v>4012</v>
      </c>
      <c r="E1201" s="140" t="s">
        <v>4013</v>
      </c>
      <c r="F1201" s="140"/>
      <c r="G1201" s="140"/>
    </row>
    <row r="1202" spans="2:7" hidden="1">
      <c r="B1202" s="140" t="s">
        <v>4014</v>
      </c>
      <c r="C1202" s="141" t="s">
        <v>4015</v>
      </c>
      <c r="D1202" s="141" t="s">
        <v>4016</v>
      </c>
      <c r="E1202" s="141" t="s">
        <v>4017</v>
      </c>
      <c r="F1202" s="141" t="s">
        <v>4018</v>
      </c>
      <c r="G1202" s="140"/>
    </row>
    <row r="1203" spans="2:7" hidden="1">
      <c r="B1203" s="140" t="s">
        <v>4019</v>
      </c>
      <c r="C1203" s="140" t="s">
        <v>4020</v>
      </c>
      <c r="D1203" s="141" t="s">
        <v>4021</v>
      </c>
      <c r="E1203" s="140"/>
      <c r="F1203" s="140"/>
      <c r="G1203" s="140"/>
    </row>
    <row r="1204" spans="2:7" hidden="1">
      <c r="B1204" s="141" t="s">
        <v>4022</v>
      </c>
      <c r="C1204" s="140"/>
      <c r="D1204" s="141" t="s">
        <v>4023</v>
      </c>
      <c r="E1204" s="140"/>
      <c r="F1204" s="140"/>
      <c r="G1204" s="140"/>
    </row>
    <row r="1205" spans="2:7" hidden="1">
      <c r="B1205" s="141" t="s">
        <v>4024</v>
      </c>
      <c r="C1205" s="141"/>
      <c r="D1205" s="141" t="s">
        <v>4025</v>
      </c>
      <c r="E1205" s="141"/>
      <c r="F1205" s="141"/>
      <c r="G1205" s="140"/>
    </row>
    <row r="1206" spans="2:7" hidden="1">
      <c r="B1206" s="140" t="s">
        <v>4026</v>
      </c>
      <c r="C1206" s="140" t="s">
        <v>4027</v>
      </c>
      <c r="D1206" s="140" t="s">
        <v>4028</v>
      </c>
      <c r="E1206" s="142"/>
      <c r="F1206" s="142"/>
      <c r="G1206" s="140"/>
    </row>
    <row r="1207" spans="2:7" hidden="1">
      <c r="B1207" s="141" t="s">
        <v>4029</v>
      </c>
      <c r="C1207" s="140"/>
      <c r="D1207" s="141" t="s">
        <v>4030</v>
      </c>
      <c r="E1207" s="140"/>
      <c r="F1207" s="140"/>
      <c r="G1207" s="140"/>
    </row>
    <row r="1208" spans="2:7" hidden="1">
      <c r="B1208" s="141" t="s">
        <v>21528</v>
      </c>
      <c r="C1208" s="140" t="s">
        <v>4031</v>
      </c>
      <c r="D1208" s="141" t="s">
        <v>4032</v>
      </c>
      <c r="E1208" s="140" t="s">
        <v>4033</v>
      </c>
      <c r="F1208" s="140" t="s">
        <v>4034</v>
      </c>
      <c r="G1208" s="140" t="s">
        <v>1954</v>
      </c>
    </row>
    <row r="1209" spans="2:7" hidden="1">
      <c r="B1209" s="141" t="s">
        <v>4035</v>
      </c>
      <c r="C1209" s="140" t="s">
        <v>4036</v>
      </c>
      <c r="D1209" s="141" t="s">
        <v>4037</v>
      </c>
      <c r="E1209" s="140"/>
      <c r="F1209" s="140"/>
      <c r="G1209" s="140"/>
    </row>
    <row r="1210" spans="2:7" hidden="1">
      <c r="B1210" s="141" t="s">
        <v>4038</v>
      </c>
      <c r="C1210" s="140" t="s">
        <v>4039</v>
      </c>
      <c r="D1210" s="141" t="s">
        <v>3150</v>
      </c>
      <c r="E1210" s="140" t="s">
        <v>4040</v>
      </c>
      <c r="F1210" s="140" t="s">
        <v>4041</v>
      </c>
      <c r="G1210" s="140"/>
    </row>
    <row r="1211" spans="2:7" hidden="1">
      <c r="B1211" s="141" t="s">
        <v>4042</v>
      </c>
      <c r="C1211" s="140" t="s">
        <v>4043</v>
      </c>
      <c r="D1211" s="141" t="s">
        <v>4044</v>
      </c>
      <c r="E1211" s="140"/>
      <c r="F1211" s="140"/>
      <c r="G1211" s="140" t="s">
        <v>4045</v>
      </c>
    </row>
    <row r="1212" spans="2:7" hidden="1">
      <c r="B1212" s="140" t="s">
        <v>4046</v>
      </c>
      <c r="C1212" s="140"/>
      <c r="D1212" s="140" t="s">
        <v>4047</v>
      </c>
      <c r="E1212" s="142"/>
      <c r="F1212" s="142"/>
      <c r="G1212" s="140"/>
    </row>
    <row r="1213" spans="2:7" hidden="1">
      <c r="B1213" s="141" t="s">
        <v>4048</v>
      </c>
      <c r="C1213" s="140"/>
      <c r="D1213" s="141" t="s">
        <v>2285</v>
      </c>
      <c r="E1213" s="140"/>
      <c r="F1213" s="140"/>
      <c r="G1213" s="140"/>
    </row>
    <row r="1214" spans="2:7" hidden="1">
      <c r="B1214" s="141" t="s">
        <v>4049</v>
      </c>
      <c r="C1214" s="140"/>
      <c r="D1214" s="141" t="s">
        <v>4050</v>
      </c>
      <c r="E1214" s="140"/>
      <c r="F1214" s="140"/>
      <c r="G1214" s="140"/>
    </row>
    <row r="1215" spans="2:7" hidden="1">
      <c r="B1215" s="140" t="s">
        <v>4051</v>
      </c>
      <c r="C1215" s="140"/>
      <c r="D1215" s="140" t="s">
        <v>3201</v>
      </c>
      <c r="E1215" s="142"/>
      <c r="F1215" s="142"/>
      <c r="G1215" s="140"/>
    </row>
    <row r="1216" spans="2:7" hidden="1">
      <c r="B1216" s="140" t="s">
        <v>4052</v>
      </c>
      <c r="C1216" s="140"/>
      <c r="D1216" s="140" t="s">
        <v>4053</v>
      </c>
      <c r="E1216" s="142"/>
      <c r="F1216" s="142"/>
      <c r="G1216" s="140"/>
    </row>
    <row r="1217" spans="2:7" hidden="1">
      <c r="B1217" s="141" t="s">
        <v>4054</v>
      </c>
      <c r="C1217" s="140"/>
      <c r="D1217" s="141"/>
      <c r="E1217" s="140" t="s">
        <v>4055</v>
      </c>
      <c r="F1217" s="140" t="s">
        <v>4056</v>
      </c>
      <c r="G1217" s="140"/>
    </row>
    <row r="1218" spans="2:7" hidden="1">
      <c r="B1218" s="141" t="s">
        <v>4057</v>
      </c>
      <c r="C1218" s="140" t="s">
        <v>4058</v>
      </c>
      <c r="D1218" s="141" t="s">
        <v>4059</v>
      </c>
      <c r="E1218" s="140" t="s">
        <v>4055</v>
      </c>
      <c r="F1218" s="140"/>
      <c r="G1218" s="140"/>
    </row>
    <row r="1219" spans="2:7" hidden="1">
      <c r="B1219" s="141" t="s">
        <v>4060</v>
      </c>
      <c r="C1219" s="140"/>
      <c r="D1219" s="141" t="s">
        <v>2954</v>
      </c>
      <c r="E1219" s="140"/>
      <c r="F1219" s="140"/>
      <c r="G1219" s="140"/>
    </row>
    <row r="1220" spans="2:7" hidden="1">
      <c r="B1220" s="141" t="s">
        <v>4061</v>
      </c>
      <c r="C1220" s="140"/>
      <c r="D1220" s="141" t="s">
        <v>4062</v>
      </c>
      <c r="E1220" s="140"/>
      <c r="F1220" s="140"/>
      <c r="G1220" s="140"/>
    </row>
    <row r="1221" spans="2:7" hidden="1">
      <c r="B1221" s="140" t="s">
        <v>4063</v>
      </c>
      <c r="C1221" s="140" t="s">
        <v>4064</v>
      </c>
      <c r="D1221" s="141" t="s">
        <v>4065</v>
      </c>
      <c r="E1221" s="140"/>
      <c r="F1221" s="140"/>
      <c r="G1221" s="140"/>
    </row>
    <row r="1222" spans="2:7" hidden="1">
      <c r="B1222" s="141" t="s">
        <v>4066</v>
      </c>
      <c r="C1222" s="140"/>
      <c r="D1222" s="141" t="s">
        <v>4067</v>
      </c>
      <c r="E1222" s="140"/>
      <c r="F1222" s="140"/>
      <c r="G1222" s="140"/>
    </row>
    <row r="1223" spans="2:7" hidden="1">
      <c r="B1223" s="141" t="s">
        <v>4068</v>
      </c>
      <c r="C1223" s="140"/>
      <c r="D1223" s="141" t="s">
        <v>1213</v>
      </c>
      <c r="E1223" s="140"/>
      <c r="F1223" s="140"/>
      <c r="G1223" s="140"/>
    </row>
    <row r="1224" spans="2:7" hidden="1">
      <c r="B1224" s="141" t="s">
        <v>4069</v>
      </c>
      <c r="C1224" s="140"/>
      <c r="D1224" s="141" t="s">
        <v>4070</v>
      </c>
      <c r="E1224" s="140"/>
      <c r="F1224" s="140"/>
      <c r="G1224" s="140"/>
    </row>
    <row r="1225" spans="2:7" hidden="1">
      <c r="B1225" s="141" t="s">
        <v>4071</v>
      </c>
      <c r="C1225" s="140" t="s">
        <v>4072</v>
      </c>
      <c r="D1225" s="141" t="s">
        <v>4073</v>
      </c>
      <c r="E1225" s="140" t="s">
        <v>4074</v>
      </c>
      <c r="F1225" s="140" t="s">
        <v>4075</v>
      </c>
      <c r="G1225" s="140"/>
    </row>
    <row r="1226" spans="2:7" hidden="1">
      <c r="B1226" s="140" t="s">
        <v>4076</v>
      </c>
      <c r="C1226" s="140" t="s">
        <v>4077</v>
      </c>
      <c r="D1226" s="140" t="s">
        <v>4078</v>
      </c>
      <c r="E1226" s="142" t="s">
        <v>4079</v>
      </c>
      <c r="F1226" s="142" t="s">
        <v>4080</v>
      </c>
      <c r="G1226" s="140"/>
    </row>
    <row r="1227" spans="2:7" hidden="1">
      <c r="B1227" s="141" t="s">
        <v>4081</v>
      </c>
      <c r="C1227" s="140"/>
      <c r="D1227" s="141" t="s">
        <v>4082</v>
      </c>
      <c r="E1227" s="140"/>
      <c r="F1227" s="140"/>
      <c r="G1227" s="140"/>
    </row>
    <row r="1228" spans="2:7" hidden="1">
      <c r="B1228" s="141" t="s">
        <v>4083</v>
      </c>
      <c r="C1228" s="140"/>
      <c r="D1228" s="141" t="s">
        <v>4084</v>
      </c>
      <c r="E1228" s="140"/>
      <c r="F1228" s="140"/>
      <c r="G1228" s="140"/>
    </row>
    <row r="1229" spans="2:7" hidden="1">
      <c r="B1229" s="141" t="s">
        <v>4085</v>
      </c>
      <c r="C1229" s="140"/>
      <c r="D1229" s="141" t="s">
        <v>4086</v>
      </c>
      <c r="E1229" s="140"/>
      <c r="F1229" s="140"/>
      <c r="G1229" s="140"/>
    </row>
    <row r="1230" spans="2:7" hidden="1">
      <c r="B1230" s="141" t="s">
        <v>4087</v>
      </c>
      <c r="C1230" s="140" t="s">
        <v>4088</v>
      </c>
      <c r="D1230" s="141" t="s">
        <v>4089</v>
      </c>
      <c r="E1230" s="140" t="s">
        <v>4090</v>
      </c>
      <c r="F1230" s="140" t="s">
        <v>4091</v>
      </c>
      <c r="G1230" s="140"/>
    </row>
    <row r="1231" spans="2:7" hidden="1">
      <c r="B1231" s="141" t="s">
        <v>4092</v>
      </c>
      <c r="C1231" s="140" t="s">
        <v>4093</v>
      </c>
      <c r="D1231" s="141" t="s">
        <v>4094</v>
      </c>
      <c r="E1231" s="140" t="s">
        <v>4095</v>
      </c>
      <c r="F1231" s="140" t="s">
        <v>4096</v>
      </c>
      <c r="G1231" s="140"/>
    </row>
    <row r="1232" spans="2:7" hidden="1">
      <c r="B1232" s="141" t="s">
        <v>4097</v>
      </c>
      <c r="C1232" s="141"/>
      <c r="D1232" s="141" t="s">
        <v>4098</v>
      </c>
      <c r="E1232" s="141"/>
      <c r="F1232" s="141"/>
      <c r="G1232" s="140"/>
    </row>
    <row r="1233" spans="2:7" hidden="1">
      <c r="B1233" s="141" t="s">
        <v>4099</v>
      </c>
      <c r="C1233" s="140"/>
      <c r="D1233" s="141" t="s">
        <v>1215</v>
      </c>
      <c r="E1233" s="140"/>
      <c r="F1233" s="140"/>
      <c r="G1233" s="140"/>
    </row>
    <row r="1234" spans="2:7" hidden="1">
      <c r="B1234" s="141" t="s">
        <v>4100</v>
      </c>
      <c r="C1234" s="140"/>
      <c r="D1234" s="141" t="s">
        <v>4101</v>
      </c>
      <c r="E1234" s="140"/>
      <c r="F1234" s="140"/>
      <c r="G1234" s="140"/>
    </row>
    <row r="1235" spans="2:7" hidden="1">
      <c r="B1235" s="141" t="s">
        <v>4102</v>
      </c>
      <c r="C1235" s="140" t="s">
        <v>4103</v>
      </c>
      <c r="D1235" s="141" t="s">
        <v>4104</v>
      </c>
      <c r="E1235" s="140"/>
      <c r="F1235" s="140"/>
      <c r="G1235" s="140"/>
    </row>
    <row r="1236" spans="2:7" hidden="1">
      <c r="B1236" s="141" t="s">
        <v>4105</v>
      </c>
      <c r="C1236" s="140"/>
      <c r="D1236" s="141" t="s">
        <v>4106</v>
      </c>
      <c r="E1236" s="140"/>
      <c r="F1236" s="140"/>
      <c r="G1236" s="140"/>
    </row>
    <row r="1237" spans="2:7" hidden="1">
      <c r="B1237" s="141" t="s">
        <v>4107</v>
      </c>
      <c r="C1237" s="141" t="s">
        <v>4108</v>
      </c>
      <c r="D1237" s="141" t="s">
        <v>4109</v>
      </c>
      <c r="E1237" s="141" t="s">
        <v>4110</v>
      </c>
      <c r="F1237" s="141"/>
      <c r="G1237" s="140"/>
    </row>
    <row r="1238" spans="2:7" hidden="1">
      <c r="B1238" s="141" t="s">
        <v>4111</v>
      </c>
      <c r="C1238" s="140" t="s">
        <v>4112</v>
      </c>
      <c r="D1238" s="141" t="s">
        <v>2243</v>
      </c>
      <c r="E1238" s="140" t="s">
        <v>4113</v>
      </c>
      <c r="F1238" s="140"/>
      <c r="G1238" s="140"/>
    </row>
    <row r="1239" spans="2:7" hidden="1">
      <c r="B1239" s="140" t="s">
        <v>4114</v>
      </c>
      <c r="C1239" s="140" t="s">
        <v>4115</v>
      </c>
      <c r="D1239" s="140" t="s">
        <v>1310</v>
      </c>
      <c r="E1239" s="140" t="s">
        <v>4116</v>
      </c>
      <c r="F1239" s="140" t="s">
        <v>4117</v>
      </c>
      <c r="G1239" s="140"/>
    </row>
    <row r="1240" spans="2:7" hidden="1">
      <c r="B1240" s="141" t="s">
        <v>4118</v>
      </c>
      <c r="C1240" s="140"/>
      <c r="D1240" s="141" t="s">
        <v>4119</v>
      </c>
      <c r="E1240" s="140"/>
      <c r="F1240" s="140"/>
      <c r="G1240" s="140"/>
    </row>
    <row r="1241" spans="2:7" hidden="1">
      <c r="B1241" s="141" t="s">
        <v>4120</v>
      </c>
      <c r="C1241" s="140"/>
      <c r="D1241" s="141" t="s">
        <v>4121</v>
      </c>
      <c r="E1241" s="140"/>
      <c r="F1241" s="140"/>
      <c r="G1241" s="140"/>
    </row>
    <row r="1242" spans="2:7" hidden="1">
      <c r="B1242" s="140" t="s">
        <v>4122</v>
      </c>
      <c r="C1242" s="140"/>
      <c r="D1242" s="140" t="s">
        <v>4123</v>
      </c>
      <c r="E1242" s="142"/>
      <c r="F1242" s="142"/>
      <c r="G1242" s="140"/>
    </row>
    <row r="1243" spans="2:7" hidden="1">
      <c r="B1243" s="141" t="s">
        <v>21529</v>
      </c>
      <c r="C1243" s="140"/>
      <c r="D1243" s="141" t="s">
        <v>4124</v>
      </c>
      <c r="E1243" s="140"/>
      <c r="F1243" s="140"/>
      <c r="G1243" s="140"/>
    </row>
    <row r="1244" spans="2:7" hidden="1">
      <c r="B1244" s="141" t="s">
        <v>4125</v>
      </c>
      <c r="C1244" s="140" t="s">
        <v>4126</v>
      </c>
      <c r="D1244" s="141" t="s">
        <v>4127</v>
      </c>
      <c r="E1244" s="140"/>
      <c r="F1244" s="140"/>
      <c r="G1244" s="140"/>
    </row>
    <row r="1245" spans="2:7" hidden="1">
      <c r="B1245" s="141" t="s">
        <v>4128</v>
      </c>
      <c r="C1245" s="140"/>
      <c r="D1245" s="141" t="s">
        <v>4129</v>
      </c>
      <c r="E1245" s="140"/>
      <c r="F1245" s="140"/>
      <c r="G1245" s="140"/>
    </row>
    <row r="1246" spans="2:7" hidden="1">
      <c r="B1246" s="140" t="s">
        <v>4130</v>
      </c>
      <c r="C1246" s="140"/>
      <c r="D1246" s="140" t="s">
        <v>4131</v>
      </c>
      <c r="E1246" s="142"/>
      <c r="F1246" s="142"/>
      <c r="G1246" s="140"/>
    </row>
    <row r="1247" spans="2:7" hidden="1">
      <c r="B1247" s="141" t="s">
        <v>4132</v>
      </c>
      <c r="C1247" s="140"/>
      <c r="D1247" s="141" t="s">
        <v>4133</v>
      </c>
      <c r="E1247" s="140"/>
      <c r="F1247" s="140"/>
      <c r="G1247" s="140"/>
    </row>
    <row r="1248" spans="2:7" hidden="1">
      <c r="B1248" s="141" t="s">
        <v>4134</v>
      </c>
      <c r="C1248" s="140"/>
      <c r="D1248" s="141" t="s">
        <v>3013</v>
      </c>
      <c r="E1248" s="140"/>
      <c r="F1248" s="140"/>
      <c r="G1248" s="140"/>
    </row>
    <row r="1249" spans="2:7" hidden="1">
      <c r="B1249" s="141" t="s">
        <v>4135</v>
      </c>
      <c r="C1249" s="140"/>
      <c r="D1249" s="141" t="s">
        <v>4136</v>
      </c>
      <c r="E1249" s="140"/>
      <c r="F1249" s="140"/>
      <c r="G1249" s="140"/>
    </row>
    <row r="1250" spans="2:7" hidden="1">
      <c r="B1250" s="141" t="s">
        <v>4137</v>
      </c>
      <c r="C1250" s="140"/>
      <c r="D1250" s="141" t="s">
        <v>4138</v>
      </c>
      <c r="E1250" s="140"/>
      <c r="F1250" s="140"/>
      <c r="G1250" s="140"/>
    </row>
    <row r="1251" spans="2:7" hidden="1">
      <c r="B1251" s="141" t="s">
        <v>4139</v>
      </c>
      <c r="C1251" s="140" t="s">
        <v>4140</v>
      </c>
      <c r="D1251" s="141" t="s">
        <v>4141</v>
      </c>
      <c r="E1251" s="140" t="s">
        <v>4142</v>
      </c>
      <c r="F1251" s="140"/>
      <c r="G1251" s="140" t="s">
        <v>4143</v>
      </c>
    </row>
    <row r="1252" spans="2:7" hidden="1">
      <c r="B1252" s="141" t="s">
        <v>4144</v>
      </c>
      <c r="C1252" s="140" t="s">
        <v>4145</v>
      </c>
      <c r="D1252" s="141" t="s">
        <v>4146</v>
      </c>
      <c r="E1252" s="140"/>
      <c r="F1252" s="140"/>
      <c r="G1252" s="140"/>
    </row>
    <row r="1253" spans="2:7" hidden="1">
      <c r="B1253" s="141" t="s">
        <v>4147</v>
      </c>
      <c r="C1253" s="140"/>
      <c r="D1253" s="141" t="s">
        <v>4148</v>
      </c>
      <c r="E1253" s="140"/>
      <c r="F1253" s="140"/>
      <c r="G1253" s="140"/>
    </row>
    <row r="1254" spans="2:7" hidden="1">
      <c r="B1254" s="141" t="s">
        <v>4149</v>
      </c>
      <c r="C1254" s="140"/>
      <c r="D1254" s="141" t="s">
        <v>4150</v>
      </c>
      <c r="E1254" s="140"/>
      <c r="F1254" s="140"/>
      <c r="G1254" s="140"/>
    </row>
    <row r="1255" spans="2:7" hidden="1">
      <c r="B1255" s="140" t="s">
        <v>4151</v>
      </c>
      <c r="C1255" s="140"/>
      <c r="D1255" s="140" t="s">
        <v>4152</v>
      </c>
      <c r="E1255" s="142"/>
      <c r="F1255" s="142"/>
      <c r="G1255" s="140"/>
    </row>
    <row r="1256" spans="2:7" hidden="1">
      <c r="B1256" s="141" t="s">
        <v>4153</v>
      </c>
      <c r="C1256" s="140" t="s">
        <v>4154</v>
      </c>
      <c r="D1256" s="141" t="s">
        <v>4155</v>
      </c>
      <c r="E1256" s="140" t="s">
        <v>4156</v>
      </c>
      <c r="F1256" s="140" t="s">
        <v>4157</v>
      </c>
      <c r="G1256" s="140"/>
    </row>
    <row r="1257" spans="2:7" hidden="1">
      <c r="B1257" s="140" t="s">
        <v>4158</v>
      </c>
      <c r="C1257" s="140" t="s">
        <v>4159</v>
      </c>
      <c r="D1257" s="141" t="s">
        <v>4160</v>
      </c>
      <c r="E1257" s="141" t="s">
        <v>4161</v>
      </c>
      <c r="F1257" s="141" t="s">
        <v>4162</v>
      </c>
      <c r="G1257" s="140"/>
    </row>
    <row r="1258" spans="2:7" hidden="1">
      <c r="B1258" s="141" t="s">
        <v>4163</v>
      </c>
      <c r="C1258" s="140"/>
      <c r="D1258" s="141" t="s">
        <v>4164</v>
      </c>
      <c r="E1258" s="140"/>
      <c r="F1258" s="140"/>
      <c r="G1258" s="140"/>
    </row>
    <row r="1259" spans="2:7" hidden="1">
      <c r="B1259" s="140" t="s">
        <v>4165</v>
      </c>
      <c r="C1259" s="140" t="s">
        <v>4166</v>
      </c>
      <c r="D1259" s="140" t="s">
        <v>4167</v>
      </c>
      <c r="E1259" s="140" t="s">
        <v>4168</v>
      </c>
      <c r="F1259" s="140" t="s">
        <v>4169</v>
      </c>
      <c r="G1259" s="140"/>
    </row>
    <row r="1260" spans="2:7" hidden="1">
      <c r="B1260" s="141" t="s">
        <v>20371</v>
      </c>
      <c r="C1260" s="140" t="s">
        <v>20369</v>
      </c>
      <c r="D1260" s="141" t="s">
        <v>20368</v>
      </c>
      <c r="E1260" s="140" t="s">
        <v>20370</v>
      </c>
      <c r="F1260" s="140"/>
      <c r="G1260" s="140"/>
    </row>
    <row r="1261" spans="2:7" hidden="1">
      <c r="B1261" s="141" t="s">
        <v>4170</v>
      </c>
      <c r="C1261" s="140" t="s">
        <v>4171</v>
      </c>
      <c r="D1261" s="141" t="s">
        <v>4172</v>
      </c>
      <c r="E1261" s="140"/>
      <c r="F1261" s="140"/>
      <c r="G1261" s="140"/>
    </row>
    <row r="1262" spans="2:7" hidden="1">
      <c r="B1262" s="141" t="s">
        <v>4173</v>
      </c>
      <c r="C1262" s="140"/>
      <c r="D1262" s="141" t="s">
        <v>4174</v>
      </c>
      <c r="E1262" s="140"/>
      <c r="F1262" s="140"/>
      <c r="G1262" s="140"/>
    </row>
    <row r="1263" spans="2:7" hidden="1">
      <c r="B1263" s="141" t="s">
        <v>4175</v>
      </c>
      <c r="C1263" s="140"/>
      <c r="D1263" s="141" t="s">
        <v>2466</v>
      </c>
      <c r="E1263" s="140"/>
      <c r="F1263" s="140"/>
      <c r="G1263" s="140"/>
    </row>
    <row r="1264" spans="2:7" hidden="1">
      <c r="B1264" s="141" t="s">
        <v>4176</v>
      </c>
      <c r="C1264" s="140" t="s">
        <v>4177</v>
      </c>
      <c r="D1264" s="141" t="s">
        <v>4178</v>
      </c>
      <c r="E1264" s="140" t="s">
        <v>4179</v>
      </c>
      <c r="F1264" s="140" t="s">
        <v>4180</v>
      </c>
      <c r="G1264" s="140"/>
    </row>
    <row r="1265" spans="2:7" hidden="1">
      <c r="B1265" s="141" t="s">
        <v>4181</v>
      </c>
      <c r="C1265" s="140" t="s">
        <v>4182</v>
      </c>
      <c r="D1265" s="141" t="s">
        <v>4183</v>
      </c>
      <c r="E1265" s="140" t="s">
        <v>4184</v>
      </c>
      <c r="F1265" s="140" t="s">
        <v>4185</v>
      </c>
      <c r="G1265" s="140"/>
    </row>
    <row r="1266" spans="2:7" hidden="1">
      <c r="B1266" s="141" t="s">
        <v>4186</v>
      </c>
      <c r="C1266" s="141" t="s">
        <v>4187</v>
      </c>
      <c r="D1266" s="141" t="s">
        <v>4188</v>
      </c>
      <c r="E1266" s="140" t="s">
        <v>4189</v>
      </c>
      <c r="F1266" s="140" t="s">
        <v>4190</v>
      </c>
      <c r="G1266" s="140"/>
    </row>
    <row r="1267" spans="2:7" hidden="1">
      <c r="B1267" s="141" t="s">
        <v>4191</v>
      </c>
      <c r="C1267" s="140"/>
      <c r="D1267" s="141" t="s">
        <v>4192</v>
      </c>
      <c r="E1267" s="140"/>
      <c r="F1267" s="140"/>
      <c r="G1267" s="140"/>
    </row>
    <row r="1268" spans="2:7" hidden="1">
      <c r="B1268" s="141" t="s">
        <v>4193</v>
      </c>
      <c r="C1268" s="141"/>
      <c r="D1268" s="141" t="s">
        <v>4194</v>
      </c>
      <c r="E1268" s="141"/>
      <c r="F1268" s="140"/>
      <c r="G1268" s="140"/>
    </row>
    <row r="1269" spans="2:7" hidden="1">
      <c r="B1269" s="141" t="s">
        <v>4195</v>
      </c>
      <c r="C1269" s="140"/>
      <c r="D1269" s="141" t="s">
        <v>4196</v>
      </c>
      <c r="E1269" s="140"/>
      <c r="F1269" s="140"/>
      <c r="G1269" s="140"/>
    </row>
    <row r="1270" spans="2:7" hidden="1">
      <c r="B1270" s="141" t="s">
        <v>4197</v>
      </c>
      <c r="C1270" s="140"/>
      <c r="D1270" s="141" t="s">
        <v>4198</v>
      </c>
      <c r="E1270" s="140"/>
      <c r="F1270" s="140"/>
      <c r="G1270" s="140"/>
    </row>
    <row r="1271" spans="2:7" hidden="1">
      <c r="B1271" s="141" t="s">
        <v>4199</v>
      </c>
      <c r="C1271" s="140" t="s">
        <v>4200</v>
      </c>
      <c r="D1271" s="141" t="s">
        <v>4201</v>
      </c>
      <c r="E1271" s="140" t="s">
        <v>4202</v>
      </c>
      <c r="F1271" s="140" t="s">
        <v>4203</v>
      </c>
      <c r="G1271" s="140"/>
    </row>
    <row r="1272" spans="2:7" hidden="1">
      <c r="B1272" s="141" t="s">
        <v>4204</v>
      </c>
      <c r="C1272" s="140" t="s">
        <v>4205</v>
      </c>
      <c r="D1272" s="141" t="s">
        <v>4206</v>
      </c>
      <c r="E1272" s="140" t="s">
        <v>4207</v>
      </c>
      <c r="F1272" s="140" t="s">
        <v>4208</v>
      </c>
      <c r="G1272" s="140"/>
    </row>
    <row r="1273" spans="2:7" hidden="1">
      <c r="B1273" s="141" t="s">
        <v>4209</v>
      </c>
      <c r="C1273" s="140"/>
      <c r="D1273" s="141" t="s">
        <v>4210</v>
      </c>
      <c r="E1273" s="140"/>
      <c r="F1273" s="140"/>
      <c r="G1273" s="140"/>
    </row>
    <row r="1274" spans="2:7" hidden="1">
      <c r="B1274" s="141" t="s">
        <v>4211</v>
      </c>
      <c r="C1274" s="140" t="s">
        <v>4212</v>
      </c>
      <c r="D1274" s="141" t="s">
        <v>4213</v>
      </c>
      <c r="E1274" s="140"/>
      <c r="F1274" s="140"/>
      <c r="G1274" s="140"/>
    </row>
    <row r="1275" spans="2:7" hidden="1">
      <c r="B1275" s="140" t="s">
        <v>4214</v>
      </c>
      <c r="C1275" s="140"/>
      <c r="D1275" s="140" t="s">
        <v>4215</v>
      </c>
      <c r="E1275" s="142"/>
      <c r="F1275" s="142"/>
      <c r="G1275" s="140"/>
    </row>
    <row r="1276" spans="2:7" hidden="1">
      <c r="B1276" s="140" t="s">
        <v>20335</v>
      </c>
      <c r="C1276" s="140" t="s">
        <v>20334</v>
      </c>
      <c r="D1276" s="140" t="s">
        <v>20333</v>
      </c>
      <c r="E1276" s="142" t="s">
        <v>20336</v>
      </c>
      <c r="F1276" s="142"/>
      <c r="G1276" s="140"/>
    </row>
    <row r="1277" spans="2:7" hidden="1">
      <c r="B1277" s="141" t="s">
        <v>4216</v>
      </c>
      <c r="C1277" s="140"/>
      <c r="D1277" s="141" t="s">
        <v>2936</v>
      </c>
      <c r="E1277" s="140"/>
      <c r="F1277" s="140"/>
      <c r="G1277" s="140"/>
    </row>
    <row r="1278" spans="2:7" hidden="1">
      <c r="B1278" s="141" t="s">
        <v>4217</v>
      </c>
      <c r="C1278" s="140" t="s">
        <v>4218</v>
      </c>
      <c r="D1278" s="141" t="s">
        <v>4219</v>
      </c>
      <c r="E1278" s="140"/>
      <c r="F1278" s="140"/>
      <c r="G1278" s="140"/>
    </row>
    <row r="1279" spans="2:7" hidden="1">
      <c r="B1279" s="141" t="s">
        <v>4220</v>
      </c>
      <c r="C1279" s="140"/>
      <c r="D1279" s="141" t="s">
        <v>4221</v>
      </c>
      <c r="E1279" s="140"/>
      <c r="F1279" s="140"/>
      <c r="G1279" s="140"/>
    </row>
    <row r="1280" spans="2:7" hidden="1">
      <c r="B1280" s="141" t="s">
        <v>4222</v>
      </c>
      <c r="C1280" s="140"/>
      <c r="D1280" s="141" t="s">
        <v>4223</v>
      </c>
      <c r="E1280" s="140"/>
      <c r="F1280" s="140"/>
      <c r="G1280" s="140"/>
    </row>
    <row r="1281" spans="2:7" hidden="1">
      <c r="B1281" s="141" t="s">
        <v>4224</v>
      </c>
      <c r="C1281" s="140"/>
      <c r="D1281" s="141" t="s">
        <v>1810</v>
      </c>
      <c r="E1281" s="140"/>
      <c r="F1281" s="140"/>
      <c r="G1281" s="140"/>
    </row>
    <row r="1282" spans="2:7" hidden="1">
      <c r="B1282" s="141" t="s">
        <v>4225</v>
      </c>
      <c r="C1282" s="141"/>
      <c r="D1282" s="141" t="s">
        <v>4226</v>
      </c>
      <c r="E1282" s="140"/>
      <c r="F1282" s="140"/>
      <c r="G1282" s="140"/>
    </row>
    <row r="1283" spans="2:7" hidden="1">
      <c r="B1283" s="141" t="s">
        <v>4227</v>
      </c>
      <c r="C1283" s="140"/>
      <c r="D1283" s="141" t="s">
        <v>4228</v>
      </c>
      <c r="E1283" s="140"/>
      <c r="F1283" s="140"/>
      <c r="G1283" s="140"/>
    </row>
    <row r="1284" spans="2:7" hidden="1">
      <c r="B1284" s="141" t="s">
        <v>4229</v>
      </c>
      <c r="C1284" s="140"/>
      <c r="D1284" s="141" t="s">
        <v>4230</v>
      </c>
      <c r="E1284" s="140"/>
      <c r="F1284" s="140"/>
      <c r="G1284" s="140"/>
    </row>
    <row r="1285" spans="2:7" hidden="1">
      <c r="B1285" s="141" t="s">
        <v>4231</v>
      </c>
      <c r="C1285" s="140" t="s">
        <v>4232</v>
      </c>
      <c r="D1285" s="141" t="s">
        <v>2844</v>
      </c>
      <c r="E1285" s="140" t="s">
        <v>4233</v>
      </c>
      <c r="F1285" s="140" t="s">
        <v>4234</v>
      </c>
      <c r="G1285" s="140"/>
    </row>
    <row r="1286" spans="2:7" hidden="1">
      <c r="B1286" s="141" t="s">
        <v>4235</v>
      </c>
      <c r="C1286" s="140"/>
      <c r="D1286" s="141" t="s">
        <v>4236</v>
      </c>
      <c r="E1286" s="140"/>
      <c r="F1286" s="140"/>
      <c r="G1286" s="140"/>
    </row>
    <row r="1287" spans="2:7" hidden="1">
      <c r="B1287" s="140" t="s">
        <v>4237</v>
      </c>
      <c r="C1287" s="140"/>
      <c r="D1287" s="140" t="s">
        <v>4238</v>
      </c>
      <c r="E1287" s="142"/>
      <c r="F1287" s="142"/>
      <c r="G1287" s="140"/>
    </row>
    <row r="1288" spans="2:7" hidden="1">
      <c r="B1288" s="141" t="s">
        <v>4239</v>
      </c>
      <c r="C1288" s="140"/>
      <c r="D1288" s="141" t="s">
        <v>4240</v>
      </c>
      <c r="E1288" s="140"/>
      <c r="F1288" s="140"/>
      <c r="G1288" s="140"/>
    </row>
    <row r="1289" spans="2:7" hidden="1">
      <c r="B1289" s="141" t="s">
        <v>21530</v>
      </c>
      <c r="C1289" s="140"/>
      <c r="D1289" s="140" t="s">
        <v>4241</v>
      </c>
      <c r="E1289" s="140"/>
      <c r="F1289" s="140"/>
      <c r="G1289" s="140"/>
    </row>
    <row r="1290" spans="2:7" hidden="1">
      <c r="B1290" s="141" t="s">
        <v>4242</v>
      </c>
      <c r="C1290" s="140" t="s">
        <v>4243</v>
      </c>
      <c r="D1290" s="141" t="s">
        <v>4244</v>
      </c>
      <c r="E1290" s="140" t="s">
        <v>4245</v>
      </c>
      <c r="F1290" s="140" t="s">
        <v>4246</v>
      </c>
      <c r="G1290" s="140"/>
    </row>
    <row r="1291" spans="2:7" hidden="1">
      <c r="B1291" s="141" t="s">
        <v>4247</v>
      </c>
      <c r="C1291" s="140" t="s">
        <v>4248</v>
      </c>
      <c r="D1291" s="141" t="s">
        <v>4249</v>
      </c>
      <c r="E1291" s="140" t="s">
        <v>4250</v>
      </c>
      <c r="F1291" s="140" t="s">
        <v>4251</v>
      </c>
      <c r="G1291" s="140"/>
    </row>
    <row r="1292" spans="2:7" hidden="1">
      <c r="B1292" s="140" t="s">
        <v>4252</v>
      </c>
      <c r="C1292" s="140" t="s">
        <v>4253</v>
      </c>
      <c r="D1292" s="140" t="s">
        <v>4254</v>
      </c>
      <c r="E1292" s="142" t="s">
        <v>4255</v>
      </c>
      <c r="F1292" s="142"/>
      <c r="G1292" s="140"/>
    </row>
    <row r="1293" spans="2:7" hidden="1">
      <c r="B1293" s="141" t="s">
        <v>4256</v>
      </c>
      <c r="C1293" s="140" t="s">
        <v>4257</v>
      </c>
      <c r="D1293" s="141" t="s">
        <v>4258</v>
      </c>
      <c r="E1293" s="140" t="s">
        <v>4259</v>
      </c>
      <c r="F1293" s="140" t="s">
        <v>4260</v>
      </c>
      <c r="G1293" s="140"/>
    </row>
    <row r="1294" spans="2:7" hidden="1">
      <c r="B1294" s="141" t="s">
        <v>4261</v>
      </c>
      <c r="C1294" s="140"/>
      <c r="D1294" s="141" t="s">
        <v>4262</v>
      </c>
      <c r="E1294" s="140"/>
      <c r="F1294" s="140"/>
      <c r="G1294" s="140"/>
    </row>
    <row r="1295" spans="2:7" hidden="1">
      <c r="B1295" s="141" t="s">
        <v>4263</v>
      </c>
      <c r="C1295" s="141"/>
      <c r="D1295" s="141" t="s">
        <v>4264</v>
      </c>
      <c r="E1295" s="141"/>
      <c r="F1295" s="140"/>
      <c r="G1295" s="140"/>
    </row>
    <row r="1296" spans="2:7" hidden="1">
      <c r="B1296" s="141" t="s">
        <v>4265</v>
      </c>
      <c r="C1296" s="140"/>
      <c r="D1296" s="141" t="s">
        <v>2650</v>
      </c>
      <c r="E1296" s="140"/>
      <c r="F1296" s="140"/>
      <c r="G1296" s="140"/>
    </row>
    <row r="1297" spans="2:7" hidden="1">
      <c r="B1297" s="140" t="s">
        <v>4266</v>
      </c>
      <c r="C1297" s="140"/>
      <c r="D1297" s="140" t="s">
        <v>2139</v>
      </c>
      <c r="E1297" s="142"/>
      <c r="F1297" s="142"/>
      <c r="G1297" s="140"/>
    </row>
    <row r="1298" spans="2:7" hidden="1">
      <c r="B1298" s="141" t="s">
        <v>4267</v>
      </c>
      <c r="C1298" s="140"/>
      <c r="D1298" s="141" t="s">
        <v>4268</v>
      </c>
      <c r="E1298" s="140"/>
      <c r="F1298" s="140"/>
      <c r="G1298" s="140"/>
    </row>
    <row r="1299" spans="2:7" hidden="1">
      <c r="B1299" s="141" t="s">
        <v>4269</v>
      </c>
      <c r="C1299" s="140"/>
      <c r="D1299" s="141" t="s">
        <v>4270</v>
      </c>
      <c r="E1299" s="140"/>
      <c r="F1299" s="140"/>
      <c r="G1299" s="140"/>
    </row>
    <row r="1300" spans="2:7" hidden="1">
      <c r="B1300" s="141" t="s">
        <v>4271</v>
      </c>
      <c r="C1300" s="140" t="s">
        <v>4272</v>
      </c>
      <c r="D1300" s="141" t="s">
        <v>4273</v>
      </c>
      <c r="E1300" s="140" t="s">
        <v>4274</v>
      </c>
      <c r="F1300" s="140" t="s">
        <v>4275</v>
      </c>
      <c r="G1300" s="140"/>
    </row>
    <row r="1301" spans="2:7" hidden="1">
      <c r="B1301" s="141" t="s">
        <v>4276</v>
      </c>
      <c r="C1301" s="140"/>
      <c r="D1301" s="141" t="s">
        <v>4277</v>
      </c>
      <c r="E1301" s="140"/>
      <c r="F1301" s="140"/>
      <c r="G1301" s="140"/>
    </row>
    <row r="1302" spans="2:7" hidden="1">
      <c r="B1302" s="140" t="s">
        <v>4278</v>
      </c>
      <c r="C1302" s="140" t="s">
        <v>4279</v>
      </c>
      <c r="D1302" s="140" t="s">
        <v>4280</v>
      </c>
      <c r="E1302" s="140" t="s">
        <v>4281</v>
      </c>
      <c r="F1302" s="140" t="s">
        <v>4282</v>
      </c>
      <c r="G1302" s="140"/>
    </row>
    <row r="1303" spans="2:7" hidden="1">
      <c r="B1303" s="140" t="s">
        <v>4283</v>
      </c>
      <c r="C1303" s="140" t="s">
        <v>4284</v>
      </c>
      <c r="D1303" s="140" t="s">
        <v>4285</v>
      </c>
      <c r="E1303" s="142" t="s">
        <v>4286</v>
      </c>
      <c r="F1303" s="142" t="s">
        <v>4287</v>
      </c>
      <c r="G1303" s="140"/>
    </row>
    <row r="1304" spans="2:7" hidden="1">
      <c r="B1304" s="141" t="s">
        <v>4288</v>
      </c>
      <c r="C1304" s="140"/>
      <c r="D1304" s="141" t="s">
        <v>1213</v>
      </c>
      <c r="E1304" s="140"/>
      <c r="F1304" s="140"/>
      <c r="G1304" s="140"/>
    </row>
    <row r="1305" spans="2:7" hidden="1">
      <c r="B1305" s="141" t="s">
        <v>4289</v>
      </c>
      <c r="C1305" s="140"/>
      <c r="D1305" s="141" t="s">
        <v>4290</v>
      </c>
      <c r="E1305" s="140"/>
      <c r="F1305" s="140"/>
      <c r="G1305" s="140"/>
    </row>
    <row r="1306" spans="2:7" hidden="1">
      <c r="B1306" s="141" t="s">
        <v>4291</v>
      </c>
      <c r="C1306" s="140"/>
      <c r="D1306" s="141" t="s">
        <v>4292</v>
      </c>
      <c r="E1306" s="140"/>
      <c r="F1306" s="140"/>
      <c r="G1306" s="140"/>
    </row>
    <row r="1307" spans="2:7" hidden="1">
      <c r="B1307" s="140" t="s">
        <v>21531</v>
      </c>
      <c r="C1307" s="140"/>
      <c r="D1307" s="140" t="s">
        <v>4293</v>
      </c>
      <c r="E1307" s="142"/>
      <c r="F1307" s="142"/>
      <c r="G1307" s="140"/>
    </row>
    <row r="1308" spans="2:7" hidden="1">
      <c r="B1308" s="141" t="s">
        <v>4294</v>
      </c>
      <c r="C1308" s="140"/>
      <c r="D1308" s="141" t="s">
        <v>4295</v>
      </c>
      <c r="E1308" s="140"/>
      <c r="F1308" s="140"/>
      <c r="G1308" s="140"/>
    </row>
    <row r="1309" spans="2:7" hidden="1">
      <c r="B1309" s="141" t="s">
        <v>4296</v>
      </c>
      <c r="C1309" s="140" t="s">
        <v>4297</v>
      </c>
      <c r="D1309" s="141" t="s">
        <v>4298</v>
      </c>
      <c r="E1309" s="140" t="s">
        <v>4299</v>
      </c>
      <c r="F1309" s="140" t="s">
        <v>4300</v>
      </c>
      <c r="G1309" s="140"/>
    </row>
    <row r="1310" spans="2:7" hidden="1">
      <c r="B1310" s="140" t="s">
        <v>4301</v>
      </c>
      <c r="C1310" s="140"/>
      <c r="D1310" s="140" t="s">
        <v>4302</v>
      </c>
      <c r="E1310" s="142"/>
      <c r="F1310" s="142"/>
      <c r="G1310" s="140"/>
    </row>
    <row r="1311" spans="2:7" hidden="1">
      <c r="B1311" s="141" t="s">
        <v>21532</v>
      </c>
      <c r="C1311" s="140" t="s">
        <v>4303</v>
      </c>
      <c r="D1311" s="141" t="s">
        <v>4304</v>
      </c>
      <c r="E1311" s="140" t="s">
        <v>4305</v>
      </c>
      <c r="F1311" s="140" t="s">
        <v>4306</v>
      </c>
      <c r="G1311" s="140"/>
    </row>
    <row r="1312" spans="2:7" hidden="1">
      <c r="B1312" s="141" t="s">
        <v>4307</v>
      </c>
      <c r="C1312" s="140"/>
      <c r="D1312" s="141" t="s">
        <v>4308</v>
      </c>
      <c r="E1312" s="140"/>
      <c r="F1312" s="140"/>
      <c r="G1312" s="140"/>
    </row>
    <row r="1313" spans="2:7" hidden="1">
      <c r="B1313" s="141" t="s">
        <v>4309</v>
      </c>
      <c r="C1313" s="140" t="s">
        <v>4310</v>
      </c>
      <c r="D1313" s="141" t="s">
        <v>4311</v>
      </c>
      <c r="E1313" s="140"/>
      <c r="F1313" s="140"/>
      <c r="G1313" s="140"/>
    </row>
    <row r="1314" spans="2:7" hidden="1">
      <c r="B1314" s="141" t="s">
        <v>4312</v>
      </c>
      <c r="C1314" s="140"/>
      <c r="D1314" s="141" t="s">
        <v>4313</v>
      </c>
      <c r="E1314" s="140"/>
      <c r="F1314" s="140"/>
      <c r="G1314" s="140"/>
    </row>
    <row r="1315" spans="2:7" hidden="1">
      <c r="B1315" s="141" t="s">
        <v>4314</v>
      </c>
      <c r="C1315" s="140"/>
      <c r="D1315" s="141" t="s">
        <v>4315</v>
      </c>
      <c r="E1315" s="140"/>
      <c r="F1315" s="140"/>
      <c r="G1315" s="140"/>
    </row>
    <row r="1316" spans="2:7" hidden="1">
      <c r="B1316" s="141" t="s">
        <v>4316</v>
      </c>
      <c r="C1316" s="140" t="s">
        <v>4317</v>
      </c>
      <c r="D1316" s="141" t="s">
        <v>4318</v>
      </c>
      <c r="E1316" s="140" t="s">
        <v>4319</v>
      </c>
      <c r="F1316" s="140"/>
      <c r="G1316" s="140"/>
    </row>
    <row r="1317" spans="2:7" hidden="1">
      <c r="B1317" s="141" t="s">
        <v>21534</v>
      </c>
      <c r="C1317" s="141"/>
      <c r="D1317" s="141" t="s">
        <v>4321</v>
      </c>
      <c r="E1317" s="141"/>
      <c r="F1317" s="141"/>
      <c r="G1317" s="140"/>
    </row>
    <row r="1318" spans="2:7" hidden="1">
      <c r="B1318" s="141" t="s">
        <v>21533</v>
      </c>
      <c r="C1318" s="140"/>
      <c r="D1318" s="141" t="s">
        <v>4320</v>
      </c>
      <c r="E1318" s="140"/>
      <c r="F1318" s="140"/>
      <c r="G1318" s="140"/>
    </row>
    <row r="1319" spans="2:7" hidden="1">
      <c r="B1319" s="141" t="s">
        <v>4322</v>
      </c>
      <c r="C1319" s="140"/>
      <c r="D1319" s="141" t="s">
        <v>4323</v>
      </c>
      <c r="E1319" s="140"/>
      <c r="F1319" s="140"/>
      <c r="G1319" s="140"/>
    </row>
    <row r="1320" spans="2:7" hidden="1">
      <c r="B1320" s="141" t="s">
        <v>4324</v>
      </c>
      <c r="C1320" s="140"/>
      <c r="D1320" s="141" t="s">
        <v>4325</v>
      </c>
      <c r="E1320" s="140"/>
      <c r="F1320" s="140"/>
      <c r="G1320" s="140"/>
    </row>
    <row r="1321" spans="2:7" hidden="1">
      <c r="B1321" s="141" t="s">
        <v>4326</v>
      </c>
      <c r="C1321" s="140"/>
      <c r="D1321" s="141" t="s">
        <v>4327</v>
      </c>
      <c r="E1321" s="140"/>
      <c r="F1321" s="140"/>
      <c r="G1321" s="140"/>
    </row>
    <row r="1322" spans="2:7" hidden="1">
      <c r="B1322" s="140" t="s">
        <v>4328</v>
      </c>
      <c r="C1322" s="140"/>
      <c r="D1322" s="140" t="s">
        <v>4329</v>
      </c>
      <c r="E1322" s="142"/>
      <c r="F1322" s="142"/>
      <c r="G1322" s="140"/>
    </row>
    <row r="1323" spans="2:7" hidden="1">
      <c r="B1323" s="141" t="s">
        <v>4330</v>
      </c>
      <c r="C1323" s="140"/>
      <c r="D1323" s="141" t="s">
        <v>4331</v>
      </c>
      <c r="E1323" s="140"/>
      <c r="F1323" s="140"/>
      <c r="G1323" s="140"/>
    </row>
    <row r="1324" spans="2:7" hidden="1">
      <c r="B1324" s="141" t="s">
        <v>4332</v>
      </c>
      <c r="C1324" s="140"/>
      <c r="D1324" s="141" t="s">
        <v>4333</v>
      </c>
      <c r="E1324" s="140"/>
      <c r="F1324" s="140"/>
      <c r="G1324" s="140"/>
    </row>
    <row r="1325" spans="2:7" hidden="1">
      <c r="B1325" s="141" t="s">
        <v>4334</v>
      </c>
      <c r="C1325" s="140"/>
      <c r="D1325" s="141" t="s">
        <v>4335</v>
      </c>
      <c r="E1325" s="140"/>
      <c r="F1325" s="140"/>
      <c r="G1325" s="140"/>
    </row>
    <row r="1326" spans="2:7" hidden="1">
      <c r="B1326" s="140" t="s">
        <v>4336</v>
      </c>
      <c r="C1326" s="140" t="s">
        <v>4337</v>
      </c>
      <c r="D1326" s="140" t="s">
        <v>4338</v>
      </c>
      <c r="E1326" s="142"/>
      <c r="F1326" s="142"/>
      <c r="G1326" s="140"/>
    </row>
    <row r="1327" spans="2:7" hidden="1">
      <c r="B1327" s="141" t="s">
        <v>4339</v>
      </c>
      <c r="C1327" s="140" t="s">
        <v>4340</v>
      </c>
      <c r="D1327" s="141" t="s">
        <v>4341</v>
      </c>
      <c r="E1327" s="140"/>
      <c r="F1327" s="140"/>
      <c r="G1327" s="140" t="s">
        <v>4342</v>
      </c>
    </row>
    <row r="1328" spans="2:7" hidden="1">
      <c r="B1328" s="141" t="s">
        <v>4343</v>
      </c>
      <c r="C1328" s="140"/>
      <c r="D1328" s="141" t="s">
        <v>4344</v>
      </c>
      <c r="E1328" s="140"/>
      <c r="F1328" s="140"/>
      <c r="G1328" s="140"/>
    </row>
    <row r="1329" spans="2:7" hidden="1">
      <c r="B1329" s="141" t="s">
        <v>4345</v>
      </c>
      <c r="C1329" s="140"/>
      <c r="D1329" s="141" t="s">
        <v>4346</v>
      </c>
      <c r="E1329" s="140"/>
      <c r="F1329" s="140"/>
      <c r="G1329" s="140"/>
    </row>
    <row r="1330" spans="2:7" hidden="1">
      <c r="B1330" s="141" t="s">
        <v>4347</v>
      </c>
      <c r="C1330" s="140"/>
      <c r="D1330" s="141" t="s">
        <v>4348</v>
      </c>
      <c r="E1330" s="140"/>
      <c r="F1330" s="140"/>
      <c r="G1330" s="140"/>
    </row>
    <row r="1331" spans="2:7" hidden="1">
      <c r="B1331" s="141" t="s">
        <v>4349</v>
      </c>
      <c r="C1331" s="140"/>
      <c r="D1331" s="141" t="s">
        <v>4350</v>
      </c>
      <c r="E1331" s="140"/>
      <c r="F1331" s="140"/>
      <c r="G1331" s="140"/>
    </row>
    <row r="1332" spans="2:7" hidden="1">
      <c r="B1332" s="140" t="s">
        <v>4351</v>
      </c>
      <c r="C1332" s="140"/>
      <c r="D1332" s="140" t="s">
        <v>2138</v>
      </c>
      <c r="E1332" s="142"/>
      <c r="F1332" s="142"/>
      <c r="G1332" s="140"/>
    </row>
    <row r="1333" spans="2:7" hidden="1">
      <c r="B1333" s="141" t="s">
        <v>4352</v>
      </c>
      <c r="C1333" s="140"/>
      <c r="D1333" s="141" t="s">
        <v>4353</v>
      </c>
      <c r="E1333" s="140"/>
      <c r="F1333" s="140"/>
      <c r="G1333" s="140"/>
    </row>
    <row r="1334" spans="2:7" hidden="1">
      <c r="B1334" s="141" t="s">
        <v>21535</v>
      </c>
      <c r="C1334" s="140"/>
      <c r="D1334" s="141" t="s">
        <v>3064</v>
      </c>
      <c r="E1334" s="140"/>
      <c r="F1334" s="140"/>
      <c r="G1334" s="140"/>
    </row>
    <row r="1335" spans="2:7" hidden="1">
      <c r="B1335" s="140" t="s">
        <v>4354</v>
      </c>
      <c r="C1335" s="140"/>
      <c r="D1335" s="140" t="s">
        <v>4355</v>
      </c>
      <c r="E1335" s="142"/>
      <c r="F1335" s="142"/>
      <c r="G1335" s="140"/>
    </row>
    <row r="1336" spans="2:7" hidden="1">
      <c r="B1336" s="141" t="s">
        <v>4356</v>
      </c>
      <c r="C1336" s="140"/>
      <c r="D1336" s="141" t="s">
        <v>4357</v>
      </c>
      <c r="E1336" s="140"/>
      <c r="F1336" s="140"/>
      <c r="G1336" s="140"/>
    </row>
    <row r="1337" spans="2:7" hidden="1">
      <c r="B1337" s="141" t="s">
        <v>4358</v>
      </c>
      <c r="C1337" s="140" t="s">
        <v>4359</v>
      </c>
      <c r="D1337" s="140" t="s">
        <v>4360</v>
      </c>
      <c r="E1337" s="140" t="s">
        <v>4361</v>
      </c>
      <c r="F1337" s="140" t="s">
        <v>4362</v>
      </c>
      <c r="G1337" s="140"/>
    </row>
    <row r="1338" spans="2:7" hidden="1">
      <c r="B1338" s="141" t="s">
        <v>4363</v>
      </c>
      <c r="C1338" s="141"/>
      <c r="D1338" s="141" t="s">
        <v>2772</v>
      </c>
      <c r="E1338" s="141"/>
      <c r="F1338" s="141"/>
      <c r="G1338" s="140"/>
    </row>
    <row r="1339" spans="2:7" hidden="1">
      <c r="B1339" s="141" t="s">
        <v>4364</v>
      </c>
      <c r="C1339" s="140"/>
      <c r="D1339" s="141" t="s">
        <v>4365</v>
      </c>
      <c r="E1339" s="140"/>
      <c r="F1339" s="140"/>
      <c r="G1339" s="140"/>
    </row>
    <row r="1340" spans="2:7" hidden="1">
      <c r="B1340" s="141" t="s">
        <v>4366</v>
      </c>
      <c r="C1340" s="140"/>
      <c r="D1340" s="141" t="s">
        <v>4367</v>
      </c>
      <c r="E1340" s="140"/>
      <c r="F1340" s="140" t="s">
        <v>4368</v>
      </c>
      <c r="G1340" s="140"/>
    </row>
    <row r="1341" spans="2:7" hidden="1">
      <c r="B1341" s="141" t="s">
        <v>4369</v>
      </c>
      <c r="C1341" s="140"/>
      <c r="D1341" s="141" t="s">
        <v>4370</v>
      </c>
      <c r="E1341" s="140"/>
      <c r="F1341" s="140"/>
      <c r="G1341" s="140"/>
    </row>
    <row r="1342" spans="2:7" hidden="1">
      <c r="B1342" s="140" t="s">
        <v>21536</v>
      </c>
      <c r="C1342" s="141"/>
      <c r="D1342" s="141" t="s">
        <v>4124</v>
      </c>
      <c r="E1342" s="141"/>
      <c r="F1342" s="141"/>
      <c r="G1342" s="140"/>
    </row>
    <row r="1343" spans="2:7" hidden="1">
      <c r="B1343" s="141" t="s">
        <v>4371</v>
      </c>
      <c r="C1343" s="140"/>
      <c r="D1343" s="141" t="s">
        <v>4174</v>
      </c>
      <c r="E1343" s="140"/>
      <c r="F1343" s="140"/>
      <c r="G1343" s="140"/>
    </row>
    <row r="1344" spans="2:7" hidden="1">
      <c r="B1344" s="141" t="s">
        <v>4372</v>
      </c>
      <c r="C1344" s="141"/>
      <c r="D1344" s="141" t="s">
        <v>3894</v>
      </c>
      <c r="E1344" s="141"/>
      <c r="F1344" s="140"/>
      <c r="G1344" s="140"/>
    </row>
    <row r="1345" spans="2:7" hidden="1">
      <c r="B1345" s="141" t="s">
        <v>4373</v>
      </c>
      <c r="C1345" s="140"/>
      <c r="D1345" s="141" t="s">
        <v>3053</v>
      </c>
      <c r="E1345" s="140"/>
      <c r="F1345" s="140"/>
      <c r="G1345" s="140"/>
    </row>
    <row r="1346" spans="2:7" hidden="1">
      <c r="B1346" s="141" t="s">
        <v>21537</v>
      </c>
      <c r="C1346" s="140"/>
      <c r="D1346" s="141" t="s">
        <v>2466</v>
      </c>
      <c r="E1346" s="140"/>
      <c r="F1346" s="140"/>
      <c r="G1346" s="140"/>
    </row>
    <row r="1347" spans="2:7" hidden="1">
      <c r="B1347" s="141" t="s">
        <v>4374</v>
      </c>
      <c r="C1347" s="140"/>
      <c r="D1347" s="141" t="s">
        <v>4375</v>
      </c>
      <c r="E1347" s="140"/>
      <c r="F1347" s="140"/>
      <c r="G1347" s="140"/>
    </row>
    <row r="1348" spans="2:7" hidden="1">
      <c r="B1348" s="140" t="s">
        <v>4376</v>
      </c>
      <c r="C1348" s="140" t="s">
        <v>4377</v>
      </c>
      <c r="D1348" s="140" t="s">
        <v>4378</v>
      </c>
      <c r="E1348" s="140" t="s">
        <v>4379</v>
      </c>
      <c r="F1348" s="140"/>
      <c r="G1348" s="140"/>
    </row>
    <row r="1349" spans="2:7" hidden="1">
      <c r="B1349" s="140" t="s">
        <v>4380</v>
      </c>
      <c r="C1349" s="140"/>
      <c r="D1349" s="140" t="s">
        <v>4381</v>
      </c>
      <c r="E1349" s="142"/>
      <c r="F1349" s="142"/>
      <c r="G1349" s="140"/>
    </row>
    <row r="1350" spans="2:7" hidden="1">
      <c r="B1350" s="141" t="s">
        <v>4382</v>
      </c>
      <c r="C1350" s="140"/>
      <c r="D1350" s="141" t="s">
        <v>4383</v>
      </c>
      <c r="E1350" s="140"/>
      <c r="F1350" s="140"/>
      <c r="G1350" s="140"/>
    </row>
    <row r="1351" spans="2:7" hidden="1">
      <c r="B1351" s="140" t="s">
        <v>4384</v>
      </c>
      <c r="C1351" s="140" t="s">
        <v>4385</v>
      </c>
      <c r="D1351" s="140" t="s">
        <v>2168</v>
      </c>
      <c r="E1351" s="142" t="s">
        <v>4386</v>
      </c>
      <c r="F1351" s="142" t="s">
        <v>4387</v>
      </c>
      <c r="G1351" s="140"/>
    </row>
    <row r="1352" spans="2:7" hidden="1">
      <c r="B1352" s="141" t="s">
        <v>4388</v>
      </c>
      <c r="C1352" s="141" t="s">
        <v>4389</v>
      </c>
      <c r="D1352" s="141" t="s">
        <v>4390</v>
      </c>
      <c r="E1352" s="141" t="s">
        <v>4391</v>
      </c>
      <c r="F1352" s="141" t="s">
        <v>4392</v>
      </c>
      <c r="G1352" s="140"/>
    </row>
    <row r="1353" spans="2:7" hidden="1">
      <c r="B1353" s="141" t="s">
        <v>4393</v>
      </c>
      <c r="C1353" s="140" t="s">
        <v>4394</v>
      </c>
      <c r="D1353" s="141" t="s">
        <v>4395</v>
      </c>
      <c r="E1353" s="140" t="s">
        <v>4396</v>
      </c>
      <c r="F1353" s="140" t="s">
        <v>4397</v>
      </c>
      <c r="G1353" s="140"/>
    </row>
    <row r="1354" spans="2:7" hidden="1">
      <c r="B1354" s="140" t="s">
        <v>4398</v>
      </c>
      <c r="C1354" s="140" t="s">
        <v>4399</v>
      </c>
      <c r="D1354" s="140" t="s">
        <v>4400</v>
      </c>
      <c r="E1354" s="140" t="s">
        <v>4401</v>
      </c>
      <c r="F1354" s="140" t="s">
        <v>4402</v>
      </c>
      <c r="G1354" s="140"/>
    </row>
    <row r="1355" spans="2:7" hidden="1">
      <c r="B1355" s="141" t="s">
        <v>4403</v>
      </c>
      <c r="C1355" s="141" t="s">
        <v>4404</v>
      </c>
      <c r="D1355" s="141" t="s">
        <v>4405</v>
      </c>
      <c r="E1355" s="141"/>
      <c r="F1355" s="140"/>
      <c r="G1355" s="140"/>
    </row>
    <row r="1356" spans="2:7" hidden="1">
      <c r="B1356" s="141" t="s">
        <v>4406</v>
      </c>
      <c r="C1356" s="140"/>
      <c r="D1356" s="141" t="s">
        <v>4407</v>
      </c>
      <c r="E1356" s="140"/>
      <c r="F1356" s="140"/>
      <c r="G1356" s="140"/>
    </row>
    <row r="1357" spans="2:7" hidden="1">
      <c r="B1357" s="141" t="s">
        <v>4408</v>
      </c>
      <c r="C1357" s="140" t="s">
        <v>4409</v>
      </c>
      <c r="D1357" s="141" t="s">
        <v>4410</v>
      </c>
      <c r="E1357" s="140"/>
      <c r="F1357" s="140"/>
      <c r="G1357" s="140"/>
    </row>
    <row r="1358" spans="2:7" hidden="1">
      <c r="B1358" s="141" t="s">
        <v>4411</v>
      </c>
      <c r="C1358" s="140"/>
      <c r="D1358" s="141" t="s">
        <v>4412</v>
      </c>
      <c r="E1358" s="140"/>
      <c r="F1358" s="140"/>
      <c r="G1358" s="140"/>
    </row>
    <row r="1359" spans="2:7" hidden="1">
      <c r="B1359" s="141" t="s">
        <v>4413</v>
      </c>
      <c r="C1359" s="140"/>
      <c r="D1359" s="141" t="s">
        <v>4414</v>
      </c>
      <c r="E1359" s="140" t="s">
        <v>4415</v>
      </c>
      <c r="F1359" s="140"/>
      <c r="G1359" s="140"/>
    </row>
    <row r="1360" spans="2:7" hidden="1">
      <c r="B1360" s="141" t="s">
        <v>4416</v>
      </c>
      <c r="C1360" s="140"/>
      <c r="D1360" s="141" t="s">
        <v>4417</v>
      </c>
      <c r="E1360" s="140"/>
      <c r="F1360" s="140"/>
      <c r="G1360" s="140"/>
    </row>
    <row r="1361" spans="2:7" hidden="1">
      <c r="B1361" s="140" t="s">
        <v>4418</v>
      </c>
      <c r="C1361" s="140"/>
      <c r="D1361" s="140" t="s">
        <v>4419</v>
      </c>
      <c r="E1361" s="140"/>
      <c r="F1361" s="140"/>
      <c r="G1361" s="140"/>
    </row>
    <row r="1362" spans="2:7" hidden="1">
      <c r="B1362" s="141" t="s">
        <v>21538</v>
      </c>
      <c r="C1362" s="140" t="s">
        <v>4420</v>
      </c>
      <c r="D1362" s="141" t="s">
        <v>4421</v>
      </c>
      <c r="E1362" s="140"/>
      <c r="F1362" s="140"/>
      <c r="G1362" s="140"/>
    </row>
    <row r="1363" spans="2:7" hidden="1">
      <c r="B1363" s="141" t="s">
        <v>4422</v>
      </c>
      <c r="C1363" s="141"/>
      <c r="D1363" s="141" t="s">
        <v>3255</v>
      </c>
      <c r="E1363" s="141"/>
      <c r="F1363" s="141"/>
      <c r="G1363" s="140"/>
    </row>
    <row r="1364" spans="2:7" hidden="1">
      <c r="B1364" s="141" t="s">
        <v>4423</v>
      </c>
      <c r="C1364" s="140"/>
      <c r="D1364" s="141" t="s">
        <v>4424</v>
      </c>
      <c r="E1364" s="140"/>
      <c r="F1364" s="140"/>
      <c r="G1364" s="140"/>
    </row>
    <row r="1365" spans="2:7" hidden="1">
      <c r="B1365" s="141" t="s">
        <v>4425</v>
      </c>
      <c r="C1365" s="140"/>
      <c r="D1365" s="141" t="s">
        <v>4426</v>
      </c>
      <c r="E1365" s="140"/>
      <c r="F1365" s="140"/>
      <c r="G1365" s="140"/>
    </row>
    <row r="1366" spans="2:7" hidden="1">
      <c r="B1366" s="141" t="s">
        <v>4427</v>
      </c>
      <c r="C1366" s="140" t="s">
        <v>4428</v>
      </c>
      <c r="D1366" s="141" t="s">
        <v>4429</v>
      </c>
      <c r="E1366" s="140" t="s">
        <v>4430</v>
      </c>
      <c r="F1366" s="140"/>
      <c r="G1366" s="140"/>
    </row>
    <row r="1367" spans="2:7" hidden="1">
      <c r="B1367" s="140" t="s">
        <v>4431</v>
      </c>
      <c r="C1367" s="140"/>
      <c r="D1367" s="140" t="s">
        <v>4432</v>
      </c>
      <c r="E1367" s="140"/>
      <c r="F1367" s="140"/>
      <c r="G1367" s="140"/>
    </row>
    <row r="1368" spans="2:7" hidden="1">
      <c r="B1368" s="141" t="s">
        <v>4433</v>
      </c>
      <c r="C1368" s="140"/>
      <c r="D1368" s="141" t="s">
        <v>3896</v>
      </c>
      <c r="E1368" s="140"/>
      <c r="F1368" s="140"/>
      <c r="G1368" s="140"/>
    </row>
    <row r="1369" spans="2:7" hidden="1">
      <c r="B1369" s="141" t="s">
        <v>4434</v>
      </c>
      <c r="C1369" s="141"/>
      <c r="D1369" s="141" t="s">
        <v>4435</v>
      </c>
      <c r="E1369" s="141"/>
      <c r="F1369" s="140"/>
      <c r="G1369" s="140"/>
    </row>
    <row r="1370" spans="2:7" hidden="1">
      <c r="B1370" s="141" t="s">
        <v>4436</v>
      </c>
      <c r="C1370" s="140"/>
      <c r="D1370" s="141" t="s">
        <v>4437</v>
      </c>
      <c r="E1370" s="140"/>
      <c r="F1370" s="140"/>
      <c r="G1370" s="140"/>
    </row>
    <row r="1371" spans="2:7" hidden="1">
      <c r="B1371" s="141" t="s">
        <v>4438</v>
      </c>
      <c r="C1371" s="141"/>
      <c r="D1371" s="141" t="s">
        <v>4439</v>
      </c>
      <c r="E1371" s="140"/>
      <c r="F1371" s="140"/>
      <c r="G1371" s="140"/>
    </row>
    <row r="1372" spans="2:7" hidden="1">
      <c r="B1372" s="141" t="s">
        <v>4440</v>
      </c>
      <c r="C1372" s="141" t="s">
        <v>4441</v>
      </c>
      <c r="D1372" s="141" t="s">
        <v>4442</v>
      </c>
      <c r="E1372" s="141"/>
      <c r="F1372" s="140"/>
      <c r="G1372" s="140" t="s">
        <v>4443</v>
      </c>
    </row>
    <row r="1373" spans="2:7" hidden="1">
      <c r="B1373" s="141" t="s">
        <v>4444</v>
      </c>
      <c r="C1373" s="140"/>
      <c r="D1373" s="141" t="s">
        <v>3334</v>
      </c>
      <c r="E1373" s="140"/>
      <c r="F1373" s="140"/>
      <c r="G1373" s="140"/>
    </row>
    <row r="1374" spans="2:7" hidden="1">
      <c r="B1374" s="141" t="s">
        <v>4445</v>
      </c>
      <c r="C1374" s="140"/>
      <c r="D1374" s="141" t="s">
        <v>2377</v>
      </c>
      <c r="E1374" s="140"/>
      <c r="F1374" s="140"/>
      <c r="G1374" s="140"/>
    </row>
    <row r="1375" spans="2:7" hidden="1">
      <c r="B1375" s="141" t="s">
        <v>4446</v>
      </c>
      <c r="C1375" s="140" t="s">
        <v>4447</v>
      </c>
      <c r="D1375" s="141" t="s">
        <v>4448</v>
      </c>
      <c r="E1375" s="140"/>
      <c r="F1375" s="140"/>
      <c r="G1375" s="140"/>
    </row>
    <row r="1376" spans="2:7" hidden="1">
      <c r="B1376" s="141" t="s">
        <v>4449</v>
      </c>
      <c r="C1376" s="140"/>
      <c r="D1376" s="141" t="s">
        <v>4450</v>
      </c>
      <c r="E1376" s="140"/>
      <c r="F1376" s="140"/>
      <c r="G1376" s="140"/>
    </row>
    <row r="1377" spans="2:7" hidden="1">
      <c r="B1377" s="141" t="s">
        <v>4451</v>
      </c>
      <c r="C1377" s="140"/>
      <c r="D1377" s="141" t="s">
        <v>998</v>
      </c>
      <c r="E1377" s="140"/>
      <c r="F1377" s="140"/>
      <c r="G1377" s="140"/>
    </row>
    <row r="1378" spans="2:7" hidden="1">
      <c r="B1378" s="141" t="s">
        <v>21539</v>
      </c>
      <c r="C1378" s="140"/>
      <c r="D1378" s="141" t="s">
        <v>4452</v>
      </c>
      <c r="E1378" s="140"/>
      <c r="F1378" s="140"/>
      <c r="G1378" s="140"/>
    </row>
    <row r="1379" spans="2:7" hidden="1">
      <c r="B1379" s="141" t="s">
        <v>4453</v>
      </c>
      <c r="C1379" s="140"/>
      <c r="D1379" s="141" t="s">
        <v>4454</v>
      </c>
      <c r="E1379" s="140"/>
      <c r="F1379" s="140"/>
      <c r="G1379" s="140"/>
    </row>
    <row r="1380" spans="2:7" hidden="1">
      <c r="B1380" s="140" t="s">
        <v>4455</v>
      </c>
      <c r="C1380" s="140"/>
      <c r="D1380" s="140" t="s">
        <v>4456</v>
      </c>
      <c r="E1380" s="142"/>
      <c r="F1380" s="142"/>
      <c r="G1380" s="140"/>
    </row>
    <row r="1381" spans="2:7" hidden="1">
      <c r="B1381" s="140" t="s">
        <v>4457</v>
      </c>
      <c r="C1381" s="140"/>
      <c r="D1381" s="140" t="s">
        <v>4458</v>
      </c>
      <c r="E1381" s="142"/>
      <c r="F1381" s="142"/>
      <c r="G1381" s="140"/>
    </row>
    <row r="1382" spans="2:7" hidden="1">
      <c r="B1382" s="141" t="s">
        <v>21540</v>
      </c>
      <c r="C1382" s="140"/>
      <c r="D1382" s="141" t="s">
        <v>4459</v>
      </c>
      <c r="E1382" s="140"/>
      <c r="F1382" s="140"/>
      <c r="G1382" s="140"/>
    </row>
    <row r="1383" spans="2:7" hidden="1">
      <c r="B1383" s="141" t="s">
        <v>4460</v>
      </c>
      <c r="C1383" s="140" t="s">
        <v>4461</v>
      </c>
      <c r="D1383" s="141" t="s">
        <v>4462</v>
      </c>
      <c r="E1383" s="140" t="s">
        <v>4463</v>
      </c>
      <c r="F1383" s="140" t="s">
        <v>4464</v>
      </c>
      <c r="G1383" s="140"/>
    </row>
    <row r="1384" spans="2:7" hidden="1">
      <c r="B1384" s="140" t="s">
        <v>4465</v>
      </c>
      <c r="C1384" s="140"/>
      <c r="D1384" s="140" t="s">
        <v>4466</v>
      </c>
      <c r="E1384" s="142"/>
      <c r="F1384" s="142"/>
      <c r="G1384" s="140"/>
    </row>
    <row r="1385" spans="2:7" hidden="1">
      <c r="B1385" s="141" t="s">
        <v>4467</v>
      </c>
      <c r="C1385" s="140"/>
      <c r="D1385" s="141" t="s">
        <v>1213</v>
      </c>
      <c r="E1385" s="140"/>
      <c r="F1385" s="140"/>
      <c r="G1385" s="140"/>
    </row>
    <row r="1386" spans="2:7" hidden="1">
      <c r="B1386" s="140" t="s">
        <v>4468</v>
      </c>
      <c r="C1386" s="140" t="s">
        <v>4469</v>
      </c>
      <c r="D1386" s="140" t="s">
        <v>4470</v>
      </c>
      <c r="E1386" s="142"/>
      <c r="F1386" s="142"/>
      <c r="G1386" s="140"/>
    </row>
    <row r="1387" spans="2:7" hidden="1">
      <c r="B1387" s="141" t="s">
        <v>4471</v>
      </c>
      <c r="C1387" s="140" t="s">
        <v>4472</v>
      </c>
      <c r="D1387" s="141" t="s">
        <v>4473</v>
      </c>
      <c r="E1387" s="140"/>
      <c r="F1387" s="140"/>
      <c r="G1387" s="140" t="s">
        <v>4474</v>
      </c>
    </row>
    <row r="1388" spans="2:7" hidden="1">
      <c r="B1388" s="141" t="s">
        <v>4475</v>
      </c>
      <c r="C1388" s="140"/>
      <c r="D1388" s="141" t="s">
        <v>3598</v>
      </c>
      <c r="E1388" s="140"/>
      <c r="F1388" s="140"/>
      <c r="G1388" s="140"/>
    </row>
    <row r="1389" spans="2:7" hidden="1">
      <c r="B1389" s="141" t="s">
        <v>4476</v>
      </c>
      <c r="C1389" s="140"/>
      <c r="D1389" s="141" t="s">
        <v>4221</v>
      </c>
      <c r="E1389" s="140"/>
      <c r="F1389" s="140"/>
      <c r="G1389" s="140"/>
    </row>
    <row r="1390" spans="2:7" hidden="1">
      <c r="B1390" s="141" t="s">
        <v>4477</v>
      </c>
      <c r="C1390" s="140" t="s">
        <v>4478</v>
      </c>
      <c r="D1390" s="141" t="s">
        <v>4479</v>
      </c>
      <c r="E1390" s="140" t="s">
        <v>4480</v>
      </c>
      <c r="F1390" s="140" t="s">
        <v>4481</v>
      </c>
      <c r="G1390" s="140"/>
    </row>
    <row r="1391" spans="2:7" hidden="1">
      <c r="B1391" s="140" t="s">
        <v>4482</v>
      </c>
      <c r="C1391" s="140"/>
      <c r="D1391" s="140" t="s">
        <v>2038</v>
      </c>
      <c r="E1391" s="140" t="s">
        <v>4483</v>
      </c>
      <c r="F1391" s="140"/>
      <c r="G1391" s="140"/>
    </row>
    <row r="1392" spans="2:7" hidden="1">
      <c r="B1392" s="140" t="s">
        <v>4484</v>
      </c>
      <c r="C1392" s="140"/>
      <c r="D1392" s="140" t="s">
        <v>4485</v>
      </c>
      <c r="E1392" s="142"/>
      <c r="F1392" s="142"/>
      <c r="G1392" s="140"/>
    </row>
    <row r="1393" spans="2:7" hidden="1">
      <c r="B1393" s="140" t="s">
        <v>4486</v>
      </c>
      <c r="C1393" s="140"/>
      <c r="D1393" s="140" t="s">
        <v>3375</v>
      </c>
      <c r="E1393" s="140"/>
      <c r="F1393" s="140"/>
      <c r="G1393" s="140"/>
    </row>
    <row r="1394" spans="2:7" hidden="1">
      <c r="B1394" s="141" t="s">
        <v>4487</v>
      </c>
      <c r="C1394" s="140"/>
      <c r="D1394" s="141" t="s">
        <v>3124</v>
      </c>
      <c r="E1394" s="140"/>
      <c r="F1394" s="140"/>
      <c r="G1394" s="140"/>
    </row>
    <row r="1395" spans="2:7" hidden="1">
      <c r="B1395" s="141" t="s">
        <v>4488</v>
      </c>
      <c r="C1395" s="140"/>
      <c r="D1395" s="141" t="s">
        <v>4489</v>
      </c>
      <c r="E1395" s="140"/>
      <c r="F1395" s="140"/>
      <c r="G1395" s="140"/>
    </row>
    <row r="1396" spans="2:7" hidden="1">
      <c r="B1396" s="140" t="s">
        <v>4490</v>
      </c>
      <c r="C1396" s="140"/>
      <c r="D1396" s="140" t="s">
        <v>4491</v>
      </c>
      <c r="E1396" s="142"/>
      <c r="F1396" s="142"/>
      <c r="G1396" s="140"/>
    </row>
    <row r="1397" spans="2:7" hidden="1">
      <c r="B1397" s="141" t="s">
        <v>4492</v>
      </c>
      <c r="C1397" s="140" t="s">
        <v>4493</v>
      </c>
      <c r="D1397" s="141" t="s">
        <v>4494</v>
      </c>
      <c r="E1397" s="140"/>
      <c r="F1397" s="140"/>
      <c r="G1397" s="140" t="s">
        <v>4495</v>
      </c>
    </row>
    <row r="1398" spans="2:7" hidden="1">
      <c r="B1398" s="141" t="s">
        <v>4496</v>
      </c>
      <c r="C1398" s="140"/>
      <c r="D1398" s="141" t="s">
        <v>4497</v>
      </c>
      <c r="E1398" s="140"/>
      <c r="F1398" s="140"/>
      <c r="G1398" s="140"/>
    </row>
    <row r="1399" spans="2:7" hidden="1">
      <c r="B1399" s="141" t="s">
        <v>4498</v>
      </c>
      <c r="C1399" s="140" t="s">
        <v>4499</v>
      </c>
      <c r="D1399" s="141" t="s">
        <v>4500</v>
      </c>
      <c r="E1399" s="140"/>
      <c r="F1399" s="140"/>
      <c r="G1399" s="140"/>
    </row>
    <row r="1400" spans="2:7" hidden="1">
      <c r="B1400" s="141" t="s">
        <v>4501</v>
      </c>
      <c r="C1400" s="140"/>
      <c r="D1400" s="141" t="s">
        <v>4502</v>
      </c>
      <c r="E1400" s="140"/>
      <c r="F1400" s="140"/>
      <c r="G1400" s="140"/>
    </row>
    <row r="1401" spans="2:7" hidden="1">
      <c r="B1401" s="141" t="s">
        <v>4503</v>
      </c>
      <c r="C1401" s="140"/>
      <c r="D1401" s="141" t="s">
        <v>4504</v>
      </c>
      <c r="E1401" s="140"/>
      <c r="F1401" s="140"/>
      <c r="G1401" s="140"/>
    </row>
    <row r="1402" spans="2:7" hidden="1">
      <c r="B1402" s="141" t="s">
        <v>4505</v>
      </c>
      <c r="C1402" s="140"/>
      <c r="D1402" s="141" t="s">
        <v>4506</v>
      </c>
      <c r="E1402" s="140"/>
      <c r="F1402" s="140"/>
      <c r="G1402" s="140"/>
    </row>
    <row r="1403" spans="2:7" hidden="1">
      <c r="B1403" s="141" t="s">
        <v>4507</v>
      </c>
      <c r="C1403" s="140"/>
      <c r="D1403" s="141" t="s">
        <v>4508</v>
      </c>
      <c r="E1403" s="140"/>
      <c r="F1403" s="140"/>
      <c r="G1403" s="140"/>
    </row>
    <row r="1404" spans="2:7" hidden="1">
      <c r="B1404" s="141" t="s">
        <v>4509</v>
      </c>
      <c r="C1404" s="140" t="s">
        <v>4510</v>
      </c>
      <c r="D1404" s="141" t="s">
        <v>4511</v>
      </c>
      <c r="E1404" s="140" t="s">
        <v>4512</v>
      </c>
      <c r="F1404" s="140" t="s">
        <v>4513</v>
      </c>
      <c r="G1404" s="140"/>
    </row>
    <row r="1405" spans="2:7" hidden="1">
      <c r="B1405" s="141" t="s">
        <v>4514</v>
      </c>
      <c r="C1405" s="140"/>
      <c r="D1405" s="141" t="s">
        <v>1742</v>
      </c>
      <c r="E1405" s="140"/>
      <c r="F1405" s="140"/>
      <c r="G1405" s="140"/>
    </row>
    <row r="1406" spans="2:7" hidden="1">
      <c r="B1406" s="141" t="s">
        <v>4515</v>
      </c>
      <c r="C1406" s="140"/>
      <c r="D1406" s="141" t="s">
        <v>4516</v>
      </c>
      <c r="E1406" s="140"/>
      <c r="F1406" s="140"/>
      <c r="G1406" s="140"/>
    </row>
    <row r="1407" spans="2:7" hidden="1">
      <c r="B1407" s="141" t="s">
        <v>4517</v>
      </c>
      <c r="C1407" s="140" t="s">
        <v>4518</v>
      </c>
      <c r="D1407" s="141" t="s">
        <v>4519</v>
      </c>
      <c r="E1407" s="140" t="s">
        <v>4520</v>
      </c>
      <c r="F1407" s="140" t="s">
        <v>4521</v>
      </c>
      <c r="G1407" s="140"/>
    </row>
    <row r="1408" spans="2:7" hidden="1">
      <c r="B1408" s="141" t="s">
        <v>21541</v>
      </c>
      <c r="C1408" s="141"/>
      <c r="D1408" s="141" t="s">
        <v>4522</v>
      </c>
      <c r="E1408" s="141"/>
      <c r="F1408" s="141"/>
      <c r="G1408" s="140"/>
    </row>
    <row r="1409" spans="2:7" hidden="1">
      <c r="B1409" s="141" t="s">
        <v>4523</v>
      </c>
      <c r="C1409" s="140"/>
      <c r="D1409" s="141" t="s">
        <v>4524</v>
      </c>
      <c r="E1409" s="140"/>
      <c r="F1409" s="140"/>
      <c r="G1409" s="140"/>
    </row>
    <row r="1410" spans="2:7" hidden="1">
      <c r="B1410" s="141" t="s">
        <v>4525</v>
      </c>
      <c r="C1410" s="140" t="s">
        <v>4526</v>
      </c>
      <c r="D1410" s="141" t="s">
        <v>4527</v>
      </c>
      <c r="E1410" s="140"/>
      <c r="F1410" s="140"/>
      <c r="G1410" s="140"/>
    </row>
    <row r="1411" spans="2:7" hidden="1">
      <c r="B1411" s="141" t="s">
        <v>4528</v>
      </c>
      <c r="C1411" s="140"/>
      <c r="D1411" s="141" t="s">
        <v>4529</v>
      </c>
      <c r="E1411" s="140"/>
      <c r="F1411" s="140"/>
      <c r="G1411" s="140"/>
    </row>
    <row r="1412" spans="2:7" hidden="1">
      <c r="B1412" s="141" t="s">
        <v>4530</v>
      </c>
      <c r="C1412" s="141"/>
      <c r="D1412" s="141" t="s">
        <v>4531</v>
      </c>
      <c r="E1412" s="140"/>
      <c r="F1412" s="140"/>
      <c r="G1412" s="140"/>
    </row>
    <row r="1413" spans="2:7" hidden="1">
      <c r="B1413" s="140" t="s">
        <v>4532</v>
      </c>
      <c r="C1413" s="140"/>
      <c r="D1413" s="140" t="s">
        <v>4533</v>
      </c>
      <c r="E1413" s="142"/>
      <c r="F1413" s="142"/>
      <c r="G1413" s="140"/>
    </row>
    <row r="1414" spans="2:7" hidden="1">
      <c r="B1414" s="141" t="s">
        <v>4534</v>
      </c>
      <c r="C1414" s="140"/>
      <c r="D1414" s="141" t="s">
        <v>4535</v>
      </c>
      <c r="E1414" s="140"/>
      <c r="F1414" s="140"/>
      <c r="G1414" s="140"/>
    </row>
    <row r="1415" spans="2:7" hidden="1">
      <c r="B1415" s="141" t="s">
        <v>4536</v>
      </c>
      <c r="C1415" s="140"/>
      <c r="D1415" s="141" t="s">
        <v>4537</v>
      </c>
      <c r="E1415" s="140"/>
      <c r="F1415" s="140"/>
      <c r="G1415" s="140"/>
    </row>
    <row r="1416" spans="2:7" hidden="1">
      <c r="B1416" s="141" t="s">
        <v>4538</v>
      </c>
      <c r="C1416" s="140"/>
      <c r="D1416" s="141" t="s">
        <v>4539</v>
      </c>
      <c r="E1416" s="140"/>
      <c r="F1416" s="140"/>
      <c r="G1416" s="140"/>
    </row>
    <row r="1417" spans="2:7" hidden="1">
      <c r="B1417" s="141" t="s">
        <v>21542</v>
      </c>
      <c r="C1417" s="140"/>
      <c r="D1417" s="141" t="s">
        <v>4540</v>
      </c>
      <c r="E1417" s="140"/>
      <c r="F1417" s="140"/>
      <c r="G1417" s="140"/>
    </row>
    <row r="1418" spans="2:7" hidden="1">
      <c r="B1418" s="140" t="s">
        <v>4541</v>
      </c>
      <c r="C1418" s="140" t="s">
        <v>4542</v>
      </c>
      <c r="D1418" s="140" t="s">
        <v>4543</v>
      </c>
      <c r="E1418" s="140" t="s">
        <v>4544</v>
      </c>
      <c r="F1418" s="140" t="s">
        <v>4545</v>
      </c>
      <c r="G1418" s="140" t="s">
        <v>4546</v>
      </c>
    </row>
    <row r="1419" spans="2:7" hidden="1">
      <c r="B1419" s="141" t="s">
        <v>4547</v>
      </c>
      <c r="C1419" s="141"/>
      <c r="D1419" s="141" t="s">
        <v>4548</v>
      </c>
      <c r="E1419" s="141"/>
      <c r="F1419" s="140"/>
      <c r="G1419" s="140"/>
    </row>
    <row r="1420" spans="2:7" hidden="1">
      <c r="B1420" s="141" t="s">
        <v>4549</v>
      </c>
      <c r="C1420" s="140"/>
      <c r="D1420" s="141" t="s">
        <v>1215</v>
      </c>
      <c r="E1420" s="140"/>
      <c r="F1420" s="140"/>
      <c r="G1420" s="140"/>
    </row>
    <row r="1421" spans="2:7" hidden="1">
      <c r="B1421" s="141" t="s">
        <v>4550</v>
      </c>
      <c r="C1421" s="140"/>
      <c r="D1421" s="141" t="s">
        <v>4551</v>
      </c>
      <c r="E1421" s="140"/>
      <c r="F1421" s="140"/>
      <c r="G1421" s="140"/>
    </row>
    <row r="1422" spans="2:7" hidden="1">
      <c r="B1422" s="140" t="s">
        <v>4552</v>
      </c>
      <c r="C1422" s="140"/>
      <c r="D1422" s="140" t="s">
        <v>4553</v>
      </c>
      <c r="E1422" s="142"/>
      <c r="F1422" s="142"/>
      <c r="G1422" s="140"/>
    </row>
    <row r="1423" spans="2:7" hidden="1">
      <c r="B1423" s="141" t="s">
        <v>4554</v>
      </c>
      <c r="C1423" s="140" t="s">
        <v>4555</v>
      </c>
      <c r="D1423" s="141" t="s">
        <v>4556</v>
      </c>
      <c r="E1423" s="140"/>
      <c r="F1423" s="140"/>
      <c r="G1423" s="140" t="s">
        <v>4557</v>
      </c>
    </row>
    <row r="1424" spans="2:7" hidden="1">
      <c r="B1424" s="140" t="s">
        <v>4558</v>
      </c>
      <c r="C1424" s="140" t="s">
        <v>4559</v>
      </c>
      <c r="D1424" s="140" t="s">
        <v>4560</v>
      </c>
      <c r="E1424" s="142" t="s">
        <v>4561</v>
      </c>
      <c r="F1424" s="142" t="s">
        <v>4562</v>
      </c>
      <c r="G1424" s="140" t="s">
        <v>4563</v>
      </c>
    </row>
    <row r="1425" spans="2:7" hidden="1">
      <c r="B1425" s="141" t="s">
        <v>4564</v>
      </c>
      <c r="C1425" s="140"/>
      <c r="D1425" s="141" t="s">
        <v>4565</v>
      </c>
      <c r="E1425" s="140"/>
      <c r="F1425" s="140"/>
      <c r="G1425" s="140"/>
    </row>
    <row r="1426" spans="2:7" hidden="1">
      <c r="B1426" s="141" t="s">
        <v>4566</v>
      </c>
      <c r="C1426" s="140"/>
      <c r="D1426" s="141" t="s">
        <v>4567</v>
      </c>
      <c r="E1426" s="140"/>
      <c r="F1426" s="140"/>
      <c r="G1426" s="140"/>
    </row>
    <row r="1427" spans="2:7" hidden="1">
      <c r="B1427" s="141" t="s">
        <v>4568</v>
      </c>
      <c r="C1427" s="140"/>
      <c r="D1427" s="141" t="s">
        <v>4569</v>
      </c>
      <c r="E1427" s="140"/>
      <c r="F1427" s="140"/>
      <c r="G1427" s="140"/>
    </row>
    <row r="1428" spans="2:7" hidden="1">
      <c r="B1428" s="141" t="s">
        <v>4570</v>
      </c>
      <c r="C1428" s="140" t="s">
        <v>4571</v>
      </c>
      <c r="D1428" s="141" t="s">
        <v>4572</v>
      </c>
      <c r="E1428" s="140" t="s">
        <v>4573</v>
      </c>
      <c r="F1428" s="140" t="s">
        <v>4574</v>
      </c>
      <c r="G1428" s="140"/>
    </row>
    <row r="1429" spans="2:7" hidden="1">
      <c r="B1429" s="141" t="s">
        <v>4575</v>
      </c>
      <c r="C1429" s="140" t="s">
        <v>4576</v>
      </c>
      <c r="D1429" s="141" t="s">
        <v>4577</v>
      </c>
      <c r="E1429" s="140"/>
      <c r="F1429" s="140"/>
      <c r="G1429" s="140"/>
    </row>
    <row r="1430" spans="2:7" hidden="1">
      <c r="B1430" s="141" t="s">
        <v>4578</v>
      </c>
      <c r="C1430" s="140"/>
      <c r="D1430" s="141" t="s">
        <v>4579</v>
      </c>
      <c r="E1430" s="140"/>
      <c r="F1430" s="140"/>
      <c r="G1430" s="140"/>
    </row>
    <row r="1431" spans="2:7" hidden="1">
      <c r="B1431" s="141" t="s">
        <v>4580</v>
      </c>
      <c r="C1431" s="140" t="s">
        <v>4581</v>
      </c>
      <c r="D1431" s="141" t="s">
        <v>4582</v>
      </c>
      <c r="E1431" s="140" t="s">
        <v>4583</v>
      </c>
      <c r="F1431" s="140" t="s">
        <v>4584</v>
      </c>
      <c r="G1431" s="140"/>
    </row>
    <row r="1432" spans="2:7" hidden="1">
      <c r="B1432" s="141" t="s">
        <v>4585</v>
      </c>
      <c r="C1432" s="140"/>
      <c r="D1432" s="141" t="s">
        <v>4586</v>
      </c>
      <c r="E1432" s="140"/>
      <c r="F1432" s="140"/>
      <c r="G1432" s="140"/>
    </row>
    <row r="1433" spans="2:7" hidden="1">
      <c r="B1433" s="141" t="s">
        <v>4587</v>
      </c>
      <c r="C1433" s="140"/>
      <c r="D1433" s="141" t="s">
        <v>4588</v>
      </c>
      <c r="E1433" s="140"/>
      <c r="F1433" s="140"/>
      <c r="G1433" s="140"/>
    </row>
    <row r="1434" spans="2:7" hidden="1">
      <c r="B1434" s="141" t="s">
        <v>4589</v>
      </c>
      <c r="C1434" s="140"/>
      <c r="D1434" s="141" t="s">
        <v>4590</v>
      </c>
      <c r="E1434" s="140"/>
      <c r="F1434" s="140"/>
      <c r="G1434" s="140"/>
    </row>
    <row r="1435" spans="2:7" hidden="1">
      <c r="B1435" s="141" t="s">
        <v>4591</v>
      </c>
      <c r="C1435" s="140"/>
      <c r="D1435" s="141" t="s">
        <v>4592</v>
      </c>
      <c r="E1435" s="140"/>
      <c r="F1435" s="140"/>
      <c r="G1435" s="140"/>
    </row>
    <row r="1436" spans="2:7" hidden="1">
      <c r="B1436" s="141" t="s">
        <v>4593</v>
      </c>
      <c r="C1436" s="140" t="s">
        <v>4594</v>
      </c>
      <c r="D1436" s="141" t="s">
        <v>4582</v>
      </c>
      <c r="E1436" s="140"/>
      <c r="F1436" s="140"/>
      <c r="G1436" s="140"/>
    </row>
    <row r="1437" spans="2:7" hidden="1">
      <c r="B1437" s="141" t="s">
        <v>4595</v>
      </c>
      <c r="C1437" s="140"/>
      <c r="D1437" s="141" t="s">
        <v>4596</v>
      </c>
      <c r="E1437" s="140"/>
      <c r="F1437" s="140"/>
      <c r="G1437" s="140"/>
    </row>
    <row r="1438" spans="2:7" hidden="1">
      <c r="B1438" s="141" t="s">
        <v>4597</v>
      </c>
      <c r="C1438" s="140"/>
      <c r="D1438" s="141" t="s">
        <v>4598</v>
      </c>
      <c r="E1438" s="140"/>
      <c r="F1438" s="140"/>
      <c r="G1438" s="140"/>
    </row>
    <row r="1439" spans="2:7" hidden="1">
      <c r="B1439" s="141" t="s">
        <v>4599</v>
      </c>
      <c r="C1439" s="140"/>
      <c r="D1439" s="141" t="s">
        <v>3528</v>
      </c>
      <c r="E1439" s="140"/>
      <c r="F1439" s="140"/>
      <c r="G1439" s="140"/>
    </row>
    <row r="1440" spans="2:7" hidden="1">
      <c r="B1440" s="140" t="s">
        <v>4600</v>
      </c>
      <c r="C1440" s="140"/>
      <c r="D1440" s="140" t="s">
        <v>4601</v>
      </c>
      <c r="E1440" s="142"/>
      <c r="F1440" s="142"/>
      <c r="G1440" s="140"/>
    </row>
    <row r="1441" spans="2:7" hidden="1">
      <c r="B1441" s="141" t="s">
        <v>4602</v>
      </c>
      <c r="C1441" s="140" t="s">
        <v>4603</v>
      </c>
      <c r="D1441" s="141" t="s">
        <v>4604</v>
      </c>
      <c r="E1441" s="140" t="s">
        <v>4605</v>
      </c>
      <c r="F1441" s="140" t="s">
        <v>4606</v>
      </c>
      <c r="G1441" s="140"/>
    </row>
    <row r="1442" spans="2:7" hidden="1">
      <c r="B1442" s="141" t="s">
        <v>4607</v>
      </c>
      <c r="C1442" s="140" t="s">
        <v>4608</v>
      </c>
      <c r="D1442" s="141" t="s">
        <v>4609</v>
      </c>
      <c r="E1442" s="140" t="s">
        <v>4610</v>
      </c>
      <c r="F1442" s="140" t="s">
        <v>4611</v>
      </c>
      <c r="G1442" s="140"/>
    </row>
    <row r="1443" spans="2:7" hidden="1">
      <c r="B1443" s="141" t="s">
        <v>4612</v>
      </c>
      <c r="C1443" s="140" t="s">
        <v>4613</v>
      </c>
      <c r="D1443" s="141" t="s">
        <v>4614</v>
      </c>
      <c r="E1443" s="140" t="s">
        <v>4615</v>
      </c>
      <c r="F1443" s="140" t="s">
        <v>4616</v>
      </c>
      <c r="G1443" s="140"/>
    </row>
    <row r="1444" spans="2:7" hidden="1">
      <c r="B1444" s="141" t="s">
        <v>4617</v>
      </c>
      <c r="C1444" s="140"/>
      <c r="D1444" s="141" t="s">
        <v>4618</v>
      </c>
      <c r="E1444" s="140"/>
      <c r="F1444" s="140"/>
      <c r="G1444" s="140"/>
    </row>
    <row r="1445" spans="2:7" hidden="1">
      <c r="B1445" s="141" t="s">
        <v>4619</v>
      </c>
      <c r="C1445" s="140" t="s">
        <v>4620</v>
      </c>
      <c r="D1445" s="141" t="s">
        <v>4621</v>
      </c>
      <c r="E1445" s="140"/>
      <c r="F1445" s="140"/>
      <c r="G1445" s="140"/>
    </row>
    <row r="1446" spans="2:7" hidden="1">
      <c r="B1446" s="141" t="s">
        <v>21543</v>
      </c>
      <c r="C1446" s="141" t="s">
        <v>4622</v>
      </c>
      <c r="D1446" s="141" t="s">
        <v>4623</v>
      </c>
      <c r="E1446" s="141"/>
      <c r="F1446" s="141"/>
      <c r="G1446" s="140"/>
    </row>
    <row r="1447" spans="2:7" hidden="1">
      <c r="B1447" s="141" t="s">
        <v>4624</v>
      </c>
      <c r="C1447" s="140"/>
      <c r="D1447" s="141" t="s">
        <v>4625</v>
      </c>
      <c r="E1447" s="140"/>
      <c r="F1447" s="140"/>
      <c r="G1447" s="140"/>
    </row>
    <row r="1448" spans="2:7" hidden="1">
      <c r="B1448" s="141" t="s">
        <v>4626</v>
      </c>
      <c r="C1448" s="140" t="s">
        <v>4627</v>
      </c>
      <c r="D1448" s="141" t="s">
        <v>4628</v>
      </c>
      <c r="E1448" s="140" t="s">
        <v>4629</v>
      </c>
      <c r="F1448" s="140" t="s">
        <v>4630</v>
      </c>
      <c r="G1448" s="140"/>
    </row>
    <row r="1449" spans="2:7" hidden="1">
      <c r="B1449" s="141" t="s">
        <v>4631</v>
      </c>
      <c r="C1449" s="140"/>
      <c r="D1449" s="141" t="s">
        <v>4632</v>
      </c>
      <c r="E1449" s="140"/>
      <c r="F1449" s="140"/>
      <c r="G1449" s="140"/>
    </row>
    <row r="1450" spans="2:7" hidden="1">
      <c r="B1450" s="141" t="s">
        <v>4633</v>
      </c>
      <c r="C1450" s="140"/>
      <c r="D1450" s="141" t="s">
        <v>4634</v>
      </c>
      <c r="E1450" s="140"/>
      <c r="F1450" s="140"/>
      <c r="G1450" s="140"/>
    </row>
    <row r="1451" spans="2:7" hidden="1">
      <c r="B1451" s="141" t="s">
        <v>4635</v>
      </c>
      <c r="C1451" s="140"/>
      <c r="D1451" s="141" t="s">
        <v>4636</v>
      </c>
      <c r="E1451" s="140"/>
      <c r="F1451" s="140"/>
      <c r="G1451" s="140"/>
    </row>
    <row r="1452" spans="2:7" hidden="1">
      <c r="B1452" s="141" t="s">
        <v>4637</v>
      </c>
      <c r="C1452" s="140"/>
      <c r="D1452" s="141" t="s">
        <v>4638</v>
      </c>
      <c r="E1452" s="140"/>
      <c r="F1452" s="140"/>
      <c r="G1452" s="140"/>
    </row>
    <row r="1453" spans="2:7" hidden="1">
      <c r="B1453" s="141" t="s">
        <v>4639</v>
      </c>
      <c r="C1453" s="140"/>
      <c r="D1453" s="141" t="s">
        <v>2954</v>
      </c>
      <c r="E1453" s="140"/>
      <c r="F1453" s="140"/>
      <c r="G1453" s="140"/>
    </row>
    <row r="1454" spans="2:7" hidden="1">
      <c r="B1454" s="141" t="s">
        <v>4640</v>
      </c>
      <c r="C1454" s="140"/>
      <c r="D1454" s="141" t="s">
        <v>4641</v>
      </c>
      <c r="E1454" s="140"/>
      <c r="F1454" s="140"/>
      <c r="G1454" s="140"/>
    </row>
    <row r="1455" spans="2:7" hidden="1">
      <c r="B1455" s="141" t="s">
        <v>21544</v>
      </c>
      <c r="C1455" s="140" t="s">
        <v>4642</v>
      </c>
      <c r="D1455" s="141" t="s">
        <v>4643</v>
      </c>
      <c r="E1455" s="140" t="s">
        <v>4644</v>
      </c>
      <c r="F1455" s="140"/>
      <c r="G1455" s="140"/>
    </row>
    <row r="1456" spans="2:7" hidden="1">
      <c r="B1456" s="141" t="s">
        <v>4645</v>
      </c>
      <c r="C1456" s="140" t="s">
        <v>4646</v>
      </c>
      <c r="D1456" s="141" t="s">
        <v>4647</v>
      </c>
      <c r="E1456" s="140" t="s">
        <v>4648</v>
      </c>
      <c r="F1456" s="140" t="s">
        <v>4649</v>
      </c>
      <c r="G1456" s="140"/>
    </row>
    <row r="1457" spans="2:7" hidden="1">
      <c r="B1457" s="141" t="s">
        <v>4650</v>
      </c>
      <c r="C1457" s="141"/>
      <c r="D1457" s="141" t="s">
        <v>4651</v>
      </c>
      <c r="E1457" s="141"/>
      <c r="F1457" s="140"/>
      <c r="G1457" s="140"/>
    </row>
    <row r="1458" spans="2:7" hidden="1">
      <c r="B1458" s="141" t="s">
        <v>4652</v>
      </c>
      <c r="C1458" s="140"/>
      <c r="D1458" s="141" t="s">
        <v>4653</v>
      </c>
      <c r="E1458" s="140"/>
      <c r="F1458" s="140"/>
      <c r="G1458" s="140"/>
    </row>
    <row r="1459" spans="2:7" hidden="1">
      <c r="B1459" s="141" t="s">
        <v>4654</v>
      </c>
      <c r="C1459" s="140"/>
      <c r="D1459" s="141" t="s">
        <v>4655</v>
      </c>
      <c r="E1459" s="140"/>
      <c r="F1459" s="140"/>
      <c r="G1459" s="140"/>
    </row>
    <row r="1460" spans="2:7" hidden="1">
      <c r="B1460" s="140" t="s">
        <v>4656</v>
      </c>
      <c r="C1460" s="140"/>
      <c r="D1460" s="140" t="s">
        <v>4657</v>
      </c>
      <c r="E1460" s="142"/>
      <c r="F1460" s="142"/>
      <c r="G1460" s="140"/>
    </row>
    <row r="1461" spans="2:7" hidden="1">
      <c r="B1461" s="140" t="s">
        <v>21545</v>
      </c>
      <c r="C1461" s="140"/>
      <c r="D1461" s="140" t="s">
        <v>4658</v>
      </c>
      <c r="E1461" s="140"/>
      <c r="F1461" s="140"/>
      <c r="G1461" s="140"/>
    </row>
    <row r="1462" spans="2:7" hidden="1">
      <c r="B1462" s="141" t="s">
        <v>4659</v>
      </c>
      <c r="C1462" s="140"/>
      <c r="D1462" s="141" t="s">
        <v>4660</v>
      </c>
      <c r="E1462" s="140"/>
      <c r="F1462" s="140"/>
      <c r="G1462" s="140"/>
    </row>
    <row r="1463" spans="2:7" hidden="1">
      <c r="B1463" s="141" t="s">
        <v>4661</v>
      </c>
      <c r="C1463" s="141" t="s">
        <v>4662</v>
      </c>
      <c r="D1463" s="141" t="s">
        <v>4663</v>
      </c>
      <c r="E1463" s="141" t="s">
        <v>4664</v>
      </c>
      <c r="F1463" s="140" t="s">
        <v>4665</v>
      </c>
      <c r="G1463" s="140"/>
    </row>
    <row r="1464" spans="2:7" hidden="1">
      <c r="B1464" s="141" t="s">
        <v>4666</v>
      </c>
      <c r="C1464" s="140"/>
      <c r="D1464" s="141" t="s">
        <v>4667</v>
      </c>
      <c r="E1464" s="140"/>
      <c r="F1464" s="140"/>
      <c r="G1464" s="140"/>
    </row>
    <row r="1465" spans="2:7" hidden="1">
      <c r="B1465" s="141" t="s">
        <v>21546</v>
      </c>
      <c r="C1465" s="140"/>
      <c r="D1465" s="141" t="s">
        <v>4668</v>
      </c>
      <c r="E1465" s="140"/>
      <c r="F1465" s="140"/>
      <c r="G1465" s="140"/>
    </row>
    <row r="1466" spans="2:7" hidden="1">
      <c r="B1466" s="141" t="s">
        <v>4669</v>
      </c>
      <c r="C1466" s="140" t="s">
        <v>4670</v>
      </c>
      <c r="D1466" s="141" t="s">
        <v>4671</v>
      </c>
      <c r="E1466" s="140"/>
      <c r="F1466" s="140"/>
      <c r="G1466" s="140" t="s">
        <v>21547</v>
      </c>
    </row>
    <row r="1467" spans="2:7" hidden="1">
      <c r="B1467" s="141" t="s">
        <v>4672</v>
      </c>
      <c r="C1467" s="140"/>
      <c r="D1467" s="141" t="s">
        <v>4673</v>
      </c>
      <c r="E1467" s="140"/>
      <c r="F1467" s="140"/>
      <c r="G1467" s="140"/>
    </row>
    <row r="1468" spans="2:7" hidden="1">
      <c r="B1468" s="141" t="s">
        <v>4674</v>
      </c>
      <c r="C1468" s="140"/>
      <c r="D1468" s="141" t="s">
        <v>4675</v>
      </c>
      <c r="E1468" s="140"/>
      <c r="F1468" s="140"/>
      <c r="G1468" s="140"/>
    </row>
    <row r="1469" spans="2:7" hidden="1">
      <c r="B1469" s="141" t="s">
        <v>4676</v>
      </c>
      <c r="C1469" s="140"/>
      <c r="D1469" s="141" t="s">
        <v>2245</v>
      </c>
      <c r="E1469" s="140"/>
      <c r="F1469" s="140"/>
      <c r="G1469" s="140"/>
    </row>
    <row r="1470" spans="2:7" hidden="1">
      <c r="B1470" s="141" t="s">
        <v>4677</v>
      </c>
      <c r="C1470" s="140"/>
      <c r="D1470" s="141" t="s">
        <v>4678</v>
      </c>
      <c r="E1470" s="140"/>
      <c r="F1470" s="140"/>
      <c r="G1470" s="140"/>
    </row>
    <row r="1471" spans="2:7" hidden="1">
      <c r="B1471" s="141" t="s">
        <v>4679</v>
      </c>
      <c r="C1471" s="140"/>
      <c r="D1471" s="141" t="s">
        <v>4680</v>
      </c>
      <c r="E1471" s="140"/>
      <c r="F1471" s="140"/>
      <c r="G1471" s="140"/>
    </row>
    <row r="1472" spans="2:7" hidden="1">
      <c r="B1472" s="141" t="s">
        <v>21548</v>
      </c>
      <c r="C1472" s="140"/>
      <c r="D1472" s="141" t="s">
        <v>4196</v>
      </c>
      <c r="E1472" s="140"/>
      <c r="F1472" s="140"/>
      <c r="G1472" s="140"/>
    </row>
    <row r="1473" spans="2:7" hidden="1">
      <c r="B1473" s="141" t="s">
        <v>4681</v>
      </c>
      <c r="C1473" s="140"/>
      <c r="D1473" s="141" t="s">
        <v>4682</v>
      </c>
      <c r="E1473" s="140"/>
      <c r="F1473" s="140"/>
      <c r="G1473" s="140"/>
    </row>
    <row r="1474" spans="2:7" hidden="1">
      <c r="B1474" s="141" t="s">
        <v>4683</v>
      </c>
      <c r="C1474" s="140"/>
      <c r="D1474" s="141" t="s">
        <v>4684</v>
      </c>
      <c r="E1474" s="140"/>
      <c r="F1474" s="140"/>
      <c r="G1474" s="140"/>
    </row>
    <row r="1475" spans="2:7" hidden="1">
      <c r="B1475" s="141" t="s">
        <v>4685</v>
      </c>
      <c r="C1475" s="140"/>
      <c r="D1475" s="141" t="s">
        <v>4686</v>
      </c>
      <c r="E1475" s="140"/>
      <c r="F1475" s="140"/>
      <c r="G1475" s="140"/>
    </row>
    <row r="1476" spans="2:7" hidden="1">
      <c r="B1476" s="141" t="s">
        <v>4687</v>
      </c>
      <c r="C1476" s="140"/>
      <c r="D1476" s="141" t="s">
        <v>4688</v>
      </c>
      <c r="E1476" s="140"/>
      <c r="F1476" s="140"/>
      <c r="G1476" s="140"/>
    </row>
    <row r="1477" spans="2:7" hidden="1">
      <c r="B1477" s="141" t="s">
        <v>4689</v>
      </c>
      <c r="C1477" s="140" t="s">
        <v>4690</v>
      </c>
      <c r="D1477" s="141" t="s">
        <v>4691</v>
      </c>
      <c r="E1477" s="140" t="s">
        <v>4692</v>
      </c>
      <c r="F1477" s="140"/>
      <c r="G1477" s="140"/>
    </row>
    <row r="1478" spans="2:7" hidden="1">
      <c r="B1478" s="141" t="s">
        <v>4693</v>
      </c>
      <c r="C1478" s="141" t="s">
        <v>4694</v>
      </c>
      <c r="D1478" s="141" t="s">
        <v>4695</v>
      </c>
      <c r="E1478" s="141" t="s">
        <v>4696</v>
      </c>
      <c r="F1478" s="140"/>
      <c r="G1478" s="140"/>
    </row>
    <row r="1479" spans="2:7" hidden="1">
      <c r="B1479" s="141" t="s">
        <v>4697</v>
      </c>
      <c r="C1479" s="140"/>
      <c r="D1479" s="141" t="s">
        <v>4698</v>
      </c>
      <c r="E1479" s="140"/>
      <c r="F1479" s="140"/>
      <c r="G1479" s="140"/>
    </row>
    <row r="1480" spans="2:7" hidden="1">
      <c r="B1480" s="140" t="s">
        <v>21234</v>
      </c>
      <c r="C1480" s="140" t="s">
        <v>21235</v>
      </c>
      <c r="D1480" s="140" t="s">
        <v>16604</v>
      </c>
      <c r="E1480" s="142" t="s">
        <v>21236</v>
      </c>
      <c r="F1480" s="142"/>
      <c r="G1480" s="140"/>
    </row>
    <row r="1481" spans="2:7" hidden="1">
      <c r="B1481" s="141" t="s">
        <v>4699</v>
      </c>
      <c r="C1481" s="140"/>
      <c r="D1481" s="141" t="s">
        <v>4700</v>
      </c>
      <c r="E1481" s="140"/>
      <c r="F1481" s="140"/>
      <c r="G1481" s="140"/>
    </row>
    <row r="1482" spans="2:7" hidden="1">
      <c r="B1482" s="141" t="s">
        <v>4701</v>
      </c>
      <c r="C1482" s="140"/>
      <c r="D1482" s="141" t="s">
        <v>4632</v>
      </c>
      <c r="E1482" s="140"/>
      <c r="F1482" s="140"/>
      <c r="G1482" s="140"/>
    </row>
    <row r="1483" spans="2:7" hidden="1">
      <c r="B1483" s="141" t="s">
        <v>4702</v>
      </c>
      <c r="C1483" s="140"/>
      <c r="D1483" s="141" t="s">
        <v>4703</v>
      </c>
      <c r="E1483" s="140"/>
      <c r="F1483" s="140"/>
      <c r="G1483" s="140"/>
    </row>
    <row r="1484" spans="2:7" hidden="1">
      <c r="B1484" s="141" t="s">
        <v>21549</v>
      </c>
      <c r="C1484" s="140"/>
      <c r="D1484" s="141" t="s">
        <v>4704</v>
      </c>
      <c r="E1484" s="140"/>
      <c r="F1484" s="140"/>
      <c r="G1484" s="140"/>
    </row>
    <row r="1485" spans="2:7" hidden="1">
      <c r="B1485" s="140" t="s">
        <v>4705</v>
      </c>
      <c r="C1485" s="140"/>
      <c r="D1485" s="140" t="s">
        <v>4706</v>
      </c>
      <c r="E1485" s="140"/>
      <c r="F1485" s="140"/>
      <c r="G1485" s="140"/>
    </row>
    <row r="1486" spans="2:7" hidden="1">
      <c r="B1486" s="141" t="s">
        <v>4707</v>
      </c>
      <c r="C1486" s="140"/>
      <c r="D1486" s="141" t="s">
        <v>4708</v>
      </c>
      <c r="E1486" s="140"/>
      <c r="F1486" s="140"/>
      <c r="G1486" s="140"/>
    </row>
    <row r="1487" spans="2:7" hidden="1">
      <c r="B1487" s="141" t="s">
        <v>4709</v>
      </c>
      <c r="C1487" s="141"/>
      <c r="D1487" s="141" t="s">
        <v>4710</v>
      </c>
      <c r="E1487" s="141"/>
      <c r="F1487" s="141"/>
      <c r="G1487" s="140"/>
    </row>
    <row r="1488" spans="2:7" hidden="1">
      <c r="B1488" s="141" t="s">
        <v>4711</v>
      </c>
      <c r="C1488" s="140" t="s">
        <v>4712</v>
      </c>
      <c r="D1488" s="141" t="s">
        <v>4713</v>
      </c>
      <c r="E1488" s="140" t="s">
        <v>4714</v>
      </c>
      <c r="F1488" s="140"/>
      <c r="G1488" s="140"/>
    </row>
    <row r="1489" spans="2:7" hidden="1">
      <c r="B1489" s="141" t="s">
        <v>4715</v>
      </c>
      <c r="C1489" s="140"/>
      <c r="D1489" s="141" t="s">
        <v>4716</v>
      </c>
      <c r="E1489" s="140"/>
      <c r="F1489" s="140"/>
      <c r="G1489" s="140"/>
    </row>
    <row r="1490" spans="2:7" hidden="1">
      <c r="B1490" s="141" t="s">
        <v>4717</v>
      </c>
      <c r="C1490" s="140" t="s">
        <v>4718</v>
      </c>
      <c r="D1490" s="141" t="s">
        <v>4719</v>
      </c>
      <c r="E1490" s="140" t="s">
        <v>4720</v>
      </c>
      <c r="F1490" s="140" t="s">
        <v>4721</v>
      </c>
      <c r="G1490" s="140"/>
    </row>
    <row r="1491" spans="2:7" hidden="1">
      <c r="B1491" s="141" t="s">
        <v>4722</v>
      </c>
      <c r="C1491" s="140"/>
      <c r="D1491" s="141" t="s">
        <v>4723</v>
      </c>
      <c r="E1491" s="140"/>
      <c r="F1491" s="140"/>
      <c r="G1491" s="140"/>
    </row>
    <row r="1492" spans="2:7" hidden="1">
      <c r="B1492" s="141" t="s">
        <v>4724</v>
      </c>
      <c r="C1492" s="140"/>
      <c r="D1492" s="141" t="s">
        <v>4725</v>
      </c>
      <c r="E1492" s="140"/>
      <c r="F1492" s="140"/>
      <c r="G1492" s="140"/>
    </row>
    <row r="1493" spans="2:7" hidden="1">
      <c r="B1493" s="141" t="s">
        <v>4726</v>
      </c>
      <c r="C1493" s="140"/>
      <c r="D1493" s="141" t="s">
        <v>4727</v>
      </c>
      <c r="E1493" s="140"/>
      <c r="F1493" s="140"/>
      <c r="G1493" s="140"/>
    </row>
    <row r="1494" spans="2:7" hidden="1">
      <c r="B1494" s="141" t="s">
        <v>4728</v>
      </c>
      <c r="C1494" s="140"/>
      <c r="D1494" s="141" t="s">
        <v>4729</v>
      </c>
      <c r="E1494" s="140"/>
      <c r="F1494" s="140"/>
      <c r="G1494" s="140"/>
    </row>
    <row r="1495" spans="2:7" hidden="1">
      <c r="B1495" s="141" t="s">
        <v>4730</v>
      </c>
      <c r="C1495" s="140"/>
      <c r="D1495" s="141" t="s">
        <v>4731</v>
      </c>
      <c r="E1495" s="140"/>
      <c r="F1495" s="140"/>
      <c r="G1495" s="140"/>
    </row>
    <row r="1496" spans="2:7" hidden="1">
      <c r="B1496" s="140" t="s">
        <v>20284</v>
      </c>
      <c r="C1496" s="140" t="s">
        <v>20285</v>
      </c>
      <c r="D1496" s="140" t="s">
        <v>20286</v>
      </c>
      <c r="E1496" s="142" t="s">
        <v>4930</v>
      </c>
      <c r="F1496" s="142" t="s">
        <v>4931</v>
      </c>
      <c r="G1496" s="140"/>
    </row>
    <row r="1497" spans="2:7" hidden="1">
      <c r="B1497" s="141" t="s">
        <v>20117</v>
      </c>
      <c r="C1497" s="141"/>
      <c r="D1497" s="141" t="s">
        <v>3814</v>
      </c>
      <c r="E1497" s="141"/>
      <c r="F1497" s="140">
        <v>2486930503</v>
      </c>
      <c r="G1497" s="140"/>
    </row>
    <row r="1498" spans="2:7" hidden="1">
      <c r="B1498" s="141" t="s">
        <v>4732</v>
      </c>
      <c r="C1498" s="140"/>
      <c r="D1498" s="141" t="s">
        <v>4733</v>
      </c>
      <c r="E1498" s="140"/>
      <c r="F1498" s="140"/>
      <c r="G1498" s="140"/>
    </row>
    <row r="1499" spans="2:7" hidden="1">
      <c r="B1499" s="141" t="s">
        <v>4734</v>
      </c>
      <c r="C1499" s="141" t="s">
        <v>4735</v>
      </c>
      <c r="D1499" s="141" t="s">
        <v>4736</v>
      </c>
      <c r="E1499" s="141"/>
      <c r="F1499" s="141"/>
      <c r="G1499" s="140"/>
    </row>
    <row r="1500" spans="2:7" hidden="1">
      <c r="B1500" s="140" t="s">
        <v>22103</v>
      </c>
      <c r="C1500" s="140" t="s">
        <v>22104</v>
      </c>
      <c r="D1500" s="140" t="s">
        <v>22105</v>
      </c>
      <c r="E1500" s="142" t="s">
        <v>22106</v>
      </c>
      <c r="F1500" s="142"/>
      <c r="G1500" s="140"/>
    </row>
    <row r="1501" spans="2:7" hidden="1">
      <c r="B1501" s="140" t="s">
        <v>4737</v>
      </c>
      <c r="C1501" s="140"/>
      <c r="D1501" s="140" t="s">
        <v>4738</v>
      </c>
      <c r="E1501" s="142"/>
      <c r="F1501" s="142"/>
      <c r="G1501" s="140"/>
    </row>
    <row r="1502" spans="2:7" hidden="1">
      <c r="B1502" s="141" t="s">
        <v>4739</v>
      </c>
      <c r="C1502" s="140"/>
      <c r="D1502" s="141" t="s">
        <v>4740</v>
      </c>
      <c r="E1502" s="140"/>
      <c r="F1502" s="140"/>
      <c r="G1502" s="140"/>
    </row>
    <row r="1503" spans="2:7" hidden="1">
      <c r="B1503" s="141" t="s">
        <v>21550</v>
      </c>
      <c r="C1503" s="140"/>
      <c r="D1503" s="141" t="s">
        <v>4741</v>
      </c>
      <c r="E1503" s="140"/>
      <c r="F1503" s="140"/>
      <c r="G1503" s="140"/>
    </row>
    <row r="1504" spans="2:7" hidden="1">
      <c r="B1504" s="140" t="s">
        <v>4742</v>
      </c>
      <c r="C1504" s="140" t="s">
        <v>4743</v>
      </c>
      <c r="D1504" s="140" t="s">
        <v>4744</v>
      </c>
      <c r="E1504" s="142" t="s">
        <v>4745</v>
      </c>
      <c r="F1504" s="142" t="s">
        <v>4746</v>
      </c>
      <c r="G1504" s="140"/>
    </row>
    <row r="1505" spans="2:7" hidden="1">
      <c r="B1505" s="141" t="s">
        <v>4747</v>
      </c>
      <c r="C1505" s="140"/>
      <c r="D1505" s="141" t="s">
        <v>4748</v>
      </c>
      <c r="E1505" s="140"/>
      <c r="F1505" s="140"/>
      <c r="G1505" s="140"/>
    </row>
    <row r="1506" spans="2:7" hidden="1">
      <c r="B1506" s="141" t="s">
        <v>4749</v>
      </c>
      <c r="C1506" s="141"/>
      <c r="D1506" s="141" t="s">
        <v>4567</v>
      </c>
      <c r="E1506" s="141"/>
      <c r="F1506" s="141"/>
      <c r="G1506" s="140"/>
    </row>
    <row r="1507" spans="2:7" hidden="1">
      <c r="B1507" s="140" t="s">
        <v>21551</v>
      </c>
      <c r="C1507" s="140" t="s">
        <v>4750</v>
      </c>
      <c r="D1507" s="140" t="s">
        <v>4751</v>
      </c>
      <c r="E1507" s="142"/>
      <c r="F1507" s="142"/>
      <c r="G1507" s="140"/>
    </row>
    <row r="1508" spans="2:7" hidden="1">
      <c r="B1508" s="141" t="s">
        <v>4752</v>
      </c>
      <c r="C1508" s="140"/>
      <c r="D1508" s="141" t="s">
        <v>4753</v>
      </c>
      <c r="E1508" s="140"/>
      <c r="F1508" s="140"/>
      <c r="G1508" s="140"/>
    </row>
    <row r="1509" spans="2:7" hidden="1">
      <c r="B1509" s="140" t="s">
        <v>4754</v>
      </c>
      <c r="C1509" s="140" t="s">
        <v>4755</v>
      </c>
      <c r="D1509" s="140" t="s">
        <v>4756</v>
      </c>
      <c r="E1509" s="142"/>
      <c r="F1509" s="142"/>
      <c r="G1509" s="140"/>
    </row>
    <row r="1510" spans="2:7" hidden="1">
      <c r="B1510" s="141" t="s">
        <v>4754</v>
      </c>
      <c r="C1510" s="140" t="s">
        <v>4757</v>
      </c>
      <c r="D1510" s="141" t="s">
        <v>4758</v>
      </c>
      <c r="E1510" s="140"/>
      <c r="F1510" s="140"/>
      <c r="G1510" s="140" t="s">
        <v>4759</v>
      </c>
    </row>
    <row r="1511" spans="2:7" hidden="1">
      <c r="B1511" s="141" t="s">
        <v>4760</v>
      </c>
      <c r="C1511" s="140" t="s">
        <v>4761</v>
      </c>
      <c r="D1511" s="141" t="s">
        <v>2168</v>
      </c>
      <c r="E1511" s="140" t="s">
        <v>4762</v>
      </c>
      <c r="F1511" s="140" t="s">
        <v>4763</v>
      </c>
      <c r="G1511" s="140"/>
    </row>
    <row r="1512" spans="2:7" hidden="1">
      <c r="B1512" s="141" t="s">
        <v>4764</v>
      </c>
      <c r="C1512" s="140" t="s">
        <v>4765</v>
      </c>
      <c r="D1512" s="141" t="s">
        <v>2210</v>
      </c>
      <c r="E1512" s="140"/>
      <c r="F1512" s="140"/>
      <c r="G1512" s="140"/>
    </row>
    <row r="1513" spans="2:7" hidden="1">
      <c r="B1513" s="140" t="s">
        <v>4766</v>
      </c>
      <c r="C1513" s="140" t="s">
        <v>4765</v>
      </c>
      <c r="D1513" s="140" t="s">
        <v>4767</v>
      </c>
      <c r="E1513" s="142"/>
      <c r="F1513" s="142"/>
      <c r="G1513" s="140" t="s">
        <v>4768</v>
      </c>
    </row>
    <row r="1514" spans="2:7" hidden="1">
      <c r="B1514" s="141" t="s">
        <v>4769</v>
      </c>
      <c r="C1514" s="140" t="s">
        <v>4770</v>
      </c>
      <c r="D1514" s="141" t="s">
        <v>2168</v>
      </c>
      <c r="E1514" s="140" t="s">
        <v>4771</v>
      </c>
      <c r="F1514" s="140" t="s">
        <v>4772</v>
      </c>
      <c r="G1514" s="140"/>
    </row>
    <row r="1515" spans="2:7" hidden="1">
      <c r="B1515" s="141" t="s">
        <v>4773</v>
      </c>
      <c r="C1515" s="140" t="s">
        <v>4774</v>
      </c>
      <c r="D1515" s="141" t="s">
        <v>4775</v>
      </c>
      <c r="E1515" s="140"/>
      <c r="F1515" s="140"/>
      <c r="G1515" s="140" t="s">
        <v>4776</v>
      </c>
    </row>
    <row r="1516" spans="2:7" hidden="1">
      <c r="B1516" s="141" t="s">
        <v>4777</v>
      </c>
      <c r="C1516" s="140"/>
      <c r="D1516" s="141" t="s">
        <v>4778</v>
      </c>
      <c r="E1516" s="140"/>
      <c r="F1516" s="140"/>
      <c r="G1516" s="140"/>
    </row>
    <row r="1517" spans="2:7" hidden="1">
      <c r="B1517" s="141" t="s">
        <v>4779</v>
      </c>
      <c r="C1517" s="140"/>
      <c r="D1517" s="141" t="s">
        <v>4780</v>
      </c>
      <c r="E1517" s="140"/>
      <c r="F1517" s="140"/>
      <c r="G1517" s="140"/>
    </row>
    <row r="1518" spans="2:7" hidden="1">
      <c r="B1518" s="141" t="s">
        <v>4781</v>
      </c>
      <c r="C1518" s="140"/>
      <c r="D1518" s="141" t="s">
        <v>4782</v>
      </c>
      <c r="E1518" s="140"/>
      <c r="F1518" s="140"/>
      <c r="G1518" s="140"/>
    </row>
    <row r="1519" spans="2:7" hidden="1">
      <c r="B1519" s="141" t="s">
        <v>4783</v>
      </c>
      <c r="C1519" s="140" t="s">
        <v>4784</v>
      </c>
      <c r="D1519" s="141" t="s">
        <v>4785</v>
      </c>
      <c r="E1519" s="140"/>
      <c r="F1519" s="140"/>
      <c r="G1519" s="140"/>
    </row>
    <row r="1520" spans="2:7" hidden="1">
      <c r="B1520" s="141" t="s">
        <v>4786</v>
      </c>
      <c r="C1520" s="140"/>
      <c r="D1520" s="141" t="s">
        <v>4787</v>
      </c>
      <c r="E1520" s="140"/>
      <c r="F1520" s="140"/>
      <c r="G1520" s="140"/>
    </row>
    <row r="1521" spans="2:7" hidden="1">
      <c r="B1521" s="141" t="s">
        <v>4788</v>
      </c>
      <c r="C1521" s="140"/>
      <c r="D1521" s="141" t="s">
        <v>4789</v>
      </c>
      <c r="E1521" s="140"/>
      <c r="F1521" s="140"/>
      <c r="G1521" s="140"/>
    </row>
    <row r="1522" spans="2:7" hidden="1">
      <c r="B1522" s="140" t="s">
        <v>4790</v>
      </c>
      <c r="C1522" s="140"/>
      <c r="D1522" s="140" t="s">
        <v>4791</v>
      </c>
      <c r="E1522" s="142"/>
      <c r="F1522" s="142"/>
      <c r="G1522" s="140"/>
    </row>
    <row r="1523" spans="2:7" hidden="1">
      <c r="B1523" s="141" t="s">
        <v>4792</v>
      </c>
      <c r="C1523" s="140"/>
      <c r="D1523" s="141" t="s">
        <v>1810</v>
      </c>
      <c r="E1523" s="140"/>
      <c r="F1523" s="140"/>
      <c r="G1523" s="140"/>
    </row>
    <row r="1524" spans="2:7" hidden="1">
      <c r="B1524" s="140" t="s">
        <v>4793</v>
      </c>
      <c r="C1524" s="140" t="s">
        <v>4794</v>
      </c>
      <c r="D1524" s="140" t="s">
        <v>4795</v>
      </c>
      <c r="E1524" s="142" t="s">
        <v>4796</v>
      </c>
      <c r="F1524" s="142" t="s">
        <v>4797</v>
      </c>
      <c r="G1524" s="140"/>
    </row>
    <row r="1525" spans="2:7" hidden="1">
      <c r="B1525" s="140" t="s">
        <v>4798</v>
      </c>
      <c r="C1525" s="140"/>
      <c r="D1525" s="140" t="s">
        <v>4799</v>
      </c>
      <c r="E1525" s="142"/>
      <c r="F1525" s="142"/>
      <c r="G1525" s="140"/>
    </row>
    <row r="1526" spans="2:7" hidden="1">
      <c r="B1526" s="141" t="s">
        <v>4800</v>
      </c>
      <c r="C1526" s="140"/>
      <c r="D1526" s="141" t="s">
        <v>4801</v>
      </c>
      <c r="E1526" s="140"/>
      <c r="F1526" s="140"/>
      <c r="G1526" s="140"/>
    </row>
    <row r="1527" spans="2:7" hidden="1">
      <c r="B1527" s="141" t="s">
        <v>21552</v>
      </c>
      <c r="C1527" s="140"/>
      <c r="D1527" s="141" t="s">
        <v>4802</v>
      </c>
      <c r="E1527" s="140"/>
      <c r="F1527" s="140"/>
      <c r="G1527" s="140"/>
    </row>
    <row r="1528" spans="2:7" hidden="1">
      <c r="B1528" s="140" t="s">
        <v>4803</v>
      </c>
      <c r="C1528" s="140"/>
      <c r="D1528" s="140" t="s">
        <v>4804</v>
      </c>
      <c r="E1528" s="142"/>
      <c r="F1528" s="142"/>
      <c r="G1528" s="140"/>
    </row>
    <row r="1529" spans="2:7" hidden="1">
      <c r="B1529" s="141" t="s">
        <v>4805</v>
      </c>
      <c r="C1529" s="140"/>
      <c r="D1529" s="141" t="s">
        <v>4806</v>
      </c>
      <c r="E1529" s="140"/>
      <c r="F1529" s="140"/>
      <c r="G1529" s="140"/>
    </row>
    <row r="1530" spans="2:7" hidden="1">
      <c r="B1530" s="141" t="s">
        <v>4807</v>
      </c>
      <c r="C1530" s="140" t="s">
        <v>4808</v>
      </c>
      <c r="D1530" s="141" t="s">
        <v>4809</v>
      </c>
      <c r="E1530" s="140"/>
      <c r="F1530" s="140"/>
      <c r="G1530" s="140"/>
    </row>
    <row r="1531" spans="2:7" hidden="1">
      <c r="B1531" s="141" t="s">
        <v>4810</v>
      </c>
      <c r="C1531" s="140"/>
      <c r="D1531" s="141" t="s">
        <v>4811</v>
      </c>
      <c r="E1531" s="140"/>
      <c r="F1531" s="140"/>
      <c r="G1531" s="140"/>
    </row>
    <row r="1532" spans="2:7" hidden="1">
      <c r="B1532" s="141" t="s">
        <v>4812</v>
      </c>
      <c r="C1532" s="140"/>
      <c r="D1532" s="141" t="s">
        <v>4813</v>
      </c>
      <c r="E1532" s="141"/>
      <c r="F1532" s="140"/>
      <c r="G1532" s="140"/>
    </row>
    <row r="1533" spans="2:7" hidden="1">
      <c r="B1533" s="140" t="s">
        <v>19248</v>
      </c>
      <c r="C1533" s="140" t="s">
        <v>19226</v>
      </c>
      <c r="D1533" s="141" t="s">
        <v>3762</v>
      </c>
      <c r="E1533" s="140" t="s">
        <v>19227</v>
      </c>
      <c r="F1533" s="140" t="s">
        <v>19228</v>
      </c>
      <c r="G1533" s="140" t="s">
        <v>19225</v>
      </c>
    </row>
    <row r="1534" spans="2:7" hidden="1">
      <c r="B1534" s="141" t="s">
        <v>4814</v>
      </c>
      <c r="C1534" s="140"/>
      <c r="D1534" s="141" t="s">
        <v>4815</v>
      </c>
      <c r="E1534" s="140"/>
      <c r="F1534" s="140"/>
      <c r="G1534" s="140"/>
    </row>
    <row r="1535" spans="2:7" hidden="1">
      <c r="B1535" s="140" t="s">
        <v>4816</v>
      </c>
      <c r="C1535" s="140"/>
      <c r="D1535" s="140" t="s">
        <v>4817</v>
      </c>
      <c r="E1535" s="142"/>
      <c r="F1535" s="142"/>
      <c r="G1535" s="140"/>
    </row>
    <row r="1536" spans="2:7" hidden="1">
      <c r="B1536" s="140" t="s">
        <v>4818</v>
      </c>
      <c r="C1536" s="140"/>
      <c r="D1536" s="140" t="s">
        <v>4819</v>
      </c>
      <c r="E1536" s="142"/>
      <c r="F1536" s="142"/>
      <c r="G1536" s="140"/>
    </row>
    <row r="1537" spans="2:7" hidden="1">
      <c r="B1537" s="141" t="s">
        <v>4820</v>
      </c>
      <c r="C1537" s="140"/>
      <c r="D1537" s="141" t="s">
        <v>4821</v>
      </c>
      <c r="E1537" s="140"/>
      <c r="F1537" s="140"/>
      <c r="G1537" s="140"/>
    </row>
    <row r="1538" spans="2:7" hidden="1">
      <c r="B1538" s="141" t="s">
        <v>4822</v>
      </c>
      <c r="C1538" s="140" t="s">
        <v>4823</v>
      </c>
      <c r="D1538" s="141" t="s">
        <v>4824</v>
      </c>
      <c r="E1538" s="140"/>
      <c r="F1538" s="140"/>
      <c r="G1538" s="140" t="s">
        <v>4825</v>
      </c>
    </row>
    <row r="1539" spans="2:7" hidden="1">
      <c r="B1539" s="141" t="s">
        <v>4826</v>
      </c>
      <c r="C1539" s="140" t="s">
        <v>4827</v>
      </c>
      <c r="D1539" s="141" t="s">
        <v>4828</v>
      </c>
      <c r="E1539" s="140" t="s">
        <v>4829</v>
      </c>
      <c r="F1539" s="140" t="s">
        <v>4830</v>
      </c>
      <c r="G1539" s="140"/>
    </row>
    <row r="1540" spans="2:7" hidden="1">
      <c r="B1540" s="141" t="s">
        <v>21553</v>
      </c>
      <c r="C1540" s="140" t="s">
        <v>4831</v>
      </c>
      <c r="D1540" s="141" t="s">
        <v>4832</v>
      </c>
      <c r="E1540" s="140"/>
      <c r="F1540" s="140"/>
      <c r="G1540" s="140" t="s">
        <v>22120</v>
      </c>
    </row>
    <row r="1541" spans="2:7" hidden="1">
      <c r="B1541" s="141" t="s">
        <v>4833</v>
      </c>
      <c r="C1541" s="140"/>
      <c r="D1541" s="141" t="s">
        <v>4834</v>
      </c>
      <c r="E1541" s="140"/>
      <c r="F1541" s="140"/>
      <c r="G1541" s="140"/>
    </row>
    <row r="1542" spans="2:7" hidden="1">
      <c r="B1542" s="140" t="s">
        <v>20255</v>
      </c>
      <c r="C1542" s="140" t="s">
        <v>20223</v>
      </c>
      <c r="D1542" s="140" t="s">
        <v>20224</v>
      </c>
      <c r="E1542" s="142" t="s">
        <v>20225</v>
      </c>
      <c r="F1542" s="142"/>
      <c r="G1542" s="140"/>
    </row>
    <row r="1543" spans="2:7" hidden="1">
      <c r="B1543" s="140" t="s">
        <v>20256</v>
      </c>
      <c r="C1543" s="140" t="s">
        <v>20226</v>
      </c>
      <c r="D1543" s="140" t="s">
        <v>20227</v>
      </c>
      <c r="E1543" s="142" t="s">
        <v>20228</v>
      </c>
      <c r="F1543" s="142"/>
      <c r="G1543" s="140"/>
    </row>
    <row r="1544" spans="2:7" hidden="1">
      <c r="B1544" s="140" t="s">
        <v>20257</v>
      </c>
      <c r="C1544" s="140" t="s">
        <v>20229</v>
      </c>
      <c r="D1544" s="140" t="s">
        <v>20230</v>
      </c>
      <c r="E1544" s="142" t="s">
        <v>20231</v>
      </c>
      <c r="F1544" s="142"/>
      <c r="G1544" s="140"/>
    </row>
    <row r="1545" spans="2:7" hidden="1">
      <c r="B1545" s="140" t="s">
        <v>20258</v>
      </c>
      <c r="C1545" s="140" t="s">
        <v>20232</v>
      </c>
      <c r="D1545" s="140" t="s">
        <v>4863</v>
      </c>
      <c r="E1545" s="142" t="s">
        <v>20233</v>
      </c>
      <c r="F1545" s="142"/>
      <c r="G1545" s="140"/>
    </row>
    <row r="1546" spans="2:7" hidden="1">
      <c r="B1546" s="140" t="s">
        <v>21017</v>
      </c>
      <c r="C1546" s="140" t="s">
        <v>21019</v>
      </c>
      <c r="D1546" s="140" t="s">
        <v>21018</v>
      </c>
      <c r="E1546" s="142" t="s">
        <v>21020</v>
      </c>
      <c r="F1546" s="142"/>
      <c r="G1546" s="140"/>
    </row>
    <row r="1547" spans="2:7" hidden="1">
      <c r="B1547" s="140" t="s">
        <v>20477</v>
      </c>
      <c r="C1547" s="140" t="s">
        <v>20476</v>
      </c>
      <c r="D1547" s="140" t="s">
        <v>20475</v>
      </c>
      <c r="E1547" s="142" t="s">
        <v>20478</v>
      </c>
      <c r="F1547" s="142"/>
      <c r="G1547" s="140"/>
    </row>
    <row r="1548" spans="2:7" hidden="1">
      <c r="B1548" s="140" t="s">
        <v>20259</v>
      </c>
      <c r="C1548" s="140" t="s">
        <v>20234</v>
      </c>
      <c r="D1548" s="140" t="s">
        <v>20235</v>
      </c>
      <c r="E1548" s="142" t="s">
        <v>20236</v>
      </c>
      <c r="F1548" s="142"/>
      <c r="G1548" s="140"/>
    </row>
    <row r="1549" spans="2:7" hidden="1">
      <c r="B1549" s="140" t="s">
        <v>20260</v>
      </c>
      <c r="C1549" s="140" t="s">
        <v>20237</v>
      </c>
      <c r="D1549" s="140" t="s">
        <v>20238</v>
      </c>
      <c r="E1549" s="142" t="s">
        <v>20239</v>
      </c>
      <c r="F1549" s="142"/>
      <c r="G1549" s="140"/>
    </row>
    <row r="1550" spans="2:7" hidden="1">
      <c r="B1550" s="140" t="s">
        <v>20261</v>
      </c>
      <c r="C1550" s="140" t="s">
        <v>20240</v>
      </c>
      <c r="D1550" s="140" t="s">
        <v>20241</v>
      </c>
      <c r="E1550" s="142" t="s">
        <v>20242</v>
      </c>
      <c r="F1550" s="142"/>
      <c r="G1550" s="140"/>
    </row>
    <row r="1551" spans="2:7" hidden="1">
      <c r="B1551" s="140" t="s">
        <v>20262</v>
      </c>
      <c r="C1551" s="140" t="s">
        <v>20243</v>
      </c>
      <c r="D1551" s="140" t="s">
        <v>20244</v>
      </c>
      <c r="E1551" s="142" t="s">
        <v>20245</v>
      </c>
      <c r="F1551" s="142"/>
      <c r="G1551" s="140"/>
    </row>
    <row r="1552" spans="2:7" hidden="1">
      <c r="B1552" s="140" t="s">
        <v>20263</v>
      </c>
      <c r="C1552" s="140" t="s">
        <v>20246</v>
      </c>
      <c r="D1552" s="140" t="s">
        <v>20247</v>
      </c>
      <c r="E1552" s="142" t="s">
        <v>20248</v>
      </c>
      <c r="F1552" s="142"/>
      <c r="G1552" s="140"/>
    </row>
    <row r="1553" spans="2:7" hidden="1">
      <c r="B1553" s="140" t="s">
        <v>20264</v>
      </c>
      <c r="C1553" s="140" t="s">
        <v>20249</v>
      </c>
      <c r="D1553" s="140" t="s">
        <v>20250</v>
      </c>
      <c r="E1553" s="142" t="s">
        <v>20251</v>
      </c>
      <c r="F1553" s="142"/>
      <c r="G1553" s="140"/>
    </row>
    <row r="1554" spans="2:7" hidden="1">
      <c r="B1554" s="140" t="s">
        <v>20265</v>
      </c>
      <c r="C1554" s="140" t="s">
        <v>20252</v>
      </c>
      <c r="D1554" s="140" t="s">
        <v>20253</v>
      </c>
      <c r="E1554" s="142" t="s">
        <v>20254</v>
      </c>
      <c r="F1554" s="142"/>
      <c r="G1554" s="140"/>
    </row>
    <row r="1555" spans="2:7" hidden="1">
      <c r="B1555" s="140" t="s">
        <v>4835</v>
      </c>
      <c r="C1555" s="140" t="s">
        <v>4836</v>
      </c>
      <c r="D1555" s="140" t="s">
        <v>4837</v>
      </c>
      <c r="E1555" s="142"/>
      <c r="F1555" s="142"/>
      <c r="G1555" s="140"/>
    </row>
    <row r="1556" spans="2:7" hidden="1">
      <c r="B1556" s="140" t="s">
        <v>21010</v>
      </c>
      <c r="C1556" s="140" t="s">
        <v>21011</v>
      </c>
      <c r="D1556" s="140" t="s">
        <v>21012</v>
      </c>
      <c r="E1556" s="142" t="s">
        <v>20970</v>
      </c>
      <c r="F1556" s="142"/>
      <c r="G1556" s="140"/>
    </row>
    <row r="1557" spans="2:7" hidden="1">
      <c r="B1557" s="141" t="s">
        <v>21554</v>
      </c>
      <c r="C1557" s="140" t="s">
        <v>4838</v>
      </c>
      <c r="D1557" s="141" t="s">
        <v>4839</v>
      </c>
      <c r="E1557" s="140" t="s">
        <v>4840</v>
      </c>
      <c r="F1557" s="140" t="s">
        <v>4841</v>
      </c>
      <c r="G1557" s="140"/>
    </row>
    <row r="1558" spans="2:7" hidden="1">
      <c r="B1558" s="141" t="s">
        <v>4842</v>
      </c>
      <c r="C1558" s="140"/>
      <c r="D1558" s="141" t="s">
        <v>4843</v>
      </c>
      <c r="E1558" s="140"/>
      <c r="F1558" s="140"/>
      <c r="G1558" s="140"/>
    </row>
    <row r="1559" spans="2:7" hidden="1">
      <c r="B1559" s="141" t="s">
        <v>4844</v>
      </c>
      <c r="C1559" s="140"/>
      <c r="D1559" s="141" t="s">
        <v>4845</v>
      </c>
      <c r="E1559" s="140"/>
      <c r="F1559" s="140"/>
      <c r="G1559" s="140"/>
    </row>
    <row r="1560" spans="2:7" hidden="1">
      <c r="B1560" s="141" t="s">
        <v>4846</v>
      </c>
      <c r="C1560" s="140"/>
      <c r="D1560" s="141" t="s">
        <v>2650</v>
      </c>
      <c r="E1560" s="140"/>
      <c r="F1560" s="140"/>
      <c r="G1560" s="140"/>
    </row>
    <row r="1561" spans="2:7" hidden="1">
      <c r="B1561" s="141" t="s">
        <v>4847</v>
      </c>
      <c r="C1561" s="140"/>
      <c r="D1561" s="141" t="s">
        <v>4848</v>
      </c>
      <c r="E1561" s="140"/>
      <c r="F1561" s="140"/>
      <c r="G1561" s="140"/>
    </row>
    <row r="1562" spans="2:7" hidden="1">
      <c r="B1562" s="141" t="s">
        <v>4849</v>
      </c>
      <c r="C1562" s="140"/>
      <c r="D1562" s="141"/>
      <c r="E1562" s="140" t="s">
        <v>4850</v>
      </c>
      <c r="F1562" s="140" t="s">
        <v>4851</v>
      </c>
      <c r="G1562" s="140"/>
    </row>
    <row r="1563" spans="2:7" hidden="1">
      <c r="B1563" s="140" t="s">
        <v>20534</v>
      </c>
      <c r="C1563" s="140" t="s">
        <v>20535</v>
      </c>
      <c r="D1563" s="140" t="s">
        <v>20536</v>
      </c>
      <c r="E1563" s="142" t="s">
        <v>20537</v>
      </c>
      <c r="F1563" s="142"/>
      <c r="G1563" s="140"/>
    </row>
    <row r="1564" spans="2:7" hidden="1">
      <c r="B1564" s="140" t="s">
        <v>4852</v>
      </c>
      <c r="C1564" s="140" t="s">
        <v>4853</v>
      </c>
      <c r="D1564" s="140" t="s">
        <v>4854</v>
      </c>
      <c r="E1564" s="142" t="s">
        <v>4855</v>
      </c>
      <c r="F1564" s="142" t="s">
        <v>4856</v>
      </c>
      <c r="G1564" s="140"/>
    </row>
    <row r="1565" spans="2:7" hidden="1">
      <c r="B1565" s="141" t="s">
        <v>4857</v>
      </c>
      <c r="C1565" s="140"/>
      <c r="D1565" s="141" t="s">
        <v>4858</v>
      </c>
      <c r="E1565" s="140"/>
      <c r="F1565" s="140"/>
      <c r="G1565" s="140"/>
    </row>
    <row r="1566" spans="2:7" hidden="1">
      <c r="B1566" s="141" t="s">
        <v>4859</v>
      </c>
      <c r="C1566" s="140"/>
      <c r="D1566" s="141" t="s">
        <v>4860</v>
      </c>
      <c r="E1566" s="140"/>
      <c r="F1566" s="140"/>
      <c r="G1566" s="140"/>
    </row>
    <row r="1567" spans="2:7" hidden="1">
      <c r="B1567" s="141" t="s">
        <v>4861</v>
      </c>
      <c r="C1567" s="140" t="s">
        <v>4862</v>
      </c>
      <c r="D1567" s="141" t="s">
        <v>4863</v>
      </c>
      <c r="E1567" s="140" t="s">
        <v>4864</v>
      </c>
      <c r="F1567" s="140"/>
      <c r="G1567" s="140" t="s">
        <v>4865</v>
      </c>
    </row>
    <row r="1568" spans="2:7" hidden="1">
      <c r="B1568" s="141" t="s">
        <v>4866</v>
      </c>
      <c r="C1568" s="140"/>
      <c r="D1568" s="141" t="s">
        <v>4867</v>
      </c>
      <c r="E1568" s="140"/>
      <c r="F1568" s="140"/>
      <c r="G1568" s="140"/>
    </row>
    <row r="1569" spans="2:7" hidden="1">
      <c r="B1569" s="141" t="s">
        <v>4868</v>
      </c>
      <c r="C1569" s="140"/>
      <c r="D1569" s="141" t="s">
        <v>3201</v>
      </c>
      <c r="E1569" s="140"/>
      <c r="F1569" s="140"/>
      <c r="G1569" s="140"/>
    </row>
    <row r="1570" spans="2:7" hidden="1">
      <c r="B1570" s="140" t="s">
        <v>4877</v>
      </c>
      <c r="C1570" s="140"/>
      <c r="D1570" s="140" t="s">
        <v>4878</v>
      </c>
      <c r="E1570" s="140"/>
      <c r="F1570" s="142"/>
      <c r="G1570" s="140"/>
    </row>
    <row r="1571" spans="2:7" hidden="1">
      <c r="B1571" s="140" t="s">
        <v>4879</v>
      </c>
      <c r="C1571" s="140"/>
      <c r="D1571" s="140" t="s">
        <v>4880</v>
      </c>
      <c r="E1571" s="142"/>
      <c r="F1571" s="142"/>
      <c r="G1571" s="140"/>
    </row>
    <row r="1572" spans="2:7" hidden="1">
      <c r="B1572" s="140" t="s">
        <v>4881</v>
      </c>
      <c r="C1572" s="140" t="s">
        <v>4882</v>
      </c>
      <c r="D1572" s="140" t="s">
        <v>4883</v>
      </c>
      <c r="E1572" s="142" t="s">
        <v>4884</v>
      </c>
      <c r="F1572" s="142"/>
      <c r="G1572" s="140"/>
    </row>
    <row r="1573" spans="2:7" hidden="1">
      <c r="B1573" s="141" t="s">
        <v>4885</v>
      </c>
      <c r="C1573" s="140" t="s">
        <v>4886</v>
      </c>
      <c r="D1573" s="141" t="s">
        <v>4887</v>
      </c>
      <c r="E1573" s="140" t="s">
        <v>4888</v>
      </c>
      <c r="F1573" s="140" t="s">
        <v>4889</v>
      </c>
      <c r="G1573" s="140"/>
    </row>
    <row r="1574" spans="2:7" hidden="1">
      <c r="B1574" s="141" t="s">
        <v>4890</v>
      </c>
      <c r="C1574" s="140"/>
      <c r="D1574" s="141" t="s">
        <v>4891</v>
      </c>
      <c r="E1574" s="140"/>
      <c r="F1574" s="140"/>
      <c r="G1574" s="140"/>
    </row>
    <row r="1575" spans="2:7" hidden="1">
      <c r="B1575" s="141" t="s">
        <v>21555</v>
      </c>
      <c r="C1575" s="140"/>
      <c r="D1575" s="141" t="s">
        <v>2168</v>
      </c>
      <c r="E1575" s="140" t="s">
        <v>4869</v>
      </c>
      <c r="F1575" s="140"/>
      <c r="G1575" s="140"/>
    </row>
    <row r="1576" spans="2:7" hidden="1">
      <c r="B1576" s="141" t="s">
        <v>21556</v>
      </c>
      <c r="C1576" s="140" t="s">
        <v>4870</v>
      </c>
      <c r="D1576" s="141" t="s">
        <v>1334</v>
      </c>
      <c r="E1576" s="140" t="s">
        <v>4871</v>
      </c>
      <c r="F1576" s="140" t="s">
        <v>4872</v>
      </c>
      <c r="G1576" s="140"/>
    </row>
    <row r="1577" spans="2:7" hidden="1">
      <c r="B1577" s="140" t="s">
        <v>21557</v>
      </c>
      <c r="C1577" s="140" t="s">
        <v>4873</v>
      </c>
      <c r="D1577" s="140" t="s">
        <v>4874</v>
      </c>
      <c r="E1577" s="140" t="s">
        <v>4869</v>
      </c>
      <c r="F1577" s="140" t="s">
        <v>4872</v>
      </c>
      <c r="G1577" s="140"/>
    </row>
    <row r="1578" spans="2:7" hidden="1">
      <c r="B1578" s="141" t="s">
        <v>21558</v>
      </c>
      <c r="C1578" s="140"/>
      <c r="D1578" s="141" t="s">
        <v>4462</v>
      </c>
      <c r="E1578" s="140"/>
      <c r="F1578" s="140"/>
      <c r="G1578" s="140"/>
    </row>
    <row r="1579" spans="2:7" hidden="1">
      <c r="B1579" s="141" t="s">
        <v>21559</v>
      </c>
      <c r="C1579" s="140" t="s">
        <v>4875</v>
      </c>
      <c r="D1579" s="141" t="s">
        <v>4876</v>
      </c>
      <c r="E1579" s="140"/>
      <c r="F1579" s="140"/>
      <c r="G1579" s="140"/>
    </row>
    <row r="1580" spans="2:7" hidden="1">
      <c r="B1580" s="140" t="s">
        <v>4892</v>
      </c>
      <c r="C1580" s="141" t="s">
        <v>4893</v>
      </c>
      <c r="D1580" s="141" t="s">
        <v>2139</v>
      </c>
      <c r="E1580" s="141" t="s">
        <v>4894</v>
      </c>
      <c r="F1580" s="141" t="s">
        <v>4895</v>
      </c>
      <c r="G1580" s="140" t="s">
        <v>4896</v>
      </c>
    </row>
    <row r="1581" spans="2:7" hidden="1">
      <c r="B1581" s="141" t="s">
        <v>4897</v>
      </c>
      <c r="C1581" s="140" t="s">
        <v>4898</v>
      </c>
      <c r="D1581" s="141" t="s">
        <v>4899</v>
      </c>
      <c r="E1581" s="140" t="s">
        <v>4900</v>
      </c>
      <c r="F1581" s="140" t="s">
        <v>4901</v>
      </c>
      <c r="G1581" s="140"/>
    </row>
    <row r="1582" spans="2:7" hidden="1">
      <c r="B1582" s="140" t="s">
        <v>4902</v>
      </c>
      <c r="C1582" s="140" t="s">
        <v>4903</v>
      </c>
      <c r="D1582" s="140" t="s">
        <v>4904</v>
      </c>
      <c r="E1582" s="142" t="s">
        <v>4905</v>
      </c>
      <c r="F1582" s="142" t="s">
        <v>4906</v>
      </c>
      <c r="G1582" s="140"/>
    </row>
    <row r="1583" spans="2:7" hidden="1">
      <c r="B1583" s="140" t="s">
        <v>4907</v>
      </c>
      <c r="C1583" s="140" t="s">
        <v>4908</v>
      </c>
      <c r="D1583" s="140" t="s">
        <v>4909</v>
      </c>
      <c r="E1583" s="142" t="s">
        <v>4910</v>
      </c>
      <c r="F1583" s="142" t="s">
        <v>4911</v>
      </c>
      <c r="G1583" s="140"/>
    </row>
    <row r="1584" spans="2:7" hidden="1">
      <c r="B1584" s="140" t="s">
        <v>4912</v>
      </c>
      <c r="C1584" s="140" t="s">
        <v>4913</v>
      </c>
      <c r="D1584" s="140" t="s">
        <v>4914</v>
      </c>
      <c r="E1584" s="142" t="s">
        <v>4915</v>
      </c>
      <c r="F1584" s="142" t="s">
        <v>4916</v>
      </c>
      <c r="G1584" s="140"/>
    </row>
    <row r="1585" spans="2:7" hidden="1">
      <c r="B1585" s="141" t="s">
        <v>4917</v>
      </c>
      <c r="C1585" s="140" t="s">
        <v>4918</v>
      </c>
      <c r="D1585" s="141" t="s">
        <v>4919</v>
      </c>
      <c r="E1585" s="140" t="s">
        <v>4920</v>
      </c>
      <c r="F1585" s="140" t="s">
        <v>4921</v>
      </c>
      <c r="G1585" s="140"/>
    </row>
    <row r="1586" spans="2:7" hidden="1">
      <c r="B1586" s="141" t="s">
        <v>4922</v>
      </c>
      <c r="C1586" s="140" t="s">
        <v>4923</v>
      </c>
      <c r="D1586" s="141" t="s">
        <v>4924</v>
      </c>
      <c r="E1586" s="140" t="s">
        <v>4925</v>
      </c>
      <c r="F1586" s="140" t="s">
        <v>4926</v>
      </c>
      <c r="G1586" s="140"/>
    </row>
    <row r="1587" spans="2:7" hidden="1">
      <c r="B1587" s="141" t="s">
        <v>4927</v>
      </c>
      <c r="C1587" s="140" t="s">
        <v>4928</v>
      </c>
      <c r="D1587" s="141" t="s">
        <v>4929</v>
      </c>
      <c r="E1587" s="140" t="s">
        <v>4930</v>
      </c>
      <c r="F1587" s="140" t="s">
        <v>4931</v>
      </c>
      <c r="G1587" s="140"/>
    </row>
    <row r="1588" spans="2:7" hidden="1">
      <c r="B1588" s="141" t="s">
        <v>4932</v>
      </c>
      <c r="C1588" s="140"/>
      <c r="D1588" s="141" t="s">
        <v>4933</v>
      </c>
      <c r="E1588" s="141"/>
      <c r="F1588" s="140"/>
      <c r="G1588" s="140"/>
    </row>
    <row r="1589" spans="2:7" hidden="1">
      <c r="B1589" s="141" t="s">
        <v>4934</v>
      </c>
      <c r="C1589" s="140"/>
      <c r="D1589" s="141" t="s">
        <v>4935</v>
      </c>
      <c r="E1589" s="140"/>
      <c r="F1589" s="140"/>
      <c r="G1589" s="140"/>
    </row>
    <row r="1590" spans="2:7" hidden="1">
      <c r="B1590" s="141" t="s">
        <v>4936</v>
      </c>
      <c r="C1590" s="140" t="s">
        <v>4937</v>
      </c>
      <c r="D1590" s="141" t="s">
        <v>4938</v>
      </c>
      <c r="E1590" s="140" t="s">
        <v>4939</v>
      </c>
      <c r="F1590" s="140" t="s">
        <v>4940</v>
      </c>
      <c r="G1590" s="140"/>
    </row>
    <row r="1591" spans="2:7" hidden="1">
      <c r="B1591" s="141" t="s">
        <v>4941</v>
      </c>
      <c r="C1591" s="140"/>
      <c r="D1591" s="141" t="s">
        <v>4942</v>
      </c>
      <c r="E1591" s="140"/>
      <c r="F1591" s="140"/>
      <c r="G1591" s="140"/>
    </row>
    <row r="1592" spans="2:7" hidden="1">
      <c r="B1592" s="140" t="s">
        <v>20967</v>
      </c>
      <c r="C1592" s="140" t="s">
        <v>20968</v>
      </c>
      <c r="D1592" s="140" t="s">
        <v>20969</v>
      </c>
      <c r="E1592" s="142" t="s">
        <v>20970</v>
      </c>
      <c r="F1592" s="142"/>
      <c r="G1592" s="140" t="s">
        <v>20971</v>
      </c>
    </row>
    <row r="1593" spans="2:7" hidden="1">
      <c r="B1593" s="141" t="s">
        <v>4943</v>
      </c>
      <c r="C1593" s="140"/>
      <c r="D1593" s="141" t="s">
        <v>4944</v>
      </c>
      <c r="E1593" s="140"/>
      <c r="F1593" s="140"/>
      <c r="G1593" s="140"/>
    </row>
    <row r="1594" spans="2:7" hidden="1">
      <c r="B1594" s="141" t="s">
        <v>4945</v>
      </c>
      <c r="C1594" s="140"/>
      <c r="D1594" s="141" t="s">
        <v>4946</v>
      </c>
      <c r="E1594" s="140"/>
      <c r="F1594" s="140"/>
      <c r="G1594" s="140"/>
    </row>
    <row r="1595" spans="2:7" hidden="1">
      <c r="B1595" s="141" t="s">
        <v>4947</v>
      </c>
      <c r="C1595" s="140" t="s">
        <v>4948</v>
      </c>
      <c r="D1595" s="141" t="s">
        <v>1563</v>
      </c>
      <c r="E1595" s="140" t="s">
        <v>4949</v>
      </c>
      <c r="F1595" s="140" t="s">
        <v>4950</v>
      </c>
      <c r="G1595" s="140"/>
    </row>
    <row r="1596" spans="2:7" hidden="1">
      <c r="B1596" s="140" t="s">
        <v>21560</v>
      </c>
      <c r="C1596" s="140" t="s">
        <v>4951</v>
      </c>
      <c r="D1596" s="140" t="s">
        <v>4952</v>
      </c>
      <c r="E1596" s="142" t="s">
        <v>4953</v>
      </c>
      <c r="F1596" s="142"/>
      <c r="G1596" s="140"/>
    </row>
    <row r="1597" spans="2:7" hidden="1">
      <c r="B1597" s="141" t="s">
        <v>21561</v>
      </c>
      <c r="C1597" s="140" t="s">
        <v>4954</v>
      </c>
      <c r="D1597" s="141" t="s">
        <v>4955</v>
      </c>
      <c r="E1597" s="140" t="s">
        <v>4956</v>
      </c>
      <c r="F1597" s="140"/>
      <c r="G1597" s="140"/>
    </row>
    <row r="1598" spans="2:7" hidden="1">
      <c r="B1598" s="141" t="s">
        <v>4957</v>
      </c>
      <c r="C1598" s="140" t="s">
        <v>4958</v>
      </c>
      <c r="D1598" s="141" t="s">
        <v>4959</v>
      </c>
      <c r="E1598" s="140"/>
      <c r="F1598" s="140"/>
      <c r="G1598" s="140"/>
    </row>
    <row r="1599" spans="2:7" hidden="1">
      <c r="B1599" s="141" t="s">
        <v>4960</v>
      </c>
      <c r="C1599" s="140"/>
      <c r="D1599" s="141" t="s">
        <v>4961</v>
      </c>
      <c r="E1599" s="140"/>
      <c r="F1599" s="140"/>
      <c r="G1599" s="140"/>
    </row>
    <row r="1600" spans="2:7" hidden="1">
      <c r="B1600" s="141" t="s">
        <v>4962</v>
      </c>
      <c r="C1600" s="140"/>
      <c r="D1600" s="141" t="s">
        <v>4963</v>
      </c>
      <c r="E1600" s="140"/>
      <c r="F1600" s="140"/>
      <c r="G1600" s="140"/>
    </row>
    <row r="1601" spans="2:7" hidden="1">
      <c r="B1601" s="141" t="s">
        <v>4964</v>
      </c>
      <c r="C1601" s="140"/>
      <c r="D1601" s="141" t="s">
        <v>4961</v>
      </c>
      <c r="E1601" s="140"/>
      <c r="F1601" s="140"/>
      <c r="G1601" s="140"/>
    </row>
    <row r="1602" spans="2:7" hidden="1">
      <c r="B1602" s="140" t="s">
        <v>4965</v>
      </c>
      <c r="C1602" s="140"/>
      <c r="D1602" s="140" t="s">
        <v>4966</v>
      </c>
      <c r="E1602" s="142"/>
      <c r="F1602" s="142"/>
      <c r="G1602" s="140"/>
    </row>
    <row r="1603" spans="2:7" hidden="1">
      <c r="B1603" s="141" t="s">
        <v>4967</v>
      </c>
      <c r="C1603" s="140"/>
      <c r="D1603" s="141" t="s">
        <v>4968</v>
      </c>
      <c r="E1603" s="140"/>
      <c r="F1603" s="140"/>
      <c r="G1603" s="140"/>
    </row>
    <row r="1604" spans="2:7" hidden="1">
      <c r="B1604" s="140" t="s">
        <v>21562</v>
      </c>
      <c r="C1604" s="140" t="s">
        <v>4969</v>
      </c>
      <c r="D1604" s="140" t="s">
        <v>4970</v>
      </c>
      <c r="E1604" s="142" t="s">
        <v>4971</v>
      </c>
      <c r="F1604" s="142"/>
      <c r="G1604" s="140"/>
    </row>
    <row r="1605" spans="2:7" hidden="1">
      <c r="B1605" s="141" t="s">
        <v>21563</v>
      </c>
      <c r="C1605" s="140" t="s">
        <v>4972</v>
      </c>
      <c r="D1605" s="141" t="s">
        <v>4973</v>
      </c>
      <c r="E1605" s="140" t="s">
        <v>4974</v>
      </c>
      <c r="F1605" s="140" t="s">
        <v>4975</v>
      </c>
      <c r="G1605" s="140"/>
    </row>
    <row r="1606" spans="2:7" hidden="1">
      <c r="B1606" s="140" t="s">
        <v>21564</v>
      </c>
      <c r="C1606" s="140" t="s">
        <v>4976</v>
      </c>
      <c r="D1606" s="140" t="s">
        <v>4977</v>
      </c>
      <c r="E1606" s="140"/>
      <c r="F1606" s="140"/>
      <c r="G1606" s="140"/>
    </row>
    <row r="1607" spans="2:7" hidden="1">
      <c r="B1607" s="141" t="s">
        <v>4978</v>
      </c>
      <c r="C1607" s="141"/>
      <c r="D1607" s="141" t="s">
        <v>4979</v>
      </c>
      <c r="E1607" s="141"/>
      <c r="F1607" s="140"/>
      <c r="G1607" s="140"/>
    </row>
    <row r="1608" spans="2:7" hidden="1">
      <c r="B1608" s="140" t="s">
        <v>4980</v>
      </c>
      <c r="C1608" s="140"/>
      <c r="D1608" s="140" t="s">
        <v>3867</v>
      </c>
      <c r="E1608" s="142"/>
      <c r="F1608" s="142"/>
      <c r="G1608" s="140"/>
    </row>
    <row r="1609" spans="2:7" hidden="1">
      <c r="B1609" s="140" t="s">
        <v>4981</v>
      </c>
      <c r="C1609" s="140"/>
      <c r="D1609" s="140" t="s">
        <v>4982</v>
      </c>
      <c r="E1609" s="142"/>
      <c r="F1609" s="142"/>
      <c r="G1609" s="140"/>
    </row>
    <row r="1610" spans="2:7" hidden="1">
      <c r="B1610" s="141" t="s">
        <v>4983</v>
      </c>
      <c r="C1610" s="140"/>
      <c r="D1610" s="141"/>
      <c r="E1610" s="140"/>
      <c r="F1610" s="140" t="s">
        <v>4984</v>
      </c>
      <c r="G1610" s="140"/>
    </row>
    <row r="1611" spans="2:7" hidden="1">
      <c r="B1611" s="141" t="s">
        <v>4985</v>
      </c>
      <c r="C1611" s="140" t="s">
        <v>4986</v>
      </c>
      <c r="D1611" s="141" t="s">
        <v>4987</v>
      </c>
      <c r="E1611" s="140" t="s">
        <v>4988</v>
      </c>
      <c r="F1611" s="140" t="s">
        <v>4989</v>
      </c>
      <c r="G1611" s="140"/>
    </row>
    <row r="1612" spans="2:7" hidden="1">
      <c r="B1612" s="141" t="s">
        <v>4990</v>
      </c>
      <c r="C1612" s="140"/>
      <c r="D1612" s="141" t="s">
        <v>4991</v>
      </c>
      <c r="E1612" s="140"/>
      <c r="F1612" s="140"/>
      <c r="G1612" s="140"/>
    </row>
    <row r="1613" spans="2:7" hidden="1">
      <c r="B1613" s="141" t="s">
        <v>4992</v>
      </c>
      <c r="C1613" s="141" t="s">
        <v>4993</v>
      </c>
      <c r="D1613" s="141" t="s">
        <v>2844</v>
      </c>
      <c r="E1613" s="141" t="s">
        <v>4994</v>
      </c>
      <c r="F1613" s="140" t="s">
        <v>4995</v>
      </c>
      <c r="G1613" s="140"/>
    </row>
    <row r="1614" spans="2:7" hidden="1">
      <c r="B1614" s="140" t="s">
        <v>4996</v>
      </c>
      <c r="C1614" s="140"/>
      <c r="D1614" s="140" t="s">
        <v>4997</v>
      </c>
      <c r="E1614" s="140"/>
      <c r="F1614" s="140"/>
      <c r="G1614" s="140"/>
    </row>
    <row r="1615" spans="2:7" hidden="1">
      <c r="B1615" s="141" t="s">
        <v>4998</v>
      </c>
      <c r="C1615" s="140"/>
      <c r="D1615" s="141" t="s">
        <v>4999</v>
      </c>
      <c r="E1615" s="140"/>
      <c r="F1615" s="140"/>
      <c r="G1615" s="140"/>
    </row>
    <row r="1616" spans="2:7" hidden="1">
      <c r="B1616" s="141" t="s">
        <v>20118</v>
      </c>
      <c r="C1616" s="140" t="s">
        <v>20119</v>
      </c>
      <c r="D1616" s="141" t="s">
        <v>20120</v>
      </c>
      <c r="E1616" s="140"/>
      <c r="F1616" s="140"/>
      <c r="G1616" s="140"/>
    </row>
    <row r="1617" spans="2:7" hidden="1">
      <c r="B1617" s="140" t="s">
        <v>21565</v>
      </c>
      <c r="C1617" s="140" t="s">
        <v>4976</v>
      </c>
      <c r="D1617" s="140" t="s">
        <v>4977</v>
      </c>
      <c r="E1617" s="142" t="s">
        <v>5000</v>
      </c>
      <c r="F1617" s="142"/>
      <c r="G1617" s="140"/>
    </row>
    <row r="1618" spans="2:7" hidden="1">
      <c r="B1618" s="141" t="s">
        <v>5001</v>
      </c>
      <c r="C1618" s="140"/>
      <c r="D1618" s="141" t="s">
        <v>5002</v>
      </c>
      <c r="E1618" s="140"/>
      <c r="F1618" s="140"/>
      <c r="G1618" s="140"/>
    </row>
    <row r="1619" spans="2:7" hidden="1">
      <c r="B1619" s="141" t="s">
        <v>5003</v>
      </c>
      <c r="C1619" s="140"/>
      <c r="D1619" s="141" t="s">
        <v>4598</v>
      </c>
      <c r="E1619" s="140"/>
      <c r="F1619" s="140"/>
      <c r="G1619" s="140"/>
    </row>
    <row r="1620" spans="2:7" hidden="1">
      <c r="B1620" s="140" t="s">
        <v>5004</v>
      </c>
      <c r="C1620" s="140"/>
      <c r="D1620" s="140" t="s">
        <v>2031</v>
      </c>
      <c r="E1620" s="142"/>
      <c r="F1620" s="142"/>
      <c r="G1620" s="140"/>
    </row>
    <row r="1621" spans="2:7" hidden="1">
      <c r="B1621" s="141" t="s">
        <v>5005</v>
      </c>
      <c r="C1621" s="140"/>
      <c r="D1621" s="141" t="s">
        <v>5006</v>
      </c>
      <c r="E1621" s="140"/>
      <c r="F1621" s="140"/>
      <c r="G1621" s="140"/>
    </row>
    <row r="1622" spans="2:7" hidden="1">
      <c r="B1622" s="141" t="s">
        <v>5007</v>
      </c>
      <c r="C1622" s="140"/>
      <c r="D1622" s="141" t="s">
        <v>2779</v>
      </c>
      <c r="E1622" s="140"/>
      <c r="F1622" s="140"/>
      <c r="G1622" s="140"/>
    </row>
    <row r="1623" spans="2:7" hidden="1">
      <c r="B1623" s="141" t="s">
        <v>5008</v>
      </c>
      <c r="C1623" s="140"/>
      <c r="D1623" s="141" t="s">
        <v>5009</v>
      </c>
      <c r="E1623" s="140"/>
      <c r="F1623" s="140"/>
      <c r="G1623" s="140"/>
    </row>
    <row r="1624" spans="2:7" hidden="1">
      <c r="B1624" s="141" t="s">
        <v>5010</v>
      </c>
      <c r="C1624" s="140"/>
      <c r="D1624" s="141" t="s">
        <v>5011</v>
      </c>
      <c r="E1624" s="140"/>
      <c r="F1624" s="140"/>
      <c r="G1624" s="140"/>
    </row>
    <row r="1625" spans="2:7" hidden="1">
      <c r="B1625" s="141" t="s">
        <v>5012</v>
      </c>
      <c r="C1625" s="140"/>
      <c r="D1625" s="141" t="s">
        <v>5013</v>
      </c>
      <c r="E1625" s="140"/>
      <c r="F1625" s="140"/>
      <c r="G1625" s="140"/>
    </row>
    <row r="1626" spans="2:7" hidden="1">
      <c r="B1626" s="141" t="s">
        <v>5014</v>
      </c>
      <c r="C1626" s="140"/>
      <c r="D1626" s="141" t="s">
        <v>5015</v>
      </c>
      <c r="E1626" s="140"/>
      <c r="F1626" s="140"/>
      <c r="G1626" s="140"/>
    </row>
    <row r="1627" spans="2:7" hidden="1">
      <c r="B1627" s="141" t="s">
        <v>5016</v>
      </c>
      <c r="C1627" s="140" t="s">
        <v>5017</v>
      </c>
      <c r="D1627" s="141" t="s">
        <v>5018</v>
      </c>
      <c r="E1627" s="140" t="s">
        <v>5019</v>
      </c>
      <c r="F1627" s="140" t="s">
        <v>5020</v>
      </c>
      <c r="G1627" s="140"/>
    </row>
    <row r="1628" spans="2:7" hidden="1">
      <c r="B1628" s="141" t="s">
        <v>5021</v>
      </c>
      <c r="C1628" s="140"/>
      <c r="D1628" s="141" t="s">
        <v>5022</v>
      </c>
      <c r="E1628" s="140"/>
      <c r="F1628" s="140"/>
      <c r="G1628" s="140"/>
    </row>
    <row r="1629" spans="2:7" hidden="1">
      <c r="B1629" s="141" t="s">
        <v>5023</v>
      </c>
      <c r="C1629" s="141"/>
      <c r="D1629" s="141" t="s">
        <v>5024</v>
      </c>
      <c r="E1629" s="141"/>
      <c r="F1629" s="141"/>
      <c r="G1629" s="140"/>
    </row>
    <row r="1630" spans="2:7" hidden="1">
      <c r="B1630" s="141" t="s">
        <v>5025</v>
      </c>
      <c r="C1630" s="140" t="s">
        <v>5026</v>
      </c>
      <c r="D1630" s="141" t="s">
        <v>5027</v>
      </c>
      <c r="E1630" s="140"/>
      <c r="F1630" s="140"/>
      <c r="G1630" s="140"/>
    </row>
    <row r="1631" spans="2:7" hidden="1">
      <c r="B1631" s="140" t="s">
        <v>5028</v>
      </c>
      <c r="C1631" s="140"/>
      <c r="D1631" s="140" t="s">
        <v>5029</v>
      </c>
      <c r="E1631" s="142"/>
      <c r="F1631" s="142"/>
      <c r="G1631" s="140"/>
    </row>
    <row r="1632" spans="2:7" hidden="1">
      <c r="B1632" s="141" t="s">
        <v>5030</v>
      </c>
      <c r="C1632" s="140"/>
      <c r="D1632" s="141" t="s">
        <v>5031</v>
      </c>
      <c r="E1632" s="140"/>
      <c r="F1632" s="140"/>
      <c r="G1632" s="140"/>
    </row>
    <row r="1633" spans="2:7" hidden="1">
      <c r="B1633" s="141" t="s">
        <v>5032</v>
      </c>
      <c r="C1633" s="140"/>
      <c r="D1633" s="141" t="s">
        <v>5033</v>
      </c>
      <c r="E1633" s="140"/>
      <c r="F1633" s="140"/>
      <c r="G1633" s="140"/>
    </row>
    <row r="1634" spans="2:7" hidden="1">
      <c r="B1634" s="141" t="s">
        <v>5034</v>
      </c>
      <c r="C1634" s="140"/>
      <c r="D1634" s="141" t="s">
        <v>5035</v>
      </c>
      <c r="E1634" s="140"/>
      <c r="F1634" s="140"/>
      <c r="G1634" s="140"/>
    </row>
    <row r="1635" spans="2:7" hidden="1">
      <c r="B1635" s="141" t="s">
        <v>5036</v>
      </c>
      <c r="C1635" s="140"/>
      <c r="D1635" s="141" t="s">
        <v>5037</v>
      </c>
      <c r="E1635" s="140"/>
      <c r="F1635" s="140"/>
      <c r="G1635" s="140"/>
    </row>
    <row r="1636" spans="2:7" hidden="1">
      <c r="B1636" s="141" t="s">
        <v>5038</v>
      </c>
      <c r="C1636" s="140"/>
      <c r="D1636" s="141" t="s">
        <v>5039</v>
      </c>
      <c r="E1636" s="140"/>
      <c r="F1636" s="140"/>
      <c r="G1636" s="140"/>
    </row>
    <row r="1637" spans="2:7" hidden="1">
      <c r="B1637" s="140" t="s">
        <v>5040</v>
      </c>
      <c r="C1637" s="140" t="s">
        <v>5041</v>
      </c>
      <c r="D1637" s="140" t="s">
        <v>5042</v>
      </c>
      <c r="E1637" s="142" t="s">
        <v>4202</v>
      </c>
      <c r="F1637" s="142" t="s">
        <v>4203</v>
      </c>
      <c r="G1637" s="140"/>
    </row>
    <row r="1638" spans="2:7" hidden="1">
      <c r="B1638" s="140" t="s">
        <v>5043</v>
      </c>
      <c r="C1638" s="140" t="s">
        <v>5044</v>
      </c>
      <c r="D1638" s="140" t="s">
        <v>4206</v>
      </c>
      <c r="E1638" s="142" t="s">
        <v>4207</v>
      </c>
      <c r="F1638" s="142" t="s">
        <v>4208</v>
      </c>
      <c r="G1638" s="140"/>
    </row>
    <row r="1639" spans="2:7" hidden="1">
      <c r="B1639" s="141" t="s">
        <v>5045</v>
      </c>
      <c r="C1639" s="140" t="s">
        <v>5046</v>
      </c>
      <c r="D1639" s="141" t="s">
        <v>5047</v>
      </c>
      <c r="E1639" s="140"/>
      <c r="F1639" s="140"/>
      <c r="G1639" s="140"/>
    </row>
    <row r="1640" spans="2:7" hidden="1">
      <c r="B1640" s="141" t="s">
        <v>21264</v>
      </c>
      <c r="C1640" s="140" t="s">
        <v>21263</v>
      </c>
      <c r="D1640" s="141" t="s">
        <v>21265</v>
      </c>
      <c r="E1640" s="140" t="s">
        <v>21266</v>
      </c>
      <c r="F1640" s="140"/>
      <c r="G1640" s="140"/>
    </row>
    <row r="1641" spans="2:7" hidden="1">
      <c r="B1641" s="140" t="s">
        <v>5048</v>
      </c>
      <c r="C1641" s="140" t="s">
        <v>4027</v>
      </c>
      <c r="D1641" s="140" t="s">
        <v>5049</v>
      </c>
      <c r="E1641" s="142" t="s">
        <v>5050</v>
      </c>
      <c r="F1641" s="142" t="s">
        <v>5051</v>
      </c>
      <c r="G1641" s="140"/>
    </row>
    <row r="1642" spans="2:7" hidden="1">
      <c r="B1642" s="141" t="s">
        <v>5052</v>
      </c>
      <c r="C1642" s="140" t="s">
        <v>5053</v>
      </c>
      <c r="D1642" s="141" t="s">
        <v>5054</v>
      </c>
      <c r="E1642" s="140" t="s">
        <v>5055</v>
      </c>
      <c r="F1642" s="140" t="s">
        <v>5056</v>
      </c>
      <c r="G1642" s="140"/>
    </row>
    <row r="1643" spans="2:7" hidden="1">
      <c r="B1643" s="141" t="s">
        <v>5057</v>
      </c>
      <c r="C1643" s="140"/>
      <c r="D1643" s="141" t="s">
        <v>5058</v>
      </c>
      <c r="E1643" s="140"/>
      <c r="F1643" s="140"/>
      <c r="G1643" s="140"/>
    </row>
    <row r="1644" spans="2:7" hidden="1">
      <c r="B1644" s="141" t="s">
        <v>5059</v>
      </c>
      <c r="C1644" s="140"/>
      <c r="D1644" s="141" t="s">
        <v>5060</v>
      </c>
      <c r="E1644" s="140"/>
      <c r="F1644" s="140"/>
      <c r="G1644" s="140"/>
    </row>
    <row r="1645" spans="2:7" hidden="1">
      <c r="B1645" s="141" t="s">
        <v>5061</v>
      </c>
      <c r="C1645" s="140"/>
      <c r="D1645" s="141" t="s">
        <v>5062</v>
      </c>
      <c r="E1645" s="140"/>
      <c r="F1645" s="140"/>
      <c r="G1645" s="140"/>
    </row>
    <row r="1646" spans="2:7" hidden="1">
      <c r="B1646" s="141" t="s">
        <v>5063</v>
      </c>
      <c r="C1646" s="140"/>
      <c r="D1646" s="141" t="s">
        <v>5064</v>
      </c>
      <c r="E1646" s="140"/>
      <c r="F1646" s="140"/>
      <c r="G1646" s="140"/>
    </row>
    <row r="1647" spans="2:7" hidden="1">
      <c r="B1647" s="141" t="s">
        <v>5065</v>
      </c>
      <c r="C1647" s="140"/>
      <c r="D1647" s="141" t="s">
        <v>5066</v>
      </c>
      <c r="E1647" s="140"/>
      <c r="F1647" s="140"/>
      <c r="G1647" s="140"/>
    </row>
    <row r="1648" spans="2:7" hidden="1">
      <c r="B1648" s="141" t="s">
        <v>5067</v>
      </c>
      <c r="C1648" s="141" t="s">
        <v>5068</v>
      </c>
      <c r="D1648" s="141" t="s">
        <v>5069</v>
      </c>
      <c r="E1648" s="141"/>
      <c r="F1648" s="140"/>
      <c r="G1648" s="140"/>
    </row>
    <row r="1649" spans="2:7" hidden="1">
      <c r="B1649" s="141" t="s">
        <v>5071</v>
      </c>
      <c r="C1649" s="140"/>
      <c r="D1649" s="141" t="s">
        <v>5072</v>
      </c>
      <c r="E1649" s="140"/>
      <c r="F1649" s="140"/>
      <c r="G1649" s="140"/>
    </row>
    <row r="1650" spans="2:7" hidden="1">
      <c r="B1650" s="141" t="s">
        <v>5073</v>
      </c>
      <c r="C1650" s="140"/>
      <c r="D1650" s="141" t="s">
        <v>3509</v>
      </c>
      <c r="E1650" s="140"/>
      <c r="F1650" s="140"/>
      <c r="G1650" s="140"/>
    </row>
    <row r="1651" spans="2:7" hidden="1">
      <c r="B1651" s="141" t="s">
        <v>5074</v>
      </c>
      <c r="C1651" s="140"/>
      <c r="D1651" s="141" t="s">
        <v>5075</v>
      </c>
      <c r="E1651" s="140"/>
      <c r="F1651" s="140"/>
      <c r="G1651" s="140"/>
    </row>
    <row r="1652" spans="2:7" hidden="1">
      <c r="B1652" s="141" t="s">
        <v>21566</v>
      </c>
      <c r="C1652" s="140"/>
      <c r="D1652" s="141" t="s">
        <v>5070</v>
      </c>
      <c r="E1652" s="140"/>
      <c r="F1652" s="140"/>
      <c r="G1652" s="140"/>
    </row>
    <row r="1653" spans="2:7" hidden="1">
      <c r="B1653" s="141" t="s">
        <v>5076</v>
      </c>
      <c r="C1653" s="140"/>
      <c r="D1653" s="141" t="s">
        <v>5077</v>
      </c>
      <c r="E1653" s="140"/>
      <c r="F1653" s="140"/>
      <c r="G1653" s="140"/>
    </row>
    <row r="1654" spans="2:7" hidden="1">
      <c r="B1654" s="141" t="s">
        <v>5078</v>
      </c>
      <c r="C1654" s="140" t="s">
        <v>5079</v>
      </c>
      <c r="D1654" s="141" t="s">
        <v>1185</v>
      </c>
      <c r="E1654" s="140" t="s">
        <v>5080</v>
      </c>
      <c r="F1654" s="140" t="s">
        <v>5081</v>
      </c>
      <c r="G1654" s="140"/>
    </row>
    <row r="1655" spans="2:7" hidden="1">
      <c r="B1655" s="141" t="s">
        <v>5082</v>
      </c>
      <c r="C1655" s="140"/>
      <c r="D1655" s="141" t="s">
        <v>1112</v>
      </c>
      <c r="E1655" s="140"/>
      <c r="F1655" s="140"/>
      <c r="G1655" s="140"/>
    </row>
    <row r="1656" spans="2:7" hidden="1">
      <c r="B1656" s="141" t="s">
        <v>5083</v>
      </c>
      <c r="C1656" s="140"/>
      <c r="D1656" s="141" t="s">
        <v>4160</v>
      </c>
      <c r="E1656" s="140"/>
      <c r="F1656" s="140"/>
      <c r="G1656" s="140"/>
    </row>
    <row r="1657" spans="2:7" hidden="1">
      <c r="B1657" s="140" t="s">
        <v>5084</v>
      </c>
      <c r="C1657" s="140"/>
      <c r="D1657" s="141" t="s">
        <v>5085</v>
      </c>
      <c r="E1657" s="140"/>
      <c r="F1657" s="140"/>
      <c r="G1657" s="140"/>
    </row>
    <row r="1658" spans="2:7" hidden="1">
      <c r="B1658" s="141" t="s">
        <v>5086</v>
      </c>
      <c r="C1658" s="140"/>
      <c r="D1658" s="141" t="s">
        <v>5087</v>
      </c>
      <c r="E1658" s="140"/>
      <c r="F1658" s="140"/>
      <c r="G1658" s="140"/>
    </row>
    <row r="1659" spans="2:7" hidden="1">
      <c r="B1659" s="140" t="s">
        <v>5088</v>
      </c>
      <c r="C1659" s="141"/>
      <c r="D1659" s="141" t="s">
        <v>5089</v>
      </c>
      <c r="E1659" s="141"/>
      <c r="F1659" s="141"/>
      <c r="G1659" s="140"/>
    </row>
    <row r="1660" spans="2:7" hidden="1">
      <c r="B1660" s="141" t="s">
        <v>5090</v>
      </c>
      <c r="C1660" s="140"/>
      <c r="D1660" s="141" t="s">
        <v>5091</v>
      </c>
      <c r="E1660" s="140"/>
      <c r="F1660" s="140"/>
      <c r="G1660" s="140"/>
    </row>
    <row r="1661" spans="2:7" hidden="1">
      <c r="B1661" s="140" t="s">
        <v>5092</v>
      </c>
      <c r="C1661" s="140"/>
      <c r="D1661" s="140" t="s">
        <v>5093</v>
      </c>
      <c r="E1661" s="140"/>
      <c r="F1661" s="140"/>
      <c r="G1661" s="140"/>
    </row>
    <row r="1662" spans="2:7" hidden="1">
      <c r="B1662" s="140" t="s">
        <v>5094</v>
      </c>
      <c r="C1662" s="140"/>
      <c r="D1662" s="141" t="s">
        <v>5095</v>
      </c>
      <c r="E1662" s="140"/>
      <c r="F1662" s="140"/>
      <c r="G1662" s="140"/>
    </row>
    <row r="1663" spans="2:7" hidden="1">
      <c r="B1663" s="141" t="s">
        <v>5096</v>
      </c>
      <c r="C1663" s="140" t="s">
        <v>5097</v>
      </c>
      <c r="D1663" s="141" t="s">
        <v>5098</v>
      </c>
      <c r="E1663" s="140"/>
      <c r="F1663" s="140"/>
      <c r="G1663" s="140"/>
    </row>
    <row r="1664" spans="2:7" hidden="1">
      <c r="B1664" s="141" t="s">
        <v>5099</v>
      </c>
      <c r="C1664" s="140"/>
      <c r="D1664" s="141" t="s">
        <v>5100</v>
      </c>
      <c r="E1664" s="140"/>
      <c r="F1664" s="140"/>
      <c r="G1664" s="140"/>
    </row>
    <row r="1665" spans="2:7" hidden="1">
      <c r="B1665" s="141" t="s">
        <v>5101</v>
      </c>
      <c r="C1665" s="140"/>
      <c r="D1665" s="141" t="s">
        <v>5102</v>
      </c>
      <c r="E1665" s="140"/>
      <c r="F1665" s="140"/>
      <c r="G1665" s="140"/>
    </row>
    <row r="1666" spans="2:7" hidden="1">
      <c r="B1666" s="141" t="s">
        <v>5103</v>
      </c>
      <c r="C1666" s="140"/>
      <c r="D1666" s="141" t="s">
        <v>5104</v>
      </c>
      <c r="E1666" s="140"/>
      <c r="F1666" s="140"/>
      <c r="G1666" s="140"/>
    </row>
    <row r="1667" spans="2:7" hidden="1">
      <c r="B1667" s="141" t="s">
        <v>5105</v>
      </c>
      <c r="C1667" s="140"/>
      <c r="D1667" s="141" t="s">
        <v>1946</v>
      </c>
      <c r="E1667" s="140"/>
      <c r="F1667" s="140"/>
      <c r="G1667" s="140"/>
    </row>
    <row r="1668" spans="2:7" hidden="1">
      <c r="B1668" s="141" t="s">
        <v>5106</v>
      </c>
      <c r="C1668" s="140" t="s">
        <v>5107</v>
      </c>
      <c r="D1668" s="141" t="s">
        <v>5108</v>
      </c>
      <c r="E1668" s="140"/>
      <c r="F1668" s="140"/>
      <c r="G1668" s="140"/>
    </row>
    <row r="1669" spans="2:7" hidden="1">
      <c r="B1669" s="140" t="s">
        <v>5109</v>
      </c>
      <c r="C1669" s="140" t="s">
        <v>5110</v>
      </c>
      <c r="D1669" s="140" t="s">
        <v>5111</v>
      </c>
      <c r="E1669" s="140" t="s">
        <v>5112</v>
      </c>
      <c r="F1669" s="140" t="s">
        <v>5113</v>
      </c>
      <c r="G1669" s="140"/>
    </row>
    <row r="1670" spans="2:7" hidden="1">
      <c r="B1670" s="141" t="s">
        <v>5114</v>
      </c>
      <c r="C1670" s="140" t="s">
        <v>5115</v>
      </c>
      <c r="D1670" s="141" t="s">
        <v>5116</v>
      </c>
      <c r="E1670" s="140" t="s">
        <v>5112</v>
      </c>
      <c r="F1670" s="140" t="s">
        <v>5117</v>
      </c>
      <c r="G1670" s="140"/>
    </row>
    <row r="1671" spans="2:7" hidden="1">
      <c r="B1671" s="141" t="s">
        <v>5118</v>
      </c>
      <c r="C1671" s="140" t="s">
        <v>5119</v>
      </c>
      <c r="D1671" s="141" t="s">
        <v>5120</v>
      </c>
      <c r="E1671" s="140" t="s">
        <v>5121</v>
      </c>
      <c r="F1671" s="140" t="s">
        <v>5117</v>
      </c>
      <c r="G1671" s="140" t="s">
        <v>5122</v>
      </c>
    </row>
    <row r="1672" spans="2:7" hidden="1">
      <c r="B1672" s="141" t="s">
        <v>20121</v>
      </c>
      <c r="C1672" s="140" t="s">
        <v>20122</v>
      </c>
      <c r="D1672" s="141" t="s">
        <v>20123</v>
      </c>
      <c r="E1672" s="140"/>
      <c r="F1672" s="140"/>
      <c r="G1672" s="140" t="s">
        <v>20124</v>
      </c>
    </row>
    <row r="1673" spans="2:7" hidden="1">
      <c r="B1673" s="140" t="s">
        <v>5123</v>
      </c>
      <c r="C1673" s="140"/>
      <c r="D1673" s="140" t="s">
        <v>5124</v>
      </c>
      <c r="E1673" s="142" t="s">
        <v>5125</v>
      </c>
      <c r="F1673" s="142" t="s">
        <v>5126</v>
      </c>
      <c r="G1673" s="140"/>
    </row>
    <row r="1674" spans="2:7" hidden="1">
      <c r="B1674" s="141" t="s">
        <v>5127</v>
      </c>
      <c r="C1674" s="140"/>
      <c r="D1674" s="141" t="s">
        <v>5128</v>
      </c>
      <c r="E1674" s="140" t="s">
        <v>5129</v>
      </c>
      <c r="F1674" s="140" t="s">
        <v>5129</v>
      </c>
      <c r="G1674" s="140"/>
    </row>
    <row r="1675" spans="2:7" hidden="1">
      <c r="B1675" s="140" t="s">
        <v>5130</v>
      </c>
      <c r="C1675" s="140" t="s">
        <v>5131</v>
      </c>
      <c r="D1675" s="140" t="s">
        <v>5132</v>
      </c>
      <c r="E1675" s="142" t="s">
        <v>5133</v>
      </c>
      <c r="F1675" s="142" t="s">
        <v>5134</v>
      </c>
      <c r="G1675" s="140"/>
    </row>
    <row r="1676" spans="2:7" hidden="1">
      <c r="B1676" s="140" t="s">
        <v>5135</v>
      </c>
      <c r="C1676" s="140" t="s">
        <v>5136</v>
      </c>
      <c r="D1676" s="140" t="s">
        <v>5137</v>
      </c>
      <c r="E1676" s="142" t="s">
        <v>5138</v>
      </c>
      <c r="F1676" s="142" t="s">
        <v>5139</v>
      </c>
      <c r="G1676" s="140"/>
    </row>
    <row r="1677" spans="2:7" hidden="1">
      <c r="B1677" s="141" t="s">
        <v>5140</v>
      </c>
      <c r="C1677" s="140" t="s">
        <v>5141</v>
      </c>
      <c r="D1677" s="141" t="s">
        <v>5142</v>
      </c>
      <c r="E1677" s="140"/>
      <c r="F1677" s="140"/>
      <c r="G1677" s="140"/>
    </row>
    <row r="1678" spans="2:7" hidden="1">
      <c r="B1678" s="140" t="s">
        <v>5143</v>
      </c>
      <c r="C1678" s="140"/>
      <c r="D1678" s="140" t="s">
        <v>5144</v>
      </c>
      <c r="E1678" s="142"/>
      <c r="F1678" s="142"/>
      <c r="G1678" s="140"/>
    </row>
    <row r="1679" spans="2:7" hidden="1">
      <c r="B1679" s="141" t="s">
        <v>5145</v>
      </c>
      <c r="C1679" s="140" t="s">
        <v>5146</v>
      </c>
      <c r="D1679" s="141" t="s">
        <v>5147</v>
      </c>
      <c r="E1679" s="140"/>
      <c r="F1679" s="140"/>
      <c r="G1679" s="140"/>
    </row>
    <row r="1680" spans="2:7" hidden="1">
      <c r="B1680" s="141" t="s">
        <v>5148</v>
      </c>
      <c r="C1680" s="140"/>
      <c r="D1680" s="141" t="s">
        <v>4280</v>
      </c>
      <c r="E1680" s="140"/>
      <c r="F1680" s="140"/>
      <c r="G1680" s="140"/>
    </row>
    <row r="1681" spans="2:7" hidden="1">
      <c r="B1681" s="141" t="s">
        <v>5149</v>
      </c>
      <c r="C1681" s="140" t="s">
        <v>5150</v>
      </c>
      <c r="D1681" s="141" t="s">
        <v>5147</v>
      </c>
      <c r="E1681" s="140"/>
      <c r="F1681" s="140"/>
      <c r="G1681" s="140" t="s">
        <v>5151</v>
      </c>
    </row>
    <row r="1682" spans="2:7" hidden="1">
      <c r="B1682" s="141" t="s">
        <v>5152</v>
      </c>
      <c r="C1682" s="141" t="s">
        <v>5153</v>
      </c>
      <c r="D1682" s="141" t="s">
        <v>5154</v>
      </c>
      <c r="E1682" s="141" t="s">
        <v>5155</v>
      </c>
      <c r="F1682" s="140"/>
      <c r="G1682" s="140"/>
    </row>
    <row r="1683" spans="2:7" hidden="1">
      <c r="B1683" s="141" t="s">
        <v>5156</v>
      </c>
      <c r="C1683" s="141"/>
      <c r="D1683" s="141" t="s">
        <v>5157</v>
      </c>
      <c r="E1683" s="141"/>
      <c r="F1683" s="141"/>
      <c r="G1683" s="140"/>
    </row>
    <row r="1684" spans="2:7" hidden="1">
      <c r="B1684" s="141" t="s">
        <v>5158</v>
      </c>
      <c r="C1684" s="140"/>
      <c r="D1684" s="141" t="s">
        <v>5159</v>
      </c>
      <c r="E1684" s="140"/>
      <c r="F1684" s="140"/>
      <c r="G1684" s="140"/>
    </row>
    <row r="1685" spans="2:7" hidden="1">
      <c r="B1685" s="141" t="s">
        <v>5160</v>
      </c>
      <c r="C1685" s="140"/>
      <c r="D1685" s="141" t="s">
        <v>5161</v>
      </c>
      <c r="E1685" s="140"/>
      <c r="F1685" s="140"/>
      <c r="G1685" s="140"/>
    </row>
    <row r="1686" spans="2:7" hidden="1">
      <c r="B1686" s="141" t="s">
        <v>5162</v>
      </c>
      <c r="C1686" s="140"/>
      <c r="D1686" s="141" t="s">
        <v>3334</v>
      </c>
      <c r="E1686" s="140"/>
      <c r="F1686" s="140"/>
      <c r="G1686" s="140"/>
    </row>
    <row r="1687" spans="2:7" hidden="1">
      <c r="B1687" s="141" t="s">
        <v>21567</v>
      </c>
      <c r="C1687" s="140"/>
      <c r="D1687" s="141" t="s">
        <v>3672</v>
      </c>
      <c r="E1687" s="140"/>
      <c r="F1687" s="140"/>
      <c r="G1687" s="140"/>
    </row>
    <row r="1688" spans="2:7" hidden="1">
      <c r="B1688" s="141" t="s">
        <v>5163</v>
      </c>
      <c r="C1688" s="140"/>
      <c r="D1688" s="141" t="s">
        <v>5164</v>
      </c>
      <c r="E1688" s="140"/>
      <c r="F1688" s="140"/>
      <c r="G1688" s="140"/>
    </row>
    <row r="1689" spans="2:7" hidden="1">
      <c r="B1689" s="141" t="s">
        <v>5165</v>
      </c>
      <c r="C1689" s="140"/>
      <c r="D1689" s="141" t="s">
        <v>5166</v>
      </c>
      <c r="E1689" s="140"/>
      <c r="F1689" s="140"/>
      <c r="G1689" s="140"/>
    </row>
    <row r="1690" spans="2:7" hidden="1">
      <c r="B1690" s="141" t="s">
        <v>5167</v>
      </c>
      <c r="C1690" s="140"/>
      <c r="D1690" s="141" t="s">
        <v>5168</v>
      </c>
      <c r="E1690" s="140"/>
      <c r="F1690" s="140"/>
      <c r="G1690" s="140"/>
    </row>
    <row r="1691" spans="2:7" hidden="1">
      <c r="B1691" s="141" t="s">
        <v>21568</v>
      </c>
      <c r="C1691" s="140"/>
      <c r="D1691" s="141" t="s">
        <v>2243</v>
      </c>
      <c r="E1691" s="140"/>
      <c r="F1691" s="140"/>
      <c r="G1691" s="140"/>
    </row>
    <row r="1692" spans="2:7" hidden="1">
      <c r="B1692" s="141" t="s">
        <v>5169</v>
      </c>
      <c r="C1692" s="140"/>
      <c r="D1692" s="141" t="s">
        <v>5170</v>
      </c>
      <c r="E1692" s="140"/>
      <c r="F1692" s="140"/>
      <c r="G1692" s="140"/>
    </row>
    <row r="1693" spans="2:7" hidden="1">
      <c r="B1693" s="141" t="s">
        <v>5171</v>
      </c>
      <c r="C1693" s="140"/>
      <c r="D1693" s="141" t="s">
        <v>2822</v>
      </c>
      <c r="E1693" s="140"/>
      <c r="F1693" s="140"/>
      <c r="G1693" s="140"/>
    </row>
    <row r="1694" spans="2:7" hidden="1">
      <c r="B1694" s="140" t="s">
        <v>5172</v>
      </c>
      <c r="C1694" s="140"/>
      <c r="D1694" s="140" t="s">
        <v>5173</v>
      </c>
      <c r="E1694" s="142"/>
      <c r="F1694" s="142"/>
      <c r="G1694" s="140"/>
    </row>
    <row r="1695" spans="2:7" hidden="1">
      <c r="B1695" s="141" t="s">
        <v>5174</v>
      </c>
      <c r="C1695" s="140"/>
      <c r="D1695" s="141" t="s">
        <v>5175</v>
      </c>
      <c r="E1695" s="140"/>
      <c r="F1695" s="140"/>
      <c r="G1695" s="140"/>
    </row>
    <row r="1696" spans="2:7" hidden="1">
      <c r="B1696" s="141" t="s">
        <v>5176</v>
      </c>
      <c r="C1696" s="140"/>
      <c r="D1696" s="141" t="s">
        <v>2560</v>
      </c>
      <c r="E1696" s="140"/>
      <c r="F1696" s="140"/>
      <c r="G1696" s="140"/>
    </row>
    <row r="1697" spans="2:7" hidden="1">
      <c r="B1697" s="141" t="s">
        <v>5177</v>
      </c>
      <c r="C1697" s="140"/>
      <c r="D1697" s="141" t="s">
        <v>5178</v>
      </c>
      <c r="E1697" s="140"/>
      <c r="F1697" s="140"/>
      <c r="G1697" s="140"/>
    </row>
    <row r="1698" spans="2:7" hidden="1">
      <c r="B1698" s="141" t="s">
        <v>5179</v>
      </c>
      <c r="C1698" s="140" t="s">
        <v>5180</v>
      </c>
      <c r="D1698" s="141" t="s">
        <v>5181</v>
      </c>
      <c r="E1698" s="140"/>
      <c r="F1698" s="140"/>
      <c r="G1698" s="140" t="s">
        <v>5182</v>
      </c>
    </row>
    <row r="1699" spans="2:7" hidden="1">
      <c r="B1699" s="141" t="s">
        <v>5183</v>
      </c>
      <c r="C1699" s="140"/>
      <c r="D1699" s="141" t="s">
        <v>5184</v>
      </c>
      <c r="E1699" s="140"/>
      <c r="F1699" s="140"/>
      <c r="G1699" s="140"/>
    </row>
    <row r="1700" spans="2:7" hidden="1">
      <c r="B1700" s="141" t="s">
        <v>5185</v>
      </c>
      <c r="C1700" s="140"/>
      <c r="D1700" s="141" t="s">
        <v>3841</v>
      </c>
      <c r="E1700" s="140"/>
      <c r="F1700" s="140"/>
      <c r="G1700" s="140"/>
    </row>
    <row r="1701" spans="2:7" hidden="1">
      <c r="B1701" s="141" t="s">
        <v>5186</v>
      </c>
      <c r="C1701" s="140"/>
      <c r="D1701" s="141" t="s">
        <v>5187</v>
      </c>
      <c r="E1701" s="140"/>
      <c r="F1701" s="140"/>
      <c r="G1701" s="140"/>
    </row>
    <row r="1702" spans="2:7" hidden="1">
      <c r="B1702" s="140" t="s">
        <v>5188</v>
      </c>
      <c r="C1702" s="140"/>
      <c r="D1702" s="140" t="s">
        <v>5189</v>
      </c>
      <c r="E1702" s="142"/>
      <c r="F1702" s="142"/>
      <c r="G1702" s="140"/>
    </row>
    <row r="1703" spans="2:7" hidden="1">
      <c r="B1703" s="140" t="s">
        <v>20125</v>
      </c>
      <c r="C1703" s="140" t="s">
        <v>5190</v>
      </c>
      <c r="D1703" s="140" t="s">
        <v>5191</v>
      </c>
      <c r="E1703" s="142"/>
      <c r="F1703" s="142"/>
      <c r="G1703" s="140"/>
    </row>
    <row r="1704" spans="2:7" hidden="1">
      <c r="B1704" s="141" t="s">
        <v>5192</v>
      </c>
      <c r="C1704" s="140" t="s">
        <v>5193</v>
      </c>
      <c r="D1704" s="141" t="s">
        <v>4462</v>
      </c>
      <c r="E1704" s="140" t="s">
        <v>5194</v>
      </c>
      <c r="F1704" s="140"/>
      <c r="G1704" s="140"/>
    </row>
    <row r="1705" spans="2:7" hidden="1">
      <c r="B1705" s="141" t="s">
        <v>5195</v>
      </c>
      <c r="C1705" s="140"/>
      <c r="D1705" s="141" t="s">
        <v>5196</v>
      </c>
      <c r="E1705" s="140"/>
      <c r="F1705" s="140"/>
      <c r="G1705" s="140"/>
    </row>
    <row r="1706" spans="2:7" hidden="1">
      <c r="B1706" s="141" t="s">
        <v>5197</v>
      </c>
      <c r="C1706" s="140"/>
      <c r="D1706" s="141" t="s">
        <v>2741</v>
      </c>
      <c r="E1706" s="140"/>
      <c r="F1706" s="140"/>
      <c r="G1706" s="140"/>
    </row>
    <row r="1707" spans="2:7" hidden="1">
      <c r="B1707" s="141" t="s">
        <v>20126</v>
      </c>
      <c r="C1707" s="140" t="s">
        <v>20127</v>
      </c>
      <c r="D1707" s="141" t="s">
        <v>20128</v>
      </c>
      <c r="E1707" s="140"/>
      <c r="F1707" s="140"/>
      <c r="G1707" s="140"/>
    </row>
    <row r="1708" spans="2:7" hidden="1">
      <c r="B1708" s="141" t="s">
        <v>20129</v>
      </c>
      <c r="C1708" s="140" t="s">
        <v>5198</v>
      </c>
      <c r="D1708" s="141" t="s">
        <v>5199</v>
      </c>
      <c r="E1708" s="140"/>
      <c r="F1708" s="140"/>
      <c r="G1708" s="140"/>
    </row>
    <row r="1709" spans="2:7" hidden="1">
      <c r="B1709" s="140" t="s">
        <v>5200</v>
      </c>
      <c r="C1709" s="140"/>
      <c r="D1709" s="140" t="s">
        <v>5201</v>
      </c>
      <c r="E1709" s="142"/>
      <c r="F1709" s="142"/>
      <c r="G1709" s="140"/>
    </row>
    <row r="1710" spans="2:7" hidden="1">
      <c r="B1710" s="141" t="s">
        <v>5202</v>
      </c>
      <c r="C1710" s="141"/>
      <c r="D1710" s="141" t="s">
        <v>5203</v>
      </c>
      <c r="E1710" s="141"/>
      <c r="F1710" s="140"/>
      <c r="G1710" s="140"/>
    </row>
    <row r="1711" spans="2:7" hidden="1">
      <c r="B1711" s="141" t="s">
        <v>21569</v>
      </c>
      <c r="C1711" s="140"/>
      <c r="D1711" s="141" t="s">
        <v>5204</v>
      </c>
      <c r="E1711" s="140"/>
      <c r="F1711" s="140"/>
      <c r="G1711" s="140"/>
    </row>
    <row r="1712" spans="2:7" hidden="1">
      <c r="B1712" s="141" t="s">
        <v>5205</v>
      </c>
      <c r="C1712" s="140"/>
      <c r="D1712" s="141" t="s">
        <v>5206</v>
      </c>
      <c r="E1712" s="140"/>
      <c r="F1712" s="140"/>
      <c r="G1712" s="140"/>
    </row>
    <row r="1713" spans="2:7" hidden="1">
      <c r="B1713" s="141" t="s">
        <v>5207</v>
      </c>
      <c r="C1713" s="140"/>
      <c r="D1713" s="141" t="s">
        <v>5208</v>
      </c>
      <c r="E1713" s="140"/>
      <c r="F1713" s="140"/>
      <c r="G1713" s="140"/>
    </row>
    <row r="1714" spans="2:7" hidden="1">
      <c r="B1714" s="141" t="s">
        <v>5209</v>
      </c>
      <c r="C1714" s="140"/>
      <c r="D1714" s="141" t="s">
        <v>5210</v>
      </c>
      <c r="E1714" s="140" t="s">
        <v>5211</v>
      </c>
      <c r="F1714" s="140" t="s">
        <v>5212</v>
      </c>
      <c r="G1714" s="140"/>
    </row>
    <row r="1715" spans="2:7" hidden="1">
      <c r="B1715" s="141" t="s">
        <v>21570</v>
      </c>
      <c r="C1715" s="140"/>
      <c r="D1715" s="141" t="s">
        <v>5213</v>
      </c>
      <c r="E1715" s="140"/>
      <c r="F1715" s="140"/>
      <c r="G1715" s="140"/>
    </row>
    <row r="1716" spans="2:7" hidden="1">
      <c r="B1716" s="141" t="s">
        <v>5214</v>
      </c>
      <c r="C1716" s="140" t="s">
        <v>5215</v>
      </c>
      <c r="D1716" s="141" t="s">
        <v>5216</v>
      </c>
      <c r="E1716" s="140" t="s">
        <v>5217</v>
      </c>
      <c r="F1716" s="140" t="s">
        <v>5218</v>
      </c>
      <c r="G1716" s="140" t="s">
        <v>5219</v>
      </c>
    </row>
    <row r="1717" spans="2:7" hidden="1">
      <c r="B1717" s="140" t="s">
        <v>5220</v>
      </c>
      <c r="C1717" s="140"/>
      <c r="D1717" s="140" t="s">
        <v>3051</v>
      </c>
      <c r="E1717" s="140"/>
      <c r="F1717" s="140"/>
      <c r="G1717" s="140"/>
    </row>
    <row r="1718" spans="2:7" hidden="1">
      <c r="B1718" s="141" t="s">
        <v>21571</v>
      </c>
      <c r="C1718" s="140"/>
      <c r="D1718" s="141" t="s">
        <v>2542</v>
      </c>
      <c r="E1718" s="140"/>
      <c r="F1718" s="140"/>
      <c r="G1718" s="140"/>
    </row>
    <row r="1719" spans="2:7" hidden="1">
      <c r="B1719" s="141" t="s">
        <v>5221</v>
      </c>
      <c r="C1719" s="140"/>
      <c r="D1719" s="141" t="s">
        <v>2583</v>
      </c>
      <c r="E1719" s="140"/>
      <c r="F1719" s="140"/>
      <c r="G1719" s="140"/>
    </row>
    <row r="1720" spans="2:7" hidden="1">
      <c r="B1720" s="140" t="s">
        <v>5222</v>
      </c>
      <c r="C1720" s="141"/>
      <c r="D1720" s="141" t="s">
        <v>2092</v>
      </c>
      <c r="E1720" s="141"/>
      <c r="F1720" s="141"/>
      <c r="G1720" s="140"/>
    </row>
    <row r="1721" spans="2:7" hidden="1">
      <c r="B1721" s="141" t="s">
        <v>5223</v>
      </c>
      <c r="C1721" s="140"/>
      <c r="D1721" s="141" t="s">
        <v>2578</v>
      </c>
      <c r="E1721" s="140"/>
      <c r="F1721" s="140"/>
      <c r="G1721" s="140"/>
    </row>
    <row r="1722" spans="2:7" hidden="1">
      <c r="B1722" s="141" t="s">
        <v>21572</v>
      </c>
      <c r="C1722" s="140" t="s">
        <v>5224</v>
      </c>
      <c r="D1722" s="141" t="s">
        <v>5225</v>
      </c>
      <c r="E1722" s="140"/>
      <c r="F1722" s="140"/>
      <c r="G1722" s="140"/>
    </row>
    <row r="1723" spans="2:7" hidden="1">
      <c r="B1723" s="140" t="s">
        <v>5226</v>
      </c>
      <c r="C1723" s="140"/>
      <c r="D1723" s="140" t="s">
        <v>3301</v>
      </c>
      <c r="E1723" s="142"/>
      <c r="F1723" s="142"/>
      <c r="G1723" s="140"/>
    </row>
    <row r="1724" spans="2:7" hidden="1">
      <c r="B1724" s="141" t="s">
        <v>5229</v>
      </c>
      <c r="C1724" s="141"/>
      <c r="D1724" s="141" t="s">
        <v>5230</v>
      </c>
      <c r="E1724" s="141"/>
      <c r="F1724" s="140"/>
      <c r="G1724" s="140"/>
    </row>
    <row r="1725" spans="2:7" hidden="1">
      <c r="B1725" s="141" t="s">
        <v>21573</v>
      </c>
      <c r="C1725" s="140" t="s">
        <v>5227</v>
      </c>
      <c r="D1725" s="141" t="s">
        <v>5228</v>
      </c>
      <c r="E1725" s="140"/>
      <c r="F1725" s="140"/>
      <c r="G1725" s="140"/>
    </row>
    <row r="1726" spans="2:7" hidden="1">
      <c r="B1726" s="141" t="s">
        <v>5231</v>
      </c>
      <c r="C1726" s="140"/>
      <c r="D1726" s="141" t="s">
        <v>1670</v>
      </c>
      <c r="E1726" s="140"/>
      <c r="F1726" s="140"/>
      <c r="G1726" s="140"/>
    </row>
    <row r="1727" spans="2:7" hidden="1">
      <c r="B1727" s="140" t="s">
        <v>5232</v>
      </c>
      <c r="C1727" s="141"/>
      <c r="D1727" s="141" t="s">
        <v>5233</v>
      </c>
      <c r="E1727" s="141"/>
      <c r="F1727" s="141"/>
      <c r="G1727" s="140"/>
    </row>
    <row r="1728" spans="2:7" hidden="1">
      <c r="B1728" s="141" t="s">
        <v>21574</v>
      </c>
      <c r="C1728" s="140"/>
      <c r="D1728" s="141" t="s">
        <v>5234</v>
      </c>
      <c r="E1728" s="140"/>
      <c r="F1728" s="140"/>
      <c r="G1728" s="140"/>
    </row>
    <row r="1729" spans="2:7" hidden="1">
      <c r="B1729" s="141" t="s">
        <v>5235</v>
      </c>
      <c r="C1729" s="140"/>
      <c r="D1729" s="141" t="s">
        <v>1156</v>
      </c>
      <c r="E1729" s="140"/>
      <c r="F1729" s="140"/>
      <c r="G1729" s="140"/>
    </row>
    <row r="1730" spans="2:7" hidden="1">
      <c r="B1730" s="141" t="s">
        <v>5236</v>
      </c>
      <c r="C1730" s="140"/>
      <c r="D1730" s="141" t="s">
        <v>5237</v>
      </c>
      <c r="E1730" s="140"/>
      <c r="F1730" s="140"/>
      <c r="G1730" s="140"/>
    </row>
    <row r="1731" spans="2:7" hidden="1">
      <c r="B1731" s="141" t="s">
        <v>5238</v>
      </c>
      <c r="C1731" s="140" t="s">
        <v>5239</v>
      </c>
      <c r="D1731" s="141" t="s">
        <v>5240</v>
      </c>
      <c r="E1731" s="140" t="s">
        <v>5241</v>
      </c>
      <c r="F1731" s="140" t="s">
        <v>5242</v>
      </c>
      <c r="G1731" s="140"/>
    </row>
    <row r="1732" spans="2:7" hidden="1">
      <c r="B1732" s="141" t="s">
        <v>21575</v>
      </c>
      <c r="C1732" s="140"/>
      <c r="D1732" s="141" t="s">
        <v>5243</v>
      </c>
      <c r="E1732" s="140"/>
      <c r="F1732" s="140"/>
      <c r="G1732" s="140"/>
    </row>
    <row r="1733" spans="2:7" hidden="1">
      <c r="B1733" s="141" t="s">
        <v>5244</v>
      </c>
      <c r="C1733" s="140"/>
      <c r="D1733" s="141" t="s">
        <v>5245</v>
      </c>
      <c r="E1733" s="140"/>
      <c r="F1733" s="140"/>
      <c r="G1733" s="140"/>
    </row>
    <row r="1734" spans="2:7" hidden="1">
      <c r="B1734" s="141" t="s">
        <v>5246</v>
      </c>
      <c r="C1734" s="141"/>
      <c r="D1734" s="141" t="s">
        <v>5247</v>
      </c>
      <c r="E1734" s="141"/>
      <c r="F1734" s="141"/>
      <c r="G1734" s="140"/>
    </row>
    <row r="1735" spans="2:7" hidden="1">
      <c r="B1735" s="141" t="s">
        <v>5248</v>
      </c>
      <c r="C1735" s="140" t="s">
        <v>5249</v>
      </c>
      <c r="D1735" s="141" t="s">
        <v>5250</v>
      </c>
      <c r="E1735" s="140" t="s">
        <v>5251</v>
      </c>
      <c r="F1735" s="140"/>
      <c r="G1735" s="140"/>
    </row>
    <row r="1736" spans="2:7" hidden="1">
      <c r="B1736" s="141" t="s">
        <v>5252</v>
      </c>
      <c r="C1736" s="140"/>
      <c r="D1736" s="141" t="s">
        <v>5253</v>
      </c>
      <c r="E1736" s="140"/>
      <c r="F1736" s="140"/>
      <c r="G1736" s="140"/>
    </row>
    <row r="1737" spans="2:7" hidden="1">
      <c r="B1737" s="141" t="s">
        <v>5254</v>
      </c>
      <c r="C1737" s="140"/>
      <c r="D1737" s="141" t="s">
        <v>5255</v>
      </c>
      <c r="E1737" s="140"/>
      <c r="F1737" s="140"/>
      <c r="G1737" s="140"/>
    </row>
    <row r="1738" spans="2:7" hidden="1">
      <c r="B1738" s="141" t="s">
        <v>21576</v>
      </c>
      <c r="C1738" s="141"/>
      <c r="D1738" s="141" t="s">
        <v>5256</v>
      </c>
      <c r="E1738" s="140"/>
      <c r="F1738" s="140"/>
      <c r="G1738" s="140"/>
    </row>
    <row r="1739" spans="2:7" hidden="1">
      <c r="B1739" s="140" t="s">
        <v>5257</v>
      </c>
      <c r="C1739" s="140"/>
      <c r="D1739" s="140" t="s">
        <v>3643</v>
      </c>
      <c r="E1739" s="140"/>
      <c r="F1739" s="140"/>
      <c r="G1739" s="140"/>
    </row>
    <row r="1740" spans="2:7" hidden="1">
      <c r="B1740" s="141" t="s">
        <v>5258</v>
      </c>
      <c r="C1740" s="140"/>
      <c r="D1740" s="141" t="s">
        <v>5259</v>
      </c>
      <c r="E1740" s="140"/>
      <c r="F1740" s="140"/>
      <c r="G1740" s="140"/>
    </row>
    <row r="1741" spans="2:7" hidden="1">
      <c r="B1741" s="141" t="s">
        <v>5260</v>
      </c>
      <c r="C1741" s="140" t="s">
        <v>5261</v>
      </c>
      <c r="D1741" s="141" t="s">
        <v>5262</v>
      </c>
      <c r="E1741" s="140" t="s">
        <v>5263</v>
      </c>
      <c r="F1741" s="140" t="s">
        <v>5264</v>
      </c>
      <c r="G1741" s="140"/>
    </row>
    <row r="1742" spans="2:7" hidden="1">
      <c r="B1742" s="141" t="s">
        <v>5265</v>
      </c>
      <c r="C1742" s="140" t="s">
        <v>5266</v>
      </c>
      <c r="D1742" s="141" t="s">
        <v>5267</v>
      </c>
      <c r="E1742" s="140" t="s">
        <v>5268</v>
      </c>
      <c r="F1742" s="140" t="s">
        <v>5269</v>
      </c>
      <c r="G1742" s="140"/>
    </row>
    <row r="1743" spans="2:7" hidden="1">
      <c r="B1743" s="141" t="s">
        <v>5270</v>
      </c>
      <c r="C1743" s="140" t="s">
        <v>5271</v>
      </c>
      <c r="D1743" s="141" t="s">
        <v>5272</v>
      </c>
      <c r="E1743" s="141" t="s">
        <v>5273</v>
      </c>
      <c r="F1743" s="140"/>
      <c r="G1743" s="140"/>
    </row>
    <row r="1744" spans="2:7" hidden="1">
      <c r="B1744" s="141" t="s">
        <v>5274</v>
      </c>
      <c r="C1744" s="140" t="s">
        <v>5275</v>
      </c>
      <c r="D1744" s="141" t="s">
        <v>5276</v>
      </c>
      <c r="E1744" s="140" t="s">
        <v>5277</v>
      </c>
      <c r="F1744" s="140" t="s">
        <v>5278</v>
      </c>
      <c r="G1744" s="140"/>
    </row>
    <row r="1745" spans="2:7" hidden="1">
      <c r="B1745" s="141" t="s">
        <v>5279</v>
      </c>
      <c r="C1745" s="140"/>
      <c r="D1745" s="141" t="s">
        <v>5280</v>
      </c>
      <c r="E1745" s="140"/>
      <c r="F1745" s="140"/>
      <c r="G1745" s="140"/>
    </row>
    <row r="1746" spans="2:7" hidden="1">
      <c r="B1746" s="141" t="s">
        <v>5281</v>
      </c>
      <c r="C1746" s="140"/>
      <c r="D1746" s="141" t="s">
        <v>5282</v>
      </c>
      <c r="E1746" s="140"/>
      <c r="F1746" s="140"/>
      <c r="G1746" s="140"/>
    </row>
    <row r="1747" spans="2:7" hidden="1">
      <c r="B1747" s="140" t="s">
        <v>5283</v>
      </c>
      <c r="C1747" s="140"/>
      <c r="D1747" s="140" t="s">
        <v>5284</v>
      </c>
      <c r="E1747" s="142"/>
      <c r="F1747" s="142"/>
      <c r="G1747" s="140"/>
    </row>
    <row r="1748" spans="2:7" hidden="1">
      <c r="B1748" s="141" t="s">
        <v>5285</v>
      </c>
      <c r="C1748" s="140" t="s">
        <v>5286</v>
      </c>
      <c r="D1748" s="141" t="s">
        <v>5287</v>
      </c>
      <c r="E1748" s="140" t="s">
        <v>5288</v>
      </c>
      <c r="F1748" s="140" t="s">
        <v>5289</v>
      </c>
      <c r="G1748" s="140"/>
    </row>
    <row r="1749" spans="2:7" hidden="1">
      <c r="B1749" s="141" t="s">
        <v>5290</v>
      </c>
      <c r="C1749" s="140"/>
      <c r="D1749" s="141" t="s">
        <v>5291</v>
      </c>
      <c r="E1749" s="140"/>
      <c r="F1749" s="140"/>
      <c r="G1749" s="140"/>
    </row>
    <row r="1750" spans="2:7" hidden="1">
      <c r="B1750" s="141" t="s">
        <v>5292</v>
      </c>
      <c r="C1750" s="140"/>
      <c r="D1750" s="141" t="s">
        <v>5293</v>
      </c>
      <c r="E1750" s="140"/>
      <c r="F1750" s="140"/>
      <c r="G1750" s="140"/>
    </row>
    <row r="1751" spans="2:7" hidden="1">
      <c r="B1751" s="140" t="s">
        <v>5294</v>
      </c>
      <c r="C1751" s="140"/>
      <c r="D1751" s="140" t="s">
        <v>4904</v>
      </c>
      <c r="E1751" s="142"/>
      <c r="F1751" s="142"/>
      <c r="G1751" s="140"/>
    </row>
    <row r="1752" spans="2:7" hidden="1">
      <c r="B1752" s="141" t="s">
        <v>5305</v>
      </c>
      <c r="C1752" s="140"/>
      <c r="D1752" s="141" t="s">
        <v>5306</v>
      </c>
      <c r="E1752" s="140"/>
      <c r="F1752" s="140"/>
      <c r="G1752" s="140"/>
    </row>
    <row r="1753" spans="2:7" hidden="1">
      <c r="B1753" s="140" t="s">
        <v>5307</v>
      </c>
      <c r="C1753" s="140"/>
      <c r="D1753" s="140" t="s">
        <v>5308</v>
      </c>
      <c r="E1753" s="142"/>
      <c r="F1753" s="142"/>
      <c r="G1753" s="140"/>
    </row>
    <row r="1754" spans="2:7" hidden="1">
      <c r="B1754" s="141" t="s">
        <v>21577</v>
      </c>
      <c r="C1754" s="140"/>
      <c r="D1754" s="141" t="s">
        <v>5295</v>
      </c>
      <c r="E1754" s="140"/>
      <c r="F1754" s="140"/>
      <c r="G1754" s="140"/>
    </row>
    <row r="1755" spans="2:7" hidden="1">
      <c r="B1755" s="141" t="s">
        <v>21578</v>
      </c>
      <c r="C1755" s="140"/>
      <c r="D1755" s="141" t="s">
        <v>5296</v>
      </c>
      <c r="E1755" s="140"/>
      <c r="F1755" s="140"/>
      <c r="G1755" s="140"/>
    </row>
    <row r="1756" spans="2:7" hidden="1">
      <c r="B1756" s="140" t="s">
        <v>21579</v>
      </c>
      <c r="C1756" s="140"/>
      <c r="D1756" s="140" t="s">
        <v>1278</v>
      </c>
      <c r="E1756" s="142"/>
      <c r="F1756" s="142"/>
      <c r="G1756" s="140"/>
    </row>
    <row r="1757" spans="2:7" hidden="1">
      <c r="B1757" s="141" t="s">
        <v>21580</v>
      </c>
      <c r="C1757" s="140"/>
      <c r="D1757" s="141" t="s">
        <v>5297</v>
      </c>
      <c r="E1757" s="140"/>
      <c r="F1757" s="140"/>
      <c r="G1757" s="140"/>
    </row>
    <row r="1758" spans="2:7" hidden="1">
      <c r="B1758" s="141" t="s">
        <v>21581</v>
      </c>
      <c r="C1758" s="140"/>
      <c r="D1758" s="141" t="s">
        <v>5298</v>
      </c>
      <c r="E1758" s="140"/>
      <c r="F1758" s="140"/>
      <c r="G1758" s="140"/>
    </row>
    <row r="1759" spans="2:7" hidden="1">
      <c r="B1759" s="141" t="s">
        <v>21582</v>
      </c>
      <c r="C1759" s="140"/>
      <c r="D1759" s="141" t="s">
        <v>2954</v>
      </c>
      <c r="E1759" s="140"/>
      <c r="F1759" s="140"/>
      <c r="G1759" s="140"/>
    </row>
    <row r="1760" spans="2:7" hidden="1">
      <c r="B1760" s="141" t="s">
        <v>21583</v>
      </c>
      <c r="C1760" s="141"/>
      <c r="D1760" s="141" t="s">
        <v>5299</v>
      </c>
      <c r="E1760" s="141"/>
      <c r="F1760" s="141"/>
      <c r="G1760" s="140"/>
    </row>
    <row r="1761" spans="2:7" hidden="1">
      <c r="B1761" s="141" t="s">
        <v>21584</v>
      </c>
      <c r="C1761" s="140" t="s">
        <v>5300</v>
      </c>
      <c r="D1761" s="141" t="s">
        <v>5301</v>
      </c>
      <c r="E1761" s="140" t="s">
        <v>5302</v>
      </c>
      <c r="F1761" s="140" t="s">
        <v>5303</v>
      </c>
      <c r="G1761" s="140" t="s">
        <v>5304</v>
      </c>
    </row>
    <row r="1762" spans="2:7" hidden="1">
      <c r="B1762" s="141" t="s">
        <v>5309</v>
      </c>
      <c r="C1762" s="141"/>
      <c r="D1762" s="141" t="s">
        <v>4313</v>
      </c>
      <c r="E1762" s="141"/>
      <c r="F1762" s="140"/>
      <c r="G1762" s="140"/>
    </row>
    <row r="1763" spans="2:7" hidden="1">
      <c r="B1763" s="141" t="s">
        <v>21585</v>
      </c>
      <c r="C1763" s="140" t="s">
        <v>5310</v>
      </c>
      <c r="D1763" s="141" t="s">
        <v>5311</v>
      </c>
      <c r="E1763" s="140"/>
      <c r="F1763" s="140"/>
      <c r="G1763" s="140"/>
    </row>
    <row r="1764" spans="2:7" hidden="1">
      <c r="B1764" s="141" t="s">
        <v>5312</v>
      </c>
      <c r="C1764" s="140"/>
      <c r="D1764" s="141" t="s">
        <v>5313</v>
      </c>
      <c r="E1764" s="140"/>
      <c r="F1764" s="140"/>
      <c r="G1764" s="140"/>
    </row>
    <row r="1765" spans="2:7" hidden="1">
      <c r="B1765" s="140" t="s">
        <v>5314</v>
      </c>
      <c r="C1765" s="140"/>
      <c r="D1765" s="140" t="s">
        <v>5315</v>
      </c>
      <c r="E1765" s="142"/>
      <c r="F1765" s="142"/>
      <c r="G1765" s="140"/>
    </row>
    <row r="1766" spans="2:7" hidden="1">
      <c r="B1766" s="140" t="s">
        <v>5316</v>
      </c>
      <c r="C1766" s="140" t="s">
        <v>5317</v>
      </c>
      <c r="D1766" s="141" t="s">
        <v>5318</v>
      </c>
      <c r="E1766" s="140" t="s">
        <v>5319</v>
      </c>
      <c r="F1766" s="140" t="s">
        <v>5320</v>
      </c>
      <c r="G1766" s="140"/>
    </row>
    <row r="1767" spans="2:7" hidden="1">
      <c r="B1767" s="140" t="s">
        <v>21586</v>
      </c>
      <c r="C1767" s="140" t="s">
        <v>5321</v>
      </c>
      <c r="D1767" s="140" t="s">
        <v>5322</v>
      </c>
      <c r="E1767" s="142" t="s">
        <v>5323</v>
      </c>
      <c r="F1767" s="142" t="s">
        <v>5324</v>
      </c>
      <c r="G1767" s="140"/>
    </row>
    <row r="1768" spans="2:7" hidden="1">
      <c r="B1768" s="141" t="s">
        <v>5325</v>
      </c>
      <c r="C1768" s="141" t="s">
        <v>5326</v>
      </c>
      <c r="D1768" s="141" t="s">
        <v>2168</v>
      </c>
      <c r="E1768" s="141" t="s">
        <v>5327</v>
      </c>
      <c r="F1768" s="141" t="s">
        <v>5328</v>
      </c>
      <c r="G1768" s="140"/>
    </row>
    <row r="1769" spans="2:7" hidden="1">
      <c r="B1769" s="141" t="s">
        <v>5329</v>
      </c>
      <c r="C1769" s="140"/>
      <c r="D1769" s="141" t="s">
        <v>5330</v>
      </c>
      <c r="E1769" s="140"/>
      <c r="F1769" s="140"/>
      <c r="G1769" s="140"/>
    </row>
    <row r="1770" spans="2:7" hidden="1">
      <c r="B1770" s="141" t="s">
        <v>5331</v>
      </c>
      <c r="C1770" s="140"/>
      <c r="D1770" s="141" t="s">
        <v>4417</v>
      </c>
      <c r="E1770" s="140"/>
      <c r="F1770" s="140"/>
      <c r="G1770" s="140"/>
    </row>
    <row r="1771" spans="2:7" hidden="1">
      <c r="B1771" s="141" t="s">
        <v>5332</v>
      </c>
      <c r="C1771" s="140"/>
      <c r="D1771" s="141" t="s">
        <v>5333</v>
      </c>
      <c r="E1771" s="140"/>
      <c r="F1771" s="140"/>
      <c r="G1771" s="140"/>
    </row>
    <row r="1772" spans="2:7" hidden="1">
      <c r="B1772" s="141" t="s">
        <v>5334</v>
      </c>
      <c r="C1772" s="140"/>
      <c r="D1772" s="141" t="s">
        <v>5335</v>
      </c>
      <c r="E1772" s="140"/>
      <c r="F1772" s="140"/>
      <c r="G1772" s="140"/>
    </row>
    <row r="1773" spans="2:7" hidden="1">
      <c r="B1773" s="141" t="s">
        <v>5336</v>
      </c>
      <c r="C1773" s="140"/>
      <c r="D1773" s="141" t="s">
        <v>5337</v>
      </c>
      <c r="E1773" s="140"/>
      <c r="F1773" s="140"/>
      <c r="G1773" s="140"/>
    </row>
    <row r="1774" spans="2:7" hidden="1">
      <c r="B1774" s="141" t="s">
        <v>5338</v>
      </c>
      <c r="C1774" s="140"/>
      <c r="D1774" s="141" t="s">
        <v>5339</v>
      </c>
      <c r="E1774" s="140"/>
      <c r="F1774" s="140"/>
      <c r="G1774" s="140"/>
    </row>
    <row r="1775" spans="2:7" hidden="1">
      <c r="B1775" s="141" t="s">
        <v>5340</v>
      </c>
      <c r="C1775" s="140"/>
      <c r="D1775" s="141" t="s">
        <v>2936</v>
      </c>
      <c r="E1775" s="140"/>
      <c r="F1775" s="140"/>
      <c r="G1775" s="140"/>
    </row>
    <row r="1776" spans="2:7" hidden="1">
      <c r="B1776" s="141" t="s">
        <v>5341</v>
      </c>
      <c r="C1776" s="140"/>
      <c r="D1776" s="141" t="s">
        <v>5342</v>
      </c>
      <c r="E1776" s="140"/>
      <c r="F1776" s="140"/>
      <c r="G1776" s="140"/>
    </row>
    <row r="1777" spans="2:7" hidden="1">
      <c r="B1777" s="141" t="s">
        <v>5343</v>
      </c>
      <c r="C1777" s="140"/>
      <c r="D1777" s="141" t="s">
        <v>5344</v>
      </c>
      <c r="E1777" s="140"/>
      <c r="F1777" s="140"/>
      <c r="G1777" s="140"/>
    </row>
    <row r="1778" spans="2:7" hidden="1">
      <c r="B1778" s="140" t="s">
        <v>5345</v>
      </c>
      <c r="C1778" s="140"/>
      <c r="D1778" s="140" t="s">
        <v>5346</v>
      </c>
      <c r="E1778" s="142"/>
      <c r="F1778" s="142"/>
      <c r="G1778" s="140"/>
    </row>
    <row r="1779" spans="2:7" hidden="1">
      <c r="B1779" s="141" t="s">
        <v>5347</v>
      </c>
      <c r="C1779" s="140"/>
      <c r="D1779" s="141" t="s">
        <v>5348</v>
      </c>
      <c r="E1779" s="140"/>
      <c r="F1779" s="140"/>
      <c r="G1779" s="140"/>
    </row>
    <row r="1780" spans="2:7" hidden="1">
      <c r="B1780" s="141" t="s">
        <v>5349</v>
      </c>
      <c r="C1780" s="140"/>
      <c r="D1780" s="141" t="s">
        <v>5350</v>
      </c>
      <c r="E1780" s="140"/>
      <c r="F1780" s="140"/>
      <c r="G1780" s="140"/>
    </row>
    <row r="1781" spans="2:7" hidden="1">
      <c r="B1781" s="141" t="s">
        <v>5351</v>
      </c>
      <c r="C1781" s="140" t="s">
        <v>5352</v>
      </c>
      <c r="D1781" s="141" t="s">
        <v>3271</v>
      </c>
      <c r="E1781" s="140"/>
      <c r="F1781" s="140" t="s">
        <v>5353</v>
      </c>
      <c r="G1781" s="140"/>
    </row>
    <row r="1782" spans="2:7" hidden="1">
      <c r="B1782" s="140" t="s">
        <v>5354</v>
      </c>
      <c r="C1782" s="140"/>
      <c r="D1782" s="140" t="s">
        <v>5355</v>
      </c>
      <c r="E1782" s="142"/>
      <c r="F1782" s="142"/>
      <c r="G1782" s="140"/>
    </row>
    <row r="1783" spans="2:7" hidden="1">
      <c r="B1783" s="141" t="s">
        <v>5356</v>
      </c>
      <c r="C1783" s="140" t="s">
        <v>5357</v>
      </c>
      <c r="D1783" s="141" t="s">
        <v>5358</v>
      </c>
      <c r="E1783" s="140" t="s">
        <v>5359</v>
      </c>
      <c r="F1783" s="140" t="s">
        <v>5360</v>
      </c>
      <c r="G1783" s="140" t="s">
        <v>5361</v>
      </c>
    </row>
    <row r="1784" spans="2:7" hidden="1">
      <c r="B1784" s="140" t="s">
        <v>5362</v>
      </c>
      <c r="C1784" s="141"/>
      <c r="D1784" s="141" t="s">
        <v>5330</v>
      </c>
      <c r="E1784" s="141"/>
      <c r="F1784" s="141"/>
      <c r="G1784" s="140"/>
    </row>
    <row r="1785" spans="2:7" hidden="1">
      <c r="B1785" s="140" t="s">
        <v>5363</v>
      </c>
      <c r="C1785" s="140"/>
      <c r="D1785" s="140" t="s">
        <v>5364</v>
      </c>
      <c r="E1785" s="142"/>
      <c r="F1785" s="142"/>
      <c r="G1785" s="140"/>
    </row>
    <row r="1786" spans="2:7" hidden="1">
      <c r="B1786" s="141" t="s">
        <v>5365</v>
      </c>
      <c r="C1786" s="140"/>
      <c r="D1786" s="141" t="s">
        <v>5366</v>
      </c>
      <c r="E1786" s="140"/>
      <c r="F1786" s="140"/>
      <c r="G1786" s="140"/>
    </row>
    <row r="1787" spans="2:7" hidden="1">
      <c r="B1787" s="140" t="s">
        <v>5367</v>
      </c>
      <c r="C1787" s="140" t="s">
        <v>5368</v>
      </c>
      <c r="D1787" s="140" t="s">
        <v>5369</v>
      </c>
      <c r="E1787" s="142" t="s">
        <v>5370</v>
      </c>
      <c r="F1787" s="142"/>
      <c r="G1787" s="140"/>
    </row>
    <row r="1788" spans="2:7" hidden="1">
      <c r="B1788" s="140" t="s">
        <v>5371</v>
      </c>
      <c r="C1788" s="140"/>
      <c r="D1788" s="140" t="s">
        <v>5372</v>
      </c>
      <c r="E1788" s="142"/>
      <c r="F1788" s="142"/>
      <c r="G1788" s="140"/>
    </row>
    <row r="1789" spans="2:7" hidden="1">
      <c r="B1789" s="140" t="s">
        <v>5373</v>
      </c>
      <c r="C1789" s="140"/>
      <c r="D1789" s="140" t="s">
        <v>5374</v>
      </c>
      <c r="E1789" s="140"/>
      <c r="F1789" s="140"/>
      <c r="G1789" s="140"/>
    </row>
    <row r="1790" spans="2:7" hidden="1">
      <c r="B1790" s="141" t="s">
        <v>5375</v>
      </c>
      <c r="C1790" s="140"/>
      <c r="D1790" s="141" t="s">
        <v>5376</v>
      </c>
      <c r="E1790" s="140"/>
      <c r="F1790" s="140"/>
      <c r="G1790" s="140"/>
    </row>
    <row r="1791" spans="2:7" hidden="1">
      <c r="B1791" s="141" t="s">
        <v>5377</v>
      </c>
      <c r="C1791" s="140"/>
      <c r="D1791" s="141" t="s">
        <v>5378</v>
      </c>
      <c r="E1791" s="140"/>
      <c r="F1791" s="140"/>
      <c r="G1791" s="140"/>
    </row>
    <row r="1792" spans="2:7" hidden="1">
      <c r="B1792" s="141" t="s">
        <v>5379</v>
      </c>
      <c r="C1792" s="140"/>
      <c r="D1792" s="141" t="s">
        <v>5380</v>
      </c>
      <c r="E1792" s="140"/>
      <c r="F1792" s="140"/>
      <c r="G1792" s="140"/>
    </row>
    <row r="1793" spans="2:7" hidden="1">
      <c r="B1793" s="141" t="s">
        <v>5381</v>
      </c>
      <c r="C1793" s="140"/>
      <c r="D1793" s="141" t="s">
        <v>5382</v>
      </c>
      <c r="E1793" s="140"/>
      <c r="F1793" s="140"/>
      <c r="G1793" s="140"/>
    </row>
    <row r="1794" spans="2:7" hidden="1">
      <c r="B1794" s="141" t="s">
        <v>5383</v>
      </c>
      <c r="C1794" s="140" t="s">
        <v>5384</v>
      </c>
      <c r="D1794" s="141" t="s">
        <v>5385</v>
      </c>
      <c r="E1794" s="140"/>
      <c r="F1794" s="140"/>
      <c r="G1794" s="140"/>
    </row>
    <row r="1795" spans="2:7" hidden="1">
      <c r="B1795" s="141" t="s">
        <v>5386</v>
      </c>
      <c r="C1795" s="141"/>
      <c r="D1795" s="141" t="s">
        <v>5387</v>
      </c>
      <c r="E1795" s="141"/>
      <c r="F1795" s="141"/>
      <c r="G1795" s="140"/>
    </row>
    <row r="1796" spans="2:7" hidden="1">
      <c r="B1796" s="141" t="s">
        <v>5388</v>
      </c>
      <c r="C1796" s="140"/>
      <c r="D1796" s="141" t="s">
        <v>5389</v>
      </c>
      <c r="E1796" s="140"/>
      <c r="F1796" s="140"/>
      <c r="G1796" s="140"/>
    </row>
    <row r="1797" spans="2:7" hidden="1">
      <c r="B1797" s="141" t="s">
        <v>5390</v>
      </c>
      <c r="C1797" s="140"/>
      <c r="D1797" s="141" t="s">
        <v>5391</v>
      </c>
      <c r="E1797" s="140"/>
      <c r="F1797" s="140"/>
      <c r="G1797" s="140"/>
    </row>
    <row r="1798" spans="2:7" hidden="1">
      <c r="B1798" s="141" t="s">
        <v>5392</v>
      </c>
      <c r="C1798" s="140"/>
      <c r="D1798" s="141" t="s">
        <v>5393</v>
      </c>
      <c r="E1798" s="140"/>
      <c r="F1798" s="140"/>
      <c r="G1798" s="140"/>
    </row>
    <row r="1799" spans="2:7" hidden="1">
      <c r="B1799" s="141" t="s">
        <v>5394</v>
      </c>
      <c r="C1799" s="141"/>
      <c r="D1799" s="141" t="s">
        <v>5031</v>
      </c>
      <c r="E1799" s="141"/>
      <c r="F1799" s="140"/>
      <c r="G1799" s="140"/>
    </row>
    <row r="1800" spans="2:7" hidden="1">
      <c r="B1800" s="140" t="s">
        <v>5395</v>
      </c>
      <c r="C1800" s="140"/>
      <c r="D1800" s="140" t="s">
        <v>5396</v>
      </c>
      <c r="E1800" s="142"/>
      <c r="F1800" s="142"/>
      <c r="G1800" s="140"/>
    </row>
    <row r="1801" spans="2:7" hidden="1">
      <c r="B1801" s="140" t="s">
        <v>5397</v>
      </c>
      <c r="C1801" s="140"/>
      <c r="D1801" s="140" t="s">
        <v>3710</v>
      </c>
      <c r="E1801" s="142"/>
      <c r="F1801" s="142"/>
      <c r="G1801" s="140"/>
    </row>
    <row r="1802" spans="2:7" hidden="1">
      <c r="B1802" s="140" t="s">
        <v>21587</v>
      </c>
      <c r="C1802" s="140"/>
      <c r="D1802" s="140" t="s">
        <v>5398</v>
      </c>
      <c r="E1802" s="142"/>
      <c r="F1802" s="142"/>
      <c r="G1802" s="140"/>
    </row>
    <row r="1803" spans="2:7" hidden="1">
      <c r="B1803" s="141" t="s">
        <v>5399</v>
      </c>
      <c r="C1803" s="140"/>
      <c r="D1803" s="141" t="s">
        <v>3013</v>
      </c>
      <c r="E1803" s="140"/>
      <c r="F1803" s="140"/>
      <c r="G1803" s="140"/>
    </row>
    <row r="1804" spans="2:7" hidden="1">
      <c r="B1804" s="141" t="s">
        <v>21588</v>
      </c>
      <c r="C1804" s="140"/>
      <c r="D1804" s="141" t="s">
        <v>5031</v>
      </c>
      <c r="E1804" s="140"/>
      <c r="F1804" s="140"/>
      <c r="G1804" s="140"/>
    </row>
    <row r="1805" spans="2:7" hidden="1">
      <c r="B1805" s="141" t="s">
        <v>5400</v>
      </c>
      <c r="C1805" s="140" t="s">
        <v>5401</v>
      </c>
      <c r="D1805" s="141" t="s">
        <v>5402</v>
      </c>
      <c r="E1805" s="140"/>
      <c r="F1805" s="140"/>
      <c r="G1805" s="140"/>
    </row>
    <row r="1806" spans="2:7" hidden="1">
      <c r="B1806" s="140" t="s">
        <v>5403</v>
      </c>
      <c r="C1806" s="140" t="s">
        <v>5404</v>
      </c>
      <c r="D1806" s="140" t="s">
        <v>5405</v>
      </c>
      <c r="E1806" s="140" t="s">
        <v>5406</v>
      </c>
      <c r="F1806" s="140" t="s">
        <v>5407</v>
      </c>
      <c r="G1806" s="140"/>
    </row>
    <row r="1807" spans="2:7" hidden="1">
      <c r="B1807" s="141" t="s">
        <v>5408</v>
      </c>
      <c r="C1807" s="140" t="s">
        <v>5409</v>
      </c>
      <c r="D1807" s="141" t="s">
        <v>5410</v>
      </c>
      <c r="E1807" s="140"/>
      <c r="F1807" s="140" t="s">
        <v>5411</v>
      </c>
      <c r="G1807" s="140"/>
    </row>
    <row r="1808" spans="2:7" hidden="1">
      <c r="B1808" s="141" t="s">
        <v>5412</v>
      </c>
      <c r="C1808" s="141"/>
      <c r="D1808" s="141" t="s">
        <v>5413</v>
      </c>
      <c r="E1808" s="141"/>
      <c r="F1808" s="140"/>
      <c r="G1808" s="140"/>
    </row>
    <row r="1809" spans="2:7" hidden="1">
      <c r="B1809" s="141" t="s">
        <v>5414</v>
      </c>
      <c r="C1809" s="140"/>
      <c r="D1809" s="141" t="s">
        <v>998</v>
      </c>
      <c r="E1809" s="141"/>
      <c r="F1809" s="141"/>
      <c r="G1809" s="140"/>
    </row>
    <row r="1810" spans="2:7" hidden="1">
      <c r="B1810" s="140" t="s">
        <v>21589</v>
      </c>
      <c r="C1810" s="140"/>
      <c r="D1810" s="140" t="s">
        <v>5415</v>
      </c>
      <c r="E1810" s="142"/>
      <c r="F1810" s="142"/>
      <c r="G1810" s="140"/>
    </row>
    <row r="1811" spans="2:7" hidden="1">
      <c r="B1811" s="141" t="s">
        <v>5416</v>
      </c>
      <c r="C1811" s="140"/>
      <c r="D1811" s="141" t="s">
        <v>5417</v>
      </c>
      <c r="E1811" s="140"/>
      <c r="F1811" s="140"/>
      <c r="G1811" s="140"/>
    </row>
    <row r="1812" spans="2:7" hidden="1">
      <c r="B1812" s="141" t="s">
        <v>5418</v>
      </c>
      <c r="C1812" s="140"/>
      <c r="D1812" s="141" t="s">
        <v>5419</v>
      </c>
      <c r="E1812" s="140"/>
      <c r="F1812" s="140"/>
      <c r="G1812" s="140"/>
    </row>
    <row r="1813" spans="2:7" hidden="1">
      <c r="B1813" s="140" t="s">
        <v>5420</v>
      </c>
      <c r="C1813" s="140"/>
      <c r="D1813" s="140" t="s">
        <v>5421</v>
      </c>
      <c r="E1813" s="142"/>
      <c r="F1813" s="142"/>
      <c r="G1813" s="140"/>
    </row>
    <row r="1814" spans="2:7" hidden="1">
      <c r="B1814" s="140" t="s">
        <v>5422</v>
      </c>
      <c r="C1814" s="140"/>
      <c r="D1814" s="140" t="s">
        <v>5423</v>
      </c>
      <c r="E1814" s="142"/>
      <c r="F1814" s="142"/>
      <c r="G1814" s="140"/>
    </row>
    <row r="1815" spans="2:7" hidden="1">
      <c r="B1815" s="140" t="s">
        <v>5424</v>
      </c>
      <c r="C1815" s="140" t="s">
        <v>5425</v>
      </c>
      <c r="D1815" s="140" t="s">
        <v>5426</v>
      </c>
      <c r="E1815" s="142" t="s">
        <v>5427</v>
      </c>
      <c r="F1815" s="142" t="s">
        <v>5428</v>
      </c>
      <c r="G1815" s="140"/>
    </row>
    <row r="1816" spans="2:7" hidden="1">
      <c r="B1816" s="141" t="s">
        <v>5429</v>
      </c>
      <c r="C1816" s="140"/>
      <c r="D1816" s="141" t="s">
        <v>5430</v>
      </c>
      <c r="E1816" s="140" t="s">
        <v>5431</v>
      </c>
      <c r="F1816" s="140" t="s">
        <v>5432</v>
      </c>
      <c r="G1816" s="140"/>
    </row>
    <row r="1817" spans="2:7" hidden="1">
      <c r="B1817" s="141" t="s">
        <v>5433</v>
      </c>
      <c r="C1817" s="140" t="s">
        <v>5434</v>
      </c>
      <c r="D1817" s="141" t="s">
        <v>5199</v>
      </c>
      <c r="E1817" s="140" t="s">
        <v>5435</v>
      </c>
      <c r="F1817" s="140" t="s">
        <v>5436</v>
      </c>
      <c r="G1817" s="140"/>
    </row>
    <row r="1818" spans="2:7" hidden="1">
      <c r="B1818" s="141" t="s">
        <v>5437</v>
      </c>
      <c r="C1818" s="140"/>
      <c r="D1818" s="141" t="s">
        <v>4313</v>
      </c>
      <c r="E1818" s="140"/>
      <c r="F1818" s="140"/>
      <c r="G1818" s="140"/>
    </row>
    <row r="1819" spans="2:7" hidden="1">
      <c r="B1819" s="141" t="s">
        <v>5438</v>
      </c>
      <c r="C1819" s="141" t="s">
        <v>5439</v>
      </c>
      <c r="D1819" s="141" t="s">
        <v>5440</v>
      </c>
      <c r="E1819" s="141"/>
      <c r="F1819" s="140"/>
      <c r="G1819" s="140"/>
    </row>
    <row r="1820" spans="2:7" hidden="1">
      <c r="B1820" s="140" t="s">
        <v>5441</v>
      </c>
      <c r="C1820" s="140" t="s">
        <v>5442</v>
      </c>
      <c r="D1820" s="140" t="s">
        <v>5443</v>
      </c>
      <c r="E1820" s="142"/>
      <c r="F1820" s="142"/>
      <c r="G1820" s="140"/>
    </row>
    <row r="1821" spans="2:7" hidden="1">
      <c r="B1821" s="141" t="s">
        <v>5444</v>
      </c>
      <c r="C1821" s="140" t="s">
        <v>5445</v>
      </c>
      <c r="D1821" s="141" t="s">
        <v>5446</v>
      </c>
      <c r="E1821" s="140"/>
      <c r="F1821" s="140"/>
      <c r="G1821" s="140"/>
    </row>
    <row r="1822" spans="2:7" hidden="1">
      <c r="B1822" s="141" t="s">
        <v>5447</v>
      </c>
      <c r="C1822" s="140"/>
      <c r="D1822" s="141" t="s">
        <v>5448</v>
      </c>
      <c r="E1822" s="140"/>
      <c r="F1822" s="140"/>
      <c r="G1822" s="140"/>
    </row>
    <row r="1823" spans="2:7" hidden="1">
      <c r="B1823" s="141" t="s">
        <v>5449</v>
      </c>
      <c r="C1823" s="140"/>
      <c r="D1823" s="141" t="s">
        <v>5450</v>
      </c>
      <c r="E1823" s="140"/>
      <c r="F1823" s="140"/>
      <c r="G1823" s="140"/>
    </row>
    <row r="1824" spans="2:7" hidden="1">
      <c r="B1824" s="141" t="s">
        <v>5451</v>
      </c>
      <c r="C1824" s="140"/>
      <c r="D1824" s="141" t="s">
        <v>2168</v>
      </c>
      <c r="E1824" s="140" t="s">
        <v>5452</v>
      </c>
      <c r="F1824" s="140" t="s">
        <v>5453</v>
      </c>
      <c r="G1824" s="140"/>
    </row>
    <row r="1825" spans="2:7" hidden="1">
      <c r="B1825" s="141" t="s">
        <v>5454</v>
      </c>
      <c r="C1825" s="140"/>
      <c r="D1825" s="141" t="s">
        <v>5455</v>
      </c>
      <c r="E1825" s="140"/>
      <c r="F1825" s="140"/>
      <c r="G1825" s="140"/>
    </row>
    <row r="1826" spans="2:7" hidden="1">
      <c r="B1826" s="140" t="s">
        <v>5456</v>
      </c>
      <c r="C1826" s="140" t="s">
        <v>5457</v>
      </c>
      <c r="D1826" s="140" t="s">
        <v>5458</v>
      </c>
      <c r="E1826" s="142"/>
      <c r="F1826" s="142"/>
      <c r="G1826" s="140"/>
    </row>
    <row r="1827" spans="2:7" hidden="1">
      <c r="B1827" s="140" t="s">
        <v>5459</v>
      </c>
      <c r="C1827" s="140" t="s">
        <v>5460</v>
      </c>
      <c r="D1827" s="140" t="s">
        <v>1746</v>
      </c>
      <c r="E1827" s="142"/>
      <c r="F1827" s="142"/>
      <c r="G1827" s="140"/>
    </row>
    <row r="1828" spans="2:7" hidden="1">
      <c r="B1828" s="140" t="s">
        <v>5461</v>
      </c>
      <c r="C1828" s="140" t="s">
        <v>5462</v>
      </c>
      <c r="D1828" s="140" t="s">
        <v>5463</v>
      </c>
      <c r="E1828" s="142" t="s">
        <v>5464</v>
      </c>
      <c r="F1828" s="142" t="s">
        <v>5465</v>
      </c>
      <c r="G1828" s="140"/>
    </row>
    <row r="1829" spans="2:7" hidden="1">
      <c r="B1829" s="141" t="s">
        <v>5466</v>
      </c>
      <c r="C1829" s="141" t="s">
        <v>5467</v>
      </c>
      <c r="D1829" s="141" t="s">
        <v>5468</v>
      </c>
      <c r="E1829" s="141"/>
      <c r="F1829" s="141"/>
      <c r="G1829" s="140"/>
    </row>
    <row r="1830" spans="2:7" hidden="1">
      <c r="B1830" s="140" t="s">
        <v>5469</v>
      </c>
      <c r="C1830" s="140"/>
      <c r="D1830" s="140" t="s">
        <v>4003</v>
      </c>
      <c r="E1830" s="142"/>
      <c r="F1830" s="142"/>
      <c r="G1830" s="140"/>
    </row>
    <row r="1831" spans="2:7" hidden="1">
      <c r="B1831" s="140" t="s">
        <v>5470</v>
      </c>
      <c r="C1831" s="140" t="s">
        <v>5471</v>
      </c>
      <c r="D1831" s="140" t="s">
        <v>5472</v>
      </c>
      <c r="E1831" s="142"/>
      <c r="F1831" s="142"/>
      <c r="G1831" s="140"/>
    </row>
    <row r="1832" spans="2:7" hidden="1">
      <c r="B1832" s="140" t="s">
        <v>5473</v>
      </c>
      <c r="C1832" s="140" t="s">
        <v>5474</v>
      </c>
      <c r="D1832" s="140" t="s">
        <v>5475</v>
      </c>
      <c r="E1832" s="142"/>
      <c r="F1832" s="142"/>
      <c r="G1832" s="140"/>
    </row>
    <row r="1833" spans="2:7" hidden="1">
      <c r="B1833" s="141" t="s">
        <v>5476</v>
      </c>
      <c r="C1833" s="140" t="s">
        <v>5477</v>
      </c>
      <c r="D1833" s="141" t="s">
        <v>5478</v>
      </c>
      <c r="E1833" s="140"/>
      <c r="F1833" s="140"/>
      <c r="G1833" s="140"/>
    </row>
    <row r="1834" spans="2:7" hidden="1">
      <c r="B1834" s="141" t="s">
        <v>5479</v>
      </c>
      <c r="C1834" s="140" t="s">
        <v>5480</v>
      </c>
      <c r="D1834" s="141" t="s">
        <v>5481</v>
      </c>
      <c r="E1834" s="140" t="s">
        <v>5482</v>
      </c>
      <c r="F1834" s="140"/>
      <c r="G1834" s="140"/>
    </row>
    <row r="1835" spans="2:7" hidden="1">
      <c r="B1835" s="141" t="s">
        <v>5483</v>
      </c>
      <c r="C1835" s="140"/>
      <c r="D1835" s="141" t="s">
        <v>5484</v>
      </c>
      <c r="E1835" s="140"/>
      <c r="F1835" s="140"/>
      <c r="G1835" s="140"/>
    </row>
    <row r="1836" spans="2:7" hidden="1">
      <c r="B1836" s="141" t="s">
        <v>5485</v>
      </c>
      <c r="C1836" s="140" t="s">
        <v>5486</v>
      </c>
      <c r="D1836" s="141" t="s">
        <v>5487</v>
      </c>
      <c r="E1836" s="140"/>
      <c r="F1836" s="140"/>
      <c r="G1836" s="140"/>
    </row>
    <row r="1837" spans="2:7" hidden="1">
      <c r="B1837" s="140" t="s">
        <v>5488</v>
      </c>
      <c r="C1837" s="140" t="s">
        <v>5489</v>
      </c>
      <c r="D1837" s="140" t="s">
        <v>5490</v>
      </c>
      <c r="E1837" s="142"/>
      <c r="F1837" s="142"/>
      <c r="G1837" s="140"/>
    </row>
    <row r="1838" spans="2:7" hidden="1">
      <c r="B1838" s="141" t="s">
        <v>5491</v>
      </c>
      <c r="C1838" s="140" t="s">
        <v>5492</v>
      </c>
      <c r="D1838" s="141" t="s">
        <v>5493</v>
      </c>
      <c r="E1838" s="140"/>
      <c r="F1838" s="140"/>
      <c r="G1838" s="140"/>
    </row>
    <row r="1839" spans="2:7" hidden="1">
      <c r="B1839" s="141" t="s">
        <v>5494</v>
      </c>
      <c r="C1839" s="140"/>
      <c r="D1839" s="141" t="s">
        <v>1746</v>
      </c>
      <c r="E1839" s="140"/>
      <c r="F1839" s="140"/>
      <c r="G1839" s="140"/>
    </row>
    <row r="1840" spans="2:7" hidden="1">
      <c r="B1840" s="141" t="s">
        <v>5495</v>
      </c>
      <c r="C1840" s="140"/>
      <c r="D1840" s="141" t="s">
        <v>5496</v>
      </c>
      <c r="E1840" s="140"/>
      <c r="F1840" s="140"/>
      <c r="G1840" s="140"/>
    </row>
    <row r="1841" spans="2:7" hidden="1">
      <c r="B1841" s="141" t="s">
        <v>5497</v>
      </c>
      <c r="C1841" s="140" t="s">
        <v>5498</v>
      </c>
      <c r="D1841" s="141" t="s">
        <v>5499</v>
      </c>
      <c r="E1841" s="140" t="s">
        <v>5500</v>
      </c>
      <c r="F1841" s="140"/>
      <c r="G1841" s="140"/>
    </row>
    <row r="1842" spans="2:7" hidden="1">
      <c r="B1842" s="141" t="s">
        <v>5501</v>
      </c>
      <c r="C1842" s="140" t="s">
        <v>5502</v>
      </c>
      <c r="D1842" s="141" t="s">
        <v>5503</v>
      </c>
      <c r="E1842" s="140" t="s">
        <v>5504</v>
      </c>
      <c r="F1842" s="140"/>
      <c r="G1842" s="140"/>
    </row>
    <row r="1843" spans="2:7" hidden="1">
      <c r="B1843" s="141" t="s">
        <v>5505</v>
      </c>
      <c r="C1843" s="140" t="s">
        <v>5506</v>
      </c>
      <c r="D1843" s="141" t="s">
        <v>5507</v>
      </c>
      <c r="E1843" s="140"/>
      <c r="F1843" s="140"/>
      <c r="G1843" s="140"/>
    </row>
    <row r="1844" spans="2:7" hidden="1">
      <c r="B1844" s="141" t="s">
        <v>5508</v>
      </c>
      <c r="C1844" s="140" t="s">
        <v>5509</v>
      </c>
      <c r="D1844" s="141" t="s">
        <v>5510</v>
      </c>
      <c r="E1844" s="140" t="s">
        <v>5511</v>
      </c>
      <c r="F1844" s="140" t="s">
        <v>5512</v>
      </c>
      <c r="G1844" s="140"/>
    </row>
    <row r="1845" spans="2:7" hidden="1">
      <c r="B1845" s="140" t="s">
        <v>5513</v>
      </c>
      <c r="C1845" s="140"/>
      <c r="D1845" s="140" t="s">
        <v>5514</v>
      </c>
      <c r="E1845" s="140"/>
      <c r="F1845" s="140"/>
      <c r="G1845" s="140"/>
    </row>
    <row r="1846" spans="2:7" hidden="1">
      <c r="B1846" s="141" t="s">
        <v>21590</v>
      </c>
      <c r="C1846" s="140"/>
      <c r="D1846" s="141" t="s">
        <v>2781</v>
      </c>
      <c r="E1846" s="140"/>
      <c r="F1846" s="140"/>
      <c r="G1846" s="140"/>
    </row>
    <row r="1847" spans="2:7" hidden="1">
      <c r="B1847" s="141" t="s">
        <v>5515</v>
      </c>
      <c r="C1847" s="140"/>
      <c r="D1847" s="141" t="s">
        <v>5516</v>
      </c>
      <c r="E1847" s="140"/>
      <c r="F1847" s="140"/>
      <c r="G1847" s="140"/>
    </row>
    <row r="1848" spans="2:7" hidden="1">
      <c r="B1848" s="141" t="s">
        <v>5517</v>
      </c>
      <c r="C1848" s="140"/>
      <c r="D1848" s="141" t="s">
        <v>5518</v>
      </c>
      <c r="E1848" s="140"/>
      <c r="F1848" s="140"/>
      <c r="G1848" s="140"/>
    </row>
    <row r="1849" spans="2:7" hidden="1">
      <c r="B1849" s="141" t="s">
        <v>5519</v>
      </c>
      <c r="C1849" s="140"/>
      <c r="D1849" s="141" t="s">
        <v>5520</v>
      </c>
      <c r="E1849" s="140"/>
      <c r="F1849" s="140"/>
      <c r="G1849" s="140"/>
    </row>
    <row r="1850" spans="2:7" hidden="1">
      <c r="B1850" s="141" t="s">
        <v>5521</v>
      </c>
      <c r="C1850" s="140"/>
      <c r="D1850" s="141" t="s">
        <v>5522</v>
      </c>
      <c r="E1850" s="140"/>
      <c r="F1850" s="140"/>
      <c r="G1850" s="140"/>
    </row>
    <row r="1851" spans="2:7" hidden="1">
      <c r="B1851" s="140" t="s">
        <v>5523</v>
      </c>
      <c r="C1851" s="140" t="s">
        <v>5524</v>
      </c>
      <c r="D1851" s="140" t="s">
        <v>5525</v>
      </c>
      <c r="E1851" s="142"/>
      <c r="F1851" s="142"/>
      <c r="G1851" s="140" t="s">
        <v>5526</v>
      </c>
    </row>
    <row r="1852" spans="2:7" hidden="1">
      <c r="B1852" s="141" t="s">
        <v>5527</v>
      </c>
      <c r="C1852" s="140"/>
      <c r="D1852" s="141" t="s">
        <v>5516</v>
      </c>
      <c r="E1852" s="140"/>
      <c r="F1852" s="140"/>
      <c r="G1852" s="140"/>
    </row>
    <row r="1853" spans="2:7" hidden="1">
      <c r="B1853" s="141" t="s">
        <v>5528</v>
      </c>
      <c r="C1853" s="140" t="s">
        <v>5529</v>
      </c>
      <c r="D1853" s="141" t="s">
        <v>3980</v>
      </c>
      <c r="E1853" s="140" t="s">
        <v>5530</v>
      </c>
      <c r="F1853" s="140" t="s">
        <v>5531</v>
      </c>
      <c r="G1853" s="140"/>
    </row>
    <row r="1854" spans="2:7" hidden="1">
      <c r="B1854" s="141" t="s">
        <v>5532</v>
      </c>
      <c r="C1854" s="140"/>
      <c r="D1854" s="141" t="s">
        <v>5533</v>
      </c>
      <c r="E1854" s="140"/>
      <c r="F1854" s="140"/>
      <c r="G1854" s="140"/>
    </row>
    <row r="1855" spans="2:7" hidden="1">
      <c r="B1855" s="141" t="s">
        <v>5534</v>
      </c>
      <c r="C1855" s="140" t="s">
        <v>5535</v>
      </c>
      <c r="D1855" s="141" t="s">
        <v>5536</v>
      </c>
      <c r="E1855" s="140" t="s">
        <v>5537</v>
      </c>
      <c r="F1855" s="140" t="s">
        <v>5538</v>
      </c>
      <c r="G1855" s="140"/>
    </row>
    <row r="1856" spans="2:7" hidden="1">
      <c r="B1856" s="141" t="s">
        <v>5539</v>
      </c>
      <c r="C1856" s="140"/>
      <c r="D1856" s="141" t="s">
        <v>5540</v>
      </c>
      <c r="E1856" s="140"/>
      <c r="F1856" s="140"/>
      <c r="G1856" s="140"/>
    </row>
    <row r="1857" spans="2:13" hidden="1">
      <c r="B1857" s="141" t="s">
        <v>5541</v>
      </c>
      <c r="C1857" s="140" t="s">
        <v>5542</v>
      </c>
      <c r="D1857" s="141" t="s">
        <v>5543</v>
      </c>
      <c r="E1857" s="140" t="s">
        <v>5544</v>
      </c>
      <c r="F1857" s="140" t="s">
        <v>5545</v>
      </c>
      <c r="G1857" s="140"/>
    </row>
    <row r="1858" spans="2:13" hidden="1">
      <c r="B1858" s="141" t="s">
        <v>5546</v>
      </c>
      <c r="C1858" s="140"/>
      <c r="D1858" s="141" t="s">
        <v>5547</v>
      </c>
      <c r="E1858" s="140"/>
      <c r="F1858" s="140"/>
      <c r="G1858" s="140"/>
    </row>
    <row r="1859" spans="2:13" hidden="1">
      <c r="B1859" s="140" t="s">
        <v>5548</v>
      </c>
      <c r="C1859" s="140"/>
      <c r="D1859" s="140" t="s">
        <v>5549</v>
      </c>
      <c r="E1859" s="140"/>
      <c r="F1859" s="140"/>
      <c r="G1859" s="140"/>
    </row>
    <row r="1860" spans="2:13" hidden="1">
      <c r="B1860" s="141" t="s">
        <v>21591</v>
      </c>
      <c r="C1860" s="140"/>
      <c r="D1860" s="141" t="s">
        <v>5550</v>
      </c>
      <c r="E1860" s="140"/>
      <c r="F1860" s="140"/>
      <c r="G1860" s="140"/>
    </row>
    <row r="1861" spans="2:13" hidden="1">
      <c r="B1861" s="141" t="s">
        <v>21592</v>
      </c>
      <c r="C1861" s="140"/>
      <c r="D1861" s="141" t="s">
        <v>5551</v>
      </c>
      <c r="E1861" s="140"/>
      <c r="F1861" s="140"/>
      <c r="G1861" s="140"/>
    </row>
    <row r="1862" spans="2:13" hidden="1">
      <c r="B1862" s="141" t="s">
        <v>5552</v>
      </c>
      <c r="C1862" s="140" t="s">
        <v>5553</v>
      </c>
      <c r="D1862" s="141" t="s">
        <v>1249</v>
      </c>
      <c r="E1862" s="140" t="s">
        <v>5554</v>
      </c>
      <c r="F1862" s="140" t="s">
        <v>5555</v>
      </c>
      <c r="G1862" s="140"/>
    </row>
    <row r="1863" spans="2:13" hidden="1">
      <c r="B1863" s="141" t="s">
        <v>5556</v>
      </c>
      <c r="C1863" s="140" t="s">
        <v>5557</v>
      </c>
      <c r="D1863" s="141" t="s">
        <v>5558</v>
      </c>
      <c r="E1863" s="140" t="s">
        <v>5559</v>
      </c>
      <c r="F1863" s="140" t="s">
        <v>5560</v>
      </c>
      <c r="G1863" s="140"/>
    </row>
    <row r="1864" spans="2:13" hidden="1">
      <c r="B1864" s="140" t="s">
        <v>5561</v>
      </c>
      <c r="C1864" s="140"/>
      <c r="D1864" s="140" t="s">
        <v>5562</v>
      </c>
      <c r="E1864" s="142"/>
      <c r="F1864" s="142"/>
      <c r="G1864" s="140"/>
    </row>
    <row r="1865" spans="2:13" hidden="1">
      <c r="B1865" s="141" t="s">
        <v>5563</v>
      </c>
      <c r="C1865" s="140"/>
      <c r="D1865" s="141" t="s">
        <v>5564</v>
      </c>
      <c r="E1865" s="140"/>
      <c r="F1865" s="140"/>
      <c r="G1865" s="140"/>
    </row>
    <row r="1866" spans="2:13" hidden="1">
      <c r="B1866" s="141" t="s">
        <v>21593</v>
      </c>
      <c r="C1866" s="140"/>
      <c r="D1866" s="141" t="s">
        <v>5565</v>
      </c>
      <c r="E1866" s="140"/>
      <c r="F1866" s="140"/>
      <c r="G1866" s="140"/>
    </row>
    <row r="1867" spans="2:13" hidden="1">
      <c r="B1867" s="141" t="s">
        <v>21594</v>
      </c>
      <c r="C1867" s="140"/>
      <c r="D1867" s="141" t="s">
        <v>5566</v>
      </c>
      <c r="E1867" s="140"/>
      <c r="F1867" s="140"/>
      <c r="G1867" s="140"/>
    </row>
    <row r="1868" spans="2:13" hidden="1">
      <c r="B1868" s="141" t="s">
        <v>5567</v>
      </c>
      <c r="C1868" s="140"/>
      <c r="D1868" s="141" t="s">
        <v>5568</v>
      </c>
      <c r="E1868" s="140"/>
      <c r="F1868" s="140"/>
      <c r="G1868" s="140"/>
    </row>
    <row r="1869" spans="2:13" hidden="1">
      <c r="B1869" s="141" t="s">
        <v>5569</v>
      </c>
      <c r="C1869" s="140"/>
      <c r="D1869" s="141" t="s">
        <v>5570</v>
      </c>
      <c r="E1869" s="140"/>
      <c r="F1869" s="140"/>
      <c r="G1869" s="140"/>
    </row>
    <row r="1870" spans="2:13" hidden="1">
      <c r="B1870" s="141" t="s">
        <v>5571</v>
      </c>
      <c r="C1870" s="141"/>
      <c r="D1870" s="141" t="s">
        <v>5572</v>
      </c>
      <c r="E1870" s="141"/>
      <c r="F1870" s="141"/>
      <c r="G1870" s="140"/>
    </row>
    <row r="1871" spans="2:13" hidden="1">
      <c r="B1871" s="141" t="s">
        <v>5573</v>
      </c>
      <c r="C1871" s="140"/>
      <c r="D1871" s="141" t="s">
        <v>5574</v>
      </c>
      <c r="E1871" s="140"/>
      <c r="F1871" s="140"/>
      <c r="G1871" s="140"/>
      <c r="L1871" s="2"/>
      <c r="M1871" s="2"/>
    </row>
    <row r="1872" spans="2:13" hidden="1">
      <c r="B1872" s="140" t="s">
        <v>5575</v>
      </c>
      <c r="C1872" s="140"/>
      <c r="D1872" s="140" t="s">
        <v>5576</v>
      </c>
      <c r="E1872" s="142"/>
      <c r="F1872" s="142"/>
      <c r="G1872" s="140"/>
    </row>
    <row r="1873" spans="2:7" hidden="1">
      <c r="B1873" s="140" t="s">
        <v>5577</v>
      </c>
      <c r="C1873" s="140" t="s">
        <v>5578</v>
      </c>
      <c r="D1873" s="140" t="s">
        <v>5579</v>
      </c>
      <c r="E1873" s="142"/>
      <c r="F1873" s="142"/>
      <c r="G1873" s="140"/>
    </row>
    <row r="1874" spans="2:7" hidden="1">
      <c r="B1874" s="141" t="s">
        <v>5580</v>
      </c>
      <c r="C1874" s="141" t="s">
        <v>5581</v>
      </c>
      <c r="D1874" s="141" t="s">
        <v>5582</v>
      </c>
      <c r="E1874" s="141"/>
      <c r="F1874" s="140"/>
      <c r="G1874" s="140"/>
    </row>
    <row r="1875" spans="2:7" hidden="1">
      <c r="B1875" s="140" t="s">
        <v>21324</v>
      </c>
      <c r="C1875" s="140" t="s">
        <v>21322</v>
      </c>
      <c r="D1875" s="140" t="s">
        <v>21323</v>
      </c>
      <c r="E1875" s="142" t="s">
        <v>21325</v>
      </c>
      <c r="F1875" s="142"/>
      <c r="G1875" s="140"/>
    </row>
    <row r="1876" spans="2:7" hidden="1">
      <c r="B1876" s="141" t="s">
        <v>5583</v>
      </c>
      <c r="C1876" s="141" t="s">
        <v>5584</v>
      </c>
      <c r="D1876" s="141" t="s">
        <v>2168</v>
      </c>
      <c r="E1876" s="141" t="s">
        <v>5585</v>
      </c>
      <c r="F1876" s="141" t="s">
        <v>5586</v>
      </c>
      <c r="G1876" s="140"/>
    </row>
    <row r="1877" spans="2:7" hidden="1">
      <c r="B1877" s="141" t="s">
        <v>5587</v>
      </c>
      <c r="C1877" s="140" t="s">
        <v>5588</v>
      </c>
      <c r="D1877" s="141" t="s">
        <v>5589</v>
      </c>
      <c r="E1877" s="140"/>
      <c r="F1877" s="140"/>
      <c r="G1877" s="140"/>
    </row>
    <row r="1878" spans="2:7" hidden="1">
      <c r="B1878" s="141" t="s">
        <v>5590</v>
      </c>
      <c r="C1878" s="140" t="s">
        <v>5591</v>
      </c>
      <c r="D1878" s="141" t="s">
        <v>5592</v>
      </c>
      <c r="E1878" s="140" t="s">
        <v>5593</v>
      </c>
      <c r="F1878" s="140" t="s">
        <v>5594</v>
      </c>
      <c r="G1878" s="140" t="s">
        <v>5595</v>
      </c>
    </row>
    <row r="1879" spans="2:7" hidden="1">
      <c r="B1879" s="141" t="s">
        <v>5596</v>
      </c>
      <c r="C1879" s="140"/>
      <c r="D1879" s="141" t="s">
        <v>5597</v>
      </c>
      <c r="E1879" s="140"/>
      <c r="F1879" s="140"/>
      <c r="G1879" s="140"/>
    </row>
    <row r="1880" spans="2:7" hidden="1">
      <c r="B1880" s="141" t="s">
        <v>5598</v>
      </c>
      <c r="C1880" s="140" t="s">
        <v>5599</v>
      </c>
      <c r="D1880" s="141" t="s">
        <v>4817</v>
      </c>
      <c r="E1880" s="140" t="s">
        <v>5600</v>
      </c>
      <c r="F1880" s="140"/>
      <c r="G1880" s="140"/>
    </row>
    <row r="1881" spans="2:7" hidden="1">
      <c r="B1881" s="141" t="s">
        <v>5601</v>
      </c>
      <c r="C1881" s="140" t="s">
        <v>5602</v>
      </c>
      <c r="D1881" s="141" t="s">
        <v>4524</v>
      </c>
      <c r="E1881" s="140" t="s">
        <v>5603</v>
      </c>
      <c r="F1881" s="140"/>
      <c r="G1881" s="140"/>
    </row>
    <row r="1882" spans="2:7" hidden="1">
      <c r="B1882" s="141" t="s">
        <v>5604</v>
      </c>
      <c r="C1882" s="140"/>
      <c r="D1882" s="141" t="s">
        <v>2583</v>
      </c>
      <c r="E1882" s="140"/>
      <c r="F1882" s="140"/>
      <c r="G1882" s="140"/>
    </row>
    <row r="1883" spans="2:7" hidden="1">
      <c r="B1883" s="141" t="s">
        <v>5605</v>
      </c>
      <c r="C1883" s="140" t="s">
        <v>5606</v>
      </c>
      <c r="D1883" s="141" t="s">
        <v>5607</v>
      </c>
      <c r="E1883" s="140"/>
      <c r="F1883" s="140"/>
      <c r="G1883" s="140"/>
    </row>
    <row r="1884" spans="2:7" hidden="1">
      <c r="B1884" s="141" t="s">
        <v>21595</v>
      </c>
      <c r="C1884" s="140"/>
      <c r="D1884" s="141" t="s">
        <v>5608</v>
      </c>
      <c r="E1884" s="140"/>
      <c r="F1884" s="140"/>
      <c r="G1884" s="140"/>
    </row>
    <row r="1885" spans="2:7" hidden="1">
      <c r="B1885" s="140" t="s">
        <v>5609</v>
      </c>
      <c r="C1885" s="140"/>
      <c r="D1885" s="140" t="s">
        <v>5610</v>
      </c>
      <c r="E1885" s="142"/>
      <c r="F1885" s="142"/>
      <c r="G1885" s="140"/>
    </row>
    <row r="1886" spans="2:7" hidden="1">
      <c r="B1886" s="140" t="s">
        <v>5611</v>
      </c>
      <c r="C1886" s="140"/>
      <c r="D1886" s="141" t="s">
        <v>5612</v>
      </c>
      <c r="E1886" s="140"/>
      <c r="F1886" s="140"/>
      <c r="G1886" s="140"/>
    </row>
    <row r="1887" spans="2:7" hidden="1">
      <c r="B1887" s="141" t="s">
        <v>5613</v>
      </c>
      <c r="C1887" s="140"/>
      <c r="D1887" s="141" t="s">
        <v>5614</v>
      </c>
      <c r="E1887" s="140"/>
      <c r="F1887" s="140"/>
      <c r="G1887" s="140"/>
    </row>
    <row r="1888" spans="2:7" hidden="1">
      <c r="B1888" s="141" t="s">
        <v>5615</v>
      </c>
      <c r="C1888" s="140"/>
      <c r="D1888" s="141" t="s">
        <v>5616</v>
      </c>
      <c r="E1888" s="140"/>
      <c r="F1888" s="140"/>
      <c r="G1888" s="140"/>
    </row>
    <row r="1889" spans="2:7" hidden="1">
      <c r="B1889" s="141" t="s">
        <v>5617</v>
      </c>
      <c r="C1889" s="140"/>
      <c r="D1889" s="141" t="s">
        <v>5618</v>
      </c>
      <c r="E1889" s="140"/>
      <c r="F1889" s="140"/>
      <c r="G1889" s="140"/>
    </row>
    <row r="1890" spans="2:7" hidden="1">
      <c r="B1890" s="140" t="s">
        <v>5619</v>
      </c>
      <c r="C1890" s="140" t="s">
        <v>5620</v>
      </c>
      <c r="D1890" s="140" t="s">
        <v>5621</v>
      </c>
      <c r="E1890" s="142" t="s">
        <v>5622</v>
      </c>
      <c r="F1890" s="142" t="s">
        <v>5623</v>
      </c>
      <c r="G1890" s="140" t="s">
        <v>5624</v>
      </c>
    </row>
    <row r="1891" spans="2:7" hidden="1">
      <c r="B1891" s="140" t="s">
        <v>5625</v>
      </c>
      <c r="C1891" s="140"/>
      <c r="D1891" s="140" t="s">
        <v>5626</v>
      </c>
      <c r="E1891" s="142"/>
      <c r="F1891" s="142"/>
      <c r="G1891" s="140"/>
    </row>
    <row r="1892" spans="2:7" hidden="1">
      <c r="B1892" s="141" t="s">
        <v>5627</v>
      </c>
      <c r="C1892" s="140"/>
      <c r="D1892" s="141" t="s">
        <v>5628</v>
      </c>
      <c r="E1892" s="140"/>
      <c r="F1892" s="140"/>
      <c r="G1892" s="140"/>
    </row>
    <row r="1893" spans="2:7" hidden="1">
      <c r="B1893" s="140" t="s">
        <v>5629</v>
      </c>
      <c r="C1893" s="140"/>
      <c r="D1893" s="140" t="s">
        <v>4124</v>
      </c>
      <c r="E1893" s="142"/>
      <c r="F1893" s="142"/>
      <c r="G1893" s="140"/>
    </row>
    <row r="1894" spans="2:7" hidden="1">
      <c r="B1894" s="141" t="s">
        <v>5630</v>
      </c>
      <c r="C1894" s="140"/>
      <c r="D1894" s="141" t="s">
        <v>2891</v>
      </c>
      <c r="E1894" s="140"/>
      <c r="F1894" s="140"/>
      <c r="G1894" s="140"/>
    </row>
    <row r="1895" spans="2:7" hidden="1">
      <c r="B1895" s="141" t="s">
        <v>5631</v>
      </c>
      <c r="C1895" s="140" t="s">
        <v>5632</v>
      </c>
      <c r="D1895" s="141" t="s">
        <v>5633</v>
      </c>
      <c r="E1895" s="140"/>
      <c r="F1895" s="140"/>
      <c r="G1895" s="140"/>
    </row>
    <row r="1896" spans="2:7" hidden="1">
      <c r="B1896" s="141" t="s">
        <v>5634</v>
      </c>
      <c r="C1896" s="140" t="s">
        <v>5635</v>
      </c>
      <c r="D1896" s="141" t="s">
        <v>5636</v>
      </c>
      <c r="E1896" s="140"/>
      <c r="F1896" s="140"/>
      <c r="G1896" s="140" t="s">
        <v>5637</v>
      </c>
    </row>
    <row r="1897" spans="2:7" hidden="1">
      <c r="B1897" s="141" t="s">
        <v>5638</v>
      </c>
      <c r="C1897" s="140" t="s">
        <v>5639</v>
      </c>
      <c r="D1897" s="141" t="s">
        <v>5640</v>
      </c>
      <c r="E1897" s="140"/>
      <c r="F1897" s="140"/>
      <c r="G1897" s="140"/>
    </row>
    <row r="1898" spans="2:7" hidden="1">
      <c r="B1898" s="141" t="s">
        <v>5641</v>
      </c>
      <c r="C1898" s="140"/>
      <c r="D1898" s="141" t="s">
        <v>2842</v>
      </c>
      <c r="E1898" s="140"/>
      <c r="F1898" s="140"/>
      <c r="G1898" s="140"/>
    </row>
    <row r="1899" spans="2:7" hidden="1">
      <c r="B1899" s="141" t="s">
        <v>5642</v>
      </c>
      <c r="C1899" s="140" t="s">
        <v>5643</v>
      </c>
      <c r="D1899" s="140" t="s">
        <v>5644</v>
      </c>
      <c r="E1899" s="140" t="s">
        <v>5645</v>
      </c>
      <c r="F1899" s="140" t="s">
        <v>5646</v>
      </c>
      <c r="G1899" s="140" t="s">
        <v>5647</v>
      </c>
    </row>
    <row r="1900" spans="2:7" hidden="1">
      <c r="B1900" s="141" t="s">
        <v>5648</v>
      </c>
      <c r="C1900" s="140"/>
      <c r="D1900" s="141" t="s">
        <v>5649</v>
      </c>
      <c r="E1900" s="140"/>
      <c r="F1900" s="140"/>
      <c r="G1900" s="140"/>
    </row>
    <row r="1901" spans="2:7" hidden="1">
      <c r="B1901" s="140" t="s">
        <v>5650</v>
      </c>
      <c r="C1901" s="140"/>
      <c r="D1901" s="140" t="s">
        <v>5651</v>
      </c>
      <c r="E1901" s="142"/>
      <c r="F1901" s="142"/>
      <c r="G1901" s="140"/>
    </row>
    <row r="1902" spans="2:7" hidden="1">
      <c r="B1902" s="140" t="s">
        <v>5652</v>
      </c>
      <c r="C1902" s="140"/>
      <c r="D1902" s="140" t="s">
        <v>5653</v>
      </c>
      <c r="E1902" s="142"/>
      <c r="F1902" s="142"/>
      <c r="G1902" s="140"/>
    </row>
    <row r="1903" spans="2:7" hidden="1">
      <c r="B1903" s="141" t="s">
        <v>5654</v>
      </c>
      <c r="C1903" s="140"/>
      <c r="D1903" s="141" t="s">
        <v>5655</v>
      </c>
      <c r="E1903" s="140"/>
      <c r="F1903" s="140"/>
      <c r="G1903" s="140"/>
    </row>
    <row r="1904" spans="2:7" hidden="1">
      <c r="B1904" s="141" t="s">
        <v>5656</v>
      </c>
      <c r="C1904" s="140"/>
      <c r="D1904" s="141" t="s">
        <v>5657</v>
      </c>
      <c r="E1904" s="140"/>
      <c r="F1904" s="140"/>
      <c r="G1904" s="140"/>
    </row>
    <row r="1905" spans="2:7" hidden="1">
      <c r="B1905" s="141" t="s">
        <v>21596</v>
      </c>
      <c r="C1905" s="140"/>
      <c r="D1905" s="141" t="s">
        <v>5658</v>
      </c>
      <c r="E1905" s="140"/>
      <c r="F1905" s="140"/>
      <c r="G1905" s="140"/>
    </row>
    <row r="1906" spans="2:7" hidden="1">
      <c r="B1906" s="141" t="s">
        <v>21597</v>
      </c>
      <c r="C1906" s="140"/>
      <c r="D1906" s="141" t="s">
        <v>5659</v>
      </c>
      <c r="E1906" s="140"/>
      <c r="F1906" s="140"/>
      <c r="G1906" s="140"/>
    </row>
    <row r="1907" spans="2:7" hidden="1">
      <c r="B1907" s="141" t="s">
        <v>5660</v>
      </c>
      <c r="C1907" s="140"/>
      <c r="D1907" s="141" t="s">
        <v>5661</v>
      </c>
      <c r="E1907" s="140"/>
      <c r="F1907" s="140"/>
      <c r="G1907" s="140"/>
    </row>
    <row r="1908" spans="2:7" hidden="1">
      <c r="B1908" s="141" t="s">
        <v>5662</v>
      </c>
      <c r="C1908" s="140"/>
      <c r="D1908" s="141" t="s">
        <v>5663</v>
      </c>
      <c r="E1908" s="140"/>
      <c r="F1908" s="140"/>
      <c r="G1908" s="140"/>
    </row>
    <row r="1909" spans="2:7" hidden="1">
      <c r="B1909" s="141" t="s">
        <v>5664</v>
      </c>
      <c r="C1909" s="140"/>
      <c r="D1909" s="141" t="s">
        <v>5665</v>
      </c>
      <c r="E1909" s="140"/>
      <c r="F1909" s="140"/>
      <c r="G1909" s="140"/>
    </row>
    <row r="1910" spans="2:7" hidden="1">
      <c r="B1910" s="141" t="s">
        <v>5666</v>
      </c>
      <c r="C1910" s="140"/>
      <c r="D1910" s="141" t="s">
        <v>5037</v>
      </c>
      <c r="E1910" s="140"/>
      <c r="F1910" s="140"/>
      <c r="G1910" s="140"/>
    </row>
    <row r="1911" spans="2:7" hidden="1">
      <c r="B1911" s="141" t="s">
        <v>5667</v>
      </c>
      <c r="C1911" s="140" t="s">
        <v>5442</v>
      </c>
      <c r="D1911" s="141" t="s">
        <v>5443</v>
      </c>
      <c r="E1911" s="140" t="s">
        <v>5668</v>
      </c>
      <c r="F1911" s="140" t="s">
        <v>5669</v>
      </c>
      <c r="G1911" s="140"/>
    </row>
    <row r="1912" spans="2:7" hidden="1">
      <c r="B1912" s="141" t="s">
        <v>5670</v>
      </c>
      <c r="C1912" s="140" t="s">
        <v>5671</v>
      </c>
      <c r="D1912" s="141" t="s">
        <v>2566</v>
      </c>
      <c r="E1912" s="140" t="s">
        <v>5672</v>
      </c>
      <c r="F1912" s="140" t="s">
        <v>5673</v>
      </c>
      <c r="G1912" s="140"/>
    </row>
    <row r="1913" spans="2:7" hidden="1">
      <c r="B1913" s="141" t="s">
        <v>5674</v>
      </c>
      <c r="C1913" s="140"/>
      <c r="D1913" s="141" t="s">
        <v>5675</v>
      </c>
      <c r="E1913" s="140"/>
      <c r="F1913" s="140"/>
      <c r="G1913" s="140"/>
    </row>
    <row r="1914" spans="2:7" hidden="1">
      <c r="B1914" s="141" t="s">
        <v>5676</v>
      </c>
      <c r="C1914" s="140"/>
      <c r="D1914" s="141" t="s">
        <v>1626</v>
      </c>
      <c r="E1914" s="140"/>
      <c r="F1914" s="140"/>
      <c r="G1914" s="140"/>
    </row>
    <row r="1915" spans="2:7" hidden="1">
      <c r="B1915" s="141" t="s">
        <v>5677</v>
      </c>
      <c r="C1915" s="140" t="s">
        <v>5678</v>
      </c>
      <c r="D1915" s="141" t="s">
        <v>5679</v>
      </c>
      <c r="E1915" s="140" t="s">
        <v>5680</v>
      </c>
      <c r="F1915" s="140" t="s">
        <v>5681</v>
      </c>
      <c r="G1915" s="140"/>
    </row>
    <row r="1916" spans="2:7" hidden="1">
      <c r="B1916" s="140" t="s">
        <v>5682</v>
      </c>
      <c r="C1916" s="140"/>
      <c r="D1916" s="140" t="s">
        <v>5683</v>
      </c>
      <c r="E1916" s="140"/>
      <c r="F1916" s="140"/>
      <c r="G1916" s="140"/>
    </row>
    <row r="1917" spans="2:7" hidden="1">
      <c r="B1917" s="141" t="s">
        <v>5684</v>
      </c>
      <c r="C1917" s="140"/>
      <c r="D1917" s="141" t="s">
        <v>5685</v>
      </c>
      <c r="E1917" s="140"/>
      <c r="F1917" s="140"/>
      <c r="G1917" s="140"/>
    </row>
    <row r="1918" spans="2:7" hidden="1">
      <c r="B1918" s="141" t="s">
        <v>5686</v>
      </c>
      <c r="C1918" s="140"/>
      <c r="D1918" s="141" t="s">
        <v>2702</v>
      </c>
      <c r="E1918" s="140"/>
      <c r="F1918" s="140"/>
      <c r="G1918" s="140"/>
    </row>
    <row r="1919" spans="2:7" hidden="1">
      <c r="B1919" s="141" t="s">
        <v>5687</v>
      </c>
      <c r="C1919" s="140" t="s">
        <v>5688</v>
      </c>
      <c r="D1919" s="141" t="s">
        <v>5689</v>
      </c>
      <c r="E1919" s="140"/>
      <c r="F1919" s="140"/>
      <c r="G1919" s="140"/>
    </row>
    <row r="1920" spans="2:7" hidden="1">
      <c r="B1920" s="141" t="s">
        <v>5690</v>
      </c>
      <c r="C1920" s="140" t="s">
        <v>5691</v>
      </c>
      <c r="D1920" s="141" t="s">
        <v>4634</v>
      </c>
      <c r="E1920" s="140"/>
      <c r="F1920" s="140"/>
      <c r="G1920" s="140"/>
    </row>
    <row r="1921" spans="2:7" hidden="1">
      <c r="B1921" s="141" t="s">
        <v>5692</v>
      </c>
      <c r="C1921" s="140"/>
      <c r="D1921" s="141" t="s">
        <v>5693</v>
      </c>
      <c r="E1921" s="140"/>
      <c r="F1921" s="140"/>
      <c r="G1921" s="140"/>
    </row>
    <row r="1922" spans="2:7" hidden="1">
      <c r="B1922" s="141" t="s">
        <v>5694</v>
      </c>
      <c r="C1922" s="140"/>
      <c r="D1922" s="141" t="s">
        <v>5695</v>
      </c>
      <c r="E1922" s="140"/>
      <c r="F1922" s="140"/>
      <c r="G1922" s="140"/>
    </row>
    <row r="1923" spans="2:7" hidden="1">
      <c r="B1923" s="141" t="s">
        <v>5696</v>
      </c>
      <c r="C1923" s="140" t="s">
        <v>5697</v>
      </c>
      <c r="D1923" s="141" t="s">
        <v>5698</v>
      </c>
      <c r="E1923" s="140"/>
      <c r="F1923" s="140"/>
      <c r="G1923" s="140"/>
    </row>
    <row r="1924" spans="2:7" hidden="1">
      <c r="B1924" s="141" t="s">
        <v>5699</v>
      </c>
      <c r="C1924" s="141" t="s">
        <v>5700</v>
      </c>
      <c r="D1924" s="141" t="s">
        <v>5701</v>
      </c>
      <c r="E1924" s="141" t="s">
        <v>5702</v>
      </c>
      <c r="F1924" s="141"/>
      <c r="G1924" s="140"/>
    </row>
    <row r="1925" spans="2:7" hidden="1">
      <c r="B1925" s="140" t="s">
        <v>5703</v>
      </c>
      <c r="C1925" s="140"/>
      <c r="D1925" s="140" t="s">
        <v>5364</v>
      </c>
      <c r="E1925" s="142"/>
      <c r="F1925" s="142"/>
      <c r="G1925" s="140"/>
    </row>
    <row r="1926" spans="2:7" hidden="1">
      <c r="B1926" s="141" t="s">
        <v>5704</v>
      </c>
      <c r="C1926" s="140"/>
      <c r="D1926" s="141" t="s">
        <v>5705</v>
      </c>
      <c r="E1926" s="140"/>
      <c r="F1926" s="140"/>
      <c r="G1926" s="140"/>
    </row>
    <row r="1927" spans="2:7" hidden="1">
      <c r="B1927" s="141" t="s">
        <v>5706</v>
      </c>
      <c r="C1927" s="140"/>
      <c r="D1927" s="141" t="s">
        <v>5707</v>
      </c>
      <c r="E1927" s="140"/>
      <c r="F1927" s="140"/>
      <c r="G1927" s="140"/>
    </row>
    <row r="1928" spans="2:7" hidden="1">
      <c r="B1928" s="141" t="s">
        <v>5708</v>
      </c>
      <c r="C1928" s="140"/>
      <c r="D1928" s="141" t="s">
        <v>5709</v>
      </c>
      <c r="E1928" s="140"/>
      <c r="F1928" s="140"/>
      <c r="G1928" s="140"/>
    </row>
    <row r="1929" spans="2:7" hidden="1">
      <c r="B1929" s="141" t="s">
        <v>5710</v>
      </c>
      <c r="C1929" s="141" t="s">
        <v>5711</v>
      </c>
      <c r="D1929" s="141" t="s">
        <v>5712</v>
      </c>
      <c r="E1929" s="141" t="s">
        <v>5713</v>
      </c>
      <c r="F1929" s="140" t="s">
        <v>5714</v>
      </c>
      <c r="G1929" s="140"/>
    </row>
    <row r="1930" spans="2:7" hidden="1">
      <c r="B1930" s="141" t="s">
        <v>5715</v>
      </c>
      <c r="C1930" s="140" t="s">
        <v>5716</v>
      </c>
      <c r="D1930" s="141" t="s">
        <v>2098</v>
      </c>
      <c r="E1930" s="140"/>
      <c r="F1930" s="140"/>
      <c r="G1930" s="140"/>
    </row>
    <row r="1931" spans="2:7" hidden="1">
      <c r="B1931" s="141" t="s">
        <v>5717</v>
      </c>
      <c r="C1931" s="140"/>
      <c r="D1931" s="141" t="s">
        <v>5718</v>
      </c>
      <c r="E1931" s="140"/>
      <c r="F1931" s="140"/>
      <c r="G1931" s="140"/>
    </row>
    <row r="1932" spans="2:7" hidden="1">
      <c r="B1932" s="140" t="s">
        <v>5719</v>
      </c>
      <c r="C1932" s="140"/>
      <c r="D1932" s="140" t="s">
        <v>2377</v>
      </c>
      <c r="E1932" s="142"/>
      <c r="F1932" s="142"/>
      <c r="G1932" s="140"/>
    </row>
    <row r="1933" spans="2:7" hidden="1">
      <c r="B1933" s="141" t="s">
        <v>5720</v>
      </c>
      <c r="C1933" s="140"/>
      <c r="D1933" s="141" t="s">
        <v>5721</v>
      </c>
      <c r="E1933" s="140"/>
      <c r="F1933" s="140"/>
      <c r="G1933" s="140"/>
    </row>
    <row r="1934" spans="2:7" hidden="1">
      <c r="B1934" s="141" t="s">
        <v>5722</v>
      </c>
      <c r="C1934" s="140"/>
      <c r="D1934" s="141" t="s">
        <v>5723</v>
      </c>
      <c r="E1934" s="140"/>
      <c r="F1934" s="140"/>
      <c r="G1934" s="140"/>
    </row>
    <row r="1935" spans="2:7" hidden="1">
      <c r="B1935" s="140" t="s">
        <v>21598</v>
      </c>
      <c r="C1935" s="140" t="s">
        <v>5724</v>
      </c>
      <c r="D1935" s="140" t="s">
        <v>5725</v>
      </c>
      <c r="E1935" s="142" t="s">
        <v>5726</v>
      </c>
      <c r="F1935" s="142" t="s">
        <v>5727</v>
      </c>
      <c r="G1935" s="140"/>
    </row>
    <row r="1936" spans="2:7" hidden="1">
      <c r="B1936" s="141" t="s">
        <v>5728</v>
      </c>
      <c r="C1936" s="140"/>
      <c r="D1936" s="141" t="s">
        <v>5729</v>
      </c>
      <c r="E1936" s="140"/>
      <c r="F1936" s="140"/>
      <c r="G1936" s="140"/>
    </row>
    <row r="1937" spans="2:7" hidden="1">
      <c r="B1937" s="140" t="s">
        <v>5730</v>
      </c>
      <c r="C1937" s="140" t="s">
        <v>5731</v>
      </c>
      <c r="D1937" s="140" t="s">
        <v>2699</v>
      </c>
      <c r="E1937" s="142" t="s">
        <v>5732</v>
      </c>
      <c r="F1937" s="142" t="s">
        <v>5733</v>
      </c>
      <c r="G1937" s="140"/>
    </row>
    <row r="1938" spans="2:7" hidden="1">
      <c r="B1938" s="141" t="s">
        <v>5734</v>
      </c>
      <c r="C1938" s="140" t="s">
        <v>5735</v>
      </c>
      <c r="D1938" s="141" t="s">
        <v>5736</v>
      </c>
      <c r="E1938" s="140" t="s">
        <v>5737</v>
      </c>
      <c r="F1938" s="140"/>
      <c r="G1938" s="140" t="s">
        <v>5738</v>
      </c>
    </row>
    <row r="1939" spans="2:7" hidden="1">
      <c r="B1939" s="141" t="s">
        <v>5739</v>
      </c>
      <c r="C1939" s="140" t="s">
        <v>5740</v>
      </c>
      <c r="D1939" s="141" t="s">
        <v>2781</v>
      </c>
      <c r="E1939" s="140"/>
      <c r="F1939" s="140"/>
      <c r="G1939" s="140"/>
    </row>
    <row r="1940" spans="2:7" hidden="1">
      <c r="B1940" s="141" t="s">
        <v>5741</v>
      </c>
      <c r="C1940" s="141" t="s">
        <v>5742</v>
      </c>
      <c r="D1940" s="141" t="s">
        <v>5743</v>
      </c>
      <c r="E1940" s="141" t="s">
        <v>5744</v>
      </c>
      <c r="F1940" s="141"/>
      <c r="G1940" s="140"/>
    </row>
    <row r="1941" spans="2:7" hidden="1">
      <c r="B1941" s="141" t="s">
        <v>21599</v>
      </c>
      <c r="C1941" s="140"/>
      <c r="D1941" s="141" t="s">
        <v>5745</v>
      </c>
      <c r="E1941" s="140"/>
      <c r="F1941" s="140"/>
      <c r="G1941" s="140"/>
    </row>
    <row r="1942" spans="2:7" hidden="1">
      <c r="B1942" s="141" t="s">
        <v>5746</v>
      </c>
      <c r="C1942" s="140"/>
      <c r="D1942" s="141" t="s">
        <v>5747</v>
      </c>
      <c r="E1942" s="140"/>
      <c r="F1942" s="140"/>
      <c r="G1942" s="140"/>
    </row>
    <row r="1943" spans="2:7" hidden="1">
      <c r="B1943" s="141" t="s">
        <v>5748</v>
      </c>
      <c r="C1943" s="140" t="s">
        <v>5749</v>
      </c>
      <c r="D1943" s="141" t="s">
        <v>5750</v>
      </c>
      <c r="E1943" s="140" t="s">
        <v>5751</v>
      </c>
      <c r="F1943" s="140" t="s">
        <v>5752</v>
      </c>
      <c r="G1943" s="140"/>
    </row>
    <row r="1944" spans="2:7" hidden="1">
      <c r="B1944" s="141" t="s">
        <v>5753</v>
      </c>
      <c r="C1944" s="140"/>
      <c r="D1944" s="141" t="s">
        <v>5754</v>
      </c>
      <c r="E1944" s="140"/>
      <c r="F1944" s="140"/>
      <c r="G1944" s="140"/>
    </row>
    <row r="1945" spans="2:7" hidden="1">
      <c r="B1945" s="140" t="s">
        <v>5755</v>
      </c>
      <c r="C1945" s="140" t="s">
        <v>5756</v>
      </c>
      <c r="D1945" s="140" t="s">
        <v>5757</v>
      </c>
      <c r="E1945" s="142" t="s">
        <v>5758</v>
      </c>
      <c r="F1945" s="142" t="s">
        <v>5759</v>
      </c>
      <c r="G1945" s="140"/>
    </row>
    <row r="1946" spans="2:7" hidden="1">
      <c r="B1946" s="140" t="s">
        <v>5760</v>
      </c>
      <c r="C1946" s="140"/>
      <c r="D1946" s="140" t="s">
        <v>5234</v>
      </c>
      <c r="E1946" s="142"/>
      <c r="F1946" s="142"/>
      <c r="G1946" s="140"/>
    </row>
    <row r="1947" spans="2:7" hidden="1">
      <c r="B1947" s="141" t="s">
        <v>5761</v>
      </c>
      <c r="C1947" s="140"/>
      <c r="D1947" s="141" t="s">
        <v>5762</v>
      </c>
      <c r="E1947" s="140"/>
      <c r="F1947" s="140"/>
      <c r="G1947" s="140"/>
    </row>
    <row r="1948" spans="2:7" hidden="1">
      <c r="B1948" s="141" t="s">
        <v>5763</v>
      </c>
      <c r="C1948" s="140" t="s">
        <v>5764</v>
      </c>
      <c r="D1948" s="141" t="s">
        <v>5765</v>
      </c>
      <c r="E1948" s="140"/>
      <c r="F1948" s="140"/>
      <c r="G1948" s="140"/>
    </row>
    <row r="1949" spans="2:7" hidden="1">
      <c r="B1949" s="141" t="s">
        <v>5766</v>
      </c>
      <c r="C1949" s="140"/>
      <c r="D1949" s="141" t="s">
        <v>5767</v>
      </c>
      <c r="E1949" s="140"/>
      <c r="F1949" s="140"/>
      <c r="G1949" s="140"/>
    </row>
    <row r="1950" spans="2:7" hidden="1">
      <c r="B1950" s="141" t="s">
        <v>5768</v>
      </c>
      <c r="C1950" s="140" t="s">
        <v>5769</v>
      </c>
      <c r="D1950" s="141" t="s">
        <v>5770</v>
      </c>
      <c r="E1950" s="140"/>
      <c r="F1950" s="140"/>
      <c r="G1950" s="140"/>
    </row>
    <row r="1951" spans="2:7" hidden="1">
      <c r="B1951" s="141" t="s">
        <v>5771</v>
      </c>
      <c r="C1951" s="140" t="s">
        <v>5772</v>
      </c>
      <c r="D1951" s="141" t="s">
        <v>5773</v>
      </c>
      <c r="E1951" s="140"/>
      <c r="F1951" s="140"/>
      <c r="G1951" s="140"/>
    </row>
    <row r="1952" spans="2:7" hidden="1">
      <c r="B1952" s="141" t="s">
        <v>5774</v>
      </c>
      <c r="C1952" s="140"/>
      <c r="D1952" s="141" t="s">
        <v>5775</v>
      </c>
      <c r="E1952" s="140"/>
      <c r="F1952" s="140"/>
      <c r="G1952" s="140"/>
    </row>
    <row r="1953" spans="2:7" hidden="1">
      <c r="B1953" s="141" t="s">
        <v>5776</v>
      </c>
      <c r="C1953" s="140" t="s">
        <v>5777</v>
      </c>
      <c r="D1953" s="141" t="s">
        <v>1483</v>
      </c>
      <c r="E1953" s="140"/>
      <c r="F1953" s="140"/>
      <c r="G1953" s="140" t="s">
        <v>5778</v>
      </c>
    </row>
    <row r="1954" spans="2:7" hidden="1">
      <c r="B1954" s="141" t="s">
        <v>5779</v>
      </c>
      <c r="C1954" s="140" t="s">
        <v>5780</v>
      </c>
      <c r="D1954" s="141" t="s">
        <v>5781</v>
      </c>
      <c r="E1954" s="140"/>
      <c r="F1954" s="140"/>
      <c r="G1954" s="140"/>
    </row>
    <row r="1955" spans="2:7" hidden="1">
      <c r="B1955" s="141" t="s">
        <v>5782</v>
      </c>
      <c r="C1955" s="140" t="s">
        <v>5783</v>
      </c>
      <c r="D1955" s="141" t="s">
        <v>2844</v>
      </c>
      <c r="E1955" s="140" t="s">
        <v>5784</v>
      </c>
      <c r="F1955" s="140"/>
      <c r="G1955" s="140"/>
    </row>
    <row r="1956" spans="2:7" hidden="1">
      <c r="B1956" s="141" t="s">
        <v>5785</v>
      </c>
      <c r="C1956" s="140"/>
      <c r="D1956" s="141" t="s">
        <v>5786</v>
      </c>
      <c r="E1956" s="140" t="s">
        <v>5787</v>
      </c>
      <c r="F1956" s="140"/>
      <c r="G1956" s="140"/>
    </row>
    <row r="1957" spans="2:7" hidden="1">
      <c r="B1957" s="141" t="s">
        <v>5788</v>
      </c>
      <c r="C1957" s="140"/>
      <c r="D1957" s="141" t="s">
        <v>5789</v>
      </c>
      <c r="E1957" s="140"/>
      <c r="F1957" s="140"/>
      <c r="G1957" s="140"/>
    </row>
    <row r="1958" spans="2:7" hidden="1">
      <c r="B1958" s="141" t="s">
        <v>5790</v>
      </c>
      <c r="C1958" s="140"/>
      <c r="D1958" s="141" t="s">
        <v>5791</v>
      </c>
      <c r="E1958" s="140"/>
      <c r="F1958" s="140"/>
      <c r="G1958" s="140"/>
    </row>
    <row r="1959" spans="2:7" hidden="1">
      <c r="B1959" s="140" t="s">
        <v>5792</v>
      </c>
      <c r="C1959" s="140"/>
      <c r="D1959" s="140" t="s">
        <v>5793</v>
      </c>
      <c r="E1959" s="142"/>
      <c r="F1959" s="142"/>
      <c r="G1959" s="140"/>
    </row>
    <row r="1960" spans="2:7" hidden="1">
      <c r="B1960" s="140" t="s">
        <v>5794</v>
      </c>
      <c r="C1960" s="140"/>
      <c r="D1960" s="140" t="s">
        <v>5795</v>
      </c>
      <c r="E1960" s="142"/>
      <c r="F1960" s="142"/>
      <c r="G1960" s="140"/>
    </row>
    <row r="1961" spans="2:7" hidden="1">
      <c r="B1961" s="141" t="s">
        <v>5796</v>
      </c>
      <c r="C1961" s="140"/>
      <c r="D1961" s="141" t="s">
        <v>5797</v>
      </c>
      <c r="E1961" s="140"/>
      <c r="F1961" s="140"/>
      <c r="G1961" s="140"/>
    </row>
    <row r="1962" spans="2:7" hidden="1">
      <c r="B1962" s="141" t="s">
        <v>5798</v>
      </c>
      <c r="C1962" s="140"/>
      <c r="D1962" s="141" t="s">
        <v>5799</v>
      </c>
      <c r="E1962" s="140"/>
      <c r="F1962" s="140"/>
      <c r="G1962" s="140"/>
    </row>
    <row r="1963" spans="2:7" hidden="1">
      <c r="B1963" s="141" t="s">
        <v>5800</v>
      </c>
      <c r="C1963" s="140" t="s">
        <v>5801</v>
      </c>
      <c r="D1963" s="141" t="s">
        <v>1898</v>
      </c>
      <c r="E1963" s="140" t="s">
        <v>5802</v>
      </c>
      <c r="F1963" s="140" t="s">
        <v>5803</v>
      </c>
      <c r="G1963" s="140"/>
    </row>
    <row r="1964" spans="2:7" hidden="1">
      <c r="B1964" s="141" t="s">
        <v>5804</v>
      </c>
      <c r="C1964" s="140"/>
      <c r="D1964" s="141" t="s">
        <v>5805</v>
      </c>
      <c r="E1964" s="140"/>
      <c r="F1964" s="140"/>
      <c r="G1964" s="140"/>
    </row>
    <row r="1965" spans="2:7" hidden="1">
      <c r="B1965" s="140" t="s">
        <v>5806</v>
      </c>
      <c r="C1965" s="140"/>
      <c r="D1965" s="140" t="s">
        <v>5807</v>
      </c>
      <c r="E1965" s="140"/>
      <c r="F1965" s="140"/>
      <c r="G1965" s="140"/>
    </row>
    <row r="1966" spans="2:7" hidden="1">
      <c r="B1966" s="140" t="s">
        <v>21600</v>
      </c>
      <c r="C1966" s="140"/>
      <c r="D1966" s="140" t="s">
        <v>5808</v>
      </c>
      <c r="E1966" s="142"/>
      <c r="F1966" s="142"/>
      <c r="G1966" s="140"/>
    </row>
    <row r="1967" spans="2:7" hidden="1">
      <c r="B1967" s="141" t="s">
        <v>5809</v>
      </c>
      <c r="C1967" s="140" t="s">
        <v>5810</v>
      </c>
      <c r="D1967" s="141" t="s">
        <v>5811</v>
      </c>
      <c r="E1967" s="140"/>
      <c r="F1967" s="140"/>
      <c r="G1967" s="140" t="s">
        <v>5812</v>
      </c>
    </row>
    <row r="1968" spans="2:7" hidden="1">
      <c r="B1968" s="140" t="s">
        <v>5813</v>
      </c>
      <c r="C1968" s="140"/>
      <c r="D1968" s="140" t="s">
        <v>5814</v>
      </c>
      <c r="E1968" s="142"/>
      <c r="F1968" s="142"/>
      <c r="G1968" s="140"/>
    </row>
    <row r="1969" spans="2:7" hidden="1">
      <c r="B1969" s="141" t="s">
        <v>5815</v>
      </c>
      <c r="C1969" s="140"/>
      <c r="D1969" s="141" t="s">
        <v>2727</v>
      </c>
      <c r="E1969" s="140"/>
      <c r="F1969" s="140"/>
      <c r="G1969" s="140"/>
    </row>
    <row r="1970" spans="2:7" hidden="1">
      <c r="B1970" s="140" t="s">
        <v>21601</v>
      </c>
      <c r="C1970" s="140"/>
      <c r="D1970" s="140" t="s">
        <v>5816</v>
      </c>
      <c r="E1970" s="142"/>
      <c r="F1970" s="142"/>
      <c r="G1970" s="140"/>
    </row>
    <row r="1971" spans="2:7" hidden="1">
      <c r="B1971" s="141" t="s">
        <v>5817</v>
      </c>
      <c r="C1971" s="140"/>
      <c r="D1971" s="141" t="s">
        <v>5510</v>
      </c>
      <c r="E1971" s="140"/>
      <c r="F1971" s="140"/>
      <c r="G1971" s="140"/>
    </row>
    <row r="1972" spans="2:7" hidden="1">
      <c r="B1972" s="141" t="s">
        <v>5818</v>
      </c>
      <c r="C1972" s="140"/>
      <c r="D1972" s="141" t="s">
        <v>1222</v>
      </c>
      <c r="E1972" s="140"/>
      <c r="F1972" s="140"/>
      <c r="G1972" s="140"/>
    </row>
    <row r="1973" spans="2:7" hidden="1">
      <c r="B1973" s="141" t="s">
        <v>5819</v>
      </c>
      <c r="C1973" s="140"/>
      <c r="D1973" s="141" t="s">
        <v>4458</v>
      </c>
      <c r="E1973" s="140"/>
      <c r="F1973" s="140"/>
      <c r="G1973" s="140"/>
    </row>
    <row r="1974" spans="2:7" hidden="1">
      <c r="B1974" s="141" t="s">
        <v>5820</v>
      </c>
      <c r="C1974" s="140"/>
      <c r="D1974" s="141" t="s">
        <v>5821</v>
      </c>
      <c r="E1974" s="140"/>
      <c r="F1974" s="140"/>
      <c r="G1974" s="140"/>
    </row>
    <row r="1975" spans="2:7" hidden="1">
      <c r="B1975" s="140" t="s">
        <v>21602</v>
      </c>
      <c r="C1975" s="140" t="s">
        <v>5822</v>
      </c>
      <c r="D1975" s="140" t="s">
        <v>5823</v>
      </c>
      <c r="E1975" s="142"/>
      <c r="F1975" s="142"/>
      <c r="G1975" s="140" t="s">
        <v>21395</v>
      </c>
    </row>
    <row r="1976" spans="2:7" hidden="1">
      <c r="B1976" s="140" t="s">
        <v>5824</v>
      </c>
      <c r="C1976" s="140" t="s">
        <v>5825</v>
      </c>
      <c r="D1976" s="140" t="s">
        <v>5826</v>
      </c>
      <c r="E1976" s="142" t="s">
        <v>5827</v>
      </c>
      <c r="F1976" s="142" t="s">
        <v>5828</v>
      </c>
      <c r="G1976" s="140"/>
    </row>
    <row r="1977" spans="2:7" hidden="1">
      <c r="B1977" s="141" t="s">
        <v>5829</v>
      </c>
      <c r="C1977" s="140"/>
      <c r="D1977" s="141" t="s">
        <v>5830</v>
      </c>
      <c r="E1977" s="141"/>
      <c r="F1977" s="141"/>
      <c r="G1977" s="140"/>
    </row>
    <row r="1978" spans="2:7" hidden="1">
      <c r="B1978" s="140" t="s">
        <v>5831</v>
      </c>
      <c r="C1978" s="140" t="s">
        <v>5832</v>
      </c>
      <c r="D1978" s="140" t="s">
        <v>5833</v>
      </c>
      <c r="E1978" s="142" t="s">
        <v>5834</v>
      </c>
      <c r="F1978" s="142" t="s">
        <v>5835</v>
      </c>
      <c r="G1978" s="140"/>
    </row>
    <row r="1979" spans="2:7" hidden="1">
      <c r="B1979" s="141" t="s">
        <v>5836</v>
      </c>
      <c r="C1979" s="140"/>
      <c r="D1979" s="141" t="s">
        <v>5837</v>
      </c>
      <c r="E1979" s="140"/>
      <c r="F1979" s="140"/>
      <c r="G1979" s="140"/>
    </row>
    <row r="1980" spans="2:7" hidden="1">
      <c r="B1980" s="140" t="s">
        <v>5838</v>
      </c>
      <c r="C1980" s="140" t="s">
        <v>5839</v>
      </c>
      <c r="D1980" s="140" t="s">
        <v>5840</v>
      </c>
      <c r="E1980" s="142" t="s">
        <v>5841</v>
      </c>
      <c r="F1980" s="142" t="s">
        <v>5842</v>
      </c>
      <c r="G1980" s="140"/>
    </row>
    <row r="1981" spans="2:7" hidden="1">
      <c r="B1981" s="141" t="s">
        <v>5843</v>
      </c>
      <c r="C1981" s="140" t="s">
        <v>5844</v>
      </c>
      <c r="D1981" s="141" t="s">
        <v>1049</v>
      </c>
      <c r="E1981" s="140" t="s">
        <v>5845</v>
      </c>
      <c r="F1981" s="140" t="s">
        <v>5846</v>
      </c>
      <c r="G1981" s="140"/>
    </row>
    <row r="1982" spans="2:7" hidden="1">
      <c r="B1982" s="140" t="s">
        <v>5847</v>
      </c>
      <c r="C1982" s="140" t="s">
        <v>5848</v>
      </c>
      <c r="D1982" s="140" t="s">
        <v>5849</v>
      </c>
      <c r="E1982" s="140" t="s">
        <v>5850</v>
      </c>
      <c r="F1982" s="140" t="s">
        <v>5851</v>
      </c>
      <c r="G1982" s="140"/>
    </row>
    <row r="1983" spans="2:7" hidden="1">
      <c r="B1983" s="141" t="s">
        <v>5852</v>
      </c>
      <c r="C1983" s="140" t="s">
        <v>5486</v>
      </c>
      <c r="D1983" s="141" t="s">
        <v>5487</v>
      </c>
      <c r="E1983" s="140" t="s">
        <v>5853</v>
      </c>
      <c r="F1983" s="140" t="s">
        <v>5854</v>
      </c>
      <c r="G1983" s="140"/>
    </row>
    <row r="1984" spans="2:7" hidden="1">
      <c r="B1984" s="141" t="s">
        <v>5855</v>
      </c>
      <c r="C1984" s="140" t="s">
        <v>5486</v>
      </c>
      <c r="D1984" s="141" t="s">
        <v>5856</v>
      </c>
      <c r="E1984" s="140" t="s">
        <v>5853</v>
      </c>
      <c r="F1984" s="140" t="s">
        <v>5854</v>
      </c>
      <c r="G1984" s="140"/>
    </row>
    <row r="1985" spans="2:7" hidden="1">
      <c r="B1985" s="141" t="s">
        <v>5857</v>
      </c>
      <c r="C1985" s="140"/>
      <c r="D1985" s="141" t="s">
        <v>5858</v>
      </c>
      <c r="E1985" s="140"/>
      <c r="F1985" s="140"/>
      <c r="G1985" s="140"/>
    </row>
    <row r="1986" spans="2:7" hidden="1">
      <c r="B1986" s="141" t="s">
        <v>5859</v>
      </c>
      <c r="C1986" s="140"/>
      <c r="D1986" s="141" t="s">
        <v>5860</v>
      </c>
      <c r="E1986" s="140"/>
      <c r="F1986" s="140"/>
      <c r="G1986" s="140"/>
    </row>
    <row r="1987" spans="2:7" hidden="1">
      <c r="B1987" s="141" t="s">
        <v>5861</v>
      </c>
      <c r="C1987" s="140"/>
      <c r="D1987" s="141" t="s">
        <v>5862</v>
      </c>
      <c r="E1987" s="140"/>
      <c r="F1987" s="140"/>
      <c r="G1987" s="140"/>
    </row>
    <row r="1988" spans="2:7" hidden="1">
      <c r="B1988" s="141" t="s">
        <v>5863</v>
      </c>
      <c r="C1988" s="140" t="s">
        <v>5864</v>
      </c>
      <c r="D1988" s="141" t="s">
        <v>3124</v>
      </c>
      <c r="E1988" s="140" t="s">
        <v>5865</v>
      </c>
      <c r="F1988" s="140" t="s">
        <v>5866</v>
      </c>
      <c r="G1988" s="140"/>
    </row>
    <row r="1989" spans="2:7" hidden="1">
      <c r="B1989" s="141" t="s">
        <v>5867</v>
      </c>
      <c r="C1989" s="140" t="s">
        <v>5868</v>
      </c>
      <c r="D1989" s="141" t="s">
        <v>5869</v>
      </c>
      <c r="E1989" s="140" t="s">
        <v>5870</v>
      </c>
      <c r="F1989" s="140" t="s">
        <v>5871</v>
      </c>
      <c r="G1989" s="140"/>
    </row>
    <row r="1990" spans="2:7" hidden="1">
      <c r="B1990" s="141" t="s">
        <v>5872</v>
      </c>
      <c r="C1990" s="140" t="s">
        <v>5873</v>
      </c>
      <c r="D1990" s="141" t="s">
        <v>5874</v>
      </c>
      <c r="E1990" s="140" t="s">
        <v>5875</v>
      </c>
      <c r="F1990" s="140" t="s">
        <v>5876</v>
      </c>
      <c r="G1990" s="140"/>
    </row>
    <row r="1991" spans="2:7" hidden="1">
      <c r="B1991" s="141" t="s">
        <v>5877</v>
      </c>
      <c r="C1991" s="140" t="s">
        <v>5878</v>
      </c>
      <c r="D1991" s="141" t="s">
        <v>5879</v>
      </c>
      <c r="E1991" s="140" t="s">
        <v>5880</v>
      </c>
      <c r="F1991" s="140" t="s">
        <v>5881</v>
      </c>
      <c r="G1991" s="140"/>
    </row>
    <row r="1992" spans="2:7" hidden="1">
      <c r="B1992" s="140" t="s">
        <v>21603</v>
      </c>
      <c r="C1992" s="140" t="s">
        <v>20319</v>
      </c>
      <c r="D1992" s="140" t="s">
        <v>20320</v>
      </c>
      <c r="E1992" s="142" t="s">
        <v>20321</v>
      </c>
      <c r="F1992" s="142" t="s">
        <v>20322</v>
      </c>
      <c r="G1992" s="140" t="s">
        <v>20318</v>
      </c>
    </row>
    <row r="1993" spans="2:7" hidden="1">
      <c r="B1993" s="141" t="s">
        <v>5882</v>
      </c>
      <c r="C1993" s="140"/>
      <c r="D1993" s="141" t="s">
        <v>5883</v>
      </c>
      <c r="E1993" s="140"/>
      <c r="F1993" s="140"/>
      <c r="G1993" s="140"/>
    </row>
    <row r="1994" spans="2:7" hidden="1">
      <c r="B1994" s="140" t="s">
        <v>5884</v>
      </c>
      <c r="C1994" s="140"/>
      <c r="D1994" s="140" t="s">
        <v>5885</v>
      </c>
      <c r="E1994" s="140"/>
      <c r="F1994" s="140"/>
      <c r="G1994" s="140"/>
    </row>
    <row r="1995" spans="2:7" hidden="1">
      <c r="B1995" s="141" t="s">
        <v>5886</v>
      </c>
      <c r="C1995" s="141"/>
      <c r="D1995" s="141" t="s">
        <v>5887</v>
      </c>
      <c r="E1995" s="141"/>
      <c r="F1995" s="141"/>
      <c r="G1995" s="140"/>
    </row>
    <row r="1996" spans="2:7" hidden="1">
      <c r="B1996" s="141" t="s">
        <v>5888</v>
      </c>
      <c r="C1996" s="140"/>
      <c r="D1996" s="141" t="s">
        <v>5889</v>
      </c>
      <c r="E1996" s="140"/>
      <c r="F1996" s="140"/>
      <c r="G1996" s="140"/>
    </row>
    <row r="1997" spans="2:7" hidden="1">
      <c r="B1997" s="141" t="s">
        <v>5890</v>
      </c>
      <c r="C1997" s="140"/>
      <c r="D1997" s="141" t="s">
        <v>5891</v>
      </c>
      <c r="E1997" s="140"/>
      <c r="F1997" s="140"/>
      <c r="G1997" s="140"/>
    </row>
    <row r="1998" spans="2:7" hidden="1">
      <c r="B1998" s="141" t="s">
        <v>5892</v>
      </c>
      <c r="C1998" s="140"/>
      <c r="D1998" s="141" t="s">
        <v>5893</v>
      </c>
      <c r="E1998" s="140"/>
      <c r="F1998" s="140"/>
      <c r="G1998" s="140"/>
    </row>
    <row r="1999" spans="2:7" hidden="1">
      <c r="B1999" s="141" t="s">
        <v>5894</v>
      </c>
      <c r="C1999" s="140"/>
      <c r="D1999" s="141" t="s">
        <v>4806</v>
      </c>
      <c r="E1999" s="140"/>
      <c r="F1999" s="140"/>
      <c r="G1999" s="140"/>
    </row>
    <row r="2000" spans="2:7" hidden="1">
      <c r="B2000" s="140" t="s">
        <v>21604</v>
      </c>
      <c r="C2000" s="140"/>
      <c r="D2000" s="140" t="s">
        <v>4698</v>
      </c>
      <c r="E2000" s="142"/>
      <c r="F2000" s="142"/>
      <c r="G2000" s="140"/>
    </row>
    <row r="2001" spans="2:7" hidden="1">
      <c r="B2001" s="141" t="s">
        <v>5895</v>
      </c>
      <c r="C2001" s="140" t="s">
        <v>5896</v>
      </c>
      <c r="D2001" s="141" t="s">
        <v>5897</v>
      </c>
      <c r="E2001" s="140"/>
      <c r="F2001" s="140"/>
      <c r="G2001" s="140"/>
    </row>
    <row r="2002" spans="2:7" hidden="1">
      <c r="B2002" s="141" t="s">
        <v>5898</v>
      </c>
      <c r="C2002" s="140"/>
      <c r="D2002" s="141" t="s">
        <v>4230</v>
      </c>
      <c r="E2002" s="140"/>
      <c r="F2002" s="140"/>
      <c r="G2002" s="140"/>
    </row>
    <row r="2003" spans="2:7" hidden="1">
      <c r="B2003" s="141" t="s">
        <v>5899</v>
      </c>
      <c r="C2003" s="141" t="s">
        <v>5900</v>
      </c>
      <c r="D2003" s="141" t="s">
        <v>5901</v>
      </c>
      <c r="E2003" s="141" t="s">
        <v>5902</v>
      </c>
      <c r="F2003" s="140" t="s">
        <v>5903</v>
      </c>
      <c r="G2003" s="140"/>
    </row>
    <row r="2004" spans="2:7" hidden="1">
      <c r="B2004" s="141" t="s">
        <v>5904</v>
      </c>
      <c r="C2004" s="140"/>
      <c r="D2004" s="141" t="s">
        <v>5905</v>
      </c>
      <c r="E2004" s="140"/>
      <c r="F2004" s="140"/>
      <c r="G2004" s="140"/>
    </row>
    <row r="2005" spans="2:7" hidden="1">
      <c r="B2005" s="141" t="s">
        <v>5906</v>
      </c>
      <c r="C2005" s="140"/>
      <c r="D2005" s="141" t="s">
        <v>4848</v>
      </c>
      <c r="E2005" s="140"/>
      <c r="F2005" s="140"/>
      <c r="G2005" s="140"/>
    </row>
    <row r="2006" spans="2:7" hidden="1">
      <c r="B2006" s="141" t="s">
        <v>5907</v>
      </c>
      <c r="C2006" s="141"/>
      <c r="D2006" s="141" t="s">
        <v>5908</v>
      </c>
      <c r="E2006" s="141"/>
      <c r="F2006" s="141"/>
      <c r="G2006" s="140"/>
    </row>
    <row r="2007" spans="2:7" hidden="1">
      <c r="B2007" s="141" t="s">
        <v>5909</v>
      </c>
      <c r="C2007" s="140"/>
      <c r="D2007" s="141" t="s">
        <v>4365</v>
      </c>
      <c r="E2007" s="140"/>
      <c r="F2007" s="140"/>
      <c r="G2007" s="140"/>
    </row>
    <row r="2008" spans="2:7" hidden="1">
      <c r="B2008" s="141" t="s">
        <v>5910</v>
      </c>
      <c r="C2008" s="140"/>
      <c r="D2008" s="141" t="s">
        <v>5911</v>
      </c>
      <c r="E2008" s="140"/>
      <c r="F2008" s="140"/>
      <c r="G2008" s="140"/>
    </row>
    <row r="2009" spans="2:7" hidden="1">
      <c r="B2009" s="141" t="s">
        <v>5912</v>
      </c>
      <c r="C2009" s="140"/>
      <c r="D2009" s="141" t="s">
        <v>2583</v>
      </c>
      <c r="E2009" s="140"/>
      <c r="F2009" s="140"/>
      <c r="G2009" s="140"/>
    </row>
    <row r="2010" spans="2:7" hidden="1">
      <c r="B2010" s="141" t="s">
        <v>5913</v>
      </c>
      <c r="C2010" s="140"/>
      <c r="D2010" s="141" t="s">
        <v>3089</v>
      </c>
      <c r="E2010" s="140"/>
      <c r="F2010" s="140"/>
      <c r="G2010" s="140"/>
    </row>
    <row r="2011" spans="2:7" hidden="1">
      <c r="B2011" s="141" t="s">
        <v>5914</v>
      </c>
      <c r="C2011" s="140"/>
      <c r="D2011" s="141" t="s">
        <v>2045</v>
      </c>
      <c r="E2011" s="140"/>
      <c r="F2011" s="140"/>
      <c r="G2011" s="140"/>
    </row>
    <row r="2012" spans="2:7" hidden="1">
      <c r="B2012" s="141" t="s">
        <v>22121</v>
      </c>
      <c r="C2012" s="140"/>
      <c r="D2012" s="141" t="s">
        <v>5915</v>
      </c>
      <c r="E2012" s="140"/>
      <c r="F2012" s="140"/>
      <c r="G2012" s="140"/>
    </row>
    <row r="2013" spans="2:7" hidden="1">
      <c r="B2013" s="141" t="s">
        <v>5916</v>
      </c>
      <c r="C2013" s="140"/>
      <c r="D2013" s="141" t="s">
        <v>5917</v>
      </c>
      <c r="E2013" s="140"/>
      <c r="F2013" s="140"/>
      <c r="G2013" s="140"/>
    </row>
    <row r="2014" spans="2:7" hidden="1">
      <c r="B2014" s="141" t="s">
        <v>5918</v>
      </c>
      <c r="C2014" s="140" t="s">
        <v>5919</v>
      </c>
      <c r="D2014" s="141" t="s">
        <v>5920</v>
      </c>
      <c r="E2014" s="140" t="s">
        <v>5921</v>
      </c>
      <c r="F2014" s="140"/>
      <c r="G2014" s="140"/>
    </row>
    <row r="2015" spans="2:7" hidden="1">
      <c r="B2015" s="141" t="s">
        <v>5922</v>
      </c>
      <c r="C2015" s="140"/>
      <c r="D2015" s="141" t="s">
        <v>2168</v>
      </c>
      <c r="E2015" s="140"/>
      <c r="F2015" s="140"/>
      <c r="G2015" s="140"/>
    </row>
    <row r="2016" spans="2:7" hidden="1">
      <c r="B2016" s="140" t="s">
        <v>21080</v>
      </c>
      <c r="C2016" s="140" t="s">
        <v>21079</v>
      </c>
      <c r="D2016" s="140" t="s">
        <v>21078</v>
      </c>
      <c r="E2016" s="142" t="s">
        <v>21081</v>
      </c>
      <c r="F2016" s="142"/>
      <c r="G2016" s="140"/>
    </row>
    <row r="2017" spans="2:7" hidden="1">
      <c r="B2017" s="140" t="s">
        <v>20995</v>
      </c>
      <c r="C2017" s="140" t="s">
        <v>20996</v>
      </c>
      <c r="D2017" s="140" t="s">
        <v>20997</v>
      </c>
      <c r="E2017" s="142" t="s">
        <v>20998</v>
      </c>
      <c r="F2017" s="142"/>
      <c r="G2017" s="140"/>
    </row>
    <row r="2018" spans="2:7" hidden="1">
      <c r="B2018" s="141" t="s">
        <v>5923</v>
      </c>
      <c r="C2018" s="140" t="s">
        <v>5924</v>
      </c>
      <c r="D2018" s="141" t="s">
        <v>5925</v>
      </c>
      <c r="E2018" s="140" t="s">
        <v>5926</v>
      </c>
      <c r="F2018" s="140" t="s">
        <v>5927</v>
      </c>
      <c r="G2018" s="140"/>
    </row>
    <row r="2019" spans="2:7" hidden="1">
      <c r="B2019" s="141" t="s">
        <v>5928</v>
      </c>
      <c r="C2019" s="140" t="s">
        <v>5929</v>
      </c>
      <c r="D2019" s="141" t="s">
        <v>5930</v>
      </c>
      <c r="E2019" s="140"/>
      <c r="F2019" s="140"/>
      <c r="G2019" s="140"/>
    </row>
    <row r="2020" spans="2:7" hidden="1">
      <c r="B2020" s="141" t="s">
        <v>5931</v>
      </c>
      <c r="C2020" s="140"/>
      <c r="D2020" s="141" t="s">
        <v>3921</v>
      </c>
      <c r="E2020" s="140"/>
      <c r="F2020" s="140"/>
      <c r="G2020" s="140"/>
    </row>
    <row r="2021" spans="2:7" hidden="1">
      <c r="B2021" s="140" t="s">
        <v>21179</v>
      </c>
      <c r="C2021" s="140" t="s">
        <v>21180</v>
      </c>
      <c r="D2021" s="140" t="s">
        <v>21181</v>
      </c>
      <c r="E2021" s="142" t="s">
        <v>21182</v>
      </c>
      <c r="F2021" s="142"/>
      <c r="G2021" s="140"/>
    </row>
    <row r="2022" spans="2:7" hidden="1">
      <c r="B2022" s="141" t="s">
        <v>5932</v>
      </c>
      <c r="C2022" s="140"/>
      <c r="D2022" s="141" t="s">
        <v>4655</v>
      </c>
      <c r="E2022" s="140"/>
      <c r="F2022" s="140"/>
      <c r="G2022" s="140"/>
    </row>
    <row r="2023" spans="2:7" hidden="1">
      <c r="B2023" s="141" t="s">
        <v>5933</v>
      </c>
      <c r="C2023" s="141"/>
      <c r="D2023" s="141" t="s">
        <v>5934</v>
      </c>
      <c r="E2023" s="140"/>
      <c r="F2023" s="140"/>
      <c r="G2023" s="140"/>
    </row>
    <row r="2024" spans="2:7" hidden="1">
      <c r="B2024" s="141" t="s">
        <v>5935</v>
      </c>
      <c r="C2024" s="140" t="s">
        <v>5936</v>
      </c>
      <c r="D2024" s="141" t="s">
        <v>5937</v>
      </c>
      <c r="E2024" s="140" t="s">
        <v>5938</v>
      </c>
      <c r="F2024" s="140"/>
      <c r="G2024" s="140"/>
    </row>
    <row r="2025" spans="2:7" hidden="1">
      <c r="B2025" s="141" t="s">
        <v>5939</v>
      </c>
      <c r="C2025" s="140"/>
      <c r="D2025" s="141" t="s">
        <v>5940</v>
      </c>
      <c r="E2025" s="140"/>
      <c r="F2025" s="140"/>
      <c r="G2025" s="140"/>
    </row>
    <row r="2026" spans="2:7" hidden="1">
      <c r="B2026" s="141" t="s">
        <v>5941</v>
      </c>
      <c r="C2026" s="140"/>
      <c r="D2026" s="140" t="s">
        <v>5942</v>
      </c>
      <c r="E2026" s="141"/>
      <c r="F2026" s="141"/>
      <c r="G2026" s="140"/>
    </row>
    <row r="2027" spans="2:7" hidden="1">
      <c r="B2027" s="141" t="s">
        <v>5943</v>
      </c>
      <c r="C2027" s="140" t="s">
        <v>5944</v>
      </c>
      <c r="D2027" s="141" t="s">
        <v>5945</v>
      </c>
      <c r="E2027" s="140" t="s">
        <v>5946</v>
      </c>
      <c r="F2027" s="140" t="s">
        <v>5947</v>
      </c>
      <c r="G2027" s="140"/>
    </row>
    <row r="2028" spans="2:7" hidden="1">
      <c r="B2028" s="141" t="s">
        <v>5948</v>
      </c>
      <c r="C2028" s="140" t="s">
        <v>5949</v>
      </c>
      <c r="D2028" s="141" t="s">
        <v>5950</v>
      </c>
      <c r="E2028" s="140"/>
      <c r="F2028" s="140"/>
      <c r="G2028" s="140"/>
    </row>
    <row r="2029" spans="2:7" hidden="1">
      <c r="B2029" s="141" t="s">
        <v>5951</v>
      </c>
      <c r="C2029" s="140" t="s">
        <v>5952</v>
      </c>
      <c r="D2029" s="141" t="s">
        <v>5953</v>
      </c>
      <c r="E2029" s="140" t="s">
        <v>5954</v>
      </c>
      <c r="F2029" s="140" t="s">
        <v>5955</v>
      </c>
      <c r="G2029" s="140"/>
    </row>
    <row r="2030" spans="2:7" hidden="1">
      <c r="B2030" s="141" t="s">
        <v>5956</v>
      </c>
      <c r="C2030" s="140" t="s">
        <v>5957</v>
      </c>
      <c r="D2030" s="140" t="s">
        <v>5958</v>
      </c>
      <c r="E2030" s="140" t="s">
        <v>5959</v>
      </c>
      <c r="F2030" s="140"/>
      <c r="G2030" s="140"/>
    </row>
    <row r="2031" spans="2:7" hidden="1">
      <c r="B2031" s="141" t="s">
        <v>21605</v>
      </c>
      <c r="C2031" s="140"/>
      <c r="D2031" s="141" t="s">
        <v>5960</v>
      </c>
      <c r="E2031" s="140"/>
      <c r="F2031" s="140"/>
      <c r="G2031" s="140"/>
    </row>
    <row r="2032" spans="2:7" hidden="1">
      <c r="B2032" s="141" t="s">
        <v>5961</v>
      </c>
      <c r="C2032" s="140" t="s">
        <v>5962</v>
      </c>
      <c r="D2032" s="141" t="s">
        <v>2560</v>
      </c>
      <c r="E2032" s="140"/>
      <c r="F2032" s="140"/>
      <c r="G2032" s="140"/>
    </row>
    <row r="2033" spans="2:7" hidden="1">
      <c r="B2033" s="141" t="s">
        <v>5963</v>
      </c>
      <c r="C2033" s="140"/>
      <c r="D2033" s="141" t="s">
        <v>3124</v>
      </c>
      <c r="E2033" s="140"/>
      <c r="F2033" s="140"/>
      <c r="G2033" s="140"/>
    </row>
    <row r="2034" spans="2:7" hidden="1">
      <c r="B2034" s="141" t="s">
        <v>5968</v>
      </c>
      <c r="C2034" s="140"/>
      <c r="D2034" s="141" t="s">
        <v>5969</v>
      </c>
      <c r="E2034" s="140"/>
      <c r="F2034" s="140"/>
      <c r="G2034" s="140"/>
    </row>
    <row r="2035" spans="2:7" hidden="1">
      <c r="B2035" s="141" t="s">
        <v>5970</v>
      </c>
      <c r="C2035" s="140" t="s">
        <v>5971</v>
      </c>
      <c r="D2035" s="141" t="s">
        <v>5972</v>
      </c>
      <c r="E2035" s="140" t="s">
        <v>5973</v>
      </c>
      <c r="F2035" s="140" t="s">
        <v>5974</v>
      </c>
      <c r="G2035" s="140" t="s">
        <v>5975</v>
      </c>
    </row>
    <row r="2036" spans="2:7" hidden="1">
      <c r="B2036" s="141" t="s">
        <v>21606</v>
      </c>
      <c r="C2036" s="140" t="s">
        <v>5964</v>
      </c>
      <c r="D2036" s="141" t="s">
        <v>5965</v>
      </c>
      <c r="E2036" s="140" t="s">
        <v>5966</v>
      </c>
      <c r="F2036" s="140" t="s">
        <v>5967</v>
      </c>
      <c r="G2036" s="140"/>
    </row>
    <row r="2037" spans="2:7" hidden="1">
      <c r="B2037" s="141" t="s">
        <v>21607</v>
      </c>
      <c r="C2037" s="140"/>
      <c r="D2037" s="141" t="s">
        <v>3127</v>
      </c>
      <c r="E2037" s="140"/>
      <c r="F2037" s="140"/>
      <c r="G2037" s="140"/>
    </row>
    <row r="2038" spans="2:7" hidden="1">
      <c r="B2038" s="141" t="s">
        <v>5976</v>
      </c>
      <c r="C2038" s="140" t="s">
        <v>5977</v>
      </c>
      <c r="D2038" s="141" t="s">
        <v>5978</v>
      </c>
      <c r="E2038" s="140" t="s">
        <v>5979</v>
      </c>
      <c r="F2038" s="140"/>
      <c r="G2038" s="140"/>
    </row>
    <row r="2039" spans="2:7" hidden="1">
      <c r="B2039" s="141" t="s">
        <v>22122</v>
      </c>
      <c r="C2039" s="140"/>
      <c r="D2039" s="141" t="s">
        <v>5980</v>
      </c>
      <c r="E2039" s="140"/>
      <c r="F2039" s="140"/>
      <c r="G2039" s="140"/>
    </row>
    <row r="2040" spans="2:7" hidden="1">
      <c r="B2040" s="141" t="s">
        <v>5981</v>
      </c>
      <c r="C2040" s="140"/>
      <c r="D2040" s="141" t="s">
        <v>5905</v>
      </c>
      <c r="E2040" s="140"/>
      <c r="F2040" s="140"/>
      <c r="G2040" s="140"/>
    </row>
    <row r="2041" spans="2:7" hidden="1">
      <c r="B2041" s="140" t="s">
        <v>21608</v>
      </c>
      <c r="C2041" s="140"/>
      <c r="D2041" s="140" t="s">
        <v>5982</v>
      </c>
      <c r="E2041" s="142"/>
      <c r="F2041" s="142"/>
      <c r="G2041" s="140"/>
    </row>
    <row r="2042" spans="2:7" hidden="1">
      <c r="B2042" s="140" t="s">
        <v>5983</v>
      </c>
      <c r="C2042" s="140"/>
      <c r="D2042" s="140" t="s">
        <v>5984</v>
      </c>
      <c r="E2042" s="142"/>
      <c r="F2042" s="142"/>
      <c r="G2042" s="140"/>
    </row>
    <row r="2043" spans="2:7" hidden="1">
      <c r="B2043" s="140" t="s">
        <v>5985</v>
      </c>
      <c r="C2043" s="140"/>
      <c r="D2043" s="140" t="s">
        <v>5986</v>
      </c>
      <c r="E2043" s="142"/>
      <c r="F2043" s="142"/>
      <c r="G2043" s="140"/>
    </row>
    <row r="2044" spans="2:7" hidden="1">
      <c r="B2044" s="141" t="s">
        <v>5987</v>
      </c>
      <c r="C2044" s="140" t="s">
        <v>5988</v>
      </c>
      <c r="D2044" s="141" t="s">
        <v>5989</v>
      </c>
      <c r="E2044" s="140" t="s">
        <v>5990</v>
      </c>
      <c r="F2044" s="140" t="s">
        <v>5991</v>
      </c>
      <c r="G2044" s="140"/>
    </row>
    <row r="2045" spans="2:7" hidden="1">
      <c r="B2045" s="141" t="s">
        <v>5992</v>
      </c>
      <c r="C2045" s="141"/>
      <c r="D2045" s="141" t="s">
        <v>5250</v>
      </c>
      <c r="E2045" s="141"/>
      <c r="F2045" s="141"/>
      <c r="G2045" s="140"/>
    </row>
    <row r="2046" spans="2:7" hidden="1">
      <c r="B2046" s="141" t="s">
        <v>5993</v>
      </c>
      <c r="C2046" s="141"/>
      <c r="D2046" s="141" t="s">
        <v>2098</v>
      </c>
      <c r="E2046" s="140"/>
      <c r="F2046" s="140"/>
      <c r="G2046" s="140"/>
    </row>
    <row r="2047" spans="2:7" hidden="1">
      <c r="B2047" s="140" t="s">
        <v>5994</v>
      </c>
      <c r="C2047" s="140"/>
      <c r="D2047" s="140" t="s">
        <v>5995</v>
      </c>
      <c r="E2047" s="142"/>
      <c r="F2047" s="142"/>
      <c r="G2047" s="140"/>
    </row>
    <row r="2048" spans="2:7" hidden="1">
      <c r="B2048" s="141" t="s">
        <v>5996</v>
      </c>
      <c r="C2048" s="140"/>
      <c r="D2048" s="141" t="s">
        <v>2684</v>
      </c>
      <c r="E2048" s="140"/>
      <c r="F2048" s="140"/>
      <c r="G2048" s="140"/>
    </row>
    <row r="2049" spans="2:7" hidden="1">
      <c r="B2049" s="140" t="s">
        <v>21609</v>
      </c>
      <c r="C2049" s="140" t="s">
        <v>5997</v>
      </c>
      <c r="D2049" s="140" t="s">
        <v>5998</v>
      </c>
      <c r="E2049" s="142" t="s">
        <v>5999</v>
      </c>
      <c r="F2049" s="142"/>
      <c r="G2049" s="140" t="s">
        <v>6000</v>
      </c>
    </row>
    <row r="2050" spans="2:7" hidden="1">
      <c r="B2050" s="140" t="s">
        <v>21610</v>
      </c>
      <c r="C2050" s="140" t="s">
        <v>6001</v>
      </c>
      <c r="D2050" s="140" t="s">
        <v>6002</v>
      </c>
      <c r="E2050" s="142" t="s">
        <v>6003</v>
      </c>
      <c r="F2050" s="142" t="s">
        <v>6004</v>
      </c>
      <c r="G2050" s="140"/>
    </row>
    <row r="2051" spans="2:7" hidden="1">
      <c r="B2051" s="141" t="s">
        <v>6005</v>
      </c>
      <c r="C2051" s="140"/>
      <c r="D2051" s="141" t="s">
        <v>6006</v>
      </c>
      <c r="E2051" s="140"/>
      <c r="F2051" s="140"/>
      <c r="G2051" s="140"/>
    </row>
    <row r="2052" spans="2:7" hidden="1">
      <c r="B2052" s="141" t="s">
        <v>6007</v>
      </c>
      <c r="C2052" s="140"/>
      <c r="D2052" s="141" t="s">
        <v>6008</v>
      </c>
      <c r="E2052" s="140"/>
      <c r="F2052" s="140"/>
      <c r="G2052" s="140"/>
    </row>
    <row r="2053" spans="2:7" hidden="1">
      <c r="B2053" s="141" t="s">
        <v>6009</v>
      </c>
      <c r="C2053" s="140" t="s">
        <v>6010</v>
      </c>
      <c r="D2053" s="141" t="s">
        <v>6011</v>
      </c>
      <c r="E2053" s="140" t="s">
        <v>6012</v>
      </c>
      <c r="F2053" s="140" t="s">
        <v>6013</v>
      </c>
      <c r="G2053" s="140"/>
    </row>
    <row r="2054" spans="2:7" hidden="1">
      <c r="B2054" s="140" t="s">
        <v>6014</v>
      </c>
      <c r="C2054" s="140"/>
      <c r="D2054" s="140" t="s">
        <v>4548</v>
      </c>
      <c r="E2054" s="142"/>
      <c r="F2054" s="142"/>
      <c r="G2054" s="140"/>
    </row>
    <row r="2055" spans="2:7" hidden="1">
      <c r="B2055" s="141" t="s">
        <v>6015</v>
      </c>
      <c r="C2055" s="140" t="s">
        <v>6016</v>
      </c>
      <c r="D2055" s="141" t="s">
        <v>6017</v>
      </c>
      <c r="E2055" s="140"/>
      <c r="F2055" s="140"/>
      <c r="G2055" s="140"/>
    </row>
    <row r="2056" spans="2:7" hidden="1">
      <c r="B2056" s="141" t="s">
        <v>6018</v>
      </c>
      <c r="C2056" s="140" t="s">
        <v>6019</v>
      </c>
      <c r="D2056" s="141" t="s">
        <v>6020</v>
      </c>
      <c r="E2056" s="140"/>
      <c r="F2056" s="140"/>
      <c r="G2056" s="140"/>
    </row>
    <row r="2057" spans="2:7" hidden="1">
      <c r="B2057" s="141" t="s">
        <v>6021</v>
      </c>
      <c r="C2057" s="140" t="s">
        <v>6022</v>
      </c>
      <c r="D2057" s="141" t="s">
        <v>6023</v>
      </c>
      <c r="E2057" s="140" t="s">
        <v>6024</v>
      </c>
      <c r="F2057" s="140"/>
      <c r="G2057" s="140"/>
    </row>
    <row r="2058" spans="2:7" hidden="1">
      <c r="B2058" s="141" t="s">
        <v>6025</v>
      </c>
      <c r="C2058" s="140"/>
      <c r="D2058" s="141" t="s">
        <v>6026</v>
      </c>
      <c r="E2058" s="140"/>
      <c r="F2058" s="140"/>
      <c r="G2058" s="140"/>
    </row>
    <row r="2059" spans="2:7" hidden="1">
      <c r="B2059" s="141" t="s">
        <v>6027</v>
      </c>
      <c r="C2059" s="141" t="s">
        <v>6028</v>
      </c>
      <c r="D2059" s="141" t="s">
        <v>6029</v>
      </c>
      <c r="E2059" s="141" t="s">
        <v>6030</v>
      </c>
      <c r="F2059" s="140" t="s">
        <v>6031</v>
      </c>
      <c r="G2059" s="140"/>
    </row>
    <row r="2060" spans="2:7" hidden="1">
      <c r="B2060" s="141" t="s">
        <v>6032</v>
      </c>
      <c r="C2060" s="140" t="s">
        <v>6033</v>
      </c>
      <c r="D2060" s="141" t="s">
        <v>6034</v>
      </c>
      <c r="E2060" s="140" t="s">
        <v>6035</v>
      </c>
      <c r="F2060" s="140"/>
      <c r="G2060" s="140"/>
    </row>
    <row r="2061" spans="2:7" hidden="1">
      <c r="B2061" s="141" t="s">
        <v>6036</v>
      </c>
      <c r="C2061" s="140"/>
      <c r="D2061" s="141" t="s">
        <v>3847</v>
      </c>
      <c r="E2061" s="140"/>
      <c r="F2061" s="140"/>
      <c r="G2061" s="140"/>
    </row>
    <row r="2062" spans="2:7" hidden="1">
      <c r="B2062" s="141" t="s">
        <v>6037</v>
      </c>
      <c r="C2062" s="140"/>
      <c r="D2062" s="141" t="s">
        <v>6038</v>
      </c>
      <c r="E2062" s="140"/>
      <c r="F2062" s="140"/>
      <c r="G2062" s="140"/>
    </row>
    <row r="2063" spans="2:7" hidden="1">
      <c r="B2063" s="141" t="s">
        <v>6039</v>
      </c>
      <c r="C2063" s="140"/>
      <c r="D2063" s="141" t="s">
        <v>6040</v>
      </c>
      <c r="E2063" s="140"/>
      <c r="F2063" s="140"/>
      <c r="G2063" s="140"/>
    </row>
    <row r="2064" spans="2:7" hidden="1">
      <c r="B2064" s="141" t="s">
        <v>6041</v>
      </c>
      <c r="C2064" s="140"/>
      <c r="D2064" s="141" t="s">
        <v>6042</v>
      </c>
      <c r="E2064" s="140"/>
      <c r="F2064" s="140"/>
      <c r="G2064" s="140"/>
    </row>
    <row r="2065" spans="2:7" hidden="1">
      <c r="B2065" s="140" t="s">
        <v>6043</v>
      </c>
      <c r="C2065" s="140"/>
      <c r="D2065" s="140" t="s">
        <v>6044</v>
      </c>
      <c r="E2065" s="142"/>
      <c r="F2065" s="142"/>
      <c r="G2065" s="140"/>
    </row>
    <row r="2066" spans="2:7" hidden="1">
      <c r="B2066" s="141" t="s">
        <v>6045</v>
      </c>
      <c r="C2066" s="140"/>
      <c r="D2066" s="141" t="s">
        <v>6046</v>
      </c>
      <c r="E2066" s="140"/>
      <c r="F2066" s="140"/>
      <c r="G2066" s="140"/>
    </row>
    <row r="2067" spans="2:7" hidden="1">
      <c r="B2067" s="141" t="s">
        <v>6047</v>
      </c>
      <c r="C2067" s="140" t="s">
        <v>6048</v>
      </c>
      <c r="D2067" s="141" t="s">
        <v>6049</v>
      </c>
      <c r="E2067" s="140" t="s">
        <v>6050</v>
      </c>
      <c r="F2067" s="140" t="s">
        <v>6051</v>
      </c>
      <c r="G2067" s="140"/>
    </row>
    <row r="2068" spans="2:7" hidden="1">
      <c r="B2068" s="141" t="s">
        <v>6052</v>
      </c>
      <c r="C2068" s="140"/>
      <c r="D2068" s="141" t="s">
        <v>6053</v>
      </c>
      <c r="E2068" s="140"/>
      <c r="F2068" s="140"/>
      <c r="G2068" s="140"/>
    </row>
    <row r="2069" spans="2:7" hidden="1">
      <c r="B2069" s="141" t="s">
        <v>6054</v>
      </c>
      <c r="C2069" s="140"/>
      <c r="D2069" s="141" t="s">
        <v>6055</v>
      </c>
      <c r="E2069" s="140"/>
      <c r="F2069" s="140"/>
      <c r="G2069" s="140"/>
    </row>
    <row r="2070" spans="2:7" hidden="1">
      <c r="B2070" s="140" t="s">
        <v>6056</v>
      </c>
      <c r="C2070" s="141"/>
      <c r="D2070" s="141" t="s">
        <v>6057</v>
      </c>
      <c r="E2070" s="141"/>
      <c r="F2070" s="141"/>
      <c r="G2070" s="140"/>
    </row>
    <row r="2071" spans="2:7" hidden="1">
      <c r="B2071" s="141" t="s">
        <v>6058</v>
      </c>
      <c r="C2071" s="140"/>
      <c r="D2071" s="141" t="s">
        <v>6059</v>
      </c>
      <c r="E2071" s="140"/>
      <c r="F2071" s="140"/>
      <c r="G2071" s="140"/>
    </row>
    <row r="2072" spans="2:7" hidden="1">
      <c r="B2072" s="141" t="s">
        <v>6060</v>
      </c>
      <c r="C2072" s="140"/>
      <c r="D2072" s="141" t="s">
        <v>6061</v>
      </c>
      <c r="E2072" s="140"/>
      <c r="F2072" s="140"/>
      <c r="G2072" s="140"/>
    </row>
    <row r="2073" spans="2:7" hidden="1">
      <c r="B2073" s="141" t="s">
        <v>6062</v>
      </c>
      <c r="C2073" s="140"/>
      <c r="D2073" s="141" t="s">
        <v>6063</v>
      </c>
      <c r="E2073" s="140"/>
      <c r="F2073" s="140"/>
      <c r="G2073" s="140"/>
    </row>
    <row r="2074" spans="2:7" hidden="1">
      <c r="B2074" s="140" t="s">
        <v>21611</v>
      </c>
      <c r="C2074" s="140" t="s">
        <v>6064</v>
      </c>
      <c r="D2074" s="140" t="s">
        <v>6065</v>
      </c>
      <c r="E2074" s="142" t="s">
        <v>6066</v>
      </c>
      <c r="F2074" s="142" t="s">
        <v>6067</v>
      </c>
      <c r="G2074" s="140"/>
    </row>
    <row r="2075" spans="2:7" hidden="1">
      <c r="B2075" s="141" t="s">
        <v>6068</v>
      </c>
      <c r="C2075" s="140"/>
      <c r="D2075" s="141" t="s">
        <v>3222</v>
      </c>
      <c r="E2075" s="140"/>
      <c r="F2075" s="140"/>
      <c r="G2075" s="140"/>
    </row>
    <row r="2076" spans="2:7" hidden="1">
      <c r="B2076" s="140" t="s">
        <v>6069</v>
      </c>
      <c r="C2076" s="140"/>
      <c r="D2076" s="140" t="s">
        <v>6070</v>
      </c>
      <c r="E2076" s="142"/>
      <c r="F2076" s="142"/>
      <c r="G2076" s="140"/>
    </row>
    <row r="2077" spans="2:7" hidden="1">
      <c r="B2077" s="140" t="s">
        <v>6071</v>
      </c>
      <c r="C2077" s="140"/>
      <c r="D2077" s="140" t="s">
        <v>2139</v>
      </c>
      <c r="E2077" s="142"/>
      <c r="F2077" s="142"/>
      <c r="G2077" s="140"/>
    </row>
    <row r="2078" spans="2:7" hidden="1">
      <c r="B2078" s="141" t="s">
        <v>6072</v>
      </c>
      <c r="C2078" s="140"/>
      <c r="D2078" s="141" t="s">
        <v>6073</v>
      </c>
      <c r="E2078" s="140"/>
      <c r="F2078" s="140"/>
      <c r="G2078" s="140"/>
    </row>
    <row r="2079" spans="2:7" hidden="1">
      <c r="B2079" s="141" t="s">
        <v>6074</v>
      </c>
      <c r="C2079" s="140"/>
      <c r="D2079" s="141" t="s">
        <v>6075</v>
      </c>
      <c r="E2079" s="140"/>
      <c r="F2079" s="140"/>
      <c r="G2079" s="140"/>
    </row>
    <row r="2080" spans="2:7" hidden="1">
      <c r="B2080" s="141" t="s">
        <v>6076</v>
      </c>
      <c r="C2080" s="140" t="s">
        <v>6077</v>
      </c>
      <c r="D2080" s="141" t="s">
        <v>6078</v>
      </c>
      <c r="E2080" s="140"/>
      <c r="F2080" s="140"/>
      <c r="G2080" s="140"/>
    </row>
    <row r="2081" spans="2:7" hidden="1">
      <c r="B2081" s="141" t="s">
        <v>6079</v>
      </c>
      <c r="C2081" s="140" t="s">
        <v>6080</v>
      </c>
      <c r="D2081" s="141" t="s">
        <v>6081</v>
      </c>
      <c r="E2081" s="140"/>
      <c r="F2081" s="140"/>
      <c r="G2081" s="140"/>
    </row>
    <row r="2082" spans="2:7" hidden="1">
      <c r="B2082" s="141" t="s">
        <v>6082</v>
      </c>
      <c r="C2082" s="140"/>
      <c r="D2082" s="141" t="s">
        <v>6083</v>
      </c>
      <c r="E2082" s="140"/>
      <c r="F2082" s="140"/>
      <c r="G2082" s="140"/>
    </row>
    <row r="2083" spans="2:7" hidden="1">
      <c r="B2083" s="141" t="s">
        <v>6084</v>
      </c>
      <c r="C2083" s="140" t="s">
        <v>6085</v>
      </c>
      <c r="D2083" s="141" t="s">
        <v>6086</v>
      </c>
      <c r="E2083" s="140"/>
      <c r="F2083" s="140"/>
      <c r="G2083" s="140" t="s">
        <v>21395</v>
      </c>
    </row>
    <row r="2084" spans="2:7" hidden="1">
      <c r="B2084" s="141" t="s">
        <v>21612</v>
      </c>
      <c r="C2084" s="140" t="s">
        <v>6087</v>
      </c>
      <c r="D2084" s="141" t="s">
        <v>6088</v>
      </c>
      <c r="E2084" s="140"/>
      <c r="F2084" s="140"/>
      <c r="G2084" s="140"/>
    </row>
    <row r="2085" spans="2:7" hidden="1">
      <c r="B2085" s="141" t="s">
        <v>6089</v>
      </c>
      <c r="C2085" s="140"/>
      <c r="D2085" s="141" t="s">
        <v>6090</v>
      </c>
      <c r="E2085" s="140"/>
      <c r="F2085" s="140"/>
      <c r="G2085" s="140"/>
    </row>
    <row r="2086" spans="2:7" hidden="1">
      <c r="B2086" s="141" t="s">
        <v>6091</v>
      </c>
      <c r="C2086" s="140"/>
      <c r="D2086" s="141" t="s">
        <v>1213</v>
      </c>
      <c r="E2086" s="140"/>
      <c r="F2086" s="140"/>
      <c r="G2086" s="140"/>
    </row>
    <row r="2087" spans="2:7" hidden="1">
      <c r="B2087" s="140" t="s">
        <v>21061</v>
      </c>
      <c r="C2087" s="140" t="s">
        <v>21062</v>
      </c>
      <c r="D2087" s="140" t="s">
        <v>21060</v>
      </c>
      <c r="E2087" s="142" t="s">
        <v>21064</v>
      </c>
      <c r="F2087" s="142"/>
      <c r="G2087" s="140" t="s">
        <v>21063</v>
      </c>
    </row>
    <row r="2088" spans="2:7" hidden="1">
      <c r="B2088" s="141" t="s">
        <v>6092</v>
      </c>
      <c r="C2088" s="140"/>
      <c r="D2088" s="141" t="s">
        <v>1276</v>
      </c>
      <c r="E2088" s="140"/>
      <c r="F2088" s="140"/>
      <c r="G2088" s="140"/>
    </row>
    <row r="2089" spans="2:7" hidden="1">
      <c r="B2089" s="141" t="s">
        <v>6093</v>
      </c>
      <c r="C2089" s="140"/>
      <c r="D2089" s="141" t="s">
        <v>6094</v>
      </c>
      <c r="E2089" s="140"/>
      <c r="F2089" s="140"/>
      <c r="G2089" s="140"/>
    </row>
    <row r="2090" spans="2:7" hidden="1">
      <c r="B2090" s="141" t="s">
        <v>6095</v>
      </c>
      <c r="C2090" s="141"/>
      <c r="D2090" s="141" t="s">
        <v>6096</v>
      </c>
      <c r="E2090" s="141"/>
      <c r="F2090" s="140"/>
      <c r="G2090" s="140"/>
    </row>
    <row r="2091" spans="2:7" hidden="1">
      <c r="B2091" s="141" t="s">
        <v>6097</v>
      </c>
      <c r="C2091" s="140" t="s">
        <v>6098</v>
      </c>
      <c r="D2091" s="141" t="s">
        <v>6099</v>
      </c>
      <c r="E2091" s="140" t="s">
        <v>6100</v>
      </c>
      <c r="F2091" s="140"/>
      <c r="G2091" s="140"/>
    </row>
    <row r="2092" spans="2:7" hidden="1">
      <c r="B2092" s="141" t="s">
        <v>6101</v>
      </c>
      <c r="C2092" s="141"/>
      <c r="D2092" s="141" t="s">
        <v>6102</v>
      </c>
      <c r="E2092" s="141"/>
      <c r="F2092" s="141"/>
      <c r="G2092" s="140"/>
    </row>
    <row r="2093" spans="2:7" hidden="1">
      <c r="B2093" s="141" t="s">
        <v>21613</v>
      </c>
      <c r="C2093" s="140"/>
      <c r="D2093" s="141" t="s">
        <v>1022</v>
      </c>
      <c r="E2093" s="140"/>
      <c r="F2093" s="140"/>
      <c r="G2093" s="140"/>
    </row>
    <row r="2094" spans="2:7" hidden="1">
      <c r="B2094" s="141" t="s">
        <v>6103</v>
      </c>
      <c r="C2094" s="140"/>
      <c r="D2094" s="141" t="s">
        <v>6104</v>
      </c>
      <c r="E2094" s="140"/>
      <c r="F2094" s="140"/>
      <c r="G2094" s="140"/>
    </row>
    <row r="2095" spans="2:7" hidden="1">
      <c r="B2095" s="141" t="s">
        <v>6105</v>
      </c>
      <c r="C2095" s="140"/>
      <c r="D2095" s="141" t="s">
        <v>6106</v>
      </c>
      <c r="E2095" s="140"/>
      <c r="F2095" s="140"/>
      <c r="G2095" s="140"/>
    </row>
    <row r="2096" spans="2:7" hidden="1">
      <c r="B2096" s="141" t="s">
        <v>6107</v>
      </c>
      <c r="C2096" s="141" t="s">
        <v>6108</v>
      </c>
      <c r="D2096" s="141" t="s">
        <v>6109</v>
      </c>
      <c r="E2096" s="141"/>
      <c r="F2096" s="141"/>
      <c r="G2096" s="140"/>
    </row>
    <row r="2097" spans="2:7" hidden="1">
      <c r="B2097" s="141" t="s">
        <v>6110</v>
      </c>
      <c r="C2097" s="141"/>
      <c r="D2097" s="141" t="s">
        <v>2928</v>
      </c>
      <c r="E2097" s="141"/>
      <c r="F2097" s="141"/>
      <c r="G2097" s="140"/>
    </row>
    <row r="2098" spans="2:7" hidden="1">
      <c r="B2098" s="141" t="s">
        <v>6111</v>
      </c>
      <c r="C2098" s="140" t="s">
        <v>6112</v>
      </c>
      <c r="D2098" s="141" t="s">
        <v>6113</v>
      </c>
      <c r="E2098" s="140"/>
      <c r="F2098" s="140"/>
      <c r="G2098" s="140"/>
    </row>
    <row r="2099" spans="2:7" hidden="1">
      <c r="B2099" s="141" t="s">
        <v>6114</v>
      </c>
      <c r="C2099" s="140" t="s">
        <v>6115</v>
      </c>
      <c r="D2099" s="141" t="s">
        <v>6116</v>
      </c>
      <c r="E2099" s="140" t="s">
        <v>6117</v>
      </c>
      <c r="F2099" s="140" t="s">
        <v>6118</v>
      </c>
      <c r="G2099" s="140"/>
    </row>
    <row r="2100" spans="2:7" hidden="1">
      <c r="B2100" s="140" t="s">
        <v>6119</v>
      </c>
      <c r="C2100" s="140"/>
      <c r="D2100" s="140" t="s">
        <v>6120</v>
      </c>
      <c r="E2100" s="142"/>
      <c r="F2100" s="142"/>
      <c r="G2100" s="140"/>
    </row>
    <row r="2101" spans="2:7" hidden="1">
      <c r="B2101" s="141" t="s">
        <v>6121</v>
      </c>
      <c r="C2101" s="141"/>
      <c r="D2101" s="141" t="s">
        <v>6122</v>
      </c>
      <c r="E2101" s="141"/>
      <c r="F2101" s="141"/>
      <c r="G2101" s="140"/>
    </row>
    <row r="2102" spans="2:7" hidden="1">
      <c r="B2102" s="140" t="s">
        <v>6123</v>
      </c>
      <c r="C2102" s="140"/>
      <c r="D2102" s="140" t="s">
        <v>6124</v>
      </c>
      <c r="E2102" s="140"/>
      <c r="F2102" s="140"/>
      <c r="G2102" s="140"/>
    </row>
    <row r="2103" spans="2:7" hidden="1">
      <c r="B2103" s="141" t="s">
        <v>21614</v>
      </c>
      <c r="C2103" s="140"/>
      <c r="D2103" s="141" t="s">
        <v>6125</v>
      </c>
      <c r="E2103" s="140"/>
      <c r="F2103" s="140"/>
      <c r="G2103" s="140"/>
    </row>
    <row r="2104" spans="2:7" hidden="1">
      <c r="B2104" s="141" t="s">
        <v>6126</v>
      </c>
      <c r="C2104" s="141" t="s">
        <v>6127</v>
      </c>
      <c r="D2104" s="141" t="s">
        <v>2168</v>
      </c>
      <c r="E2104" s="141"/>
      <c r="F2104" s="141"/>
      <c r="G2104" s="140"/>
    </row>
    <row r="2105" spans="2:7" hidden="1">
      <c r="B2105" s="141" t="s">
        <v>6128</v>
      </c>
      <c r="C2105" s="140"/>
      <c r="D2105" s="141" t="s">
        <v>5610</v>
      </c>
      <c r="E2105" s="140"/>
      <c r="F2105" s="140"/>
      <c r="G2105" s="140"/>
    </row>
    <row r="2106" spans="2:7" hidden="1">
      <c r="B2106" s="141" t="s">
        <v>21615</v>
      </c>
      <c r="C2106" s="140"/>
      <c r="D2106" s="141" t="s">
        <v>6129</v>
      </c>
      <c r="E2106" s="140"/>
      <c r="F2106" s="140"/>
      <c r="G2106" s="140"/>
    </row>
    <row r="2107" spans="2:7" hidden="1">
      <c r="B2107" s="141" t="s">
        <v>6130</v>
      </c>
      <c r="C2107" s="141" t="s">
        <v>6108</v>
      </c>
      <c r="D2107" s="141" t="s">
        <v>6131</v>
      </c>
      <c r="E2107" s="141"/>
      <c r="F2107" s="141"/>
      <c r="G2107" s="140"/>
    </row>
    <row r="2108" spans="2:7" hidden="1">
      <c r="B2108" s="141" t="s">
        <v>6132</v>
      </c>
      <c r="C2108" s="140"/>
      <c r="D2108" s="141" t="s">
        <v>6133</v>
      </c>
      <c r="E2108" s="140"/>
      <c r="F2108" s="140"/>
      <c r="G2108" s="140"/>
    </row>
    <row r="2109" spans="2:7" hidden="1">
      <c r="B2109" s="141" t="s">
        <v>6134</v>
      </c>
      <c r="C2109" s="140" t="s">
        <v>6135</v>
      </c>
      <c r="D2109" s="141" t="s">
        <v>6136</v>
      </c>
      <c r="E2109" s="140"/>
      <c r="F2109" s="140"/>
      <c r="G2109" s="140" t="s">
        <v>6000</v>
      </c>
    </row>
    <row r="2110" spans="2:7" hidden="1">
      <c r="B2110" s="141" t="s">
        <v>21616</v>
      </c>
      <c r="C2110" s="140"/>
      <c r="D2110" s="141" t="s">
        <v>6137</v>
      </c>
      <c r="E2110" s="140"/>
      <c r="F2110" s="140"/>
      <c r="G2110" s="140"/>
    </row>
    <row r="2111" spans="2:7" hidden="1">
      <c r="B2111" s="141" t="s">
        <v>6138</v>
      </c>
      <c r="C2111" s="140"/>
      <c r="D2111" s="141" t="s">
        <v>6139</v>
      </c>
      <c r="E2111" s="140"/>
      <c r="F2111" s="140"/>
      <c r="G2111" s="140"/>
    </row>
    <row r="2112" spans="2:7" hidden="1">
      <c r="B2112" s="141" t="s">
        <v>6140</v>
      </c>
      <c r="C2112" s="140"/>
      <c r="D2112" s="141" t="s">
        <v>6141</v>
      </c>
      <c r="E2112" s="140"/>
      <c r="F2112" s="140"/>
      <c r="G2112" s="140"/>
    </row>
    <row r="2113" spans="2:7" hidden="1">
      <c r="B2113" s="140" t="s">
        <v>6142</v>
      </c>
      <c r="C2113" s="140"/>
      <c r="D2113" s="140" t="s">
        <v>6143</v>
      </c>
      <c r="E2113" s="142"/>
      <c r="F2113" s="142"/>
      <c r="G2113" s="140"/>
    </row>
    <row r="2114" spans="2:7" hidden="1">
      <c r="B2114" s="141" t="s">
        <v>6144</v>
      </c>
      <c r="C2114" s="140"/>
      <c r="D2114" s="141" t="s">
        <v>6145</v>
      </c>
      <c r="E2114" s="140"/>
      <c r="F2114" s="140"/>
      <c r="G2114" s="140"/>
    </row>
    <row r="2115" spans="2:7" hidden="1">
      <c r="B2115" s="141" t="s">
        <v>6146</v>
      </c>
      <c r="C2115" s="140"/>
      <c r="D2115" s="141" t="s">
        <v>6147</v>
      </c>
      <c r="E2115" s="140"/>
      <c r="F2115" s="140"/>
      <c r="G2115" s="140"/>
    </row>
    <row r="2116" spans="2:7" hidden="1">
      <c r="B2116" s="141" t="s">
        <v>6148</v>
      </c>
      <c r="C2116" s="141"/>
      <c r="D2116" s="141" t="s">
        <v>6149</v>
      </c>
      <c r="E2116" s="141"/>
      <c r="F2116" s="141"/>
      <c r="G2116" s="140"/>
    </row>
    <row r="2117" spans="2:7" hidden="1">
      <c r="B2117" s="141" t="s">
        <v>6150</v>
      </c>
      <c r="C2117" s="140"/>
      <c r="D2117" s="141" t="s">
        <v>6151</v>
      </c>
      <c r="E2117" s="140"/>
      <c r="F2117" s="140"/>
      <c r="G2117" s="140"/>
    </row>
    <row r="2118" spans="2:7" hidden="1">
      <c r="B2118" s="141" t="s">
        <v>6152</v>
      </c>
      <c r="C2118" s="140"/>
      <c r="D2118" s="141" t="s">
        <v>6153</v>
      </c>
      <c r="E2118" s="140"/>
      <c r="F2118" s="140"/>
      <c r="G2118" s="140"/>
    </row>
    <row r="2119" spans="2:7" hidden="1">
      <c r="B2119" s="141" t="s">
        <v>6154</v>
      </c>
      <c r="C2119" s="140"/>
      <c r="D2119" s="141" t="s">
        <v>6155</v>
      </c>
      <c r="E2119" s="140"/>
      <c r="F2119" s="140"/>
      <c r="G2119" s="140"/>
    </row>
    <row r="2120" spans="2:7" hidden="1">
      <c r="B2120" s="141" t="s">
        <v>6156</v>
      </c>
      <c r="C2120" s="140" t="s">
        <v>6157</v>
      </c>
      <c r="D2120" s="141" t="s">
        <v>4138</v>
      </c>
      <c r="E2120" s="140" t="s">
        <v>6158</v>
      </c>
      <c r="F2120" s="140" t="s">
        <v>6159</v>
      </c>
      <c r="G2120" s="140"/>
    </row>
    <row r="2121" spans="2:7" hidden="1">
      <c r="B2121" s="141" t="s">
        <v>6160</v>
      </c>
      <c r="C2121" s="141"/>
      <c r="D2121" s="141" t="s">
        <v>6161</v>
      </c>
      <c r="E2121" s="141"/>
      <c r="F2121" s="140"/>
      <c r="G2121" s="140"/>
    </row>
    <row r="2122" spans="2:7" hidden="1">
      <c r="B2122" s="141" t="s">
        <v>6162</v>
      </c>
      <c r="C2122" s="140"/>
      <c r="D2122" s="141" t="s">
        <v>3884</v>
      </c>
      <c r="E2122" s="140"/>
      <c r="F2122" s="140"/>
      <c r="G2122" s="140"/>
    </row>
    <row r="2123" spans="2:7" hidden="1">
      <c r="B2123" s="141" t="s">
        <v>6163</v>
      </c>
      <c r="C2123" s="140"/>
      <c r="D2123" s="141" t="s">
        <v>6164</v>
      </c>
      <c r="E2123" s="140"/>
      <c r="F2123" s="140"/>
      <c r="G2123" s="140"/>
    </row>
    <row r="2124" spans="2:7" hidden="1">
      <c r="B2124" s="141" t="s">
        <v>6165</v>
      </c>
      <c r="C2124" s="140"/>
      <c r="D2124" s="141" t="s">
        <v>6166</v>
      </c>
      <c r="E2124" s="140"/>
      <c r="F2124" s="140"/>
      <c r="G2124" s="140"/>
    </row>
    <row r="2125" spans="2:7" hidden="1">
      <c r="B2125" s="141" t="s">
        <v>6167</v>
      </c>
      <c r="C2125" s="140"/>
      <c r="D2125" s="141" t="s">
        <v>1626</v>
      </c>
      <c r="E2125" s="140"/>
      <c r="F2125" s="140"/>
      <c r="G2125" s="140"/>
    </row>
    <row r="2126" spans="2:7" hidden="1">
      <c r="B2126" s="141" t="s">
        <v>6168</v>
      </c>
      <c r="C2126" s="140" t="s">
        <v>6169</v>
      </c>
      <c r="D2126" s="141" t="s">
        <v>6170</v>
      </c>
      <c r="E2126" s="140"/>
      <c r="F2126" s="140"/>
      <c r="G2126" s="140" t="s">
        <v>6171</v>
      </c>
    </row>
    <row r="2127" spans="2:7" hidden="1">
      <c r="B2127" s="141" t="s">
        <v>6172</v>
      </c>
      <c r="C2127" s="140"/>
      <c r="D2127" s="141" t="s">
        <v>6173</v>
      </c>
      <c r="E2127" s="140"/>
      <c r="F2127" s="140"/>
      <c r="G2127" s="140"/>
    </row>
    <row r="2128" spans="2:7" hidden="1">
      <c r="B2128" s="141" t="s">
        <v>6174</v>
      </c>
      <c r="C2128" s="140"/>
      <c r="D2128" s="141" t="s">
        <v>6175</v>
      </c>
      <c r="E2128" s="140"/>
      <c r="F2128" s="140"/>
      <c r="G2128" s="140"/>
    </row>
    <row r="2129" spans="2:7" hidden="1">
      <c r="B2129" s="141" t="s">
        <v>21617</v>
      </c>
      <c r="C2129" s="140"/>
      <c r="D2129" s="141" t="s">
        <v>3694</v>
      </c>
      <c r="E2129" s="140"/>
      <c r="F2129" s="140"/>
      <c r="G2129" s="140"/>
    </row>
    <row r="2130" spans="2:7" hidden="1">
      <c r="B2130" s="140" t="s">
        <v>6176</v>
      </c>
      <c r="C2130" s="140" t="s">
        <v>6177</v>
      </c>
      <c r="D2130" s="140" t="s">
        <v>6178</v>
      </c>
      <c r="E2130" s="140"/>
      <c r="F2130" s="140"/>
      <c r="G2130" s="140"/>
    </row>
    <row r="2131" spans="2:7" hidden="1">
      <c r="B2131" s="141" t="s">
        <v>6179</v>
      </c>
      <c r="C2131" s="140"/>
      <c r="D2131" s="141" t="s">
        <v>3547</v>
      </c>
      <c r="E2131" s="140"/>
      <c r="F2131" s="140"/>
      <c r="G2131" s="140"/>
    </row>
    <row r="2132" spans="2:7" hidden="1">
      <c r="B2132" s="141" t="s">
        <v>6180</v>
      </c>
      <c r="C2132" s="140"/>
      <c r="D2132" s="141" t="s">
        <v>6181</v>
      </c>
      <c r="E2132" s="140"/>
      <c r="F2132" s="140"/>
      <c r="G2132" s="140"/>
    </row>
    <row r="2133" spans="2:7" hidden="1">
      <c r="B2133" s="140" t="s">
        <v>6182</v>
      </c>
      <c r="C2133" s="140"/>
      <c r="D2133" s="140" t="s">
        <v>6183</v>
      </c>
      <c r="E2133" s="142"/>
      <c r="F2133" s="142"/>
      <c r="G2133" s="140"/>
    </row>
    <row r="2134" spans="2:7" hidden="1">
      <c r="B2134" s="141" t="s">
        <v>6184</v>
      </c>
      <c r="C2134" s="140" t="s">
        <v>6185</v>
      </c>
      <c r="D2134" s="141" t="s">
        <v>1480</v>
      </c>
      <c r="E2134" s="140"/>
      <c r="F2134" s="140"/>
      <c r="G2134" s="140"/>
    </row>
    <row r="2135" spans="2:7" hidden="1">
      <c r="B2135" s="141" t="s">
        <v>6186</v>
      </c>
      <c r="C2135" s="140" t="s">
        <v>3904</v>
      </c>
      <c r="D2135" s="141" t="s">
        <v>3905</v>
      </c>
      <c r="E2135" s="140" t="s">
        <v>6187</v>
      </c>
      <c r="F2135" s="140" t="s">
        <v>6188</v>
      </c>
      <c r="G2135" s="140"/>
    </row>
    <row r="2136" spans="2:7" hidden="1">
      <c r="B2136" s="141" t="s">
        <v>6189</v>
      </c>
      <c r="C2136" s="140"/>
      <c r="D2136" s="141" t="s">
        <v>6190</v>
      </c>
      <c r="E2136" s="140"/>
      <c r="F2136" s="140"/>
      <c r="G2136" s="140"/>
    </row>
    <row r="2137" spans="2:7" hidden="1">
      <c r="B2137" s="141" t="s">
        <v>6191</v>
      </c>
      <c r="C2137" s="140" t="s">
        <v>6192</v>
      </c>
      <c r="D2137" s="141" t="s">
        <v>6193</v>
      </c>
      <c r="E2137" s="140"/>
      <c r="F2137" s="140"/>
      <c r="G2137" s="140" t="s">
        <v>6194</v>
      </c>
    </row>
    <row r="2138" spans="2:7" hidden="1">
      <c r="B2138" s="141" t="s">
        <v>6195</v>
      </c>
      <c r="C2138" s="140"/>
      <c r="D2138" s="141" t="s">
        <v>6196</v>
      </c>
      <c r="E2138" s="140"/>
      <c r="F2138" s="140"/>
      <c r="G2138" s="140"/>
    </row>
    <row r="2139" spans="2:7" hidden="1">
      <c r="B2139" s="140" t="s">
        <v>6197</v>
      </c>
      <c r="C2139" s="140"/>
      <c r="D2139" s="140" t="s">
        <v>6198</v>
      </c>
      <c r="E2139" s="142"/>
      <c r="F2139" s="142"/>
      <c r="G2139" s="140"/>
    </row>
    <row r="2140" spans="2:7" hidden="1">
      <c r="B2140" s="141" t="s">
        <v>6199</v>
      </c>
      <c r="C2140" s="140"/>
      <c r="D2140" s="141" t="s">
        <v>6200</v>
      </c>
      <c r="E2140" s="140"/>
      <c r="F2140" s="140"/>
      <c r="G2140" s="140"/>
    </row>
    <row r="2141" spans="2:7" hidden="1">
      <c r="B2141" s="140" t="s">
        <v>20520</v>
      </c>
      <c r="C2141" s="140" t="s">
        <v>6201</v>
      </c>
      <c r="D2141" s="140" t="s">
        <v>2287</v>
      </c>
      <c r="E2141" s="142" t="s">
        <v>20521</v>
      </c>
      <c r="F2141" s="142" t="s">
        <v>20522</v>
      </c>
      <c r="G2141" s="140"/>
    </row>
    <row r="2142" spans="2:7" hidden="1">
      <c r="B2142" s="140" t="s">
        <v>6202</v>
      </c>
      <c r="C2142" s="141"/>
      <c r="D2142" s="141" t="s">
        <v>6203</v>
      </c>
      <c r="E2142" s="141"/>
      <c r="F2142" s="141"/>
      <c r="G2142" s="140"/>
    </row>
    <row r="2143" spans="2:7" hidden="1">
      <c r="B2143" s="141" t="s">
        <v>6204</v>
      </c>
      <c r="C2143" s="141"/>
      <c r="D2143" s="141" t="s">
        <v>6205</v>
      </c>
      <c r="E2143" s="141"/>
      <c r="F2143" s="140"/>
      <c r="G2143" s="140"/>
    </row>
    <row r="2144" spans="2:7" hidden="1">
      <c r="B2144" s="141" t="s">
        <v>6206</v>
      </c>
      <c r="C2144" s="140"/>
      <c r="D2144" s="141" t="s">
        <v>1213</v>
      </c>
      <c r="E2144" s="140"/>
      <c r="F2144" s="140"/>
      <c r="G2144" s="140"/>
    </row>
    <row r="2145" spans="2:7" hidden="1">
      <c r="B2145" s="141" t="s">
        <v>6207</v>
      </c>
      <c r="C2145" s="140"/>
      <c r="D2145" s="141" t="s">
        <v>1213</v>
      </c>
      <c r="E2145" s="140"/>
      <c r="F2145" s="140"/>
      <c r="G2145" s="140"/>
    </row>
    <row r="2146" spans="2:7" hidden="1">
      <c r="B2146" s="141" t="s">
        <v>6208</v>
      </c>
      <c r="C2146" s="140" t="s">
        <v>6209</v>
      </c>
      <c r="D2146" s="141" t="s">
        <v>2168</v>
      </c>
      <c r="E2146" s="140"/>
      <c r="F2146" s="140"/>
      <c r="G2146" s="140"/>
    </row>
    <row r="2147" spans="2:7" hidden="1">
      <c r="B2147" s="141" t="s">
        <v>6210</v>
      </c>
      <c r="C2147" s="140"/>
      <c r="D2147" s="141" t="s">
        <v>6211</v>
      </c>
      <c r="E2147" s="140"/>
      <c r="F2147" s="140"/>
      <c r="G2147" s="140"/>
    </row>
    <row r="2148" spans="2:7" hidden="1">
      <c r="B2148" s="141" t="s">
        <v>6212</v>
      </c>
      <c r="C2148" s="140"/>
      <c r="D2148" s="141" t="s">
        <v>6213</v>
      </c>
      <c r="E2148" s="140"/>
      <c r="F2148" s="140"/>
      <c r="G2148" s="140"/>
    </row>
    <row r="2149" spans="2:7" hidden="1">
      <c r="B2149" s="141" t="s">
        <v>6214</v>
      </c>
      <c r="C2149" s="140"/>
      <c r="D2149" s="141" t="s">
        <v>6215</v>
      </c>
      <c r="E2149" s="140"/>
      <c r="F2149" s="140"/>
      <c r="G2149" s="140"/>
    </row>
    <row r="2150" spans="2:7" hidden="1">
      <c r="B2150" s="140" t="s">
        <v>6216</v>
      </c>
      <c r="C2150" s="140" t="s">
        <v>6217</v>
      </c>
      <c r="D2150" s="140" t="s">
        <v>6218</v>
      </c>
      <c r="E2150" s="142" t="s">
        <v>6219</v>
      </c>
      <c r="F2150" s="142" t="s">
        <v>6220</v>
      </c>
      <c r="G2150" s="140"/>
    </row>
    <row r="2151" spans="2:7" hidden="1">
      <c r="B2151" s="141" t="s">
        <v>6221</v>
      </c>
      <c r="C2151" s="140"/>
      <c r="D2151" s="141" t="s">
        <v>6222</v>
      </c>
      <c r="E2151" s="140"/>
      <c r="F2151" s="140"/>
      <c r="G2151" s="140"/>
    </row>
    <row r="2152" spans="2:7" hidden="1">
      <c r="B2152" s="141" t="s">
        <v>6223</v>
      </c>
      <c r="C2152" s="141"/>
      <c r="D2152" s="141" t="s">
        <v>6224</v>
      </c>
      <c r="E2152" s="141"/>
      <c r="F2152" s="140"/>
      <c r="G2152" s="140"/>
    </row>
    <row r="2153" spans="2:7" ht="14" hidden="1">
      <c r="B2153" s="371" t="s">
        <v>6225</v>
      </c>
      <c r="C2153" s="371"/>
      <c r="D2153" s="371" t="s">
        <v>6226</v>
      </c>
      <c r="E2153" s="375"/>
      <c r="F2153" s="375"/>
    </row>
    <row r="2154" spans="2:7" ht="14" hidden="1">
      <c r="B2154" s="371" t="s">
        <v>6227</v>
      </c>
      <c r="C2154" s="371"/>
      <c r="D2154" s="371" t="s">
        <v>6228</v>
      </c>
      <c r="E2154" s="375"/>
      <c r="F2154" s="375"/>
    </row>
    <row r="2155" spans="2:7" hidden="1">
      <c r="B2155" s="140" t="s">
        <v>6229</v>
      </c>
      <c r="C2155" s="140"/>
      <c r="D2155" s="140" t="s">
        <v>4729</v>
      </c>
      <c r="E2155" s="142"/>
      <c r="F2155" s="142"/>
      <c r="G2155" s="140"/>
    </row>
    <row r="2156" spans="2:7" hidden="1">
      <c r="B2156" s="141" t="s">
        <v>21618</v>
      </c>
      <c r="C2156" s="140"/>
      <c r="D2156" s="141" t="s">
        <v>6230</v>
      </c>
      <c r="E2156" s="140"/>
      <c r="F2156" s="140"/>
      <c r="G2156" s="140"/>
    </row>
    <row r="2157" spans="2:7" hidden="1">
      <c r="B2157" s="140" t="s">
        <v>6231</v>
      </c>
      <c r="C2157" s="140"/>
      <c r="D2157" s="140" t="s">
        <v>6232</v>
      </c>
      <c r="E2157" s="142"/>
      <c r="F2157" s="142"/>
      <c r="G2157" s="140"/>
    </row>
    <row r="2158" spans="2:7" hidden="1">
      <c r="B2158" s="141" t="s">
        <v>21619</v>
      </c>
      <c r="C2158" s="140"/>
      <c r="D2158" s="141" t="s">
        <v>6233</v>
      </c>
      <c r="E2158" s="140"/>
      <c r="F2158" s="140"/>
      <c r="G2158" s="140"/>
    </row>
    <row r="2159" spans="2:7" hidden="1">
      <c r="B2159" s="140" t="s">
        <v>20296</v>
      </c>
      <c r="C2159" s="140" t="s">
        <v>20297</v>
      </c>
      <c r="D2159" s="140" t="s">
        <v>20301</v>
      </c>
      <c r="E2159" s="142" t="s">
        <v>20298</v>
      </c>
      <c r="F2159" s="142" t="s">
        <v>20299</v>
      </c>
      <c r="G2159" s="140" t="s">
        <v>20300</v>
      </c>
    </row>
    <row r="2160" spans="2:7" hidden="1">
      <c r="B2160" s="141" t="s">
        <v>6234</v>
      </c>
      <c r="C2160" s="140" t="s">
        <v>20130</v>
      </c>
      <c r="D2160" s="141" t="s">
        <v>15554</v>
      </c>
      <c r="E2160" s="140" t="s">
        <v>6235</v>
      </c>
      <c r="F2160" s="140" t="s">
        <v>6236</v>
      </c>
      <c r="G2160" s="140"/>
    </row>
    <row r="2161" spans="2:7" hidden="1">
      <c r="B2161" s="141" t="s">
        <v>6237</v>
      </c>
      <c r="C2161" s="140" t="s">
        <v>6238</v>
      </c>
      <c r="D2161" s="141" t="s">
        <v>4023</v>
      </c>
      <c r="E2161" s="140" t="s">
        <v>6239</v>
      </c>
      <c r="F2161" s="140" t="s">
        <v>6240</v>
      </c>
      <c r="G2161" s="140"/>
    </row>
    <row r="2162" spans="2:7" hidden="1">
      <c r="B2162" s="141" t="s">
        <v>19249</v>
      </c>
      <c r="C2162" s="140" t="s">
        <v>20131</v>
      </c>
      <c r="D2162" s="141" t="s">
        <v>5120</v>
      </c>
      <c r="E2162" s="140" t="s">
        <v>20132</v>
      </c>
      <c r="F2162" s="140"/>
      <c r="G2162" s="140" t="s">
        <v>20133</v>
      </c>
    </row>
    <row r="2163" spans="2:7" hidden="1">
      <c r="B2163" s="141" t="s">
        <v>20134</v>
      </c>
      <c r="C2163" s="140" t="s">
        <v>20135</v>
      </c>
      <c r="D2163" s="141" t="s">
        <v>19250</v>
      </c>
      <c r="E2163" s="140" t="s">
        <v>19251</v>
      </c>
      <c r="F2163" s="140"/>
      <c r="G2163" s="140"/>
    </row>
    <row r="2164" spans="2:7" hidden="1">
      <c r="B2164" s="140" t="s">
        <v>20419</v>
      </c>
      <c r="C2164" s="140" t="s">
        <v>20420</v>
      </c>
      <c r="D2164" s="140" t="s">
        <v>20421</v>
      </c>
      <c r="E2164" s="142" t="s">
        <v>20422</v>
      </c>
      <c r="F2164" s="142"/>
      <c r="G2164" s="140"/>
    </row>
    <row r="2165" spans="2:7" hidden="1">
      <c r="B2165" s="141" t="s">
        <v>6241</v>
      </c>
      <c r="C2165" s="140" t="s">
        <v>6242</v>
      </c>
      <c r="D2165" s="141" t="s">
        <v>6243</v>
      </c>
      <c r="E2165" s="140"/>
      <c r="F2165" s="140"/>
      <c r="G2165" s="140"/>
    </row>
    <row r="2166" spans="2:7" hidden="1">
      <c r="B2166" s="141" t="s">
        <v>6244</v>
      </c>
      <c r="C2166" s="140"/>
      <c r="D2166" s="141" t="s">
        <v>6245</v>
      </c>
      <c r="E2166" s="140"/>
      <c r="F2166" s="140"/>
      <c r="G2166" s="140"/>
    </row>
    <row r="2167" spans="2:7" hidden="1">
      <c r="B2167" s="141" t="s">
        <v>6246</v>
      </c>
      <c r="C2167" s="140"/>
      <c r="D2167" s="141" t="s">
        <v>6247</v>
      </c>
      <c r="E2167" s="140"/>
      <c r="F2167" s="140"/>
      <c r="G2167" s="140"/>
    </row>
    <row r="2168" spans="2:7" hidden="1">
      <c r="B2168" s="141" t="s">
        <v>6248</v>
      </c>
      <c r="C2168" s="140" t="s">
        <v>6249</v>
      </c>
      <c r="D2168" s="141" t="s">
        <v>6250</v>
      </c>
      <c r="E2168" s="140"/>
      <c r="F2168" s="140"/>
      <c r="G2168" s="140"/>
    </row>
    <row r="2169" spans="2:7" hidden="1">
      <c r="B2169" s="141" t="s">
        <v>6251</v>
      </c>
      <c r="C2169" s="140" t="s">
        <v>6252</v>
      </c>
      <c r="D2169" s="141" t="s">
        <v>6253</v>
      </c>
      <c r="E2169" s="140" t="s">
        <v>6254</v>
      </c>
      <c r="F2169" s="140"/>
      <c r="G2169" s="140"/>
    </row>
    <row r="2170" spans="2:7" hidden="1">
      <c r="B2170" s="140" t="s">
        <v>6255</v>
      </c>
      <c r="C2170" s="140" t="s">
        <v>6256</v>
      </c>
      <c r="D2170" s="140" t="s">
        <v>6257</v>
      </c>
      <c r="E2170" s="142" t="s">
        <v>6258</v>
      </c>
      <c r="F2170" s="142" t="s">
        <v>6259</v>
      </c>
      <c r="G2170" s="140"/>
    </row>
    <row r="2171" spans="2:7" hidden="1">
      <c r="B2171" s="141" t="s">
        <v>6260</v>
      </c>
      <c r="C2171" s="140" t="s">
        <v>6261</v>
      </c>
      <c r="D2171" s="141" t="s">
        <v>6262</v>
      </c>
      <c r="E2171" s="140" t="s">
        <v>6263</v>
      </c>
      <c r="F2171" s="140" t="s">
        <v>6264</v>
      </c>
      <c r="G2171" s="140"/>
    </row>
    <row r="2172" spans="2:7" hidden="1">
      <c r="B2172" s="141" t="s">
        <v>6265</v>
      </c>
      <c r="C2172" s="140" t="s">
        <v>6266</v>
      </c>
      <c r="D2172" s="141" t="s">
        <v>6267</v>
      </c>
      <c r="E2172" s="140"/>
      <c r="F2172" s="140"/>
      <c r="G2172" s="140"/>
    </row>
    <row r="2173" spans="2:7" hidden="1">
      <c r="B2173" s="141" t="s">
        <v>6268</v>
      </c>
      <c r="C2173" s="140"/>
      <c r="D2173" s="141" t="s">
        <v>6269</v>
      </c>
      <c r="E2173" s="140"/>
      <c r="F2173" s="140"/>
      <c r="G2173" s="140"/>
    </row>
    <row r="2174" spans="2:7" hidden="1">
      <c r="B2174" s="141" t="s">
        <v>6270</v>
      </c>
      <c r="C2174" s="140"/>
      <c r="D2174" s="141" t="s">
        <v>3355</v>
      </c>
      <c r="E2174" s="140"/>
      <c r="F2174" s="140"/>
      <c r="G2174" s="140"/>
    </row>
    <row r="2175" spans="2:7" hidden="1">
      <c r="B2175" s="141" t="s">
        <v>6271</v>
      </c>
      <c r="C2175" s="140"/>
      <c r="D2175" s="141" t="s">
        <v>3310</v>
      </c>
      <c r="E2175" s="140"/>
      <c r="F2175" s="140"/>
      <c r="G2175" s="140"/>
    </row>
    <row r="2176" spans="2:7" hidden="1">
      <c r="B2176" s="140" t="s">
        <v>6272</v>
      </c>
      <c r="C2176" s="140"/>
      <c r="D2176" s="140" t="s">
        <v>6273</v>
      </c>
      <c r="E2176" s="142"/>
      <c r="F2176" s="142"/>
      <c r="G2176" s="140"/>
    </row>
    <row r="2177" spans="2:7" hidden="1">
      <c r="B2177" s="140" t="s">
        <v>6274</v>
      </c>
      <c r="C2177" s="140"/>
      <c r="D2177" s="140" t="s">
        <v>4806</v>
      </c>
      <c r="E2177" s="142"/>
      <c r="F2177" s="142"/>
      <c r="G2177" s="140"/>
    </row>
    <row r="2178" spans="2:7" hidden="1">
      <c r="B2178" s="141" t="s">
        <v>6275</v>
      </c>
      <c r="C2178" s="140"/>
      <c r="D2178" s="141" t="s">
        <v>6276</v>
      </c>
      <c r="E2178" s="140"/>
      <c r="F2178" s="140"/>
      <c r="G2178" s="140"/>
    </row>
    <row r="2179" spans="2:7" hidden="1">
      <c r="B2179" s="141" t="s">
        <v>6277</v>
      </c>
      <c r="C2179" s="140"/>
      <c r="D2179" s="141" t="s">
        <v>6278</v>
      </c>
      <c r="E2179" s="140"/>
      <c r="F2179" s="140"/>
      <c r="G2179" s="140"/>
    </row>
    <row r="2180" spans="2:7" hidden="1">
      <c r="B2180" s="141" t="s">
        <v>6279</v>
      </c>
      <c r="C2180" s="140"/>
      <c r="D2180" s="141" t="s">
        <v>6280</v>
      </c>
      <c r="E2180" s="140"/>
      <c r="F2180" s="140"/>
      <c r="G2180" s="140"/>
    </row>
    <row r="2181" spans="2:7" hidden="1">
      <c r="B2181" s="141" t="s">
        <v>6281</v>
      </c>
      <c r="C2181" s="141"/>
      <c r="D2181" s="141" t="s">
        <v>6282</v>
      </c>
      <c r="E2181" s="141"/>
      <c r="F2181" s="141"/>
      <c r="G2181" s="140"/>
    </row>
    <row r="2182" spans="2:7" hidden="1">
      <c r="B2182" s="140" t="s">
        <v>6283</v>
      </c>
      <c r="C2182" s="140"/>
      <c r="D2182" s="140" t="s">
        <v>6284</v>
      </c>
      <c r="E2182" s="142"/>
      <c r="F2182" s="142"/>
      <c r="G2182" s="140"/>
    </row>
    <row r="2183" spans="2:7" hidden="1">
      <c r="B2183" s="141" t="s">
        <v>6285</v>
      </c>
      <c r="C2183" s="140"/>
      <c r="D2183" s="141" t="s">
        <v>6286</v>
      </c>
      <c r="E2183" s="140"/>
      <c r="F2183" s="140"/>
      <c r="G2183" s="140"/>
    </row>
    <row r="2184" spans="2:7" hidden="1">
      <c r="B2184" s="140" t="s">
        <v>6287</v>
      </c>
      <c r="C2184" s="140"/>
      <c r="D2184" s="140" t="s">
        <v>6288</v>
      </c>
      <c r="E2184" s="142"/>
      <c r="F2184" s="142"/>
      <c r="G2184" s="140"/>
    </row>
    <row r="2185" spans="2:7" hidden="1">
      <c r="B2185" s="141" t="s">
        <v>6289</v>
      </c>
      <c r="C2185" s="141" t="s">
        <v>6290</v>
      </c>
      <c r="D2185" s="141" t="s">
        <v>6291</v>
      </c>
      <c r="E2185" s="141"/>
      <c r="F2185" s="141"/>
      <c r="G2185" s="140" t="s">
        <v>6292</v>
      </c>
    </row>
    <row r="2186" spans="2:7" hidden="1">
      <c r="B2186" s="141" t="s">
        <v>6293</v>
      </c>
      <c r="C2186" s="140"/>
      <c r="D2186" s="141" t="s">
        <v>6294</v>
      </c>
      <c r="E2186" s="140"/>
      <c r="F2186" s="140"/>
      <c r="G2186" s="140"/>
    </row>
    <row r="2187" spans="2:7" hidden="1">
      <c r="B2187" s="141" t="s">
        <v>21620</v>
      </c>
      <c r="C2187" s="140"/>
      <c r="D2187" s="141" t="s">
        <v>6295</v>
      </c>
      <c r="E2187" s="140"/>
      <c r="F2187" s="140"/>
      <c r="G2187" s="140"/>
    </row>
    <row r="2188" spans="2:7" hidden="1">
      <c r="B2188" s="140" t="s">
        <v>6296</v>
      </c>
      <c r="C2188" s="140"/>
      <c r="D2188" s="140" t="s">
        <v>3426</v>
      </c>
      <c r="E2188" s="142"/>
      <c r="F2188" s="142"/>
      <c r="G2188" s="140"/>
    </row>
    <row r="2189" spans="2:7" hidden="1">
      <c r="B2189" s="141" t="s">
        <v>6297</v>
      </c>
      <c r="C2189" s="140" t="s">
        <v>6298</v>
      </c>
      <c r="D2189" s="141" t="s">
        <v>6299</v>
      </c>
      <c r="E2189" s="140" t="s">
        <v>6003</v>
      </c>
      <c r="F2189" s="140" t="s">
        <v>6004</v>
      </c>
      <c r="G2189" s="140"/>
    </row>
    <row r="2190" spans="2:7" hidden="1">
      <c r="B2190" s="141" t="s">
        <v>6300</v>
      </c>
      <c r="C2190" s="140"/>
      <c r="D2190" s="141" t="s">
        <v>6301</v>
      </c>
      <c r="E2190" s="140"/>
      <c r="F2190" s="140"/>
      <c r="G2190" s="140"/>
    </row>
    <row r="2191" spans="2:7" hidden="1">
      <c r="B2191" s="141" t="s">
        <v>6302</v>
      </c>
      <c r="C2191" s="140"/>
      <c r="D2191" s="141" t="s">
        <v>6303</v>
      </c>
      <c r="E2191" s="140"/>
      <c r="F2191" s="140"/>
      <c r="G2191" s="140"/>
    </row>
    <row r="2192" spans="2:7" hidden="1">
      <c r="B2192" s="141" t="s">
        <v>6304</v>
      </c>
      <c r="C2192" s="140"/>
      <c r="D2192" s="141" t="s">
        <v>6305</v>
      </c>
      <c r="E2192" s="140"/>
      <c r="F2192" s="140"/>
      <c r="G2192" s="140"/>
    </row>
    <row r="2193" spans="2:7" hidden="1">
      <c r="B2193" s="140" t="s">
        <v>6306</v>
      </c>
      <c r="C2193" s="140"/>
      <c r="D2193" s="140" t="s">
        <v>6307</v>
      </c>
      <c r="E2193" s="142"/>
      <c r="F2193" s="142"/>
      <c r="G2193" s="140"/>
    </row>
    <row r="2194" spans="2:7" hidden="1">
      <c r="B2194" s="141" t="s">
        <v>6308</v>
      </c>
      <c r="C2194" s="140" t="s">
        <v>6309</v>
      </c>
      <c r="D2194" s="141" t="s">
        <v>6310</v>
      </c>
      <c r="E2194" s="140" t="s">
        <v>6311</v>
      </c>
      <c r="F2194" s="140" t="s">
        <v>6312</v>
      </c>
      <c r="G2194" s="140"/>
    </row>
    <row r="2195" spans="2:7" hidden="1">
      <c r="B2195" s="141" t="s">
        <v>6313</v>
      </c>
      <c r="C2195" s="140"/>
      <c r="D2195" s="141" t="s">
        <v>6314</v>
      </c>
      <c r="E2195" s="140"/>
      <c r="F2195" s="140"/>
      <c r="G2195" s="140"/>
    </row>
    <row r="2196" spans="2:7" hidden="1">
      <c r="B2196" s="141" t="s">
        <v>6315</v>
      </c>
      <c r="C2196" s="140"/>
      <c r="D2196" s="141" t="s">
        <v>5355</v>
      </c>
      <c r="E2196" s="140"/>
      <c r="F2196" s="140"/>
      <c r="G2196" s="140"/>
    </row>
    <row r="2197" spans="2:7" hidden="1">
      <c r="B2197" s="141" t="s">
        <v>6316</v>
      </c>
      <c r="C2197" s="140"/>
      <c r="D2197" s="141" t="s">
        <v>6317</v>
      </c>
      <c r="E2197" s="140"/>
      <c r="F2197" s="140"/>
      <c r="G2197" s="140"/>
    </row>
    <row r="2198" spans="2:7" hidden="1">
      <c r="B2198" s="141" t="s">
        <v>6318</v>
      </c>
      <c r="C2198" s="140"/>
      <c r="D2198" s="141" t="s">
        <v>6319</v>
      </c>
      <c r="E2198" s="140"/>
      <c r="F2198" s="140"/>
      <c r="G2198" s="140"/>
    </row>
    <row r="2199" spans="2:7" hidden="1">
      <c r="B2199" s="141" t="s">
        <v>6320</v>
      </c>
      <c r="C2199" s="140"/>
      <c r="D2199" s="141" t="s">
        <v>6321</v>
      </c>
      <c r="E2199" s="140"/>
      <c r="F2199" s="140"/>
      <c r="G2199" s="140"/>
    </row>
    <row r="2200" spans="2:7" hidden="1">
      <c r="B2200" s="141" t="s">
        <v>6322</v>
      </c>
      <c r="C2200" s="140"/>
      <c r="D2200" s="141" t="s">
        <v>6323</v>
      </c>
      <c r="E2200" s="140"/>
      <c r="F2200" s="140"/>
      <c r="G2200" s="140"/>
    </row>
    <row r="2201" spans="2:7" hidden="1">
      <c r="B2201" s="140" t="s">
        <v>6324</v>
      </c>
      <c r="C2201" s="140"/>
      <c r="D2201" s="140" t="s">
        <v>6325</v>
      </c>
      <c r="E2201" s="142"/>
      <c r="F2201" s="142"/>
      <c r="G2201" s="140"/>
    </row>
    <row r="2202" spans="2:7" hidden="1">
      <c r="B2202" s="140" t="s">
        <v>6326</v>
      </c>
      <c r="C2202" s="140" t="s">
        <v>6327</v>
      </c>
      <c r="D2202" s="140" t="s">
        <v>2291</v>
      </c>
      <c r="E2202" s="142" t="s">
        <v>6328</v>
      </c>
      <c r="F2202" s="142" t="s">
        <v>6329</v>
      </c>
      <c r="G2202" s="140"/>
    </row>
    <row r="2203" spans="2:7" hidden="1">
      <c r="B2203" s="141" t="s">
        <v>6330</v>
      </c>
      <c r="C2203" s="140"/>
      <c r="D2203" s="141" t="s">
        <v>6331</v>
      </c>
      <c r="E2203" s="140"/>
      <c r="F2203" s="140"/>
      <c r="G2203" s="140"/>
    </row>
    <row r="2204" spans="2:7" hidden="1">
      <c r="B2204" s="141" t="s">
        <v>21621</v>
      </c>
      <c r="C2204" s="140"/>
      <c r="D2204" s="141" t="s">
        <v>6332</v>
      </c>
      <c r="E2204" s="140"/>
      <c r="F2204" s="140"/>
      <c r="G2204" s="140"/>
    </row>
    <row r="2205" spans="2:7" hidden="1">
      <c r="B2205" s="141" t="s">
        <v>6333</v>
      </c>
      <c r="C2205" s="140"/>
      <c r="D2205" s="141" t="s">
        <v>6334</v>
      </c>
      <c r="E2205" s="140"/>
      <c r="F2205" s="140"/>
      <c r="G2205" s="140"/>
    </row>
    <row r="2206" spans="2:7" hidden="1">
      <c r="B2206" s="141" t="s">
        <v>6335</v>
      </c>
      <c r="C2206" s="140"/>
      <c r="D2206" s="141" t="s">
        <v>2799</v>
      </c>
      <c r="E2206" s="140"/>
      <c r="F2206" s="140"/>
      <c r="G2206" s="140"/>
    </row>
    <row r="2207" spans="2:7" hidden="1">
      <c r="B2207" s="140" t="s">
        <v>6336</v>
      </c>
      <c r="C2207" s="140"/>
      <c r="D2207" s="140" t="s">
        <v>6337</v>
      </c>
      <c r="E2207" s="140"/>
      <c r="F2207" s="140"/>
      <c r="G2207" s="140"/>
    </row>
    <row r="2208" spans="2:7" hidden="1">
      <c r="B2208" s="141" t="s">
        <v>6338</v>
      </c>
      <c r="C2208" s="140"/>
      <c r="D2208" s="141" t="s">
        <v>6339</v>
      </c>
      <c r="E2208" s="140"/>
      <c r="F2208" s="140"/>
      <c r="G2208" s="140"/>
    </row>
    <row r="2209" spans="2:7" hidden="1">
      <c r="B2209" s="140" t="s">
        <v>6340</v>
      </c>
      <c r="C2209" s="140"/>
      <c r="D2209" s="140" t="s">
        <v>6341</v>
      </c>
      <c r="E2209" s="140"/>
      <c r="F2209" s="140"/>
      <c r="G2209" s="140"/>
    </row>
    <row r="2210" spans="2:7" hidden="1">
      <c r="B2210" s="141" t="s">
        <v>6342</v>
      </c>
      <c r="C2210" s="140"/>
      <c r="D2210" s="141" t="s">
        <v>6343</v>
      </c>
      <c r="E2210" s="140"/>
      <c r="F2210" s="140"/>
      <c r="G2210" s="140"/>
    </row>
    <row r="2211" spans="2:7" hidden="1">
      <c r="B2211" s="141" t="s">
        <v>6344</v>
      </c>
      <c r="C2211" s="140"/>
      <c r="D2211" s="141" t="s">
        <v>6345</v>
      </c>
      <c r="E2211" s="140"/>
      <c r="F2211" s="140"/>
      <c r="G2211" s="140"/>
    </row>
    <row r="2212" spans="2:7" hidden="1">
      <c r="B2212" s="141" t="s">
        <v>6346</v>
      </c>
      <c r="C2212" s="140"/>
      <c r="D2212" s="141" t="s">
        <v>6347</v>
      </c>
      <c r="E2212" s="140"/>
      <c r="F2212" s="140"/>
      <c r="G2212" s="140"/>
    </row>
    <row r="2213" spans="2:7" hidden="1">
      <c r="B2213" s="141" t="s">
        <v>6348</v>
      </c>
      <c r="C2213" s="140" t="s">
        <v>6349</v>
      </c>
      <c r="D2213" s="141" t="s">
        <v>6350</v>
      </c>
      <c r="E2213" s="140"/>
      <c r="F2213" s="140"/>
      <c r="G2213" s="140" t="s">
        <v>6351</v>
      </c>
    </row>
    <row r="2214" spans="2:7" hidden="1">
      <c r="B2214" s="141" t="s">
        <v>6352</v>
      </c>
      <c r="C2214" s="140" t="s">
        <v>6353</v>
      </c>
      <c r="D2214" s="141" t="s">
        <v>3958</v>
      </c>
      <c r="E2214" s="140" t="s">
        <v>6354</v>
      </c>
      <c r="F2214" s="140" t="s">
        <v>6355</v>
      </c>
      <c r="G2214" s="140"/>
    </row>
    <row r="2215" spans="2:7" hidden="1">
      <c r="B2215" s="141" t="s">
        <v>6356</v>
      </c>
      <c r="C2215" s="140" t="s">
        <v>6357</v>
      </c>
      <c r="D2215" s="141" t="s">
        <v>6358</v>
      </c>
      <c r="E2215" s="140"/>
      <c r="F2215" s="140"/>
      <c r="G2215" s="140"/>
    </row>
    <row r="2216" spans="2:7" hidden="1">
      <c r="B2216" s="140" t="s">
        <v>6359</v>
      </c>
      <c r="C2216" s="140"/>
      <c r="D2216" s="140" t="s">
        <v>6360</v>
      </c>
      <c r="E2216" s="142"/>
      <c r="F2216" s="142"/>
      <c r="G2216" s="140"/>
    </row>
    <row r="2217" spans="2:7" hidden="1">
      <c r="B2217" s="141" t="s">
        <v>6361</v>
      </c>
      <c r="C2217" s="141"/>
      <c r="D2217" s="141" t="s">
        <v>6362</v>
      </c>
      <c r="E2217" s="140"/>
      <c r="F2217" s="140"/>
      <c r="G2217" s="140"/>
    </row>
    <row r="2218" spans="2:7" hidden="1">
      <c r="B2218" s="141" t="s">
        <v>6363</v>
      </c>
      <c r="C2218" s="141"/>
      <c r="D2218" s="141" t="s">
        <v>1421</v>
      </c>
      <c r="E2218" s="141"/>
      <c r="F2218" s="140"/>
      <c r="G2218" s="140"/>
    </row>
    <row r="2219" spans="2:7" hidden="1">
      <c r="B2219" s="140" t="s">
        <v>6364</v>
      </c>
      <c r="C2219" s="140"/>
      <c r="D2219" s="140" t="s">
        <v>6365</v>
      </c>
      <c r="E2219" s="142"/>
      <c r="F2219" s="142"/>
      <c r="G2219" s="140"/>
    </row>
    <row r="2220" spans="2:7" hidden="1">
      <c r="B2220" s="141" t="s">
        <v>21622</v>
      </c>
      <c r="C2220" s="140"/>
      <c r="D2220" s="141" t="s">
        <v>6366</v>
      </c>
      <c r="E2220" s="140"/>
      <c r="F2220" s="140"/>
      <c r="G2220" s="140"/>
    </row>
    <row r="2221" spans="2:7" hidden="1">
      <c r="B2221" s="141" t="s">
        <v>6367</v>
      </c>
      <c r="C2221" s="140"/>
      <c r="D2221" s="141" t="s">
        <v>1663</v>
      </c>
      <c r="E2221" s="140"/>
      <c r="F2221" s="140"/>
      <c r="G2221" s="140"/>
    </row>
    <row r="2222" spans="2:7" hidden="1">
      <c r="B2222" s="141" t="s">
        <v>6368</v>
      </c>
      <c r="C2222" s="140"/>
      <c r="D2222" s="141" t="s">
        <v>6369</v>
      </c>
      <c r="E2222" s="140"/>
      <c r="F2222" s="140"/>
      <c r="G2222" s="140"/>
    </row>
    <row r="2223" spans="2:7" hidden="1">
      <c r="B2223" s="141" t="s">
        <v>6370</v>
      </c>
      <c r="C2223" s="140"/>
      <c r="D2223" s="141" t="s">
        <v>1525</v>
      </c>
      <c r="E2223" s="140"/>
      <c r="F2223" s="140"/>
      <c r="G2223" s="140"/>
    </row>
    <row r="2224" spans="2:7" hidden="1">
      <c r="B2224" s="141" t="s">
        <v>6371</v>
      </c>
      <c r="C2224" s="140"/>
      <c r="D2224" s="141" t="s">
        <v>6372</v>
      </c>
      <c r="E2224" s="140"/>
      <c r="F2224" s="140"/>
      <c r="G2224" s="140"/>
    </row>
    <row r="2225" spans="2:7" hidden="1">
      <c r="B2225" s="141" t="s">
        <v>6373</v>
      </c>
      <c r="C2225" s="140" t="s">
        <v>6374</v>
      </c>
      <c r="D2225" s="141" t="s">
        <v>6375</v>
      </c>
      <c r="E2225" s="140"/>
      <c r="F2225" s="140"/>
      <c r="G2225" s="140"/>
    </row>
    <row r="2226" spans="2:7" hidden="1">
      <c r="B2226" s="141" t="s">
        <v>6376</v>
      </c>
      <c r="C2226" s="140"/>
      <c r="D2226" s="141" t="s">
        <v>6377</v>
      </c>
      <c r="E2226" s="140"/>
      <c r="F2226" s="140"/>
      <c r="G2226" s="140"/>
    </row>
    <row r="2227" spans="2:7" hidden="1">
      <c r="B2227" s="141" t="s">
        <v>6378</v>
      </c>
      <c r="C2227" s="140" t="s">
        <v>6379</v>
      </c>
      <c r="D2227" s="141" t="s">
        <v>6380</v>
      </c>
      <c r="E2227" s="140" t="s">
        <v>6381</v>
      </c>
      <c r="F2227" s="140" t="s">
        <v>6382</v>
      </c>
      <c r="G2227" s="140"/>
    </row>
    <row r="2228" spans="2:7" hidden="1">
      <c r="B2228" s="140" t="s">
        <v>6383</v>
      </c>
      <c r="C2228" s="140"/>
      <c r="D2228" s="140" t="s">
        <v>6384</v>
      </c>
      <c r="E2228" s="140"/>
      <c r="F2228" s="140"/>
      <c r="G2228" s="140"/>
    </row>
    <row r="2229" spans="2:7" hidden="1">
      <c r="B2229" s="141" t="s">
        <v>6385</v>
      </c>
      <c r="C2229" s="140"/>
      <c r="D2229" s="141" t="s">
        <v>6386</v>
      </c>
      <c r="E2229" s="140"/>
      <c r="F2229" s="140"/>
      <c r="G2229" s="140"/>
    </row>
    <row r="2230" spans="2:7" hidden="1">
      <c r="B2230" s="141" t="s">
        <v>6387</v>
      </c>
      <c r="C2230" s="140"/>
      <c r="D2230" s="141" t="s">
        <v>6388</v>
      </c>
      <c r="E2230" s="140"/>
      <c r="F2230" s="140"/>
      <c r="G2230" s="140"/>
    </row>
    <row r="2231" spans="2:7" hidden="1">
      <c r="B2231" s="141" t="s">
        <v>6389</v>
      </c>
      <c r="C2231" s="140"/>
      <c r="D2231" s="141" t="s">
        <v>1185</v>
      </c>
      <c r="E2231" s="140"/>
      <c r="F2231" s="140"/>
      <c r="G2231" s="140"/>
    </row>
    <row r="2232" spans="2:7" hidden="1">
      <c r="B2232" s="141" t="s">
        <v>6390</v>
      </c>
      <c r="C2232" s="141"/>
      <c r="D2232" s="141" t="s">
        <v>6391</v>
      </c>
      <c r="E2232" s="141"/>
      <c r="F2232" s="141"/>
      <c r="G2232" s="140"/>
    </row>
    <row r="2233" spans="2:7" hidden="1">
      <c r="B2233" s="141" t="s">
        <v>6393</v>
      </c>
      <c r="C2233" s="140" t="s">
        <v>6394</v>
      </c>
      <c r="D2233" s="141" t="s">
        <v>6395</v>
      </c>
      <c r="E2233" s="140" t="s">
        <v>6396</v>
      </c>
      <c r="F2233" s="140"/>
      <c r="G2233" s="140"/>
    </row>
    <row r="2234" spans="2:7" hidden="1">
      <c r="B2234" s="140" t="s">
        <v>21623</v>
      </c>
      <c r="C2234" s="140"/>
      <c r="D2234" s="140" t="s">
        <v>6392</v>
      </c>
      <c r="E2234" s="140"/>
      <c r="F2234" s="140"/>
      <c r="G2234" s="140"/>
    </row>
    <row r="2235" spans="2:7" hidden="1">
      <c r="B2235" s="141" t="s">
        <v>6397</v>
      </c>
      <c r="C2235" s="140"/>
      <c r="D2235" s="141" t="s">
        <v>6398</v>
      </c>
      <c r="E2235" s="140"/>
      <c r="F2235" s="140"/>
      <c r="G2235" s="140"/>
    </row>
    <row r="2236" spans="2:7" hidden="1">
      <c r="B2236" s="141" t="s">
        <v>6399</v>
      </c>
      <c r="C2236" s="140" t="s">
        <v>6400</v>
      </c>
      <c r="D2236" s="141" t="s">
        <v>6401</v>
      </c>
      <c r="E2236" s="140" t="s">
        <v>6402</v>
      </c>
      <c r="F2236" s="140" t="s">
        <v>6403</v>
      </c>
      <c r="G2236" s="140"/>
    </row>
    <row r="2237" spans="2:7" hidden="1">
      <c r="B2237" s="141" t="s">
        <v>6404</v>
      </c>
      <c r="C2237" s="140"/>
      <c r="D2237" s="141" t="s">
        <v>6405</v>
      </c>
      <c r="E2237" s="140"/>
      <c r="F2237" s="140"/>
      <c r="G2237" s="140"/>
    </row>
    <row r="2238" spans="2:7" hidden="1">
      <c r="B2238" s="141" t="s">
        <v>21624</v>
      </c>
      <c r="C2238" s="140"/>
      <c r="D2238" s="141" t="s">
        <v>4675</v>
      </c>
      <c r="E2238" s="140"/>
      <c r="F2238" s="140"/>
      <c r="G2238" s="140"/>
    </row>
    <row r="2239" spans="2:7" hidden="1">
      <c r="B2239" s="141" t="s">
        <v>6406</v>
      </c>
      <c r="C2239" s="140"/>
      <c r="D2239" s="141" t="s">
        <v>6407</v>
      </c>
      <c r="E2239" s="140"/>
      <c r="F2239" s="140"/>
      <c r="G2239" s="140"/>
    </row>
    <row r="2240" spans="2:7" hidden="1">
      <c r="B2240" s="141" t="s">
        <v>6408</v>
      </c>
      <c r="C2240" s="140"/>
      <c r="D2240" s="141" t="s">
        <v>6409</v>
      </c>
      <c r="E2240" s="140"/>
      <c r="F2240" s="140"/>
      <c r="G2240" s="140"/>
    </row>
    <row r="2241" spans="2:7" hidden="1">
      <c r="B2241" s="140" t="s">
        <v>6410</v>
      </c>
      <c r="C2241" s="140"/>
      <c r="D2241" s="141" t="s">
        <v>1730</v>
      </c>
      <c r="E2241" s="140"/>
      <c r="F2241" s="140"/>
      <c r="G2241" s="140"/>
    </row>
    <row r="2242" spans="2:7" hidden="1">
      <c r="B2242" s="141" t="s">
        <v>6411</v>
      </c>
      <c r="C2242" s="140"/>
      <c r="D2242" s="141" t="s">
        <v>1739</v>
      </c>
      <c r="E2242" s="140"/>
      <c r="F2242" s="140"/>
      <c r="G2242" s="140"/>
    </row>
    <row r="2243" spans="2:7" hidden="1">
      <c r="B2243" s="141" t="s">
        <v>6412</v>
      </c>
      <c r="C2243" s="140" t="s">
        <v>6413</v>
      </c>
      <c r="D2243" s="141" t="s">
        <v>2085</v>
      </c>
      <c r="E2243" s="140" t="s">
        <v>6414</v>
      </c>
      <c r="F2243" s="140" t="s">
        <v>6415</v>
      </c>
      <c r="G2243" s="140"/>
    </row>
    <row r="2244" spans="2:7" hidden="1">
      <c r="B2244" s="141" t="s">
        <v>6416</v>
      </c>
      <c r="C2244" s="141"/>
      <c r="D2244" s="141" t="s">
        <v>6417</v>
      </c>
      <c r="E2244" s="141"/>
      <c r="F2244" s="141"/>
      <c r="G2244" s="140"/>
    </row>
    <row r="2245" spans="2:7" hidden="1">
      <c r="B2245" s="141" t="s">
        <v>6418</v>
      </c>
      <c r="C2245" s="141"/>
      <c r="D2245" s="141" t="s">
        <v>6213</v>
      </c>
      <c r="E2245" s="141"/>
      <c r="F2245" s="140"/>
      <c r="G2245" s="140"/>
    </row>
    <row r="2246" spans="2:7" hidden="1">
      <c r="B2246" s="141" t="s">
        <v>6419</v>
      </c>
      <c r="C2246" s="140"/>
      <c r="D2246" s="141" t="s">
        <v>6420</v>
      </c>
      <c r="E2246" s="140"/>
      <c r="F2246" s="140"/>
      <c r="G2246" s="140"/>
    </row>
    <row r="2247" spans="2:7" hidden="1">
      <c r="B2247" s="141" t="s">
        <v>6421</v>
      </c>
      <c r="C2247" s="140"/>
      <c r="D2247" s="141" t="s">
        <v>4178</v>
      </c>
      <c r="E2247" s="140"/>
      <c r="F2247" s="140"/>
      <c r="G2247" s="140"/>
    </row>
    <row r="2248" spans="2:7" hidden="1">
      <c r="B2248" s="140" t="s">
        <v>6422</v>
      </c>
      <c r="C2248" s="140"/>
      <c r="D2248" s="140" t="s">
        <v>6423</v>
      </c>
      <c r="E2248" s="142"/>
      <c r="F2248" s="142"/>
      <c r="G2248" s="140"/>
    </row>
    <row r="2249" spans="2:7" hidden="1">
      <c r="B2249" s="140" t="s">
        <v>6424</v>
      </c>
      <c r="C2249" s="140"/>
      <c r="D2249" s="140" t="s">
        <v>6425</v>
      </c>
      <c r="E2249" s="142"/>
      <c r="F2249" s="142"/>
      <c r="G2249" s="140"/>
    </row>
    <row r="2250" spans="2:7" hidden="1">
      <c r="B2250" s="141" t="s">
        <v>6426</v>
      </c>
      <c r="C2250" s="140"/>
      <c r="D2250" s="141" t="s">
        <v>2098</v>
      </c>
      <c r="E2250" s="140"/>
      <c r="F2250" s="140"/>
      <c r="G2250" s="140"/>
    </row>
    <row r="2251" spans="2:7" hidden="1">
      <c r="B2251" s="141" t="s">
        <v>6427</v>
      </c>
      <c r="C2251" s="140" t="s">
        <v>6428</v>
      </c>
      <c r="D2251" s="141" t="s">
        <v>6429</v>
      </c>
      <c r="E2251" s="140"/>
      <c r="F2251" s="140"/>
      <c r="G2251" s="140"/>
    </row>
    <row r="2252" spans="2:7" hidden="1">
      <c r="B2252" s="141" t="s">
        <v>6430</v>
      </c>
      <c r="C2252" s="140" t="s">
        <v>6431</v>
      </c>
      <c r="D2252" s="141" t="s">
        <v>6432</v>
      </c>
      <c r="E2252" s="140" t="s">
        <v>6433</v>
      </c>
      <c r="F2252" s="140" t="s">
        <v>6434</v>
      </c>
      <c r="G2252" s="140"/>
    </row>
    <row r="2253" spans="2:7" hidden="1">
      <c r="B2253" s="141" t="s">
        <v>6435</v>
      </c>
      <c r="C2253" s="140"/>
      <c r="D2253" s="141" t="s">
        <v>6436</v>
      </c>
      <c r="E2253" s="140"/>
      <c r="F2253" s="140"/>
      <c r="G2253" s="140"/>
    </row>
    <row r="2254" spans="2:7" hidden="1">
      <c r="B2254" s="140" t="s">
        <v>6437</v>
      </c>
      <c r="C2254" s="140" t="s">
        <v>6438</v>
      </c>
      <c r="D2254" s="140" t="s">
        <v>6439</v>
      </c>
      <c r="E2254" s="140"/>
      <c r="F2254" s="140"/>
      <c r="G2254" s="140"/>
    </row>
    <row r="2255" spans="2:7" hidden="1">
      <c r="B2255" s="141" t="s">
        <v>6440</v>
      </c>
      <c r="C2255" s="140" t="s">
        <v>6441</v>
      </c>
      <c r="D2255" s="141" t="s">
        <v>3538</v>
      </c>
      <c r="E2255" s="140"/>
      <c r="F2255" s="140"/>
      <c r="G2255" s="140"/>
    </row>
    <row r="2256" spans="2:7" hidden="1">
      <c r="B2256" s="141" t="s">
        <v>6442</v>
      </c>
      <c r="C2256" s="140" t="s">
        <v>6443</v>
      </c>
      <c r="D2256" s="141" t="s">
        <v>5920</v>
      </c>
      <c r="E2256" s="140" t="s">
        <v>6444</v>
      </c>
      <c r="F2256" s="140" t="s">
        <v>6445</v>
      </c>
      <c r="G2256" s="140"/>
    </row>
    <row r="2257" spans="2:7" hidden="1">
      <c r="B2257" s="141" t="s">
        <v>6446</v>
      </c>
      <c r="C2257" s="141"/>
      <c r="D2257" s="141" t="s">
        <v>6447</v>
      </c>
      <c r="E2257" s="141"/>
      <c r="F2257" s="141"/>
      <c r="G2257" s="140"/>
    </row>
    <row r="2258" spans="2:7" hidden="1">
      <c r="B2258" s="141" t="s">
        <v>6448</v>
      </c>
      <c r="C2258" s="140"/>
      <c r="D2258" s="141" t="s">
        <v>6449</v>
      </c>
      <c r="E2258" s="140"/>
      <c r="F2258" s="140"/>
      <c r="G2258" s="140"/>
    </row>
    <row r="2259" spans="2:7" hidden="1">
      <c r="B2259" s="140" t="s">
        <v>6450</v>
      </c>
      <c r="C2259" s="140"/>
      <c r="D2259" s="140" t="s">
        <v>6451</v>
      </c>
      <c r="E2259" s="140"/>
      <c r="F2259" s="140"/>
      <c r="G2259" s="140"/>
    </row>
    <row r="2260" spans="2:7" hidden="1">
      <c r="B2260" s="141" t="s">
        <v>6452</v>
      </c>
      <c r="C2260" s="140" t="s">
        <v>6453</v>
      </c>
      <c r="D2260" s="141" t="s">
        <v>6454</v>
      </c>
      <c r="E2260" s="140"/>
      <c r="F2260" s="140"/>
      <c r="G2260" s="140"/>
    </row>
    <row r="2261" spans="2:7" hidden="1">
      <c r="B2261" s="141" t="s">
        <v>6455</v>
      </c>
      <c r="C2261" s="140"/>
      <c r="D2261" s="141" t="s">
        <v>6456</v>
      </c>
      <c r="E2261" s="140"/>
      <c r="F2261" s="140"/>
      <c r="G2261" s="140"/>
    </row>
    <row r="2262" spans="2:7" hidden="1">
      <c r="B2262" s="141" t="s">
        <v>21625</v>
      </c>
      <c r="C2262" s="140"/>
      <c r="D2262" s="141" t="s">
        <v>3890</v>
      </c>
      <c r="E2262" s="140"/>
      <c r="F2262" s="140"/>
      <c r="G2262" s="140"/>
    </row>
    <row r="2263" spans="2:7" hidden="1">
      <c r="B2263" s="141" t="s">
        <v>6457</v>
      </c>
      <c r="C2263" s="140"/>
      <c r="D2263" s="141" t="s">
        <v>2661</v>
      </c>
      <c r="E2263" s="140"/>
      <c r="F2263" s="140"/>
      <c r="G2263" s="140"/>
    </row>
    <row r="2264" spans="2:7" hidden="1">
      <c r="B2264" s="141" t="s">
        <v>6458</v>
      </c>
      <c r="C2264" s="140"/>
      <c r="D2264" s="141" t="s">
        <v>6459</v>
      </c>
      <c r="E2264" s="140"/>
      <c r="F2264" s="140"/>
      <c r="G2264" s="140"/>
    </row>
    <row r="2265" spans="2:7" hidden="1">
      <c r="B2265" s="141" t="s">
        <v>6460</v>
      </c>
      <c r="C2265" s="140" t="s">
        <v>6461</v>
      </c>
      <c r="D2265" s="141" t="s">
        <v>6462</v>
      </c>
      <c r="E2265" s="140"/>
      <c r="F2265" s="140"/>
      <c r="G2265" s="140"/>
    </row>
    <row r="2266" spans="2:7" hidden="1">
      <c r="B2266" s="141" t="s">
        <v>6463</v>
      </c>
      <c r="C2266" s="140"/>
      <c r="D2266" s="141" t="s">
        <v>4979</v>
      </c>
      <c r="E2266" s="140"/>
      <c r="F2266" s="140"/>
      <c r="G2266" s="140"/>
    </row>
    <row r="2267" spans="2:7" hidden="1">
      <c r="B2267" s="140" t="s">
        <v>6464</v>
      </c>
      <c r="C2267" s="140"/>
      <c r="D2267" s="140" t="s">
        <v>6465</v>
      </c>
      <c r="E2267" s="142"/>
      <c r="F2267" s="142"/>
      <c r="G2267" s="140"/>
    </row>
    <row r="2268" spans="2:7" hidden="1">
      <c r="B2268" s="141" t="s">
        <v>6466</v>
      </c>
      <c r="C2268" s="140"/>
      <c r="D2268" s="141" t="s">
        <v>6467</v>
      </c>
      <c r="E2268" s="140"/>
      <c r="F2268" s="140"/>
      <c r="G2268" s="140"/>
    </row>
    <row r="2269" spans="2:7" hidden="1">
      <c r="B2269" s="141" t="s">
        <v>6468</v>
      </c>
      <c r="C2269" s="140"/>
      <c r="D2269" s="141" t="s">
        <v>6469</v>
      </c>
      <c r="E2269" s="140"/>
      <c r="F2269" s="140"/>
      <c r="G2269" s="140"/>
    </row>
    <row r="2270" spans="2:7" hidden="1">
      <c r="B2270" s="141" t="s">
        <v>6470</v>
      </c>
      <c r="C2270" s="140"/>
      <c r="D2270" s="141" t="s">
        <v>6471</v>
      </c>
      <c r="E2270" s="140"/>
      <c r="F2270" s="140"/>
      <c r="G2270" s="140"/>
    </row>
    <row r="2271" spans="2:7" hidden="1">
      <c r="B2271" s="140" t="s">
        <v>6472</v>
      </c>
      <c r="C2271" s="140" t="s">
        <v>6473</v>
      </c>
      <c r="D2271" s="140" t="s">
        <v>6474</v>
      </c>
      <c r="E2271" s="142" t="s">
        <v>6475</v>
      </c>
      <c r="F2271" s="142" t="s">
        <v>6476</v>
      </c>
      <c r="G2271" s="140"/>
    </row>
    <row r="2272" spans="2:7" hidden="1">
      <c r="B2272" s="141" t="s">
        <v>6477</v>
      </c>
      <c r="C2272" s="140" t="s">
        <v>6478</v>
      </c>
      <c r="D2272" s="141" t="s">
        <v>6479</v>
      </c>
      <c r="E2272" s="140" t="s">
        <v>6480</v>
      </c>
      <c r="F2272" s="140"/>
      <c r="G2272" s="140"/>
    </row>
    <row r="2273" spans="2:7" hidden="1">
      <c r="B2273" s="141" t="s">
        <v>6481</v>
      </c>
      <c r="C2273" s="140" t="s">
        <v>6482</v>
      </c>
      <c r="D2273" s="141" t="s">
        <v>6483</v>
      </c>
      <c r="E2273" s="140"/>
      <c r="F2273" s="140"/>
      <c r="G2273" s="140"/>
    </row>
    <row r="2274" spans="2:7" hidden="1">
      <c r="B2274" s="140" t="s">
        <v>6484</v>
      </c>
      <c r="C2274" s="140"/>
      <c r="D2274" s="140" t="s">
        <v>3480</v>
      </c>
      <c r="E2274" s="142"/>
      <c r="F2274" s="142"/>
      <c r="G2274" s="140"/>
    </row>
    <row r="2275" spans="2:7" hidden="1">
      <c r="B2275" s="141" t="s">
        <v>6485</v>
      </c>
      <c r="C2275" s="140"/>
      <c r="D2275" s="141" t="s">
        <v>6486</v>
      </c>
      <c r="E2275" s="140"/>
      <c r="F2275" s="140"/>
      <c r="G2275" s="140"/>
    </row>
    <row r="2276" spans="2:7" hidden="1">
      <c r="B2276" s="141" t="s">
        <v>6487</v>
      </c>
      <c r="C2276" s="140"/>
      <c r="D2276" s="141" t="s">
        <v>6488</v>
      </c>
      <c r="E2276" s="140"/>
      <c r="F2276" s="140"/>
      <c r="G2276" s="140"/>
    </row>
    <row r="2277" spans="2:7" hidden="1">
      <c r="B2277" s="141" t="s">
        <v>6489</v>
      </c>
      <c r="C2277" s="140" t="s">
        <v>6490</v>
      </c>
      <c r="D2277" s="141" t="s">
        <v>6491</v>
      </c>
      <c r="E2277" s="140"/>
      <c r="F2277" s="140"/>
      <c r="G2277" s="140"/>
    </row>
    <row r="2278" spans="2:7" hidden="1">
      <c r="B2278" s="140" t="s">
        <v>6492</v>
      </c>
      <c r="C2278" s="140"/>
      <c r="D2278" s="140" t="s">
        <v>2147</v>
      </c>
      <c r="E2278" s="142"/>
      <c r="F2278" s="142"/>
      <c r="G2278" s="140"/>
    </row>
    <row r="2279" spans="2:7" hidden="1">
      <c r="B2279" s="141" t="s">
        <v>6493</v>
      </c>
      <c r="C2279" s="140" t="s">
        <v>6494</v>
      </c>
      <c r="D2279" s="141" t="s">
        <v>6495</v>
      </c>
      <c r="E2279" s="140"/>
      <c r="F2279" s="140"/>
      <c r="G2279" s="140"/>
    </row>
    <row r="2280" spans="2:7" hidden="1">
      <c r="B2280" s="141" t="s">
        <v>6496</v>
      </c>
      <c r="C2280" s="140"/>
      <c r="D2280" s="141" t="s">
        <v>6497</v>
      </c>
      <c r="E2280" s="140"/>
      <c r="F2280" s="140"/>
      <c r="G2280" s="140"/>
    </row>
    <row r="2281" spans="2:7" hidden="1">
      <c r="B2281" s="141" t="s">
        <v>6498</v>
      </c>
      <c r="C2281" s="140" t="s">
        <v>6499</v>
      </c>
      <c r="D2281" s="141" t="s">
        <v>6500</v>
      </c>
      <c r="E2281" s="140" t="s">
        <v>6501</v>
      </c>
      <c r="F2281" s="140" t="s">
        <v>6502</v>
      </c>
      <c r="G2281" s="140"/>
    </row>
    <row r="2282" spans="2:7" hidden="1">
      <c r="B2282" s="141" t="s">
        <v>6503</v>
      </c>
      <c r="C2282" s="141"/>
      <c r="D2282" s="141" t="s">
        <v>1120</v>
      </c>
      <c r="E2282" s="141"/>
      <c r="F2282" s="141"/>
      <c r="G2282" s="140"/>
    </row>
    <row r="2283" spans="2:7" hidden="1">
      <c r="B2283" s="141" t="s">
        <v>6504</v>
      </c>
      <c r="C2283" s="140"/>
      <c r="D2283" s="141" t="s">
        <v>6505</v>
      </c>
      <c r="E2283" s="140"/>
      <c r="F2283" s="140"/>
      <c r="G2283" s="140"/>
    </row>
    <row r="2284" spans="2:7" hidden="1">
      <c r="B2284" s="140" t="s">
        <v>6506</v>
      </c>
      <c r="C2284" s="140"/>
      <c r="D2284" s="140" t="s">
        <v>6507</v>
      </c>
      <c r="E2284" s="142"/>
      <c r="F2284" s="142"/>
      <c r="G2284" s="140"/>
    </row>
    <row r="2285" spans="2:7" hidden="1">
      <c r="B2285" s="141" t="s">
        <v>6508</v>
      </c>
      <c r="C2285" s="140"/>
      <c r="D2285" s="141" t="s">
        <v>4753</v>
      </c>
      <c r="E2285" s="140"/>
      <c r="F2285" s="140"/>
      <c r="G2285" s="140"/>
    </row>
    <row r="2286" spans="2:7" hidden="1">
      <c r="B2286" s="141" t="s">
        <v>6509</v>
      </c>
      <c r="C2286" s="140"/>
      <c r="D2286" s="141" t="s">
        <v>6510</v>
      </c>
      <c r="E2286" s="140"/>
      <c r="F2286" s="140"/>
      <c r="G2286" s="140"/>
    </row>
    <row r="2287" spans="2:7" hidden="1">
      <c r="B2287" s="141" t="s">
        <v>6511</v>
      </c>
      <c r="C2287" s="141" t="s">
        <v>6512</v>
      </c>
      <c r="D2287" s="141" t="s">
        <v>6513</v>
      </c>
      <c r="E2287" s="141" t="s">
        <v>6514</v>
      </c>
      <c r="F2287" s="140" t="s">
        <v>6515</v>
      </c>
      <c r="G2287" s="140"/>
    </row>
    <row r="2288" spans="2:7" hidden="1">
      <c r="B2288" s="140" t="s">
        <v>6516</v>
      </c>
      <c r="C2288" s="140"/>
      <c r="D2288" s="140" t="s">
        <v>6517</v>
      </c>
      <c r="E2288" s="142"/>
      <c r="F2288" s="142"/>
      <c r="G2288" s="140"/>
    </row>
    <row r="2289" spans="2:7" hidden="1">
      <c r="B2289" s="141" t="s">
        <v>6518</v>
      </c>
      <c r="C2289" s="140" t="s">
        <v>6519</v>
      </c>
      <c r="D2289" s="141" t="s">
        <v>6520</v>
      </c>
      <c r="E2289" s="140"/>
      <c r="F2289" s="140"/>
      <c r="G2289" s="140"/>
    </row>
    <row r="2290" spans="2:7" hidden="1">
      <c r="B2290" s="141" t="s">
        <v>6521</v>
      </c>
      <c r="C2290" s="140"/>
      <c r="D2290" s="141" t="s">
        <v>6522</v>
      </c>
      <c r="E2290" s="140"/>
      <c r="F2290" s="140"/>
      <c r="G2290" s="140"/>
    </row>
    <row r="2291" spans="2:7" hidden="1">
      <c r="B2291" s="141" t="s">
        <v>6523</v>
      </c>
      <c r="C2291" s="140" t="s">
        <v>6524</v>
      </c>
      <c r="D2291" s="141" t="s">
        <v>6525</v>
      </c>
      <c r="E2291" s="140" t="s">
        <v>6526</v>
      </c>
      <c r="F2291" s="140" t="s">
        <v>6527</v>
      </c>
      <c r="G2291" s="140"/>
    </row>
    <row r="2292" spans="2:7" hidden="1">
      <c r="B2292" s="140" t="s">
        <v>20306</v>
      </c>
      <c r="C2292" s="140" t="s">
        <v>20305</v>
      </c>
      <c r="D2292" s="140" t="s">
        <v>18687</v>
      </c>
      <c r="E2292" s="142" t="s">
        <v>20307</v>
      </c>
      <c r="F2292" s="142"/>
      <c r="G2292" s="140" t="s">
        <v>20308</v>
      </c>
    </row>
    <row r="2293" spans="2:7" hidden="1">
      <c r="B2293" s="141" t="s">
        <v>6528</v>
      </c>
      <c r="C2293" s="140"/>
      <c r="D2293" s="141" t="s">
        <v>6529</v>
      </c>
      <c r="E2293" s="140"/>
      <c r="F2293" s="140"/>
      <c r="G2293" s="140"/>
    </row>
    <row r="2294" spans="2:7" hidden="1">
      <c r="B2294" s="141" t="s">
        <v>6530</v>
      </c>
      <c r="C2294" s="140"/>
      <c r="D2294" s="141" t="s">
        <v>6531</v>
      </c>
      <c r="E2294" s="140"/>
      <c r="F2294" s="140"/>
      <c r="G2294" s="140"/>
    </row>
    <row r="2295" spans="2:7" hidden="1">
      <c r="B2295" s="140" t="s">
        <v>21094</v>
      </c>
      <c r="C2295" s="140" t="s">
        <v>21096</v>
      </c>
      <c r="D2295" s="140" t="s">
        <v>20333</v>
      </c>
      <c r="E2295" s="142" t="s">
        <v>21095</v>
      </c>
      <c r="F2295" s="142"/>
      <c r="G2295" s="140"/>
    </row>
    <row r="2296" spans="2:7" hidden="1">
      <c r="B2296" s="140" t="s">
        <v>21626</v>
      </c>
      <c r="C2296" s="140"/>
      <c r="D2296" s="140" t="s">
        <v>6532</v>
      </c>
      <c r="E2296" s="142"/>
      <c r="F2296" s="142"/>
      <c r="G2296" s="140"/>
    </row>
    <row r="2297" spans="2:7" hidden="1">
      <c r="B2297" s="140" t="s">
        <v>6533</v>
      </c>
      <c r="C2297" s="140"/>
      <c r="D2297" s="140" t="s">
        <v>6534</v>
      </c>
      <c r="E2297" s="142"/>
      <c r="F2297" s="142"/>
      <c r="G2297" s="140"/>
    </row>
    <row r="2298" spans="2:7" hidden="1">
      <c r="B2298" s="140" t="s">
        <v>6535</v>
      </c>
      <c r="C2298" s="140"/>
      <c r="D2298" s="140" t="s">
        <v>6536</v>
      </c>
      <c r="E2298" s="142"/>
      <c r="F2298" s="142"/>
      <c r="G2298" s="140"/>
    </row>
    <row r="2299" spans="2:7" hidden="1">
      <c r="B2299" s="140" t="s">
        <v>6537</v>
      </c>
      <c r="C2299" s="140"/>
      <c r="D2299" s="140" t="s">
        <v>1195</v>
      </c>
      <c r="E2299" s="140"/>
      <c r="F2299" s="140"/>
      <c r="G2299" s="140"/>
    </row>
    <row r="2300" spans="2:7" hidden="1">
      <c r="B2300" s="140" t="s">
        <v>20984</v>
      </c>
      <c r="C2300" s="140" t="s">
        <v>20983</v>
      </c>
      <c r="D2300" s="140" t="s">
        <v>11346</v>
      </c>
      <c r="E2300" s="142" t="s">
        <v>20985</v>
      </c>
      <c r="F2300" s="142"/>
      <c r="G2300" s="140"/>
    </row>
    <row r="2301" spans="2:7" hidden="1">
      <c r="B2301" s="141" t="s">
        <v>6538</v>
      </c>
      <c r="C2301" s="141" t="s">
        <v>6539</v>
      </c>
      <c r="D2301" s="141" t="s">
        <v>6540</v>
      </c>
      <c r="E2301" s="141">
        <v>2483736000</v>
      </c>
      <c r="F2301" s="141">
        <v>2483738084</v>
      </c>
      <c r="G2301" s="140"/>
    </row>
    <row r="2302" spans="2:7" hidden="1">
      <c r="B2302" s="141" t="s">
        <v>21627</v>
      </c>
      <c r="C2302" s="140" t="s">
        <v>6541</v>
      </c>
      <c r="D2302" s="141" t="s">
        <v>6542</v>
      </c>
      <c r="E2302" s="140" t="s">
        <v>6543</v>
      </c>
      <c r="F2302" s="140"/>
      <c r="G2302" s="140"/>
    </row>
    <row r="2303" spans="2:7" hidden="1">
      <c r="B2303" s="141" t="s">
        <v>6544</v>
      </c>
      <c r="C2303" s="140" t="s">
        <v>6545</v>
      </c>
      <c r="D2303" s="141" t="s">
        <v>1218</v>
      </c>
      <c r="E2303" s="140" t="s">
        <v>6546</v>
      </c>
      <c r="F2303" s="140"/>
      <c r="G2303" s="140"/>
    </row>
    <row r="2304" spans="2:7" hidden="1">
      <c r="B2304" s="141" t="s">
        <v>6547</v>
      </c>
      <c r="C2304" s="140" t="s">
        <v>6548</v>
      </c>
      <c r="D2304" s="141" t="s">
        <v>2265</v>
      </c>
      <c r="E2304" s="140"/>
      <c r="F2304" s="140"/>
      <c r="G2304" s="140" t="s">
        <v>6549</v>
      </c>
    </row>
    <row r="2305" spans="2:7" hidden="1">
      <c r="B2305" s="141" t="s">
        <v>6550</v>
      </c>
      <c r="C2305" s="140" t="s">
        <v>6551</v>
      </c>
      <c r="D2305" s="141" t="s">
        <v>6552</v>
      </c>
      <c r="E2305" s="140"/>
      <c r="F2305" s="140"/>
      <c r="G2305" s="140"/>
    </row>
    <row r="2306" spans="2:7" hidden="1">
      <c r="B2306" s="141" t="s">
        <v>6553</v>
      </c>
      <c r="C2306" s="140"/>
      <c r="D2306" s="141" t="s">
        <v>6554</v>
      </c>
      <c r="E2306" s="140"/>
      <c r="F2306" s="140"/>
      <c r="G2306" s="140"/>
    </row>
    <row r="2307" spans="2:7" hidden="1">
      <c r="B2307" s="140" t="s">
        <v>6555</v>
      </c>
      <c r="C2307" s="140"/>
      <c r="D2307" s="140" t="s">
        <v>3819</v>
      </c>
      <c r="E2307" s="142"/>
      <c r="F2307" s="142"/>
      <c r="G2307" s="140"/>
    </row>
    <row r="2308" spans="2:7" hidden="1">
      <c r="B2308" s="140" t="s">
        <v>6556</v>
      </c>
      <c r="C2308" s="140" t="s">
        <v>6557</v>
      </c>
      <c r="D2308" s="140" t="s">
        <v>6558</v>
      </c>
      <c r="E2308" s="140" t="s">
        <v>6559</v>
      </c>
      <c r="F2308" s="140" t="s">
        <v>6560</v>
      </c>
      <c r="G2308" s="140"/>
    </row>
    <row r="2309" spans="2:7" hidden="1">
      <c r="B2309" s="141" t="s">
        <v>6561</v>
      </c>
      <c r="C2309" s="140"/>
      <c r="D2309" s="141" t="s">
        <v>3870</v>
      </c>
      <c r="E2309" s="140"/>
      <c r="F2309" s="140"/>
      <c r="G2309" s="140"/>
    </row>
    <row r="2310" spans="2:7" hidden="1">
      <c r="B2310" s="141" t="s">
        <v>6562</v>
      </c>
      <c r="C2310" s="140"/>
      <c r="D2310" s="141" t="s">
        <v>6563</v>
      </c>
      <c r="E2310" s="140"/>
      <c r="F2310" s="140"/>
      <c r="G2310" s="140"/>
    </row>
    <row r="2311" spans="2:7" hidden="1">
      <c r="B2311" s="141" t="s">
        <v>21628</v>
      </c>
      <c r="C2311" s="140" t="s">
        <v>6564</v>
      </c>
      <c r="D2311" s="141" t="s">
        <v>2578</v>
      </c>
      <c r="E2311" s="140" t="s">
        <v>6565</v>
      </c>
      <c r="F2311" s="140"/>
      <c r="G2311" s="140"/>
    </row>
    <row r="2312" spans="2:7" hidden="1">
      <c r="B2312" s="141" t="s">
        <v>21629</v>
      </c>
      <c r="C2312" s="140"/>
      <c r="D2312" s="141" t="s">
        <v>6566</v>
      </c>
      <c r="E2312" s="140"/>
      <c r="F2312" s="140"/>
      <c r="G2312" s="140"/>
    </row>
    <row r="2313" spans="2:7" hidden="1">
      <c r="B2313" s="141" t="s">
        <v>6567</v>
      </c>
      <c r="C2313" s="140"/>
      <c r="D2313" s="141" t="s">
        <v>6568</v>
      </c>
      <c r="E2313" s="140"/>
      <c r="F2313" s="140"/>
      <c r="G2313" s="140"/>
    </row>
    <row r="2314" spans="2:7" hidden="1">
      <c r="B2314" s="140" t="s">
        <v>6569</v>
      </c>
      <c r="C2314" s="140" t="s">
        <v>6570</v>
      </c>
      <c r="D2314" s="140" t="s">
        <v>6571</v>
      </c>
      <c r="E2314" s="142" t="s">
        <v>6572</v>
      </c>
      <c r="F2314" s="142" t="s">
        <v>6573</v>
      </c>
      <c r="G2314" s="140"/>
    </row>
    <row r="2315" spans="2:7" hidden="1">
      <c r="B2315" s="140" t="s">
        <v>6576</v>
      </c>
      <c r="C2315" s="140" t="s">
        <v>6577</v>
      </c>
      <c r="D2315" s="140" t="s">
        <v>6578</v>
      </c>
      <c r="E2315" s="140" t="s">
        <v>6574</v>
      </c>
      <c r="F2315" s="140" t="s">
        <v>6575</v>
      </c>
      <c r="G2315" s="140" t="s">
        <v>6579</v>
      </c>
    </row>
    <row r="2316" spans="2:7" hidden="1">
      <c r="B2316" s="141" t="s">
        <v>6580</v>
      </c>
      <c r="C2316" s="140"/>
      <c r="D2316" s="141" t="s">
        <v>6153</v>
      </c>
      <c r="E2316" s="140"/>
      <c r="F2316" s="140"/>
      <c r="G2316" s="140"/>
    </row>
    <row r="2317" spans="2:7" hidden="1">
      <c r="B2317" s="141" t="s">
        <v>6581</v>
      </c>
      <c r="C2317" s="141"/>
      <c r="D2317" s="141" t="s">
        <v>6582</v>
      </c>
      <c r="E2317" s="141"/>
      <c r="F2317" s="140"/>
      <c r="G2317" s="140"/>
    </row>
    <row r="2318" spans="2:7" hidden="1">
      <c r="B2318" s="141" t="s">
        <v>6583</v>
      </c>
      <c r="C2318" s="140"/>
      <c r="D2318" s="141" t="s">
        <v>1195</v>
      </c>
      <c r="E2318" s="140"/>
      <c r="F2318" s="140"/>
      <c r="G2318" s="140"/>
    </row>
    <row r="2319" spans="2:7" hidden="1">
      <c r="B2319" s="141" t="s">
        <v>6584</v>
      </c>
      <c r="C2319" s="140"/>
      <c r="D2319" s="141" t="s">
        <v>2851</v>
      </c>
      <c r="E2319" s="140"/>
      <c r="F2319" s="140"/>
      <c r="G2319" s="140"/>
    </row>
    <row r="2320" spans="2:7" hidden="1">
      <c r="B2320" s="141" t="s">
        <v>6585</v>
      </c>
      <c r="C2320" s="140"/>
      <c r="D2320" s="141" t="s">
        <v>2102</v>
      </c>
      <c r="E2320" s="140"/>
      <c r="F2320" s="140"/>
      <c r="G2320" s="140"/>
    </row>
    <row r="2321" spans="2:7" hidden="1">
      <c r="B2321" s="141" t="s">
        <v>6586</v>
      </c>
      <c r="C2321" s="140"/>
      <c r="D2321" s="141" t="s">
        <v>6587</v>
      </c>
      <c r="E2321" s="140"/>
      <c r="F2321" s="140"/>
      <c r="G2321" s="140"/>
    </row>
    <row r="2322" spans="2:7" hidden="1">
      <c r="B2322" s="140" t="s">
        <v>6588</v>
      </c>
      <c r="C2322" s="140"/>
      <c r="D2322" s="140" t="s">
        <v>4365</v>
      </c>
      <c r="E2322" s="142"/>
      <c r="F2322" s="142"/>
      <c r="G2322" s="140"/>
    </row>
    <row r="2323" spans="2:7" hidden="1">
      <c r="B2323" s="141" t="s">
        <v>6589</v>
      </c>
      <c r="C2323" s="141" t="s">
        <v>6590</v>
      </c>
      <c r="D2323" s="141" t="s">
        <v>1378</v>
      </c>
      <c r="E2323" s="141" t="s">
        <v>6591</v>
      </c>
      <c r="F2323" s="141" t="s">
        <v>6592</v>
      </c>
      <c r="G2323" s="140"/>
    </row>
    <row r="2324" spans="2:7" hidden="1">
      <c r="B2324" s="141" t="s">
        <v>6593</v>
      </c>
      <c r="C2324" s="140"/>
      <c r="D2324" s="141" t="s">
        <v>1334</v>
      </c>
      <c r="E2324" s="140"/>
      <c r="F2324" s="140"/>
      <c r="G2324" s="140"/>
    </row>
    <row r="2325" spans="2:7" hidden="1">
      <c r="B2325" s="141" t="s">
        <v>21630</v>
      </c>
      <c r="C2325" s="141"/>
      <c r="D2325" s="141" t="s">
        <v>6594</v>
      </c>
      <c r="E2325" s="141"/>
      <c r="F2325" s="140"/>
      <c r="G2325" s="140"/>
    </row>
    <row r="2326" spans="2:7" hidden="1">
      <c r="B2326" s="140" t="s">
        <v>6597</v>
      </c>
      <c r="C2326" s="140"/>
      <c r="D2326" s="140" t="s">
        <v>1366</v>
      </c>
      <c r="E2326" s="142"/>
      <c r="F2326" s="142"/>
      <c r="G2326" s="140"/>
    </row>
    <row r="2327" spans="2:7" hidden="1">
      <c r="B2327" s="140" t="s">
        <v>6598</v>
      </c>
      <c r="C2327" s="140"/>
      <c r="D2327" s="140" t="s">
        <v>6599</v>
      </c>
      <c r="E2327" s="142"/>
      <c r="F2327" s="142"/>
      <c r="G2327" s="140"/>
    </row>
    <row r="2328" spans="2:7" hidden="1">
      <c r="B2328" s="141" t="s">
        <v>21631</v>
      </c>
      <c r="C2328" s="140" t="s">
        <v>6595</v>
      </c>
      <c r="D2328" s="141" t="s">
        <v>6596</v>
      </c>
      <c r="E2328" s="140"/>
      <c r="F2328" s="140"/>
      <c r="G2328" s="140"/>
    </row>
    <row r="2329" spans="2:7" hidden="1">
      <c r="B2329" s="140" t="s">
        <v>6600</v>
      </c>
      <c r="C2329" s="140"/>
      <c r="D2329" s="140" t="s">
        <v>6601</v>
      </c>
      <c r="E2329" s="142"/>
      <c r="F2329" s="142"/>
      <c r="G2329" s="140"/>
    </row>
    <row r="2330" spans="2:7" hidden="1">
      <c r="B2330" s="140" t="s">
        <v>6602</v>
      </c>
      <c r="C2330" s="140"/>
      <c r="D2330" s="141" t="s">
        <v>6603</v>
      </c>
      <c r="E2330" s="140"/>
      <c r="F2330" s="140"/>
      <c r="G2330" s="140"/>
    </row>
    <row r="2331" spans="2:7" hidden="1">
      <c r="B2331" s="140" t="s">
        <v>6604</v>
      </c>
      <c r="C2331" s="140" t="s">
        <v>6605</v>
      </c>
      <c r="D2331" s="140" t="s">
        <v>6606</v>
      </c>
      <c r="E2331" s="142" t="s">
        <v>6607</v>
      </c>
      <c r="F2331" s="142" t="s">
        <v>6608</v>
      </c>
      <c r="G2331" s="140"/>
    </row>
    <row r="2332" spans="2:7" hidden="1">
      <c r="B2332" s="140" t="s">
        <v>20479</v>
      </c>
      <c r="C2332" s="140"/>
      <c r="D2332" s="140" t="s">
        <v>20481</v>
      </c>
      <c r="E2332" s="142" t="s">
        <v>20482</v>
      </c>
      <c r="F2332" s="142"/>
      <c r="G2332" s="140" t="s">
        <v>20480</v>
      </c>
    </row>
    <row r="2333" spans="2:7" hidden="1">
      <c r="B2333" s="140" t="s">
        <v>6609</v>
      </c>
      <c r="C2333" s="140"/>
      <c r="D2333" s="140" t="s">
        <v>6610</v>
      </c>
      <c r="E2333" s="142"/>
      <c r="F2333" s="142"/>
      <c r="G2333" s="140"/>
    </row>
    <row r="2334" spans="2:7" hidden="1">
      <c r="B2334" s="140" t="s">
        <v>6611</v>
      </c>
      <c r="C2334" s="140"/>
      <c r="D2334" s="140" t="s">
        <v>6612</v>
      </c>
      <c r="E2334" s="142"/>
      <c r="F2334" s="142"/>
      <c r="G2334" s="140"/>
    </row>
    <row r="2335" spans="2:7" hidden="1">
      <c r="B2335" s="141" t="s">
        <v>6613</v>
      </c>
      <c r="C2335" s="140"/>
      <c r="D2335" s="141" t="s">
        <v>6614</v>
      </c>
      <c r="E2335" s="140"/>
      <c r="F2335" s="140"/>
      <c r="G2335" s="140"/>
    </row>
    <row r="2336" spans="2:7" hidden="1">
      <c r="B2336" s="140" t="s">
        <v>6615</v>
      </c>
      <c r="C2336" s="140"/>
      <c r="D2336" s="140" t="s">
        <v>6616</v>
      </c>
      <c r="E2336" s="142"/>
      <c r="F2336" s="142"/>
      <c r="G2336" s="140"/>
    </row>
    <row r="2337" spans="2:7" hidden="1">
      <c r="B2337" s="140" t="s">
        <v>6617</v>
      </c>
      <c r="C2337" s="140" t="s">
        <v>6618</v>
      </c>
      <c r="D2337" s="140" t="s">
        <v>6619</v>
      </c>
      <c r="E2337" s="142" t="s">
        <v>6620</v>
      </c>
      <c r="F2337" s="142"/>
      <c r="G2337" s="140"/>
    </row>
    <row r="2338" spans="2:7" hidden="1">
      <c r="B2338" s="140" t="s">
        <v>6621</v>
      </c>
      <c r="C2338" s="140"/>
      <c r="D2338" s="140" t="s">
        <v>6622</v>
      </c>
      <c r="E2338" s="142"/>
      <c r="F2338" s="142"/>
      <c r="G2338" s="140"/>
    </row>
    <row r="2339" spans="2:7" hidden="1">
      <c r="B2339" s="140" t="s">
        <v>6623</v>
      </c>
      <c r="C2339" s="140" t="s">
        <v>6624</v>
      </c>
      <c r="D2339" s="140" t="s">
        <v>6625</v>
      </c>
      <c r="E2339" s="142" t="s">
        <v>6626</v>
      </c>
      <c r="F2339" s="142"/>
      <c r="G2339" s="140"/>
    </row>
    <row r="2340" spans="2:7" hidden="1">
      <c r="B2340" s="140" t="s">
        <v>6627</v>
      </c>
      <c r="C2340" s="140" t="s">
        <v>6628</v>
      </c>
      <c r="D2340" s="140" t="s">
        <v>6629</v>
      </c>
      <c r="E2340" s="142" t="s">
        <v>6630</v>
      </c>
      <c r="F2340" s="142"/>
      <c r="G2340" s="140"/>
    </row>
    <row r="2341" spans="2:7" hidden="1">
      <c r="B2341" s="140" t="s">
        <v>6631</v>
      </c>
      <c r="C2341" s="140" t="s">
        <v>6632</v>
      </c>
      <c r="D2341" s="140" t="s">
        <v>6633</v>
      </c>
      <c r="E2341" s="142" t="s">
        <v>6634</v>
      </c>
      <c r="F2341" s="142" t="s">
        <v>6635</v>
      </c>
      <c r="G2341" s="140"/>
    </row>
    <row r="2342" spans="2:7" hidden="1">
      <c r="B2342" s="140" t="s">
        <v>6636</v>
      </c>
      <c r="C2342" s="140"/>
      <c r="D2342" s="140" t="s">
        <v>6637</v>
      </c>
      <c r="E2342" s="142"/>
      <c r="F2342" s="142"/>
      <c r="G2342" s="140"/>
    </row>
    <row r="2343" spans="2:7" hidden="1">
      <c r="B2343" s="141" t="s">
        <v>6638</v>
      </c>
      <c r="C2343" s="140" t="s">
        <v>6639</v>
      </c>
      <c r="D2343" s="141" t="s">
        <v>1226</v>
      </c>
      <c r="E2343" s="140" t="s">
        <v>6640</v>
      </c>
      <c r="F2343" s="140"/>
      <c r="G2343" s="140"/>
    </row>
    <row r="2344" spans="2:7" hidden="1">
      <c r="B2344" s="141" t="s">
        <v>6641</v>
      </c>
      <c r="C2344" s="140"/>
      <c r="D2344" s="141" t="s">
        <v>6642</v>
      </c>
      <c r="E2344" s="140"/>
      <c r="F2344" s="140"/>
      <c r="G2344" s="140"/>
    </row>
    <row r="2345" spans="2:7" hidden="1">
      <c r="B2345" s="140" t="s">
        <v>6643</v>
      </c>
      <c r="C2345" s="140" t="s">
        <v>6644</v>
      </c>
      <c r="D2345" s="140" t="s">
        <v>6645</v>
      </c>
      <c r="E2345" s="142"/>
      <c r="F2345" s="142"/>
      <c r="G2345" s="140"/>
    </row>
    <row r="2346" spans="2:7" hidden="1">
      <c r="B2346" s="141" t="s">
        <v>20372</v>
      </c>
      <c r="C2346" s="140" t="s">
        <v>6646</v>
      </c>
      <c r="D2346" s="141" t="s">
        <v>6647</v>
      </c>
      <c r="E2346" s="140" t="s">
        <v>6648</v>
      </c>
      <c r="F2346" s="140"/>
      <c r="G2346" s="140"/>
    </row>
    <row r="2347" spans="2:7" hidden="1">
      <c r="B2347" s="141" t="s">
        <v>20373</v>
      </c>
      <c r="C2347" s="140" t="s">
        <v>6649</v>
      </c>
      <c r="D2347" s="141" t="s">
        <v>6650</v>
      </c>
      <c r="E2347" s="140" t="s">
        <v>6651</v>
      </c>
      <c r="F2347" s="140" t="s">
        <v>6652</v>
      </c>
      <c r="G2347" s="140"/>
    </row>
    <row r="2348" spans="2:7" hidden="1">
      <c r="B2348" s="140" t="s">
        <v>20374</v>
      </c>
      <c r="C2348" s="140" t="s">
        <v>20376</v>
      </c>
      <c r="D2348" s="140" t="s">
        <v>20375</v>
      </c>
      <c r="E2348" s="142" t="s">
        <v>20377</v>
      </c>
      <c r="F2348" s="142"/>
      <c r="G2348" s="140" t="s">
        <v>20378</v>
      </c>
    </row>
    <row r="2349" spans="2:7" hidden="1">
      <c r="B2349" s="140" t="s">
        <v>20385</v>
      </c>
      <c r="C2349" s="140" t="s">
        <v>20384</v>
      </c>
      <c r="D2349" s="140" t="s">
        <v>20383</v>
      </c>
      <c r="E2349" s="142" t="s">
        <v>20386</v>
      </c>
      <c r="F2349" s="142"/>
      <c r="G2349" s="140" t="s">
        <v>20387</v>
      </c>
    </row>
    <row r="2350" spans="2:7" hidden="1">
      <c r="B2350" s="140" t="s">
        <v>6653</v>
      </c>
      <c r="C2350" s="140" t="s">
        <v>6654</v>
      </c>
      <c r="D2350" s="140" t="s">
        <v>6655</v>
      </c>
      <c r="E2350" s="142" t="s">
        <v>6656</v>
      </c>
      <c r="F2350" s="142" t="s">
        <v>6657</v>
      </c>
      <c r="G2350" s="140"/>
    </row>
    <row r="2351" spans="2:7" hidden="1">
      <c r="B2351" s="141" t="s">
        <v>6658</v>
      </c>
      <c r="C2351" s="140"/>
      <c r="D2351" s="141" t="s">
        <v>6659</v>
      </c>
      <c r="E2351" s="140"/>
      <c r="F2351" s="140"/>
      <c r="G2351" s="140"/>
    </row>
    <row r="2352" spans="2:7" hidden="1">
      <c r="B2352" s="141" t="s">
        <v>6660</v>
      </c>
      <c r="C2352" s="140" t="s">
        <v>6661</v>
      </c>
      <c r="D2352" s="141" t="s">
        <v>6257</v>
      </c>
      <c r="E2352" s="140" t="s">
        <v>6662</v>
      </c>
      <c r="F2352" s="140" t="s">
        <v>6663</v>
      </c>
      <c r="G2352" s="140"/>
    </row>
    <row r="2353" spans="2:7" hidden="1">
      <c r="B2353" s="141" t="s">
        <v>6664</v>
      </c>
      <c r="C2353" s="140" t="s">
        <v>6665</v>
      </c>
      <c r="D2353" s="141" t="s">
        <v>6666</v>
      </c>
      <c r="E2353" s="140" t="s">
        <v>6667</v>
      </c>
      <c r="F2353" s="140" t="s">
        <v>6668</v>
      </c>
      <c r="G2353" s="140"/>
    </row>
    <row r="2354" spans="2:7" hidden="1">
      <c r="B2354" s="141" t="s">
        <v>6669</v>
      </c>
      <c r="C2354" s="140"/>
      <c r="D2354" s="141" t="s">
        <v>2749</v>
      </c>
      <c r="E2354" s="141"/>
      <c r="F2354" s="140"/>
      <c r="G2354" s="140"/>
    </row>
    <row r="2355" spans="2:7" hidden="1">
      <c r="B2355" s="140" t="s">
        <v>6670</v>
      </c>
      <c r="C2355" s="141" t="s">
        <v>6671</v>
      </c>
      <c r="D2355" s="141" t="s">
        <v>6672</v>
      </c>
      <c r="E2355" s="141" t="s">
        <v>6673</v>
      </c>
      <c r="F2355" s="141" t="s">
        <v>6674</v>
      </c>
      <c r="G2355" s="140"/>
    </row>
    <row r="2356" spans="2:7" hidden="1">
      <c r="B2356" s="141" t="s">
        <v>6675</v>
      </c>
      <c r="C2356" s="140"/>
      <c r="D2356" s="141" t="s">
        <v>6676</v>
      </c>
      <c r="E2356" s="140"/>
      <c r="F2356" s="140"/>
      <c r="G2356" s="140"/>
    </row>
    <row r="2357" spans="2:7" hidden="1">
      <c r="B2357" s="141" t="s">
        <v>6677</v>
      </c>
      <c r="C2357" s="140" t="s">
        <v>6678</v>
      </c>
      <c r="D2357" s="141" t="s">
        <v>5247</v>
      </c>
      <c r="E2357" s="140"/>
      <c r="F2357" s="140"/>
      <c r="G2357" s="140"/>
    </row>
    <row r="2358" spans="2:7" hidden="1">
      <c r="B2358" s="141" t="s">
        <v>6679</v>
      </c>
      <c r="C2358" s="140" t="s">
        <v>6680</v>
      </c>
      <c r="D2358" s="141" t="s">
        <v>6681</v>
      </c>
      <c r="E2358" s="140" t="s">
        <v>6682</v>
      </c>
      <c r="F2358" s="140" t="s">
        <v>6683</v>
      </c>
      <c r="G2358" s="140"/>
    </row>
    <row r="2359" spans="2:7" hidden="1">
      <c r="B2359" s="141" t="s">
        <v>22131</v>
      </c>
      <c r="C2359" s="140" t="s">
        <v>22133</v>
      </c>
      <c r="D2359" s="141" t="s">
        <v>22132</v>
      </c>
      <c r="E2359" s="140" t="s">
        <v>14649</v>
      </c>
      <c r="F2359" s="140"/>
      <c r="G2359" s="140" t="s">
        <v>22134</v>
      </c>
    </row>
    <row r="2360" spans="2:7" hidden="1">
      <c r="B2360" s="141" t="s">
        <v>22130</v>
      </c>
      <c r="C2360" s="140"/>
      <c r="D2360" s="141" t="s">
        <v>6684</v>
      </c>
      <c r="E2360" s="140" t="s">
        <v>6685</v>
      </c>
      <c r="F2360" s="140" t="s">
        <v>6686</v>
      </c>
      <c r="G2360" s="140"/>
    </row>
    <row r="2361" spans="2:7" hidden="1">
      <c r="B2361" s="141" t="s">
        <v>6687</v>
      </c>
      <c r="C2361" s="141"/>
      <c r="D2361" s="141" t="s">
        <v>6688</v>
      </c>
      <c r="E2361" s="141"/>
      <c r="F2361" s="141"/>
      <c r="G2361" s="140"/>
    </row>
    <row r="2362" spans="2:7" hidden="1">
      <c r="B2362" s="141" t="s">
        <v>21632</v>
      </c>
      <c r="C2362" s="140"/>
      <c r="D2362" s="141" t="s">
        <v>6689</v>
      </c>
      <c r="E2362" s="140"/>
      <c r="F2362" s="140"/>
      <c r="G2362" s="140"/>
    </row>
    <row r="2363" spans="2:7" hidden="1">
      <c r="B2363" s="141" t="s">
        <v>21633</v>
      </c>
      <c r="C2363" s="141"/>
      <c r="D2363" s="141" t="s">
        <v>6690</v>
      </c>
      <c r="E2363" s="141"/>
      <c r="F2363" s="140"/>
      <c r="G2363" s="140"/>
    </row>
    <row r="2364" spans="2:7" hidden="1">
      <c r="B2364" s="141" t="s">
        <v>6691</v>
      </c>
      <c r="C2364" s="141" t="s">
        <v>6692</v>
      </c>
      <c r="D2364" s="141" t="s">
        <v>6693</v>
      </c>
      <c r="E2364" s="141" t="s">
        <v>6694</v>
      </c>
      <c r="F2364" s="141" t="s">
        <v>6695</v>
      </c>
      <c r="G2364" s="140"/>
    </row>
    <row r="2365" spans="2:7" hidden="1">
      <c r="B2365" s="141" t="s">
        <v>6696</v>
      </c>
      <c r="C2365" s="140" t="s">
        <v>6697</v>
      </c>
      <c r="D2365" s="141" t="s">
        <v>6698</v>
      </c>
      <c r="E2365" s="140" t="s">
        <v>6699</v>
      </c>
      <c r="F2365" s="140" t="s">
        <v>6700</v>
      </c>
      <c r="G2365" s="140"/>
    </row>
    <row r="2366" spans="2:7" hidden="1">
      <c r="B2366" s="141" t="s">
        <v>6701</v>
      </c>
      <c r="C2366" s="140" t="s">
        <v>6702</v>
      </c>
      <c r="D2366" s="141" t="s">
        <v>6703</v>
      </c>
      <c r="E2366" s="140" t="s">
        <v>6704</v>
      </c>
      <c r="F2366" s="140" t="s">
        <v>6705</v>
      </c>
      <c r="G2366" s="140"/>
    </row>
    <row r="2367" spans="2:7" hidden="1">
      <c r="B2367" s="141" t="s">
        <v>6706</v>
      </c>
      <c r="C2367" s="141" t="s">
        <v>6707</v>
      </c>
      <c r="D2367" s="141" t="s">
        <v>6708</v>
      </c>
      <c r="E2367" s="141" t="s">
        <v>6709</v>
      </c>
      <c r="F2367" s="140" t="s">
        <v>6710</v>
      </c>
      <c r="G2367" s="140" t="s">
        <v>6711</v>
      </c>
    </row>
    <row r="2368" spans="2:7" hidden="1">
      <c r="B2368" s="140" t="s">
        <v>6712</v>
      </c>
      <c r="C2368" s="140"/>
      <c r="D2368" s="140" t="s">
        <v>1190</v>
      </c>
      <c r="E2368" s="142"/>
      <c r="F2368" s="142"/>
      <c r="G2368" s="140"/>
    </row>
    <row r="2369" spans="2:7" hidden="1">
      <c r="B2369" s="141" t="s">
        <v>6713</v>
      </c>
      <c r="C2369" s="140"/>
      <c r="D2369" s="141" t="s">
        <v>6714</v>
      </c>
      <c r="E2369" s="140"/>
      <c r="F2369" s="140"/>
      <c r="G2369" s="140"/>
    </row>
    <row r="2370" spans="2:7" hidden="1">
      <c r="B2370" s="141" t="s">
        <v>6715</v>
      </c>
      <c r="C2370" s="140" t="s">
        <v>6716</v>
      </c>
      <c r="D2370" s="141" t="s">
        <v>6717</v>
      </c>
      <c r="E2370" s="140">
        <v>7852326036</v>
      </c>
      <c r="F2370" s="140">
        <v>7852336357</v>
      </c>
      <c r="G2370" s="140"/>
    </row>
    <row r="2371" spans="2:7" hidden="1">
      <c r="B2371" s="141" t="s">
        <v>6718</v>
      </c>
      <c r="C2371" s="140"/>
      <c r="D2371" s="141" t="s">
        <v>3213</v>
      </c>
      <c r="E2371" s="140"/>
      <c r="F2371" s="140"/>
      <c r="G2371" s="140"/>
    </row>
    <row r="2372" spans="2:7" hidden="1">
      <c r="B2372" s="141" t="s">
        <v>6719</v>
      </c>
      <c r="C2372" s="140"/>
      <c r="D2372" s="141" t="s">
        <v>6720</v>
      </c>
      <c r="E2372" s="140" t="s">
        <v>6721</v>
      </c>
      <c r="F2372" s="140"/>
      <c r="G2372" s="140"/>
    </row>
    <row r="2373" spans="2:7" hidden="1">
      <c r="B2373" s="140" t="s">
        <v>6722</v>
      </c>
      <c r="C2373" s="140" t="s">
        <v>6723</v>
      </c>
      <c r="D2373" s="140" t="s">
        <v>1022</v>
      </c>
      <c r="E2373" s="142" t="s">
        <v>6724</v>
      </c>
      <c r="F2373" s="142" t="s">
        <v>6725</v>
      </c>
      <c r="G2373" s="140"/>
    </row>
    <row r="2374" spans="2:7" hidden="1">
      <c r="B2374" s="141" t="s">
        <v>6726</v>
      </c>
      <c r="C2374" s="140"/>
      <c r="D2374" s="141" t="s">
        <v>4618</v>
      </c>
      <c r="E2374" s="140"/>
      <c r="F2374" s="140"/>
      <c r="G2374" s="140"/>
    </row>
    <row r="2375" spans="2:7" hidden="1">
      <c r="B2375" s="141" t="s">
        <v>6727</v>
      </c>
      <c r="C2375" s="140"/>
      <c r="D2375" s="141" t="s">
        <v>6305</v>
      </c>
      <c r="E2375" s="140"/>
      <c r="F2375" s="140"/>
      <c r="G2375" s="140"/>
    </row>
    <row r="2376" spans="2:7" hidden="1">
      <c r="B2376" s="141" t="s">
        <v>6728</v>
      </c>
      <c r="C2376" s="140"/>
      <c r="D2376" s="141" t="s">
        <v>1638</v>
      </c>
      <c r="E2376" s="140"/>
      <c r="F2376" s="140"/>
      <c r="G2376" s="140"/>
    </row>
    <row r="2377" spans="2:7" hidden="1">
      <c r="B2377" s="141" t="s">
        <v>6729</v>
      </c>
      <c r="C2377" s="140" t="s">
        <v>6730</v>
      </c>
      <c r="D2377" s="141" t="s">
        <v>6731</v>
      </c>
      <c r="E2377" s="140" t="s">
        <v>6732</v>
      </c>
      <c r="F2377" s="140" t="s">
        <v>6733</v>
      </c>
      <c r="G2377" s="140"/>
    </row>
    <row r="2378" spans="2:7" hidden="1">
      <c r="B2378" s="141" t="s">
        <v>6734</v>
      </c>
      <c r="C2378" s="140"/>
      <c r="D2378" s="141" t="s">
        <v>6735</v>
      </c>
      <c r="E2378" s="140"/>
      <c r="F2378" s="140"/>
      <c r="G2378" s="140"/>
    </row>
    <row r="2379" spans="2:7" hidden="1">
      <c r="B2379" s="141" t="s">
        <v>6736</v>
      </c>
      <c r="C2379" s="140" t="s">
        <v>6737</v>
      </c>
      <c r="D2379" s="141" t="s">
        <v>6738</v>
      </c>
      <c r="E2379" s="140" t="s">
        <v>6739</v>
      </c>
      <c r="F2379" s="140" t="s">
        <v>6740</v>
      </c>
      <c r="G2379" s="140" t="s">
        <v>6741</v>
      </c>
    </row>
    <row r="2380" spans="2:7" hidden="1">
      <c r="B2380" s="141" t="s">
        <v>6742</v>
      </c>
      <c r="C2380" s="140" t="s">
        <v>6743</v>
      </c>
      <c r="D2380" s="141" t="s">
        <v>6744</v>
      </c>
      <c r="E2380" s="140" t="s">
        <v>6745</v>
      </c>
      <c r="F2380" s="140"/>
      <c r="G2380" s="140"/>
    </row>
    <row r="2381" spans="2:7" hidden="1">
      <c r="B2381" s="141" t="s">
        <v>6746</v>
      </c>
      <c r="C2381" s="140" t="s">
        <v>6747</v>
      </c>
      <c r="D2381" s="141" t="s">
        <v>6748</v>
      </c>
      <c r="E2381" s="140" t="s">
        <v>6749</v>
      </c>
      <c r="F2381" s="140" t="s">
        <v>6750</v>
      </c>
      <c r="G2381" s="140"/>
    </row>
    <row r="2382" spans="2:7" hidden="1">
      <c r="B2382" s="141" t="s">
        <v>6751</v>
      </c>
      <c r="C2382" s="140" t="s">
        <v>6752</v>
      </c>
      <c r="D2382" s="141" t="s">
        <v>6753</v>
      </c>
      <c r="E2382" s="140" t="s">
        <v>6754</v>
      </c>
      <c r="F2382" s="140" t="s">
        <v>6755</v>
      </c>
      <c r="G2382" s="140"/>
    </row>
    <row r="2383" spans="2:7" hidden="1">
      <c r="B2383" s="141" t="s">
        <v>6756</v>
      </c>
      <c r="C2383" s="140" t="s">
        <v>6757</v>
      </c>
      <c r="D2383" s="141" t="s">
        <v>6758</v>
      </c>
      <c r="E2383" s="140" t="s">
        <v>6759</v>
      </c>
      <c r="F2383" s="140" t="s">
        <v>6760</v>
      </c>
      <c r="G2383" s="140"/>
    </row>
    <row r="2384" spans="2:7" hidden="1">
      <c r="B2384" s="141" t="s">
        <v>6761</v>
      </c>
      <c r="C2384" s="140"/>
      <c r="D2384" s="141" t="s">
        <v>6762</v>
      </c>
      <c r="E2384" s="140"/>
      <c r="F2384" s="140"/>
      <c r="G2384" s="140"/>
    </row>
    <row r="2385" spans="2:7" hidden="1">
      <c r="B2385" s="141" t="s">
        <v>6763</v>
      </c>
      <c r="C2385" s="140" t="s">
        <v>6764</v>
      </c>
      <c r="D2385" s="141" t="s">
        <v>6341</v>
      </c>
      <c r="E2385" s="140" t="s">
        <v>6765</v>
      </c>
      <c r="F2385" s="140" t="s">
        <v>6766</v>
      </c>
      <c r="G2385" s="140"/>
    </row>
    <row r="2386" spans="2:7" hidden="1">
      <c r="B2386" s="141" t="s">
        <v>6767</v>
      </c>
      <c r="C2386" s="140" t="s">
        <v>6768</v>
      </c>
      <c r="D2386" s="141" t="s">
        <v>6769</v>
      </c>
      <c r="E2386" s="140" t="s">
        <v>6770</v>
      </c>
      <c r="F2386" s="140">
        <v>9413600294</v>
      </c>
      <c r="G2386" s="140"/>
    </row>
    <row r="2387" spans="2:7" hidden="1">
      <c r="B2387" s="140" t="s">
        <v>6771</v>
      </c>
      <c r="C2387" s="140"/>
      <c r="D2387" s="140" t="s">
        <v>6772</v>
      </c>
      <c r="E2387" s="142"/>
      <c r="F2387" s="142"/>
      <c r="G2387" s="140"/>
    </row>
    <row r="2388" spans="2:7" hidden="1">
      <c r="B2388" s="141" t="s">
        <v>6773</v>
      </c>
      <c r="C2388" s="140" t="s">
        <v>6774</v>
      </c>
      <c r="D2388" s="141" t="s">
        <v>6775</v>
      </c>
      <c r="E2388" s="140">
        <v>8038926058</v>
      </c>
      <c r="F2388" s="140">
        <v>8038926975</v>
      </c>
      <c r="G2388" s="140"/>
    </row>
    <row r="2389" spans="2:7" hidden="1">
      <c r="B2389" s="141" t="s">
        <v>6776</v>
      </c>
      <c r="C2389" s="141" t="s">
        <v>6777</v>
      </c>
      <c r="D2389" s="141" t="s">
        <v>3289</v>
      </c>
      <c r="E2389" s="140" t="s">
        <v>6778</v>
      </c>
      <c r="F2389" s="140" t="s">
        <v>6779</v>
      </c>
      <c r="G2389" s="140"/>
    </row>
    <row r="2390" spans="2:7" hidden="1">
      <c r="B2390" s="141" t="s">
        <v>6780</v>
      </c>
      <c r="C2390" s="140" t="s">
        <v>6781</v>
      </c>
      <c r="D2390" s="141" t="s">
        <v>6782</v>
      </c>
      <c r="E2390" s="140" t="s">
        <v>6783</v>
      </c>
      <c r="F2390" s="140" t="s">
        <v>6779</v>
      </c>
      <c r="G2390" s="140"/>
    </row>
    <row r="2391" spans="2:7" hidden="1">
      <c r="B2391" s="141" t="s">
        <v>21634</v>
      </c>
      <c r="C2391" s="140" t="s">
        <v>6784</v>
      </c>
      <c r="D2391" s="141" t="s">
        <v>2722</v>
      </c>
      <c r="E2391" s="140" t="s">
        <v>6785</v>
      </c>
      <c r="F2391" s="140" t="s">
        <v>6786</v>
      </c>
      <c r="G2391" s="140"/>
    </row>
    <row r="2392" spans="2:7" hidden="1">
      <c r="B2392" s="141" t="s">
        <v>6787</v>
      </c>
      <c r="C2392" s="140"/>
      <c r="D2392" s="141" t="s">
        <v>6788</v>
      </c>
      <c r="E2392" s="140"/>
      <c r="F2392" s="140"/>
      <c r="G2392" s="140"/>
    </row>
    <row r="2393" spans="2:7" hidden="1">
      <c r="B2393" s="140" t="s">
        <v>6789</v>
      </c>
      <c r="C2393" s="141"/>
      <c r="D2393" s="141" t="s">
        <v>3355</v>
      </c>
      <c r="E2393" s="141"/>
      <c r="F2393" s="141"/>
      <c r="G2393" s="140"/>
    </row>
    <row r="2394" spans="2:7" hidden="1">
      <c r="B2394" s="141" t="s">
        <v>6790</v>
      </c>
      <c r="C2394" s="140" t="s">
        <v>6791</v>
      </c>
      <c r="D2394" s="141" t="s">
        <v>1226</v>
      </c>
      <c r="E2394" s="140" t="s">
        <v>6792</v>
      </c>
      <c r="F2394" s="140"/>
      <c r="G2394" s="140"/>
    </row>
    <row r="2395" spans="2:7" hidden="1">
      <c r="B2395" s="141" t="s">
        <v>6793</v>
      </c>
      <c r="C2395" s="140"/>
      <c r="D2395" s="141" t="s">
        <v>6794</v>
      </c>
      <c r="E2395" s="140"/>
      <c r="F2395" s="140"/>
      <c r="G2395" s="140"/>
    </row>
    <row r="2396" spans="2:7" hidden="1">
      <c r="B2396" s="141" t="s">
        <v>6795</v>
      </c>
      <c r="C2396" s="140"/>
      <c r="D2396" s="141" t="s">
        <v>2127</v>
      </c>
      <c r="E2396" s="140"/>
      <c r="F2396" s="140"/>
      <c r="G2396" s="140"/>
    </row>
    <row r="2397" spans="2:7" hidden="1">
      <c r="B2397" s="141" t="s">
        <v>6796</v>
      </c>
      <c r="C2397" s="140" t="s">
        <v>6797</v>
      </c>
      <c r="D2397" s="141" t="s">
        <v>6798</v>
      </c>
      <c r="E2397" s="140" t="s">
        <v>6799</v>
      </c>
      <c r="F2397" s="140" t="s">
        <v>6800</v>
      </c>
      <c r="G2397" s="140"/>
    </row>
    <row r="2398" spans="2:7" hidden="1">
      <c r="B2398" s="141" t="s">
        <v>6801</v>
      </c>
      <c r="C2398" s="140" t="s">
        <v>6802</v>
      </c>
      <c r="D2398" s="141" t="s">
        <v>6803</v>
      </c>
      <c r="E2398" s="140" t="s">
        <v>6804</v>
      </c>
      <c r="F2398" s="140" t="s">
        <v>6800</v>
      </c>
      <c r="G2398" s="140"/>
    </row>
    <row r="2399" spans="2:7" hidden="1">
      <c r="B2399" s="141" t="s">
        <v>6805</v>
      </c>
      <c r="C2399" s="140" t="s">
        <v>6806</v>
      </c>
      <c r="D2399" s="141" t="s">
        <v>6807</v>
      </c>
      <c r="E2399" s="140" t="s">
        <v>6808</v>
      </c>
      <c r="F2399" s="140" t="s">
        <v>6809</v>
      </c>
      <c r="G2399" s="140"/>
    </row>
    <row r="2400" spans="2:7" hidden="1">
      <c r="B2400" s="141" t="s">
        <v>6810</v>
      </c>
      <c r="C2400" s="140" t="s">
        <v>6811</v>
      </c>
      <c r="D2400" s="141" t="s">
        <v>6812</v>
      </c>
      <c r="E2400" s="140" t="s">
        <v>6813</v>
      </c>
      <c r="F2400" s="140" t="s">
        <v>6814</v>
      </c>
      <c r="G2400" s="140"/>
    </row>
    <row r="2401" spans="2:7" hidden="1">
      <c r="B2401" s="141" t="s">
        <v>6819</v>
      </c>
      <c r="C2401" s="141"/>
      <c r="D2401" s="141" t="s">
        <v>6820</v>
      </c>
      <c r="E2401" s="141" t="s">
        <v>6808</v>
      </c>
      <c r="F2401" s="140" t="s">
        <v>6809</v>
      </c>
      <c r="G2401" s="140"/>
    </row>
    <row r="2402" spans="2:7" hidden="1">
      <c r="B2402" s="141" t="s">
        <v>6821</v>
      </c>
      <c r="C2402" s="140"/>
      <c r="D2402" s="141" t="s">
        <v>6822</v>
      </c>
      <c r="E2402" s="140"/>
      <c r="F2402" s="140"/>
      <c r="G2402" s="140"/>
    </row>
    <row r="2403" spans="2:7" hidden="1">
      <c r="B2403" s="140" t="s">
        <v>21635</v>
      </c>
      <c r="C2403" s="140" t="s">
        <v>6815</v>
      </c>
      <c r="D2403" s="140" t="s">
        <v>6816</v>
      </c>
      <c r="E2403" s="142" t="s">
        <v>6817</v>
      </c>
      <c r="F2403" s="142" t="s">
        <v>6818</v>
      </c>
      <c r="G2403" s="140"/>
    </row>
    <row r="2404" spans="2:7" hidden="1">
      <c r="B2404" s="141" t="s">
        <v>6823</v>
      </c>
      <c r="C2404" s="140"/>
      <c r="D2404" s="141" t="s">
        <v>6824</v>
      </c>
      <c r="E2404" s="140"/>
      <c r="F2404" s="140"/>
      <c r="G2404" s="140"/>
    </row>
    <row r="2405" spans="2:7" hidden="1">
      <c r="B2405" s="141" t="s">
        <v>6825</v>
      </c>
      <c r="C2405" s="140" t="s">
        <v>6826</v>
      </c>
      <c r="D2405" s="141" t="s">
        <v>6827</v>
      </c>
      <c r="E2405" s="140" t="s">
        <v>6828</v>
      </c>
      <c r="F2405" s="140" t="s">
        <v>6829</v>
      </c>
      <c r="G2405" s="140"/>
    </row>
    <row r="2406" spans="2:7" hidden="1">
      <c r="B2406" s="141" t="s">
        <v>6830</v>
      </c>
      <c r="C2406" s="140" t="s">
        <v>6831</v>
      </c>
      <c r="D2406" s="141" t="s">
        <v>3213</v>
      </c>
      <c r="E2406" s="140" t="s">
        <v>6832</v>
      </c>
      <c r="F2406" s="140" t="s">
        <v>6833</v>
      </c>
      <c r="G2406" s="140"/>
    </row>
    <row r="2407" spans="2:7" hidden="1">
      <c r="B2407" s="141" t="s">
        <v>6834</v>
      </c>
      <c r="C2407" s="140"/>
      <c r="D2407" s="141" t="s">
        <v>3814</v>
      </c>
      <c r="E2407" s="140" t="s">
        <v>6835</v>
      </c>
      <c r="F2407" s="140" t="s">
        <v>6836</v>
      </c>
      <c r="G2407" s="140"/>
    </row>
    <row r="2408" spans="2:7" hidden="1">
      <c r="B2408" s="141" t="s">
        <v>6837</v>
      </c>
      <c r="C2408" s="140" t="s">
        <v>6838</v>
      </c>
      <c r="D2408" s="141" t="s">
        <v>6839</v>
      </c>
      <c r="E2408" s="140" t="s">
        <v>6840</v>
      </c>
      <c r="F2408" s="140" t="s">
        <v>6841</v>
      </c>
      <c r="G2408" s="140"/>
    </row>
    <row r="2409" spans="2:7" hidden="1">
      <c r="B2409" s="141" t="s">
        <v>6842</v>
      </c>
      <c r="C2409" s="140"/>
      <c r="D2409" s="141" t="s">
        <v>6843</v>
      </c>
      <c r="E2409" s="140"/>
      <c r="F2409" s="140"/>
      <c r="G2409" s="140"/>
    </row>
    <row r="2410" spans="2:7" hidden="1">
      <c r="B2410" s="141" t="s">
        <v>6844</v>
      </c>
      <c r="C2410" s="140" t="s">
        <v>6845</v>
      </c>
      <c r="D2410" s="141" t="s">
        <v>6846</v>
      </c>
      <c r="E2410" s="140" t="s">
        <v>6847</v>
      </c>
      <c r="F2410" s="140"/>
      <c r="G2410" s="140"/>
    </row>
    <row r="2411" spans="2:7" hidden="1">
      <c r="B2411" s="141" t="s">
        <v>6848</v>
      </c>
      <c r="C2411" s="140"/>
      <c r="D2411" s="141" t="s">
        <v>6849</v>
      </c>
      <c r="E2411" s="140"/>
      <c r="F2411" s="140"/>
      <c r="G2411" s="140"/>
    </row>
    <row r="2412" spans="2:7" hidden="1">
      <c r="B2412" s="140" t="s">
        <v>6850</v>
      </c>
      <c r="C2412" s="140"/>
      <c r="D2412" s="140" t="s">
        <v>6181</v>
      </c>
      <c r="E2412" s="142"/>
      <c r="F2412" s="142"/>
      <c r="G2412" s="140"/>
    </row>
    <row r="2413" spans="2:7" hidden="1">
      <c r="B2413" s="140" t="s">
        <v>21374</v>
      </c>
      <c r="C2413" s="140" t="s">
        <v>21373</v>
      </c>
      <c r="D2413" s="140" t="s">
        <v>21372</v>
      </c>
      <c r="E2413" s="142"/>
      <c r="F2413" s="142"/>
      <c r="G2413" s="140"/>
    </row>
    <row r="2414" spans="2:7" hidden="1">
      <c r="B2414" s="141" t="s">
        <v>6851</v>
      </c>
      <c r="C2414" s="140"/>
      <c r="D2414" s="141" t="s">
        <v>6852</v>
      </c>
      <c r="E2414" s="140"/>
      <c r="F2414" s="140"/>
      <c r="G2414" s="140"/>
    </row>
    <row r="2415" spans="2:7" hidden="1">
      <c r="B2415" s="141" t="s">
        <v>6853</v>
      </c>
      <c r="C2415" s="140"/>
      <c r="D2415" s="141" t="s">
        <v>6854</v>
      </c>
      <c r="E2415" s="140"/>
      <c r="F2415" s="140"/>
      <c r="G2415" s="140"/>
    </row>
    <row r="2416" spans="2:7" hidden="1">
      <c r="B2416" s="141" t="s">
        <v>6855</v>
      </c>
      <c r="C2416" s="140"/>
      <c r="D2416" s="141" t="s">
        <v>6856</v>
      </c>
      <c r="E2416" s="140"/>
      <c r="F2416" s="140"/>
      <c r="G2416" s="140"/>
    </row>
    <row r="2417" spans="2:7" hidden="1">
      <c r="B2417" s="141" t="s">
        <v>6857</v>
      </c>
      <c r="C2417" s="140"/>
      <c r="D2417" s="141" t="s">
        <v>6858</v>
      </c>
      <c r="E2417" s="140"/>
      <c r="F2417" s="140"/>
      <c r="G2417" s="140"/>
    </row>
    <row r="2418" spans="2:7" hidden="1">
      <c r="B2418" s="141" t="s">
        <v>6859</v>
      </c>
      <c r="C2418" s="140"/>
      <c r="D2418" s="141" t="s">
        <v>6860</v>
      </c>
      <c r="E2418" s="140"/>
      <c r="F2418" s="140"/>
      <c r="G2418" s="140"/>
    </row>
    <row r="2419" spans="2:7" hidden="1">
      <c r="B2419" s="141" t="s">
        <v>6861</v>
      </c>
      <c r="C2419" s="140"/>
      <c r="D2419" s="141" t="s">
        <v>3684</v>
      </c>
      <c r="E2419" s="140"/>
      <c r="F2419" s="140"/>
      <c r="G2419" s="140"/>
    </row>
    <row r="2420" spans="2:7" hidden="1">
      <c r="B2420" s="141" t="s">
        <v>6862</v>
      </c>
      <c r="C2420" s="140" t="s">
        <v>6863</v>
      </c>
      <c r="D2420" s="141" t="s">
        <v>1242</v>
      </c>
      <c r="E2420" s="140" t="s">
        <v>6864</v>
      </c>
      <c r="F2420" s="140" t="s">
        <v>6865</v>
      </c>
      <c r="G2420" s="140"/>
    </row>
    <row r="2421" spans="2:7" hidden="1">
      <c r="B2421" s="141" t="s">
        <v>6866</v>
      </c>
      <c r="C2421" s="140"/>
      <c r="D2421" s="141" t="s">
        <v>6867</v>
      </c>
      <c r="E2421" s="140"/>
      <c r="F2421" s="140"/>
      <c r="G2421" s="140"/>
    </row>
    <row r="2422" spans="2:7" hidden="1">
      <c r="B2422" s="141" t="s">
        <v>6868</v>
      </c>
      <c r="C2422" s="140"/>
      <c r="D2422" s="141" t="s">
        <v>6869</v>
      </c>
      <c r="E2422" s="140"/>
      <c r="F2422" s="140"/>
      <c r="G2422" s="140"/>
    </row>
    <row r="2423" spans="2:7" hidden="1">
      <c r="B2423" s="141" t="s">
        <v>6870</v>
      </c>
      <c r="C2423" s="140"/>
      <c r="D2423" s="141" t="s">
        <v>6871</v>
      </c>
      <c r="E2423" s="140"/>
      <c r="F2423" s="140"/>
      <c r="G2423" s="140"/>
    </row>
    <row r="2424" spans="2:7" hidden="1">
      <c r="B2424" s="141" t="s">
        <v>6872</v>
      </c>
      <c r="C2424" s="140" t="s">
        <v>6873</v>
      </c>
      <c r="D2424" s="141" t="s">
        <v>3861</v>
      </c>
      <c r="E2424" s="140" t="s">
        <v>6874</v>
      </c>
      <c r="F2424" s="140" t="s">
        <v>6875</v>
      </c>
      <c r="G2424" s="140"/>
    </row>
    <row r="2425" spans="2:7" hidden="1">
      <c r="B2425" s="141" t="s">
        <v>6876</v>
      </c>
      <c r="C2425" s="141"/>
      <c r="D2425" s="141" t="s">
        <v>5958</v>
      </c>
      <c r="E2425" s="141"/>
      <c r="F2425" s="140"/>
      <c r="G2425" s="140"/>
    </row>
    <row r="2426" spans="2:7" hidden="1">
      <c r="B2426" s="141" t="s">
        <v>6877</v>
      </c>
      <c r="C2426" s="140"/>
      <c r="D2426" s="141" t="s">
        <v>1167</v>
      </c>
      <c r="E2426" s="140"/>
      <c r="F2426" s="140"/>
      <c r="G2426" s="140"/>
    </row>
    <row r="2427" spans="2:7" hidden="1">
      <c r="B2427" s="141" t="s">
        <v>6878</v>
      </c>
      <c r="C2427" s="141"/>
      <c r="D2427" s="141" t="s">
        <v>6879</v>
      </c>
      <c r="E2427" s="141"/>
      <c r="F2427" s="140"/>
      <c r="G2427" s="140"/>
    </row>
    <row r="2428" spans="2:7" hidden="1">
      <c r="B2428" s="141" t="s">
        <v>6880</v>
      </c>
      <c r="C2428" s="140"/>
      <c r="D2428" s="141" t="s">
        <v>4686</v>
      </c>
      <c r="E2428" s="140"/>
      <c r="F2428" s="140"/>
      <c r="G2428" s="140"/>
    </row>
    <row r="2429" spans="2:7" hidden="1">
      <c r="B2429" s="141" t="s">
        <v>6881</v>
      </c>
      <c r="C2429" s="140"/>
      <c r="D2429" s="141" t="s">
        <v>6882</v>
      </c>
      <c r="E2429" s="140"/>
      <c r="F2429" s="140"/>
      <c r="G2429" s="140"/>
    </row>
    <row r="2430" spans="2:7" hidden="1">
      <c r="B2430" s="141" t="s">
        <v>6883</v>
      </c>
      <c r="C2430" s="141"/>
      <c r="D2430" s="141" t="s">
        <v>6884</v>
      </c>
      <c r="E2430" s="141"/>
      <c r="F2430" s="140"/>
      <c r="G2430" s="140"/>
    </row>
    <row r="2431" spans="2:7" hidden="1">
      <c r="B2431" s="141" t="s">
        <v>6885</v>
      </c>
      <c r="C2431" s="140"/>
      <c r="D2431" s="141" t="s">
        <v>6886</v>
      </c>
      <c r="E2431" s="140"/>
      <c r="F2431" s="140"/>
      <c r="G2431" s="140"/>
    </row>
    <row r="2432" spans="2:7" hidden="1">
      <c r="B2432" s="140" t="s">
        <v>6887</v>
      </c>
      <c r="C2432" s="140"/>
      <c r="D2432" s="140" t="s">
        <v>6888</v>
      </c>
      <c r="E2432" s="142"/>
      <c r="F2432" s="142"/>
      <c r="G2432" s="140"/>
    </row>
    <row r="2433" spans="2:7" hidden="1">
      <c r="B2433" s="141" t="s">
        <v>6889</v>
      </c>
      <c r="C2433" s="141"/>
      <c r="D2433" s="141" t="s">
        <v>6890</v>
      </c>
      <c r="E2433" s="141"/>
      <c r="F2433" s="140"/>
      <c r="G2433" s="140"/>
    </row>
    <row r="2434" spans="2:7" hidden="1">
      <c r="B2434" s="141" t="s">
        <v>6891</v>
      </c>
      <c r="C2434" s="140"/>
      <c r="D2434" s="141" t="s">
        <v>6892</v>
      </c>
      <c r="E2434" s="140" t="s">
        <v>6893</v>
      </c>
      <c r="F2434" s="140" t="s">
        <v>6894</v>
      </c>
      <c r="G2434" s="140"/>
    </row>
    <row r="2435" spans="2:7" hidden="1">
      <c r="B2435" s="141" t="s">
        <v>6895</v>
      </c>
      <c r="C2435" s="140" t="s">
        <v>6896</v>
      </c>
      <c r="D2435" s="141" t="s">
        <v>2334</v>
      </c>
      <c r="E2435" s="140" t="s">
        <v>6897</v>
      </c>
      <c r="F2435" s="140"/>
      <c r="G2435" s="140"/>
    </row>
    <row r="2436" spans="2:7" hidden="1">
      <c r="B2436" s="140" t="s">
        <v>6898</v>
      </c>
      <c r="C2436" s="140"/>
      <c r="D2436" s="140" t="s">
        <v>2865</v>
      </c>
      <c r="E2436" s="142"/>
      <c r="F2436" s="142"/>
      <c r="G2436" s="140"/>
    </row>
    <row r="2437" spans="2:7" hidden="1">
      <c r="B2437" s="140" t="s">
        <v>6899</v>
      </c>
      <c r="C2437" s="140"/>
      <c r="D2437" s="140" t="s">
        <v>6900</v>
      </c>
      <c r="E2437" s="142"/>
      <c r="F2437" s="142"/>
      <c r="G2437" s="140"/>
    </row>
    <row r="2438" spans="2:7" hidden="1">
      <c r="B2438" s="141" t="s">
        <v>6901</v>
      </c>
      <c r="C2438" s="141"/>
      <c r="D2438" s="141" t="s">
        <v>6902</v>
      </c>
      <c r="E2438" s="141"/>
      <c r="F2438" s="140"/>
      <c r="G2438" s="140"/>
    </row>
    <row r="2439" spans="2:7" hidden="1">
      <c r="B2439" s="141" t="s">
        <v>6903</v>
      </c>
      <c r="C2439" s="140"/>
      <c r="D2439" s="141" t="s">
        <v>6904</v>
      </c>
      <c r="E2439" s="140"/>
      <c r="F2439" s="140"/>
      <c r="G2439" s="140"/>
    </row>
    <row r="2440" spans="2:7" hidden="1">
      <c r="B2440" s="141" t="s">
        <v>21636</v>
      </c>
      <c r="C2440" s="140"/>
      <c r="D2440" s="141" t="s">
        <v>6905</v>
      </c>
      <c r="E2440" s="140"/>
      <c r="F2440" s="140"/>
      <c r="G2440" s="140"/>
    </row>
    <row r="2441" spans="2:7" hidden="1">
      <c r="B2441" s="141" t="s">
        <v>6906</v>
      </c>
      <c r="C2441" s="141"/>
      <c r="D2441" s="141" t="s">
        <v>3886</v>
      </c>
      <c r="E2441" s="141"/>
      <c r="F2441" s="140"/>
      <c r="G2441" s="140"/>
    </row>
    <row r="2442" spans="2:7" hidden="1">
      <c r="B2442" s="141" t="s">
        <v>6907</v>
      </c>
      <c r="C2442" s="140"/>
      <c r="D2442" s="141" t="s">
        <v>6908</v>
      </c>
      <c r="E2442" s="140"/>
      <c r="F2442" s="140"/>
      <c r="G2442" s="140"/>
    </row>
    <row r="2443" spans="2:7" hidden="1">
      <c r="B2443" s="141" t="s">
        <v>6909</v>
      </c>
      <c r="C2443" s="141"/>
      <c r="D2443" s="141" t="s">
        <v>6910</v>
      </c>
      <c r="E2443" s="141"/>
      <c r="F2443" s="141"/>
      <c r="G2443" s="140"/>
    </row>
    <row r="2444" spans="2:7" hidden="1">
      <c r="B2444" s="141" t="s">
        <v>6911</v>
      </c>
      <c r="C2444" s="140"/>
      <c r="D2444" s="141" t="s">
        <v>6912</v>
      </c>
      <c r="E2444" s="140"/>
      <c r="F2444" s="140"/>
      <c r="G2444" s="140"/>
    </row>
    <row r="2445" spans="2:7" hidden="1">
      <c r="B2445" s="140" t="s">
        <v>21255</v>
      </c>
      <c r="C2445" s="140" t="s">
        <v>21257</v>
      </c>
      <c r="D2445" s="140" t="s">
        <v>21256</v>
      </c>
      <c r="E2445" s="142" t="s">
        <v>21258</v>
      </c>
      <c r="F2445" s="142"/>
      <c r="G2445" s="140"/>
    </row>
    <row r="2446" spans="2:7" hidden="1">
      <c r="B2446" s="140" t="s">
        <v>6913</v>
      </c>
      <c r="C2446" s="140" t="s">
        <v>6914</v>
      </c>
      <c r="D2446" s="140" t="s">
        <v>6915</v>
      </c>
      <c r="E2446" s="142" t="s">
        <v>6916</v>
      </c>
      <c r="F2446" s="142" t="s">
        <v>6916</v>
      </c>
      <c r="G2446" s="140"/>
    </row>
    <row r="2447" spans="2:7" hidden="1">
      <c r="B2447" s="141" t="s">
        <v>6917</v>
      </c>
      <c r="C2447" s="140"/>
      <c r="D2447" s="141" t="s">
        <v>6918</v>
      </c>
      <c r="E2447" s="140"/>
      <c r="F2447" s="140"/>
      <c r="G2447" s="140"/>
    </row>
    <row r="2448" spans="2:7" hidden="1">
      <c r="B2448" s="141" t="s">
        <v>6919</v>
      </c>
      <c r="C2448" s="141" t="s">
        <v>6920</v>
      </c>
      <c r="D2448" s="141" t="s">
        <v>4350</v>
      </c>
      <c r="E2448" s="140" t="s">
        <v>6921</v>
      </c>
      <c r="F2448" s="140" t="s">
        <v>6922</v>
      </c>
      <c r="G2448" s="140"/>
    </row>
    <row r="2449" spans="2:7" hidden="1">
      <c r="B2449" s="141" t="s">
        <v>6923</v>
      </c>
      <c r="C2449" s="140"/>
      <c r="D2449" s="141" t="s">
        <v>6924</v>
      </c>
      <c r="E2449" s="140"/>
      <c r="F2449" s="140"/>
      <c r="G2449" s="140"/>
    </row>
    <row r="2450" spans="2:7" hidden="1">
      <c r="B2450" s="141" t="s">
        <v>6925</v>
      </c>
      <c r="C2450" s="140" t="s">
        <v>6926</v>
      </c>
      <c r="D2450" s="141" t="s">
        <v>6927</v>
      </c>
      <c r="E2450" s="140" t="s">
        <v>6928</v>
      </c>
      <c r="F2450" s="140" t="s">
        <v>6779</v>
      </c>
      <c r="G2450" s="140"/>
    </row>
    <row r="2451" spans="2:7" hidden="1">
      <c r="B2451" s="141" t="s">
        <v>6929</v>
      </c>
      <c r="C2451" s="140"/>
      <c r="D2451" s="141" t="s">
        <v>6930</v>
      </c>
      <c r="E2451" s="140"/>
      <c r="F2451" s="140"/>
      <c r="G2451" s="140"/>
    </row>
    <row r="2452" spans="2:7" hidden="1">
      <c r="B2452" s="140" t="s">
        <v>6931</v>
      </c>
      <c r="C2452" s="140"/>
      <c r="D2452" s="140" t="s">
        <v>2822</v>
      </c>
      <c r="E2452" s="142"/>
      <c r="F2452" s="142"/>
      <c r="G2452" s="140"/>
    </row>
    <row r="2453" spans="2:7" hidden="1">
      <c r="B2453" s="140" t="s">
        <v>21637</v>
      </c>
      <c r="C2453" s="140" t="s">
        <v>6932</v>
      </c>
      <c r="D2453" s="140" t="s">
        <v>6933</v>
      </c>
      <c r="E2453" s="142" t="s">
        <v>6934</v>
      </c>
      <c r="F2453" s="142"/>
      <c r="G2453" s="140"/>
    </row>
    <row r="2454" spans="2:7" hidden="1">
      <c r="B2454" s="141" t="s">
        <v>6935</v>
      </c>
      <c r="C2454" s="140" t="s">
        <v>6936</v>
      </c>
      <c r="D2454" s="141" t="s">
        <v>6937</v>
      </c>
      <c r="E2454" s="140"/>
      <c r="F2454" s="140" t="s">
        <v>6938</v>
      </c>
      <c r="G2454" s="140"/>
    </row>
    <row r="2455" spans="2:7" hidden="1">
      <c r="B2455" s="140" t="s">
        <v>21638</v>
      </c>
      <c r="C2455" s="140"/>
      <c r="D2455" s="140" t="s">
        <v>6939</v>
      </c>
      <c r="E2455" s="142"/>
      <c r="F2455" s="142"/>
      <c r="G2455" s="140"/>
    </row>
    <row r="2456" spans="2:7" hidden="1">
      <c r="B2456" s="141" t="s">
        <v>6940</v>
      </c>
      <c r="C2456" s="141"/>
      <c r="D2456" s="141" t="s">
        <v>6941</v>
      </c>
      <c r="E2456" s="141"/>
      <c r="F2456" s="141"/>
      <c r="G2456" s="140"/>
    </row>
    <row r="2457" spans="2:7" hidden="1">
      <c r="B2457" s="140" t="s">
        <v>6942</v>
      </c>
      <c r="C2457" s="140" t="s">
        <v>6943</v>
      </c>
      <c r="D2457" s="140" t="s">
        <v>1226</v>
      </c>
      <c r="E2457" s="142" t="s">
        <v>6944</v>
      </c>
      <c r="F2457" s="142"/>
      <c r="G2457" s="140"/>
    </row>
    <row r="2458" spans="2:7" hidden="1">
      <c r="B2458" s="141" t="s">
        <v>6945</v>
      </c>
      <c r="C2458" s="141" t="s">
        <v>6946</v>
      </c>
      <c r="D2458" s="141" t="s">
        <v>6947</v>
      </c>
      <c r="E2458" s="141" t="s">
        <v>6948</v>
      </c>
      <c r="F2458" s="141" t="s">
        <v>6949</v>
      </c>
      <c r="G2458" s="140"/>
    </row>
    <row r="2459" spans="2:7" hidden="1">
      <c r="B2459" s="141" t="s">
        <v>6950</v>
      </c>
      <c r="C2459" s="140"/>
      <c r="D2459" s="141" t="s">
        <v>6951</v>
      </c>
      <c r="E2459" s="140"/>
      <c r="F2459" s="140"/>
      <c r="G2459" s="140"/>
    </row>
    <row r="2460" spans="2:7" hidden="1">
      <c r="B2460" s="141" t="s">
        <v>6952</v>
      </c>
      <c r="C2460" s="140" t="s">
        <v>6953</v>
      </c>
      <c r="D2460" s="141" t="s">
        <v>6954</v>
      </c>
      <c r="E2460" s="140"/>
      <c r="F2460" s="140"/>
      <c r="G2460" s="140" t="s">
        <v>6955</v>
      </c>
    </row>
    <row r="2461" spans="2:7" hidden="1">
      <c r="B2461" s="141" t="s">
        <v>6956</v>
      </c>
      <c r="C2461" s="140"/>
      <c r="D2461" s="141" t="s">
        <v>6957</v>
      </c>
      <c r="E2461" s="140"/>
      <c r="F2461" s="140"/>
      <c r="G2461" s="140"/>
    </row>
    <row r="2462" spans="2:7" hidden="1">
      <c r="B2462" s="141" t="s">
        <v>6958</v>
      </c>
      <c r="C2462" s="141"/>
      <c r="D2462" s="141" t="s">
        <v>6930</v>
      </c>
      <c r="E2462" s="141"/>
      <c r="F2462" s="141"/>
      <c r="G2462" s="140"/>
    </row>
    <row r="2463" spans="2:7" hidden="1">
      <c r="B2463" s="141" t="s">
        <v>6959</v>
      </c>
      <c r="C2463" s="140" t="s">
        <v>6960</v>
      </c>
      <c r="D2463" s="141" t="s">
        <v>6961</v>
      </c>
      <c r="E2463" s="140"/>
      <c r="F2463" s="140"/>
      <c r="G2463" s="140"/>
    </row>
    <row r="2464" spans="2:7" hidden="1">
      <c r="B2464" s="141" t="s">
        <v>6962</v>
      </c>
      <c r="C2464" s="140"/>
      <c r="D2464" s="141" t="s">
        <v>6963</v>
      </c>
      <c r="E2464" s="140"/>
      <c r="F2464" s="140"/>
      <c r="G2464" s="140"/>
    </row>
    <row r="2465" spans="2:7" hidden="1">
      <c r="B2465" s="141" t="s">
        <v>6964</v>
      </c>
      <c r="C2465" s="140" t="s">
        <v>6965</v>
      </c>
      <c r="D2465" s="141" t="s">
        <v>3826</v>
      </c>
      <c r="E2465" s="140" t="s">
        <v>6966</v>
      </c>
      <c r="F2465" s="140" t="s">
        <v>6967</v>
      </c>
      <c r="G2465" s="140"/>
    </row>
    <row r="2466" spans="2:7" hidden="1">
      <c r="B2466" s="140" t="s">
        <v>6968</v>
      </c>
      <c r="C2466" s="140"/>
      <c r="D2466" s="140" t="s">
        <v>6969</v>
      </c>
      <c r="E2466" s="142"/>
      <c r="F2466" s="142"/>
      <c r="G2466" s="140"/>
    </row>
    <row r="2467" spans="2:7" hidden="1">
      <c r="B2467" s="141" t="s">
        <v>6970</v>
      </c>
      <c r="C2467" s="140"/>
      <c r="D2467" s="141" t="s">
        <v>4435</v>
      </c>
      <c r="E2467" s="140"/>
      <c r="F2467" s="140"/>
      <c r="G2467" s="140"/>
    </row>
    <row r="2468" spans="2:7" hidden="1">
      <c r="B2468" s="141" t="s">
        <v>6971</v>
      </c>
      <c r="C2468" s="140"/>
      <c r="D2468" s="141" t="s">
        <v>1249</v>
      </c>
      <c r="E2468" s="140"/>
      <c r="F2468" s="140"/>
      <c r="G2468" s="140"/>
    </row>
    <row r="2469" spans="2:7" hidden="1">
      <c r="B2469" s="141" t="s">
        <v>6972</v>
      </c>
      <c r="C2469" s="141"/>
      <c r="D2469" s="141" t="s">
        <v>6973</v>
      </c>
      <c r="E2469" s="140"/>
      <c r="F2469" s="140"/>
      <c r="G2469" s="140"/>
    </row>
    <row r="2470" spans="2:7" hidden="1">
      <c r="B2470" s="141" t="s">
        <v>6974</v>
      </c>
      <c r="C2470" s="140"/>
      <c r="D2470" s="141" t="s">
        <v>4935</v>
      </c>
      <c r="E2470" s="140"/>
      <c r="F2470" s="140"/>
      <c r="G2470" s="140"/>
    </row>
    <row r="2471" spans="2:7" hidden="1">
      <c r="B2471" s="141" t="s">
        <v>6975</v>
      </c>
      <c r="C2471" s="140"/>
      <c r="D2471" s="141" t="s">
        <v>6976</v>
      </c>
      <c r="E2471" s="140"/>
      <c r="F2471" s="140"/>
      <c r="G2471" s="140"/>
    </row>
    <row r="2472" spans="2:7" hidden="1">
      <c r="B2472" s="141" t="s">
        <v>6977</v>
      </c>
      <c r="C2472" s="140"/>
      <c r="D2472" s="141" t="s">
        <v>6978</v>
      </c>
      <c r="E2472" s="140"/>
      <c r="F2472" s="140"/>
      <c r="G2472" s="140"/>
    </row>
    <row r="2473" spans="2:7" hidden="1">
      <c r="B2473" s="140" t="s">
        <v>6979</v>
      </c>
      <c r="C2473" s="140"/>
      <c r="D2473" s="140" t="s">
        <v>6980</v>
      </c>
      <c r="E2473" s="142"/>
      <c r="F2473" s="142"/>
      <c r="G2473" s="140"/>
    </row>
    <row r="2474" spans="2:7" hidden="1">
      <c r="B2474" s="141" t="s">
        <v>6981</v>
      </c>
      <c r="C2474" s="140" t="s">
        <v>6982</v>
      </c>
      <c r="D2474" s="141" t="s">
        <v>3055</v>
      </c>
      <c r="E2474" s="140" t="s">
        <v>6983</v>
      </c>
      <c r="F2474" s="140" t="s">
        <v>6984</v>
      </c>
      <c r="G2474" s="140"/>
    </row>
    <row r="2475" spans="2:7" hidden="1">
      <c r="B2475" s="141" t="s">
        <v>6985</v>
      </c>
      <c r="C2475" s="140" t="s">
        <v>6986</v>
      </c>
      <c r="D2475" s="141" t="s">
        <v>6987</v>
      </c>
      <c r="E2475" s="140" t="s">
        <v>6988</v>
      </c>
      <c r="F2475" s="140" t="s">
        <v>6989</v>
      </c>
      <c r="G2475" s="140"/>
    </row>
    <row r="2476" spans="2:7" hidden="1">
      <c r="B2476" s="141" t="s">
        <v>6990</v>
      </c>
      <c r="C2476" s="140"/>
      <c r="D2476" s="141" t="s">
        <v>6991</v>
      </c>
      <c r="E2476" s="140"/>
      <c r="F2476" s="140"/>
      <c r="G2476" s="140"/>
    </row>
    <row r="2477" spans="2:7" hidden="1">
      <c r="B2477" s="140" t="s">
        <v>6992</v>
      </c>
      <c r="C2477" s="140"/>
      <c r="D2477" s="140" t="s">
        <v>6993</v>
      </c>
      <c r="E2477" s="142"/>
      <c r="F2477" s="142"/>
      <c r="G2477" s="140"/>
    </row>
    <row r="2478" spans="2:7" hidden="1">
      <c r="B2478" s="141" t="s">
        <v>6994</v>
      </c>
      <c r="C2478" s="140"/>
      <c r="D2478" s="141" t="s">
        <v>6995</v>
      </c>
      <c r="E2478" s="140"/>
      <c r="F2478" s="140"/>
      <c r="G2478" s="140"/>
    </row>
    <row r="2479" spans="2:7" hidden="1">
      <c r="B2479" s="141" t="s">
        <v>6996</v>
      </c>
      <c r="C2479" s="140"/>
      <c r="D2479" s="141" t="s">
        <v>5089</v>
      </c>
      <c r="E2479" s="140"/>
      <c r="F2479" s="140"/>
      <c r="G2479" s="140"/>
    </row>
    <row r="2480" spans="2:7" hidden="1">
      <c r="B2480" s="141" t="s">
        <v>6997</v>
      </c>
      <c r="C2480" s="141"/>
      <c r="D2480" s="141" t="s">
        <v>2311</v>
      </c>
      <c r="E2480" s="141"/>
      <c r="F2480" s="140"/>
      <c r="G2480" s="140"/>
    </row>
    <row r="2481" spans="2:7" hidden="1">
      <c r="B2481" s="141" t="s">
        <v>6998</v>
      </c>
      <c r="C2481" s="140" t="s">
        <v>6999</v>
      </c>
      <c r="D2481" s="141" t="s">
        <v>7000</v>
      </c>
      <c r="E2481" s="140"/>
      <c r="F2481" s="140"/>
      <c r="G2481" s="140" t="s">
        <v>7001</v>
      </c>
    </row>
    <row r="2482" spans="2:7" hidden="1">
      <c r="B2482" s="141" t="s">
        <v>7002</v>
      </c>
      <c r="C2482" s="140"/>
      <c r="D2482" s="141" t="s">
        <v>7003</v>
      </c>
      <c r="E2482" s="140"/>
      <c r="F2482" s="140"/>
      <c r="G2482" s="140"/>
    </row>
    <row r="2483" spans="2:7" hidden="1">
      <c r="B2483" s="141" t="s">
        <v>7004</v>
      </c>
      <c r="C2483" s="140"/>
      <c r="D2483" s="141" t="s">
        <v>4729</v>
      </c>
      <c r="E2483" s="141"/>
      <c r="F2483" s="141"/>
      <c r="G2483" s="140"/>
    </row>
    <row r="2484" spans="2:7" hidden="1">
      <c r="B2484" s="141" t="s">
        <v>7005</v>
      </c>
      <c r="C2484" s="141"/>
      <c r="D2484" s="141" t="s">
        <v>7006</v>
      </c>
      <c r="E2484" s="141"/>
      <c r="F2484" s="141"/>
      <c r="G2484" s="140"/>
    </row>
    <row r="2485" spans="2:7" hidden="1">
      <c r="B2485" s="140" t="s">
        <v>7007</v>
      </c>
      <c r="C2485" s="140" t="s">
        <v>7008</v>
      </c>
      <c r="D2485" s="140" t="s">
        <v>7009</v>
      </c>
      <c r="E2485" s="142" t="s">
        <v>7010</v>
      </c>
      <c r="F2485" s="142" t="s">
        <v>7011</v>
      </c>
      <c r="G2485" s="140"/>
    </row>
    <row r="2486" spans="2:7" hidden="1">
      <c r="B2486" s="141" t="s">
        <v>7012</v>
      </c>
      <c r="C2486" s="140"/>
      <c r="D2486" s="141" t="s">
        <v>5102</v>
      </c>
      <c r="E2486" s="140"/>
      <c r="F2486" s="140"/>
      <c r="G2486" s="140"/>
    </row>
    <row r="2487" spans="2:7" hidden="1">
      <c r="B2487" s="140" t="s">
        <v>7013</v>
      </c>
      <c r="C2487" s="140"/>
      <c r="D2487" s="140" t="s">
        <v>7014</v>
      </c>
      <c r="E2487" s="142"/>
      <c r="F2487" s="142"/>
      <c r="G2487" s="140"/>
    </row>
    <row r="2488" spans="2:7" hidden="1">
      <c r="B2488" s="141" t="s">
        <v>7015</v>
      </c>
      <c r="C2488" s="140"/>
      <c r="D2488" s="141" t="s">
        <v>7016</v>
      </c>
      <c r="E2488" s="140"/>
      <c r="F2488" s="140"/>
      <c r="G2488" s="140"/>
    </row>
    <row r="2489" spans="2:7" hidden="1">
      <c r="B2489" s="141" t="s">
        <v>7017</v>
      </c>
      <c r="C2489" s="141"/>
      <c r="D2489" s="141" t="s">
        <v>7018</v>
      </c>
      <c r="E2489" s="141"/>
      <c r="F2489" s="141"/>
      <c r="G2489" s="140"/>
    </row>
    <row r="2490" spans="2:7" hidden="1">
      <c r="B2490" s="141" t="s">
        <v>7019</v>
      </c>
      <c r="C2490" s="140"/>
      <c r="D2490" s="141" t="s">
        <v>7020</v>
      </c>
      <c r="E2490" s="140"/>
      <c r="F2490" s="140"/>
      <c r="G2490" s="140"/>
    </row>
    <row r="2491" spans="2:7" hidden="1">
      <c r="B2491" s="141" t="s">
        <v>7021</v>
      </c>
      <c r="C2491" s="140"/>
      <c r="D2491" s="141" t="s">
        <v>7022</v>
      </c>
      <c r="E2491" s="140"/>
      <c r="F2491" s="140"/>
      <c r="G2491" s="140"/>
    </row>
    <row r="2492" spans="2:7" hidden="1">
      <c r="B2492" s="140" t="s">
        <v>7023</v>
      </c>
      <c r="C2492" s="140"/>
      <c r="D2492" s="140" t="s">
        <v>7024</v>
      </c>
      <c r="E2492" s="140"/>
      <c r="F2492" s="140"/>
      <c r="G2492" s="140"/>
    </row>
    <row r="2493" spans="2:7" hidden="1">
      <c r="B2493" s="140" t="s">
        <v>7025</v>
      </c>
      <c r="C2493" s="140" t="s">
        <v>7026</v>
      </c>
      <c r="D2493" s="140" t="s">
        <v>7027</v>
      </c>
      <c r="E2493" s="142"/>
      <c r="F2493" s="142"/>
      <c r="G2493" s="140"/>
    </row>
    <row r="2494" spans="2:7" hidden="1">
      <c r="B2494" s="141" t="s">
        <v>7028</v>
      </c>
      <c r="C2494" s="140"/>
      <c r="D2494" s="141" t="s">
        <v>7029</v>
      </c>
      <c r="E2494" s="140"/>
      <c r="F2494" s="140"/>
      <c r="G2494" s="140"/>
    </row>
    <row r="2495" spans="2:7" hidden="1">
      <c r="B2495" s="141" t="s">
        <v>7030</v>
      </c>
      <c r="C2495" s="140"/>
      <c r="D2495" s="141" t="s">
        <v>2993</v>
      </c>
      <c r="E2495" s="140"/>
      <c r="F2495" s="140"/>
      <c r="G2495" s="140"/>
    </row>
    <row r="2496" spans="2:7" hidden="1">
      <c r="B2496" s="141" t="s">
        <v>7031</v>
      </c>
      <c r="C2496" s="140"/>
      <c r="D2496" s="141" t="s">
        <v>7032</v>
      </c>
      <c r="E2496" s="140"/>
      <c r="F2496" s="140"/>
      <c r="G2496" s="140"/>
    </row>
    <row r="2497" spans="2:7" hidden="1">
      <c r="B2497" s="141" t="s">
        <v>7033</v>
      </c>
      <c r="C2497" s="141"/>
      <c r="D2497" s="141" t="s">
        <v>7034</v>
      </c>
      <c r="E2497" s="141"/>
      <c r="F2497" s="140"/>
      <c r="G2497" s="140"/>
    </row>
    <row r="2498" spans="2:7" hidden="1">
      <c r="B2498" s="141" t="s">
        <v>7035</v>
      </c>
      <c r="C2498" s="140" t="s">
        <v>7036</v>
      </c>
      <c r="D2498" s="141" t="s">
        <v>7037</v>
      </c>
      <c r="E2498" s="140"/>
      <c r="F2498" s="140"/>
      <c r="G2498" s="140"/>
    </row>
    <row r="2499" spans="2:7" hidden="1">
      <c r="B2499" s="141" t="s">
        <v>7038</v>
      </c>
      <c r="C2499" s="140"/>
      <c r="D2499" s="141" t="s">
        <v>7039</v>
      </c>
      <c r="E2499" s="140"/>
      <c r="F2499" s="140"/>
      <c r="G2499" s="140"/>
    </row>
    <row r="2500" spans="2:7" hidden="1">
      <c r="B2500" s="141" t="s">
        <v>7040</v>
      </c>
      <c r="C2500" s="140"/>
      <c r="D2500" s="141" t="s">
        <v>7041</v>
      </c>
      <c r="E2500" s="140"/>
      <c r="F2500" s="140"/>
      <c r="G2500" s="140"/>
    </row>
    <row r="2501" spans="2:7" hidden="1">
      <c r="B2501" s="141" t="s">
        <v>7042</v>
      </c>
      <c r="C2501" s="140"/>
      <c r="D2501" s="141" t="s">
        <v>7043</v>
      </c>
      <c r="E2501" s="140"/>
      <c r="F2501" s="140"/>
      <c r="G2501" s="140"/>
    </row>
    <row r="2502" spans="2:7" hidden="1">
      <c r="B2502" s="141" t="s">
        <v>7062</v>
      </c>
      <c r="C2502" s="140"/>
      <c r="D2502" s="141" t="s">
        <v>7063</v>
      </c>
      <c r="E2502" s="140"/>
      <c r="F2502" s="140"/>
      <c r="G2502" s="140"/>
    </row>
    <row r="2503" spans="2:7" hidden="1">
      <c r="B2503" s="141" t="s">
        <v>7064</v>
      </c>
      <c r="C2503" s="140"/>
      <c r="D2503" s="141" t="s">
        <v>3289</v>
      </c>
      <c r="E2503" s="140"/>
      <c r="F2503" s="140"/>
      <c r="G2503" s="140"/>
    </row>
    <row r="2504" spans="2:7" hidden="1">
      <c r="B2504" s="141" t="s">
        <v>7065</v>
      </c>
      <c r="C2504" s="140"/>
      <c r="D2504" s="141" t="s">
        <v>7066</v>
      </c>
      <c r="E2504" s="140"/>
      <c r="F2504" s="140"/>
      <c r="G2504" s="140"/>
    </row>
    <row r="2505" spans="2:7" hidden="1">
      <c r="B2505" s="141" t="s">
        <v>7067</v>
      </c>
      <c r="C2505" s="140"/>
      <c r="D2505" s="141" t="s">
        <v>7068</v>
      </c>
      <c r="E2505" s="140"/>
      <c r="F2505" s="140"/>
      <c r="G2505" s="140"/>
    </row>
    <row r="2506" spans="2:7" hidden="1">
      <c r="B2506" s="141" t="s">
        <v>21639</v>
      </c>
      <c r="C2506" s="140"/>
      <c r="D2506" s="141" t="s">
        <v>1215</v>
      </c>
      <c r="E2506" s="140"/>
      <c r="F2506" s="140"/>
      <c r="G2506" s="140"/>
    </row>
    <row r="2507" spans="2:7" hidden="1">
      <c r="B2507" s="141" t="s">
        <v>21640</v>
      </c>
      <c r="C2507" s="140" t="s">
        <v>7044</v>
      </c>
      <c r="D2507" s="141" t="s">
        <v>7045</v>
      </c>
      <c r="E2507" s="140" t="s">
        <v>7046</v>
      </c>
      <c r="F2507" s="140"/>
      <c r="G2507" s="140"/>
    </row>
    <row r="2508" spans="2:7" hidden="1">
      <c r="B2508" s="141" t="s">
        <v>21641</v>
      </c>
      <c r="C2508" s="140" t="s">
        <v>7047</v>
      </c>
      <c r="D2508" s="141" t="s">
        <v>7048</v>
      </c>
      <c r="E2508" s="140" t="s">
        <v>7049</v>
      </c>
      <c r="F2508" s="140" t="s">
        <v>7050</v>
      </c>
      <c r="G2508" s="140"/>
    </row>
    <row r="2509" spans="2:7" hidden="1">
      <c r="B2509" s="141" t="s">
        <v>21642</v>
      </c>
      <c r="C2509" s="141" t="s">
        <v>7051</v>
      </c>
      <c r="D2509" s="141" t="s">
        <v>6947</v>
      </c>
      <c r="E2509" s="141"/>
      <c r="F2509" s="140"/>
      <c r="G2509" s="140"/>
    </row>
    <row r="2510" spans="2:7" hidden="1">
      <c r="B2510" s="141" t="s">
        <v>21643</v>
      </c>
      <c r="C2510" s="140" t="s">
        <v>7052</v>
      </c>
      <c r="D2510" s="141" t="s">
        <v>3938</v>
      </c>
      <c r="E2510" s="140"/>
      <c r="F2510" s="140"/>
      <c r="G2510" s="140"/>
    </row>
    <row r="2511" spans="2:7" hidden="1">
      <c r="B2511" s="141" t="s">
        <v>21644</v>
      </c>
      <c r="C2511" s="140"/>
      <c r="D2511" s="141" t="s">
        <v>6211</v>
      </c>
      <c r="E2511" s="140"/>
      <c r="F2511" s="140"/>
      <c r="G2511" s="140"/>
    </row>
    <row r="2512" spans="2:7" hidden="1">
      <c r="B2512" s="141" t="s">
        <v>21645</v>
      </c>
      <c r="C2512" s="140"/>
      <c r="D2512" s="141" t="s">
        <v>7053</v>
      </c>
      <c r="E2512" s="140"/>
      <c r="F2512" s="140"/>
      <c r="G2512" s="140"/>
    </row>
    <row r="2513" spans="2:7" hidden="1">
      <c r="B2513" s="140" t="s">
        <v>21646</v>
      </c>
      <c r="C2513" s="140"/>
      <c r="D2513" s="140" t="s">
        <v>7054</v>
      </c>
      <c r="E2513" s="142"/>
      <c r="F2513" s="142"/>
      <c r="G2513" s="140"/>
    </row>
    <row r="2514" spans="2:7" hidden="1">
      <c r="B2514" s="141" t="s">
        <v>21647</v>
      </c>
      <c r="C2514" s="141"/>
      <c r="D2514" s="141" t="s">
        <v>1533</v>
      </c>
      <c r="E2514" s="141"/>
      <c r="F2514" s="141"/>
      <c r="G2514" s="140"/>
    </row>
    <row r="2515" spans="2:7" hidden="1">
      <c r="B2515" s="141" t="s">
        <v>21648</v>
      </c>
      <c r="C2515" s="141"/>
      <c r="D2515" s="141" t="s">
        <v>7055</v>
      </c>
      <c r="E2515" s="141"/>
      <c r="F2515" s="141"/>
      <c r="G2515" s="140"/>
    </row>
    <row r="2516" spans="2:7" hidden="1">
      <c r="B2516" s="141" t="s">
        <v>21649</v>
      </c>
      <c r="C2516" s="141" t="s">
        <v>7056</v>
      </c>
      <c r="D2516" s="141" t="s">
        <v>7057</v>
      </c>
      <c r="E2516" s="141" t="s">
        <v>7058</v>
      </c>
      <c r="F2516" s="141" t="s">
        <v>7059</v>
      </c>
      <c r="G2516" s="140"/>
    </row>
    <row r="2517" spans="2:7" hidden="1">
      <c r="B2517" s="140" t="s">
        <v>21650</v>
      </c>
      <c r="C2517" s="140" t="s">
        <v>7060</v>
      </c>
      <c r="D2517" s="140" t="s">
        <v>7057</v>
      </c>
      <c r="E2517" s="142" t="s">
        <v>7061</v>
      </c>
      <c r="F2517" s="142" t="s">
        <v>7059</v>
      </c>
      <c r="G2517" s="140"/>
    </row>
    <row r="2518" spans="2:7" hidden="1">
      <c r="B2518" s="141" t="s">
        <v>7069</v>
      </c>
      <c r="C2518" s="140"/>
      <c r="D2518" s="141" t="s">
        <v>7070</v>
      </c>
      <c r="E2518" s="140"/>
      <c r="F2518" s="140"/>
      <c r="G2518" s="140"/>
    </row>
    <row r="2519" spans="2:7" hidden="1">
      <c r="B2519" s="141" t="s">
        <v>7071</v>
      </c>
      <c r="C2519" s="140"/>
      <c r="D2519" s="141" t="s">
        <v>7072</v>
      </c>
      <c r="E2519" s="140"/>
      <c r="F2519" s="140"/>
      <c r="G2519" s="140"/>
    </row>
    <row r="2520" spans="2:7" hidden="1">
      <c r="B2520" s="141" t="s">
        <v>7073</v>
      </c>
      <c r="C2520" s="140"/>
      <c r="D2520" s="141" t="s">
        <v>7074</v>
      </c>
      <c r="E2520" s="140"/>
      <c r="F2520" s="140"/>
      <c r="G2520" s="140"/>
    </row>
    <row r="2521" spans="2:7" hidden="1">
      <c r="B2521" s="141" t="s">
        <v>7075</v>
      </c>
      <c r="C2521" s="140"/>
      <c r="D2521" s="141" t="s">
        <v>7076</v>
      </c>
      <c r="E2521" s="140"/>
      <c r="F2521" s="140"/>
      <c r="G2521" s="140"/>
    </row>
    <row r="2522" spans="2:7" hidden="1">
      <c r="B2522" s="141" t="s">
        <v>7077</v>
      </c>
      <c r="C2522" s="140"/>
      <c r="D2522" s="141" t="s">
        <v>7078</v>
      </c>
      <c r="E2522" s="140"/>
      <c r="F2522" s="140"/>
      <c r="G2522" s="140"/>
    </row>
    <row r="2523" spans="2:7" hidden="1">
      <c r="B2523" s="141" t="s">
        <v>7079</v>
      </c>
      <c r="C2523" s="140"/>
      <c r="D2523" s="141" t="s">
        <v>7080</v>
      </c>
      <c r="E2523" s="140"/>
      <c r="F2523" s="140"/>
      <c r="G2523" s="140"/>
    </row>
    <row r="2524" spans="2:7" hidden="1">
      <c r="B2524" s="141" t="s">
        <v>7081</v>
      </c>
      <c r="C2524" s="140"/>
      <c r="D2524" s="141" t="s">
        <v>7082</v>
      </c>
      <c r="E2524" s="140"/>
      <c r="F2524" s="140"/>
      <c r="G2524" s="140"/>
    </row>
    <row r="2525" spans="2:7" hidden="1">
      <c r="B2525" s="141" t="s">
        <v>7083</v>
      </c>
      <c r="C2525" s="140" t="s">
        <v>7084</v>
      </c>
      <c r="D2525" s="141" t="s">
        <v>7085</v>
      </c>
      <c r="E2525" s="140" t="s">
        <v>7086</v>
      </c>
      <c r="F2525" s="140" t="s">
        <v>7087</v>
      </c>
      <c r="G2525" s="140"/>
    </row>
    <row r="2526" spans="2:7" hidden="1">
      <c r="B2526" s="141" t="s">
        <v>7088</v>
      </c>
      <c r="C2526" s="141"/>
      <c r="D2526" s="141" t="s">
        <v>7089</v>
      </c>
      <c r="E2526" s="141"/>
      <c r="F2526" s="141"/>
      <c r="G2526" s="140"/>
    </row>
    <row r="2527" spans="2:7" hidden="1">
      <c r="B2527" s="141" t="s">
        <v>7090</v>
      </c>
      <c r="C2527" s="140"/>
      <c r="D2527" s="141" t="s">
        <v>7091</v>
      </c>
      <c r="E2527" s="140"/>
      <c r="F2527" s="140"/>
      <c r="G2527" s="140"/>
    </row>
    <row r="2528" spans="2:7" hidden="1">
      <c r="B2528" s="141" t="s">
        <v>7092</v>
      </c>
      <c r="C2528" s="141"/>
      <c r="D2528" s="141" t="s">
        <v>7093</v>
      </c>
      <c r="E2528" s="141"/>
      <c r="F2528" s="140"/>
      <c r="G2528" s="140"/>
    </row>
    <row r="2529" spans="2:7" hidden="1">
      <c r="B2529" s="141" t="s">
        <v>7094</v>
      </c>
      <c r="C2529" s="140"/>
      <c r="D2529" s="141" t="s">
        <v>7095</v>
      </c>
      <c r="E2529" s="140"/>
      <c r="F2529" s="140"/>
      <c r="G2529" s="140"/>
    </row>
    <row r="2530" spans="2:7" hidden="1">
      <c r="B2530" s="141" t="s">
        <v>7096</v>
      </c>
      <c r="C2530" s="140" t="s">
        <v>7097</v>
      </c>
      <c r="D2530" s="141" t="s">
        <v>7098</v>
      </c>
      <c r="E2530" s="140" t="s">
        <v>7099</v>
      </c>
      <c r="F2530" s="140"/>
      <c r="G2530" s="140"/>
    </row>
    <row r="2531" spans="2:7" hidden="1">
      <c r="B2531" s="141" t="s">
        <v>7100</v>
      </c>
      <c r="C2531" s="141"/>
      <c r="D2531" s="141" t="s">
        <v>7101</v>
      </c>
      <c r="E2531" s="141"/>
      <c r="F2531" s="140"/>
      <c r="G2531" s="140"/>
    </row>
    <row r="2532" spans="2:7" hidden="1">
      <c r="B2532" s="141" t="s">
        <v>7102</v>
      </c>
      <c r="C2532" s="140"/>
      <c r="D2532" s="141" t="s">
        <v>7103</v>
      </c>
      <c r="E2532" s="140"/>
      <c r="F2532" s="140"/>
      <c r="G2532" s="140"/>
    </row>
    <row r="2533" spans="2:7" hidden="1">
      <c r="B2533" s="141" t="s">
        <v>7104</v>
      </c>
      <c r="C2533" s="140"/>
      <c r="D2533" s="141" t="s">
        <v>7105</v>
      </c>
      <c r="E2533" s="140"/>
      <c r="F2533" s="140"/>
      <c r="G2533" s="140"/>
    </row>
    <row r="2534" spans="2:7" hidden="1">
      <c r="B2534" s="141" t="s">
        <v>7106</v>
      </c>
      <c r="C2534" s="141" t="s">
        <v>7107</v>
      </c>
      <c r="D2534" s="141" t="s">
        <v>7108</v>
      </c>
      <c r="E2534" s="141"/>
      <c r="F2534" s="140"/>
      <c r="G2534" s="140"/>
    </row>
    <row r="2535" spans="2:7" hidden="1">
      <c r="B2535" s="141" t="s">
        <v>7109</v>
      </c>
      <c r="C2535" s="140"/>
      <c r="D2535" s="141" t="s">
        <v>3917</v>
      </c>
      <c r="E2535" s="140"/>
      <c r="F2535" s="140"/>
      <c r="G2535" s="140"/>
    </row>
    <row r="2536" spans="2:7" hidden="1">
      <c r="B2536" s="141" t="s">
        <v>7110</v>
      </c>
      <c r="C2536" s="140"/>
      <c r="D2536" s="141" t="s">
        <v>7111</v>
      </c>
      <c r="E2536" s="140"/>
      <c r="F2536" s="140"/>
      <c r="G2536" s="140"/>
    </row>
    <row r="2537" spans="2:7" hidden="1">
      <c r="B2537" s="141" t="s">
        <v>7112</v>
      </c>
      <c r="C2537" s="140" t="s">
        <v>7113</v>
      </c>
      <c r="D2537" s="141" t="s">
        <v>7114</v>
      </c>
      <c r="E2537" s="140">
        <v>3863289219</v>
      </c>
      <c r="F2537" s="140">
        <v>3863286366</v>
      </c>
      <c r="G2537" s="140"/>
    </row>
    <row r="2538" spans="2:7" hidden="1">
      <c r="B2538" s="141" t="s">
        <v>21651</v>
      </c>
      <c r="C2538" s="140" t="s">
        <v>7115</v>
      </c>
      <c r="D2538" s="141" t="s">
        <v>6211</v>
      </c>
      <c r="E2538" s="140" t="s">
        <v>7116</v>
      </c>
      <c r="F2538" s="140" t="s">
        <v>7117</v>
      </c>
      <c r="G2538" s="140"/>
    </row>
    <row r="2539" spans="2:7" hidden="1">
      <c r="B2539" s="141" t="s">
        <v>7118</v>
      </c>
      <c r="C2539" s="140" t="s">
        <v>7119</v>
      </c>
      <c r="D2539" s="141" t="s">
        <v>7120</v>
      </c>
      <c r="E2539" s="140" t="s">
        <v>7121</v>
      </c>
      <c r="F2539" s="140" t="s">
        <v>7122</v>
      </c>
      <c r="G2539" s="140"/>
    </row>
    <row r="2540" spans="2:7" hidden="1">
      <c r="B2540" s="141" t="s">
        <v>7123</v>
      </c>
      <c r="C2540" s="140" t="s">
        <v>7124</v>
      </c>
      <c r="D2540" s="141" t="s">
        <v>7125</v>
      </c>
      <c r="E2540" s="140" t="s">
        <v>7126</v>
      </c>
      <c r="F2540" s="140" t="s">
        <v>7127</v>
      </c>
      <c r="G2540" s="140"/>
    </row>
    <row r="2541" spans="2:7" hidden="1">
      <c r="B2541" s="141" t="s">
        <v>7128</v>
      </c>
      <c r="C2541" s="140" t="s">
        <v>7129</v>
      </c>
      <c r="D2541" s="141" t="s">
        <v>7130</v>
      </c>
      <c r="E2541" s="140" t="s">
        <v>7131</v>
      </c>
      <c r="F2541" s="140"/>
      <c r="G2541" s="140"/>
    </row>
    <row r="2542" spans="2:7" hidden="1">
      <c r="B2542" s="140" t="s">
        <v>7132</v>
      </c>
      <c r="C2542" s="140" t="s">
        <v>7133</v>
      </c>
      <c r="D2542" s="140" t="s">
        <v>3623</v>
      </c>
      <c r="E2542" s="140" t="s">
        <v>7134</v>
      </c>
      <c r="F2542" s="140"/>
      <c r="G2542" s="140"/>
    </row>
    <row r="2543" spans="2:7" hidden="1">
      <c r="B2543" s="141" t="s">
        <v>7135</v>
      </c>
      <c r="C2543" s="141"/>
      <c r="D2543" s="141" t="s">
        <v>7136</v>
      </c>
      <c r="E2543" s="141"/>
      <c r="F2543" s="140"/>
      <c r="G2543" s="140"/>
    </row>
    <row r="2544" spans="2:7" hidden="1">
      <c r="B2544" s="141" t="s">
        <v>7137</v>
      </c>
      <c r="C2544" s="140"/>
      <c r="D2544" s="141" t="s">
        <v>2251</v>
      </c>
      <c r="E2544" s="140"/>
      <c r="F2544" s="140"/>
      <c r="G2544" s="140"/>
    </row>
    <row r="2545" spans="2:7" hidden="1">
      <c r="B2545" s="141" t="s">
        <v>7138</v>
      </c>
      <c r="C2545" s="141" t="s">
        <v>7139</v>
      </c>
      <c r="D2545" s="141" t="s">
        <v>7140</v>
      </c>
      <c r="E2545" s="141" t="s">
        <v>7141</v>
      </c>
      <c r="F2545" s="141" t="s">
        <v>7142</v>
      </c>
      <c r="G2545" s="140"/>
    </row>
    <row r="2546" spans="2:7" hidden="1">
      <c r="B2546" s="141" t="s">
        <v>7143</v>
      </c>
      <c r="C2546" s="140" t="s">
        <v>7144</v>
      </c>
      <c r="D2546" s="141" t="s">
        <v>7145</v>
      </c>
      <c r="E2546" s="140" t="s">
        <v>7146</v>
      </c>
      <c r="F2546" s="140"/>
      <c r="G2546" s="140"/>
    </row>
    <row r="2547" spans="2:7" hidden="1">
      <c r="B2547" s="141" t="s">
        <v>7147</v>
      </c>
      <c r="C2547" s="141" t="s">
        <v>7148</v>
      </c>
      <c r="D2547" s="141" t="s">
        <v>7149</v>
      </c>
      <c r="E2547" s="141" t="s">
        <v>7150</v>
      </c>
      <c r="F2547" s="140"/>
      <c r="G2547" s="140"/>
    </row>
    <row r="2548" spans="2:7" hidden="1">
      <c r="B2548" s="141" t="s">
        <v>7151</v>
      </c>
      <c r="C2548" s="140"/>
      <c r="D2548" s="141" t="s">
        <v>7152</v>
      </c>
      <c r="E2548" s="140"/>
      <c r="F2548" s="140"/>
      <c r="G2548" s="140"/>
    </row>
    <row r="2549" spans="2:7" hidden="1">
      <c r="B2549" s="140" t="s">
        <v>7153</v>
      </c>
      <c r="C2549" s="140"/>
      <c r="D2549" s="140" t="s">
        <v>7154</v>
      </c>
      <c r="E2549" s="142"/>
      <c r="F2549" s="142"/>
      <c r="G2549" s="140"/>
    </row>
    <row r="2550" spans="2:7" hidden="1">
      <c r="B2550" s="141" t="s">
        <v>7155</v>
      </c>
      <c r="C2550" s="140" t="s">
        <v>7156</v>
      </c>
      <c r="D2550" s="141" t="s">
        <v>4695</v>
      </c>
      <c r="E2550" s="140" t="s">
        <v>7157</v>
      </c>
      <c r="F2550" s="140" t="s">
        <v>7158</v>
      </c>
      <c r="G2550" s="140"/>
    </row>
    <row r="2551" spans="2:7" hidden="1">
      <c r="B2551" s="141" t="s">
        <v>7159</v>
      </c>
      <c r="C2551" s="141"/>
      <c r="D2551" s="141" t="s">
        <v>7160</v>
      </c>
      <c r="E2551" s="141"/>
      <c r="F2551" s="141"/>
      <c r="G2551" s="140"/>
    </row>
    <row r="2552" spans="2:7" hidden="1">
      <c r="B2552" s="141" t="s">
        <v>7161</v>
      </c>
      <c r="C2552" s="141" t="s">
        <v>7162</v>
      </c>
      <c r="D2552" s="141" t="s">
        <v>7163</v>
      </c>
      <c r="E2552" s="141"/>
      <c r="F2552" s="140"/>
      <c r="G2552" s="140" t="s">
        <v>7164</v>
      </c>
    </row>
    <row r="2553" spans="2:7" hidden="1">
      <c r="B2553" s="141" t="s">
        <v>7165</v>
      </c>
      <c r="C2553" s="140"/>
      <c r="D2553" s="141" t="s">
        <v>7166</v>
      </c>
      <c r="E2553" s="140"/>
      <c r="F2553" s="140"/>
      <c r="G2553" s="140"/>
    </row>
    <row r="2554" spans="2:7" hidden="1">
      <c r="B2554" s="141" t="s">
        <v>7167</v>
      </c>
      <c r="C2554" s="140"/>
      <c r="D2554" s="141" t="s">
        <v>7168</v>
      </c>
      <c r="E2554" s="140"/>
      <c r="F2554" s="140"/>
      <c r="G2554" s="140"/>
    </row>
    <row r="2555" spans="2:7" hidden="1">
      <c r="B2555" s="141" t="s">
        <v>7169</v>
      </c>
      <c r="C2555" s="140" t="s">
        <v>7170</v>
      </c>
      <c r="D2555" s="141" t="s">
        <v>965</v>
      </c>
      <c r="E2555" s="140" t="s">
        <v>7171</v>
      </c>
      <c r="F2555" s="140" t="s">
        <v>7172</v>
      </c>
      <c r="G2555" s="140"/>
    </row>
    <row r="2556" spans="2:7" hidden="1">
      <c r="B2556" s="141" t="s">
        <v>7173</v>
      </c>
      <c r="C2556" s="140"/>
      <c r="D2556" s="141" t="s">
        <v>7174</v>
      </c>
      <c r="E2556" s="140"/>
      <c r="F2556" s="140"/>
      <c r="G2556" s="140"/>
    </row>
    <row r="2557" spans="2:7" hidden="1">
      <c r="B2557" s="141" t="s">
        <v>7175</v>
      </c>
      <c r="C2557" s="140"/>
      <c r="D2557" s="141" t="s">
        <v>7176</v>
      </c>
      <c r="E2557" s="140"/>
      <c r="F2557" s="140"/>
      <c r="G2557" s="140"/>
    </row>
    <row r="2558" spans="2:7" hidden="1">
      <c r="B2558" s="141" t="s">
        <v>7177</v>
      </c>
      <c r="C2558" s="141"/>
      <c r="D2558" s="141" t="s">
        <v>7178</v>
      </c>
      <c r="E2558" s="140"/>
      <c r="F2558" s="140"/>
      <c r="G2558" s="140"/>
    </row>
    <row r="2559" spans="2:7" hidden="1">
      <c r="B2559" s="141" t="s">
        <v>7179</v>
      </c>
      <c r="C2559" s="140" t="s">
        <v>7180</v>
      </c>
      <c r="D2559" s="141" t="s">
        <v>7181</v>
      </c>
      <c r="E2559" s="140"/>
      <c r="F2559" s="140"/>
      <c r="G2559" s="140"/>
    </row>
    <row r="2560" spans="2:7" hidden="1">
      <c r="B2560" s="141" t="s">
        <v>7182</v>
      </c>
      <c r="C2560" s="140"/>
      <c r="D2560" s="141" t="s">
        <v>5391</v>
      </c>
      <c r="E2560" s="140"/>
      <c r="F2560" s="140"/>
      <c r="G2560" s="140"/>
    </row>
    <row r="2561" spans="2:7" hidden="1">
      <c r="B2561" s="141" t="s">
        <v>7183</v>
      </c>
      <c r="C2561" s="140"/>
      <c r="D2561" s="141" t="s">
        <v>3674</v>
      </c>
      <c r="E2561" s="140"/>
      <c r="F2561" s="140"/>
      <c r="G2561" s="140"/>
    </row>
    <row r="2562" spans="2:7" hidden="1">
      <c r="B2562" s="141" t="s">
        <v>7184</v>
      </c>
      <c r="C2562" s="140"/>
      <c r="D2562" s="141" t="s">
        <v>7185</v>
      </c>
      <c r="E2562" s="140"/>
      <c r="F2562" s="140"/>
      <c r="G2562" s="140"/>
    </row>
    <row r="2563" spans="2:7" hidden="1">
      <c r="B2563" s="141" t="s">
        <v>7186</v>
      </c>
      <c r="C2563" s="140"/>
      <c r="D2563" s="141" t="s">
        <v>7187</v>
      </c>
      <c r="E2563" s="140"/>
      <c r="F2563" s="140"/>
      <c r="G2563" s="140"/>
    </row>
    <row r="2564" spans="2:7" hidden="1">
      <c r="B2564" s="141" t="s">
        <v>7188</v>
      </c>
      <c r="C2564" s="140" t="s">
        <v>7189</v>
      </c>
      <c r="D2564" s="141" t="s">
        <v>7190</v>
      </c>
      <c r="E2564" s="140" t="s">
        <v>7191</v>
      </c>
      <c r="F2564" s="140" t="s">
        <v>7192</v>
      </c>
      <c r="G2564" s="140"/>
    </row>
    <row r="2565" spans="2:7" hidden="1">
      <c r="B2565" s="141" t="s">
        <v>7193</v>
      </c>
      <c r="C2565" s="140" t="s">
        <v>7194</v>
      </c>
      <c r="D2565" s="141" t="s">
        <v>7195</v>
      </c>
      <c r="E2565" s="140" t="s">
        <v>7196</v>
      </c>
      <c r="F2565" s="140" t="s">
        <v>7197</v>
      </c>
      <c r="G2565" s="140"/>
    </row>
    <row r="2566" spans="2:7" hidden="1">
      <c r="B2566" s="141" t="s">
        <v>7198</v>
      </c>
      <c r="C2566" s="140"/>
      <c r="D2566" s="141" t="s">
        <v>7199</v>
      </c>
      <c r="E2566" s="140"/>
      <c r="F2566" s="140"/>
      <c r="G2566" s="140"/>
    </row>
    <row r="2567" spans="2:7" hidden="1">
      <c r="B2567" s="141" t="s">
        <v>7200</v>
      </c>
      <c r="C2567" s="140"/>
      <c r="D2567" s="141" t="s">
        <v>7201</v>
      </c>
      <c r="E2567" s="140"/>
      <c r="F2567" s="140"/>
      <c r="G2567" s="140"/>
    </row>
    <row r="2568" spans="2:7" hidden="1">
      <c r="B2568" s="141" t="s">
        <v>7202</v>
      </c>
      <c r="C2568" s="140" t="s">
        <v>7203</v>
      </c>
      <c r="D2568" s="141" t="s">
        <v>7204</v>
      </c>
      <c r="E2568" s="140" t="s">
        <v>7205</v>
      </c>
      <c r="F2568" s="140"/>
      <c r="G2568" s="140"/>
    </row>
    <row r="2569" spans="2:7" hidden="1">
      <c r="B2569" s="140" t="s">
        <v>7206</v>
      </c>
      <c r="C2569" s="140"/>
      <c r="D2569" s="140" t="s">
        <v>7207</v>
      </c>
      <c r="E2569" s="142"/>
      <c r="F2569" s="142"/>
      <c r="G2569" s="140"/>
    </row>
    <row r="2570" spans="2:7" hidden="1">
      <c r="B2570" s="141" t="s">
        <v>7208</v>
      </c>
      <c r="C2570" s="140"/>
      <c r="D2570" s="141" t="s">
        <v>6230</v>
      </c>
      <c r="E2570" s="140"/>
      <c r="F2570" s="140"/>
      <c r="G2570" s="140"/>
    </row>
    <row r="2571" spans="2:7" hidden="1">
      <c r="B2571" s="141" t="s">
        <v>7209</v>
      </c>
      <c r="C2571" s="140" t="s">
        <v>7210</v>
      </c>
      <c r="D2571" s="141" t="s">
        <v>7211</v>
      </c>
      <c r="E2571" s="140" t="s">
        <v>7212</v>
      </c>
      <c r="F2571" s="140" t="s">
        <v>7213</v>
      </c>
      <c r="G2571" s="140"/>
    </row>
    <row r="2572" spans="2:7" hidden="1">
      <c r="B2572" s="140" t="s">
        <v>7214</v>
      </c>
      <c r="C2572" s="140"/>
      <c r="D2572" s="140" t="s">
        <v>7215</v>
      </c>
      <c r="E2572" s="142"/>
      <c r="F2572" s="142"/>
      <c r="G2572" s="140"/>
    </row>
    <row r="2573" spans="2:7" hidden="1">
      <c r="B2573" s="141" t="s">
        <v>7216</v>
      </c>
      <c r="C2573" s="140"/>
      <c r="D2573" s="141" t="s">
        <v>7217</v>
      </c>
      <c r="E2573" s="140"/>
      <c r="F2573" s="140"/>
      <c r="G2573" s="140"/>
    </row>
    <row r="2574" spans="2:7" hidden="1">
      <c r="B2574" s="140" t="s">
        <v>7218</v>
      </c>
      <c r="C2574" s="140"/>
      <c r="D2574" s="140" t="s">
        <v>3819</v>
      </c>
      <c r="E2574" s="140"/>
      <c r="F2574" s="140"/>
      <c r="G2574" s="140"/>
    </row>
    <row r="2575" spans="2:7" hidden="1">
      <c r="B2575" s="140" t="s">
        <v>7219</v>
      </c>
      <c r="C2575" s="140"/>
      <c r="D2575" s="140" t="s">
        <v>5421</v>
      </c>
      <c r="E2575" s="140"/>
      <c r="F2575" s="140"/>
      <c r="G2575" s="140"/>
    </row>
    <row r="2576" spans="2:7" hidden="1">
      <c r="B2576" s="141" t="s">
        <v>7220</v>
      </c>
      <c r="C2576" s="140"/>
      <c r="D2576" s="141" t="s">
        <v>7221</v>
      </c>
      <c r="E2576" s="140"/>
      <c r="F2576" s="140"/>
      <c r="G2576" s="140"/>
    </row>
    <row r="2577" spans="2:7" hidden="1">
      <c r="B2577" s="141" t="s">
        <v>7222</v>
      </c>
      <c r="C2577" s="140" t="s">
        <v>7223</v>
      </c>
      <c r="D2577" s="141" t="s">
        <v>7224</v>
      </c>
      <c r="E2577" s="140"/>
      <c r="F2577" s="140"/>
      <c r="G2577" s="140"/>
    </row>
    <row r="2578" spans="2:7" hidden="1">
      <c r="B2578" s="140" t="s">
        <v>7225</v>
      </c>
      <c r="C2578" s="140"/>
      <c r="D2578" s="140" t="s">
        <v>7226</v>
      </c>
      <c r="E2578" s="140"/>
      <c r="F2578" s="140"/>
      <c r="G2578" s="140"/>
    </row>
    <row r="2579" spans="2:7" hidden="1">
      <c r="B2579" s="140" t="s">
        <v>7227</v>
      </c>
      <c r="C2579" s="140"/>
      <c r="D2579" s="140" t="s">
        <v>7228</v>
      </c>
      <c r="E2579" s="142"/>
      <c r="F2579" s="142"/>
      <c r="G2579" s="140"/>
    </row>
    <row r="2580" spans="2:7" hidden="1">
      <c r="B2580" s="141" t="s">
        <v>7229</v>
      </c>
      <c r="C2580" s="140"/>
      <c r="D2580" s="141" t="s">
        <v>7230</v>
      </c>
      <c r="E2580" s="140"/>
      <c r="F2580" s="140"/>
      <c r="G2580" s="140"/>
    </row>
    <row r="2581" spans="2:7" hidden="1">
      <c r="B2581" s="141" t="s">
        <v>7231</v>
      </c>
      <c r="C2581" s="140"/>
      <c r="D2581" s="141" t="s">
        <v>7232</v>
      </c>
      <c r="E2581" s="140"/>
      <c r="F2581" s="140"/>
      <c r="G2581" s="140"/>
    </row>
    <row r="2582" spans="2:7" hidden="1">
      <c r="B2582" s="141" t="s">
        <v>7233</v>
      </c>
      <c r="C2582" s="140"/>
      <c r="D2582" s="141" t="s">
        <v>1276</v>
      </c>
      <c r="E2582" s="140"/>
      <c r="F2582" s="140"/>
      <c r="G2582" s="140"/>
    </row>
    <row r="2583" spans="2:7" hidden="1">
      <c r="B2583" s="141" t="s">
        <v>7234</v>
      </c>
      <c r="C2583" s="141"/>
      <c r="D2583" s="141" t="s">
        <v>7235</v>
      </c>
      <c r="E2583" s="141"/>
      <c r="F2583" s="140"/>
      <c r="G2583" s="140"/>
    </row>
    <row r="2584" spans="2:7" hidden="1">
      <c r="B2584" s="140" t="s">
        <v>20505</v>
      </c>
      <c r="C2584" s="140" t="s">
        <v>20504</v>
      </c>
      <c r="D2584" s="140" t="s">
        <v>1701</v>
      </c>
      <c r="E2584" s="142"/>
      <c r="F2584" s="142"/>
      <c r="G2584" s="140" t="s">
        <v>20506</v>
      </c>
    </row>
    <row r="2585" spans="2:7" hidden="1">
      <c r="B2585" s="141" t="s">
        <v>21652</v>
      </c>
      <c r="C2585" s="140"/>
      <c r="D2585" s="141" t="s">
        <v>985</v>
      </c>
      <c r="E2585" s="140"/>
      <c r="F2585" s="140"/>
      <c r="G2585" s="140"/>
    </row>
    <row r="2586" spans="2:7" hidden="1">
      <c r="B2586" s="141" t="s">
        <v>7236</v>
      </c>
      <c r="C2586" s="140"/>
      <c r="D2586" s="141" t="s">
        <v>7237</v>
      </c>
      <c r="E2586" s="140"/>
      <c r="F2586" s="140"/>
      <c r="G2586" s="140"/>
    </row>
    <row r="2587" spans="2:7" hidden="1">
      <c r="B2587" s="141" t="s">
        <v>21653</v>
      </c>
      <c r="C2587" s="140" t="s">
        <v>7238</v>
      </c>
      <c r="D2587" s="141" t="s">
        <v>7239</v>
      </c>
      <c r="E2587" s="140" t="s">
        <v>7240</v>
      </c>
      <c r="F2587" s="140"/>
      <c r="G2587" s="140"/>
    </row>
    <row r="2588" spans="2:7" hidden="1">
      <c r="B2588" s="141" t="s">
        <v>7241</v>
      </c>
      <c r="C2588" s="140" t="s">
        <v>7242</v>
      </c>
      <c r="D2588" s="141" t="s">
        <v>7243</v>
      </c>
      <c r="E2588" s="140" t="s">
        <v>7244</v>
      </c>
      <c r="F2588" s="140" t="s">
        <v>7245</v>
      </c>
      <c r="G2588" s="140"/>
    </row>
    <row r="2589" spans="2:7" hidden="1">
      <c r="B2589" s="141" t="s">
        <v>7246</v>
      </c>
      <c r="C2589" s="141" t="s">
        <v>7247</v>
      </c>
      <c r="D2589" s="141" t="s">
        <v>7248</v>
      </c>
      <c r="E2589" s="141"/>
      <c r="F2589" s="141"/>
      <c r="G2589" s="140"/>
    </row>
    <row r="2590" spans="2:7" hidden="1">
      <c r="B2590" s="140" t="s">
        <v>7249</v>
      </c>
      <c r="C2590" s="140" t="s">
        <v>7250</v>
      </c>
      <c r="D2590" s="140" t="s">
        <v>7251</v>
      </c>
      <c r="E2590" s="142"/>
      <c r="F2590" s="142"/>
      <c r="G2590" s="140" t="s">
        <v>7252</v>
      </c>
    </row>
    <row r="2591" spans="2:7" hidden="1">
      <c r="B2591" s="141" t="s">
        <v>7253</v>
      </c>
      <c r="C2591" s="141" t="s">
        <v>7254</v>
      </c>
      <c r="D2591" s="141" t="s">
        <v>7255</v>
      </c>
      <c r="E2591" s="141"/>
      <c r="F2591" s="141"/>
      <c r="G2591" s="140"/>
    </row>
    <row r="2592" spans="2:7" hidden="1">
      <c r="B2592" s="141" t="s">
        <v>7256</v>
      </c>
      <c r="C2592" s="140" t="s">
        <v>7257</v>
      </c>
      <c r="D2592" s="141" t="s">
        <v>7258</v>
      </c>
      <c r="E2592" s="140"/>
      <c r="F2592" s="140"/>
      <c r="G2592" s="140"/>
    </row>
    <row r="2593" spans="2:7" hidden="1">
      <c r="B2593" s="141" t="s">
        <v>7259</v>
      </c>
      <c r="C2593" s="141"/>
      <c r="D2593" s="141" t="s">
        <v>4668</v>
      </c>
      <c r="E2593" s="141"/>
      <c r="F2593" s="140"/>
      <c r="G2593" s="140"/>
    </row>
    <row r="2594" spans="2:7" hidden="1">
      <c r="B2594" s="141" t="s">
        <v>7260</v>
      </c>
      <c r="C2594" s="140" t="s">
        <v>7261</v>
      </c>
      <c r="D2594" s="141" t="s">
        <v>7262</v>
      </c>
      <c r="E2594" s="140" t="s">
        <v>7263</v>
      </c>
      <c r="F2594" s="140"/>
      <c r="G2594" s="140"/>
    </row>
    <row r="2595" spans="2:7" hidden="1">
      <c r="B2595" s="141" t="s">
        <v>7264</v>
      </c>
      <c r="C2595" s="141" t="s">
        <v>7265</v>
      </c>
      <c r="D2595" s="141" t="s">
        <v>7266</v>
      </c>
      <c r="E2595" s="141"/>
      <c r="F2595" s="141"/>
      <c r="G2595" s="140"/>
    </row>
    <row r="2596" spans="2:7" hidden="1">
      <c r="B2596" s="141" t="s">
        <v>7267</v>
      </c>
      <c r="C2596" s="140" t="s">
        <v>7268</v>
      </c>
      <c r="D2596" s="140" t="s">
        <v>7269</v>
      </c>
      <c r="E2596" s="140"/>
      <c r="F2596" s="140"/>
      <c r="G2596" s="140"/>
    </row>
    <row r="2597" spans="2:7" hidden="1">
      <c r="B2597" s="141" t="s">
        <v>7270</v>
      </c>
      <c r="C2597" s="140" t="s">
        <v>7271</v>
      </c>
      <c r="D2597" s="141" t="s">
        <v>2251</v>
      </c>
      <c r="E2597" s="140"/>
      <c r="F2597" s="140"/>
      <c r="G2597" s="140"/>
    </row>
    <row r="2598" spans="2:7" hidden="1">
      <c r="B2598" s="141" t="s">
        <v>7272</v>
      </c>
      <c r="C2598" s="141" t="s">
        <v>7273</v>
      </c>
      <c r="D2598" s="141" t="s">
        <v>7274</v>
      </c>
      <c r="E2598" s="141"/>
      <c r="F2598" s="141"/>
      <c r="G2598" s="140" t="s">
        <v>7275</v>
      </c>
    </row>
    <row r="2599" spans="2:7" hidden="1">
      <c r="B2599" s="141" t="s">
        <v>7276</v>
      </c>
      <c r="C2599" s="140" t="s">
        <v>7277</v>
      </c>
      <c r="D2599" s="141" t="s">
        <v>7278</v>
      </c>
      <c r="E2599" s="140" t="s">
        <v>7279</v>
      </c>
      <c r="F2599" s="140"/>
      <c r="G2599" s="140"/>
    </row>
    <row r="2600" spans="2:7" hidden="1">
      <c r="B2600" s="140" t="s">
        <v>7280</v>
      </c>
      <c r="C2600" s="140"/>
      <c r="D2600" s="140" t="s">
        <v>7281</v>
      </c>
      <c r="E2600" s="142"/>
      <c r="F2600" s="142"/>
      <c r="G2600" s="140"/>
    </row>
    <row r="2601" spans="2:7" hidden="1">
      <c r="B2601" s="141" t="s">
        <v>7282</v>
      </c>
      <c r="C2601" s="141" t="s">
        <v>7283</v>
      </c>
      <c r="D2601" s="141" t="s">
        <v>2431</v>
      </c>
      <c r="E2601" s="141"/>
      <c r="F2601" s="140"/>
      <c r="G2601" s="140"/>
    </row>
    <row r="2602" spans="2:7" hidden="1">
      <c r="B2602" s="141" t="s">
        <v>7284</v>
      </c>
      <c r="C2602" s="141"/>
      <c r="D2602" s="141" t="s">
        <v>7285</v>
      </c>
      <c r="E2602" s="141"/>
      <c r="F2602" s="141"/>
      <c r="G2602" s="140"/>
    </row>
    <row r="2603" spans="2:7" hidden="1">
      <c r="B2603" s="140" t="s">
        <v>7286</v>
      </c>
      <c r="C2603" s="140"/>
      <c r="D2603" s="140" t="s">
        <v>7287</v>
      </c>
      <c r="E2603" s="140"/>
      <c r="F2603" s="140"/>
      <c r="G2603" s="140"/>
    </row>
    <row r="2604" spans="2:7" hidden="1">
      <c r="B2604" s="140" t="s">
        <v>7288</v>
      </c>
      <c r="C2604" s="140"/>
      <c r="D2604" s="140" t="s">
        <v>7289</v>
      </c>
      <c r="E2604" s="142"/>
      <c r="F2604" s="142"/>
      <c r="G2604" s="140"/>
    </row>
    <row r="2605" spans="2:7" hidden="1">
      <c r="B2605" s="140" t="s">
        <v>7290</v>
      </c>
      <c r="C2605" s="140"/>
      <c r="D2605" s="140" t="s">
        <v>7291</v>
      </c>
      <c r="E2605" s="142"/>
      <c r="F2605" s="142"/>
      <c r="G2605" s="140"/>
    </row>
    <row r="2606" spans="2:7" hidden="1">
      <c r="B2606" s="141" t="s">
        <v>7292</v>
      </c>
      <c r="C2606" s="140" t="s">
        <v>7113</v>
      </c>
      <c r="D2606" s="141" t="s">
        <v>7293</v>
      </c>
      <c r="E2606" s="140" t="s">
        <v>7294</v>
      </c>
      <c r="F2606" s="140" t="s">
        <v>7295</v>
      </c>
      <c r="G2606" s="140"/>
    </row>
    <row r="2607" spans="2:7" hidden="1">
      <c r="B2607" s="141" t="s">
        <v>7296</v>
      </c>
      <c r="C2607" s="140"/>
      <c r="D2607" s="141" t="s">
        <v>7297</v>
      </c>
      <c r="E2607" s="140"/>
      <c r="F2607" s="140"/>
      <c r="G2607" s="140"/>
    </row>
    <row r="2608" spans="2:7" hidden="1">
      <c r="B2608" s="141" t="s">
        <v>7298</v>
      </c>
      <c r="C2608" s="140"/>
      <c r="D2608" s="141" t="s">
        <v>7299</v>
      </c>
      <c r="E2608" s="140"/>
      <c r="F2608" s="140"/>
      <c r="G2608" s="140"/>
    </row>
    <row r="2609" spans="2:7" hidden="1">
      <c r="B2609" s="140" t="s">
        <v>7300</v>
      </c>
      <c r="C2609" s="140" t="s">
        <v>7301</v>
      </c>
      <c r="D2609" s="140" t="s">
        <v>7302</v>
      </c>
      <c r="E2609" s="142" t="s">
        <v>7303</v>
      </c>
      <c r="F2609" s="142"/>
      <c r="G2609" s="140"/>
    </row>
    <row r="2610" spans="2:7" hidden="1">
      <c r="B2610" s="141" t="s">
        <v>7304</v>
      </c>
      <c r="C2610" s="140"/>
      <c r="D2610" s="141" t="s">
        <v>7305</v>
      </c>
      <c r="E2610" s="140"/>
      <c r="F2610" s="140"/>
      <c r="G2610" s="140"/>
    </row>
    <row r="2611" spans="2:7" hidden="1">
      <c r="B2611" s="141" t="s">
        <v>7306</v>
      </c>
      <c r="C2611" s="140" t="s">
        <v>7307</v>
      </c>
      <c r="D2611" s="141" t="s">
        <v>7308</v>
      </c>
      <c r="E2611" s="140"/>
      <c r="F2611" s="140"/>
      <c r="G2611" s="140"/>
    </row>
    <row r="2612" spans="2:7" hidden="1">
      <c r="B2612" s="141" t="s">
        <v>7309</v>
      </c>
      <c r="C2612" s="140" t="s">
        <v>7310</v>
      </c>
      <c r="D2612" s="141" t="s">
        <v>7311</v>
      </c>
      <c r="E2612" s="140"/>
      <c r="F2612" s="140"/>
      <c r="G2612" s="140"/>
    </row>
    <row r="2613" spans="2:7" hidden="1">
      <c r="B2613" s="141" t="s">
        <v>7312</v>
      </c>
      <c r="C2613" s="140"/>
      <c r="D2613" s="141" t="s">
        <v>5024</v>
      </c>
      <c r="E2613" s="140"/>
      <c r="F2613" s="140"/>
      <c r="G2613" s="140"/>
    </row>
    <row r="2614" spans="2:7" hidden="1">
      <c r="B2614" s="141" t="s">
        <v>7313</v>
      </c>
      <c r="C2614" s="140" t="s">
        <v>7314</v>
      </c>
      <c r="D2614" s="141" t="s">
        <v>7315</v>
      </c>
      <c r="E2614" s="140" t="s">
        <v>7316</v>
      </c>
      <c r="F2614" s="140" t="s">
        <v>7317</v>
      </c>
      <c r="G2614" s="140"/>
    </row>
    <row r="2615" spans="2:7" hidden="1">
      <c r="B2615" s="141" t="s">
        <v>7318</v>
      </c>
      <c r="C2615" s="141" t="s">
        <v>7319</v>
      </c>
      <c r="D2615" s="141" t="s">
        <v>4713</v>
      </c>
      <c r="E2615" s="141" t="s">
        <v>7320</v>
      </c>
      <c r="F2615" s="141" t="s">
        <v>7321</v>
      </c>
      <c r="G2615" s="140"/>
    </row>
    <row r="2616" spans="2:7" hidden="1">
      <c r="B2616" s="141" t="s">
        <v>7322</v>
      </c>
      <c r="C2616" s="140" t="s">
        <v>7323</v>
      </c>
      <c r="D2616" s="141" t="s">
        <v>7324</v>
      </c>
      <c r="E2616" s="140"/>
      <c r="F2616" s="140"/>
      <c r="G2616" s="140" t="s">
        <v>7325</v>
      </c>
    </row>
    <row r="2617" spans="2:7" hidden="1">
      <c r="B2617" s="141" t="s">
        <v>7326</v>
      </c>
      <c r="C2617" s="140" t="s">
        <v>7327</v>
      </c>
      <c r="D2617" s="141" t="s">
        <v>7328</v>
      </c>
      <c r="E2617" s="140"/>
      <c r="F2617" s="140"/>
      <c r="G2617" s="140" t="s">
        <v>7329</v>
      </c>
    </row>
    <row r="2618" spans="2:7" hidden="1">
      <c r="B2618" s="141" t="s">
        <v>7330</v>
      </c>
      <c r="C2618" s="140"/>
      <c r="D2618" s="141" t="s">
        <v>6849</v>
      </c>
      <c r="E2618" s="140"/>
      <c r="F2618" s="140"/>
      <c r="G2618" s="140"/>
    </row>
    <row r="2619" spans="2:7" hidden="1">
      <c r="B2619" s="141" t="s">
        <v>7331</v>
      </c>
      <c r="C2619" s="140"/>
      <c r="D2619" s="141" t="s">
        <v>3101</v>
      </c>
      <c r="E2619" s="140"/>
      <c r="F2619" s="140"/>
      <c r="G2619" s="140"/>
    </row>
    <row r="2620" spans="2:7" hidden="1">
      <c r="B2620" s="140" t="s">
        <v>7332</v>
      </c>
      <c r="C2620" s="140"/>
      <c r="D2620" s="140" t="s">
        <v>7333</v>
      </c>
      <c r="E2620" s="140"/>
      <c r="F2620" s="140"/>
      <c r="G2620" s="140"/>
    </row>
    <row r="2621" spans="2:7" hidden="1">
      <c r="B2621" s="140" t="s">
        <v>7334</v>
      </c>
      <c r="C2621" s="140"/>
      <c r="D2621" s="140" t="s">
        <v>7335</v>
      </c>
      <c r="E2621" s="140"/>
      <c r="F2621" s="140"/>
      <c r="G2621" s="140"/>
    </row>
    <row r="2622" spans="2:7" hidden="1">
      <c r="B2622" s="140" t="s">
        <v>21654</v>
      </c>
      <c r="C2622" s="140" t="s">
        <v>7336</v>
      </c>
      <c r="D2622" s="140" t="s">
        <v>7337</v>
      </c>
      <c r="E2622" s="142" t="s">
        <v>7338</v>
      </c>
      <c r="F2622" s="142" t="s">
        <v>7339</v>
      </c>
      <c r="G2622" s="140"/>
    </row>
    <row r="2623" spans="2:7" hidden="1">
      <c r="B2623" s="141" t="s">
        <v>21655</v>
      </c>
      <c r="C2623" s="141"/>
      <c r="D2623" s="141" t="s">
        <v>7340</v>
      </c>
      <c r="E2623" s="141"/>
      <c r="F2623" s="140"/>
      <c r="G2623" s="140"/>
    </row>
    <row r="2624" spans="2:7" hidden="1">
      <c r="B2624" s="141" t="s">
        <v>7341</v>
      </c>
      <c r="C2624" s="140" t="s">
        <v>7342</v>
      </c>
      <c r="D2624" s="141" t="s">
        <v>7343</v>
      </c>
      <c r="E2624" s="140" t="s">
        <v>7344</v>
      </c>
      <c r="F2624" s="140" t="s">
        <v>7345</v>
      </c>
      <c r="G2624" s="140"/>
    </row>
    <row r="2625" spans="2:7" hidden="1">
      <c r="B2625" s="141" t="s">
        <v>7346</v>
      </c>
      <c r="C2625" s="140" t="s">
        <v>7347</v>
      </c>
      <c r="D2625" s="141" t="s">
        <v>5421</v>
      </c>
      <c r="E2625" s="140" t="s">
        <v>7348</v>
      </c>
      <c r="F2625" s="140"/>
      <c r="G2625" s="140"/>
    </row>
    <row r="2626" spans="2:7" hidden="1">
      <c r="B2626" s="141" t="s">
        <v>7349</v>
      </c>
      <c r="C2626" s="140" t="s">
        <v>7350</v>
      </c>
      <c r="D2626" s="140" t="s">
        <v>7351</v>
      </c>
      <c r="E2626" s="141"/>
      <c r="F2626" s="141"/>
      <c r="G2626" s="140"/>
    </row>
    <row r="2627" spans="2:7" hidden="1">
      <c r="B2627" s="140" t="s">
        <v>20467</v>
      </c>
      <c r="C2627" s="140" t="s">
        <v>20468</v>
      </c>
      <c r="D2627" s="140" t="s">
        <v>20469</v>
      </c>
      <c r="E2627" s="142" t="s">
        <v>20470</v>
      </c>
      <c r="F2627" s="142"/>
      <c r="G2627" s="140"/>
    </row>
    <row r="2628" spans="2:7" hidden="1">
      <c r="B2628" s="141" t="s">
        <v>7352</v>
      </c>
      <c r="C2628" s="140"/>
      <c r="D2628" s="141" t="s">
        <v>7353</v>
      </c>
      <c r="E2628" s="140"/>
      <c r="F2628" s="140"/>
      <c r="G2628" s="140"/>
    </row>
    <row r="2629" spans="2:7" hidden="1">
      <c r="B2629" s="141" t="s">
        <v>21656</v>
      </c>
      <c r="C2629" s="140" t="s">
        <v>7354</v>
      </c>
      <c r="D2629" s="141" t="s">
        <v>7355</v>
      </c>
      <c r="E2629" s="140" t="s">
        <v>7356</v>
      </c>
      <c r="F2629" s="140" t="s">
        <v>7357</v>
      </c>
      <c r="G2629" s="140"/>
    </row>
    <row r="2630" spans="2:7" hidden="1">
      <c r="B2630" s="141" t="s">
        <v>7358</v>
      </c>
      <c r="C2630" s="140"/>
      <c r="D2630" s="141" t="s">
        <v>7359</v>
      </c>
      <c r="E2630" s="140"/>
      <c r="F2630" s="140"/>
      <c r="G2630" s="140"/>
    </row>
    <row r="2631" spans="2:7" hidden="1">
      <c r="B2631" s="141" t="s">
        <v>7360</v>
      </c>
      <c r="C2631" s="140"/>
      <c r="D2631" s="141" t="s">
        <v>7361</v>
      </c>
      <c r="E2631" s="140"/>
      <c r="F2631" s="140"/>
      <c r="G2631" s="140"/>
    </row>
    <row r="2632" spans="2:7" hidden="1">
      <c r="B2632" s="141" t="s">
        <v>7362</v>
      </c>
      <c r="C2632" s="141"/>
      <c r="D2632" s="141" t="s">
        <v>7363</v>
      </c>
      <c r="E2632" s="141"/>
      <c r="F2632" s="140"/>
      <c r="G2632" s="140"/>
    </row>
    <row r="2633" spans="2:7" hidden="1">
      <c r="B2633" s="141" t="s">
        <v>7364</v>
      </c>
      <c r="C2633" s="140" t="s">
        <v>7365</v>
      </c>
      <c r="D2633" s="141" t="s">
        <v>7366</v>
      </c>
      <c r="E2633" s="140" t="s">
        <v>7367</v>
      </c>
      <c r="F2633" s="140"/>
      <c r="G2633" s="140"/>
    </row>
    <row r="2634" spans="2:7" hidden="1">
      <c r="B2634" s="141" t="s">
        <v>7364</v>
      </c>
      <c r="C2634" s="141" t="s">
        <v>7368</v>
      </c>
      <c r="D2634" s="141" t="s">
        <v>7369</v>
      </c>
      <c r="E2634" s="141"/>
      <c r="F2634" s="140"/>
      <c r="G2634" s="140"/>
    </row>
    <row r="2635" spans="2:7" hidden="1">
      <c r="B2635" s="141" t="s">
        <v>7364</v>
      </c>
      <c r="C2635" s="140" t="s">
        <v>7370</v>
      </c>
      <c r="D2635" s="141" t="s">
        <v>7369</v>
      </c>
      <c r="E2635" s="140" t="s">
        <v>7371</v>
      </c>
      <c r="F2635" s="140"/>
      <c r="G2635" s="140" t="s">
        <v>7372</v>
      </c>
    </row>
    <row r="2636" spans="2:7" hidden="1">
      <c r="B2636" s="141" t="s">
        <v>7373</v>
      </c>
      <c r="C2636" s="140" t="s">
        <v>7374</v>
      </c>
      <c r="D2636" s="141" t="s">
        <v>7375</v>
      </c>
      <c r="E2636" s="140"/>
      <c r="F2636" s="140"/>
      <c r="G2636" s="140"/>
    </row>
    <row r="2637" spans="2:7" hidden="1">
      <c r="B2637" s="141" t="s">
        <v>7376</v>
      </c>
      <c r="C2637" s="140"/>
      <c r="D2637" s="141" t="s">
        <v>7377</v>
      </c>
      <c r="E2637" s="140"/>
      <c r="F2637" s="140"/>
      <c r="G2637" s="140"/>
    </row>
    <row r="2638" spans="2:7" hidden="1">
      <c r="B2638" s="141" t="s">
        <v>7378</v>
      </c>
      <c r="C2638" s="140" t="s">
        <v>7379</v>
      </c>
      <c r="D2638" s="141" t="s">
        <v>7380</v>
      </c>
      <c r="E2638" s="140" t="s">
        <v>7381</v>
      </c>
      <c r="F2638" s="140"/>
      <c r="G2638" s="140"/>
    </row>
    <row r="2639" spans="2:7" hidden="1">
      <c r="B2639" s="141" t="s">
        <v>7382</v>
      </c>
      <c r="C2639" s="140" t="s">
        <v>7383</v>
      </c>
      <c r="D2639" s="141" t="s">
        <v>3696</v>
      </c>
      <c r="E2639" s="140"/>
      <c r="F2639" s="140"/>
      <c r="G2639" s="140"/>
    </row>
    <row r="2640" spans="2:7" hidden="1">
      <c r="B2640" s="141" t="s">
        <v>7384</v>
      </c>
      <c r="C2640" s="140"/>
      <c r="D2640" s="141" t="s">
        <v>7385</v>
      </c>
      <c r="E2640" s="140"/>
      <c r="F2640" s="140"/>
      <c r="G2640" s="140"/>
    </row>
    <row r="2641" spans="2:7" hidden="1">
      <c r="B2641" s="141" t="s">
        <v>7386</v>
      </c>
      <c r="C2641" s="140"/>
      <c r="D2641" s="141" t="s">
        <v>6449</v>
      </c>
      <c r="E2641" s="140"/>
      <c r="F2641" s="140"/>
      <c r="G2641" s="140"/>
    </row>
    <row r="2642" spans="2:7" hidden="1">
      <c r="B2642" s="141" t="s">
        <v>7387</v>
      </c>
      <c r="C2642" s="140"/>
      <c r="D2642" s="141" t="s">
        <v>7388</v>
      </c>
      <c r="E2642" s="140"/>
      <c r="F2642" s="140"/>
      <c r="G2642" s="140"/>
    </row>
    <row r="2643" spans="2:7" hidden="1">
      <c r="B2643" s="141" t="s">
        <v>7389</v>
      </c>
      <c r="C2643" s="140"/>
      <c r="D2643" s="141" t="s">
        <v>7390</v>
      </c>
      <c r="E2643" s="140"/>
      <c r="F2643" s="140"/>
      <c r="G2643" s="140"/>
    </row>
    <row r="2644" spans="2:7" hidden="1">
      <c r="B2644" s="141" t="s">
        <v>7391</v>
      </c>
      <c r="C2644" s="140"/>
      <c r="D2644" s="141" t="s">
        <v>7392</v>
      </c>
      <c r="E2644" s="140"/>
      <c r="F2644" s="140"/>
      <c r="G2644" s="140"/>
    </row>
    <row r="2645" spans="2:7" hidden="1">
      <c r="B2645" s="141" t="s">
        <v>7393</v>
      </c>
      <c r="C2645" s="140"/>
      <c r="D2645" s="141" t="s">
        <v>7394</v>
      </c>
      <c r="E2645" s="140"/>
      <c r="F2645" s="140"/>
      <c r="G2645" s="140"/>
    </row>
    <row r="2646" spans="2:7" hidden="1">
      <c r="B2646" s="141" t="s">
        <v>7395</v>
      </c>
      <c r="C2646" s="140" t="s">
        <v>7396</v>
      </c>
      <c r="D2646" s="141" t="s">
        <v>7397</v>
      </c>
      <c r="E2646" s="140"/>
      <c r="F2646" s="140"/>
      <c r="G2646" s="140"/>
    </row>
    <row r="2647" spans="2:7" hidden="1">
      <c r="B2647" s="141" t="s">
        <v>7398</v>
      </c>
      <c r="C2647" s="141" t="s">
        <v>7399</v>
      </c>
      <c r="D2647" s="141" t="s">
        <v>7400</v>
      </c>
      <c r="E2647" s="140" t="s">
        <v>7401</v>
      </c>
      <c r="F2647" s="140"/>
      <c r="G2647" s="140"/>
    </row>
    <row r="2648" spans="2:7" hidden="1">
      <c r="B2648" s="141" t="s">
        <v>7402</v>
      </c>
      <c r="C2648" s="140"/>
      <c r="D2648" s="141" t="s">
        <v>7403</v>
      </c>
      <c r="E2648" s="140"/>
      <c r="F2648" s="140"/>
      <c r="G2648" s="140"/>
    </row>
    <row r="2649" spans="2:7" hidden="1">
      <c r="B2649" s="141" t="s">
        <v>7404</v>
      </c>
      <c r="C2649" s="140"/>
      <c r="D2649" s="141" t="s">
        <v>7405</v>
      </c>
      <c r="E2649" s="140"/>
      <c r="F2649" s="140"/>
      <c r="G2649" s="140"/>
    </row>
    <row r="2650" spans="2:7" hidden="1">
      <c r="B2650" s="140" t="s">
        <v>7407</v>
      </c>
      <c r="C2650" s="140"/>
      <c r="D2650" s="140" t="s">
        <v>7408</v>
      </c>
      <c r="E2650" s="140"/>
      <c r="F2650" s="140"/>
      <c r="G2650" s="140"/>
    </row>
    <row r="2651" spans="2:7" hidden="1">
      <c r="B2651" s="140" t="s">
        <v>21657</v>
      </c>
      <c r="C2651" s="140"/>
      <c r="D2651" s="141" t="s">
        <v>7406</v>
      </c>
      <c r="E2651" s="140"/>
      <c r="F2651" s="140"/>
      <c r="G2651" s="140"/>
    </row>
    <row r="2652" spans="2:7" hidden="1">
      <c r="B2652" s="140" t="s">
        <v>7409</v>
      </c>
      <c r="C2652" s="140"/>
      <c r="D2652" s="140" t="s">
        <v>7410</v>
      </c>
      <c r="E2652" s="142"/>
      <c r="F2652" s="142"/>
      <c r="G2652" s="140"/>
    </row>
    <row r="2653" spans="2:7" hidden="1">
      <c r="B2653" s="141" t="s">
        <v>7411</v>
      </c>
      <c r="C2653" s="140"/>
      <c r="D2653" s="141" t="s">
        <v>7412</v>
      </c>
      <c r="E2653" s="140"/>
      <c r="F2653" s="140"/>
      <c r="G2653" s="140"/>
    </row>
    <row r="2654" spans="2:7" hidden="1">
      <c r="B2654" s="140" t="s">
        <v>7413</v>
      </c>
      <c r="C2654" s="140"/>
      <c r="D2654" s="140" t="s">
        <v>7414</v>
      </c>
      <c r="E2654" s="142"/>
      <c r="F2654" s="142"/>
      <c r="G2654" s="140"/>
    </row>
    <row r="2655" spans="2:7" hidden="1">
      <c r="B2655" s="140" t="s">
        <v>7415</v>
      </c>
      <c r="C2655" s="140"/>
      <c r="D2655" s="140" t="s">
        <v>7416</v>
      </c>
      <c r="E2655" s="142"/>
      <c r="F2655" s="142"/>
      <c r="G2655" s="140"/>
    </row>
    <row r="2656" spans="2:7" hidden="1">
      <c r="B2656" s="141" t="s">
        <v>7417</v>
      </c>
      <c r="C2656" s="140"/>
      <c r="D2656" s="141" t="s">
        <v>7418</v>
      </c>
      <c r="E2656" s="140"/>
      <c r="F2656" s="140"/>
      <c r="G2656" s="140"/>
    </row>
    <row r="2657" spans="2:7" hidden="1">
      <c r="B2657" s="141" t="s">
        <v>7419</v>
      </c>
      <c r="C2657" s="141"/>
      <c r="D2657" s="141" t="s">
        <v>3189</v>
      </c>
      <c r="E2657" s="141"/>
      <c r="F2657" s="141"/>
      <c r="G2657" s="140"/>
    </row>
    <row r="2658" spans="2:7" hidden="1">
      <c r="B2658" s="141" t="s">
        <v>7420</v>
      </c>
      <c r="C2658" s="140"/>
      <c r="D2658" s="141" t="s">
        <v>4744</v>
      </c>
      <c r="E2658" s="140"/>
      <c r="F2658" s="140"/>
      <c r="G2658" s="140"/>
    </row>
    <row r="2659" spans="2:7" hidden="1">
      <c r="B2659" s="141" t="s">
        <v>7421</v>
      </c>
      <c r="C2659" s="140"/>
      <c r="D2659" s="141" t="s">
        <v>3502</v>
      </c>
      <c r="E2659" s="140"/>
      <c r="F2659" s="140"/>
      <c r="G2659" s="140"/>
    </row>
    <row r="2660" spans="2:7" hidden="1">
      <c r="B2660" s="141" t="s">
        <v>7422</v>
      </c>
      <c r="C2660" s="140"/>
      <c r="D2660" s="141" t="s">
        <v>2536</v>
      </c>
      <c r="E2660" s="140"/>
      <c r="F2660" s="140"/>
      <c r="G2660" s="140"/>
    </row>
    <row r="2661" spans="2:7" hidden="1">
      <c r="B2661" s="141" t="s">
        <v>7423</v>
      </c>
      <c r="C2661" s="140"/>
      <c r="D2661" s="141" t="s">
        <v>3398</v>
      </c>
      <c r="E2661" s="140"/>
      <c r="F2661" s="140"/>
      <c r="G2661" s="140"/>
    </row>
    <row r="2662" spans="2:7" hidden="1">
      <c r="B2662" s="141" t="s">
        <v>7424</v>
      </c>
      <c r="C2662" s="140"/>
      <c r="D2662" s="141" t="s">
        <v>7425</v>
      </c>
      <c r="E2662" s="140"/>
      <c r="F2662" s="140"/>
      <c r="G2662" s="140"/>
    </row>
    <row r="2663" spans="2:7" hidden="1">
      <c r="B2663" s="141" t="s">
        <v>7426</v>
      </c>
      <c r="C2663" s="140"/>
      <c r="D2663" s="141" t="s">
        <v>7427</v>
      </c>
      <c r="E2663" s="140"/>
      <c r="F2663" s="140"/>
      <c r="G2663" s="140"/>
    </row>
    <row r="2664" spans="2:7" hidden="1">
      <c r="B2664" s="141" t="s">
        <v>7428</v>
      </c>
      <c r="C2664" s="140" t="s">
        <v>7429</v>
      </c>
      <c r="D2664" s="141" t="s">
        <v>7430</v>
      </c>
      <c r="E2664" s="140"/>
      <c r="F2664" s="140"/>
      <c r="G2664" s="140"/>
    </row>
    <row r="2665" spans="2:7" hidden="1">
      <c r="B2665" s="141" t="s">
        <v>7431</v>
      </c>
      <c r="C2665" s="140" t="s">
        <v>7429</v>
      </c>
      <c r="D2665" s="141" t="s">
        <v>7432</v>
      </c>
      <c r="E2665" s="140"/>
      <c r="F2665" s="140"/>
      <c r="G2665" s="140" t="s">
        <v>7433</v>
      </c>
    </row>
    <row r="2666" spans="2:7" hidden="1">
      <c r="B2666" s="141" t="s">
        <v>7434</v>
      </c>
      <c r="C2666" s="140" t="s">
        <v>7435</v>
      </c>
      <c r="D2666" s="141" t="s">
        <v>7436</v>
      </c>
      <c r="E2666" s="140" t="s">
        <v>7437</v>
      </c>
      <c r="F2666" s="140" t="s">
        <v>7438</v>
      </c>
      <c r="G2666" s="140"/>
    </row>
    <row r="2667" spans="2:7" hidden="1">
      <c r="B2667" s="141" t="s">
        <v>7439</v>
      </c>
      <c r="C2667" s="140"/>
      <c r="D2667" s="141" t="s">
        <v>7440</v>
      </c>
      <c r="E2667" s="140"/>
      <c r="F2667" s="140"/>
      <c r="G2667" s="140"/>
    </row>
    <row r="2668" spans="2:7" hidden="1">
      <c r="B2668" s="140" t="s">
        <v>7441</v>
      </c>
      <c r="C2668" s="140" t="s">
        <v>7442</v>
      </c>
      <c r="D2668" s="140" t="s">
        <v>7443</v>
      </c>
      <c r="E2668" s="142"/>
      <c r="F2668" s="142"/>
      <c r="G2668" s="140"/>
    </row>
    <row r="2669" spans="2:7" hidden="1">
      <c r="B2669" s="141" t="s">
        <v>7444</v>
      </c>
      <c r="C2669" s="140" t="s">
        <v>7445</v>
      </c>
      <c r="D2669" s="141" t="s">
        <v>7446</v>
      </c>
      <c r="E2669" s="140" t="s">
        <v>7447</v>
      </c>
      <c r="F2669" s="140"/>
      <c r="G2669" s="140" t="s">
        <v>7448</v>
      </c>
    </row>
    <row r="2670" spans="2:7" hidden="1">
      <c r="B2670" s="141" t="s">
        <v>7449</v>
      </c>
      <c r="C2670" s="140"/>
      <c r="D2670" s="141" t="s">
        <v>5391</v>
      </c>
      <c r="E2670" s="140"/>
      <c r="F2670" s="140"/>
      <c r="G2670" s="140"/>
    </row>
    <row r="2671" spans="2:7" hidden="1">
      <c r="B2671" s="141" t="s">
        <v>7450</v>
      </c>
      <c r="C2671" s="141" t="s">
        <v>7451</v>
      </c>
      <c r="D2671" s="141" t="s">
        <v>7452</v>
      </c>
      <c r="E2671" s="141" t="s">
        <v>7453</v>
      </c>
      <c r="F2671" s="141"/>
      <c r="G2671" s="140"/>
    </row>
    <row r="2672" spans="2:7" hidden="1">
      <c r="B2672" s="141" t="s">
        <v>7454</v>
      </c>
      <c r="C2672" s="140"/>
      <c r="D2672" s="141" t="s">
        <v>6933</v>
      </c>
      <c r="E2672" s="140"/>
      <c r="F2672" s="140"/>
      <c r="G2672" s="140"/>
    </row>
    <row r="2673" spans="2:7" hidden="1">
      <c r="B2673" s="141" t="s">
        <v>7455</v>
      </c>
      <c r="C2673" s="140"/>
      <c r="D2673" s="141" t="s">
        <v>7456</v>
      </c>
      <c r="E2673" s="140"/>
      <c r="F2673" s="140"/>
      <c r="G2673" s="140"/>
    </row>
    <row r="2674" spans="2:7" hidden="1">
      <c r="B2674" s="141" t="s">
        <v>7457</v>
      </c>
      <c r="C2674" s="140"/>
      <c r="D2674" s="141" t="s">
        <v>3127</v>
      </c>
      <c r="E2674" s="140"/>
      <c r="F2674" s="140"/>
      <c r="G2674" s="140"/>
    </row>
    <row r="2675" spans="2:7" hidden="1">
      <c r="B2675" s="141" t="s">
        <v>7458</v>
      </c>
      <c r="C2675" s="140"/>
      <c r="D2675" s="141" t="s">
        <v>7459</v>
      </c>
      <c r="E2675" s="140"/>
      <c r="F2675" s="140"/>
      <c r="G2675" s="140"/>
    </row>
    <row r="2676" spans="2:7" hidden="1">
      <c r="B2676" s="140" t="s">
        <v>21658</v>
      </c>
      <c r="C2676" s="140" t="s">
        <v>7460</v>
      </c>
      <c r="D2676" s="140" t="s">
        <v>7461</v>
      </c>
      <c r="E2676" s="142" t="s">
        <v>7462</v>
      </c>
      <c r="F2676" s="142"/>
      <c r="G2676" s="140"/>
    </row>
    <row r="2677" spans="2:7" hidden="1">
      <c r="B2677" s="141" t="s">
        <v>7463</v>
      </c>
      <c r="C2677" s="140"/>
      <c r="D2677" s="141" t="s">
        <v>4698</v>
      </c>
      <c r="E2677" s="140"/>
      <c r="F2677" s="140"/>
      <c r="G2677" s="140"/>
    </row>
    <row r="2678" spans="2:7" hidden="1">
      <c r="B2678" s="141" t="s">
        <v>7464</v>
      </c>
      <c r="C2678" s="140"/>
      <c r="D2678" s="141" t="s">
        <v>3847</v>
      </c>
      <c r="E2678" s="140"/>
      <c r="F2678" s="140"/>
      <c r="G2678" s="140"/>
    </row>
    <row r="2679" spans="2:7" hidden="1">
      <c r="B2679" s="141" t="s">
        <v>7465</v>
      </c>
      <c r="C2679" s="140"/>
      <c r="D2679" s="141" t="s">
        <v>7466</v>
      </c>
      <c r="E2679" s="140"/>
      <c r="F2679" s="140"/>
      <c r="G2679" s="140"/>
    </row>
    <row r="2680" spans="2:7" hidden="1">
      <c r="B2680" s="140" t="s">
        <v>7467</v>
      </c>
      <c r="C2680" s="140"/>
      <c r="D2680" s="140" t="s">
        <v>3524</v>
      </c>
      <c r="E2680" s="142"/>
      <c r="F2680" s="142"/>
      <c r="G2680" s="140"/>
    </row>
    <row r="2681" spans="2:7" hidden="1">
      <c r="B2681" s="140" t="s">
        <v>20309</v>
      </c>
      <c r="C2681" s="140" t="s">
        <v>20310</v>
      </c>
      <c r="D2681" s="140" t="s">
        <v>20311</v>
      </c>
      <c r="E2681" s="142" t="s">
        <v>20312</v>
      </c>
      <c r="F2681" s="142"/>
      <c r="G2681" s="140" t="s">
        <v>20313</v>
      </c>
    </row>
    <row r="2682" spans="2:7" hidden="1">
      <c r="B2682" s="141" t="s">
        <v>7468</v>
      </c>
      <c r="C2682" s="140"/>
      <c r="D2682" s="141" t="s">
        <v>4858</v>
      </c>
      <c r="E2682" s="140"/>
      <c r="F2682" s="140"/>
      <c r="G2682" s="140"/>
    </row>
    <row r="2683" spans="2:7" hidden="1">
      <c r="B2683" s="140" t="s">
        <v>7469</v>
      </c>
      <c r="C2683" s="140" t="s">
        <v>7470</v>
      </c>
      <c r="D2683" s="140" t="s">
        <v>7471</v>
      </c>
      <c r="E2683" s="142" t="s">
        <v>7472</v>
      </c>
      <c r="F2683" s="142"/>
      <c r="G2683" s="140"/>
    </row>
    <row r="2684" spans="2:7" hidden="1">
      <c r="B2684" s="140" t="s">
        <v>21334</v>
      </c>
      <c r="C2684" s="140" t="s">
        <v>21336</v>
      </c>
      <c r="D2684" s="140" t="s">
        <v>21335</v>
      </c>
      <c r="E2684" s="142" t="s">
        <v>21337</v>
      </c>
      <c r="F2684" s="142"/>
      <c r="G2684" s="140"/>
    </row>
    <row r="2685" spans="2:7" hidden="1">
      <c r="B2685" s="141" t="s">
        <v>7473</v>
      </c>
      <c r="C2685" s="141" t="s">
        <v>7474</v>
      </c>
      <c r="D2685" s="141" t="s">
        <v>7475</v>
      </c>
      <c r="E2685" s="141"/>
      <c r="F2685" s="140"/>
      <c r="G2685" s="140"/>
    </row>
    <row r="2686" spans="2:7" hidden="1">
      <c r="B2686" s="141" t="s">
        <v>7476</v>
      </c>
      <c r="C2686" s="140"/>
      <c r="D2686" s="141" t="s">
        <v>7477</v>
      </c>
      <c r="E2686" s="140"/>
      <c r="F2686" s="140"/>
      <c r="G2686" s="140"/>
    </row>
    <row r="2687" spans="2:7" hidden="1">
      <c r="B2687" s="140" t="s">
        <v>7478</v>
      </c>
      <c r="C2687" s="140"/>
      <c r="D2687" s="140" t="s">
        <v>7479</v>
      </c>
      <c r="E2687" s="140"/>
      <c r="F2687" s="140"/>
      <c r="G2687" s="140"/>
    </row>
    <row r="2688" spans="2:7" hidden="1">
      <c r="B2688" s="141" t="s">
        <v>7480</v>
      </c>
      <c r="C2688" s="140" t="s">
        <v>7481</v>
      </c>
      <c r="D2688" s="141" t="s">
        <v>7482</v>
      </c>
      <c r="E2688" s="140" t="s">
        <v>7483</v>
      </c>
      <c r="F2688" s="140" t="s">
        <v>7484</v>
      </c>
      <c r="G2688" s="140"/>
    </row>
    <row r="2689" spans="2:7" hidden="1">
      <c r="B2689" s="141" t="s">
        <v>7485</v>
      </c>
      <c r="C2689" s="141"/>
      <c r="D2689" s="141" t="s">
        <v>7486</v>
      </c>
      <c r="E2689" s="141"/>
      <c r="F2689" s="141"/>
      <c r="G2689" s="140"/>
    </row>
    <row r="2690" spans="2:7" hidden="1">
      <c r="B2690" s="141" t="s">
        <v>7487</v>
      </c>
      <c r="C2690" s="141" t="s">
        <v>7488</v>
      </c>
      <c r="D2690" s="141" t="s">
        <v>7489</v>
      </c>
      <c r="E2690" s="141"/>
      <c r="F2690" s="140"/>
      <c r="G2690" s="140" t="s">
        <v>7490</v>
      </c>
    </row>
    <row r="2691" spans="2:7" hidden="1">
      <c r="B2691" s="141" t="s">
        <v>7491</v>
      </c>
      <c r="C2691" s="140"/>
      <c r="D2691" s="141" t="s">
        <v>7492</v>
      </c>
      <c r="E2691" s="140"/>
      <c r="F2691" s="140"/>
      <c r="G2691" s="140"/>
    </row>
    <row r="2692" spans="2:7" hidden="1">
      <c r="B2692" s="140" t="s">
        <v>7493</v>
      </c>
      <c r="C2692" s="140" t="s">
        <v>7494</v>
      </c>
      <c r="D2692" s="140" t="s">
        <v>2550</v>
      </c>
      <c r="E2692" s="140" t="s">
        <v>7495</v>
      </c>
      <c r="F2692" s="140" t="s">
        <v>7496</v>
      </c>
      <c r="G2692" s="140"/>
    </row>
    <row r="2693" spans="2:7" hidden="1">
      <c r="B2693" s="140" t="s">
        <v>7497</v>
      </c>
      <c r="C2693" s="140"/>
      <c r="D2693" s="140" t="s">
        <v>4698</v>
      </c>
      <c r="E2693" s="140"/>
      <c r="F2693" s="140"/>
      <c r="G2693" s="140"/>
    </row>
    <row r="2694" spans="2:7" hidden="1">
      <c r="B2694" s="141" t="s">
        <v>7502</v>
      </c>
      <c r="C2694" s="140" t="s">
        <v>7503</v>
      </c>
      <c r="D2694" s="141" t="s">
        <v>7504</v>
      </c>
      <c r="E2694" s="140" t="s">
        <v>7505</v>
      </c>
      <c r="F2694" s="140" t="s">
        <v>7506</v>
      </c>
      <c r="G2694" s="140"/>
    </row>
    <row r="2695" spans="2:7" hidden="1">
      <c r="B2695" s="141" t="s">
        <v>21659</v>
      </c>
      <c r="C2695" s="140" t="s">
        <v>7498</v>
      </c>
      <c r="D2695" s="141" t="s">
        <v>7499</v>
      </c>
      <c r="E2695" s="140" t="s">
        <v>7500</v>
      </c>
      <c r="F2695" s="140"/>
      <c r="G2695" s="140"/>
    </row>
    <row r="2696" spans="2:7" hidden="1">
      <c r="B2696" s="141" t="s">
        <v>21660</v>
      </c>
      <c r="C2696" s="140"/>
      <c r="D2696" s="141" t="s">
        <v>7501</v>
      </c>
      <c r="E2696" s="140"/>
      <c r="F2696" s="140"/>
      <c r="G2696" s="140"/>
    </row>
    <row r="2697" spans="2:7" hidden="1">
      <c r="B2697" s="141" t="s">
        <v>7507</v>
      </c>
      <c r="C2697" s="140"/>
      <c r="D2697" s="141" t="s">
        <v>4129</v>
      </c>
      <c r="E2697" s="140"/>
      <c r="F2697" s="140"/>
      <c r="G2697" s="140"/>
    </row>
    <row r="2698" spans="2:7" hidden="1">
      <c r="B2698" s="141" t="s">
        <v>7508</v>
      </c>
      <c r="C2698" s="140" t="s">
        <v>7509</v>
      </c>
      <c r="D2698" s="141" t="s">
        <v>7510</v>
      </c>
      <c r="E2698" s="140"/>
      <c r="F2698" s="140"/>
      <c r="G2698" s="140"/>
    </row>
    <row r="2699" spans="2:7" hidden="1">
      <c r="B2699" s="141" t="s">
        <v>21661</v>
      </c>
      <c r="C2699" s="141"/>
      <c r="D2699" s="141" t="s">
        <v>7511</v>
      </c>
      <c r="E2699" s="141"/>
      <c r="F2699" s="141"/>
      <c r="G2699" s="140"/>
    </row>
    <row r="2700" spans="2:7" hidden="1">
      <c r="B2700" s="141" t="s">
        <v>21662</v>
      </c>
      <c r="C2700" s="140"/>
      <c r="D2700" s="141" t="s">
        <v>7512</v>
      </c>
      <c r="E2700" s="140"/>
      <c r="F2700" s="140"/>
      <c r="G2700" s="140"/>
    </row>
    <row r="2701" spans="2:7" hidden="1">
      <c r="B2701" s="141" t="s">
        <v>7513</v>
      </c>
      <c r="C2701" s="140" t="s">
        <v>7514</v>
      </c>
      <c r="D2701" s="141" t="s">
        <v>7515</v>
      </c>
      <c r="E2701" s="140"/>
      <c r="F2701" s="140"/>
      <c r="G2701" s="140" t="s">
        <v>7516</v>
      </c>
    </row>
    <row r="2702" spans="2:7" hidden="1">
      <c r="B2702" s="141" t="s">
        <v>7517</v>
      </c>
      <c r="C2702" s="140"/>
      <c r="D2702" s="141" t="s">
        <v>7518</v>
      </c>
      <c r="E2702" s="140"/>
      <c r="F2702" s="140"/>
      <c r="G2702" s="140"/>
    </row>
    <row r="2703" spans="2:7" hidden="1">
      <c r="B2703" s="141" t="s">
        <v>7519</v>
      </c>
      <c r="C2703" s="140"/>
      <c r="D2703" s="141" t="s">
        <v>7520</v>
      </c>
      <c r="E2703" s="140"/>
      <c r="F2703" s="140"/>
      <c r="G2703" s="140"/>
    </row>
    <row r="2704" spans="2:7" hidden="1">
      <c r="B2704" s="141" t="s">
        <v>7521</v>
      </c>
      <c r="C2704" s="140"/>
      <c r="D2704" s="141" t="s">
        <v>7522</v>
      </c>
      <c r="E2704" s="140"/>
      <c r="F2704" s="140"/>
      <c r="G2704" s="140"/>
    </row>
    <row r="2705" spans="2:7" hidden="1">
      <c r="B2705" s="140" t="s">
        <v>7523</v>
      </c>
      <c r="C2705" s="140"/>
      <c r="D2705" s="140" t="s">
        <v>7524</v>
      </c>
      <c r="E2705" s="142"/>
      <c r="F2705" s="142"/>
      <c r="G2705" s="140"/>
    </row>
    <row r="2706" spans="2:7" hidden="1">
      <c r="B2706" s="141" t="s">
        <v>7525</v>
      </c>
      <c r="C2706" s="140" t="s">
        <v>7526</v>
      </c>
      <c r="D2706" s="141" t="s">
        <v>7527</v>
      </c>
      <c r="E2706" s="140" t="s">
        <v>7528</v>
      </c>
      <c r="F2706" s="140" t="s">
        <v>7529</v>
      </c>
      <c r="G2706" s="140" t="s">
        <v>7530</v>
      </c>
    </row>
    <row r="2707" spans="2:7" hidden="1">
      <c r="B2707" s="141" t="s">
        <v>7531</v>
      </c>
      <c r="C2707" s="140" t="s">
        <v>7532</v>
      </c>
      <c r="D2707" s="141" t="s">
        <v>7533</v>
      </c>
      <c r="E2707" s="140" t="s">
        <v>7534</v>
      </c>
      <c r="F2707" s="140" t="s">
        <v>7535</v>
      </c>
      <c r="G2707" s="140"/>
    </row>
    <row r="2708" spans="2:7" hidden="1">
      <c r="B2708" s="141" t="s">
        <v>7536</v>
      </c>
      <c r="C2708" s="140"/>
      <c r="D2708" s="141" t="s">
        <v>7537</v>
      </c>
      <c r="E2708" s="140"/>
      <c r="F2708" s="140"/>
      <c r="G2708" s="140"/>
    </row>
    <row r="2709" spans="2:7" hidden="1">
      <c r="B2709" s="141" t="s">
        <v>7538</v>
      </c>
      <c r="C2709" s="140"/>
      <c r="D2709" s="141" t="s">
        <v>4435</v>
      </c>
      <c r="E2709" s="140"/>
      <c r="F2709" s="140"/>
      <c r="G2709" s="140"/>
    </row>
    <row r="2710" spans="2:7" hidden="1">
      <c r="B2710" s="140" t="s">
        <v>7539</v>
      </c>
      <c r="C2710" s="140"/>
      <c r="D2710" s="140" t="s">
        <v>7540</v>
      </c>
      <c r="E2710" s="142"/>
      <c r="F2710" s="142"/>
      <c r="G2710" s="140"/>
    </row>
    <row r="2711" spans="2:7" hidden="1">
      <c r="B2711" s="140" t="s">
        <v>7541</v>
      </c>
      <c r="C2711" s="140"/>
      <c r="D2711" s="140" t="s">
        <v>7542</v>
      </c>
      <c r="E2711" s="142"/>
      <c r="F2711" s="142"/>
      <c r="G2711" s="140"/>
    </row>
    <row r="2712" spans="2:7" hidden="1">
      <c r="B2712" s="140" t="s">
        <v>7543</v>
      </c>
      <c r="C2712" s="140"/>
      <c r="D2712" s="140" t="s">
        <v>7544</v>
      </c>
      <c r="E2712" s="142"/>
      <c r="F2712" s="142"/>
      <c r="G2712" s="140"/>
    </row>
    <row r="2713" spans="2:7" hidden="1">
      <c r="B2713" s="140" t="s">
        <v>7545</v>
      </c>
      <c r="C2713" s="140"/>
      <c r="D2713" s="140" t="s">
        <v>7546</v>
      </c>
      <c r="E2713" s="142"/>
      <c r="F2713" s="142"/>
      <c r="G2713" s="140"/>
    </row>
    <row r="2714" spans="2:7" hidden="1">
      <c r="B2714" s="141" t="s">
        <v>7547</v>
      </c>
      <c r="C2714" s="140"/>
      <c r="D2714" s="141" t="s">
        <v>7548</v>
      </c>
      <c r="E2714" s="140"/>
      <c r="F2714" s="140"/>
      <c r="G2714" s="140"/>
    </row>
    <row r="2715" spans="2:7" hidden="1">
      <c r="B2715" s="141" t="s">
        <v>7549</v>
      </c>
      <c r="C2715" s="140"/>
      <c r="D2715" s="141" t="s">
        <v>7550</v>
      </c>
      <c r="E2715" s="140"/>
      <c r="F2715" s="140"/>
      <c r="G2715" s="140"/>
    </row>
    <row r="2716" spans="2:7" hidden="1">
      <c r="B2716" s="141" t="s">
        <v>7551</v>
      </c>
      <c r="C2716" s="140"/>
      <c r="D2716" s="141" t="s">
        <v>7552</v>
      </c>
      <c r="E2716" s="140"/>
      <c r="F2716" s="140"/>
      <c r="G2716" s="140"/>
    </row>
    <row r="2717" spans="2:7" hidden="1">
      <c r="B2717" s="141" t="s">
        <v>21663</v>
      </c>
      <c r="C2717" s="141" t="s">
        <v>7553</v>
      </c>
      <c r="D2717" s="141" t="s">
        <v>7554</v>
      </c>
      <c r="E2717" s="141"/>
      <c r="F2717" s="141"/>
      <c r="G2717" s="140"/>
    </row>
    <row r="2718" spans="2:7" hidden="1">
      <c r="B2718" s="141" t="s">
        <v>7555</v>
      </c>
      <c r="C2718" s="140"/>
      <c r="D2718" s="141" t="s">
        <v>7556</v>
      </c>
      <c r="E2718" s="140"/>
      <c r="F2718" s="140"/>
      <c r="G2718" s="140"/>
    </row>
    <row r="2719" spans="2:7" hidden="1">
      <c r="B2719" s="140" t="s">
        <v>21664</v>
      </c>
      <c r="C2719" s="140"/>
      <c r="D2719" s="140" t="s">
        <v>7557</v>
      </c>
      <c r="E2719" s="142"/>
      <c r="F2719" s="142"/>
      <c r="G2719" s="140"/>
    </row>
    <row r="2720" spans="2:7" hidden="1">
      <c r="B2720" s="141" t="s">
        <v>7558</v>
      </c>
      <c r="C2720" s="140"/>
      <c r="D2720" s="141" t="s">
        <v>7559</v>
      </c>
      <c r="E2720" s="140"/>
      <c r="F2720" s="140"/>
      <c r="G2720" s="140"/>
    </row>
    <row r="2721" spans="2:7" hidden="1">
      <c r="B2721" s="141" t="s">
        <v>21665</v>
      </c>
      <c r="C2721" s="140" t="s">
        <v>7560</v>
      </c>
      <c r="D2721" s="141" t="s">
        <v>7561</v>
      </c>
      <c r="E2721" s="140"/>
      <c r="F2721" s="140"/>
      <c r="G2721" s="140"/>
    </row>
    <row r="2722" spans="2:7" hidden="1">
      <c r="B2722" s="141" t="s">
        <v>7562</v>
      </c>
      <c r="C2722" s="140"/>
      <c r="D2722" s="141" t="s">
        <v>7563</v>
      </c>
      <c r="E2722" s="140"/>
      <c r="F2722" s="140"/>
      <c r="G2722" s="140"/>
    </row>
    <row r="2723" spans="2:7" hidden="1">
      <c r="B2723" s="141" t="s">
        <v>7564</v>
      </c>
      <c r="C2723" s="140"/>
      <c r="D2723" s="141" t="s">
        <v>7565</v>
      </c>
      <c r="E2723" s="140"/>
      <c r="F2723" s="140"/>
      <c r="G2723" s="140"/>
    </row>
    <row r="2724" spans="2:7" hidden="1">
      <c r="B2724" s="140" t="s">
        <v>7566</v>
      </c>
      <c r="C2724" s="140"/>
      <c r="D2724" s="140" t="s">
        <v>7567</v>
      </c>
      <c r="E2724" s="142"/>
      <c r="F2724" s="142"/>
      <c r="G2724" s="140"/>
    </row>
    <row r="2725" spans="2:7" hidden="1">
      <c r="B2725" s="141" t="s">
        <v>7568</v>
      </c>
      <c r="C2725" s="140"/>
      <c r="D2725" s="141" t="s">
        <v>7569</v>
      </c>
      <c r="E2725" s="140"/>
      <c r="F2725" s="140"/>
      <c r="G2725" s="140"/>
    </row>
    <row r="2726" spans="2:7" hidden="1">
      <c r="B2726" s="141" t="s">
        <v>7570</v>
      </c>
      <c r="C2726" s="141"/>
      <c r="D2726" s="141" t="s">
        <v>4192</v>
      </c>
      <c r="E2726" s="140"/>
      <c r="F2726" s="140"/>
      <c r="G2726" s="140"/>
    </row>
    <row r="2727" spans="2:7" hidden="1">
      <c r="B2727" s="141" t="s">
        <v>7571</v>
      </c>
      <c r="C2727" s="141"/>
      <c r="D2727" s="141" t="s">
        <v>6510</v>
      </c>
      <c r="E2727" s="141"/>
      <c r="F2727" s="140"/>
      <c r="G2727" s="140"/>
    </row>
    <row r="2728" spans="2:7" hidden="1">
      <c r="B2728" s="141" t="s">
        <v>7572</v>
      </c>
      <c r="C2728" s="141" t="s">
        <v>7573</v>
      </c>
      <c r="D2728" s="141" t="s">
        <v>7574</v>
      </c>
      <c r="E2728" s="141"/>
      <c r="F2728" s="140"/>
      <c r="G2728" s="140"/>
    </row>
    <row r="2729" spans="2:7" hidden="1">
      <c r="B2729" s="141" t="s">
        <v>21666</v>
      </c>
      <c r="C2729" s="140" t="s">
        <v>7575</v>
      </c>
      <c r="D2729" s="141" t="s">
        <v>5679</v>
      </c>
      <c r="E2729" s="140" t="s">
        <v>7576</v>
      </c>
      <c r="F2729" s="140" t="s">
        <v>7577</v>
      </c>
      <c r="G2729" s="140"/>
    </row>
    <row r="2730" spans="2:7" hidden="1">
      <c r="B2730" s="141" t="s">
        <v>7578</v>
      </c>
      <c r="C2730" s="140"/>
      <c r="D2730" s="141" t="s">
        <v>7579</v>
      </c>
      <c r="E2730" s="140"/>
      <c r="F2730" s="140"/>
      <c r="G2730" s="140"/>
    </row>
    <row r="2731" spans="2:7" hidden="1">
      <c r="B2731" s="141" t="s">
        <v>21667</v>
      </c>
      <c r="C2731" s="140"/>
      <c r="D2731" s="141" t="s">
        <v>7580</v>
      </c>
      <c r="E2731" s="140"/>
      <c r="F2731" s="140"/>
      <c r="G2731" s="140"/>
    </row>
    <row r="2732" spans="2:7" hidden="1">
      <c r="B2732" s="141" t="s">
        <v>7581</v>
      </c>
      <c r="C2732" s="141" t="s">
        <v>7582</v>
      </c>
      <c r="D2732" s="141" t="s">
        <v>7583</v>
      </c>
      <c r="E2732" s="141"/>
      <c r="F2732" s="141"/>
      <c r="G2732" s="140"/>
    </row>
    <row r="2733" spans="2:7" hidden="1">
      <c r="B2733" s="141" t="s">
        <v>7584</v>
      </c>
      <c r="C2733" s="140"/>
      <c r="D2733" s="141" t="s">
        <v>7154</v>
      </c>
      <c r="E2733" s="140"/>
      <c r="F2733" s="140"/>
      <c r="G2733" s="140"/>
    </row>
    <row r="2734" spans="2:7" hidden="1">
      <c r="B2734" s="140" t="s">
        <v>7585</v>
      </c>
      <c r="C2734" s="140"/>
      <c r="D2734" s="141" t="s">
        <v>7586</v>
      </c>
      <c r="E2734" s="140"/>
      <c r="F2734" s="140"/>
      <c r="G2734" s="140"/>
    </row>
    <row r="2735" spans="2:7" hidden="1">
      <c r="B2735" s="141" t="s">
        <v>7587</v>
      </c>
      <c r="C2735" s="140" t="s">
        <v>7588</v>
      </c>
      <c r="D2735" s="141" t="s">
        <v>7589</v>
      </c>
      <c r="E2735" s="140"/>
      <c r="F2735" s="140"/>
      <c r="G2735" s="140"/>
    </row>
    <row r="2736" spans="2:7" hidden="1">
      <c r="B2736" s="141" t="s">
        <v>7590</v>
      </c>
      <c r="C2736" s="140"/>
      <c r="D2736" s="141" t="s">
        <v>7591</v>
      </c>
      <c r="E2736" s="140" t="s">
        <v>7592</v>
      </c>
      <c r="F2736" s="140"/>
      <c r="G2736" s="140"/>
    </row>
    <row r="2737" spans="2:7" hidden="1">
      <c r="B2737" s="141" t="s">
        <v>7593</v>
      </c>
      <c r="C2737" s="141"/>
      <c r="D2737" s="141" t="s">
        <v>7594</v>
      </c>
      <c r="E2737" s="141"/>
      <c r="F2737" s="140"/>
      <c r="G2737" s="140"/>
    </row>
    <row r="2738" spans="2:7" hidden="1">
      <c r="B2738" s="140" t="s">
        <v>7595</v>
      </c>
      <c r="C2738" s="140"/>
      <c r="D2738" s="140" t="s">
        <v>7596</v>
      </c>
      <c r="E2738" s="142"/>
      <c r="F2738" s="142"/>
      <c r="G2738" s="140"/>
    </row>
    <row r="2739" spans="2:7" hidden="1">
      <c r="B2739" s="140" t="s">
        <v>7597</v>
      </c>
      <c r="C2739" s="140"/>
      <c r="D2739" s="140" t="s">
        <v>2924</v>
      </c>
      <c r="E2739" s="140"/>
      <c r="F2739" s="140"/>
      <c r="G2739" s="140"/>
    </row>
    <row r="2740" spans="2:7" hidden="1">
      <c r="B2740" s="140" t="s">
        <v>7598</v>
      </c>
      <c r="C2740" s="140" t="s">
        <v>7599</v>
      </c>
      <c r="D2740" s="140" t="s">
        <v>7600</v>
      </c>
      <c r="E2740" s="142"/>
      <c r="F2740" s="142"/>
      <c r="G2740" s="140" t="s">
        <v>7601</v>
      </c>
    </row>
    <row r="2741" spans="2:7" hidden="1">
      <c r="B2741" s="141" t="s">
        <v>7602</v>
      </c>
      <c r="C2741" s="140"/>
      <c r="D2741" s="141" t="s">
        <v>7501</v>
      </c>
      <c r="E2741" s="140"/>
      <c r="F2741" s="140"/>
      <c r="G2741" s="140"/>
    </row>
    <row r="2742" spans="2:7" hidden="1">
      <c r="B2742" s="141" t="s">
        <v>7603</v>
      </c>
      <c r="C2742" s="141"/>
      <c r="D2742" s="141" t="s">
        <v>7604</v>
      </c>
      <c r="E2742" s="141"/>
      <c r="F2742" s="140"/>
      <c r="G2742" s="140"/>
    </row>
    <row r="2743" spans="2:7" hidden="1">
      <c r="B2743" s="140" t="s">
        <v>7605</v>
      </c>
      <c r="C2743" s="140"/>
      <c r="D2743" s="140" t="s">
        <v>7606</v>
      </c>
      <c r="E2743" s="142"/>
      <c r="F2743" s="142"/>
      <c r="G2743" s="140"/>
    </row>
    <row r="2744" spans="2:7" hidden="1">
      <c r="B2744" s="141" t="s">
        <v>7607</v>
      </c>
      <c r="C2744" s="141"/>
      <c r="D2744" s="141" t="s">
        <v>7608</v>
      </c>
      <c r="E2744" s="141"/>
      <c r="F2744" s="141"/>
      <c r="G2744" s="140"/>
    </row>
    <row r="2745" spans="2:7" hidden="1">
      <c r="B2745" s="141" t="s">
        <v>7609</v>
      </c>
      <c r="C2745" s="141"/>
      <c r="D2745" s="141" t="s">
        <v>7610</v>
      </c>
      <c r="E2745" s="141"/>
      <c r="F2745" s="141"/>
      <c r="G2745" s="140"/>
    </row>
    <row r="2746" spans="2:7" hidden="1">
      <c r="B2746" s="141" t="s">
        <v>7611</v>
      </c>
      <c r="C2746" s="141"/>
      <c r="D2746" s="141" t="s">
        <v>7612</v>
      </c>
      <c r="E2746" s="141"/>
      <c r="F2746" s="141"/>
      <c r="G2746" s="140"/>
    </row>
    <row r="2747" spans="2:7" hidden="1">
      <c r="B2747" s="141" t="s">
        <v>7613</v>
      </c>
      <c r="C2747" s="140"/>
      <c r="D2747" s="141" t="s">
        <v>7614</v>
      </c>
      <c r="E2747" s="140"/>
      <c r="F2747" s="140"/>
      <c r="G2747" s="140"/>
    </row>
    <row r="2748" spans="2:7" hidden="1">
      <c r="B2748" s="141" t="s">
        <v>7615</v>
      </c>
      <c r="C2748" s="140" t="s">
        <v>7616</v>
      </c>
      <c r="D2748" s="141" t="s">
        <v>7617</v>
      </c>
      <c r="E2748" s="140" t="s">
        <v>7618</v>
      </c>
      <c r="F2748" s="140" t="s">
        <v>7619</v>
      </c>
      <c r="G2748" s="140"/>
    </row>
    <row r="2749" spans="2:7" hidden="1">
      <c r="B2749" s="141" t="s">
        <v>7620</v>
      </c>
      <c r="C2749" s="140"/>
      <c r="D2749" s="141" t="s">
        <v>7621</v>
      </c>
      <c r="E2749" s="140"/>
      <c r="F2749" s="140"/>
      <c r="G2749" s="140"/>
    </row>
    <row r="2750" spans="2:7" hidden="1">
      <c r="B2750" s="140" t="s">
        <v>7622</v>
      </c>
      <c r="C2750" s="141"/>
      <c r="D2750" s="141"/>
      <c r="E2750" s="141" t="s">
        <v>7623</v>
      </c>
      <c r="F2750" s="141" t="s">
        <v>7624</v>
      </c>
      <c r="G2750" s="140" t="s">
        <v>7625</v>
      </c>
    </row>
    <row r="2751" spans="2:7" hidden="1">
      <c r="B2751" s="141" t="s">
        <v>7626</v>
      </c>
      <c r="C2751" s="140"/>
      <c r="D2751" s="141" t="s">
        <v>7627</v>
      </c>
      <c r="E2751" s="140"/>
      <c r="F2751" s="140"/>
      <c r="G2751" s="140"/>
    </row>
    <row r="2752" spans="2:7" hidden="1">
      <c r="B2752" s="140" t="s">
        <v>21006</v>
      </c>
      <c r="C2752" s="140" t="s">
        <v>21007</v>
      </c>
      <c r="D2752" s="140" t="s">
        <v>21008</v>
      </c>
      <c r="E2752" s="142" t="s">
        <v>15658</v>
      </c>
      <c r="F2752" s="142"/>
      <c r="G2752" s="140"/>
    </row>
    <row r="2753" spans="2:7" hidden="1">
      <c r="B2753" s="140" t="s">
        <v>7628</v>
      </c>
      <c r="C2753" s="140"/>
      <c r="D2753" s="140" t="s">
        <v>7629</v>
      </c>
      <c r="E2753" s="142"/>
      <c r="F2753" s="142"/>
      <c r="G2753" s="140"/>
    </row>
    <row r="2754" spans="2:7" hidden="1">
      <c r="B2754" s="140" t="s">
        <v>21668</v>
      </c>
      <c r="C2754" s="140" t="s">
        <v>7630</v>
      </c>
      <c r="D2754" s="140" t="s">
        <v>2062</v>
      </c>
      <c r="E2754" s="142"/>
      <c r="F2754" s="142"/>
      <c r="G2754" s="140"/>
    </row>
    <row r="2755" spans="2:7" hidden="1">
      <c r="B2755" s="140" t="s">
        <v>7631</v>
      </c>
      <c r="C2755" s="140"/>
      <c r="D2755" s="140" t="s">
        <v>7632</v>
      </c>
      <c r="E2755" s="142"/>
      <c r="F2755" s="142"/>
      <c r="G2755" s="140"/>
    </row>
    <row r="2756" spans="2:7" hidden="1">
      <c r="B2756" s="141" t="s">
        <v>21669</v>
      </c>
      <c r="C2756" s="140" t="s">
        <v>7633</v>
      </c>
      <c r="D2756" s="141" t="s">
        <v>7634</v>
      </c>
      <c r="E2756" s="140" t="s">
        <v>7635</v>
      </c>
      <c r="F2756" s="140"/>
      <c r="G2756" s="140"/>
    </row>
    <row r="2757" spans="2:7" hidden="1">
      <c r="B2757" s="141" t="s">
        <v>21670</v>
      </c>
      <c r="C2757" s="140" t="s">
        <v>7636</v>
      </c>
      <c r="D2757" s="141" t="s">
        <v>7637</v>
      </c>
      <c r="E2757" s="140"/>
      <c r="F2757" s="140"/>
      <c r="G2757" s="140" t="s">
        <v>7638</v>
      </c>
    </row>
    <row r="2758" spans="2:7" hidden="1">
      <c r="B2758" s="140" t="s">
        <v>7639</v>
      </c>
      <c r="C2758" s="140"/>
      <c r="D2758" s="140" t="s">
        <v>7640</v>
      </c>
      <c r="E2758" s="142"/>
      <c r="F2758" s="142"/>
      <c r="G2758" s="140"/>
    </row>
    <row r="2759" spans="2:7" hidden="1">
      <c r="B2759" s="141" t="s">
        <v>7641</v>
      </c>
      <c r="C2759" s="140" t="s">
        <v>7642</v>
      </c>
      <c r="D2759" s="141" t="s">
        <v>7643</v>
      </c>
      <c r="E2759" s="140" t="s">
        <v>7644</v>
      </c>
      <c r="F2759" s="140" t="s">
        <v>7645</v>
      </c>
      <c r="G2759" s="140"/>
    </row>
    <row r="2760" spans="2:7" hidden="1">
      <c r="B2760" s="141" t="s">
        <v>7646</v>
      </c>
      <c r="C2760" s="140"/>
      <c r="D2760" s="141" t="s">
        <v>7647</v>
      </c>
      <c r="E2760" s="140"/>
      <c r="F2760" s="140"/>
      <c r="G2760" s="140"/>
    </row>
    <row r="2761" spans="2:7" hidden="1">
      <c r="B2761" s="141" t="s">
        <v>7648</v>
      </c>
      <c r="C2761" s="140" t="s">
        <v>7649</v>
      </c>
      <c r="D2761" s="141" t="s">
        <v>7650</v>
      </c>
      <c r="E2761" s="140" t="s">
        <v>4850</v>
      </c>
      <c r="F2761" s="140" t="s">
        <v>4851</v>
      </c>
      <c r="G2761" s="140"/>
    </row>
    <row r="2762" spans="2:7" hidden="1">
      <c r="B2762" s="141" t="s">
        <v>7651</v>
      </c>
      <c r="C2762" s="140"/>
      <c r="D2762" s="141" t="s">
        <v>7652</v>
      </c>
      <c r="E2762" s="140"/>
      <c r="F2762" s="140"/>
      <c r="G2762" s="140"/>
    </row>
    <row r="2763" spans="2:7" hidden="1">
      <c r="B2763" s="140" t="s">
        <v>7653</v>
      </c>
      <c r="C2763" s="140" t="s">
        <v>7654</v>
      </c>
      <c r="D2763" s="140" t="s">
        <v>6812</v>
      </c>
      <c r="E2763" s="140" t="s">
        <v>7655</v>
      </c>
      <c r="F2763" s="140" t="s">
        <v>7656</v>
      </c>
      <c r="G2763" s="140"/>
    </row>
    <row r="2764" spans="2:7" hidden="1">
      <c r="B2764" s="141" t="s">
        <v>7657</v>
      </c>
      <c r="C2764" s="140"/>
      <c r="D2764" s="141" t="s">
        <v>7658</v>
      </c>
      <c r="E2764" s="140"/>
      <c r="F2764" s="140"/>
      <c r="G2764" s="140"/>
    </row>
    <row r="2765" spans="2:7" hidden="1">
      <c r="B2765" s="141" t="s">
        <v>7659</v>
      </c>
      <c r="C2765" s="140"/>
      <c r="D2765" s="141" t="s">
        <v>7660</v>
      </c>
      <c r="E2765" s="140"/>
      <c r="F2765" s="140"/>
      <c r="G2765" s="140"/>
    </row>
    <row r="2766" spans="2:7" hidden="1">
      <c r="B2766" s="141" t="s">
        <v>7661</v>
      </c>
      <c r="C2766" s="140" t="s">
        <v>7662</v>
      </c>
      <c r="D2766" s="141" t="s">
        <v>7663</v>
      </c>
      <c r="E2766" s="140" t="s">
        <v>7664</v>
      </c>
      <c r="F2766" s="140" t="s">
        <v>7665</v>
      </c>
      <c r="G2766" s="140"/>
    </row>
    <row r="2767" spans="2:7" hidden="1">
      <c r="B2767" s="140" t="s">
        <v>21671</v>
      </c>
      <c r="C2767" s="140" t="s">
        <v>7666</v>
      </c>
      <c r="D2767" s="140" t="s">
        <v>7667</v>
      </c>
      <c r="E2767" s="142" t="s">
        <v>7668</v>
      </c>
      <c r="F2767" s="142" t="s">
        <v>7669</v>
      </c>
      <c r="G2767" s="140"/>
    </row>
    <row r="2768" spans="2:7" hidden="1">
      <c r="B2768" s="140" t="s">
        <v>7670</v>
      </c>
      <c r="C2768" s="141"/>
      <c r="D2768" s="141" t="s">
        <v>7671</v>
      </c>
      <c r="E2768" s="141"/>
      <c r="F2768" s="141"/>
      <c r="G2768" s="140"/>
    </row>
    <row r="2769" spans="2:7" hidden="1">
      <c r="B2769" s="141" t="s">
        <v>7672</v>
      </c>
      <c r="C2769" s="140"/>
      <c r="D2769" s="141" t="s">
        <v>4365</v>
      </c>
      <c r="E2769" s="140"/>
      <c r="F2769" s="140"/>
      <c r="G2769" s="140"/>
    </row>
    <row r="2770" spans="2:7" hidden="1">
      <c r="B2770" s="141" t="s">
        <v>7673</v>
      </c>
      <c r="C2770" s="140" t="s">
        <v>7674</v>
      </c>
      <c r="D2770" s="141" t="s">
        <v>7675</v>
      </c>
      <c r="E2770" s="140"/>
      <c r="F2770" s="140"/>
      <c r="G2770" s="140" t="s">
        <v>7676</v>
      </c>
    </row>
    <row r="2771" spans="2:7" hidden="1">
      <c r="B2771" s="141" t="s">
        <v>7677</v>
      </c>
      <c r="C2771" s="140" t="s">
        <v>7678</v>
      </c>
      <c r="D2771" s="141" t="s">
        <v>7679</v>
      </c>
      <c r="E2771" s="140"/>
      <c r="F2771" s="140"/>
      <c r="G2771" s="140"/>
    </row>
    <row r="2772" spans="2:7" hidden="1">
      <c r="B2772" s="141" t="s">
        <v>7680</v>
      </c>
      <c r="C2772" s="140"/>
      <c r="D2772" s="141" t="s">
        <v>7681</v>
      </c>
      <c r="E2772" s="140"/>
      <c r="F2772" s="140"/>
      <c r="G2772" s="140"/>
    </row>
    <row r="2773" spans="2:7" hidden="1">
      <c r="B2773" s="140" t="s">
        <v>7682</v>
      </c>
      <c r="C2773" s="140" t="s">
        <v>7683</v>
      </c>
      <c r="D2773" s="140" t="s">
        <v>7684</v>
      </c>
      <c r="E2773" s="142" t="s">
        <v>7685</v>
      </c>
      <c r="F2773" s="142" t="s">
        <v>7686</v>
      </c>
      <c r="G2773" s="140"/>
    </row>
    <row r="2774" spans="2:7" hidden="1">
      <c r="B2774" s="141" t="s">
        <v>21672</v>
      </c>
      <c r="C2774" s="141" t="s">
        <v>7687</v>
      </c>
      <c r="D2774" s="141" t="s">
        <v>7688</v>
      </c>
      <c r="E2774" s="141" t="s">
        <v>7689</v>
      </c>
      <c r="F2774" s="141" t="s">
        <v>7690</v>
      </c>
      <c r="G2774" s="140"/>
    </row>
    <row r="2775" spans="2:7" hidden="1">
      <c r="B2775" s="141" t="s">
        <v>7691</v>
      </c>
      <c r="C2775" s="140"/>
      <c r="D2775" s="141" t="s">
        <v>7692</v>
      </c>
      <c r="E2775" s="140"/>
      <c r="F2775" s="140"/>
      <c r="G2775" s="140"/>
    </row>
    <row r="2776" spans="2:7" hidden="1">
      <c r="B2776" s="141" t="s">
        <v>7693</v>
      </c>
      <c r="C2776" s="140"/>
      <c r="D2776" s="141" t="s">
        <v>3334</v>
      </c>
      <c r="E2776" s="140"/>
      <c r="F2776" s="140"/>
      <c r="G2776" s="140"/>
    </row>
    <row r="2777" spans="2:7" hidden="1">
      <c r="B2777" s="141" t="s">
        <v>7694</v>
      </c>
      <c r="C2777" s="140"/>
      <c r="D2777" s="141" t="s">
        <v>7695</v>
      </c>
      <c r="E2777" s="140"/>
      <c r="F2777" s="140"/>
      <c r="G2777" s="140"/>
    </row>
    <row r="2778" spans="2:7" hidden="1">
      <c r="B2778" s="141" t="s">
        <v>7696</v>
      </c>
      <c r="C2778" s="140" t="s">
        <v>7697</v>
      </c>
      <c r="D2778" s="141" t="s">
        <v>7698</v>
      </c>
      <c r="E2778" s="140" t="s">
        <v>7699</v>
      </c>
      <c r="F2778" s="140" t="s">
        <v>7700</v>
      </c>
      <c r="G2778" s="140"/>
    </row>
    <row r="2779" spans="2:7" hidden="1">
      <c r="B2779" s="141" t="s">
        <v>7701</v>
      </c>
      <c r="C2779" s="140" t="s">
        <v>7702</v>
      </c>
      <c r="D2779" s="141" t="s">
        <v>7703</v>
      </c>
      <c r="E2779" s="140"/>
      <c r="F2779" s="140"/>
      <c r="G2779" s="140"/>
    </row>
    <row r="2780" spans="2:7" hidden="1">
      <c r="B2780" s="141" t="s">
        <v>7704</v>
      </c>
      <c r="C2780" s="141" t="s">
        <v>7705</v>
      </c>
      <c r="D2780" s="141" t="s">
        <v>2334</v>
      </c>
      <c r="E2780" s="141" t="s">
        <v>7706</v>
      </c>
      <c r="F2780" s="140"/>
      <c r="G2780" s="140"/>
    </row>
    <row r="2781" spans="2:7" hidden="1">
      <c r="B2781" s="141" t="s">
        <v>7707</v>
      </c>
      <c r="C2781" s="140"/>
      <c r="D2781" s="141" t="s">
        <v>7708</v>
      </c>
      <c r="E2781" s="140"/>
      <c r="F2781" s="140"/>
      <c r="G2781" s="140"/>
    </row>
    <row r="2782" spans="2:7" hidden="1">
      <c r="B2782" s="141" t="s">
        <v>7709</v>
      </c>
      <c r="C2782" s="141"/>
      <c r="D2782" s="141" t="s">
        <v>6305</v>
      </c>
      <c r="E2782" s="141"/>
      <c r="F2782" s="140"/>
      <c r="G2782" s="140"/>
    </row>
    <row r="2783" spans="2:7" hidden="1">
      <c r="B2783" s="141" t="s">
        <v>7710</v>
      </c>
      <c r="C2783" s="140" t="s">
        <v>7711</v>
      </c>
      <c r="D2783" s="141" t="s">
        <v>7712</v>
      </c>
      <c r="E2783" s="140"/>
      <c r="F2783" s="140"/>
      <c r="G2783" s="140"/>
    </row>
    <row r="2784" spans="2:7" hidden="1">
      <c r="B2784" s="141" t="s">
        <v>7713</v>
      </c>
      <c r="C2784" s="140" t="s">
        <v>7714</v>
      </c>
      <c r="D2784" s="141" t="s">
        <v>7715</v>
      </c>
      <c r="E2784" s="140" t="s">
        <v>7716</v>
      </c>
      <c r="F2784" s="140" t="s">
        <v>7717</v>
      </c>
      <c r="G2784" s="140"/>
    </row>
    <row r="2785" spans="2:7" hidden="1">
      <c r="B2785" s="141" t="s">
        <v>7718</v>
      </c>
      <c r="C2785" s="140"/>
      <c r="D2785" s="141" t="s">
        <v>7719</v>
      </c>
      <c r="E2785" s="140"/>
      <c r="F2785" s="140"/>
      <c r="G2785" s="140"/>
    </row>
    <row r="2786" spans="2:7" hidden="1">
      <c r="B2786" s="141" t="s">
        <v>7720</v>
      </c>
      <c r="C2786" s="140"/>
      <c r="D2786" s="141" t="s">
        <v>7721</v>
      </c>
      <c r="E2786" s="140"/>
      <c r="F2786" s="140"/>
      <c r="G2786" s="140"/>
    </row>
    <row r="2787" spans="2:7" hidden="1">
      <c r="B2787" s="141" t="s">
        <v>7722</v>
      </c>
      <c r="C2787" s="141" t="s">
        <v>7723</v>
      </c>
      <c r="D2787" s="141" t="s">
        <v>3980</v>
      </c>
      <c r="E2787" s="141" t="s">
        <v>7724</v>
      </c>
      <c r="F2787" s="141" t="s">
        <v>7725</v>
      </c>
      <c r="G2787" s="140"/>
    </row>
    <row r="2788" spans="2:7" hidden="1">
      <c r="B2788" s="141" t="s">
        <v>7726</v>
      </c>
      <c r="C2788" s="140" t="s">
        <v>7727</v>
      </c>
      <c r="D2788" s="141" t="s">
        <v>7728</v>
      </c>
      <c r="E2788" s="140" t="s">
        <v>7729</v>
      </c>
      <c r="F2788" s="140"/>
      <c r="G2788" s="140"/>
    </row>
    <row r="2789" spans="2:7" hidden="1">
      <c r="B2789" s="141" t="s">
        <v>7730</v>
      </c>
      <c r="C2789" s="140"/>
      <c r="D2789" s="141" t="s">
        <v>2847</v>
      </c>
      <c r="E2789" s="140"/>
      <c r="F2789" s="140"/>
      <c r="G2789" s="140"/>
    </row>
    <row r="2790" spans="2:7" hidden="1">
      <c r="B2790" s="141" t="s">
        <v>7731</v>
      </c>
      <c r="C2790" s="140"/>
      <c r="D2790" s="141" t="s">
        <v>3894</v>
      </c>
      <c r="E2790" s="140"/>
      <c r="F2790" s="140"/>
      <c r="G2790" s="140"/>
    </row>
    <row r="2791" spans="2:7" hidden="1">
      <c r="B2791" s="141" t="s">
        <v>7739</v>
      </c>
      <c r="C2791" s="141"/>
      <c r="D2791" s="141" t="s">
        <v>7740</v>
      </c>
      <c r="E2791" s="141"/>
      <c r="F2791" s="140"/>
      <c r="G2791" s="140"/>
    </row>
    <row r="2792" spans="2:7" hidden="1">
      <c r="B2792" s="141" t="s">
        <v>7741</v>
      </c>
      <c r="C2792" s="140"/>
      <c r="D2792" s="141" t="s">
        <v>2245</v>
      </c>
      <c r="E2792" s="140"/>
      <c r="F2792" s="140"/>
      <c r="G2792" s="140"/>
    </row>
    <row r="2793" spans="2:7" hidden="1">
      <c r="B2793" s="141" t="s">
        <v>7742</v>
      </c>
      <c r="C2793" s="140"/>
      <c r="D2793" s="141" t="s">
        <v>7743</v>
      </c>
      <c r="E2793" s="140"/>
      <c r="F2793" s="140"/>
      <c r="G2793" s="140"/>
    </row>
    <row r="2794" spans="2:7" hidden="1">
      <c r="B2794" s="141" t="s">
        <v>7744</v>
      </c>
      <c r="C2794" s="140"/>
      <c r="D2794" s="141" t="s">
        <v>3780</v>
      </c>
      <c r="E2794" s="140"/>
      <c r="F2794" s="140"/>
      <c r="G2794" s="140"/>
    </row>
    <row r="2795" spans="2:7" hidden="1">
      <c r="B2795" s="140" t="s">
        <v>7745</v>
      </c>
      <c r="C2795" s="140"/>
      <c r="D2795" s="140" t="s">
        <v>1190</v>
      </c>
      <c r="E2795" s="142"/>
      <c r="F2795" s="142"/>
      <c r="G2795" s="140"/>
    </row>
    <row r="2796" spans="2:7" hidden="1">
      <c r="B2796" s="140" t="s">
        <v>7746</v>
      </c>
      <c r="C2796" s="140"/>
      <c r="D2796" s="140" t="s">
        <v>7747</v>
      </c>
      <c r="E2796" s="142"/>
      <c r="F2796" s="142"/>
      <c r="G2796" s="140"/>
    </row>
    <row r="2797" spans="2:7" hidden="1">
      <c r="B2797" s="141" t="s">
        <v>21673</v>
      </c>
      <c r="C2797" s="140"/>
      <c r="D2797" s="141" t="s">
        <v>7732</v>
      </c>
      <c r="E2797" s="140"/>
      <c r="F2797" s="140"/>
      <c r="G2797" s="140"/>
    </row>
    <row r="2798" spans="2:7" hidden="1">
      <c r="B2798" s="141" t="s">
        <v>21674</v>
      </c>
      <c r="C2798" s="140" t="s">
        <v>7733</v>
      </c>
      <c r="D2798" s="141" t="s">
        <v>7734</v>
      </c>
      <c r="E2798" s="140" t="s">
        <v>7735</v>
      </c>
      <c r="F2798" s="140" t="s">
        <v>7736</v>
      </c>
      <c r="G2798" s="140"/>
    </row>
    <row r="2799" spans="2:7" hidden="1">
      <c r="B2799" s="141" t="s">
        <v>21675</v>
      </c>
      <c r="C2799" s="140"/>
      <c r="D2799" s="141" t="s">
        <v>4323</v>
      </c>
      <c r="E2799" s="140"/>
      <c r="F2799" s="140"/>
      <c r="G2799" s="140"/>
    </row>
    <row r="2800" spans="2:7" hidden="1">
      <c r="B2800" s="141" t="s">
        <v>21676</v>
      </c>
      <c r="C2800" s="141"/>
      <c r="D2800" s="141" t="s">
        <v>7737</v>
      </c>
      <c r="E2800" s="141"/>
      <c r="F2800" s="140"/>
      <c r="G2800" s="140"/>
    </row>
    <row r="2801" spans="2:7" hidden="1">
      <c r="B2801" s="141" t="s">
        <v>7748</v>
      </c>
      <c r="C2801" s="140" t="s">
        <v>7749</v>
      </c>
      <c r="D2801" s="141" t="s">
        <v>7750</v>
      </c>
      <c r="E2801" s="140" t="s">
        <v>7751</v>
      </c>
      <c r="F2801" s="140" t="s">
        <v>7752</v>
      </c>
      <c r="G2801" s="140"/>
    </row>
    <row r="2802" spans="2:7" hidden="1">
      <c r="B2802" s="141" t="s">
        <v>21677</v>
      </c>
      <c r="C2802" s="140"/>
      <c r="D2802" s="141" t="s">
        <v>7738</v>
      </c>
      <c r="E2802" s="140"/>
      <c r="F2802" s="140"/>
      <c r="G2802" s="140"/>
    </row>
    <row r="2803" spans="2:7" hidden="1">
      <c r="B2803" s="141" t="s">
        <v>7753</v>
      </c>
      <c r="C2803" s="140"/>
      <c r="D2803" s="141" t="s">
        <v>2245</v>
      </c>
      <c r="E2803" s="140"/>
      <c r="F2803" s="140"/>
      <c r="G2803" s="140"/>
    </row>
    <row r="2804" spans="2:7" hidden="1">
      <c r="B2804" s="141" t="s">
        <v>7754</v>
      </c>
      <c r="C2804" s="140"/>
      <c r="D2804" s="141" t="s">
        <v>7755</v>
      </c>
      <c r="E2804" s="140"/>
      <c r="F2804" s="140"/>
      <c r="G2804" s="140"/>
    </row>
    <row r="2805" spans="2:7" hidden="1">
      <c r="B2805" s="141" t="s">
        <v>7756</v>
      </c>
      <c r="C2805" s="140"/>
      <c r="D2805" s="141" t="s">
        <v>2067</v>
      </c>
      <c r="E2805" s="140"/>
      <c r="F2805" s="140"/>
      <c r="G2805" s="140"/>
    </row>
    <row r="2806" spans="2:7" hidden="1">
      <c r="B2806" s="141" t="s">
        <v>7757</v>
      </c>
      <c r="C2806" s="141"/>
      <c r="D2806" s="141" t="s">
        <v>7758</v>
      </c>
      <c r="E2806" s="141"/>
      <c r="F2806" s="141"/>
      <c r="G2806" s="140"/>
    </row>
    <row r="2807" spans="2:7" hidden="1">
      <c r="B2807" s="141" t="s">
        <v>7759</v>
      </c>
      <c r="C2807" s="140"/>
      <c r="D2807" s="141" t="s">
        <v>4082</v>
      </c>
      <c r="E2807" s="140"/>
      <c r="F2807" s="140"/>
      <c r="G2807" s="140"/>
    </row>
    <row r="2808" spans="2:7" hidden="1">
      <c r="B2808" s="141" t="s">
        <v>21678</v>
      </c>
      <c r="C2808" s="140"/>
      <c r="D2808" s="141" t="s">
        <v>7760</v>
      </c>
      <c r="E2808" s="140"/>
      <c r="F2808" s="140"/>
      <c r="G2808" s="140"/>
    </row>
    <row r="2809" spans="2:7" hidden="1">
      <c r="B2809" s="141" t="s">
        <v>7761</v>
      </c>
      <c r="C2809" s="141" t="s">
        <v>7762</v>
      </c>
      <c r="D2809" s="141" t="s">
        <v>7763</v>
      </c>
      <c r="E2809" s="141" t="s">
        <v>7764</v>
      </c>
      <c r="F2809" s="141" t="s">
        <v>7765</v>
      </c>
      <c r="G2809" s="140"/>
    </row>
    <row r="2810" spans="2:7" hidden="1">
      <c r="B2810" s="141" t="s">
        <v>7766</v>
      </c>
      <c r="C2810" s="140"/>
      <c r="D2810" s="141" t="s">
        <v>2127</v>
      </c>
      <c r="E2810" s="140"/>
      <c r="F2810" s="140"/>
      <c r="G2810" s="140"/>
    </row>
    <row r="2811" spans="2:7" hidden="1">
      <c r="B2811" s="141" t="s">
        <v>7767</v>
      </c>
      <c r="C2811" s="140" t="s">
        <v>7768</v>
      </c>
      <c r="D2811" s="141" t="s">
        <v>1164</v>
      </c>
      <c r="E2811" s="140" t="s">
        <v>7769</v>
      </c>
      <c r="F2811" s="140" t="s">
        <v>7770</v>
      </c>
      <c r="G2811" s="140"/>
    </row>
    <row r="2812" spans="2:7" hidden="1">
      <c r="B2812" s="141" t="s">
        <v>7771</v>
      </c>
      <c r="C2812" s="140"/>
      <c r="D2812" s="141" t="s">
        <v>7772</v>
      </c>
      <c r="E2812" s="140"/>
      <c r="F2812" s="140"/>
      <c r="G2812" s="140"/>
    </row>
    <row r="2813" spans="2:7" hidden="1">
      <c r="B2813" s="141" t="s">
        <v>7773</v>
      </c>
      <c r="C2813" s="140" t="s">
        <v>7774</v>
      </c>
      <c r="D2813" s="141" t="s">
        <v>7775</v>
      </c>
      <c r="E2813" s="140"/>
      <c r="F2813" s="140"/>
      <c r="G2813" s="140"/>
    </row>
    <row r="2814" spans="2:7" hidden="1">
      <c r="B2814" s="141" t="s">
        <v>7776</v>
      </c>
      <c r="C2814" s="140"/>
      <c r="D2814" s="141" t="s">
        <v>7777</v>
      </c>
      <c r="E2814" s="140"/>
      <c r="F2814" s="140"/>
      <c r="G2814" s="140"/>
    </row>
    <row r="2815" spans="2:7" hidden="1">
      <c r="B2815" s="141" t="s">
        <v>7778</v>
      </c>
      <c r="C2815" s="140" t="s">
        <v>7779</v>
      </c>
      <c r="D2815" s="141" t="s">
        <v>7780</v>
      </c>
      <c r="E2815" s="140" t="s">
        <v>7781</v>
      </c>
      <c r="F2815" s="140"/>
      <c r="G2815" s="140"/>
    </row>
    <row r="2816" spans="2:7" hidden="1">
      <c r="B2816" s="140" t="s">
        <v>7782</v>
      </c>
      <c r="C2816" s="140" t="s">
        <v>7783</v>
      </c>
      <c r="D2816" s="140" t="s">
        <v>7784</v>
      </c>
      <c r="E2816" s="142"/>
      <c r="F2816" s="142"/>
      <c r="G2816" s="140" t="s">
        <v>7785</v>
      </c>
    </row>
    <row r="2817" spans="2:7" hidden="1">
      <c r="B2817" s="140" t="s">
        <v>7786</v>
      </c>
      <c r="C2817" s="140" t="s">
        <v>7787</v>
      </c>
      <c r="D2817" s="140" t="s">
        <v>7788</v>
      </c>
      <c r="E2817" s="140" t="s">
        <v>7789</v>
      </c>
      <c r="F2817" s="140" t="s">
        <v>7790</v>
      </c>
      <c r="G2817" s="140"/>
    </row>
    <row r="2818" spans="2:7" hidden="1">
      <c r="B2818" s="141" t="s">
        <v>7791</v>
      </c>
      <c r="C2818" s="140"/>
      <c r="D2818" s="141" t="s">
        <v>7792</v>
      </c>
      <c r="E2818" s="140"/>
      <c r="F2818" s="140"/>
      <c r="G2818" s="140"/>
    </row>
    <row r="2819" spans="2:7" hidden="1">
      <c r="B2819" s="141" t="s">
        <v>7793</v>
      </c>
      <c r="C2819" s="140"/>
      <c r="D2819" s="141" t="s">
        <v>7794</v>
      </c>
      <c r="E2819" s="140"/>
      <c r="F2819" s="140"/>
      <c r="G2819" s="140"/>
    </row>
    <row r="2820" spans="2:7" hidden="1">
      <c r="B2820" s="141" t="s">
        <v>7795</v>
      </c>
      <c r="C2820" s="140"/>
      <c r="D2820" s="141" t="s">
        <v>7796</v>
      </c>
      <c r="E2820" s="140"/>
      <c r="F2820" s="140"/>
      <c r="G2820" s="140"/>
    </row>
    <row r="2821" spans="2:7" hidden="1">
      <c r="B2821" s="141" t="s">
        <v>7797</v>
      </c>
      <c r="C2821" s="140"/>
      <c r="D2821" s="141" t="s">
        <v>7798</v>
      </c>
      <c r="E2821" s="140"/>
      <c r="F2821" s="140"/>
      <c r="G2821" s="140"/>
    </row>
    <row r="2822" spans="2:7" hidden="1">
      <c r="B2822" s="141" t="s">
        <v>7799</v>
      </c>
      <c r="C2822" s="140"/>
      <c r="D2822" s="141" t="s">
        <v>7800</v>
      </c>
      <c r="E2822" s="140"/>
      <c r="F2822" s="140"/>
      <c r="G2822" s="140"/>
    </row>
    <row r="2823" spans="2:7" hidden="1">
      <c r="B2823" s="141" t="s">
        <v>7801</v>
      </c>
      <c r="C2823" s="141"/>
      <c r="D2823" s="141" t="s">
        <v>7802</v>
      </c>
      <c r="E2823" s="141"/>
      <c r="F2823" s="141"/>
      <c r="G2823" s="140"/>
    </row>
    <row r="2824" spans="2:7" hidden="1">
      <c r="B2824" s="140" t="s">
        <v>7803</v>
      </c>
      <c r="C2824" s="140"/>
      <c r="D2824" s="140" t="s">
        <v>7804</v>
      </c>
      <c r="E2824" s="142"/>
      <c r="F2824" s="142"/>
      <c r="G2824" s="140"/>
    </row>
    <row r="2825" spans="2:7" hidden="1">
      <c r="B2825" s="140" t="s">
        <v>7805</v>
      </c>
      <c r="C2825" s="140"/>
      <c r="D2825" s="140" t="s">
        <v>6230</v>
      </c>
      <c r="E2825" s="142"/>
      <c r="F2825" s="142"/>
      <c r="G2825" s="140"/>
    </row>
    <row r="2826" spans="2:7" hidden="1">
      <c r="B2826" s="141" t="s">
        <v>7806</v>
      </c>
      <c r="C2826" s="140"/>
      <c r="D2826" s="141" t="s">
        <v>7807</v>
      </c>
      <c r="E2826" s="140"/>
      <c r="F2826" s="140"/>
      <c r="G2826" s="140"/>
    </row>
    <row r="2827" spans="2:7" hidden="1">
      <c r="B2827" s="141" t="s">
        <v>7808</v>
      </c>
      <c r="C2827" s="140"/>
      <c r="D2827" s="141" t="s">
        <v>7809</v>
      </c>
      <c r="E2827" s="140"/>
      <c r="F2827" s="140"/>
      <c r="G2827" s="140"/>
    </row>
    <row r="2828" spans="2:7" hidden="1">
      <c r="B2828" s="141" t="s">
        <v>7810</v>
      </c>
      <c r="C2828" s="141"/>
      <c r="D2828" s="141" t="s">
        <v>7811</v>
      </c>
      <c r="E2828" s="140"/>
      <c r="F2828" s="140"/>
      <c r="G2828" s="140"/>
    </row>
    <row r="2829" spans="2:7" hidden="1">
      <c r="B2829" s="140" t="s">
        <v>7812</v>
      </c>
      <c r="C2829" s="140"/>
      <c r="D2829" s="140" t="s">
        <v>7813</v>
      </c>
      <c r="E2829" s="142"/>
      <c r="F2829" s="142"/>
      <c r="G2829" s="140"/>
    </row>
    <row r="2830" spans="2:7" hidden="1">
      <c r="B2830" s="141" t="s">
        <v>7814</v>
      </c>
      <c r="C2830" s="140"/>
      <c r="D2830" s="141" t="s">
        <v>7815</v>
      </c>
      <c r="E2830" s="140"/>
      <c r="F2830" s="140"/>
      <c r="G2830" s="140"/>
    </row>
    <row r="2831" spans="2:7" hidden="1">
      <c r="B2831" s="141" t="s">
        <v>7816</v>
      </c>
      <c r="C2831" s="140"/>
      <c r="D2831" s="141" t="s">
        <v>7817</v>
      </c>
      <c r="E2831" s="140"/>
      <c r="F2831" s="140"/>
      <c r="G2831" s="140"/>
    </row>
    <row r="2832" spans="2:7" hidden="1">
      <c r="B2832" s="141" t="s">
        <v>7818</v>
      </c>
      <c r="C2832" s="141" t="s">
        <v>7819</v>
      </c>
      <c r="D2832" s="141" t="s">
        <v>7820</v>
      </c>
      <c r="E2832" s="141"/>
      <c r="F2832" s="140"/>
      <c r="G2832" s="140"/>
    </row>
    <row r="2833" spans="2:7" hidden="1">
      <c r="B2833" s="141" t="s">
        <v>7821</v>
      </c>
      <c r="C2833" s="140" t="s">
        <v>7822</v>
      </c>
      <c r="D2833" s="141" t="s">
        <v>7823</v>
      </c>
      <c r="E2833" s="140"/>
      <c r="F2833" s="140"/>
      <c r="G2833" s="140" t="s">
        <v>7824</v>
      </c>
    </row>
    <row r="2834" spans="2:7" hidden="1">
      <c r="B2834" s="141" t="s">
        <v>7825</v>
      </c>
      <c r="C2834" s="140"/>
      <c r="D2834" s="141" t="s">
        <v>7826</v>
      </c>
      <c r="E2834" s="140"/>
      <c r="F2834" s="140"/>
      <c r="G2834" s="140"/>
    </row>
    <row r="2835" spans="2:7" hidden="1">
      <c r="B2835" s="141" t="s">
        <v>7827</v>
      </c>
      <c r="C2835" s="140"/>
      <c r="D2835" s="141" t="s">
        <v>4904</v>
      </c>
      <c r="E2835" s="140"/>
      <c r="F2835" s="140"/>
      <c r="G2835" s="140"/>
    </row>
    <row r="2836" spans="2:7" hidden="1">
      <c r="B2836" s="141" t="s">
        <v>7828</v>
      </c>
      <c r="C2836" s="140"/>
      <c r="D2836" s="141" t="s">
        <v>3485</v>
      </c>
      <c r="E2836" s="140"/>
      <c r="F2836" s="140"/>
      <c r="G2836" s="140"/>
    </row>
    <row r="2837" spans="2:7" hidden="1">
      <c r="B2837" s="141" t="s">
        <v>21679</v>
      </c>
      <c r="C2837" s="140" t="s">
        <v>7829</v>
      </c>
      <c r="D2837" s="141" t="s">
        <v>7830</v>
      </c>
      <c r="E2837" s="140"/>
      <c r="F2837" s="140"/>
      <c r="G2837" s="140"/>
    </row>
    <row r="2838" spans="2:7" hidden="1">
      <c r="B2838" s="141" t="s">
        <v>7831</v>
      </c>
      <c r="C2838" s="140"/>
      <c r="D2838" s="141" t="s">
        <v>7832</v>
      </c>
      <c r="E2838" s="140"/>
      <c r="F2838" s="140"/>
      <c r="G2838" s="140"/>
    </row>
    <row r="2839" spans="2:7" hidden="1">
      <c r="B2839" s="141" t="s">
        <v>7833</v>
      </c>
      <c r="C2839" s="140" t="s">
        <v>7834</v>
      </c>
      <c r="D2839" s="141" t="s">
        <v>7835</v>
      </c>
      <c r="E2839" s="140" t="s">
        <v>7836</v>
      </c>
      <c r="F2839" s="140" t="s">
        <v>7837</v>
      </c>
      <c r="G2839" s="140"/>
    </row>
    <row r="2840" spans="2:7" hidden="1">
      <c r="B2840" s="141" t="s">
        <v>7838</v>
      </c>
      <c r="C2840" s="140" t="s">
        <v>7839</v>
      </c>
      <c r="D2840" s="141" t="s">
        <v>7840</v>
      </c>
      <c r="E2840" s="140" t="s">
        <v>7841</v>
      </c>
      <c r="F2840" s="140" t="s">
        <v>7842</v>
      </c>
      <c r="G2840" s="140"/>
    </row>
    <row r="2841" spans="2:7" hidden="1">
      <c r="B2841" s="141" t="s">
        <v>7843</v>
      </c>
      <c r="C2841" s="140"/>
      <c r="D2841" s="141" t="s">
        <v>7844</v>
      </c>
      <c r="E2841" s="140"/>
      <c r="F2841" s="140"/>
      <c r="G2841" s="140"/>
    </row>
    <row r="2842" spans="2:7" hidden="1">
      <c r="B2842" s="140" t="s">
        <v>7845</v>
      </c>
      <c r="C2842" s="140"/>
      <c r="D2842" s="140" t="s">
        <v>6871</v>
      </c>
      <c r="E2842" s="142"/>
      <c r="F2842" s="142"/>
      <c r="G2842" s="140"/>
    </row>
    <row r="2843" spans="2:7" hidden="1">
      <c r="B2843" s="140" t="s">
        <v>7846</v>
      </c>
      <c r="C2843" s="140"/>
      <c r="D2843" s="140" t="s">
        <v>7847</v>
      </c>
      <c r="E2843" s="142"/>
      <c r="F2843" s="142"/>
      <c r="G2843" s="140"/>
    </row>
    <row r="2844" spans="2:7" hidden="1">
      <c r="B2844" s="141" t="s">
        <v>7848</v>
      </c>
      <c r="C2844" s="140"/>
      <c r="D2844" s="141" t="s">
        <v>5208</v>
      </c>
      <c r="E2844" s="140"/>
      <c r="F2844" s="140"/>
      <c r="G2844" s="140"/>
    </row>
    <row r="2845" spans="2:7" hidden="1">
      <c r="B2845" s="141" t="s">
        <v>7849</v>
      </c>
      <c r="C2845" s="140"/>
      <c r="D2845" s="141" t="s">
        <v>7850</v>
      </c>
      <c r="E2845" s="140" t="s">
        <v>7851</v>
      </c>
      <c r="F2845" s="140"/>
      <c r="G2845" s="140"/>
    </row>
    <row r="2846" spans="2:7" hidden="1">
      <c r="B2846" s="141" t="s">
        <v>7852</v>
      </c>
      <c r="C2846" s="141"/>
      <c r="D2846" s="141" t="s">
        <v>2583</v>
      </c>
      <c r="E2846" s="141"/>
      <c r="F2846" s="140"/>
      <c r="G2846" s="140"/>
    </row>
    <row r="2847" spans="2:7" hidden="1">
      <c r="B2847" s="141" t="s">
        <v>7853</v>
      </c>
      <c r="C2847" s="140"/>
      <c r="D2847" s="141" t="s">
        <v>7854</v>
      </c>
      <c r="E2847" s="140"/>
      <c r="F2847" s="140"/>
      <c r="G2847" s="140"/>
    </row>
    <row r="2848" spans="2:7" hidden="1">
      <c r="B2848" s="141" t="s">
        <v>7855</v>
      </c>
      <c r="C2848" s="140"/>
      <c r="D2848" s="141" t="s">
        <v>6587</v>
      </c>
      <c r="E2848" s="140"/>
      <c r="F2848" s="140"/>
      <c r="G2848" s="140"/>
    </row>
    <row r="2849" spans="2:7" hidden="1">
      <c r="B2849" s="141" t="s">
        <v>21680</v>
      </c>
      <c r="C2849" s="140"/>
      <c r="D2849" s="141" t="s">
        <v>7856</v>
      </c>
      <c r="E2849" s="140"/>
      <c r="F2849" s="140"/>
      <c r="G2849" s="140"/>
    </row>
    <row r="2850" spans="2:7" hidden="1">
      <c r="B2850" s="141" t="s">
        <v>7857</v>
      </c>
      <c r="C2850" s="140"/>
      <c r="D2850" s="141" t="s">
        <v>7858</v>
      </c>
      <c r="E2850" s="140"/>
      <c r="F2850" s="140"/>
      <c r="G2850" s="140"/>
    </row>
    <row r="2851" spans="2:7" hidden="1">
      <c r="B2851" s="141" t="s">
        <v>7859</v>
      </c>
      <c r="C2851" s="140"/>
      <c r="D2851" s="141" t="s">
        <v>7860</v>
      </c>
      <c r="E2851" s="140"/>
      <c r="F2851" s="140"/>
      <c r="G2851" s="140"/>
    </row>
    <row r="2852" spans="2:7" hidden="1">
      <c r="B2852" s="140" t="s">
        <v>21681</v>
      </c>
      <c r="C2852" s="140" t="s">
        <v>21045</v>
      </c>
      <c r="D2852" s="140" t="s">
        <v>21046</v>
      </c>
      <c r="E2852" s="142" t="s">
        <v>21047</v>
      </c>
      <c r="F2852" s="142"/>
      <c r="G2852" s="140"/>
    </row>
    <row r="2853" spans="2:7" hidden="1">
      <c r="B2853" s="141" t="s">
        <v>7861</v>
      </c>
      <c r="C2853" s="140"/>
      <c r="D2853" s="141" t="s">
        <v>7862</v>
      </c>
      <c r="E2853" s="140"/>
      <c r="F2853" s="140"/>
      <c r="G2853" s="140"/>
    </row>
    <row r="2854" spans="2:7" hidden="1">
      <c r="B2854" s="140" t="s">
        <v>7863</v>
      </c>
      <c r="C2854" s="140"/>
      <c r="D2854" s="140" t="s">
        <v>7864</v>
      </c>
      <c r="E2854" s="140"/>
      <c r="F2854" s="140"/>
      <c r="G2854" s="140"/>
    </row>
    <row r="2855" spans="2:7" hidden="1">
      <c r="B2855" s="141" t="s">
        <v>7865</v>
      </c>
      <c r="C2855" s="140"/>
      <c r="D2855" s="141" t="s">
        <v>7425</v>
      </c>
      <c r="E2855" s="140"/>
      <c r="F2855" s="140"/>
      <c r="G2855" s="140"/>
    </row>
    <row r="2856" spans="2:7" hidden="1">
      <c r="B2856" s="141" t="s">
        <v>7866</v>
      </c>
      <c r="C2856" s="140" t="s">
        <v>7867</v>
      </c>
      <c r="D2856" s="141" t="s">
        <v>7868</v>
      </c>
      <c r="E2856" s="140" t="s">
        <v>7869</v>
      </c>
      <c r="F2856" s="140"/>
      <c r="G2856" s="140"/>
    </row>
    <row r="2857" spans="2:7" hidden="1">
      <c r="B2857" s="141" t="s">
        <v>7870</v>
      </c>
      <c r="C2857" s="140"/>
      <c r="D2857" s="141" t="s">
        <v>970</v>
      </c>
      <c r="E2857" s="140"/>
      <c r="F2857" s="140"/>
      <c r="G2857" s="140"/>
    </row>
    <row r="2858" spans="2:7" hidden="1">
      <c r="B2858" s="141" t="s">
        <v>7871</v>
      </c>
      <c r="C2858" s="140"/>
      <c r="D2858" s="141" t="s">
        <v>7872</v>
      </c>
      <c r="E2858" s="140"/>
      <c r="F2858" s="140"/>
      <c r="G2858" s="140"/>
    </row>
    <row r="2859" spans="2:7" hidden="1">
      <c r="B2859" s="140" t="s">
        <v>21682</v>
      </c>
      <c r="C2859" s="140"/>
      <c r="D2859" s="140" t="s">
        <v>7873</v>
      </c>
      <c r="E2859" s="142"/>
      <c r="F2859" s="142"/>
      <c r="G2859" s="140"/>
    </row>
    <row r="2860" spans="2:7" hidden="1">
      <c r="B2860" s="141" t="s">
        <v>21683</v>
      </c>
      <c r="C2860" s="140" t="s">
        <v>7874</v>
      </c>
      <c r="D2860" s="141" t="s">
        <v>7875</v>
      </c>
      <c r="E2860" s="140" t="s">
        <v>7876</v>
      </c>
      <c r="F2860" s="140"/>
      <c r="G2860" s="140"/>
    </row>
    <row r="2861" spans="2:7" hidden="1">
      <c r="B2861" s="140" t="s">
        <v>7877</v>
      </c>
      <c r="C2861" s="140"/>
      <c r="D2861" s="140" t="s">
        <v>7878</v>
      </c>
      <c r="E2861" s="140"/>
      <c r="F2861" s="140"/>
      <c r="G2861" s="140"/>
    </row>
    <row r="2862" spans="2:7" hidden="1">
      <c r="B2862" s="141" t="s">
        <v>7879</v>
      </c>
      <c r="C2862" s="140"/>
      <c r="D2862" s="141" t="s">
        <v>7878</v>
      </c>
      <c r="E2862" s="140"/>
      <c r="F2862" s="140"/>
      <c r="G2862" s="140"/>
    </row>
    <row r="2863" spans="2:7" hidden="1">
      <c r="B2863" s="141" t="s">
        <v>7880</v>
      </c>
      <c r="C2863" s="140"/>
      <c r="D2863" s="141" t="s">
        <v>7881</v>
      </c>
      <c r="E2863" s="140"/>
      <c r="F2863" s="140"/>
      <c r="G2863" s="140"/>
    </row>
    <row r="2864" spans="2:7" hidden="1">
      <c r="B2864" s="141" t="s">
        <v>7882</v>
      </c>
      <c r="C2864" s="140"/>
      <c r="D2864" s="141" t="s">
        <v>5168</v>
      </c>
      <c r="E2864" s="140"/>
      <c r="F2864" s="140"/>
      <c r="G2864" s="140"/>
    </row>
    <row r="2865" spans="2:7" hidden="1">
      <c r="B2865" s="140" t="s">
        <v>7883</v>
      </c>
      <c r="C2865" s="140"/>
      <c r="D2865" s="140" t="s">
        <v>7884</v>
      </c>
      <c r="E2865" s="140"/>
      <c r="F2865" s="140"/>
      <c r="G2865" s="140"/>
    </row>
    <row r="2866" spans="2:7" hidden="1">
      <c r="B2866" s="141" t="s">
        <v>7885</v>
      </c>
      <c r="C2866" s="140"/>
      <c r="D2866" s="141" t="s">
        <v>7886</v>
      </c>
      <c r="E2866" s="140"/>
      <c r="F2866" s="140"/>
      <c r="G2866" s="140"/>
    </row>
    <row r="2867" spans="2:7" hidden="1">
      <c r="B2867" s="141" t="s">
        <v>7887</v>
      </c>
      <c r="C2867" s="140"/>
      <c r="D2867" s="140" t="s">
        <v>4426</v>
      </c>
      <c r="E2867" s="140"/>
      <c r="F2867" s="140"/>
      <c r="G2867" s="140"/>
    </row>
    <row r="2868" spans="2:7" hidden="1">
      <c r="B2868" s="141" t="s">
        <v>7888</v>
      </c>
      <c r="C2868" s="140"/>
      <c r="D2868" s="141" t="s">
        <v>7889</v>
      </c>
      <c r="E2868" s="140"/>
      <c r="F2868" s="140"/>
      <c r="G2868" s="140"/>
    </row>
    <row r="2869" spans="2:7" hidden="1">
      <c r="B2869" s="141" t="s">
        <v>7890</v>
      </c>
      <c r="C2869" s="140"/>
      <c r="D2869" s="141" t="s">
        <v>7891</v>
      </c>
      <c r="E2869" s="140"/>
      <c r="F2869" s="140"/>
      <c r="G2869" s="140"/>
    </row>
    <row r="2870" spans="2:7" hidden="1">
      <c r="B2870" s="141" t="s">
        <v>7892</v>
      </c>
      <c r="C2870" s="140" t="s">
        <v>7893</v>
      </c>
      <c r="D2870" s="141" t="s">
        <v>3162</v>
      </c>
      <c r="E2870" s="140" t="s">
        <v>7894</v>
      </c>
      <c r="F2870" s="140" t="s">
        <v>7895</v>
      </c>
      <c r="G2870" s="140"/>
    </row>
    <row r="2871" spans="2:7" hidden="1">
      <c r="B2871" s="140" t="s">
        <v>7896</v>
      </c>
      <c r="C2871" s="140"/>
      <c r="D2871" s="140" t="s">
        <v>7897</v>
      </c>
      <c r="E2871" s="140"/>
      <c r="F2871" s="140"/>
      <c r="G2871" s="140"/>
    </row>
    <row r="2872" spans="2:7" hidden="1">
      <c r="B2872" s="141" t="s">
        <v>7898</v>
      </c>
      <c r="C2872" s="141"/>
      <c r="D2872" s="141" t="s">
        <v>3986</v>
      </c>
      <c r="E2872" s="141"/>
      <c r="F2872" s="141"/>
      <c r="G2872" s="140"/>
    </row>
    <row r="2873" spans="2:7" hidden="1">
      <c r="B2873" s="141" t="s">
        <v>7899</v>
      </c>
      <c r="C2873" s="140" t="s">
        <v>7900</v>
      </c>
      <c r="D2873" s="141" t="s">
        <v>7901</v>
      </c>
      <c r="E2873" s="140"/>
      <c r="F2873" s="140"/>
      <c r="G2873" s="140"/>
    </row>
    <row r="2874" spans="2:7" hidden="1">
      <c r="B2874" s="141" t="s">
        <v>7902</v>
      </c>
      <c r="C2874" s="140" t="s">
        <v>7903</v>
      </c>
      <c r="D2874" s="141" t="s">
        <v>7904</v>
      </c>
      <c r="E2874" s="140" t="s">
        <v>7905</v>
      </c>
      <c r="F2874" s="140" t="s">
        <v>7906</v>
      </c>
      <c r="G2874" s="140"/>
    </row>
    <row r="2875" spans="2:7" hidden="1">
      <c r="B2875" s="141" t="s">
        <v>21684</v>
      </c>
      <c r="C2875" s="140"/>
      <c r="D2875" s="141" t="s">
        <v>3621</v>
      </c>
      <c r="E2875" s="140"/>
      <c r="F2875" s="140"/>
      <c r="G2875" s="140"/>
    </row>
    <row r="2876" spans="2:7" hidden="1">
      <c r="B2876" s="141" t="s">
        <v>7907</v>
      </c>
      <c r="C2876" s="140"/>
      <c r="D2876" s="141" t="s">
        <v>7908</v>
      </c>
      <c r="E2876" s="140"/>
      <c r="F2876" s="140"/>
      <c r="G2876" s="140"/>
    </row>
    <row r="2877" spans="2:7" hidden="1">
      <c r="B2877" s="141" t="s">
        <v>7909</v>
      </c>
      <c r="C2877" s="140" t="s">
        <v>7910</v>
      </c>
      <c r="D2877" s="141" t="s">
        <v>7911</v>
      </c>
      <c r="E2877" s="140"/>
      <c r="F2877" s="140"/>
      <c r="G2877" s="140"/>
    </row>
    <row r="2878" spans="2:7" hidden="1">
      <c r="B2878" s="141" t="s">
        <v>21685</v>
      </c>
      <c r="C2878" s="140"/>
      <c r="D2878" s="141" t="s">
        <v>7912</v>
      </c>
      <c r="E2878" s="140"/>
      <c r="F2878" s="140"/>
      <c r="G2878" s="140"/>
    </row>
    <row r="2879" spans="2:7" hidden="1">
      <c r="B2879" s="140" t="s">
        <v>7913</v>
      </c>
      <c r="C2879" s="140"/>
      <c r="D2879" s="140" t="s">
        <v>7914</v>
      </c>
      <c r="E2879" s="142"/>
      <c r="F2879" s="142"/>
      <c r="G2879" s="140"/>
    </row>
    <row r="2880" spans="2:7" hidden="1">
      <c r="B2880" s="141" t="s">
        <v>7915</v>
      </c>
      <c r="C2880" s="140"/>
      <c r="D2880" s="141" t="s">
        <v>7916</v>
      </c>
      <c r="E2880" s="140"/>
      <c r="F2880" s="140"/>
      <c r="G2880" s="140"/>
    </row>
    <row r="2881" spans="2:7" hidden="1">
      <c r="B2881" s="141" t="s">
        <v>7917</v>
      </c>
      <c r="C2881" s="140"/>
      <c r="D2881" s="141" t="s">
        <v>7918</v>
      </c>
      <c r="E2881" s="140"/>
      <c r="F2881" s="140"/>
      <c r="G2881" s="140"/>
    </row>
    <row r="2882" spans="2:7" hidden="1">
      <c r="B2882" s="140" t="s">
        <v>7919</v>
      </c>
      <c r="C2882" s="140"/>
      <c r="D2882" s="140" t="s">
        <v>3793</v>
      </c>
      <c r="E2882" s="142"/>
      <c r="F2882" s="142"/>
      <c r="G2882" s="140"/>
    </row>
    <row r="2883" spans="2:7" hidden="1">
      <c r="B2883" s="140" t="s">
        <v>7920</v>
      </c>
      <c r="C2883" s="140"/>
      <c r="D2883" s="140" t="s">
        <v>4551</v>
      </c>
      <c r="E2883" s="142"/>
      <c r="F2883" s="142"/>
      <c r="G2883" s="140"/>
    </row>
    <row r="2884" spans="2:7" hidden="1">
      <c r="B2884" s="140" t="s">
        <v>7921</v>
      </c>
      <c r="C2884" s="140"/>
      <c r="D2884" s="140" t="s">
        <v>7922</v>
      </c>
      <c r="E2884" s="142"/>
      <c r="F2884" s="142"/>
      <c r="G2884" s="140"/>
    </row>
    <row r="2885" spans="2:7" hidden="1">
      <c r="B2885" s="141" t="s">
        <v>7923</v>
      </c>
      <c r="C2885" s="140" t="s">
        <v>7924</v>
      </c>
      <c r="D2885" s="141" t="s">
        <v>4634</v>
      </c>
      <c r="E2885" s="140"/>
      <c r="F2885" s="140"/>
      <c r="G2885" s="140"/>
    </row>
    <row r="2886" spans="2:7" hidden="1">
      <c r="B2886" s="141" t="s">
        <v>7925</v>
      </c>
      <c r="C2886" s="141"/>
      <c r="D2886" s="141" t="s">
        <v>7926</v>
      </c>
      <c r="E2886" s="140"/>
      <c r="F2886" s="140"/>
      <c r="G2886" s="140"/>
    </row>
    <row r="2887" spans="2:7" hidden="1">
      <c r="B2887" s="141" t="s">
        <v>7927</v>
      </c>
      <c r="C2887" s="141" t="s">
        <v>7928</v>
      </c>
      <c r="D2887" s="141" t="s">
        <v>7929</v>
      </c>
      <c r="E2887" s="141"/>
      <c r="F2887" s="141"/>
      <c r="G2887" s="140"/>
    </row>
    <row r="2888" spans="2:7" hidden="1">
      <c r="B2888" s="141" t="s">
        <v>7930</v>
      </c>
      <c r="C2888" s="140" t="s">
        <v>7931</v>
      </c>
      <c r="D2888" s="141" t="s">
        <v>7932</v>
      </c>
      <c r="E2888" s="140" t="s">
        <v>7933</v>
      </c>
      <c r="F2888" s="140"/>
      <c r="G2888" s="140"/>
    </row>
    <row r="2889" spans="2:7" hidden="1">
      <c r="B2889" s="141" t="s">
        <v>7934</v>
      </c>
      <c r="C2889" s="140" t="s">
        <v>7935</v>
      </c>
      <c r="D2889" s="141" t="s">
        <v>7936</v>
      </c>
      <c r="E2889" s="140" t="s">
        <v>7937</v>
      </c>
      <c r="F2889" s="140"/>
      <c r="G2889" s="140"/>
    </row>
    <row r="2890" spans="2:7" hidden="1">
      <c r="B2890" s="141" t="s">
        <v>7938</v>
      </c>
      <c r="C2890" s="140" t="s">
        <v>7939</v>
      </c>
      <c r="D2890" s="141" t="s">
        <v>4417</v>
      </c>
      <c r="E2890" s="140"/>
      <c r="F2890" s="140"/>
      <c r="G2890" s="140"/>
    </row>
    <row r="2891" spans="2:7" hidden="1">
      <c r="B2891" s="141" t="s">
        <v>7940</v>
      </c>
      <c r="C2891" s="140"/>
      <c r="D2891" s="141" t="s">
        <v>7941</v>
      </c>
      <c r="E2891" s="140"/>
      <c r="F2891" s="140"/>
      <c r="G2891" s="140"/>
    </row>
    <row r="2892" spans="2:7" hidden="1">
      <c r="B2892" s="141" t="s">
        <v>7942</v>
      </c>
      <c r="C2892" s="140"/>
      <c r="D2892" s="141" t="s">
        <v>7943</v>
      </c>
      <c r="E2892" s="140"/>
      <c r="F2892" s="140"/>
      <c r="G2892" s="140"/>
    </row>
    <row r="2893" spans="2:7" hidden="1">
      <c r="B2893" s="141" t="s">
        <v>7944</v>
      </c>
      <c r="C2893" s="140"/>
      <c r="D2893" s="141" t="s">
        <v>7406</v>
      </c>
      <c r="E2893" s="140"/>
      <c r="F2893" s="140"/>
      <c r="G2893" s="140"/>
    </row>
    <row r="2894" spans="2:7" hidden="1">
      <c r="B2894" s="141" t="s">
        <v>7945</v>
      </c>
      <c r="C2894" s="141"/>
      <c r="D2894" s="141" t="s">
        <v>2576</v>
      </c>
      <c r="E2894" s="141"/>
      <c r="F2894" s="141"/>
      <c r="G2894" s="140"/>
    </row>
    <row r="2895" spans="2:7" hidden="1">
      <c r="B2895" s="141" t="s">
        <v>7946</v>
      </c>
      <c r="C2895" s="140"/>
      <c r="D2895" s="141" t="s">
        <v>2942</v>
      </c>
      <c r="E2895" s="140"/>
      <c r="F2895" s="140"/>
      <c r="G2895" s="140"/>
    </row>
    <row r="2896" spans="2:7" hidden="1">
      <c r="B2896" s="140" t="s">
        <v>21686</v>
      </c>
      <c r="C2896" s="140" t="s">
        <v>7947</v>
      </c>
      <c r="D2896" s="140" t="s">
        <v>2736</v>
      </c>
      <c r="E2896" s="142"/>
      <c r="F2896" s="142"/>
      <c r="G2896" s="140"/>
    </row>
    <row r="2897" spans="2:7" hidden="1">
      <c r="B2897" s="140" t="s">
        <v>7948</v>
      </c>
      <c r="C2897" s="140" t="s">
        <v>7949</v>
      </c>
      <c r="D2897" s="140" t="s">
        <v>7950</v>
      </c>
      <c r="E2897" s="140" t="s">
        <v>7951</v>
      </c>
      <c r="F2897" s="140"/>
      <c r="G2897" s="140"/>
    </row>
    <row r="2898" spans="2:7" hidden="1">
      <c r="B2898" s="141" t="s">
        <v>7952</v>
      </c>
      <c r="C2898" s="140"/>
      <c r="D2898" s="141" t="s">
        <v>7953</v>
      </c>
      <c r="E2898" s="140"/>
      <c r="F2898" s="140"/>
      <c r="G2898" s="140"/>
    </row>
    <row r="2899" spans="2:7" hidden="1">
      <c r="B2899" s="141" t="s">
        <v>7954</v>
      </c>
      <c r="C2899" s="140"/>
      <c r="D2899" s="141" t="s">
        <v>2736</v>
      </c>
      <c r="E2899" s="140"/>
      <c r="F2899" s="140"/>
      <c r="G2899" s="140"/>
    </row>
    <row r="2900" spans="2:7" hidden="1">
      <c r="B2900" s="141" t="s">
        <v>7955</v>
      </c>
      <c r="C2900" s="140"/>
      <c r="D2900" s="141"/>
      <c r="E2900" s="140"/>
      <c r="F2900" s="140"/>
      <c r="G2900" s="140" t="s">
        <v>7956</v>
      </c>
    </row>
    <row r="2901" spans="2:7" hidden="1">
      <c r="B2901" s="141" t="s">
        <v>21687</v>
      </c>
      <c r="C2901" s="140"/>
      <c r="D2901" s="141" t="s">
        <v>7957</v>
      </c>
      <c r="E2901" s="140"/>
      <c r="F2901" s="140"/>
      <c r="G2901" s="140"/>
    </row>
    <row r="2902" spans="2:7" hidden="1">
      <c r="B2902" s="141" t="s">
        <v>7958</v>
      </c>
      <c r="C2902" s="140"/>
      <c r="D2902" s="141" t="s">
        <v>7959</v>
      </c>
      <c r="E2902" s="140"/>
      <c r="F2902" s="140"/>
      <c r="G2902" s="140"/>
    </row>
    <row r="2903" spans="2:7" hidden="1">
      <c r="B2903" s="141" t="s">
        <v>21688</v>
      </c>
      <c r="C2903" s="141"/>
      <c r="D2903" s="141" t="s">
        <v>7960</v>
      </c>
      <c r="E2903" s="141"/>
      <c r="F2903" s="141"/>
      <c r="G2903" s="140"/>
    </row>
    <row r="2904" spans="2:7" hidden="1">
      <c r="B2904" s="140" t="s">
        <v>7961</v>
      </c>
      <c r="C2904" s="140"/>
      <c r="D2904" s="140" t="s">
        <v>4196</v>
      </c>
      <c r="E2904" s="142"/>
      <c r="F2904" s="142"/>
      <c r="G2904" s="140"/>
    </row>
    <row r="2905" spans="2:7" hidden="1">
      <c r="B2905" s="141" t="s">
        <v>7962</v>
      </c>
      <c r="C2905" s="140"/>
      <c r="D2905" s="141" t="s">
        <v>7963</v>
      </c>
      <c r="E2905" s="140"/>
      <c r="F2905" s="140"/>
      <c r="G2905" s="140"/>
    </row>
    <row r="2906" spans="2:7" hidden="1">
      <c r="B2906" s="141" t="s">
        <v>7964</v>
      </c>
      <c r="C2906" s="140"/>
      <c r="D2906" s="141" t="s">
        <v>7965</v>
      </c>
      <c r="E2906" s="140"/>
      <c r="F2906" s="140"/>
      <c r="G2906" s="140"/>
    </row>
    <row r="2907" spans="2:7" hidden="1">
      <c r="B2907" s="141" t="s">
        <v>7966</v>
      </c>
      <c r="C2907" s="140"/>
      <c r="D2907" s="141" t="s">
        <v>7967</v>
      </c>
      <c r="E2907" s="140"/>
      <c r="F2907" s="140"/>
      <c r="G2907" s="140"/>
    </row>
    <row r="2908" spans="2:7" hidden="1">
      <c r="B2908" s="141" t="s">
        <v>7968</v>
      </c>
      <c r="C2908" s="140"/>
      <c r="D2908" s="141" t="s">
        <v>7969</v>
      </c>
      <c r="E2908" s="140"/>
      <c r="F2908" s="140"/>
      <c r="G2908" s="140"/>
    </row>
    <row r="2909" spans="2:7" hidden="1">
      <c r="B2909" s="140" t="s">
        <v>7970</v>
      </c>
      <c r="C2909" s="140"/>
      <c r="D2909" s="140" t="s">
        <v>7971</v>
      </c>
      <c r="E2909" s="140"/>
      <c r="F2909" s="140"/>
      <c r="G2909" s="140"/>
    </row>
    <row r="2910" spans="2:7" hidden="1">
      <c r="B2910" s="141" t="s">
        <v>7972</v>
      </c>
      <c r="C2910" s="141"/>
      <c r="D2910" s="141" t="s">
        <v>7973</v>
      </c>
      <c r="E2910" s="141"/>
      <c r="F2910" s="140"/>
      <c r="G2910" s="140"/>
    </row>
    <row r="2911" spans="2:7" hidden="1">
      <c r="B2911" s="140" t="s">
        <v>21689</v>
      </c>
      <c r="C2911" s="140"/>
      <c r="D2911" s="140" t="s">
        <v>7974</v>
      </c>
      <c r="E2911" s="140"/>
      <c r="F2911" s="140"/>
      <c r="G2911" s="140"/>
    </row>
    <row r="2912" spans="2:7" hidden="1">
      <c r="B2912" s="141" t="s">
        <v>7975</v>
      </c>
      <c r="C2912" s="140" t="s">
        <v>7976</v>
      </c>
      <c r="D2912" s="141" t="s">
        <v>7977</v>
      </c>
      <c r="E2912" s="140"/>
      <c r="F2912" s="140"/>
      <c r="G2912" s="140" t="s">
        <v>7978</v>
      </c>
    </row>
    <row r="2913" spans="2:7" hidden="1">
      <c r="B2913" s="141" t="s">
        <v>7979</v>
      </c>
      <c r="C2913" s="140" t="s">
        <v>7980</v>
      </c>
      <c r="D2913" s="141" t="s">
        <v>2168</v>
      </c>
      <c r="E2913" s="140" t="s">
        <v>7981</v>
      </c>
      <c r="F2913" s="140"/>
      <c r="G2913" s="140"/>
    </row>
    <row r="2914" spans="2:7" hidden="1">
      <c r="B2914" s="141" t="s">
        <v>7982</v>
      </c>
      <c r="C2914" s="141"/>
      <c r="D2914" s="141" t="s">
        <v>6852</v>
      </c>
      <c r="E2914" s="141"/>
      <c r="F2914" s="140"/>
      <c r="G2914" s="140"/>
    </row>
    <row r="2915" spans="2:7" hidden="1">
      <c r="B2915" s="141" t="s">
        <v>7983</v>
      </c>
      <c r="C2915" s="140"/>
      <c r="D2915" s="140" t="s">
        <v>7608</v>
      </c>
      <c r="E2915" s="140"/>
      <c r="F2915" s="140"/>
      <c r="G2915" s="140"/>
    </row>
    <row r="2916" spans="2:7" hidden="1">
      <c r="B2916" s="141" t="s">
        <v>7984</v>
      </c>
      <c r="C2916" s="140"/>
      <c r="D2916" s="141" t="s">
        <v>7985</v>
      </c>
      <c r="E2916" s="140"/>
      <c r="F2916" s="140"/>
      <c r="G2916" s="140"/>
    </row>
    <row r="2917" spans="2:7" hidden="1">
      <c r="B2917" s="141" t="s">
        <v>7986</v>
      </c>
      <c r="C2917" s="140"/>
      <c r="D2917" s="141" t="s">
        <v>2747</v>
      </c>
      <c r="E2917" s="140"/>
      <c r="F2917" s="140"/>
      <c r="G2917" s="140"/>
    </row>
    <row r="2918" spans="2:7" hidden="1">
      <c r="B2918" s="141" t="s">
        <v>7987</v>
      </c>
      <c r="C2918" s="141"/>
      <c r="D2918" s="141" t="s">
        <v>7988</v>
      </c>
      <c r="E2918" s="141"/>
      <c r="F2918" s="141"/>
      <c r="G2918" s="140"/>
    </row>
    <row r="2919" spans="2:7" hidden="1">
      <c r="B2919" s="141" t="s">
        <v>7989</v>
      </c>
      <c r="C2919" s="140"/>
      <c r="D2919" s="141" t="s">
        <v>7990</v>
      </c>
      <c r="E2919" s="140"/>
      <c r="F2919" s="140"/>
      <c r="G2919" s="140"/>
    </row>
    <row r="2920" spans="2:7" hidden="1">
      <c r="B2920" s="141" t="s">
        <v>7991</v>
      </c>
      <c r="C2920" s="140" t="s">
        <v>7992</v>
      </c>
      <c r="D2920" s="141" t="s">
        <v>7993</v>
      </c>
      <c r="E2920" s="140" t="s">
        <v>7994</v>
      </c>
      <c r="F2920" s="140" t="s">
        <v>7995</v>
      </c>
      <c r="G2920" s="140"/>
    </row>
    <row r="2921" spans="2:7" hidden="1">
      <c r="B2921" s="141" t="s">
        <v>7996</v>
      </c>
      <c r="C2921" s="140" t="s">
        <v>7997</v>
      </c>
      <c r="D2921" s="141" t="s">
        <v>7998</v>
      </c>
      <c r="E2921" s="140" t="s">
        <v>7999</v>
      </c>
      <c r="F2921" s="140" t="s">
        <v>8000</v>
      </c>
      <c r="G2921" s="140"/>
    </row>
    <row r="2922" spans="2:7" hidden="1">
      <c r="B2922" s="141" t="s">
        <v>8001</v>
      </c>
      <c r="C2922" s="140" t="s">
        <v>8002</v>
      </c>
      <c r="D2922" s="141" t="s">
        <v>8003</v>
      </c>
      <c r="E2922" s="140" t="s">
        <v>8004</v>
      </c>
      <c r="F2922" s="140" t="s">
        <v>8005</v>
      </c>
      <c r="G2922" s="140"/>
    </row>
    <row r="2923" spans="2:7" hidden="1">
      <c r="B2923" s="141" t="s">
        <v>8006</v>
      </c>
      <c r="C2923" s="140" t="s">
        <v>8007</v>
      </c>
      <c r="D2923" s="141" t="s">
        <v>8008</v>
      </c>
      <c r="E2923" s="140" t="s">
        <v>8009</v>
      </c>
      <c r="F2923" s="140" t="s">
        <v>8010</v>
      </c>
      <c r="G2923" s="140"/>
    </row>
    <row r="2924" spans="2:7" hidden="1">
      <c r="B2924" s="141" t="s">
        <v>8011</v>
      </c>
      <c r="C2924" s="140" t="s">
        <v>8012</v>
      </c>
      <c r="D2924" s="141" t="s">
        <v>8013</v>
      </c>
      <c r="E2924" s="140" t="s">
        <v>8014</v>
      </c>
      <c r="F2924" s="140" t="s">
        <v>8015</v>
      </c>
      <c r="G2924" s="140"/>
    </row>
    <row r="2925" spans="2:7" hidden="1">
      <c r="B2925" s="140" t="s">
        <v>8016</v>
      </c>
      <c r="C2925" s="140" t="s">
        <v>8017</v>
      </c>
      <c r="D2925" s="141" t="s">
        <v>8018</v>
      </c>
      <c r="E2925" s="140" t="s">
        <v>8019</v>
      </c>
      <c r="F2925" s="140" t="s">
        <v>8020</v>
      </c>
      <c r="G2925" s="140"/>
    </row>
    <row r="2926" spans="2:7" hidden="1">
      <c r="B2926" s="141" t="s">
        <v>8021</v>
      </c>
      <c r="C2926" s="141"/>
      <c r="D2926" s="141" t="s">
        <v>8022</v>
      </c>
      <c r="E2926" s="141" t="s">
        <v>8023</v>
      </c>
      <c r="F2926" s="141"/>
      <c r="G2926" s="140"/>
    </row>
    <row r="2927" spans="2:7" hidden="1">
      <c r="B2927" s="141" t="s">
        <v>8024</v>
      </c>
      <c r="C2927" s="140"/>
      <c r="D2927" s="141"/>
      <c r="E2927" s="140"/>
      <c r="F2927" s="140"/>
      <c r="G2927" s="140" t="s">
        <v>8025</v>
      </c>
    </row>
    <row r="2928" spans="2:7" hidden="1">
      <c r="B2928" s="141" t="s">
        <v>8026</v>
      </c>
      <c r="C2928" s="140" t="s">
        <v>8027</v>
      </c>
      <c r="D2928" s="141" t="s">
        <v>8028</v>
      </c>
      <c r="E2928" s="140" t="s">
        <v>8029</v>
      </c>
      <c r="F2928" s="140" t="s">
        <v>8030</v>
      </c>
      <c r="G2928" s="140"/>
    </row>
    <row r="2929" spans="2:7" hidden="1">
      <c r="B2929" s="141" t="s">
        <v>8031</v>
      </c>
      <c r="C2929" s="141"/>
      <c r="D2929" s="141" t="s">
        <v>8032</v>
      </c>
      <c r="E2929" s="141"/>
      <c r="F2929" s="141"/>
      <c r="G2929" s="140"/>
    </row>
    <row r="2930" spans="2:7" hidden="1">
      <c r="B2930" s="141" t="s">
        <v>8033</v>
      </c>
      <c r="C2930" s="140"/>
      <c r="D2930" s="141" t="s">
        <v>8034</v>
      </c>
      <c r="E2930" s="140"/>
      <c r="F2930" s="140"/>
      <c r="G2930" s="140"/>
    </row>
    <row r="2931" spans="2:7" hidden="1">
      <c r="B2931" s="141" t="s">
        <v>8035</v>
      </c>
      <c r="C2931" s="140"/>
      <c r="D2931" s="141" t="s">
        <v>8036</v>
      </c>
      <c r="E2931" s="140"/>
      <c r="F2931" s="140"/>
      <c r="G2931" s="140"/>
    </row>
    <row r="2932" spans="2:7" hidden="1">
      <c r="B2932" s="141" t="s">
        <v>8037</v>
      </c>
      <c r="C2932" s="140" t="s">
        <v>8038</v>
      </c>
      <c r="D2932" s="141" t="s">
        <v>5547</v>
      </c>
      <c r="E2932" s="140" t="s">
        <v>8039</v>
      </c>
      <c r="F2932" s="140"/>
      <c r="G2932" s="140"/>
    </row>
    <row r="2933" spans="2:7" hidden="1">
      <c r="B2933" s="141" t="s">
        <v>8040</v>
      </c>
      <c r="C2933" s="140" t="s">
        <v>8041</v>
      </c>
      <c r="D2933" s="141" t="s">
        <v>8042</v>
      </c>
      <c r="E2933" s="140" t="s">
        <v>8043</v>
      </c>
      <c r="F2933" s="140"/>
      <c r="G2933" s="140"/>
    </row>
    <row r="2934" spans="2:7" hidden="1">
      <c r="B2934" s="141" t="s">
        <v>8044</v>
      </c>
      <c r="C2934" s="140"/>
      <c r="D2934" s="141" t="s">
        <v>8045</v>
      </c>
      <c r="E2934" s="140"/>
      <c r="F2934" s="140"/>
      <c r="G2934" s="140"/>
    </row>
    <row r="2935" spans="2:7" hidden="1">
      <c r="B2935" s="141" t="s">
        <v>21690</v>
      </c>
      <c r="C2935" s="140"/>
      <c r="D2935" s="141" t="s">
        <v>1213</v>
      </c>
      <c r="E2935" s="140"/>
      <c r="F2935" s="140"/>
      <c r="G2935" s="140"/>
    </row>
    <row r="2936" spans="2:7" hidden="1">
      <c r="B2936" s="141" t="s">
        <v>8046</v>
      </c>
      <c r="C2936" s="141" t="s">
        <v>8047</v>
      </c>
      <c r="D2936" s="141" t="s">
        <v>8048</v>
      </c>
      <c r="E2936" s="140" t="s">
        <v>8049</v>
      </c>
      <c r="F2936" s="140"/>
      <c r="G2936" s="140"/>
    </row>
    <row r="2937" spans="2:7" hidden="1">
      <c r="B2937" s="141" t="s">
        <v>8050</v>
      </c>
      <c r="C2937" s="140"/>
      <c r="D2937" s="141" t="s">
        <v>8051</v>
      </c>
      <c r="E2937" s="140"/>
      <c r="F2937" s="140"/>
      <c r="G2937" s="140"/>
    </row>
    <row r="2938" spans="2:7" hidden="1">
      <c r="B2938" s="141" t="s">
        <v>8052</v>
      </c>
      <c r="C2938" s="140" t="s">
        <v>8053</v>
      </c>
      <c r="D2938" s="141" t="s">
        <v>2168</v>
      </c>
      <c r="E2938" s="140" t="s">
        <v>8054</v>
      </c>
      <c r="F2938" s="140"/>
      <c r="G2938" s="140"/>
    </row>
    <row r="2939" spans="2:7" hidden="1">
      <c r="B2939" s="141" t="s">
        <v>8055</v>
      </c>
      <c r="C2939" s="140"/>
      <c r="D2939" s="141" t="s">
        <v>6905</v>
      </c>
      <c r="E2939" s="140"/>
      <c r="F2939" s="140"/>
      <c r="G2939" s="140"/>
    </row>
    <row r="2940" spans="2:7" hidden="1">
      <c r="B2940" s="141" t="s">
        <v>8056</v>
      </c>
      <c r="C2940" s="140"/>
      <c r="D2940" s="141" t="s">
        <v>7760</v>
      </c>
      <c r="E2940" s="140"/>
      <c r="F2940" s="140"/>
      <c r="G2940" s="140"/>
    </row>
    <row r="2941" spans="2:7" hidden="1">
      <c r="B2941" s="141" t="s">
        <v>8057</v>
      </c>
      <c r="C2941" s="140" t="s">
        <v>8058</v>
      </c>
      <c r="D2941" s="141" t="s">
        <v>8059</v>
      </c>
      <c r="E2941" s="140"/>
      <c r="F2941" s="140"/>
      <c r="G2941" s="140" t="s">
        <v>8060</v>
      </c>
    </row>
    <row r="2942" spans="2:7" hidden="1">
      <c r="B2942" s="140" t="s">
        <v>8061</v>
      </c>
      <c r="C2942" s="140"/>
      <c r="D2942" s="140" t="s">
        <v>8062</v>
      </c>
      <c r="E2942" s="142"/>
      <c r="F2942" s="142"/>
      <c r="G2942" s="140"/>
    </row>
    <row r="2943" spans="2:7" hidden="1">
      <c r="B2943" s="140" t="s">
        <v>8063</v>
      </c>
      <c r="C2943" s="140"/>
      <c r="D2943" s="140" t="s">
        <v>8064</v>
      </c>
      <c r="E2943" s="142"/>
      <c r="F2943" s="142"/>
      <c r="G2943" s="140"/>
    </row>
    <row r="2944" spans="2:7" hidden="1">
      <c r="B2944" s="141" t="s">
        <v>8065</v>
      </c>
      <c r="C2944" s="140" t="s">
        <v>8066</v>
      </c>
      <c r="D2944" s="141" t="s">
        <v>8067</v>
      </c>
      <c r="E2944" s="140"/>
      <c r="F2944" s="140"/>
      <c r="G2944" s="140" t="s">
        <v>8068</v>
      </c>
    </row>
    <row r="2945" spans="2:7" hidden="1">
      <c r="B2945" s="141" t="s">
        <v>8069</v>
      </c>
      <c r="C2945" s="140"/>
      <c r="D2945" s="141" t="s">
        <v>2997</v>
      </c>
      <c r="E2945" s="140"/>
      <c r="F2945" s="140"/>
      <c r="G2945" s="140"/>
    </row>
    <row r="2946" spans="2:7" hidden="1">
      <c r="B2946" s="141" t="s">
        <v>8070</v>
      </c>
      <c r="C2946" s="140"/>
      <c r="D2946" s="141" t="s">
        <v>8071</v>
      </c>
      <c r="E2946" s="140"/>
      <c r="F2946" s="140"/>
      <c r="G2946" s="140"/>
    </row>
    <row r="2947" spans="2:7" hidden="1">
      <c r="B2947" s="141" t="s">
        <v>8077</v>
      </c>
      <c r="C2947" s="140"/>
      <c r="D2947" s="141" t="s">
        <v>5243</v>
      </c>
      <c r="E2947" s="140"/>
      <c r="F2947" s="140"/>
      <c r="G2947" s="140"/>
    </row>
    <row r="2948" spans="2:7" hidden="1">
      <c r="B2948" s="140" t="s">
        <v>21691</v>
      </c>
      <c r="C2948" s="140" t="s">
        <v>8072</v>
      </c>
      <c r="D2948" s="140" t="s">
        <v>8073</v>
      </c>
      <c r="E2948" s="142" t="s">
        <v>8074</v>
      </c>
      <c r="F2948" s="142"/>
      <c r="G2948" s="140"/>
    </row>
    <row r="2949" spans="2:7" hidden="1">
      <c r="B2949" s="141" t="s">
        <v>21691</v>
      </c>
      <c r="C2949" s="140" t="s">
        <v>8075</v>
      </c>
      <c r="D2949" s="141" t="s">
        <v>8076</v>
      </c>
      <c r="E2949" s="140"/>
      <c r="F2949" s="140"/>
      <c r="G2949" s="140"/>
    </row>
    <row r="2950" spans="2:7" hidden="1">
      <c r="B2950" s="141" t="s">
        <v>8078</v>
      </c>
      <c r="C2950" s="140"/>
      <c r="D2950" s="141" t="s">
        <v>8079</v>
      </c>
      <c r="E2950" s="140"/>
      <c r="F2950" s="140"/>
      <c r="G2950" s="140"/>
    </row>
    <row r="2951" spans="2:7" hidden="1">
      <c r="B2951" s="141" t="s">
        <v>8080</v>
      </c>
      <c r="C2951" s="140"/>
      <c r="D2951" s="141" t="s">
        <v>8081</v>
      </c>
      <c r="E2951" s="140"/>
      <c r="F2951" s="140"/>
      <c r="G2951" s="140"/>
    </row>
    <row r="2952" spans="2:7" hidden="1">
      <c r="B2952" s="141" t="s">
        <v>8082</v>
      </c>
      <c r="C2952" s="141" t="s">
        <v>8083</v>
      </c>
      <c r="D2952" s="141" t="s">
        <v>2483</v>
      </c>
      <c r="E2952" s="140"/>
      <c r="F2952" s="140"/>
      <c r="G2952" s="140"/>
    </row>
    <row r="2953" spans="2:7" hidden="1">
      <c r="B2953" s="141" t="s">
        <v>8084</v>
      </c>
      <c r="C2953" s="140" t="s">
        <v>8085</v>
      </c>
      <c r="D2953" s="141" t="s">
        <v>8086</v>
      </c>
      <c r="E2953" s="140"/>
      <c r="F2953" s="140"/>
      <c r="G2953" s="140"/>
    </row>
    <row r="2954" spans="2:7" hidden="1">
      <c r="B2954" s="141" t="s">
        <v>8087</v>
      </c>
      <c r="C2954" s="140"/>
      <c r="D2954" s="141" t="s">
        <v>8088</v>
      </c>
      <c r="E2954" s="140"/>
      <c r="F2954" s="140"/>
      <c r="G2954" s="140"/>
    </row>
    <row r="2955" spans="2:7" hidden="1">
      <c r="B2955" s="141" t="s">
        <v>8089</v>
      </c>
      <c r="C2955" s="141"/>
      <c r="D2955" s="141" t="s">
        <v>6020</v>
      </c>
      <c r="E2955" s="141"/>
      <c r="F2955" s="140"/>
      <c r="G2955" s="140"/>
    </row>
    <row r="2956" spans="2:7" hidden="1">
      <c r="B2956" s="141" t="s">
        <v>8090</v>
      </c>
      <c r="C2956" s="140" t="s">
        <v>8091</v>
      </c>
      <c r="D2956" s="141" t="s">
        <v>1654</v>
      </c>
      <c r="E2956" s="140" t="s">
        <v>8092</v>
      </c>
      <c r="F2956" s="140" t="s">
        <v>8093</v>
      </c>
      <c r="G2956" s="140"/>
    </row>
    <row r="2957" spans="2:7" hidden="1">
      <c r="B2957" s="141" t="s">
        <v>8094</v>
      </c>
      <c r="C2957" s="140"/>
      <c r="D2957" s="141" t="s">
        <v>8095</v>
      </c>
      <c r="E2957" s="140"/>
      <c r="F2957" s="140"/>
      <c r="G2957" s="140"/>
    </row>
    <row r="2958" spans="2:7" hidden="1">
      <c r="B2958" s="141" t="s">
        <v>8096</v>
      </c>
      <c r="C2958" s="140" t="s">
        <v>8097</v>
      </c>
      <c r="D2958" s="141" t="s">
        <v>8098</v>
      </c>
      <c r="E2958" s="140" t="s">
        <v>8099</v>
      </c>
      <c r="F2958" s="140" t="s">
        <v>8100</v>
      </c>
      <c r="G2958" s="140"/>
    </row>
    <row r="2959" spans="2:7" hidden="1">
      <c r="B2959" s="141" t="s">
        <v>8101</v>
      </c>
      <c r="C2959" s="141" t="s">
        <v>8102</v>
      </c>
      <c r="D2959" s="141" t="s">
        <v>7868</v>
      </c>
      <c r="E2959" s="141" t="s">
        <v>8103</v>
      </c>
      <c r="F2959" s="141"/>
      <c r="G2959" s="140"/>
    </row>
    <row r="2960" spans="2:7" hidden="1">
      <c r="B2960" s="141" t="s">
        <v>21692</v>
      </c>
      <c r="C2960" s="141" t="s">
        <v>8104</v>
      </c>
      <c r="D2960" s="141" t="s">
        <v>8105</v>
      </c>
      <c r="E2960" s="141" t="s">
        <v>8106</v>
      </c>
      <c r="F2960" s="140" t="s">
        <v>8107</v>
      </c>
      <c r="G2960" s="140"/>
    </row>
    <row r="2961" spans="2:7" hidden="1">
      <c r="B2961" s="141" t="s">
        <v>8108</v>
      </c>
      <c r="C2961" s="140"/>
      <c r="D2961" s="141" t="s">
        <v>4904</v>
      </c>
      <c r="E2961" s="140"/>
      <c r="F2961" s="140"/>
      <c r="G2961" s="140"/>
    </row>
    <row r="2962" spans="2:7" hidden="1">
      <c r="B2962" s="141" t="s">
        <v>8109</v>
      </c>
      <c r="C2962" s="140" t="s">
        <v>8110</v>
      </c>
      <c r="D2962" s="141" t="s">
        <v>8111</v>
      </c>
      <c r="E2962" s="140" t="s">
        <v>8112</v>
      </c>
      <c r="F2962" s="140" t="s">
        <v>8113</v>
      </c>
      <c r="G2962" s="140"/>
    </row>
    <row r="2963" spans="2:7" hidden="1">
      <c r="B2963" s="141" t="s">
        <v>8114</v>
      </c>
      <c r="C2963" s="140"/>
      <c r="D2963" s="141" t="s">
        <v>8115</v>
      </c>
      <c r="E2963" s="140"/>
      <c r="F2963" s="140"/>
      <c r="G2963" s="140"/>
    </row>
    <row r="2964" spans="2:7" hidden="1">
      <c r="B2964" s="141" t="s">
        <v>8116</v>
      </c>
      <c r="C2964" s="140"/>
      <c r="D2964" s="141" t="s">
        <v>8117</v>
      </c>
      <c r="E2964" s="140"/>
      <c r="F2964" s="140"/>
      <c r="G2964" s="140"/>
    </row>
    <row r="2965" spans="2:7" hidden="1">
      <c r="B2965" s="141" t="s">
        <v>8118</v>
      </c>
      <c r="C2965" s="140"/>
      <c r="D2965" s="141" t="s">
        <v>8119</v>
      </c>
      <c r="E2965" s="140"/>
      <c r="F2965" s="140"/>
      <c r="G2965" s="140"/>
    </row>
    <row r="2966" spans="2:7" hidden="1">
      <c r="B2966" s="140" t="s">
        <v>8120</v>
      </c>
      <c r="C2966" s="140" t="s">
        <v>8121</v>
      </c>
      <c r="D2966" s="140" t="s">
        <v>8122</v>
      </c>
      <c r="E2966" s="140" t="s">
        <v>8123</v>
      </c>
      <c r="F2966" s="140" t="s">
        <v>8124</v>
      </c>
      <c r="G2966" s="140"/>
    </row>
    <row r="2967" spans="2:7" hidden="1">
      <c r="B2967" s="141" t="s">
        <v>8125</v>
      </c>
      <c r="C2967" s="140"/>
      <c r="D2967" s="141" t="s">
        <v>8126</v>
      </c>
      <c r="E2967" s="140"/>
      <c r="F2967" s="140"/>
      <c r="G2967" s="140"/>
    </row>
    <row r="2968" spans="2:7" hidden="1">
      <c r="B2968" s="140" t="s">
        <v>8128</v>
      </c>
      <c r="C2968" s="140"/>
      <c r="D2968" s="140" t="s">
        <v>8129</v>
      </c>
      <c r="E2968" s="140"/>
      <c r="F2968" s="140"/>
      <c r="G2968" s="140"/>
    </row>
    <row r="2969" spans="2:7" hidden="1">
      <c r="B2969" s="141" t="s">
        <v>21693</v>
      </c>
      <c r="C2969" s="141"/>
      <c r="D2969" s="141" t="s">
        <v>8127</v>
      </c>
      <c r="E2969" s="141"/>
      <c r="F2969" s="140"/>
      <c r="G2969" s="140"/>
    </row>
    <row r="2970" spans="2:7" hidden="1">
      <c r="B2970" s="141" t="s">
        <v>8130</v>
      </c>
      <c r="C2970" s="140"/>
      <c r="D2970" s="141" t="s">
        <v>8131</v>
      </c>
      <c r="E2970" s="140"/>
      <c r="F2970" s="140"/>
      <c r="G2970" s="140"/>
    </row>
    <row r="2971" spans="2:7" hidden="1">
      <c r="B2971" s="141" t="s">
        <v>8132</v>
      </c>
      <c r="C2971" s="141"/>
      <c r="D2971" s="141" t="s">
        <v>4355</v>
      </c>
      <c r="E2971" s="141"/>
      <c r="F2971" s="140"/>
      <c r="G2971" s="140"/>
    </row>
    <row r="2972" spans="2:7" hidden="1">
      <c r="B2972" s="141" t="s">
        <v>8133</v>
      </c>
      <c r="C2972" s="140"/>
      <c r="D2972" s="141" t="s">
        <v>8134</v>
      </c>
      <c r="E2972" s="140"/>
      <c r="F2972" s="140"/>
      <c r="G2972" s="140"/>
    </row>
    <row r="2973" spans="2:7" hidden="1">
      <c r="B2973" s="141" t="s">
        <v>8135</v>
      </c>
      <c r="C2973" s="140"/>
      <c r="D2973" s="141" t="s">
        <v>4698</v>
      </c>
      <c r="E2973" s="140"/>
      <c r="F2973" s="140"/>
      <c r="G2973" s="140"/>
    </row>
    <row r="2974" spans="2:7" hidden="1">
      <c r="B2974" s="141" t="s">
        <v>8136</v>
      </c>
      <c r="C2974" s="140"/>
      <c r="D2974" s="141" t="s">
        <v>8137</v>
      </c>
      <c r="E2974" s="140"/>
      <c r="F2974" s="140"/>
      <c r="G2974" s="140"/>
    </row>
    <row r="2975" spans="2:7" hidden="1">
      <c r="B2975" s="141" t="s">
        <v>8138</v>
      </c>
      <c r="C2975" s="140"/>
      <c r="D2975" s="141" t="s">
        <v>7486</v>
      </c>
      <c r="E2975" s="140"/>
      <c r="F2975" s="140"/>
      <c r="G2975" s="140"/>
    </row>
    <row r="2976" spans="2:7" hidden="1">
      <c r="B2976" s="140" t="s">
        <v>8139</v>
      </c>
      <c r="C2976" s="140"/>
      <c r="D2976" s="140" t="s">
        <v>3266</v>
      </c>
      <c r="E2976" s="142"/>
      <c r="F2976" s="142"/>
      <c r="G2976" s="140"/>
    </row>
    <row r="2977" spans="2:7" hidden="1">
      <c r="B2977" s="141" t="s">
        <v>8140</v>
      </c>
      <c r="C2977" s="140"/>
      <c r="D2977" s="141" t="s">
        <v>8141</v>
      </c>
      <c r="E2977" s="140"/>
      <c r="F2977" s="140"/>
      <c r="G2977" s="140"/>
    </row>
    <row r="2978" spans="2:7" hidden="1">
      <c r="B2978" s="140" t="s">
        <v>8142</v>
      </c>
      <c r="C2978" s="140"/>
      <c r="D2978" s="141" t="s">
        <v>8143</v>
      </c>
      <c r="E2978" s="140"/>
      <c r="F2978" s="140"/>
      <c r="G2978" s="140"/>
    </row>
    <row r="2979" spans="2:7" hidden="1">
      <c r="B2979" s="141" t="s">
        <v>8144</v>
      </c>
      <c r="C2979" s="140" t="s">
        <v>8145</v>
      </c>
      <c r="D2979" s="141" t="s">
        <v>7239</v>
      </c>
      <c r="E2979" s="140" t="s">
        <v>8146</v>
      </c>
      <c r="F2979" s="140"/>
      <c r="G2979" s="140"/>
    </row>
    <row r="2980" spans="2:7" hidden="1">
      <c r="B2980" s="140" t="s">
        <v>21694</v>
      </c>
      <c r="C2980" s="140"/>
      <c r="D2980" s="140" t="s">
        <v>8147</v>
      </c>
      <c r="E2980" s="140"/>
      <c r="F2980" s="140"/>
      <c r="G2980" s="140"/>
    </row>
    <row r="2981" spans="2:7" hidden="1">
      <c r="B2981" s="141" t="s">
        <v>8148</v>
      </c>
      <c r="C2981" s="140" t="s">
        <v>8149</v>
      </c>
      <c r="D2981" s="141" t="s">
        <v>8150</v>
      </c>
      <c r="E2981" s="140" t="s">
        <v>8151</v>
      </c>
      <c r="F2981" s="140" t="s">
        <v>8152</v>
      </c>
      <c r="G2981" s="140"/>
    </row>
    <row r="2982" spans="2:7" hidden="1">
      <c r="B2982" s="141" t="s">
        <v>8153</v>
      </c>
      <c r="C2982" s="140" t="s">
        <v>8154</v>
      </c>
      <c r="D2982" s="141" t="s">
        <v>8155</v>
      </c>
      <c r="E2982" s="140" t="s">
        <v>8156</v>
      </c>
      <c r="F2982" s="140" t="s">
        <v>8157</v>
      </c>
      <c r="G2982" s="140"/>
    </row>
    <row r="2983" spans="2:7" hidden="1">
      <c r="B2983" s="141" t="s">
        <v>8158</v>
      </c>
      <c r="C2983" s="140"/>
      <c r="D2983" s="141" t="s">
        <v>3658</v>
      </c>
      <c r="E2983" s="140"/>
      <c r="F2983" s="140"/>
      <c r="G2983" s="140"/>
    </row>
    <row r="2984" spans="2:7" hidden="1">
      <c r="B2984" s="141" t="s">
        <v>8159</v>
      </c>
      <c r="C2984" s="140"/>
      <c r="D2984" s="141" t="s">
        <v>8160</v>
      </c>
      <c r="E2984" s="140"/>
      <c r="F2984" s="140"/>
      <c r="G2984" s="140"/>
    </row>
    <row r="2985" spans="2:7" hidden="1">
      <c r="B2985" s="141" t="s">
        <v>8161</v>
      </c>
      <c r="C2985" s="140" t="s">
        <v>8162</v>
      </c>
      <c r="D2985" s="141" t="s">
        <v>8163</v>
      </c>
      <c r="E2985" s="140"/>
      <c r="F2985" s="140"/>
      <c r="G2985" s="140" t="s">
        <v>21695</v>
      </c>
    </row>
    <row r="2986" spans="2:7" hidden="1">
      <c r="B2986" s="141" t="s">
        <v>8164</v>
      </c>
      <c r="C2986" s="140"/>
      <c r="D2986" s="141" t="s">
        <v>8165</v>
      </c>
      <c r="E2986" s="140"/>
      <c r="F2986" s="140"/>
      <c r="G2986" s="140"/>
    </row>
    <row r="2987" spans="2:7" hidden="1">
      <c r="B2987" s="141" t="s">
        <v>8166</v>
      </c>
      <c r="C2987" s="140"/>
      <c r="D2987" s="141" t="s">
        <v>8167</v>
      </c>
      <c r="E2987" s="140"/>
      <c r="F2987" s="140"/>
      <c r="G2987" s="140"/>
    </row>
    <row r="2988" spans="2:7" hidden="1">
      <c r="B2988" s="141" t="s">
        <v>8168</v>
      </c>
      <c r="C2988" s="140"/>
      <c r="D2988" s="141" t="s">
        <v>8169</v>
      </c>
      <c r="E2988" s="140"/>
      <c r="F2988" s="140"/>
      <c r="G2988" s="140"/>
    </row>
    <row r="2989" spans="2:7" hidden="1">
      <c r="B2989" s="140" t="s">
        <v>8170</v>
      </c>
      <c r="C2989" s="140" t="s">
        <v>8171</v>
      </c>
      <c r="D2989" s="140" t="s">
        <v>1904</v>
      </c>
      <c r="E2989" s="142"/>
      <c r="F2989" s="142"/>
      <c r="G2989" s="140"/>
    </row>
    <row r="2990" spans="2:7" hidden="1">
      <c r="B2990" s="141" t="s">
        <v>8172</v>
      </c>
      <c r="C2990" s="140"/>
      <c r="D2990" s="141" t="s">
        <v>8173</v>
      </c>
      <c r="E2990" s="140"/>
      <c r="F2990" s="140"/>
      <c r="G2990" s="140"/>
    </row>
    <row r="2991" spans="2:7" hidden="1">
      <c r="B2991" s="140" t="s">
        <v>8174</v>
      </c>
      <c r="C2991" s="140"/>
      <c r="D2991" s="140" t="s">
        <v>8175</v>
      </c>
      <c r="E2991" s="142"/>
      <c r="F2991" s="142"/>
      <c r="G2991" s="140"/>
    </row>
    <row r="2992" spans="2:7" hidden="1">
      <c r="B2992" s="141" t="s">
        <v>8176</v>
      </c>
      <c r="C2992" s="140" t="s">
        <v>8177</v>
      </c>
      <c r="D2992" s="141" t="s">
        <v>8178</v>
      </c>
      <c r="E2992" s="140"/>
      <c r="F2992" s="140"/>
      <c r="G2992" s="140" t="s">
        <v>8179</v>
      </c>
    </row>
    <row r="2993" spans="2:7" hidden="1">
      <c r="B2993" s="141" t="s">
        <v>8180</v>
      </c>
      <c r="C2993" s="140" t="s">
        <v>8181</v>
      </c>
      <c r="D2993" s="141" t="s">
        <v>8182</v>
      </c>
      <c r="E2993" s="140"/>
      <c r="F2993" s="140"/>
      <c r="G2993" s="140"/>
    </row>
    <row r="2994" spans="2:7" hidden="1">
      <c r="B2994" s="141" t="s">
        <v>8183</v>
      </c>
      <c r="C2994" s="140"/>
      <c r="D2994" s="141" t="s">
        <v>8184</v>
      </c>
      <c r="E2994" s="140"/>
      <c r="F2994" s="140"/>
      <c r="G2994" s="140"/>
    </row>
    <row r="2995" spans="2:7" hidden="1">
      <c r="B2995" s="140" t="s">
        <v>8185</v>
      </c>
      <c r="C2995" s="140"/>
      <c r="D2995" s="140" t="s">
        <v>8186</v>
      </c>
      <c r="E2995" s="142"/>
      <c r="F2995" s="142"/>
      <c r="G2995" s="140"/>
    </row>
    <row r="2996" spans="2:7" hidden="1">
      <c r="B2996" s="140" t="s">
        <v>8187</v>
      </c>
      <c r="C2996" s="140" t="s">
        <v>8188</v>
      </c>
      <c r="D2996" s="140" t="s">
        <v>8189</v>
      </c>
      <c r="E2996" s="142"/>
      <c r="F2996" s="142"/>
      <c r="G2996" s="140" t="s">
        <v>8190</v>
      </c>
    </row>
    <row r="2997" spans="2:7" hidden="1">
      <c r="B2997" s="140" t="s">
        <v>8191</v>
      </c>
      <c r="C2997" s="140"/>
      <c r="D2997" s="140" t="s">
        <v>8192</v>
      </c>
      <c r="E2997" s="142"/>
      <c r="F2997" s="142"/>
      <c r="G2997" s="140"/>
    </row>
    <row r="2998" spans="2:7" hidden="1">
      <c r="B2998" s="141" t="s">
        <v>21696</v>
      </c>
      <c r="C2998" s="141" t="s">
        <v>8193</v>
      </c>
      <c r="D2998" s="141" t="s">
        <v>8194</v>
      </c>
      <c r="E2998" s="141" t="s">
        <v>8195</v>
      </c>
      <c r="F2998" s="141" t="s">
        <v>8196</v>
      </c>
      <c r="G2998" s="140"/>
    </row>
    <row r="2999" spans="2:7" hidden="1">
      <c r="B2999" s="141" t="s">
        <v>8197</v>
      </c>
      <c r="C2999" s="140"/>
      <c r="D2999" s="141" t="s">
        <v>5707</v>
      </c>
      <c r="E2999" s="140"/>
      <c r="F2999" s="140"/>
      <c r="G2999" s="140"/>
    </row>
    <row r="3000" spans="2:7" hidden="1">
      <c r="B3000" s="141" t="s">
        <v>8198</v>
      </c>
      <c r="C3000" s="140"/>
      <c r="D3000" s="141" t="s">
        <v>8199</v>
      </c>
      <c r="E3000" s="140"/>
      <c r="F3000" s="140"/>
      <c r="G3000" s="140"/>
    </row>
    <row r="3001" spans="2:7" hidden="1">
      <c r="B3001" s="141" t="s">
        <v>8200</v>
      </c>
      <c r="C3001" s="140"/>
      <c r="D3001" s="141" t="s">
        <v>8201</v>
      </c>
      <c r="E3001" s="140"/>
      <c r="F3001" s="140"/>
      <c r="G3001" s="140"/>
    </row>
    <row r="3002" spans="2:7" hidden="1">
      <c r="B3002" s="141" t="s">
        <v>8202</v>
      </c>
      <c r="C3002" s="140"/>
      <c r="D3002" s="141" t="s">
        <v>8203</v>
      </c>
      <c r="E3002" s="140" t="s">
        <v>8204</v>
      </c>
      <c r="F3002" s="140"/>
      <c r="G3002" s="140"/>
    </row>
    <row r="3003" spans="2:7" hidden="1">
      <c r="B3003" s="141" t="s">
        <v>8205</v>
      </c>
      <c r="C3003" s="140" t="s">
        <v>8206</v>
      </c>
      <c r="D3003" s="141" t="s">
        <v>8207</v>
      </c>
      <c r="E3003" s="140"/>
      <c r="F3003" s="140"/>
      <c r="G3003" s="140"/>
    </row>
    <row r="3004" spans="2:7" hidden="1">
      <c r="B3004" s="141" t="s">
        <v>8208</v>
      </c>
      <c r="C3004" s="140"/>
      <c r="D3004" s="141" t="s">
        <v>8209</v>
      </c>
      <c r="E3004" s="140"/>
      <c r="F3004" s="140"/>
      <c r="G3004" s="140"/>
    </row>
    <row r="3005" spans="2:7" hidden="1">
      <c r="B3005" s="141" t="s">
        <v>8210</v>
      </c>
      <c r="C3005" s="140"/>
      <c r="D3005" s="141"/>
      <c r="E3005" s="140" t="s">
        <v>8211</v>
      </c>
      <c r="F3005" s="140" t="s">
        <v>8212</v>
      </c>
      <c r="G3005" s="140"/>
    </row>
    <row r="3006" spans="2:7" hidden="1">
      <c r="B3006" s="140" t="s">
        <v>8213</v>
      </c>
      <c r="C3006" s="140"/>
      <c r="D3006" s="140"/>
      <c r="E3006" s="142" t="s">
        <v>8214</v>
      </c>
      <c r="F3006" s="142" t="s">
        <v>8215</v>
      </c>
      <c r="G3006" s="140"/>
    </row>
    <row r="3007" spans="2:7" hidden="1">
      <c r="B3007" s="141" t="s">
        <v>21697</v>
      </c>
      <c r="C3007" s="140"/>
      <c r="D3007" s="141" t="s">
        <v>6748</v>
      </c>
      <c r="E3007" s="140"/>
      <c r="F3007" s="140"/>
      <c r="G3007" s="140"/>
    </row>
    <row r="3008" spans="2:7" hidden="1">
      <c r="B3008" s="141" t="s">
        <v>8216</v>
      </c>
      <c r="C3008" s="141"/>
      <c r="D3008" s="141" t="s">
        <v>8217</v>
      </c>
      <c r="E3008" s="141"/>
      <c r="F3008" s="140"/>
      <c r="G3008" s="140"/>
    </row>
    <row r="3009" spans="2:7" hidden="1">
      <c r="B3009" s="141" t="s">
        <v>8218</v>
      </c>
      <c r="C3009" s="140"/>
      <c r="D3009" s="141" t="s">
        <v>8219</v>
      </c>
      <c r="E3009" s="140"/>
      <c r="F3009" s="140"/>
      <c r="G3009" s="140"/>
    </row>
    <row r="3010" spans="2:7" hidden="1">
      <c r="B3010" s="141" t="s">
        <v>8220</v>
      </c>
      <c r="C3010" s="141"/>
      <c r="D3010" s="141" t="s">
        <v>6708</v>
      </c>
      <c r="E3010" s="141"/>
      <c r="F3010" s="140"/>
      <c r="G3010" s="140"/>
    </row>
    <row r="3011" spans="2:7" hidden="1">
      <c r="B3011" s="141" t="s">
        <v>8221</v>
      </c>
      <c r="C3011" s="140"/>
      <c r="D3011" s="141" t="s">
        <v>8222</v>
      </c>
      <c r="E3011" s="140"/>
      <c r="F3011" s="140"/>
      <c r="G3011" s="140"/>
    </row>
    <row r="3012" spans="2:7" hidden="1">
      <c r="B3012" s="140" t="s">
        <v>22110</v>
      </c>
      <c r="C3012" s="140" t="s">
        <v>22111</v>
      </c>
      <c r="D3012" s="140" t="s">
        <v>22112</v>
      </c>
      <c r="E3012" s="142"/>
      <c r="F3012" s="142"/>
      <c r="G3012" s="140"/>
    </row>
    <row r="3013" spans="2:7" hidden="1">
      <c r="B3013" s="141" t="s">
        <v>8223</v>
      </c>
      <c r="C3013" s="140" t="s">
        <v>8224</v>
      </c>
      <c r="D3013" s="141" t="s">
        <v>8225</v>
      </c>
      <c r="E3013" s="140" t="s">
        <v>8226</v>
      </c>
      <c r="F3013" s="140" t="s">
        <v>8227</v>
      </c>
      <c r="G3013" s="140" t="s">
        <v>8228</v>
      </c>
    </row>
    <row r="3014" spans="2:7" hidden="1">
      <c r="B3014" s="141" t="s">
        <v>8229</v>
      </c>
      <c r="C3014" s="140"/>
      <c r="D3014" s="141" t="s">
        <v>3598</v>
      </c>
      <c r="E3014" s="140"/>
      <c r="F3014" s="140"/>
      <c r="G3014" s="140"/>
    </row>
    <row r="3015" spans="2:7" hidden="1">
      <c r="B3015" s="141" t="s">
        <v>8230</v>
      </c>
      <c r="C3015" s="140"/>
      <c r="D3015" s="141" t="s">
        <v>8231</v>
      </c>
      <c r="E3015" s="140"/>
      <c r="F3015" s="140"/>
      <c r="G3015" s="140"/>
    </row>
    <row r="3016" spans="2:7" hidden="1">
      <c r="B3016" s="141" t="s">
        <v>8232</v>
      </c>
      <c r="C3016" s="141"/>
      <c r="D3016" s="141" t="s">
        <v>8233</v>
      </c>
      <c r="E3016" s="141"/>
      <c r="F3016" s="141"/>
      <c r="G3016" s="140"/>
    </row>
    <row r="3017" spans="2:7" hidden="1">
      <c r="B3017" s="141" t="s">
        <v>8234</v>
      </c>
      <c r="C3017" s="140"/>
      <c r="D3017" s="141" t="s">
        <v>5562</v>
      </c>
      <c r="E3017" s="140"/>
      <c r="F3017" s="140"/>
      <c r="G3017" s="140"/>
    </row>
    <row r="3018" spans="2:7" hidden="1">
      <c r="B3018" s="141" t="s">
        <v>8235</v>
      </c>
      <c r="C3018" s="140"/>
      <c r="D3018" s="141" t="s">
        <v>4729</v>
      </c>
      <c r="E3018" s="140"/>
      <c r="F3018" s="140"/>
      <c r="G3018" s="140"/>
    </row>
    <row r="3019" spans="2:7" hidden="1">
      <c r="B3019" s="141" t="s">
        <v>8236</v>
      </c>
      <c r="C3019" s="140" t="s">
        <v>8237</v>
      </c>
      <c r="D3019" s="141" t="s">
        <v>7763</v>
      </c>
      <c r="E3019" s="140" t="s">
        <v>7764</v>
      </c>
      <c r="F3019" s="140"/>
      <c r="G3019" s="140"/>
    </row>
    <row r="3020" spans="2:7" hidden="1">
      <c r="B3020" s="141" t="s">
        <v>8238</v>
      </c>
      <c r="C3020" s="140" t="s">
        <v>8239</v>
      </c>
      <c r="D3020" s="141" t="s">
        <v>8240</v>
      </c>
      <c r="E3020" s="140" t="s">
        <v>8241</v>
      </c>
      <c r="F3020" s="140"/>
      <c r="G3020" s="140"/>
    </row>
    <row r="3021" spans="2:7" hidden="1">
      <c r="B3021" s="140" t="s">
        <v>8242</v>
      </c>
      <c r="C3021" s="140"/>
      <c r="D3021" s="140" t="s">
        <v>8243</v>
      </c>
      <c r="E3021" s="142"/>
      <c r="F3021" s="142"/>
      <c r="G3021" s="140"/>
    </row>
    <row r="3022" spans="2:7" hidden="1">
      <c r="B3022" s="141" t="s">
        <v>8244</v>
      </c>
      <c r="C3022" s="140"/>
      <c r="D3022" s="141" t="s">
        <v>8245</v>
      </c>
      <c r="E3022" s="140"/>
      <c r="F3022" s="140"/>
      <c r="G3022" s="140"/>
    </row>
    <row r="3023" spans="2:7" hidden="1">
      <c r="B3023" s="141" t="s">
        <v>8246</v>
      </c>
      <c r="C3023" s="140" t="s">
        <v>7435</v>
      </c>
      <c r="D3023" s="141" t="s">
        <v>8247</v>
      </c>
      <c r="E3023" s="140" t="s">
        <v>8248</v>
      </c>
      <c r="F3023" s="140" t="s">
        <v>8249</v>
      </c>
      <c r="G3023" s="140"/>
    </row>
    <row r="3024" spans="2:7" hidden="1">
      <c r="B3024" s="141" t="s">
        <v>20136</v>
      </c>
      <c r="C3024" s="140" t="s">
        <v>20137</v>
      </c>
      <c r="D3024" s="141" t="s">
        <v>20138</v>
      </c>
      <c r="E3024" s="140"/>
      <c r="F3024" s="140"/>
      <c r="G3024" s="140" t="s">
        <v>20139</v>
      </c>
    </row>
    <row r="3025" spans="2:7" hidden="1">
      <c r="B3025" s="141" t="s">
        <v>8250</v>
      </c>
      <c r="C3025" s="140"/>
      <c r="D3025" s="141" t="s">
        <v>8251</v>
      </c>
      <c r="E3025" s="140"/>
      <c r="F3025" s="140"/>
      <c r="G3025" s="140"/>
    </row>
    <row r="3026" spans="2:7" hidden="1">
      <c r="B3026" s="141" t="s">
        <v>8252</v>
      </c>
      <c r="C3026" s="140"/>
      <c r="D3026" s="141" t="s">
        <v>8253</v>
      </c>
      <c r="E3026" s="140"/>
      <c r="F3026" s="140"/>
      <c r="G3026" s="140"/>
    </row>
    <row r="3027" spans="2:7" hidden="1">
      <c r="B3027" s="141" t="s">
        <v>8254</v>
      </c>
      <c r="C3027" s="140" t="s">
        <v>8255</v>
      </c>
      <c r="D3027" s="141" t="s">
        <v>8256</v>
      </c>
      <c r="E3027" s="140"/>
      <c r="F3027" s="140"/>
      <c r="G3027" s="140"/>
    </row>
    <row r="3028" spans="2:7" hidden="1">
      <c r="B3028" s="141" t="s">
        <v>8257</v>
      </c>
      <c r="C3028" s="140"/>
      <c r="D3028" s="141" t="s">
        <v>2793</v>
      </c>
      <c r="E3028" s="140"/>
      <c r="F3028" s="140"/>
      <c r="G3028" s="140"/>
    </row>
    <row r="3029" spans="2:7" hidden="1">
      <c r="B3029" s="141" t="s">
        <v>8258</v>
      </c>
      <c r="C3029" s="140"/>
      <c r="D3029" s="141" t="s">
        <v>2727</v>
      </c>
      <c r="E3029" s="140"/>
      <c r="F3029" s="140"/>
      <c r="G3029" s="140"/>
    </row>
    <row r="3030" spans="2:7" hidden="1">
      <c r="B3030" s="141" t="s">
        <v>8259</v>
      </c>
      <c r="C3030" s="140" t="s">
        <v>8260</v>
      </c>
      <c r="D3030" s="141" t="s">
        <v>8261</v>
      </c>
      <c r="E3030" s="140" t="s">
        <v>8262</v>
      </c>
      <c r="F3030" s="140" t="s">
        <v>8263</v>
      </c>
      <c r="G3030" s="140"/>
    </row>
    <row r="3031" spans="2:7" hidden="1">
      <c r="B3031" s="141" t="s">
        <v>8264</v>
      </c>
      <c r="C3031" s="140" t="s">
        <v>8265</v>
      </c>
      <c r="D3031" s="141" t="s">
        <v>8266</v>
      </c>
      <c r="E3031" s="140" t="s">
        <v>8267</v>
      </c>
      <c r="F3031" s="140" t="s">
        <v>8268</v>
      </c>
      <c r="G3031" s="140"/>
    </row>
    <row r="3032" spans="2:7" hidden="1">
      <c r="B3032" s="140" t="s">
        <v>8269</v>
      </c>
      <c r="C3032" s="140"/>
      <c r="D3032" s="140" t="s">
        <v>8270</v>
      </c>
      <c r="E3032" s="140"/>
      <c r="F3032" s="140"/>
      <c r="G3032" s="140"/>
    </row>
    <row r="3033" spans="2:7" hidden="1">
      <c r="B3033" s="141" t="s">
        <v>8271</v>
      </c>
      <c r="C3033" s="140"/>
      <c r="D3033" s="141" t="s">
        <v>1187</v>
      </c>
      <c r="E3033" s="140"/>
      <c r="F3033" s="140"/>
      <c r="G3033" s="140"/>
    </row>
    <row r="3034" spans="2:7" hidden="1">
      <c r="B3034" s="141" t="s">
        <v>8272</v>
      </c>
      <c r="C3034" s="140"/>
      <c r="D3034" s="141" t="s">
        <v>8273</v>
      </c>
      <c r="E3034" s="140"/>
      <c r="F3034" s="140"/>
      <c r="G3034" s="140"/>
    </row>
    <row r="3035" spans="2:7" hidden="1">
      <c r="B3035" s="141" t="s">
        <v>8274</v>
      </c>
      <c r="C3035" s="140"/>
      <c r="D3035" s="141" t="s">
        <v>1378</v>
      </c>
      <c r="E3035" s="140"/>
      <c r="F3035" s="140"/>
      <c r="G3035" s="140"/>
    </row>
    <row r="3036" spans="2:7" hidden="1">
      <c r="B3036" s="141" t="s">
        <v>8275</v>
      </c>
      <c r="C3036" s="141"/>
      <c r="D3036" s="141" t="s">
        <v>7840</v>
      </c>
      <c r="E3036" s="141"/>
      <c r="F3036" s="141"/>
      <c r="G3036" s="140"/>
    </row>
    <row r="3037" spans="2:7" hidden="1">
      <c r="B3037" s="141" t="s">
        <v>8276</v>
      </c>
      <c r="C3037" s="140"/>
      <c r="D3037" s="141" t="s">
        <v>2313</v>
      </c>
      <c r="E3037" s="140"/>
      <c r="F3037" s="140"/>
      <c r="G3037" s="140"/>
    </row>
    <row r="3038" spans="2:7" hidden="1">
      <c r="B3038" s="140" t="s">
        <v>8277</v>
      </c>
      <c r="C3038" s="140" t="s">
        <v>8278</v>
      </c>
      <c r="D3038" s="140" t="s">
        <v>8279</v>
      </c>
      <c r="E3038" s="140"/>
      <c r="F3038" s="140"/>
      <c r="G3038" s="140"/>
    </row>
    <row r="3039" spans="2:7" hidden="1">
      <c r="B3039" s="140" t="s">
        <v>8280</v>
      </c>
      <c r="C3039" s="140"/>
      <c r="D3039" s="140" t="s">
        <v>8281</v>
      </c>
      <c r="E3039" s="142"/>
      <c r="F3039" s="142"/>
      <c r="G3039" s="140"/>
    </row>
    <row r="3040" spans="2:7" hidden="1">
      <c r="B3040" s="140" t="s">
        <v>8282</v>
      </c>
      <c r="C3040" s="140" t="s">
        <v>8283</v>
      </c>
      <c r="D3040" s="140" t="s">
        <v>8284</v>
      </c>
      <c r="E3040" s="142"/>
      <c r="F3040" s="142"/>
      <c r="G3040" s="140"/>
    </row>
    <row r="3041" spans="2:7" hidden="1">
      <c r="B3041" s="141" t="s">
        <v>8285</v>
      </c>
      <c r="C3041" s="140" t="s">
        <v>8286</v>
      </c>
      <c r="D3041" s="141" t="s">
        <v>8287</v>
      </c>
      <c r="E3041" s="140"/>
      <c r="F3041" s="140"/>
      <c r="G3041" s="140"/>
    </row>
    <row r="3042" spans="2:7" hidden="1">
      <c r="B3042" s="140" t="s">
        <v>8288</v>
      </c>
      <c r="C3042" s="140"/>
      <c r="D3042" s="140" t="s">
        <v>8289</v>
      </c>
      <c r="E3042" s="140"/>
      <c r="F3042" s="140"/>
      <c r="G3042" s="140"/>
    </row>
    <row r="3043" spans="2:7" hidden="1">
      <c r="B3043" s="141" t="s">
        <v>8290</v>
      </c>
      <c r="C3043" s="140" t="s">
        <v>8291</v>
      </c>
      <c r="D3043" s="141" t="s">
        <v>8292</v>
      </c>
      <c r="E3043" s="140"/>
      <c r="F3043" s="140"/>
      <c r="G3043" s="140" t="s">
        <v>8293</v>
      </c>
    </row>
    <row r="3044" spans="2:7" hidden="1">
      <c r="B3044" s="140" t="s">
        <v>21698</v>
      </c>
      <c r="C3044" s="140" t="s">
        <v>8294</v>
      </c>
      <c r="D3044" s="140" t="s">
        <v>8295</v>
      </c>
      <c r="E3044" s="142" t="s">
        <v>8296</v>
      </c>
      <c r="F3044" s="142" t="s">
        <v>8297</v>
      </c>
      <c r="G3044" s="140"/>
    </row>
    <row r="3045" spans="2:7" hidden="1">
      <c r="B3045" s="140" t="s">
        <v>21699</v>
      </c>
      <c r="C3045" s="140" t="s">
        <v>8298</v>
      </c>
      <c r="D3045" s="140" t="s">
        <v>8299</v>
      </c>
      <c r="E3045" s="142" t="s">
        <v>8300</v>
      </c>
      <c r="F3045" s="142" t="s">
        <v>8301</v>
      </c>
      <c r="G3045" s="140"/>
    </row>
    <row r="3046" spans="2:7" hidden="1">
      <c r="B3046" s="141" t="s">
        <v>8302</v>
      </c>
      <c r="C3046" s="140"/>
      <c r="D3046" s="141" t="s">
        <v>2147</v>
      </c>
      <c r="E3046" s="140"/>
      <c r="F3046" s="140"/>
      <c r="G3046" s="140"/>
    </row>
    <row r="3047" spans="2:7" hidden="1">
      <c r="B3047" s="141" t="s">
        <v>8303</v>
      </c>
      <c r="C3047" s="140"/>
      <c r="D3047" s="141" t="s">
        <v>7629</v>
      </c>
      <c r="E3047" s="140"/>
      <c r="F3047" s="140"/>
      <c r="G3047" s="140"/>
    </row>
    <row r="3048" spans="2:7" hidden="1">
      <c r="B3048" s="140" t="s">
        <v>8304</v>
      </c>
      <c r="C3048" s="140" t="s">
        <v>8305</v>
      </c>
      <c r="D3048" s="140" t="s">
        <v>8306</v>
      </c>
      <c r="E3048" s="142" t="s">
        <v>8307</v>
      </c>
      <c r="F3048" s="142"/>
      <c r="G3048" s="140"/>
    </row>
    <row r="3049" spans="2:7" hidden="1">
      <c r="B3049" s="140" t="s">
        <v>21294</v>
      </c>
      <c r="C3049" s="140" t="s">
        <v>21296</v>
      </c>
      <c r="D3049" s="140" t="s">
        <v>12798</v>
      </c>
      <c r="E3049" s="142" t="s">
        <v>21295</v>
      </c>
      <c r="F3049" s="142"/>
      <c r="G3049" s="140"/>
    </row>
    <row r="3050" spans="2:7" hidden="1">
      <c r="B3050" s="141" t="s">
        <v>8308</v>
      </c>
      <c r="C3050" s="140" t="s">
        <v>8309</v>
      </c>
      <c r="D3050" s="141" t="s">
        <v>8310</v>
      </c>
      <c r="E3050" s="140" t="s">
        <v>8311</v>
      </c>
      <c r="F3050" s="140" t="s">
        <v>8312</v>
      </c>
      <c r="G3050" s="140"/>
    </row>
    <row r="3051" spans="2:7" hidden="1">
      <c r="B3051" s="141" t="s">
        <v>8313</v>
      </c>
      <c r="C3051" s="140" t="s">
        <v>8314</v>
      </c>
      <c r="D3051" s="141" t="s">
        <v>8315</v>
      </c>
      <c r="E3051" s="140"/>
      <c r="F3051" s="140"/>
      <c r="G3051" s="140" t="s">
        <v>8316</v>
      </c>
    </row>
    <row r="3052" spans="2:7" hidden="1">
      <c r="B3052" s="141" t="s">
        <v>8317</v>
      </c>
      <c r="C3052" s="140"/>
      <c r="D3052" s="141" t="s">
        <v>5077</v>
      </c>
      <c r="E3052" s="141"/>
      <c r="F3052" s="140"/>
      <c r="G3052" s="140"/>
    </row>
    <row r="3053" spans="2:7" hidden="1">
      <c r="B3053" s="141" t="s">
        <v>8318</v>
      </c>
      <c r="C3053" s="140"/>
      <c r="D3053" s="141" t="s">
        <v>8319</v>
      </c>
      <c r="E3053" s="140"/>
      <c r="F3053" s="140"/>
      <c r="G3053" s="140"/>
    </row>
    <row r="3054" spans="2:7" hidden="1">
      <c r="B3054" s="141" t="s">
        <v>8320</v>
      </c>
      <c r="C3054" s="140"/>
      <c r="D3054" s="141" t="s">
        <v>8321</v>
      </c>
      <c r="E3054" s="140"/>
      <c r="F3054" s="140"/>
      <c r="G3054" s="140"/>
    </row>
    <row r="3055" spans="2:7" hidden="1">
      <c r="B3055" s="141" t="s">
        <v>8322</v>
      </c>
      <c r="C3055" s="140" t="s">
        <v>8323</v>
      </c>
      <c r="D3055" s="141" t="s">
        <v>8324</v>
      </c>
      <c r="E3055" s="140"/>
      <c r="F3055" s="140"/>
      <c r="G3055" s="140" t="s">
        <v>8325</v>
      </c>
    </row>
    <row r="3056" spans="2:7" hidden="1">
      <c r="B3056" s="141" t="s">
        <v>8326</v>
      </c>
      <c r="C3056" s="140"/>
      <c r="D3056" s="141" t="s">
        <v>1195</v>
      </c>
      <c r="E3056" s="140" t="s">
        <v>8327</v>
      </c>
      <c r="F3056" s="140"/>
      <c r="G3056" s="140"/>
    </row>
    <row r="3057" spans="2:7" hidden="1">
      <c r="B3057" s="141" t="s">
        <v>8328</v>
      </c>
      <c r="C3057" s="140"/>
      <c r="D3057" s="141" t="s">
        <v>4537</v>
      </c>
      <c r="E3057" s="140"/>
      <c r="F3057" s="140"/>
      <c r="G3057" s="140"/>
    </row>
    <row r="3058" spans="2:7" hidden="1">
      <c r="B3058" s="141" t="s">
        <v>8336</v>
      </c>
      <c r="C3058" s="141"/>
      <c r="D3058" s="141" t="s">
        <v>8337</v>
      </c>
      <c r="E3058" s="141" t="s">
        <v>8338</v>
      </c>
      <c r="F3058" s="141" t="s">
        <v>8339</v>
      </c>
      <c r="G3058" s="140"/>
    </row>
    <row r="3059" spans="2:7" hidden="1">
      <c r="B3059" s="140" t="s">
        <v>8340</v>
      </c>
      <c r="C3059" s="140" t="s">
        <v>8341</v>
      </c>
      <c r="D3059" s="140" t="s">
        <v>8342</v>
      </c>
      <c r="E3059" s="140" t="s">
        <v>8343</v>
      </c>
      <c r="F3059" s="140" t="s">
        <v>8344</v>
      </c>
      <c r="G3059" s="140"/>
    </row>
    <row r="3060" spans="2:7" hidden="1">
      <c r="B3060" s="140" t="s">
        <v>8345</v>
      </c>
      <c r="C3060" s="140" t="s">
        <v>8346</v>
      </c>
      <c r="D3060" s="140" t="s">
        <v>8347</v>
      </c>
      <c r="E3060" s="140" t="s">
        <v>8348</v>
      </c>
      <c r="F3060" s="140" t="s">
        <v>8349</v>
      </c>
      <c r="G3060" s="140"/>
    </row>
    <row r="3061" spans="2:7" hidden="1">
      <c r="B3061" s="141" t="s">
        <v>8350</v>
      </c>
      <c r="C3061" s="140" t="s">
        <v>8329</v>
      </c>
      <c r="D3061" s="141" t="s">
        <v>8351</v>
      </c>
      <c r="E3061" s="140" t="s">
        <v>8330</v>
      </c>
      <c r="F3061" s="140" t="s">
        <v>8331</v>
      </c>
      <c r="G3061" s="140" t="s">
        <v>8352</v>
      </c>
    </row>
    <row r="3062" spans="2:7" hidden="1">
      <c r="B3062" s="141" t="s">
        <v>8353</v>
      </c>
      <c r="C3062" s="140" t="s">
        <v>8354</v>
      </c>
      <c r="D3062" s="141" t="s">
        <v>8355</v>
      </c>
      <c r="E3062" s="140" t="s">
        <v>8356</v>
      </c>
      <c r="F3062" s="140" t="s">
        <v>8357</v>
      </c>
      <c r="G3062" s="140"/>
    </row>
    <row r="3063" spans="2:7" hidden="1">
      <c r="B3063" s="141" t="s">
        <v>20465</v>
      </c>
      <c r="C3063" s="140" t="s">
        <v>8332</v>
      </c>
      <c r="D3063" s="141" t="s">
        <v>8333</v>
      </c>
      <c r="E3063" s="140" t="s">
        <v>8334</v>
      </c>
      <c r="F3063" s="140" t="s">
        <v>8335</v>
      </c>
      <c r="G3063" s="140"/>
    </row>
    <row r="3064" spans="2:7" hidden="1">
      <c r="B3064" s="140" t="s">
        <v>8358</v>
      </c>
      <c r="C3064" s="140" t="s">
        <v>8359</v>
      </c>
      <c r="D3064" s="140" t="s">
        <v>5685</v>
      </c>
      <c r="E3064" s="140" t="s">
        <v>8360</v>
      </c>
      <c r="F3064" s="140" t="s">
        <v>8361</v>
      </c>
      <c r="G3064" s="140"/>
    </row>
    <row r="3065" spans="2:7" hidden="1">
      <c r="B3065" s="141" t="s">
        <v>20464</v>
      </c>
      <c r="C3065" s="140" t="s">
        <v>8410</v>
      </c>
      <c r="D3065" s="141" t="s">
        <v>8411</v>
      </c>
      <c r="E3065" s="140" t="s">
        <v>8412</v>
      </c>
      <c r="F3065" s="140" t="s">
        <v>8362</v>
      </c>
      <c r="G3065" s="140"/>
    </row>
    <row r="3066" spans="2:7" hidden="1">
      <c r="B3066" s="141" t="s">
        <v>21126</v>
      </c>
      <c r="C3066" s="141" t="s">
        <v>6654</v>
      </c>
      <c r="D3066" s="141" t="s">
        <v>6655</v>
      </c>
      <c r="E3066" s="141" t="s">
        <v>6656</v>
      </c>
      <c r="F3066" s="141" t="s">
        <v>6657</v>
      </c>
      <c r="G3066" s="140"/>
    </row>
    <row r="3067" spans="2:7" hidden="1">
      <c r="B3067" s="141" t="s">
        <v>8363</v>
      </c>
      <c r="C3067" s="140" t="s">
        <v>8364</v>
      </c>
      <c r="D3067" s="141" t="s">
        <v>8365</v>
      </c>
      <c r="E3067" s="140" t="s">
        <v>8366</v>
      </c>
      <c r="F3067" s="140" t="s">
        <v>8367</v>
      </c>
      <c r="G3067" s="140"/>
    </row>
    <row r="3068" spans="2:7" hidden="1">
      <c r="B3068" s="141" t="s">
        <v>8368</v>
      </c>
      <c r="C3068" s="140" t="s">
        <v>8369</v>
      </c>
      <c r="D3068" s="141" t="s">
        <v>8370</v>
      </c>
      <c r="E3068" s="140" t="s">
        <v>8371</v>
      </c>
      <c r="F3068" s="140" t="s">
        <v>8372</v>
      </c>
      <c r="G3068" s="140"/>
    </row>
    <row r="3069" spans="2:7" hidden="1">
      <c r="B3069" s="141" t="s">
        <v>8373</v>
      </c>
      <c r="C3069" s="140" t="s">
        <v>8374</v>
      </c>
      <c r="D3069" s="141" t="s">
        <v>8375</v>
      </c>
      <c r="E3069" s="140" t="s">
        <v>8376</v>
      </c>
      <c r="F3069" s="140" t="s">
        <v>8377</v>
      </c>
      <c r="G3069" s="140"/>
    </row>
    <row r="3070" spans="2:7" hidden="1">
      <c r="B3070" s="141" t="s">
        <v>8378</v>
      </c>
      <c r="C3070" s="140" t="s">
        <v>8379</v>
      </c>
      <c r="D3070" s="141" t="s">
        <v>1563</v>
      </c>
      <c r="E3070" s="140" t="s">
        <v>8380</v>
      </c>
      <c r="F3070" s="140" t="s">
        <v>8381</v>
      </c>
      <c r="G3070" s="140"/>
    </row>
    <row r="3071" spans="2:7" hidden="1">
      <c r="B3071" s="141" t="s">
        <v>8382</v>
      </c>
      <c r="C3071" s="140" t="s">
        <v>8383</v>
      </c>
      <c r="D3071" s="141" t="s">
        <v>8384</v>
      </c>
      <c r="E3071" s="140" t="s">
        <v>8385</v>
      </c>
      <c r="F3071" s="140" t="s">
        <v>8386</v>
      </c>
      <c r="G3071" s="140"/>
    </row>
    <row r="3072" spans="2:7" hidden="1">
      <c r="B3072" s="140" t="s">
        <v>21033</v>
      </c>
      <c r="C3072" s="140" t="s">
        <v>21034</v>
      </c>
      <c r="D3072" s="140" t="s">
        <v>21035</v>
      </c>
      <c r="E3072" s="142" t="s">
        <v>21036</v>
      </c>
      <c r="F3072" s="142"/>
      <c r="G3072" s="140"/>
    </row>
    <row r="3073" spans="2:7" hidden="1">
      <c r="B3073" s="141" t="s">
        <v>8387</v>
      </c>
      <c r="C3073" s="140" t="s">
        <v>8388</v>
      </c>
      <c r="D3073" s="141" t="s">
        <v>5421</v>
      </c>
      <c r="E3073" s="140" t="s">
        <v>8389</v>
      </c>
      <c r="F3073" s="140" t="s">
        <v>8390</v>
      </c>
      <c r="G3073" s="140"/>
    </row>
    <row r="3074" spans="2:7" hidden="1">
      <c r="B3074" s="141" t="s">
        <v>8391</v>
      </c>
      <c r="C3074" s="140" t="s">
        <v>8392</v>
      </c>
      <c r="D3074" s="141" t="s">
        <v>8393</v>
      </c>
      <c r="E3074" s="140" t="s">
        <v>8394</v>
      </c>
      <c r="F3074" s="140" t="s">
        <v>8395</v>
      </c>
      <c r="G3074" s="140"/>
    </row>
    <row r="3075" spans="2:7" hidden="1">
      <c r="B3075" s="140" t="s">
        <v>22037</v>
      </c>
      <c r="C3075" s="140" t="s">
        <v>22039</v>
      </c>
      <c r="D3075" s="140" t="s">
        <v>22038</v>
      </c>
      <c r="E3075" s="142" t="s">
        <v>22040</v>
      </c>
      <c r="F3075" s="142"/>
      <c r="G3075" s="140"/>
    </row>
    <row r="3076" spans="2:7" hidden="1">
      <c r="B3076" s="141" t="s">
        <v>8396</v>
      </c>
      <c r="C3076" s="140" t="s">
        <v>8397</v>
      </c>
      <c r="D3076" s="141" t="s">
        <v>1263</v>
      </c>
      <c r="E3076" s="140" t="s">
        <v>8398</v>
      </c>
      <c r="F3076" s="140" t="s">
        <v>8399</v>
      </c>
      <c r="G3076" s="140"/>
    </row>
    <row r="3077" spans="2:7" hidden="1">
      <c r="B3077" s="141" t="s">
        <v>8400</v>
      </c>
      <c r="C3077" s="140" t="s">
        <v>8401</v>
      </c>
      <c r="D3077" s="141" t="s">
        <v>1334</v>
      </c>
      <c r="E3077" s="140" t="s">
        <v>8402</v>
      </c>
      <c r="F3077" s="140" t="s">
        <v>8403</v>
      </c>
      <c r="G3077" s="140"/>
    </row>
    <row r="3078" spans="2:7" hidden="1">
      <c r="B3078" s="141" t="s">
        <v>8404</v>
      </c>
      <c r="C3078" s="140" t="s">
        <v>8405</v>
      </c>
      <c r="D3078" s="141" t="s">
        <v>2626</v>
      </c>
      <c r="E3078" s="140" t="s">
        <v>8406</v>
      </c>
      <c r="F3078" s="140" t="s">
        <v>8407</v>
      </c>
      <c r="G3078" s="140"/>
    </row>
    <row r="3079" spans="2:7" hidden="1">
      <c r="B3079" s="141" t="s">
        <v>8408</v>
      </c>
      <c r="C3079" s="140" t="s">
        <v>8409</v>
      </c>
      <c r="D3079" s="141" t="s">
        <v>5120</v>
      </c>
      <c r="E3079" s="140"/>
      <c r="F3079" s="140"/>
      <c r="G3079" s="140"/>
    </row>
    <row r="3080" spans="2:7" hidden="1">
      <c r="B3080" s="140" t="s">
        <v>20278</v>
      </c>
      <c r="C3080" s="140" t="s">
        <v>20279</v>
      </c>
      <c r="D3080" s="140" t="s">
        <v>20280</v>
      </c>
      <c r="E3080" s="142" t="s">
        <v>20281</v>
      </c>
      <c r="F3080" s="142" t="s">
        <v>20282</v>
      </c>
      <c r="G3080" s="140" t="s">
        <v>20283</v>
      </c>
    </row>
    <row r="3081" spans="2:7" hidden="1">
      <c r="B3081" s="141" t="s">
        <v>8413</v>
      </c>
      <c r="C3081" s="140" t="s">
        <v>8414</v>
      </c>
      <c r="D3081" s="141" t="s">
        <v>3085</v>
      </c>
      <c r="E3081" s="140" t="s">
        <v>8415</v>
      </c>
      <c r="F3081" s="140" t="s">
        <v>8416</v>
      </c>
      <c r="G3081" s="140"/>
    </row>
    <row r="3082" spans="2:7" hidden="1">
      <c r="B3082" s="141" t="s">
        <v>8417</v>
      </c>
      <c r="C3082" s="140"/>
      <c r="D3082" s="141" t="s">
        <v>8418</v>
      </c>
      <c r="E3082" s="140"/>
      <c r="F3082" s="140"/>
      <c r="G3082" s="140"/>
    </row>
    <row r="3083" spans="2:7" hidden="1">
      <c r="B3083" s="141" t="s">
        <v>8419</v>
      </c>
      <c r="C3083" s="140" t="s">
        <v>8420</v>
      </c>
      <c r="D3083" s="141" t="s">
        <v>8421</v>
      </c>
      <c r="E3083" s="140"/>
      <c r="F3083" s="140"/>
      <c r="G3083" s="140" t="s">
        <v>5778</v>
      </c>
    </row>
    <row r="3084" spans="2:7" hidden="1">
      <c r="B3084" s="141" t="s">
        <v>8422</v>
      </c>
      <c r="C3084" s="141" t="s">
        <v>8423</v>
      </c>
      <c r="D3084" s="141" t="s">
        <v>8424</v>
      </c>
      <c r="E3084" s="141" t="s">
        <v>8425</v>
      </c>
      <c r="F3084" s="141" t="s">
        <v>8426</v>
      </c>
      <c r="G3084" s="140"/>
    </row>
    <row r="3085" spans="2:7" hidden="1">
      <c r="B3085" s="140" t="s">
        <v>8427</v>
      </c>
      <c r="C3085" s="140" t="s">
        <v>8428</v>
      </c>
      <c r="D3085" s="140" t="s">
        <v>8429</v>
      </c>
      <c r="E3085" s="142" t="s">
        <v>8430</v>
      </c>
      <c r="F3085" s="142" t="s">
        <v>8431</v>
      </c>
      <c r="G3085" s="140"/>
    </row>
    <row r="3086" spans="2:7" hidden="1">
      <c r="B3086" s="140" t="s">
        <v>8432</v>
      </c>
      <c r="C3086" s="140" t="s">
        <v>8433</v>
      </c>
      <c r="D3086" s="140" t="s">
        <v>8434</v>
      </c>
      <c r="E3086" s="142" t="s">
        <v>8435</v>
      </c>
      <c r="F3086" s="142" t="s">
        <v>8436</v>
      </c>
      <c r="G3086" s="140"/>
    </row>
    <row r="3087" spans="2:7" hidden="1">
      <c r="B3087" s="140" t="s">
        <v>8437</v>
      </c>
      <c r="C3087" s="140"/>
      <c r="D3087" s="140" t="s">
        <v>6827</v>
      </c>
      <c r="E3087" s="142"/>
      <c r="F3087" s="142"/>
      <c r="G3087" s="140"/>
    </row>
    <row r="3088" spans="2:7" hidden="1">
      <c r="B3088" s="140" t="s">
        <v>8438</v>
      </c>
      <c r="C3088" s="140" t="s">
        <v>8439</v>
      </c>
      <c r="D3088" s="140" t="s">
        <v>8440</v>
      </c>
      <c r="E3088" s="142" t="s">
        <v>8441</v>
      </c>
      <c r="F3088" s="142"/>
      <c r="G3088" s="140"/>
    </row>
    <row r="3089" spans="2:7" hidden="1">
      <c r="B3089" s="141" t="s">
        <v>8442</v>
      </c>
      <c r="C3089" s="141" t="s">
        <v>8443</v>
      </c>
      <c r="D3089" s="141" t="s">
        <v>8444</v>
      </c>
      <c r="E3089" s="141" t="s">
        <v>8441</v>
      </c>
      <c r="F3089" s="141"/>
      <c r="G3089" s="140"/>
    </row>
    <row r="3090" spans="2:7" hidden="1">
      <c r="B3090" s="141" t="s">
        <v>8445</v>
      </c>
      <c r="C3090" s="140" t="s">
        <v>8446</v>
      </c>
      <c r="D3090" s="141" t="s">
        <v>8447</v>
      </c>
      <c r="E3090" s="140" t="s">
        <v>8448</v>
      </c>
      <c r="F3090" s="140" t="s">
        <v>8449</v>
      </c>
      <c r="G3090" s="140"/>
    </row>
    <row r="3091" spans="2:7" hidden="1">
      <c r="B3091" s="141" t="s">
        <v>8450</v>
      </c>
      <c r="C3091" s="140" t="s">
        <v>8451</v>
      </c>
      <c r="D3091" s="141" t="s">
        <v>8452</v>
      </c>
      <c r="E3091" s="140" t="s">
        <v>8453</v>
      </c>
      <c r="F3091" s="140"/>
      <c r="G3091" s="140"/>
    </row>
    <row r="3092" spans="2:7" hidden="1">
      <c r="B3092" s="141" t="s">
        <v>8454</v>
      </c>
      <c r="C3092" s="140" t="s">
        <v>8455</v>
      </c>
      <c r="D3092" s="141" t="s">
        <v>3886</v>
      </c>
      <c r="E3092" s="140" t="s">
        <v>8456</v>
      </c>
      <c r="F3092" s="140" t="s">
        <v>8457</v>
      </c>
      <c r="G3092" s="140"/>
    </row>
    <row r="3093" spans="2:7" hidden="1">
      <c r="B3093" s="141" t="s">
        <v>8458</v>
      </c>
      <c r="C3093" s="140" t="s">
        <v>8459</v>
      </c>
      <c r="D3093" s="141" t="s">
        <v>8460</v>
      </c>
      <c r="E3093" s="140" t="s">
        <v>8461</v>
      </c>
      <c r="F3093" s="140" t="s">
        <v>8462</v>
      </c>
      <c r="G3093" s="140"/>
    </row>
    <row r="3094" spans="2:7" hidden="1">
      <c r="B3094" s="141" t="s">
        <v>8463</v>
      </c>
      <c r="C3094" s="140" t="s">
        <v>8464</v>
      </c>
      <c r="D3094" s="141" t="s">
        <v>8465</v>
      </c>
      <c r="E3094" s="140" t="s">
        <v>8466</v>
      </c>
      <c r="F3094" s="140" t="s">
        <v>8467</v>
      </c>
      <c r="G3094" s="140"/>
    </row>
    <row r="3095" spans="2:7" hidden="1">
      <c r="B3095" s="141" t="s">
        <v>8468</v>
      </c>
      <c r="C3095" s="140" t="s">
        <v>8469</v>
      </c>
      <c r="D3095" s="141" t="s">
        <v>8470</v>
      </c>
      <c r="E3095" s="140" t="s">
        <v>8471</v>
      </c>
      <c r="F3095" s="140" t="s">
        <v>8472</v>
      </c>
      <c r="G3095" s="140"/>
    </row>
    <row r="3096" spans="2:7" hidden="1">
      <c r="B3096" s="140" t="s">
        <v>21071</v>
      </c>
      <c r="C3096" s="140" t="s">
        <v>21072</v>
      </c>
      <c r="D3096" s="140" t="s">
        <v>13233</v>
      </c>
      <c r="E3096" s="142"/>
      <c r="F3096" s="142"/>
      <c r="G3096" s="140"/>
    </row>
    <row r="3097" spans="2:7" hidden="1">
      <c r="B3097" s="140" t="s">
        <v>8473</v>
      </c>
      <c r="C3097" s="141" t="s">
        <v>8474</v>
      </c>
      <c r="D3097" s="141" t="s">
        <v>8475</v>
      </c>
      <c r="E3097" s="141" t="s">
        <v>8476</v>
      </c>
      <c r="F3097" s="141" t="s">
        <v>8477</v>
      </c>
      <c r="G3097" s="140"/>
    </row>
    <row r="3098" spans="2:7" hidden="1">
      <c r="B3098" s="141" t="s">
        <v>8478</v>
      </c>
      <c r="C3098" s="141"/>
      <c r="D3098" s="141" t="s">
        <v>8479</v>
      </c>
      <c r="E3098" s="141"/>
      <c r="F3098" s="141"/>
      <c r="G3098" s="140"/>
    </row>
    <row r="3099" spans="2:7" hidden="1">
      <c r="B3099" s="141" t="s">
        <v>8495</v>
      </c>
      <c r="C3099" s="140" t="s">
        <v>8496</v>
      </c>
      <c r="D3099" s="141" t="s">
        <v>8497</v>
      </c>
      <c r="E3099" s="140" t="s">
        <v>8498</v>
      </c>
      <c r="F3099" s="140" t="s">
        <v>8499</v>
      </c>
      <c r="G3099" s="140"/>
    </row>
    <row r="3100" spans="2:7" hidden="1">
      <c r="B3100" s="141" t="s">
        <v>8500</v>
      </c>
      <c r="C3100" s="140" t="s">
        <v>8501</v>
      </c>
      <c r="D3100" s="141" t="s">
        <v>4037</v>
      </c>
      <c r="E3100" s="140" t="s">
        <v>8502</v>
      </c>
      <c r="F3100" s="140" t="s">
        <v>8503</v>
      </c>
      <c r="G3100" s="140"/>
    </row>
    <row r="3101" spans="2:7" hidden="1">
      <c r="B3101" s="141" t="s">
        <v>8504</v>
      </c>
      <c r="C3101" s="140" t="s">
        <v>8505</v>
      </c>
      <c r="D3101" s="141" t="s">
        <v>5075</v>
      </c>
      <c r="E3101" s="140" t="s">
        <v>8506</v>
      </c>
      <c r="F3101" s="140" t="s">
        <v>8507</v>
      </c>
      <c r="G3101" s="140" t="s">
        <v>8508</v>
      </c>
    </row>
    <row r="3102" spans="2:7" hidden="1">
      <c r="B3102" s="141" t="s">
        <v>8509</v>
      </c>
      <c r="C3102" s="140" t="s">
        <v>8510</v>
      </c>
      <c r="D3102" s="141" t="s">
        <v>8511</v>
      </c>
      <c r="E3102" s="140" t="s">
        <v>8512</v>
      </c>
      <c r="F3102" s="140" t="s">
        <v>8513</v>
      </c>
      <c r="G3102" s="140"/>
    </row>
    <row r="3103" spans="2:7" hidden="1">
      <c r="B3103" s="141" t="s">
        <v>8514</v>
      </c>
      <c r="C3103" s="141" t="s">
        <v>8515</v>
      </c>
      <c r="D3103" s="141" t="s">
        <v>8516</v>
      </c>
      <c r="E3103" s="141" t="s">
        <v>8517</v>
      </c>
      <c r="F3103" s="141" t="s">
        <v>8518</v>
      </c>
      <c r="G3103" s="140"/>
    </row>
    <row r="3104" spans="2:7" hidden="1">
      <c r="B3104" s="141" t="s">
        <v>8519</v>
      </c>
      <c r="C3104" s="140"/>
      <c r="D3104" s="141" t="s">
        <v>8520</v>
      </c>
      <c r="E3104" s="140"/>
      <c r="F3104" s="140"/>
      <c r="G3104" s="140"/>
    </row>
    <row r="3105" spans="2:7" hidden="1">
      <c r="B3105" s="140" t="s">
        <v>8521</v>
      </c>
      <c r="C3105" s="140" t="s">
        <v>8522</v>
      </c>
      <c r="D3105" s="140" t="s">
        <v>8523</v>
      </c>
      <c r="E3105" s="142" t="s">
        <v>8524</v>
      </c>
      <c r="F3105" s="142"/>
      <c r="G3105" s="140"/>
    </row>
    <row r="3106" spans="2:7" hidden="1">
      <c r="B3106" s="141" t="s">
        <v>8525</v>
      </c>
      <c r="C3106" s="140"/>
      <c r="D3106" s="141"/>
      <c r="E3106" s="140" t="s">
        <v>8526</v>
      </c>
      <c r="F3106" s="140" t="s">
        <v>8527</v>
      </c>
      <c r="G3106" s="140"/>
    </row>
    <row r="3107" spans="2:7" hidden="1">
      <c r="B3107" s="141" t="s">
        <v>8528</v>
      </c>
      <c r="C3107" s="140" t="s">
        <v>8529</v>
      </c>
      <c r="D3107" s="141" t="s">
        <v>8530</v>
      </c>
      <c r="E3107" s="140"/>
      <c r="F3107" s="140"/>
      <c r="G3107" s="140"/>
    </row>
    <row r="3108" spans="2:7" hidden="1">
      <c r="B3108" s="141" t="s">
        <v>8531</v>
      </c>
      <c r="C3108" s="140" t="s">
        <v>8532</v>
      </c>
      <c r="D3108" s="141" t="s">
        <v>2896</v>
      </c>
      <c r="E3108" s="140" t="s">
        <v>8533</v>
      </c>
      <c r="F3108" s="140" t="s">
        <v>8534</v>
      </c>
      <c r="G3108" s="140"/>
    </row>
    <row r="3109" spans="2:7" hidden="1">
      <c r="B3109" s="141" t="s">
        <v>8535</v>
      </c>
      <c r="C3109" s="140" t="s">
        <v>8536</v>
      </c>
      <c r="D3109" s="141" t="s">
        <v>8537</v>
      </c>
      <c r="E3109" s="140" t="s">
        <v>8538</v>
      </c>
      <c r="F3109" s="140" t="s">
        <v>8538</v>
      </c>
      <c r="G3109" s="140"/>
    </row>
    <row r="3110" spans="2:7" hidden="1">
      <c r="B3110" s="141" t="s">
        <v>8539</v>
      </c>
      <c r="C3110" s="141" t="s">
        <v>8540</v>
      </c>
      <c r="D3110" s="141" t="s">
        <v>8541</v>
      </c>
      <c r="E3110" s="141"/>
      <c r="F3110" s="141" t="s">
        <v>8542</v>
      </c>
      <c r="G3110" s="140"/>
    </row>
    <row r="3111" spans="2:7" hidden="1">
      <c r="B3111" s="141" t="s">
        <v>8543</v>
      </c>
      <c r="C3111" s="141" t="s">
        <v>8544</v>
      </c>
      <c r="D3111" s="141" t="s">
        <v>8545</v>
      </c>
      <c r="E3111" s="141" t="s">
        <v>8526</v>
      </c>
      <c r="F3111" s="141" t="s">
        <v>8527</v>
      </c>
      <c r="G3111" s="140" t="s">
        <v>8546</v>
      </c>
    </row>
    <row r="3112" spans="2:7" hidden="1">
      <c r="B3112" s="140" t="s">
        <v>8543</v>
      </c>
      <c r="C3112" s="140" t="s">
        <v>8547</v>
      </c>
      <c r="D3112" s="140" t="s">
        <v>8548</v>
      </c>
      <c r="E3112" s="142" t="s">
        <v>8549</v>
      </c>
      <c r="F3112" s="142" t="s">
        <v>8550</v>
      </c>
      <c r="G3112" s="140"/>
    </row>
    <row r="3113" spans="2:7" hidden="1">
      <c r="B3113" s="140" t="s">
        <v>8551</v>
      </c>
      <c r="C3113" s="140" t="s">
        <v>8552</v>
      </c>
      <c r="D3113" s="140" t="s">
        <v>2638</v>
      </c>
      <c r="E3113" s="142" t="s">
        <v>8553</v>
      </c>
      <c r="F3113" s="142" t="s">
        <v>8554</v>
      </c>
      <c r="G3113" s="140"/>
    </row>
    <row r="3114" spans="2:7" hidden="1">
      <c r="B3114" s="141" t="s">
        <v>8555</v>
      </c>
      <c r="C3114" s="140" t="s">
        <v>8556</v>
      </c>
      <c r="D3114" s="141" t="s">
        <v>8557</v>
      </c>
      <c r="E3114" s="140" t="s">
        <v>8558</v>
      </c>
      <c r="F3114" s="140" t="s">
        <v>8559</v>
      </c>
      <c r="G3114" s="140"/>
    </row>
    <row r="3115" spans="2:7" hidden="1">
      <c r="B3115" s="141" t="s">
        <v>8560</v>
      </c>
      <c r="C3115" s="140" t="s">
        <v>8561</v>
      </c>
      <c r="D3115" s="141" t="s">
        <v>8562</v>
      </c>
      <c r="E3115" s="140" t="s">
        <v>8563</v>
      </c>
      <c r="F3115" s="140"/>
      <c r="G3115" s="140"/>
    </row>
    <row r="3116" spans="2:7" hidden="1">
      <c r="B3116" s="140" t="s">
        <v>21707</v>
      </c>
      <c r="C3116" s="140" t="s">
        <v>21102</v>
      </c>
      <c r="D3116" s="140" t="s">
        <v>21103</v>
      </c>
      <c r="E3116" s="142" t="s">
        <v>21104</v>
      </c>
      <c r="F3116" s="142"/>
      <c r="G3116" s="140"/>
    </row>
    <row r="3117" spans="2:7" hidden="1">
      <c r="B3117" s="141" t="s">
        <v>8564</v>
      </c>
      <c r="C3117" s="140"/>
      <c r="D3117" s="141" t="s">
        <v>998</v>
      </c>
      <c r="E3117" s="140"/>
      <c r="F3117" s="140"/>
      <c r="G3117" s="140"/>
    </row>
    <row r="3118" spans="2:7" hidden="1">
      <c r="B3118" s="141" t="s">
        <v>8565</v>
      </c>
      <c r="C3118" s="140" t="s">
        <v>8566</v>
      </c>
      <c r="D3118" s="141" t="s">
        <v>3171</v>
      </c>
      <c r="E3118" s="140" t="s">
        <v>8567</v>
      </c>
      <c r="F3118" s="140" t="s">
        <v>8568</v>
      </c>
      <c r="G3118" s="140"/>
    </row>
    <row r="3119" spans="2:7" hidden="1">
      <c r="B3119" s="141" t="s">
        <v>8569</v>
      </c>
      <c r="C3119" s="140"/>
      <c r="D3119" s="141" t="s">
        <v>2311</v>
      </c>
      <c r="E3119" s="140"/>
      <c r="F3119" s="140"/>
      <c r="G3119" s="140"/>
    </row>
    <row r="3120" spans="2:7" hidden="1">
      <c r="B3120" s="141" t="s">
        <v>8570</v>
      </c>
      <c r="C3120" s="140"/>
      <c r="D3120" s="141" t="s">
        <v>8571</v>
      </c>
      <c r="E3120" s="140"/>
      <c r="F3120" s="140"/>
      <c r="G3120" s="140"/>
    </row>
    <row r="3121" spans="2:7" hidden="1">
      <c r="B3121" s="141" t="s">
        <v>8572</v>
      </c>
      <c r="C3121" s="140" t="s">
        <v>8573</v>
      </c>
      <c r="D3121" s="141" t="s">
        <v>8574</v>
      </c>
      <c r="E3121" s="140" t="s">
        <v>8575</v>
      </c>
      <c r="F3121" s="140" t="s">
        <v>8576</v>
      </c>
      <c r="G3121" s="140"/>
    </row>
    <row r="3122" spans="2:7" hidden="1">
      <c r="B3122" s="141" t="s">
        <v>8577</v>
      </c>
      <c r="C3122" s="141" t="s">
        <v>8578</v>
      </c>
      <c r="D3122" s="141" t="s">
        <v>8579</v>
      </c>
      <c r="E3122" s="141" t="s">
        <v>8580</v>
      </c>
      <c r="F3122" s="140"/>
      <c r="G3122" s="140"/>
    </row>
    <row r="3123" spans="2:7" hidden="1">
      <c r="B3123" s="141" t="s">
        <v>21708</v>
      </c>
      <c r="C3123" s="140" t="s">
        <v>8581</v>
      </c>
      <c r="D3123" s="141" t="s">
        <v>8582</v>
      </c>
      <c r="E3123" s="140" t="s">
        <v>8583</v>
      </c>
      <c r="F3123" s="140" t="s">
        <v>8584</v>
      </c>
      <c r="G3123" s="140"/>
    </row>
    <row r="3124" spans="2:7" hidden="1">
      <c r="B3124" s="141" t="s">
        <v>8585</v>
      </c>
      <c r="C3124" s="140"/>
      <c r="D3124" s="141" t="s">
        <v>8586</v>
      </c>
      <c r="E3124" s="140"/>
      <c r="F3124" s="140"/>
      <c r="G3124" s="140"/>
    </row>
    <row r="3125" spans="2:7" hidden="1">
      <c r="B3125" s="141" t="s">
        <v>8587</v>
      </c>
      <c r="C3125" s="140" t="s">
        <v>7435</v>
      </c>
      <c r="D3125" s="141" t="s">
        <v>8588</v>
      </c>
      <c r="E3125" s="141" t="s">
        <v>7437</v>
      </c>
      <c r="F3125" s="140" t="s">
        <v>7438</v>
      </c>
      <c r="G3125" s="140"/>
    </row>
    <row r="3126" spans="2:7" hidden="1">
      <c r="B3126" s="141" t="s">
        <v>8596</v>
      </c>
      <c r="C3126" s="140" t="s">
        <v>8597</v>
      </c>
      <c r="D3126" s="141" t="s">
        <v>8598</v>
      </c>
      <c r="E3126" s="140" t="s">
        <v>8599</v>
      </c>
      <c r="F3126" s="140"/>
      <c r="G3126" s="140"/>
    </row>
    <row r="3127" spans="2:7" hidden="1">
      <c r="B3127" s="140" t="s">
        <v>21709</v>
      </c>
      <c r="C3127" s="140"/>
      <c r="D3127" s="140" t="s">
        <v>1427</v>
      </c>
      <c r="E3127" s="142"/>
      <c r="F3127" s="142"/>
      <c r="G3127" s="140"/>
    </row>
    <row r="3128" spans="2:7" hidden="1">
      <c r="B3128" s="141" t="s">
        <v>21710</v>
      </c>
      <c r="C3128" s="140" t="s">
        <v>8589</v>
      </c>
      <c r="D3128" s="141" t="s">
        <v>8590</v>
      </c>
      <c r="E3128" s="140" t="s">
        <v>8591</v>
      </c>
      <c r="F3128" s="140" t="s">
        <v>8592</v>
      </c>
      <c r="G3128" s="140"/>
    </row>
    <row r="3129" spans="2:7" hidden="1">
      <c r="B3129" s="141" t="s">
        <v>21711</v>
      </c>
      <c r="C3129" s="140" t="s">
        <v>8593</v>
      </c>
      <c r="D3129" s="141" t="s">
        <v>6563</v>
      </c>
      <c r="E3129" s="140" t="s">
        <v>8594</v>
      </c>
      <c r="F3129" s="140" t="s">
        <v>8595</v>
      </c>
      <c r="G3129" s="140"/>
    </row>
    <row r="3130" spans="2:7" hidden="1">
      <c r="B3130" s="141" t="s">
        <v>8600</v>
      </c>
      <c r="C3130" s="140"/>
      <c r="D3130" s="141" t="s">
        <v>8601</v>
      </c>
      <c r="E3130" s="140"/>
      <c r="F3130" s="140"/>
      <c r="G3130" s="140"/>
    </row>
    <row r="3131" spans="2:7" hidden="1">
      <c r="B3131" s="140" t="s">
        <v>21712</v>
      </c>
      <c r="C3131" s="140" t="s">
        <v>8602</v>
      </c>
      <c r="D3131" s="140" t="s">
        <v>1856</v>
      </c>
      <c r="E3131" s="140" t="s">
        <v>8603</v>
      </c>
      <c r="F3131" s="140" t="s">
        <v>8604</v>
      </c>
      <c r="G3131" s="140"/>
    </row>
    <row r="3132" spans="2:7" hidden="1">
      <c r="B3132" s="141" t="s">
        <v>21713</v>
      </c>
      <c r="C3132" s="141" t="s">
        <v>8605</v>
      </c>
      <c r="D3132" s="141" t="s">
        <v>1900</v>
      </c>
      <c r="E3132" s="141"/>
      <c r="F3132" s="141"/>
      <c r="G3132" s="140"/>
    </row>
    <row r="3133" spans="2:7" hidden="1">
      <c r="B3133" s="141" t="s">
        <v>8614</v>
      </c>
      <c r="C3133" s="141" t="s">
        <v>8615</v>
      </c>
      <c r="D3133" s="141" t="s">
        <v>8616</v>
      </c>
      <c r="E3133" s="141" t="s">
        <v>8617</v>
      </c>
      <c r="F3133" s="141"/>
      <c r="G3133" s="140"/>
    </row>
    <row r="3134" spans="2:7" hidden="1">
      <c r="B3134" s="141" t="s">
        <v>8618</v>
      </c>
      <c r="C3134" s="140" t="s">
        <v>8619</v>
      </c>
      <c r="D3134" s="141" t="s">
        <v>8620</v>
      </c>
      <c r="E3134" s="140" t="s">
        <v>8621</v>
      </c>
      <c r="F3134" s="140"/>
      <c r="G3134" s="140"/>
    </row>
    <row r="3135" spans="2:7" hidden="1">
      <c r="B3135" s="140" t="s">
        <v>20272</v>
      </c>
      <c r="C3135" s="140" t="s">
        <v>20270</v>
      </c>
      <c r="D3135" s="140" t="s">
        <v>20271</v>
      </c>
      <c r="E3135" s="142" t="s">
        <v>20273</v>
      </c>
      <c r="F3135" s="142"/>
      <c r="G3135" s="140"/>
    </row>
    <row r="3136" spans="2:7" hidden="1">
      <c r="B3136" s="141" t="s">
        <v>21714</v>
      </c>
      <c r="C3136" s="140" t="s">
        <v>8606</v>
      </c>
      <c r="D3136" s="141" t="s">
        <v>8607</v>
      </c>
      <c r="E3136" s="140" t="s">
        <v>8608</v>
      </c>
      <c r="F3136" s="140" t="s">
        <v>8609</v>
      </c>
      <c r="G3136" s="140"/>
    </row>
    <row r="3137" spans="2:7" hidden="1">
      <c r="B3137" s="141" t="s">
        <v>21715</v>
      </c>
      <c r="C3137" s="140" t="s">
        <v>8610</v>
      </c>
      <c r="D3137" s="141" t="s">
        <v>8611</v>
      </c>
      <c r="E3137" s="140" t="s">
        <v>8612</v>
      </c>
      <c r="F3137" s="140" t="s">
        <v>8613</v>
      </c>
      <c r="G3137" s="140"/>
    </row>
    <row r="3138" spans="2:7" hidden="1">
      <c r="B3138" s="140" t="s">
        <v>8622</v>
      </c>
      <c r="C3138" s="140" t="s">
        <v>8623</v>
      </c>
      <c r="D3138" s="140" t="s">
        <v>4880</v>
      </c>
      <c r="E3138" s="142" t="s">
        <v>8624</v>
      </c>
      <c r="F3138" s="142" t="s">
        <v>8625</v>
      </c>
      <c r="G3138" s="140"/>
    </row>
    <row r="3139" spans="2:7" hidden="1">
      <c r="B3139" s="141" t="s">
        <v>8626</v>
      </c>
      <c r="C3139" s="140" t="s">
        <v>8627</v>
      </c>
      <c r="D3139" s="141" t="s">
        <v>8628</v>
      </c>
      <c r="E3139" s="140" t="s">
        <v>8629</v>
      </c>
      <c r="F3139" s="140" t="s">
        <v>8630</v>
      </c>
      <c r="G3139" s="140"/>
    </row>
    <row r="3140" spans="2:7" hidden="1">
      <c r="B3140" s="140" t="s">
        <v>8631</v>
      </c>
      <c r="C3140" s="140"/>
      <c r="D3140" s="140" t="s">
        <v>8632</v>
      </c>
      <c r="E3140" s="142"/>
      <c r="F3140" s="142"/>
      <c r="G3140" s="140"/>
    </row>
    <row r="3141" spans="2:7" hidden="1">
      <c r="B3141" s="141" t="s">
        <v>8633</v>
      </c>
      <c r="C3141" s="140" t="s">
        <v>8634</v>
      </c>
      <c r="D3141" s="141" t="s">
        <v>1463</v>
      </c>
      <c r="E3141" s="140" t="s">
        <v>8635</v>
      </c>
      <c r="F3141" s="140" t="s">
        <v>8636</v>
      </c>
      <c r="G3141" s="140"/>
    </row>
    <row r="3142" spans="2:7" hidden="1">
      <c r="B3142" s="141" t="s">
        <v>8637</v>
      </c>
      <c r="C3142" s="140" t="s">
        <v>8638</v>
      </c>
      <c r="D3142" s="141" t="s">
        <v>1242</v>
      </c>
      <c r="E3142" s="140" t="s">
        <v>8639</v>
      </c>
      <c r="F3142" s="140" t="s">
        <v>8640</v>
      </c>
      <c r="G3142" s="140"/>
    </row>
    <row r="3143" spans="2:7" hidden="1">
      <c r="B3143" s="140" t="s">
        <v>8641</v>
      </c>
      <c r="C3143" s="140" t="s">
        <v>8642</v>
      </c>
      <c r="D3143" s="140" t="s">
        <v>8643</v>
      </c>
      <c r="E3143" s="141" t="s">
        <v>8644</v>
      </c>
      <c r="F3143" s="140" t="s">
        <v>8645</v>
      </c>
      <c r="G3143" s="140"/>
    </row>
    <row r="3144" spans="2:7" hidden="1">
      <c r="B3144" s="141" t="s">
        <v>8646</v>
      </c>
      <c r="C3144" s="140" t="s">
        <v>8647</v>
      </c>
      <c r="D3144" s="141" t="s">
        <v>8648</v>
      </c>
      <c r="E3144" s="140" t="s">
        <v>8649</v>
      </c>
      <c r="F3144" s="140" t="s">
        <v>8650</v>
      </c>
      <c r="G3144" s="140"/>
    </row>
    <row r="3145" spans="2:7" hidden="1">
      <c r="B3145" s="140" t="s">
        <v>8651</v>
      </c>
      <c r="C3145" s="140"/>
      <c r="D3145" s="140" t="s">
        <v>8652</v>
      </c>
      <c r="E3145" s="140"/>
      <c r="F3145" s="140"/>
      <c r="G3145" s="140"/>
    </row>
    <row r="3146" spans="2:7" hidden="1">
      <c r="B3146" s="140" t="s">
        <v>8653</v>
      </c>
      <c r="C3146" s="140" t="s">
        <v>8654</v>
      </c>
      <c r="D3146" s="140" t="s">
        <v>8655</v>
      </c>
      <c r="E3146" s="140"/>
      <c r="F3146" s="140"/>
      <c r="G3146" s="140"/>
    </row>
    <row r="3147" spans="2:7" hidden="1">
      <c r="B3147" s="141" t="s">
        <v>8656</v>
      </c>
      <c r="C3147" s="140" t="s">
        <v>8657</v>
      </c>
      <c r="D3147" s="141" t="s">
        <v>8658</v>
      </c>
      <c r="E3147" s="140" t="s">
        <v>8659</v>
      </c>
      <c r="F3147" s="140" t="s">
        <v>8660</v>
      </c>
      <c r="G3147" s="140"/>
    </row>
    <row r="3148" spans="2:7" hidden="1">
      <c r="B3148" s="141" t="s">
        <v>8661</v>
      </c>
      <c r="C3148" s="140"/>
      <c r="D3148" s="141" t="s">
        <v>8384</v>
      </c>
      <c r="E3148" s="140" t="s">
        <v>8662</v>
      </c>
      <c r="F3148" s="140" t="s">
        <v>8663</v>
      </c>
      <c r="G3148" s="140"/>
    </row>
    <row r="3149" spans="2:7" hidden="1">
      <c r="B3149" s="141" t="s">
        <v>8664</v>
      </c>
      <c r="C3149" s="140" t="s">
        <v>8665</v>
      </c>
      <c r="D3149" s="141" t="s">
        <v>4073</v>
      </c>
      <c r="E3149" s="140" t="s">
        <v>8666</v>
      </c>
      <c r="F3149" s="140" t="s">
        <v>8667</v>
      </c>
      <c r="G3149" s="140"/>
    </row>
    <row r="3150" spans="2:7" hidden="1">
      <c r="B3150" s="141" t="s">
        <v>8668</v>
      </c>
      <c r="C3150" s="141"/>
      <c r="D3150" s="141" t="s">
        <v>1642</v>
      </c>
      <c r="E3150" s="141"/>
      <c r="F3150" s="140"/>
      <c r="G3150" s="140"/>
    </row>
    <row r="3151" spans="2:7" hidden="1">
      <c r="B3151" s="141" t="s">
        <v>8669</v>
      </c>
      <c r="C3151" s="140" t="s">
        <v>8670</v>
      </c>
      <c r="D3151" s="141" t="s">
        <v>8671</v>
      </c>
      <c r="E3151" s="140" t="s">
        <v>8672</v>
      </c>
      <c r="F3151" s="140" t="s">
        <v>8673</v>
      </c>
      <c r="G3151" s="140"/>
    </row>
    <row r="3152" spans="2:7" hidden="1">
      <c r="B3152" s="140" t="s">
        <v>8674</v>
      </c>
      <c r="C3152" s="140"/>
      <c r="D3152" s="140" t="s">
        <v>8675</v>
      </c>
      <c r="E3152" s="142"/>
      <c r="F3152" s="142"/>
      <c r="G3152" s="140"/>
    </row>
    <row r="3153" spans="2:7" hidden="1">
      <c r="B3153" s="141" t="s">
        <v>21700</v>
      </c>
      <c r="C3153" s="140" t="s">
        <v>8480</v>
      </c>
      <c r="D3153" s="141" t="s">
        <v>4716</v>
      </c>
      <c r="E3153" s="140" t="s">
        <v>8481</v>
      </c>
      <c r="F3153" s="140" t="s">
        <v>8482</v>
      </c>
      <c r="G3153" s="140"/>
    </row>
    <row r="3154" spans="2:7" hidden="1">
      <c r="B3154" s="140" t="s">
        <v>21701</v>
      </c>
      <c r="C3154" s="140" t="s">
        <v>8483</v>
      </c>
      <c r="D3154" s="140" t="s">
        <v>5060</v>
      </c>
      <c r="E3154" s="140" t="s">
        <v>8484</v>
      </c>
      <c r="F3154" s="140" t="s">
        <v>8485</v>
      </c>
      <c r="G3154" s="140"/>
    </row>
    <row r="3155" spans="2:7" hidden="1">
      <c r="B3155" s="140" t="s">
        <v>21702</v>
      </c>
      <c r="C3155" s="140"/>
      <c r="D3155" s="140" t="s">
        <v>8486</v>
      </c>
      <c r="E3155" s="142"/>
      <c r="F3155" s="142"/>
      <c r="G3155" s="140"/>
    </row>
    <row r="3156" spans="2:7" hidden="1">
      <c r="B3156" s="141" t="s">
        <v>21703</v>
      </c>
      <c r="C3156" s="140"/>
      <c r="D3156" s="141" t="s">
        <v>8487</v>
      </c>
      <c r="E3156" s="140"/>
      <c r="F3156" s="140"/>
      <c r="G3156" s="140"/>
    </row>
    <row r="3157" spans="2:7" hidden="1">
      <c r="B3157" s="141" t="s">
        <v>21704</v>
      </c>
      <c r="C3157" s="140"/>
      <c r="D3157" s="141" t="s">
        <v>7835</v>
      </c>
      <c r="E3157" s="140"/>
      <c r="F3157" s="140"/>
      <c r="G3157" s="140"/>
    </row>
    <row r="3158" spans="2:7" hidden="1">
      <c r="B3158" s="141" t="s">
        <v>21705</v>
      </c>
      <c r="C3158" s="140" t="s">
        <v>8488</v>
      </c>
      <c r="D3158" s="141" t="s">
        <v>8489</v>
      </c>
      <c r="E3158" s="140"/>
      <c r="F3158" s="140"/>
      <c r="G3158" s="140"/>
    </row>
    <row r="3159" spans="2:7" hidden="1">
      <c r="B3159" s="141" t="s">
        <v>21705</v>
      </c>
      <c r="C3159" s="140" t="s">
        <v>8490</v>
      </c>
      <c r="D3159" s="141" t="s">
        <v>8491</v>
      </c>
      <c r="E3159" s="140"/>
      <c r="F3159" s="140"/>
      <c r="G3159" s="140"/>
    </row>
    <row r="3160" spans="2:7" hidden="1">
      <c r="B3160" s="141" t="s">
        <v>21706</v>
      </c>
      <c r="C3160" s="140" t="s">
        <v>8492</v>
      </c>
      <c r="D3160" s="141" t="s">
        <v>8493</v>
      </c>
      <c r="E3160" s="140"/>
      <c r="F3160" s="140"/>
      <c r="G3160" s="140" t="s">
        <v>8494</v>
      </c>
    </row>
    <row r="3161" spans="2:7" hidden="1">
      <c r="B3161" s="141" t="s">
        <v>8678</v>
      </c>
      <c r="C3161" s="140" t="s">
        <v>8679</v>
      </c>
      <c r="D3161" s="141" t="s">
        <v>1692</v>
      </c>
      <c r="E3161" s="140" t="s">
        <v>8680</v>
      </c>
      <c r="F3161" s="140" t="s">
        <v>8681</v>
      </c>
      <c r="G3161" s="140"/>
    </row>
    <row r="3162" spans="2:7" hidden="1">
      <c r="B3162" s="141" t="s">
        <v>8682</v>
      </c>
      <c r="C3162" s="141"/>
      <c r="D3162" s="141" t="s">
        <v>8683</v>
      </c>
      <c r="E3162" s="140"/>
      <c r="F3162" s="140"/>
      <c r="G3162" s="140"/>
    </row>
    <row r="3163" spans="2:7" hidden="1">
      <c r="B3163" s="141" t="s">
        <v>21716</v>
      </c>
      <c r="C3163" s="140"/>
      <c r="D3163" s="141" t="s">
        <v>8676</v>
      </c>
      <c r="E3163" s="140"/>
      <c r="F3163" s="140"/>
      <c r="G3163" s="140"/>
    </row>
    <row r="3164" spans="2:7" hidden="1">
      <c r="B3164" s="141" t="s">
        <v>21717</v>
      </c>
      <c r="C3164" s="140"/>
      <c r="D3164" s="141" t="s">
        <v>8677</v>
      </c>
      <c r="E3164" s="140"/>
      <c r="F3164" s="140"/>
      <c r="G3164" s="140"/>
    </row>
    <row r="3165" spans="2:7" hidden="1">
      <c r="B3165" s="141" t="s">
        <v>8684</v>
      </c>
      <c r="C3165" s="140"/>
      <c r="D3165" s="141" t="s">
        <v>8685</v>
      </c>
      <c r="E3165" s="140"/>
      <c r="F3165" s="140"/>
      <c r="G3165" s="140"/>
    </row>
    <row r="3166" spans="2:7" hidden="1">
      <c r="B3166" s="141" t="s">
        <v>8686</v>
      </c>
      <c r="C3166" s="140"/>
      <c r="D3166" s="141" t="s">
        <v>1404</v>
      </c>
      <c r="E3166" s="140"/>
      <c r="F3166" s="140"/>
      <c r="G3166" s="140"/>
    </row>
    <row r="3167" spans="2:7" hidden="1">
      <c r="B3167" s="141" t="s">
        <v>8687</v>
      </c>
      <c r="C3167" s="141" t="s">
        <v>8688</v>
      </c>
      <c r="D3167" s="141" t="s">
        <v>8689</v>
      </c>
      <c r="E3167" s="141"/>
      <c r="F3167" s="141"/>
      <c r="G3167" s="140" t="s">
        <v>8690</v>
      </c>
    </row>
    <row r="3168" spans="2:7" hidden="1">
      <c r="B3168" s="141" t="s">
        <v>8691</v>
      </c>
      <c r="C3168" s="140"/>
      <c r="D3168" s="141" t="s">
        <v>8692</v>
      </c>
      <c r="E3168" s="140"/>
      <c r="F3168" s="140"/>
      <c r="G3168" s="140"/>
    </row>
    <row r="3169" spans="2:7" hidden="1">
      <c r="B3169" s="141" t="s">
        <v>8693</v>
      </c>
      <c r="C3169" s="140"/>
      <c r="D3169" s="141" t="s">
        <v>8694</v>
      </c>
      <c r="E3169" s="140"/>
      <c r="F3169" s="140"/>
      <c r="G3169" s="140"/>
    </row>
    <row r="3170" spans="2:7" hidden="1">
      <c r="B3170" s="141" t="s">
        <v>8695</v>
      </c>
      <c r="C3170" s="141" t="s">
        <v>8696</v>
      </c>
      <c r="D3170" s="141" t="s">
        <v>1765</v>
      </c>
      <c r="E3170" s="141" t="s">
        <v>8697</v>
      </c>
      <c r="F3170" s="140" t="s">
        <v>8698</v>
      </c>
      <c r="G3170" s="140"/>
    </row>
    <row r="3171" spans="2:7" hidden="1">
      <c r="B3171" s="141" t="s">
        <v>8699</v>
      </c>
      <c r="C3171" s="140" t="s">
        <v>8700</v>
      </c>
      <c r="D3171" s="141" t="s">
        <v>8701</v>
      </c>
      <c r="E3171" s="140" t="s">
        <v>8702</v>
      </c>
      <c r="F3171" s="140"/>
      <c r="G3171" s="140"/>
    </row>
    <row r="3172" spans="2:7" hidden="1">
      <c r="B3172" s="141" t="s">
        <v>8703</v>
      </c>
      <c r="C3172" s="140" t="s">
        <v>8704</v>
      </c>
      <c r="D3172" s="141" t="s">
        <v>8705</v>
      </c>
      <c r="E3172" s="140" t="s">
        <v>8706</v>
      </c>
      <c r="F3172" s="140"/>
      <c r="G3172" s="140"/>
    </row>
    <row r="3173" spans="2:7" hidden="1">
      <c r="B3173" s="140" t="s">
        <v>8707</v>
      </c>
      <c r="C3173" s="140" t="s">
        <v>8708</v>
      </c>
      <c r="D3173" s="140" t="s">
        <v>8709</v>
      </c>
      <c r="E3173" s="142" t="s">
        <v>8710</v>
      </c>
      <c r="F3173" s="142" t="s">
        <v>8711</v>
      </c>
      <c r="G3173" s="140"/>
    </row>
    <row r="3174" spans="2:7" hidden="1">
      <c r="B3174" s="141" t="s">
        <v>8712</v>
      </c>
      <c r="C3174" s="141" t="s">
        <v>8713</v>
      </c>
      <c r="D3174" s="141" t="s">
        <v>3339</v>
      </c>
      <c r="E3174" s="141" t="s">
        <v>8714</v>
      </c>
      <c r="F3174" s="141" t="s">
        <v>8715</v>
      </c>
      <c r="G3174" s="140"/>
    </row>
    <row r="3175" spans="2:7" hidden="1">
      <c r="B3175" s="141" t="s">
        <v>8716</v>
      </c>
      <c r="C3175" s="140"/>
      <c r="D3175" s="141" t="s">
        <v>8717</v>
      </c>
      <c r="E3175" s="140"/>
      <c r="F3175" s="140"/>
      <c r="G3175" s="140"/>
    </row>
    <row r="3176" spans="2:7" hidden="1">
      <c r="B3176" s="141" t="s">
        <v>8718</v>
      </c>
      <c r="C3176" s="140"/>
      <c r="D3176" s="141" t="s">
        <v>2237</v>
      </c>
      <c r="E3176" s="140"/>
      <c r="F3176" s="140"/>
      <c r="G3176" s="140"/>
    </row>
    <row r="3177" spans="2:7" hidden="1">
      <c r="B3177" s="141" t="s">
        <v>8719</v>
      </c>
      <c r="C3177" s="140"/>
      <c r="D3177" s="141" t="s">
        <v>8720</v>
      </c>
      <c r="E3177" s="140"/>
      <c r="F3177" s="140"/>
      <c r="G3177" s="140"/>
    </row>
    <row r="3178" spans="2:7" hidden="1">
      <c r="B3178" s="140" t="s">
        <v>8721</v>
      </c>
      <c r="C3178" s="140"/>
      <c r="D3178" s="140" t="s">
        <v>5958</v>
      </c>
      <c r="E3178" s="142"/>
      <c r="F3178" s="142"/>
      <c r="G3178" s="140"/>
    </row>
    <row r="3179" spans="2:7" hidden="1">
      <c r="B3179" s="141" t="s">
        <v>8722</v>
      </c>
      <c r="C3179" s="140" t="s">
        <v>8723</v>
      </c>
      <c r="D3179" s="141" t="s">
        <v>8724</v>
      </c>
      <c r="E3179" s="140"/>
      <c r="F3179" s="140"/>
      <c r="G3179" s="140"/>
    </row>
    <row r="3180" spans="2:7" hidden="1">
      <c r="B3180" s="141" t="s">
        <v>8725</v>
      </c>
      <c r="C3180" s="140"/>
      <c r="D3180" s="141" t="s">
        <v>1242</v>
      </c>
      <c r="E3180" s="140"/>
      <c r="F3180" s="140"/>
      <c r="G3180" s="140"/>
    </row>
    <row r="3181" spans="2:7" hidden="1">
      <c r="B3181" s="141" t="s">
        <v>8726</v>
      </c>
      <c r="C3181" s="141"/>
      <c r="D3181" s="141" t="s">
        <v>8727</v>
      </c>
      <c r="E3181" s="141"/>
      <c r="F3181" s="141"/>
      <c r="G3181" s="140"/>
    </row>
    <row r="3182" spans="2:7" hidden="1">
      <c r="B3182" s="141" t="s">
        <v>8728</v>
      </c>
      <c r="C3182" s="140"/>
      <c r="D3182" s="141" t="s">
        <v>8729</v>
      </c>
      <c r="E3182" s="140"/>
      <c r="F3182" s="140"/>
      <c r="G3182" s="140"/>
    </row>
    <row r="3183" spans="2:7" hidden="1">
      <c r="B3183" s="141" t="s">
        <v>8730</v>
      </c>
      <c r="C3183" s="140"/>
      <c r="D3183" s="141" t="s">
        <v>1215</v>
      </c>
      <c r="E3183" s="140"/>
      <c r="F3183" s="140"/>
      <c r="G3183" s="140"/>
    </row>
    <row r="3184" spans="2:7" hidden="1">
      <c r="B3184" s="141" t="s">
        <v>8731</v>
      </c>
      <c r="C3184" s="140"/>
      <c r="D3184" s="141" t="s">
        <v>7540</v>
      </c>
      <c r="E3184" s="140"/>
      <c r="F3184" s="140"/>
      <c r="G3184" s="140"/>
    </row>
    <row r="3185" spans="2:7" hidden="1">
      <c r="B3185" s="141" t="s">
        <v>8732</v>
      </c>
      <c r="C3185" s="140" t="s">
        <v>8733</v>
      </c>
      <c r="D3185" s="141" t="s">
        <v>4601</v>
      </c>
      <c r="E3185" s="140" t="s">
        <v>8734</v>
      </c>
      <c r="F3185" s="140" t="s">
        <v>8735</v>
      </c>
      <c r="G3185" s="140"/>
    </row>
    <row r="3186" spans="2:7" hidden="1">
      <c r="B3186" s="140" t="s">
        <v>8736</v>
      </c>
      <c r="C3186" s="140" t="s">
        <v>8737</v>
      </c>
      <c r="D3186" s="140" t="s">
        <v>3414</v>
      </c>
      <c r="E3186" s="142" t="s">
        <v>8738</v>
      </c>
      <c r="F3186" s="142" t="s">
        <v>8739</v>
      </c>
      <c r="G3186" s="140"/>
    </row>
    <row r="3187" spans="2:7" hidden="1">
      <c r="B3187" s="141" t="s">
        <v>8740</v>
      </c>
      <c r="C3187" s="140" t="s">
        <v>8741</v>
      </c>
      <c r="D3187" s="141" t="s">
        <v>8742</v>
      </c>
      <c r="E3187" s="140" t="s">
        <v>8743</v>
      </c>
      <c r="F3187" s="140" t="s">
        <v>8744</v>
      </c>
      <c r="G3187" s="140"/>
    </row>
    <row r="3188" spans="2:7" hidden="1">
      <c r="B3188" s="141" t="s">
        <v>8745</v>
      </c>
      <c r="C3188" s="140"/>
      <c r="D3188" s="141" t="s">
        <v>3686</v>
      </c>
      <c r="E3188" s="140"/>
      <c r="F3188" s="140"/>
      <c r="G3188" s="140"/>
    </row>
    <row r="3189" spans="2:7" hidden="1">
      <c r="B3189" s="141" t="s">
        <v>8746</v>
      </c>
      <c r="C3189" s="140"/>
      <c r="D3189" s="141" t="s">
        <v>8747</v>
      </c>
      <c r="E3189" s="140"/>
      <c r="F3189" s="140"/>
      <c r="G3189" s="140"/>
    </row>
    <row r="3190" spans="2:7" hidden="1">
      <c r="B3190" s="141" t="s">
        <v>8748</v>
      </c>
      <c r="C3190" s="140"/>
      <c r="D3190" s="141" t="s">
        <v>8749</v>
      </c>
      <c r="E3190" s="140"/>
      <c r="F3190" s="140"/>
      <c r="G3190" s="140"/>
    </row>
    <row r="3191" spans="2:7" hidden="1">
      <c r="B3191" s="140" t="s">
        <v>8750</v>
      </c>
      <c r="C3191" s="140"/>
      <c r="D3191" s="140" t="s">
        <v>8751</v>
      </c>
      <c r="E3191" s="140"/>
      <c r="F3191" s="140"/>
      <c r="G3191" s="140"/>
    </row>
    <row r="3192" spans="2:7" hidden="1">
      <c r="B3192" s="141" t="s">
        <v>8752</v>
      </c>
      <c r="C3192" s="140"/>
      <c r="D3192" s="141" t="s">
        <v>8753</v>
      </c>
      <c r="E3192" s="140"/>
      <c r="F3192" s="140"/>
      <c r="G3192" s="140"/>
    </row>
    <row r="3193" spans="2:7" hidden="1">
      <c r="B3193" s="141" t="s">
        <v>8754</v>
      </c>
      <c r="C3193" s="140"/>
      <c r="D3193" s="141" t="s">
        <v>8755</v>
      </c>
      <c r="E3193" s="140"/>
      <c r="F3193" s="140"/>
      <c r="G3193" s="140"/>
    </row>
    <row r="3194" spans="2:7" hidden="1">
      <c r="B3194" s="140" t="s">
        <v>8756</v>
      </c>
      <c r="C3194" s="140"/>
      <c r="D3194" s="140" t="s">
        <v>3584</v>
      </c>
      <c r="E3194" s="142"/>
      <c r="F3194" s="142"/>
      <c r="G3194" s="140"/>
    </row>
    <row r="3195" spans="2:7" hidden="1">
      <c r="B3195" s="141" t="s">
        <v>8757</v>
      </c>
      <c r="C3195" s="140"/>
      <c r="D3195" s="141" t="s">
        <v>2813</v>
      </c>
      <c r="E3195" s="140"/>
      <c r="F3195" s="140"/>
      <c r="G3195" s="140"/>
    </row>
    <row r="3196" spans="2:7" hidden="1">
      <c r="B3196" s="140" t="s">
        <v>8758</v>
      </c>
      <c r="C3196" s="141"/>
      <c r="D3196" s="141" t="s">
        <v>7055</v>
      </c>
      <c r="E3196" s="141"/>
      <c r="F3196" s="141"/>
      <c r="G3196" s="140"/>
    </row>
    <row r="3197" spans="2:7" hidden="1">
      <c r="B3197" s="141" t="s">
        <v>8759</v>
      </c>
      <c r="C3197" s="140"/>
      <c r="D3197" s="141" t="s">
        <v>8760</v>
      </c>
      <c r="E3197" s="140"/>
      <c r="F3197" s="140"/>
      <c r="G3197" s="140"/>
    </row>
    <row r="3198" spans="2:7" hidden="1">
      <c r="B3198" s="141" t="s">
        <v>8761</v>
      </c>
      <c r="C3198" s="140"/>
      <c r="D3198" s="141" t="s">
        <v>8762</v>
      </c>
      <c r="E3198" s="140"/>
      <c r="F3198" s="140"/>
      <c r="G3198" s="140"/>
    </row>
    <row r="3199" spans="2:7" hidden="1">
      <c r="B3199" s="141" t="s">
        <v>8763</v>
      </c>
      <c r="C3199" s="140"/>
      <c r="D3199" s="141" t="s">
        <v>3201</v>
      </c>
      <c r="E3199" s="140"/>
      <c r="F3199" s="140"/>
      <c r="G3199" s="140"/>
    </row>
    <row r="3200" spans="2:7" hidden="1">
      <c r="B3200" s="140" t="s">
        <v>8764</v>
      </c>
      <c r="C3200" s="140"/>
      <c r="D3200" s="140" t="s">
        <v>8765</v>
      </c>
      <c r="E3200" s="142"/>
      <c r="F3200" s="142"/>
      <c r="G3200" s="140"/>
    </row>
    <row r="3201" spans="2:7" hidden="1">
      <c r="B3201" s="141" t="s">
        <v>8766</v>
      </c>
      <c r="C3201" s="140"/>
      <c r="D3201" s="141" t="s">
        <v>6137</v>
      </c>
      <c r="E3201" s="140" t="s">
        <v>8767</v>
      </c>
      <c r="F3201" s="140"/>
      <c r="G3201" s="140"/>
    </row>
    <row r="3202" spans="2:7" hidden="1">
      <c r="B3202" s="141" t="s">
        <v>8768</v>
      </c>
      <c r="C3202" s="140"/>
      <c r="D3202" s="141" t="s">
        <v>8769</v>
      </c>
      <c r="E3202" s="140"/>
      <c r="F3202" s="140"/>
      <c r="G3202" s="140"/>
    </row>
    <row r="3203" spans="2:7" hidden="1">
      <c r="B3203" s="141" t="s">
        <v>8770</v>
      </c>
      <c r="C3203" s="140" t="s">
        <v>8771</v>
      </c>
      <c r="D3203" s="141" t="s">
        <v>8772</v>
      </c>
      <c r="E3203" s="140" t="s">
        <v>8773</v>
      </c>
      <c r="F3203" s="140" t="s">
        <v>8774</v>
      </c>
      <c r="G3203" s="140"/>
    </row>
    <row r="3204" spans="2:7" hidden="1">
      <c r="B3204" s="141" t="s">
        <v>8775</v>
      </c>
      <c r="C3204" s="140" t="s">
        <v>8776</v>
      </c>
      <c r="D3204" s="141" t="s">
        <v>2554</v>
      </c>
      <c r="E3204" s="140" t="s">
        <v>8777</v>
      </c>
      <c r="F3204" s="140" t="s">
        <v>8778</v>
      </c>
      <c r="G3204" s="140"/>
    </row>
    <row r="3205" spans="2:7" hidden="1">
      <c r="B3205" s="141" t="s">
        <v>8779</v>
      </c>
      <c r="C3205" s="140" t="s">
        <v>8780</v>
      </c>
      <c r="D3205" s="140" t="s">
        <v>2088</v>
      </c>
      <c r="E3205" s="140" t="s">
        <v>8781</v>
      </c>
      <c r="F3205" s="140" t="s">
        <v>8782</v>
      </c>
      <c r="G3205" s="140"/>
    </row>
    <row r="3206" spans="2:7" hidden="1">
      <c r="B3206" s="141" t="s">
        <v>8783</v>
      </c>
      <c r="C3206" s="140" t="s">
        <v>8784</v>
      </c>
      <c r="D3206" s="141" t="s">
        <v>8785</v>
      </c>
      <c r="E3206" s="140" t="s">
        <v>8786</v>
      </c>
      <c r="F3206" s="140"/>
      <c r="G3206" s="140"/>
    </row>
    <row r="3207" spans="2:7" hidden="1">
      <c r="B3207" s="141" t="s">
        <v>8787</v>
      </c>
      <c r="C3207" s="141" t="s">
        <v>8788</v>
      </c>
      <c r="D3207" s="141" t="s">
        <v>8789</v>
      </c>
      <c r="E3207" s="141" t="s">
        <v>2462</v>
      </c>
      <c r="F3207" s="140" t="s">
        <v>2463</v>
      </c>
      <c r="G3207" s="140"/>
    </row>
    <row r="3208" spans="2:7" hidden="1">
      <c r="B3208" s="141" t="s">
        <v>8790</v>
      </c>
      <c r="C3208" s="140" t="s">
        <v>8791</v>
      </c>
      <c r="D3208" s="141" t="s">
        <v>7780</v>
      </c>
      <c r="E3208" s="140" t="s">
        <v>8792</v>
      </c>
      <c r="F3208" s="140" t="s">
        <v>8793</v>
      </c>
      <c r="G3208" s="140"/>
    </row>
    <row r="3209" spans="2:7" hidden="1">
      <c r="B3209" s="141" t="s">
        <v>8794</v>
      </c>
      <c r="C3209" s="140" t="s">
        <v>8795</v>
      </c>
      <c r="D3209" s="141" t="s">
        <v>8796</v>
      </c>
      <c r="E3209" s="140" t="s">
        <v>8797</v>
      </c>
      <c r="F3209" s="140" t="s">
        <v>8798</v>
      </c>
      <c r="G3209" s="140"/>
    </row>
    <row r="3210" spans="2:7" hidden="1">
      <c r="B3210" s="141" t="s">
        <v>8799</v>
      </c>
      <c r="C3210" s="140" t="s">
        <v>8800</v>
      </c>
      <c r="D3210" s="141" t="s">
        <v>5213</v>
      </c>
      <c r="E3210" s="140" t="s">
        <v>8801</v>
      </c>
      <c r="F3210" s="140" t="s">
        <v>8802</v>
      </c>
      <c r="G3210" s="140"/>
    </row>
    <row r="3211" spans="2:7" hidden="1">
      <c r="B3211" s="141" t="s">
        <v>8803</v>
      </c>
      <c r="C3211" s="140" t="s">
        <v>8804</v>
      </c>
      <c r="D3211" s="141" t="s">
        <v>2307</v>
      </c>
      <c r="E3211" s="140" t="s">
        <v>8805</v>
      </c>
      <c r="F3211" s="140" t="s">
        <v>8806</v>
      </c>
      <c r="G3211" s="140"/>
    </row>
    <row r="3212" spans="2:7" hidden="1">
      <c r="B3212" s="141" t="s">
        <v>8807</v>
      </c>
      <c r="C3212" s="141" t="s">
        <v>8808</v>
      </c>
      <c r="D3212" s="141" t="s">
        <v>8809</v>
      </c>
      <c r="E3212" s="141" t="s">
        <v>8810</v>
      </c>
      <c r="F3212" s="140" t="s">
        <v>8811</v>
      </c>
      <c r="G3212" s="140"/>
    </row>
    <row r="3213" spans="2:7" hidden="1">
      <c r="B3213" s="140" t="s">
        <v>8812</v>
      </c>
      <c r="C3213" s="140" t="s">
        <v>8813</v>
      </c>
      <c r="D3213" s="140" t="s">
        <v>8814</v>
      </c>
      <c r="E3213" s="142" t="s">
        <v>8815</v>
      </c>
      <c r="F3213" s="142" t="s">
        <v>8816</v>
      </c>
      <c r="G3213" s="140"/>
    </row>
    <row r="3214" spans="2:7" hidden="1">
      <c r="B3214" s="141" t="s">
        <v>8817</v>
      </c>
      <c r="C3214" s="141" t="s">
        <v>8818</v>
      </c>
      <c r="D3214" s="141" t="s">
        <v>8819</v>
      </c>
      <c r="E3214" s="141" t="s">
        <v>8820</v>
      </c>
      <c r="F3214" s="140" t="s">
        <v>8821</v>
      </c>
      <c r="G3214" s="140"/>
    </row>
    <row r="3215" spans="2:7" hidden="1">
      <c r="B3215" s="140" t="s">
        <v>8822</v>
      </c>
      <c r="C3215" s="140" t="s">
        <v>8823</v>
      </c>
      <c r="D3215" s="140" t="s">
        <v>8824</v>
      </c>
      <c r="E3215" s="142" t="s">
        <v>8825</v>
      </c>
      <c r="F3215" s="142" t="s">
        <v>8826</v>
      </c>
      <c r="G3215" s="140"/>
    </row>
    <row r="3216" spans="2:7" hidden="1">
      <c r="B3216" s="141" t="s">
        <v>8827</v>
      </c>
      <c r="C3216" s="140" t="s">
        <v>8828</v>
      </c>
      <c r="D3216" s="141" t="s">
        <v>8829</v>
      </c>
      <c r="E3216" s="140" t="s">
        <v>8830</v>
      </c>
      <c r="F3216" s="140" t="s">
        <v>8831</v>
      </c>
      <c r="G3216" s="140"/>
    </row>
    <row r="3217" spans="2:7" hidden="1">
      <c r="B3217" s="141" t="s">
        <v>8832</v>
      </c>
      <c r="C3217" s="140" t="s">
        <v>8833</v>
      </c>
      <c r="D3217" s="141" t="s">
        <v>8834</v>
      </c>
      <c r="E3217" s="140" t="s">
        <v>8835</v>
      </c>
      <c r="F3217" s="140" t="s">
        <v>8836</v>
      </c>
      <c r="G3217" s="140"/>
    </row>
    <row r="3218" spans="2:7" hidden="1">
      <c r="B3218" s="141" t="s">
        <v>8837</v>
      </c>
      <c r="C3218" s="141" t="s">
        <v>8838</v>
      </c>
      <c r="D3218" s="141" t="s">
        <v>8839</v>
      </c>
      <c r="E3218" s="141" t="s">
        <v>8840</v>
      </c>
      <c r="F3218" s="141" t="s">
        <v>8841</v>
      </c>
      <c r="G3218" s="140"/>
    </row>
    <row r="3219" spans="2:7" hidden="1">
      <c r="B3219" s="140" t="s">
        <v>8842</v>
      </c>
      <c r="C3219" s="140" t="s">
        <v>8843</v>
      </c>
      <c r="D3219" s="140" t="s">
        <v>8844</v>
      </c>
      <c r="E3219" s="142" t="s">
        <v>8845</v>
      </c>
      <c r="F3219" s="142"/>
      <c r="G3219" s="140"/>
    </row>
    <row r="3220" spans="2:7" hidden="1">
      <c r="B3220" s="141" t="s">
        <v>8846</v>
      </c>
      <c r="C3220" s="140" t="s">
        <v>8847</v>
      </c>
      <c r="D3220" s="141" t="s">
        <v>4601</v>
      </c>
      <c r="E3220" s="140" t="s">
        <v>8848</v>
      </c>
      <c r="F3220" s="140" t="s">
        <v>8849</v>
      </c>
      <c r="G3220" s="140"/>
    </row>
    <row r="3221" spans="2:7" hidden="1">
      <c r="B3221" s="141" t="s">
        <v>8850</v>
      </c>
      <c r="C3221" s="140" t="s">
        <v>8851</v>
      </c>
      <c r="D3221" s="141" t="s">
        <v>8852</v>
      </c>
      <c r="E3221" s="140" t="s">
        <v>8853</v>
      </c>
      <c r="F3221" s="140" t="s">
        <v>8854</v>
      </c>
      <c r="G3221" s="140"/>
    </row>
    <row r="3222" spans="2:7" hidden="1">
      <c r="B3222" s="141" t="s">
        <v>8855</v>
      </c>
      <c r="C3222" s="140" t="s">
        <v>8856</v>
      </c>
      <c r="D3222" s="141" t="s">
        <v>8857</v>
      </c>
      <c r="E3222" s="140" t="s">
        <v>8858</v>
      </c>
      <c r="F3222" s="140" t="s">
        <v>8859</v>
      </c>
      <c r="G3222" s="140"/>
    </row>
    <row r="3223" spans="2:7" hidden="1">
      <c r="B3223" s="140" t="s">
        <v>8860</v>
      </c>
      <c r="C3223" s="141" t="s">
        <v>8861</v>
      </c>
      <c r="D3223" s="140" t="s">
        <v>1563</v>
      </c>
      <c r="E3223" s="141" t="s">
        <v>8862</v>
      </c>
      <c r="F3223" s="141" t="s">
        <v>8863</v>
      </c>
      <c r="G3223" s="140"/>
    </row>
    <row r="3224" spans="2:7" hidden="1">
      <c r="B3224" s="141" t="s">
        <v>8864</v>
      </c>
      <c r="C3224" s="140" t="s">
        <v>8865</v>
      </c>
      <c r="D3224" s="141" t="s">
        <v>8866</v>
      </c>
      <c r="E3224" s="140" t="s">
        <v>8867</v>
      </c>
      <c r="F3224" s="140" t="s">
        <v>8868</v>
      </c>
      <c r="G3224" s="140"/>
    </row>
    <row r="3225" spans="2:7" hidden="1">
      <c r="B3225" s="140" t="s">
        <v>8869</v>
      </c>
      <c r="C3225" s="140" t="s">
        <v>8870</v>
      </c>
      <c r="D3225" s="140" t="s">
        <v>8871</v>
      </c>
      <c r="E3225" s="142" t="s">
        <v>8872</v>
      </c>
      <c r="F3225" s="142" t="s">
        <v>8873</v>
      </c>
      <c r="G3225" s="140"/>
    </row>
    <row r="3226" spans="2:7" hidden="1">
      <c r="B3226" s="141" t="s">
        <v>8874</v>
      </c>
      <c r="C3226" s="140" t="s">
        <v>5190</v>
      </c>
      <c r="D3226" s="141" t="s">
        <v>7990</v>
      </c>
      <c r="E3226" s="140" t="s">
        <v>8875</v>
      </c>
      <c r="F3226" s="140" t="s">
        <v>8876</v>
      </c>
      <c r="G3226" s="140"/>
    </row>
    <row r="3227" spans="2:7" hidden="1">
      <c r="B3227" s="140" t="s">
        <v>8877</v>
      </c>
      <c r="C3227" s="140" t="s">
        <v>8878</v>
      </c>
      <c r="D3227" s="140" t="s">
        <v>8879</v>
      </c>
      <c r="E3227" s="142" t="s">
        <v>8880</v>
      </c>
      <c r="F3227" s="142"/>
      <c r="G3227" s="140"/>
    </row>
    <row r="3228" spans="2:7" hidden="1">
      <c r="B3228" s="141" t="s">
        <v>8881</v>
      </c>
      <c r="C3228" s="140" t="s">
        <v>8882</v>
      </c>
      <c r="D3228" s="141" t="s">
        <v>8883</v>
      </c>
      <c r="E3228" s="140"/>
      <c r="F3228" s="140"/>
      <c r="G3228" s="140"/>
    </row>
    <row r="3229" spans="2:7" hidden="1">
      <c r="B3229" s="141" t="s">
        <v>8884</v>
      </c>
      <c r="C3229" s="140" t="s">
        <v>8885</v>
      </c>
      <c r="D3229" s="141" t="s">
        <v>8886</v>
      </c>
      <c r="E3229" s="140" t="s">
        <v>8887</v>
      </c>
      <c r="F3229" s="140" t="s">
        <v>8888</v>
      </c>
      <c r="G3229" s="140"/>
    </row>
    <row r="3230" spans="2:7" hidden="1">
      <c r="B3230" s="141" t="s">
        <v>8889</v>
      </c>
      <c r="C3230" s="140" t="s">
        <v>8890</v>
      </c>
      <c r="D3230" s="141" t="s">
        <v>8891</v>
      </c>
      <c r="E3230" s="140" t="s">
        <v>8892</v>
      </c>
      <c r="F3230" s="140" t="s">
        <v>8893</v>
      </c>
      <c r="G3230" s="140"/>
    </row>
    <row r="3231" spans="2:7" hidden="1">
      <c r="B3231" s="141" t="s">
        <v>8894</v>
      </c>
      <c r="C3231" s="140" t="s">
        <v>8895</v>
      </c>
      <c r="D3231" s="141" t="s">
        <v>8896</v>
      </c>
      <c r="E3231" s="140" t="s">
        <v>8897</v>
      </c>
      <c r="F3231" s="140" t="s">
        <v>8898</v>
      </c>
      <c r="G3231" s="140"/>
    </row>
    <row r="3232" spans="2:7" hidden="1">
      <c r="B3232" s="140" t="s">
        <v>8899</v>
      </c>
      <c r="C3232" s="140" t="s">
        <v>8900</v>
      </c>
      <c r="D3232" s="141" t="s">
        <v>8901</v>
      </c>
      <c r="E3232" s="140" t="s">
        <v>8902</v>
      </c>
      <c r="F3232" s="140" t="s">
        <v>8903</v>
      </c>
      <c r="G3232" s="140"/>
    </row>
    <row r="3233" spans="2:7" hidden="1">
      <c r="B3233" s="141" t="s">
        <v>8904</v>
      </c>
      <c r="C3233" s="140" t="s">
        <v>8905</v>
      </c>
      <c r="D3233" s="141" t="s">
        <v>4470</v>
      </c>
      <c r="E3233" s="140"/>
      <c r="F3233" s="140"/>
      <c r="G3233" s="140"/>
    </row>
    <row r="3234" spans="2:7" hidden="1">
      <c r="B3234" s="141" t="s">
        <v>8906</v>
      </c>
      <c r="C3234" s="141" t="s">
        <v>8907</v>
      </c>
      <c r="D3234" s="141" t="s">
        <v>8908</v>
      </c>
      <c r="E3234" s="141" t="s">
        <v>8909</v>
      </c>
      <c r="F3234" s="140" t="s">
        <v>8910</v>
      </c>
      <c r="G3234" s="140"/>
    </row>
    <row r="3235" spans="2:7" hidden="1">
      <c r="B3235" s="140" t="s">
        <v>8911</v>
      </c>
      <c r="C3235" s="140" t="s">
        <v>8912</v>
      </c>
      <c r="D3235" s="140" t="s">
        <v>8913</v>
      </c>
      <c r="E3235" s="142" t="s">
        <v>8914</v>
      </c>
      <c r="F3235" s="142" t="s">
        <v>8915</v>
      </c>
      <c r="G3235" s="140"/>
    </row>
    <row r="3236" spans="2:7" hidden="1">
      <c r="B3236" s="140" t="s">
        <v>8916</v>
      </c>
      <c r="C3236" s="140" t="s">
        <v>8917</v>
      </c>
      <c r="D3236" s="140" t="s">
        <v>8918</v>
      </c>
      <c r="E3236" s="140" t="s">
        <v>8919</v>
      </c>
      <c r="F3236" s="140" t="s">
        <v>8920</v>
      </c>
      <c r="G3236" s="140"/>
    </row>
    <row r="3237" spans="2:7" hidden="1">
      <c r="B3237" s="141" t="s">
        <v>8921</v>
      </c>
      <c r="C3237" s="140" t="s">
        <v>8870</v>
      </c>
      <c r="D3237" s="141" t="s">
        <v>8922</v>
      </c>
      <c r="E3237" s="140" t="s">
        <v>8923</v>
      </c>
      <c r="F3237" s="140" t="s">
        <v>8924</v>
      </c>
      <c r="G3237" s="140"/>
    </row>
    <row r="3238" spans="2:7" hidden="1">
      <c r="B3238" s="140" t="s">
        <v>8925</v>
      </c>
      <c r="C3238" s="140" t="s">
        <v>8926</v>
      </c>
      <c r="D3238" s="140" t="s">
        <v>7351</v>
      </c>
      <c r="E3238" s="142" t="s">
        <v>8927</v>
      </c>
      <c r="F3238" s="142" t="s">
        <v>8928</v>
      </c>
      <c r="G3238" s="140"/>
    </row>
    <row r="3239" spans="2:7" hidden="1">
      <c r="B3239" s="140" t="s">
        <v>8929</v>
      </c>
      <c r="C3239" s="140" t="s">
        <v>8930</v>
      </c>
      <c r="D3239" s="140" t="s">
        <v>8931</v>
      </c>
      <c r="E3239" s="142"/>
      <c r="F3239" s="142"/>
      <c r="G3239" s="140"/>
    </row>
    <row r="3240" spans="2:7" hidden="1">
      <c r="B3240" s="141" t="s">
        <v>8932</v>
      </c>
      <c r="C3240" s="140" t="s">
        <v>8933</v>
      </c>
      <c r="D3240" s="141" t="s">
        <v>8934</v>
      </c>
      <c r="E3240" s="140" t="s">
        <v>8935</v>
      </c>
      <c r="F3240" s="140" t="s">
        <v>8936</v>
      </c>
      <c r="G3240" s="140"/>
    </row>
    <row r="3241" spans="2:7" hidden="1">
      <c r="B3241" s="141" t="s">
        <v>8937</v>
      </c>
      <c r="C3241" s="140" t="s">
        <v>8938</v>
      </c>
      <c r="D3241" s="141" t="s">
        <v>8939</v>
      </c>
      <c r="E3241" s="140" t="s">
        <v>8940</v>
      </c>
      <c r="F3241" s="140" t="s">
        <v>8941</v>
      </c>
      <c r="G3241" s="140"/>
    </row>
    <row r="3242" spans="2:7" hidden="1">
      <c r="B3242" s="141" t="s">
        <v>20463</v>
      </c>
      <c r="C3242" s="140" t="s">
        <v>8952</v>
      </c>
      <c r="D3242" s="141" t="s">
        <v>8953</v>
      </c>
      <c r="E3242" s="140" t="s">
        <v>8954</v>
      </c>
      <c r="F3242" s="140" t="s">
        <v>8955</v>
      </c>
      <c r="G3242" s="140"/>
    </row>
    <row r="3243" spans="2:7" hidden="1">
      <c r="B3243" s="141" t="s">
        <v>8942</v>
      </c>
      <c r="C3243" s="140" t="s">
        <v>8943</v>
      </c>
      <c r="D3243" s="141" t="s">
        <v>1112</v>
      </c>
      <c r="E3243" s="140" t="s">
        <v>8944</v>
      </c>
      <c r="F3243" s="140" t="s">
        <v>8945</v>
      </c>
      <c r="G3243" s="140"/>
    </row>
    <row r="3244" spans="2:7" hidden="1">
      <c r="B3244" s="141" t="s">
        <v>8946</v>
      </c>
      <c r="C3244" s="140" t="s">
        <v>8947</v>
      </c>
      <c r="D3244" s="141" t="s">
        <v>8948</v>
      </c>
      <c r="E3244" s="140" t="s">
        <v>8949</v>
      </c>
      <c r="F3244" s="140" t="s">
        <v>8950</v>
      </c>
      <c r="G3244" s="140"/>
    </row>
    <row r="3245" spans="2:7" hidden="1">
      <c r="B3245" s="141" t="s">
        <v>20462</v>
      </c>
      <c r="C3245" s="140" t="s">
        <v>8951</v>
      </c>
      <c r="D3245" s="141" t="s">
        <v>8939</v>
      </c>
      <c r="E3245" s="140" t="s">
        <v>8940</v>
      </c>
      <c r="F3245" s="140" t="s">
        <v>8941</v>
      </c>
      <c r="G3245" s="140"/>
    </row>
    <row r="3246" spans="2:7" hidden="1">
      <c r="B3246" s="141" t="s">
        <v>8956</v>
      </c>
      <c r="C3246" s="140" t="s">
        <v>8957</v>
      </c>
      <c r="D3246" s="141" t="s">
        <v>8958</v>
      </c>
      <c r="E3246" s="140" t="s">
        <v>8959</v>
      </c>
      <c r="F3246" s="140"/>
      <c r="G3246" s="140"/>
    </row>
    <row r="3247" spans="2:7" hidden="1">
      <c r="B3247" s="140" t="s">
        <v>8960</v>
      </c>
      <c r="C3247" s="140"/>
      <c r="D3247" s="140" t="s">
        <v>8753</v>
      </c>
      <c r="E3247" s="142"/>
      <c r="F3247" s="142"/>
      <c r="G3247" s="140"/>
    </row>
    <row r="3248" spans="2:7" hidden="1">
      <c r="B3248" s="141" t="s">
        <v>8961</v>
      </c>
      <c r="C3248" s="140"/>
      <c r="D3248" s="141" t="s">
        <v>5335</v>
      </c>
      <c r="E3248" s="140"/>
      <c r="F3248" s="140"/>
      <c r="G3248" s="140"/>
    </row>
    <row r="3249" spans="2:7" hidden="1">
      <c r="B3249" s="141" t="s">
        <v>8962</v>
      </c>
      <c r="C3249" s="140"/>
      <c r="D3249" s="141" t="s">
        <v>7501</v>
      </c>
      <c r="E3249" s="140"/>
      <c r="F3249" s="140"/>
      <c r="G3249" s="140"/>
    </row>
    <row r="3250" spans="2:7" hidden="1">
      <c r="B3250" s="141" t="s">
        <v>8963</v>
      </c>
      <c r="C3250" s="140" t="s">
        <v>8964</v>
      </c>
      <c r="D3250" s="141" t="s">
        <v>8965</v>
      </c>
      <c r="E3250" s="140"/>
      <c r="F3250" s="140"/>
      <c r="G3250" s="140"/>
    </row>
    <row r="3251" spans="2:7" hidden="1">
      <c r="B3251" s="141" t="s">
        <v>8966</v>
      </c>
      <c r="C3251" s="140"/>
      <c r="D3251" s="141" t="s">
        <v>7281</v>
      </c>
      <c r="E3251" s="140"/>
      <c r="F3251" s="140"/>
      <c r="G3251" s="140"/>
    </row>
    <row r="3252" spans="2:7" hidden="1">
      <c r="B3252" s="140" t="s">
        <v>21718</v>
      </c>
      <c r="C3252" s="140"/>
      <c r="D3252" s="140" t="s">
        <v>8967</v>
      </c>
      <c r="E3252" s="140"/>
      <c r="F3252" s="140"/>
      <c r="G3252" s="140"/>
    </row>
    <row r="3253" spans="2:7" hidden="1">
      <c r="B3253" s="141" t="s">
        <v>8968</v>
      </c>
      <c r="C3253" s="140"/>
      <c r="D3253" s="141" t="s">
        <v>8969</v>
      </c>
      <c r="E3253" s="140"/>
      <c r="F3253" s="140"/>
      <c r="G3253" s="140"/>
    </row>
    <row r="3254" spans="2:7" hidden="1">
      <c r="B3254" s="141" t="s">
        <v>8970</v>
      </c>
      <c r="C3254" s="140"/>
      <c r="D3254" s="141" t="s">
        <v>5168</v>
      </c>
      <c r="E3254" s="140"/>
      <c r="F3254" s="140"/>
      <c r="G3254" s="140"/>
    </row>
    <row r="3255" spans="2:7" hidden="1">
      <c r="B3255" s="140" t="s">
        <v>20396</v>
      </c>
      <c r="C3255" s="140" t="s">
        <v>20397</v>
      </c>
      <c r="D3255" s="140" t="s">
        <v>20398</v>
      </c>
      <c r="E3255" s="142" t="s">
        <v>20400</v>
      </c>
      <c r="F3255" s="142"/>
      <c r="G3255" s="140" t="s">
        <v>20399</v>
      </c>
    </row>
    <row r="3256" spans="2:7" hidden="1">
      <c r="B3256" s="141" t="s">
        <v>8971</v>
      </c>
      <c r="C3256" s="140"/>
      <c r="D3256" s="141" t="s">
        <v>8972</v>
      </c>
      <c r="E3256" s="140"/>
      <c r="F3256" s="140"/>
      <c r="G3256" s="140"/>
    </row>
    <row r="3257" spans="2:7" hidden="1">
      <c r="B3257" s="141" t="s">
        <v>8973</v>
      </c>
      <c r="C3257" s="140"/>
      <c r="D3257" s="141" t="s">
        <v>8974</v>
      </c>
      <c r="E3257" s="140"/>
      <c r="F3257" s="140"/>
      <c r="G3257" s="140"/>
    </row>
    <row r="3258" spans="2:7" hidden="1">
      <c r="B3258" s="141" t="s">
        <v>8975</v>
      </c>
      <c r="C3258" s="140"/>
      <c r="D3258" s="141" t="s">
        <v>8976</v>
      </c>
      <c r="E3258" s="140"/>
      <c r="F3258" s="140"/>
      <c r="G3258" s="140"/>
    </row>
    <row r="3259" spans="2:7" hidden="1">
      <c r="B3259" s="141" t="s">
        <v>8977</v>
      </c>
      <c r="C3259" s="140"/>
      <c r="D3259" s="141" t="s">
        <v>8978</v>
      </c>
      <c r="E3259" s="140"/>
      <c r="F3259" s="140"/>
      <c r="G3259" s="140"/>
    </row>
    <row r="3260" spans="2:7" hidden="1">
      <c r="B3260" s="141" t="s">
        <v>8979</v>
      </c>
      <c r="C3260" s="140" t="s">
        <v>8980</v>
      </c>
      <c r="D3260" s="141" t="s">
        <v>8981</v>
      </c>
      <c r="E3260" s="140" t="s">
        <v>8982</v>
      </c>
      <c r="F3260" s="140" t="s">
        <v>8983</v>
      </c>
      <c r="G3260" s="140"/>
    </row>
    <row r="3261" spans="2:7" hidden="1">
      <c r="B3261" s="141" t="s">
        <v>8984</v>
      </c>
      <c r="C3261" s="140"/>
      <c r="D3261" s="141" t="s">
        <v>8985</v>
      </c>
      <c r="E3261" s="140"/>
      <c r="F3261" s="140"/>
      <c r="G3261" s="140"/>
    </row>
    <row r="3262" spans="2:7" hidden="1">
      <c r="B3262" s="141" t="s">
        <v>8986</v>
      </c>
      <c r="C3262" s="141"/>
      <c r="D3262" s="141" t="s">
        <v>8987</v>
      </c>
      <c r="E3262" s="141"/>
      <c r="F3262" s="140"/>
      <c r="G3262" s="140"/>
    </row>
    <row r="3263" spans="2:7" hidden="1">
      <c r="B3263" s="141" t="s">
        <v>22066</v>
      </c>
      <c r="C3263" s="141" t="s">
        <v>9335</v>
      </c>
      <c r="D3263" s="141" t="s">
        <v>4138</v>
      </c>
      <c r="E3263" s="141" t="s">
        <v>9336</v>
      </c>
      <c r="F3263" s="141" t="s">
        <v>9337</v>
      </c>
      <c r="G3263" s="140"/>
    </row>
    <row r="3264" spans="2:7" hidden="1">
      <c r="B3264" s="141" t="s">
        <v>22067</v>
      </c>
      <c r="C3264" s="140" t="s">
        <v>9338</v>
      </c>
      <c r="D3264" s="141" t="s">
        <v>9339</v>
      </c>
      <c r="E3264" s="140" t="s">
        <v>9340</v>
      </c>
      <c r="F3264" s="140" t="s">
        <v>9341</v>
      </c>
      <c r="G3264" s="140"/>
    </row>
    <row r="3265" spans="2:7" hidden="1">
      <c r="B3265" s="141" t="s">
        <v>22068</v>
      </c>
      <c r="C3265" s="140" t="s">
        <v>22069</v>
      </c>
      <c r="D3265" s="141" t="s">
        <v>22070</v>
      </c>
      <c r="E3265" s="140" t="s">
        <v>22071</v>
      </c>
      <c r="F3265" s="140"/>
      <c r="G3265" s="140"/>
    </row>
    <row r="3266" spans="2:7" hidden="1">
      <c r="B3266" s="140" t="s">
        <v>20991</v>
      </c>
      <c r="C3266" s="140" t="s">
        <v>20992</v>
      </c>
      <c r="D3266" s="140" t="s">
        <v>20993</v>
      </c>
      <c r="E3266" s="142" t="s">
        <v>20994</v>
      </c>
      <c r="F3266" s="142"/>
      <c r="G3266" s="140"/>
    </row>
    <row r="3267" spans="2:7" hidden="1">
      <c r="B3267" s="141" t="s">
        <v>8988</v>
      </c>
      <c r="C3267" s="140" t="s">
        <v>8989</v>
      </c>
      <c r="D3267" s="141" t="s">
        <v>8990</v>
      </c>
      <c r="E3267" s="140"/>
      <c r="F3267" s="140"/>
      <c r="G3267" s="140"/>
    </row>
    <row r="3268" spans="2:7" hidden="1">
      <c r="B3268" s="141" t="s">
        <v>8991</v>
      </c>
      <c r="C3268" s="140"/>
      <c r="D3268" s="141" t="s">
        <v>8992</v>
      </c>
      <c r="E3268" s="140"/>
      <c r="F3268" s="140"/>
      <c r="G3268" s="140"/>
    </row>
    <row r="3269" spans="2:7" hidden="1">
      <c r="B3269" s="141" t="s">
        <v>21719</v>
      </c>
      <c r="C3269" s="140"/>
      <c r="D3269" s="141" t="s">
        <v>6568</v>
      </c>
      <c r="E3269" s="140"/>
      <c r="F3269" s="140"/>
      <c r="G3269" s="140"/>
    </row>
    <row r="3270" spans="2:7" hidden="1">
      <c r="B3270" s="141" t="s">
        <v>8993</v>
      </c>
      <c r="C3270" s="140"/>
      <c r="D3270" s="141" t="s">
        <v>8994</v>
      </c>
      <c r="E3270" s="140"/>
      <c r="F3270" s="140"/>
      <c r="G3270" s="140"/>
    </row>
    <row r="3271" spans="2:7" hidden="1">
      <c r="B3271" s="141" t="s">
        <v>8995</v>
      </c>
      <c r="C3271" s="140" t="s">
        <v>8996</v>
      </c>
      <c r="D3271" s="141" t="s">
        <v>8997</v>
      </c>
      <c r="E3271" s="140" t="s">
        <v>8998</v>
      </c>
      <c r="F3271" s="140" t="s">
        <v>8999</v>
      </c>
      <c r="G3271" s="140"/>
    </row>
    <row r="3272" spans="2:7" hidden="1">
      <c r="B3272" s="141" t="s">
        <v>9000</v>
      </c>
      <c r="C3272" s="140"/>
      <c r="D3272" s="141" t="s">
        <v>8755</v>
      </c>
      <c r="E3272" s="140"/>
      <c r="F3272" s="140"/>
      <c r="G3272" s="140"/>
    </row>
    <row r="3273" spans="2:7" hidden="1">
      <c r="B3273" s="141" t="s">
        <v>9001</v>
      </c>
      <c r="C3273" s="140"/>
      <c r="D3273" s="141" t="s">
        <v>9002</v>
      </c>
      <c r="E3273" s="140"/>
      <c r="F3273" s="140"/>
      <c r="G3273" s="140"/>
    </row>
    <row r="3274" spans="2:7" hidden="1">
      <c r="B3274" s="141" t="s">
        <v>9003</v>
      </c>
      <c r="C3274" s="140"/>
      <c r="D3274" s="141" t="s">
        <v>9004</v>
      </c>
      <c r="E3274" s="140"/>
      <c r="F3274" s="140"/>
      <c r="G3274" s="140"/>
    </row>
    <row r="3275" spans="2:7" hidden="1">
      <c r="B3275" s="141" t="s">
        <v>9005</v>
      </c>
      <c r="C3275" s="140"/>
      <c r="D3275" s="141" t="s">
        <v>9006</v>
      </c>
      <c r="E3275" s="140"/>
      <c r="F3275" s="140"/>
      <c r="G3275" s="140"/>
    </row>
    <row r="3276" spans="2:7" hidden="1">
      <c r="B3276" s="141" t="s">
        <v>9007</v>
      </c>
      <c r="C3276" s="141"/>
      <c r="D3276" s="141" t="s">
        <v>9008</v>
      </c>
      <c r="E3276" s="141"/>
      <c r="F3276" s="140"/>
      <c r="G3276" s="140"/>
    </row>
    <row r="3277" spans="2:7" hidden="1">
      <c r="B3277" s="141" t="s">
        <v>9009</v>
      </c>
      <c r="C3277" s="140" t="s">
        <v>9010</v>
      </c>
      <c r="D3277" s="141" t="s">
        <v>9011</v>
      </c>
      <c r="E3277" s="140"/>
      <c r="F3277" s="140"/>
      <c r="G3277" s="140" t="s">
        <v>6000</v>
      </c>
    </row>
    <row r="3278" spans="2:7" hidden="1">
      <c r="B3278" s="140" t="s">
        <v>9012</v>
      </c>
      <c r="C3278" s="140"/>
      <c r="D3278" s="140" t="s">
        <v>3814</v>
      </c>
      <c r="E3278" s="142"/>
      <c r="F3278" s="142"/>
      <c r="G3278" s="140"/>
    </row>
    <row r="3279" spans="2:7" hidden="1">
      <c r="B3279" s="141" t="s">
        <v>9013</v>
      </c>
      <c r="C3279" s="140" t="s">
        <v>9014</v>
      </c>
      <c r="D3279" s="141" t="s">
        <v>9015</v>
      </c>
      <c r="E3279" s="140" t="s">
        <v>9016</v>
      </c>
      <c r="F3279" s="140" t="s">
        <v>9017</v>
      </c>
      <c r="G3279" s="140"/>
    </row>
    <row r="3280" spans="2:7" hidden="1">
      <c r="B3280" s="141" t="s">
        <v>9018</v>
      </c>
      <c r="C3280" s="140"/>
      <c r="D3280" s="141" t="s">
        <v>9019</v>
      </c>
      <c r="E3280" s="140"/>
      <c r="F3280" s="140"/>
      <c r="G3280" s="140"/>
    </row>
    <row r="3281" spans="2:7" hidden="1">
      <c r="B3281" s="141" t="s">
        <v>9020</v>
      </c>
      <c r="C3281" s="140"/>
      <c r="D3281" s="141" t="s">
        <v>3055</v>
      </c>
      <c r="E3281" s="140"/>
      <c r="F3281" s="140"/>
      <c r="G3281" s="140"/>
    </row>
    <row r="3282" spans="2:7" hidden="1">
      <c r="B3282" s="141" t="s">
        <v>9021</v>
      </c>
      <c r="C3282" s="140"/>
      <c r="D3282" s="141" t="s">
        <v>9022</v>
      </c>
      <c r="E3282" s="140"/>
      <c r="F3282" s="140"/>
      <c r="G3282" s="140"/>
    </row>
    <row r="3283" spans="2:7" hidden="1">
      <c r="B3283" s="141" t="s">
        <v>21720</v>
      </c>
      <c r="C3283" s="140" t="s">
        <v>9023</v>
      </c>
      <c r="D3283" s="141" t="s">
        <v>9024</v>
      </c>
      <c r="E3283" s="140" t="s">
        <v>9025</v>
      </c>
      <c r="F3283" s="140"/>
      <c r="G3283" s="140"/>
    </row>
    <row r="3284" spans="2:7" hidden="1">
      <c r="B3284" s="140" t="s">
        <v>9026</v>
      </c>
      <c r="C3284" s="140" t="s">
        <v>9027</v>
      </c>
      <c r="D3284" s="140" t="s">
        <v>9028</v>
      </c>
      <c r="E3284" s="142"/>
      <c r="F3284" s="142"/>
      <c r="G3284" s="140"/>
    </row>
    <row r="3285" spans="2:7" hidden="1">
      <c r="B3285" s="141" t="s">
        <v>9029</v>
      </c>
      <c r="C3285" s="140"/>
      <c r="D3285" s="141" t="s">
        <v>9030</v>
      </c>
      <c r="E3285" s="140"/>
      <c r="F3285" s="140"/>
      <c r="G3285" s="140"/>
    </row>
    <row r="3286" spans="2:7" hidden="1">
      <c r="B3286" s="141" t="s">
        <v>9031</v>
      </c>
      <c r="C3286" s="140"/>
      <c r="D3286" s="141" t="s">
        <v>9032</v>
      </c>
      <c r="E3286" s="140"/>
      <c r="F3286" s="140"/>
      <c r="G3286" s="140"/>
    </row>
    <row r="3287" spans="2:7" hidden="1">
      <c r="B3287" s="141" t="s">
        <v>9033</v>
      </c>
      <c r="C3287" s="140"/>
      <c r="D3287" s="141" t="s">
        <v>9034</v>
      </c>
      <c r="E3287" s="140"/>
      <c r="F3287" s="140"/>
      <c r="G3287" s="140"/>
    </row>
    <row r="3288" spans="2:7" hidden="1">
      <c r="B3288" s="141" t="s">
        <v>9035</v>
      </c>
      <c r="C3288" s="140"/>
      <c r="D3288" s="141" t="s">
        <v>1692</v>
      </c>
      <c r="E3288" s="140"/>
      <c r="F3288" s="140"/>
      <c r="G3288" s="140"/>
    </row>
    <row r="3289" spans="2:7" hidden="1">
      <c r="B3289" s="141" t="s">
        <v>9036</v>
      </c>
      <c r="C3289" s="140"/>
      <c r="D3289" s="141" t="s">
        <v>9037</v>
      </c>
      <c r="E3289" s="140"/>
      <c r="F3289" s="140"/>
      <c r="G3289" s="140"/>
    </row>
    <row r="3290" spans="2:7" hidden="1">
      <c r="B3290" s="140" t="s">
        <v>9038</v>
      </c>
      <c r="C3290" s="140"/>
      <c r="D3290" s="140" t="s">
        <v>9039</v>
      </c>
      <c r="E3290" s="140"/>
      <c r="F3290" s="140"/>
      <c r="G3290" s="140"/>
    </row>
    <row r="3291" spans="2:7" hidden="1">
      <c r="B3291" s="141" t="s">
        <v>9040</v>
      </c>
      <c r="C3291" s="140"/>
      <c r="D3291" s="141" t="s">
        <v>3089</v>
      </c>
      <c r="E3291" s="140"/>
      <c r="F3291" s="140"/>
      <c r="G3291" s="140"/>
    </row>
    <row r="3292" spans="2:7" hidden="1">
      <c r="B3292" s="141" t="s">
        <v>9041</v>
      </c>
      <c r="C3292" s="140" t="s">
        <v>9042</v>
      </c>
      <c r="D3292" s="141" t="s">
        <v>9043</v>
      </c>
      <c r="E3292" s="140" t="s">
        <v>9044</v>
      </c>
      <c r="F3292" s="140" t="s">
        <v>9045</v>
      </c>
      <c r="G3292" s="140" t="s">
        <v>9046</v>
      </c>
    </row>
    <row r="3293" spans="2:7" hidden="1">
      <c r="B3293" s="141" t="s">
        <v>9047</v>
      </c>
      <c r="C3293" s="140"/>
      <c r="D3293" s="141" t="s">
        <v>5917</v>
      </c>
      <c r="E3293" s="140"/>
      <c r="F3293" s="140"/>
      <c r="G3293" s="140"/>
    </row>
    <row r="3294" spans="2:7" hidden="1">
      <c r="B3294" s="141" t="s">
        <v>21721</v>
      </c>
      <c r="C3294" s="140"/>
      <c r="D3294" s="141" t="s">
        <v>9048</v>
      </c>
      <c r="E3294" s="140"/>
      <c r="F3294" s="140"/>
      <c r="G3294" s="140"/>
    </row>
    <row r="3295" spans="2:7" hidden="1">
      <c r="B3295" s="141" t="s">
        <v>21722</v>
      </c>
      <c r="C3295" s="141" t="s">
        <v>9049</v>
      </c>
      <c r="D3295" s="141" t="s">
        <v>9050</v>
      </c>
      <c r="E3295" s="141" t="s">
        <v>9051</v>
      </c>
      <c r="F3295" s="140" t="s">
        <v>9052</v>
      </c>
      <c r="G3295" s="140"/>
    </row>
    <row r="3296" spans="2:7" hidden="1">
      <c r="B3296" s="141" t="s">
        <v>21723</v>
      </c>
      <c r="C3296" s="141"/>
      <c r="D3296" s="141" t="s">
        <v>9053</v>
      </c>
      <c r="E3296" s="141"/>
      <c r="F3296" s="140"/>
      <c r="G3296" s="140"/>
    </row>
    <row r="3297" spans="2:7" hidden="1">
      <c r="B3297" s="141" t="s">
        <v>21724</v>
      </c>
      <c r="C3297" s="140" t="s">
        <v>9054</v>
      </c>
      <c r="D3297" s="141" t="s">
        <v>9055</v>
      </c>
      <c r="E3297" s="140"/>
      <c r="F3297" s="140"/>
      <c r="G3297" s="140"/>
    </row>
    <row r="3298" spans="2:7" hidden="1">
      <c r="B3298" s="140" t="s">
        <v>21725</v>
      </c>
      <c r="C3298" s="140"/>
      <c r="D3298" s="140" t="s">
        <v>9056</v>
      </c>
      <c r="E3298" s="140"/>
      <c r="F3298" s="140"/>
      <c r="G3298" s="140"/>
    </row>
    <row r="3299" spans="2:7" hidden="1">
      <c r="B3299" s="140" t="s">
        <v>21726</v>
      </c>
      <c r="C3299" s="140" t="s">
        <v>9057</v>
      </c>
      <c r="D3299" s="140" t="s">
        <v>9058</v>
      </c>
      <c r="E3299" s="142" t="s">
        <v>9059</v>
      </c>
      <c r="F3299" s="142" t="s">
        <v>9060</v>
      </c>
      <c r="G3299" s="140"/>
    </row>
    <row r="3300" spans="2:7" hidden="1">
      <c r="B3300" s="141" t="s">
        <v>9061</v>
      </c>
      <c r="C3300" s="140"/>
      <c r="D3300" s="141" t="s">
        <v>9062</v>
      </c>
      <c r="E3300" s="140"/>
      <c r="F3300" s="140"/>
      <c r="G3300" s="140"/>
    </row>
    <row r="3301" spans="2:7" hidden="1">
      <c r="B3301" s="141" t="s">
        <v>9063</v>
      </c>
      <c r="C3301" s="140"/>
      <c r="D3301" s="141" t="s">
        <v>9064</v>
      </c>
      <c r="E3301" s="140"/>
      <c r="F3301" s="140"/>
      <c r="G3301" s="140"/>
    </row>
    <row r="3302" spans="2:7" hidden="1">
      <c r="B3302" s="140" t="s">
        <v>9065</v>
      </c>
      <c r="C3302" s="140" t="s">
        <v>9066</v>
      </c>
      <c r="D3302" s="141" t="s">
        <v>9067</v>
      </c>
      <c r="E3302" s="140" t="s">
        <v>9068</v>
      </c>
      <c r="F3302" s="140" t="s">
        <v>9069</v>
      </c>
      <c r="G3302" s="140"/>
    </row>
    <row r="3303" spans="2:7" hidden="1">
      <c r="B3303" s="141" t="s">
        <v>9070</v>
      </c>
      <c r="C3303" s="140" t="s">
        <v>9071</v>
      </c>
      <c r="D3303" s="141" t="s">
        <v>9072</v>
      </c>
      <c r="E3303" s="140" t="s">
        <v>9073</v>
      </c>
      <c r="F3303" s="140" t="s">
        <v>9074</v>
      </c>
      <c r="G3303" s="140"/>
    </row>
    <row r="3304" spans="2:7" hidden="1">
      <c r="B3304" s="141" t="s">
        <v>9075</v>
      </c>
      <c r="C3304" s="140"/>
      <c r="D3304" s="141" t="s">
        <v>2295</v>
      </c>
      <c r="E3304" s="140"/>
      <c r="F3304" s="140"/>
      <c r="G3304" s="140"/>
    </row>
    <row r="3305" spans="2:7" hidden="1">
      <c r="B3305" s="141" t="s">
        <v>21727</v>
      </c>
      <c r="C3305" s="140"/>
      <c r="D3305" s="141" t="s">
        <v>3884</v>
      </c>
      <c r="E3305" s="140"/>
      <c r="F3305" s="140"/>
      <c r="G3305" s="140"/>
    </row>
    <row r="3306" spans="2:7" hidden="1">
      <c r="B3306" s="141" t="s">
        <v>21728</v>
      </c>
      <c r="C3306" s="140"/>
      <c r="D3306" s="141" t="s">
        <v>9076</v>
      </c>
      <c r="E3306" s="140" t="s">
        <v>9077</v>
      </c>
      <c r="F3306" s="140" t="s">
        <v>9078</v>
      </c>
      <c r="G3306" s="140"/>
    </row>
    <row r="3307" spans="2:7" hidden="1">
      <c r="B3307" s="141" t="s">
        <v>9079</v>
      </c>
      <c r="C3307" s="140"/>
      <c r="D3307" s="141" t="s">
        <v>9080</v>
      </c>
      <c r="E3307" s="140"/>
      <c r="F3307" s="140"/>
      <c r="G3307" s="140"/>
    </row>
    <row r="3308" spans="2:7" hidden="1">
      <c r="B3308" s="140" t="s">
        <v>9081</v>
      </c>
      <c r="C3308" s="140"/>
      <c r="D3308" s="140" t="s">
        <v>9082</v>
      </c>
      <c r="E3308" s="142"/>
      <c r="F3308" s="142"/>
      <c r="G3308" s="140"/>
    </row>
    <row r="3309" spans="2:7" hidden="1">
      <c r="B3309" s="141" t="s">
        <v>9083</v>
      </c>
      <c r="C3309" s="140"/>
      <c r="D3309" s="141" t="s">
        <v>9084</v>
      </c>
      <c r="E3309" s="140"/>
      <c r="F3309" s="140"/>
      <c r="G3309" s="140"/>
    </row>
    <row r="3310" spans="2:7" hidden="1">
      <c r="B3310" s="141" t="s">
        <v>9085</v>
      </c>
      <c r="C3310" s="140" t="s">
        <v>9086</v>
      </c>
      <c r="D3310" s="141" t="s">
        <v>9087</v>
      </c>
      <c r="E3310" s="140" t="s">
        <v>9088</v>
      </c>
      <c r="F3310" s="140" t="s">
        <v>9089</v>
      </c>
      <c r="G3310" s="140"/>
    </row>
    <row r="3311" spans="2:7" hidden="1">
      <c r="B3311" s="141" t="s">
        <v>9090</v>
      </c>
      <c r="C3311" s="140"/>
      <c r="D3311" s="141" t="s">
        <v>9091</v>
      </c>
      <c r="E3311" s="140"/>
      <c r="F3311" s="140"/>
      <c r="G3311" s="140"/>
    </row>
    <row r="3312" spans="2:7" hidden="1">
      <c r="B3312" s="141" t="s">
        <v>9092</v>
      </c>
      <c r="C3312" s="140" t="s">
        <v>9093</v>
      </c>
      <c r="D3312" s="141" t="s">
        <v>3310</v>
      </c>
      <c r="E3312" s="140" t="s">
        <v>9094</v>
      </c>
      <c r="F3312" s="140" t="s">
        <v>9095</v>
      </c>
      <c r="G3312" s="140"/>
    </row>
    <row r="3313" spans="2:7" hidden="1">
      <c r="B3313" s="141" t="s">
        <v>9096</v>
      </c>
      <c r="C3313" s="141" t="s">
        <v>9097</v>
      </c>
      <c r="D3313" s="141" t="s">
        <v>9098</v>
      </c>
      <c r="E3313" s="141" t="s">
        <v>9099</v>
      </c>
      <c r="F3313" s="141" t="s">
        <v>9100</v>
      </c>
      <c r="G3313" s="140" t="s">
        <v>9101</v>
      </c>
    </row>
    <row r="3314" spans="2:7" hidden="1">
      <c r="B3314" s="141" t="s">
        <v>9102</v>
      </c>
      <c r="C3314" s="140"/>
      <c r="D3314" s="141" t="s">
        <v>9103</v>
      </c>
      <c r="E3314" s="140"/>
      <c r="F3314" s="140"/>
      <c r="G3314" s="140"/>
    </row>
    <row r="3315" spans="2:7" hidden="1">
      <c r="B3315" s="141" t="s">
        <v>21729</v>
      </c>
      <c r="C3315" s="141"/>
      <c r="D3315" s="141" t="s">
        <v>9104</v>
      </c>
      <c r="E3315" s="141"/>
      <c r="F3315" s="140"/>
      <c r="G3315" s="140"/>
    </row>
    <row r="3316" spans="2:7" hidden="1">
      <c r="B3316" s="141" t="s">
        <v>9105</v>
      </c>
      <c r="C3316" s="140" t="s">
        <v>9106</v>
      </c>
      <c r="D3316" s="141" t="s">
        <v>9107</v>
      </c>
      <c r="E3316" s="140"/>
      <c r="F3316" s="140"/>
      <c r="G3316" s="140"/>
    </row>
    <row r="3317" spans="2:7" hidden="1">
      <c r="B3317" s="141" t="s">
        <v>9108</v>
      </c>
      <c r="C3317" s="140"/>
      <c r="D3317" s="141" t="s">
        <v>9109</v>
      </c>
      <c r="E3317" s="140"/>
      <c r="F3317" s="140"/>
      <c r="G3317" s="140"/>
    </row>
    <row r="3318" spans="2:7" hidden="1">
      <c r="B3318" s="141" t="s">
        <v>9110</v>
      </c>
      <c r="C3318" s="140"/>
      <c r="D3318" s="141" t="s">
        <v>2942</v>
      </c>
      <c r="E3318" s="140"/>
      <c r="F3318" s="140"/>
      <c r="G3318" s="140"/>
    </row>
    <row r="3319" spans="2:7" hidden="1">
      <c r="B3319" s="141" t="s">
        <v>9111</v>
      </c>
      <c r="C3319" s="140" t="s">
        <v>9112</v>
      </c>
      <c r="D3319" s="141" t="s">
        <v>9113</v>
      </c>
      <c r="E3319" s="140" t="s">
        <v>9114</v>
      </c>
      <c r="F3319" s="140" t="s">
        <v>9115</v>
      </c>
      <c r="G3319" s="140"/>
    </row>
    <row r="3320" spans="2:7" hidden="1">
      <c r="B3320" s="141" t="s">
        <v>9116</v>
      </c>
      <c r="C3320" s="140"/>
      <c r="D3320" s="141" t="s">
        <v>6230</v>
      </c>
      <c r="E3320" s="140"/>
      <c r="F3320" s="140"/>
      <c r="G3320" s="140"/>
    </row>
    <row r="3321" spans="2:7" hidden="1">
      <c r="B3321" s="141" t="s">
        <v>9117</v>
      </c>
      <c r="C3321" s="140" t="s">
        <v>9118</v>
      </c>
      <c r="D3321" s="141" t="s">
        <v>9119</v>
      </c>
      <c r="E3321" s="140"/>
      <c r="F3321" s="140"/>
      <c r="G3321" s="140"/>
    </row>
    <row r="3322" spans="2:7" hidden="1">
      <c r="B3322" s="141" t="s">
        <v>9120</v>
      </c>
      <c r="C3322" s="140"/>
      <c r="D3322" s="141" t="s">
        <v>9121</v>
      </c>
      <c r="E3322" s="140"/>
      <c r="F3322" s="140"/>
      <c r="G3322" s="140"/>
    </row>
    <row r="3323" spans="2:7" hidden="1">
      <c r="B3323" s="141" t="s">
        <v>9122</v>
      </c>
      <c r="C3323" s="140"/>
      <c r="D3323" s="141" t="s">
        <v>5685</v>
      </c>
      <c r="E3323" s="140"/>
      <c r="F3323" s="140"/>
      <c r="G3323" s="140"/>
    </row>
    <row r="3324" spans="2:7" hidden="1">
      <c r="B3324" s="141" t="s">
        <v>9123</v>
      </c>
      <c r="C3324" s="141"/>
      <c r="D3324" s="141" t="s">
        <v>9124</v>
      </c>
      <c r="E3324" s="141"/>
      <c r="F3324" s="141"/>
      <c r="G3324" s="140"/>
    </row>
    <row r="3325" spans="2:7" hidden="1">
      <c r="B3325" s="140" t="s">
        <v>9125</v>
      </c>
      <c r="C3325" s="140" t="s">
        <v>9126</v>
      </c>
      <c r="D3325" s="140" t="s">
        <v>9127</v>
      </c>
      <c r="E3325" s="142"/>
      <c r="F3325" s="142"/>
      <c r="G3325" s="140" t="s">
        <v>6000</v>
      </c>
    </row>
    <row r="3326" spans="2:7" hidden="1">
      <c r="B3326" s="141" t="s">
        <v>9128</v>
      </c>
      <c r="C3326" s="140"/>
      <c r="D3326" s="141" t="s">
        <v>2194</v>
      </c>
      <c r="E3326" s="140"/>
      <c r="F3326" s="140"/>
      <c r="G3326" s="140"/>
    </row>
    <row r="3327" spans="2:7" hidden="1">
      <c r="B3327" s="140" t="s">
        <v>9129</v>
      </c>
      <c r="C3327" s="140"/>
      <c r="D3327" s="140" t="s">
        <v>2702</v>
      </c>
      <c r="E3327" s="142"/>
      <c r="F3327" s="142"/>
      <c r="G3327" s="140"/>
    </row>
    <row r="3328" spans="2:7" hidden="1">
      <c r="B3328" s="141" t="s">
        <v>9130</v>
      </c>
      <c r="C3328" s="140"/>
      <c r="D3328" s="141" t="s">
        <v>9131</v>
      </c>
      <c r="E3328" s="140"/>
      <c r="F3328" s="140"/>
      <c r="G3328" s="140"/>
    </row>
    <row r="3329" spans="2:7" hidden="1">
      <c r="B3329" s="141" t="s">
        <v>9132</v>
      </c>
      <c r="C3329" s="140"/>
      <c r="D3329" s="141" t="s">
        <v>9133</v>
      </c>
      <c r="E3329" s="140"/>
      <c r="F3329" s="140"/>
      <c r="G3329" s="140"/>
    </row>
    <row r="3330" spans="2:7" hidden="1">
      <c r="B3330" s="141" t="s">
        <v>9134</v>
      </c>
      <c r="C3330" s="140"/>
      <c r="D3330" s="141" t="s">
        <v>9135</v>
      </c>
      <c r="E3330" s="140"/>
      <c r="F3330" s="140"/>
      <c r="G3330" s="140"/>
    </row>
    <row r="3331" spans="2:7" hidden="1">
      <c r="B3331" s="141" t="s">
        <v>9136</v>
      </c>
      <c r="C3331" s="140" t="s">
        <v>9137</v>
      </c>
      <c r="D3331" s="141" t="s">
        <v>9138</v>
      </c>
      <c r="E3331" s="140"/>
      <c r="F3331" s="140"/>
      <c r="G3331" s="140" t="s">
        <v>9139</v>
      </c>
    </row>
    <row r="3332" spans="2:7" hidden="1">
      <c r="B3332" s="141" t="s">
        <v>9140</v>
      </c>
      <c r="C3332" s="140"/>
      <c r="D3332" s="141" t="s">
        <v>2110</v>
      </c>
      <c r="E3332" s="140"/>
      <c r="F3332" s="140"/>
      <c r="G3332" s="140"/>
    </row>
    <row r="3333" spans="2:7" hidden="1">
      <c r="B3333" s="141" t="s">
        <v>9141</v>
      </c>
      <c r="C3333" s="140" t="s">
        <v>9142</v>
      </c>
      <c r="D3333" s="140" t="s">
        <v>9143</v>
      </c>
      <c r="E3333" s="140"/>
      <c r="F3333" s="140"/>
      <c r="G3333" s="140"/>
    </row>
    <row r="3334" spans="2:7" hidden="1">
      <c r="B3334" s="141" t="s">
        <v>9144</v>
      </c>
      <c r="C3334" s="140"/>
      <c r="D3334" s="141" t="s">
        <v>2936</v>
      </c>
      <c r="E3334" s="140"/>
      <c r="F3334" s="140"/>
      <c r="G3334" s="140"/>
    </row>
    <row r="3335" spans="2:7" hidden="1">
      <c r="B3335" s="141" t="s">
        <v>9145</v>
      </c>
      <c r="C3335" s="140" t="s">
        <v>9146</v>
      </c>
      <c r="D3335" s="141" t="s">
        <v>4073</v>
      </c>
      <c r="E3335" s="140" t="s">
        <v>9147</v>
      </c>
      <c r="F3335" s="140"/>
      <c r="G3335" s="140"/>
    </row>
    <row r="3336" spans="2:7" hidden="1">
      <c r="B3336" s="141" t="s">
        <v>9148</v>
      </c>
      <c r="C3336" s="140"/>
      <c r="D3336" s="141" t="s">
        <v>1421</v>
      </c>
      <c r="E3336" s="140"/>
      <c r="F3336" s="140"/>
      <c r="G3336" s="140"/>
    </row>
    <row r="3337" spans="2:7" hidden="1">
      <c r="B3337" s="140" t="s">
        <v>9149</v>
      </c>
      <c r="C3337" s="140"/>
      <c r="D3337" s="140" t="s">
        <v>1190</v>
      </c>
      <c r="E3337" s="142"/>
      <c r="F3337" s="142"/>
      <c r="G3337" s="140"/>
    </row>
    <row r="3338" spans="2:7" hidden="1">
      <c r="B3338" s="140" t="s">
        <v>9150</v>
      </c>
      <c r="C3338" s="140"/>
      <c r="D3338" s="140" t="s">
        <v>1081</v>
      </c>
      <c r="E3338" s="142"/>
      <c r="F3338" s="142"/>
      <c r="G3338" s="140"/>
    </row>
    <row r="3339" spans="2:7" hidden="1">
      <c r="B3339" s="141" t="s">
        <v>21730</v>
      </c>
      <c r="C3339" s="140"/>
      <c r="D3339" s="141" t="s">
        <v>9151</v>
      </c>
      <c r="E3339" s="140"/>
      <c r="F3339" s="140"/>
      <c r="G3339" s="140"/>
    </row>
    <row r="3340" spans="2:7" hidden="1">
      <c r="B3340" s="141" t="s">
        <v>21731</v>
      </c>
      <c r="C3340" s="140" t="s">
        <v>9152</v>
      </c>
      <c r="D3340" s="141" t="s">
        <v>4713</v>
      </c>
      <c r="E3340" s="140" t="s">
        <v>9153</v>
      </c>
      <c r="F3340" s="140" t="s">
        <v>9154</v>
      </c>
      <c r="G3340" s="140"/>
    </row>
    <row r="3341" spans="2:7" hidden="1">
      <c r="B3341" s="141" t="s">
        <v>9155</v>
      </c>
      <c r="C3341" s="141" t="s">
        <v>9156</v>
      </c>
      <c r="D3341" s="141" t="s">
        <v>9157</v>
      </c>
      <c r="E3341" s="141" t="s">
        <v>9158</v>
      </c>
      <c r="F3341" s="141" t="s">
        <v>9159</v>
      </c>
      <c r="G3341" s="140"/>
    </row>
    <row r="3342" spans="2:7" hidden="1">
      <c r="B3342" s="141" t="s">
        <v>9160</v>
      </c>
      <c r="C3342" s="140"/>
      <c r="D3342" s="141" t="s">
        <v>9161</v>
      </c>
      <c r="E3342" s="140"/>
      <c r="F3342" s="140"/>
      <c r="G3342" s="140"/>
    </row>
    <row r="3343" spans="2:7" hidden="1">
      <c r="B3343" s="141" t="s">
        <v>9162</v>
      </c>
      <c r="C3343" s="140"/>
      <c r="D3343" s="141" t="s">
        <v>9163</v>
      </c>
      <c r="E3343" s="140"/>
      <c r="F3343" s="140"/>
      <c r="G3343" s="140"/>
    </row>
    <row r="3344" spans="2:7" hidden="1">
      <c r="B3344" s="141" t="s">
        <v>9164</v>
      </c>
      <c r="C3344" s="140"/>
      <c r="D3344" s="141" t="s">
        <v>9165</v>
      </c>
      <c r="E3344" s="140"/>
      <c r="F3344" s="140"/>
      <c r="G3344" s="140"/>
    </row>
    <row r="3345" spans="2:7" hidden="1">
      <c r="B3345" s="141" t="s">
        <v>9166</v>
      </c>
      <c r="C3345" s="140" t="s">
        <v>9167</v>
      </c>
      <c r="D3345" s="141" t="s">
        <v>8753</v>
      </c>
      <c r="E3345" s="140"/>
      <c r="F3345" s="140"/>
      <c r="G3345" s="140"/>
    </row>
    <row r="3346" spans="2:7" hidden="1">
      <c r="B3346" s="140" t="s">
        <v>9168</v>
      </c>
      <c r="C3346" s="140" t="s">
        <v>9169</v>
      </c>
      <c r="D3346" s="140" t="s">
        <v>5108</v>
      </c>
      <c r="E3346" s="142" t="s">
        <v>9170</v>
      </c>
      <c r="F3346" s="142">
        <v>3208644869</v>
      </c>
      <c r="G3346" s="140"/>
    </row>
    <row r="3347" spans="2:7" hidden="1">
      <c r="B3347" s="141" t="s">
        <v>9168</v>
      </c>
      <c r="C3347" s="140"/>
      <c r="D3347" s="141" t="s">
        <v>9171</v>
      </c>
      <c r="E3347" s="140" t="s">
        <v>9172</v>
      </c>
      <c r="F3347" s="140" t="s">
        <v>9173</v>
      </c>
      <c r="G3347" s="140"/>
    </row>
    <row r="3348" spans="2:7" hidden="1">
      <c r="B3348" s="141" t="s">
        <v>9174</v>
      </c>
      <c r="C3348" s="140" t="s">
        <v>9175</v>
      </c>
      <c r="D3348" s="141" t="s">
        <v>9176</v>
      </c>
      <c r="E3348" s="140" t="s">
        <v>9177</v>
      </c>
      <c r="F3348" s="140" t="s">
        <v>9178</v>
      </c>
      <c r="G3348" s="140"/>
    </row>
    <row r="3349" spans="2:7" hidden="1">
      <c r="B3349" s="141" t="s">
        <v>9179</v>
      </c>
      <c r="C3349" s="140" t="s">
        <v>9180</v>
      </c>
      <c r="D3349" s="141" t="s">
        <v>9181</v>
      </c>
      <c r="E3349" s="140" t="s">
        <v>9172</v>
      </c>
      <c r="F3349" s="140"/>
      <c r="G3349" s="140"/>
    </row>
    <row r="3350" spans="2:7" hidden="1">
      <c r="B3350" s="140" t="s">
        <v>9182</v>
      </c>
      <c r="C3350" s="140"/>
      <c r="D3350" s="140" t="s">
        <v>9183</v>
      </c>
      <c r="E3350" s="142"/>
      <c r="F3350" s="142"/>
      <c r="G3350" s="140"/>
    </row>
    <row r="3351" spans="2:7" hidden="1">
      <c r="B3351" s="140" t="s">
        <v>9184</v>
      </c>
      <c r="C3351" s="140"/>
      <c r="D3351" s="140" t="s">
        <v>6536</v>
      </c>
      <c r="E3351" s="142"/>
      <c r="F3351" s="142"/>
      <c r="G3351" s="140"/>
    </row>
    <row r="3352" spans="2:7" hidden="1">
      <c r="B3352" s="140" t="s">
        <v>9185</v>
      </c>
      <c r="C3352" s="140"/>
      <c r="D3352" s="140" t="s">
        <v>9186</v>
      </c>
      <c r="E3352" s="142"/>
      <c r="F3352" s="142"/>
      <c r="G3352" s="140"/>
    </row>
    <row r="3353" spans="2:7" hidden="1">
      <c r="B3353" s="141" t="s">
        <v>9187</v>
      </c>
      <c r="C3353" s="140" t="s">
        <v>9188</v>
      </c>
      <c r="D3353" s="141" t="s">
        <v>9189</v>
      </c>
      <c r="E3353" s="140" t="s">
        <v>9190</v>
      </c>
      <c r="F3353" s="140" t="s">
        <v>9191</v>
      </c>
      <c r="G3353" s="140"/>
    </row>
    <row r="3354" spans="2:7" hidden="1">
      <c r="B3354" s="141" t="s">
        <v>9192</v>
      </c>
      <c r="C3354" s="140"/>
      <c r="D3354" s="141" t="s">
        <v>6536</v>
      </c>
      <c r="E3354" s="140"/>
      <c r="F3354" s="140"/>
      <c r="G3354" s="140"/>
    </row>
    <row r="3355" spans="2:7" hidden="1">
      <c r="B3355" s="140" t="s">
        <v>9193</v>
      </c>
      <c r="C3355" s="140"/>
      <c r="D3355" s="140" t="s">
        <v>9194</v>
      </c>
      <c r="E3355" s="140"/>
      <c r="F3355" s="140"/>
      <c r="G3355" s="140"/>
    </row>
    <row r="3356" spans="2:7" hidden="1">
      <c r="B3356" s="141" t="s">
        <v>9195</v>
      </c>
      <c r="C3356" s="140"/>
      <c r="D3356" s="141" t="s">
        <v>9196</v>
      </c>
      <c r="E3356" s="140"/>
      <c r="F3356" s="140"/>
      <c r="G3356" s="140"/>
    </row>
    <row r="3357" spans="2:7" hidden="1">
      <c r="B3357" s="141" t="s">
        <v>9197</v>
      </c>
      <c r="C3357" s="140"/>
      <c r="D3357" s="141" t="s">
        <v>9198</v>
      </c>
      <c r="E3357" s="140"/>
      <c r="F3357" s="140"/>
      <c r="G3357" s="140"/>
    </row>
    <row r="3358" spans="2:7" hidden="1">
      <c r="B3358" s="141" t="s">
        <v>9199</v>
      </c>
      <c r="C3358" s="140"/>
      <c r="D3358" s="141" t="s">
        <v>9200</v>
      </c>
      <c r="E3358" s="140"/>
      <c r="F3358" s="140"/>
      <c r="G3358" s="140"/>
    </row>
    <row r="3359" spans="2:7" hidden="1">
      <c r="B3359" s="141" t="s">
        <v>9201</v>
      </c>
      <c r="C3359" s="140" t="s">
        <v>9202</v>
      </c>
      <c r="D3359" s="141" t="s">
        <v>9203</v>
      </c>
      <c r="E3359" s="140"/>
      <c r="F3359" s="140"/>
      <c r="G3359" s="140"/>
    </row>
    <row r="3360" spans="2:7" hidden="1">
      <c r="B3360" s="141" t="s">
        <v>9204</v>
      </c>
      <c r="C3360" s="140" t="s">
        <v>9205</v>
      </c>
      <c r="D3360" s="141" t="s">
        <v>9206</v>
      </c>
      <c r="E3360" s="140"/>
      <c r="F3360" s="140"/>
      <c r="G3360" s="140"/>
    </row>
    <row r="3361" spans="2:7" hidden="1">
      <c r="B3361" s="141" t="s">
        <v>9207</v>
      </c>
      <c r="C3361" s="140"/>
      <c r="D3361" s="141" t="s">
        <v>9208</v>
      </c>
      <c r="E3361" s="140"/>
      <c r="F3361" s="140"/>
      <c r="G3361" s="140"/>
    </row>
    <row r="3362" spans="2:7" hidden="1">
      <c r="B3362" s="141" t="s">
        <v>9209</v>
      </c>
      <c r="C3362" s="140"/>
      <c r="D3362" s="141" t="s">
        <v>9210</v>
      </c>
      <c r="E3362" s="140"/>
      <c r="F3362" s="140"/>
      <c r="G3362" s="140"/>
    </row>
    <row r="3363" spans="2:7" hidden="1">
      <c r="B3363" s="141" t="s">
        <v>9211</v>
      </c>
      <c r="C3363" s="140"/>
      <c r="D3363" s="141" t="s">
        <v>9212</v>
      </c>
      <c r="E3363" s="140"/>
      <c r="F3363" s="140"/>
      <c r="G3363" s="140"/>
    </row>
    <row r="3364" spans="2:7" hidden="1">
      <c r="B3364" s="140" t="s">
        <v>20975</v>
      </c>
      <c r="C3364" s="140" t="s">
        <v>20961</v>
      </c>
      <c r="D3364" s="140" t="s">
        <v>20962</v>
      </c>
      <c r="E3364" s="142" t="s">
        <v>20302</v>
      </c>
      <c r="F3364" s="142"/>
      <c r="G3364" s="140"/>
    </row>
    <row r="3365" spans="2:7" hidden="1">
      <c r="B3365" s="141" t="s">
        <v>9213</v>
      </c>
      <c r="C3365" s="140"/>
      <c r="D3365" s="141" t="s">
        <v>9214</v>
      </c>
      <c r="E3365" s="140"/>
      <c r="F3365" s="140"/>
      <c r="G3365" s="140"/>
    </row>
    <row r="3366" spans="2:7" hidden="1">
      <c r="B3366" s="141" t="s">
        <v>9215</v>
      </c>
      <c r="C3366" s="140"/>
      <c r="D3366" s="141" t="s">
        <v>7858</v>
      </c>
      <c r="E3366" s="140"/>
      <c r="F3366" s="140"/>
      <c r="G3366" s="140"/>
    </row>
    <row r="3367" spans="2:7" hidden="1">
      <c r="B3367" s="141" t="s">
        <v>9216</v>
      </c>
      <c r="C3367" s="140"/>
      <c r="D3367" s="141" t="s">
        <v>9217</v>
      </c>
      <c r="E3367" s="140"/>
      <c r="F3367" s="140"/>
      <c r="G3367" s="140"/>
    </row>
    <row r="3368" spans="2:7" hidden="1">
      <c r="B3368" s="141" t="s">
        <v>9218</v>
      </c>
      <c r="C3368" s="141"/>
      <c r="D3368" s="141" t="s">
        <v>9219</v>
      </c>
      <c r="E3368" s="141"/>
      <c r="F3368" s="141"/>
      <c r="G3368" s="140"/>
    </row>
    <row r="3369" spans="2:7" hidden="1">
      <c r="B3369" s="140" t="s">
        <v>9220</v>
      </c>
      <c r="C3369" s="140"/>
      <c r="D3369" s="140" t="s">
        <v>4680</v>
      </c>
      <c r="E3369" s="140"/>
      <c r="F3369" s="140"/>
      <c r="G3369" s="140"/>
    </row>
    <row r="3370" spans="2:7" hidden="1">
      <c r="B3370" s="141" t="s">
        <v>9221</v>
      </c>
      <c r="C3370" s="140"/>
      <c r="D3370" s="141" t="s">
        <v>7471</v>
      </c>
      <c r="E3370" s="140"/>
      <c r="F3370" s="140"/>
      <c r="G3370" s="140"/>
    </row>
    <row r="3371" spans="2:7" hidden="1">
      <c r="B3371" s="141" t="s">
        <v>9222</v>
      </c>
      <c r="C3371" s="140"/>
      <c r="D3371" s="141" t="s">
        <v>9223</v>
      </c>
      <c r="E3371" s="140"/>
      <c r="F3371" s="140"/>
      <c r="G3371" s="140"/>
    </row>
    <row r="3372" spans="2:7" hidden="1">
      <c r="B3372" s="140" t="s">
        <v>9224</v>
      </c>
      <c r="C3372" s="140"/>
      <c r="D3372" s="140" t="s">
        <v>9225</v>
      </c>
      <c r="E3372" s="142"/>
      <c r="F3372" s="142"/>
      <c r="G3372" s="140"/>
    </row>
    <row r="3373" spans="2:7" hidden="1">
      <c r="B3373" s="141" t="s">
        <v>9226</v>
      </c>
      <c r="C3373" s="141"/>
      <c r="D3373" s="141" t="s">
        <v>9214</v>
      </c>
      <c r="E3373" s="140"/>
      <c r="F3373" s="140"/>
      <c r="G3373" s="140"/>
    </row>
    <row r="3374" spans="2:7" hidden="1">
      <c r="B3374" s="141" t="s">
        <v>9227</v>
      </c>
      <c r="C3374" s="140"/>
      <c r="D3374" s="141" t="s">
        <v>9228</v>
      </c>
      <c r="E3374" s="140"/>
      <c r="F3374" s="140"/>
      <c r="G3374" s="140"/>
    </row>
    <row r="3375" spans="2:7" hidden="1">
      <c r="B3375" s="141" t="s">
        <v>9229</v>
      </c>
      <c r="C3375" s="141"/>
      <c r="D3375" s="141" t="s">
        <v>9230</v>
      </c>
      <c r="E3375" s="141"/>
      <c r="F3375" s="141"/>
      <c r="G3375" s="140"/>
    </row>
    <row r="3376" spans="2:7" hidden="1">
      <c r="B3376" s="141" t="s">
        <v>9231</v>
      </c>
      <c r="C3376" s="140"/>
      <c r="D3376" s="141" t="s">
        <v>9232</v>
      </c>
      <c r="E3376" s="140"/>
      <c r="F3376" s="140"/>
      <c r="G3376" s="140"/>
    </row>
    <row r="3377" spans="2:7" hidden="1">
      <c r="B3377" s="140" t="s">
        <v>9233</v>
      </c>
      <c r="C3377" s="140" t="s">
        <v>9234</v>
      </c>
      <c r="D3377" s="140" t="s">
        <v>9235</v>
      </c>
      <c r="E3377" s="140"/>
      <c r="F3377" s="140"/>
      <c r="G3377" s="140" t="s">
        <v>9236</v>
      </c>
    </row>
    <row r="3378" spans="2:7" hidden="1">
      <c r="B3378" s="140" t="s">
        <v>9237</v>
      </c>
      <c r="C3378" s="140"/>
      <c r="D3378" s="140" t="s">
        <v>9238</v>
      </c>
      <c r="E3378" s="140"/>
      <c r="F3378" s="140"/>
      <c r="G3378" s="140"/>
    </row>
    <row r="3379" spans="2:7" hidden="1">
      <c r="B3379" s="141" t="s">
        <v>9239</v>
      </c>
      <c r="C3379" s="140"/>
      <c r="D3379" s="141" t="s">
        <v>9240</v>
      </c>
      <c r="E3379" s="140"/>
      <c r="F3379" s="140"/>
      <c r="G3379" s="140"/>
    </row>
    <row r="3380" spans="2:7" hidden="1">
      <c r="B3380" s="141" t="s">
        <v>9241</v>
      </c>
      <c r="C3380" s="140"/>
      <c r="D3380" s="141" t="s">
        <v>9242</v>
      </c>
      <c r="E3380" s="140"/>
      <c r="F3380" s="140"/>
      <c r="G3380" s="140"/>
    </row>
    <row r="3381" spans="2:7" hidden="1">
      <c r="B3381" s="141" t="s">
        <v>9243</v>
      </c>
      <c r="C3381" s="140"/>
      <c r="D3381" s="141" t="s">
        <v>1104</v>
      </c>
      <c r="E3381" s="140"/>
      <c r="F3381" s="140"/>
      <c r="G3381" s="140"/>
    </row>
    <row r="3382" spans="2:7" hidden="1">
      <c r="B3382" s="141" t="s">
        <v>9244</v>
      </c>
      <c r="C3382" s="141"/>
      <c r="D3382" s="141" t="s">
        <v>9245</v>
      </c>
      <c r="E3382" s="141"/>
      <c r="F3382" s="140"/>
      <c r="G3382" s="140"/>
    </row>
    <row r="3383" spans="2:7" hidden="1">
      <c r="B3383" s="141" t="s">
        <v>9246</v>
      </c>
      <c r="C3383" s="140"/>
      <c r="D3383" s="141" t="s">
        <v>9247</v>
      </c>
      <c r="E3383" s="140"/>
      <c r="F3383" s="140"/>
      <c r="G3383" s="140"/>
    </row>
    <row r="3384" spans="2:7" hidden="1">
      <c r="B3384" s="141" t="s">
        <v>9248</v>
      </c>
      <c r="C3384" s="141"/>
      <c r="D3384" s="141" t="s">
        <v>9249</v>
      </c>
      <c r="E3384" s="141"/>
      <c r="F3384" s="140"/>
      <c r="G3384" s="140"/>
    </row>
    <row r="3385" spans="2:7" hidden="1">
      <c r="B3385" s="141" t="s">
        <v>9250</v>
      </c>
      <c r="C3385" s="141"/>
      <c r="D3385" s="141" t="s">
        <v>9251</v>
      </c>
      <c r="E3385" s="140"/>
      <c r="F3385" s="140"/>
      <c r="G3385" s="140"/>
    </row>
    <row r="3386" spans="2:7" hidden="1">
      <c r="B3386" s="141" t="s">
        <v>9252</v>
      </c>
      <c r="C3386" s="140"/>
      <c r="D3386" s="141" t="s">
        <v>9253</v>
      </c>
      <c r="E3386" s="140"/>
      <c r="F3386" s="140"/>
      <c r="G3386" s="140"/>
    </row>
    <row r="3387" spans="2:7" hidden="1">
      <c r="B3387" s="141" t="s">
        <v>9254</v>
      </c>
      <c r="C3387" s="140"/>
      <c r="D3387" s="141" t="s">
        <v>9255</v>
      </c>
      <c r="E3387" s="140"/>
      <c r="F3387" s="140"/>
      <c r="G3387" s="140"/>
    </row>
    <row r="3388" spans="2:7" hidden="1">
      <c r="B3388" s="141" t="s">
        <v>9256</v>
      </c>
      <c r="C3388" s="140"/>
      <c r="D3388" s="141" t="s">
        <v>7055</v>
      </c>
      <c r="E3388" s="140"/>
      <c r="F3388" s="140"/>
      <c r="G3388" s="140"/>
    </row>
    <row r="3389" spans="2:7" hidden="1">
      <c r="B3389" s="141" t="s">
        <v>9257</v>
      </c>
      <c r="C3389" s="140" t="s">
        <v>9258</v>
      </c>
      <c r="D3389" s="141" t="s">
        <v>9259</v>
      </c>
      <c r="E3389" s="140"/>
      <c r="F3389" s="140"/>
      <c r="G3389" s="140"/>
    </row>
    <row r="3390" spans="2:7" hidden="1">
      <c r="B3390" s="141" t="s">
        <v>9257</v>
      </c>
      <c r="C3390" s="140" t="s">
        <v>7250</v>
      </c>
      <c r="D3390" s="141" t="s">
        <v>4292</v>
      </c>
      <c r="E3390" s="140"/>
      <c r="F3390" s="140"/>
      <c r="G3390" s="140"/>
    </row>
    <row r="3391" spans="2:7" hidden="1">
      <c r="B3391" s="141" t="s">
        <v>9260</v>
      </c>
      <c r="C3391" s="140" t="s">
        <v>9261</v>
      </c>
      <c r="D3391" s="141" t="s">
        <v>9262</v>
      </c>
      <c r="E3391" s="140" t="s">
        <v>9263</v>
      </c>
      <c r="F3391" s="140" t="s">
        <v>9264</v>
      </c>
      <c r="G3391" s="140" t="s">
        <v>9265</v>
      </c>
    </row>
    <row r="3392" spans="2:7" hidden="1">
      <c r="B3392" s="141" t="s">
        <v>9266</v>
      </c>
      <c r="C3392" s="140" t="s">
        <v>9267</v>
      </c>
      <c r="D3392" s="141" t="s">
        <v>9268</v>
      </c>
      <c r="E3392" s="140"/>
      <c r="F3392" s="140"/>
      <c r="G3392" s="140" t="s">
        <v>7275</v>
      </c>
    </row>
    <row r="3393" spans="2:7" hidden="1">
      <c r="B3393" s="140" t="s">
        <v>9269</v>
      </c>
      <c r="C3393" s="140"/>
      <c r="D3393" s="140" t="s">
        <v>9270</v>
      </c>
      <c r="E3393" s="142"/>
      <c r="F3393" s="142"/>
      <c r="G3393" s="140"/>
    </row>
    <row r="3394" spans="2:7" hidden="1">
      <c r="B3394" s="141" t="s">
        <v>9271</v>
      </c>
      <c r="C3394" s="141"/>
      <c r="D3394" s="141" t="s">
        <v>9272</v>
      </c>
      <c r="E3394" s="141"/>
      <c r="F3394" s="140"/>
      <c r="G3394" s="140"/>
    </row>
    <row r="3395" spans="2:7" hidden="1">
      <c r="B3395" s="141" t="s">
        <v>9273</v>
      </c>
      <c r="C3395" s="141" t="s">
        <v>9274</v>
      </c>
      <c r="D3395" s="141" t="s">
        <v>9275</v>
      </c>
      <c r="E3395" s="141"/>
      <c r="F3395" s="140"/>
      <c r="G3395" s="140" t="s">
        <v>9276</v>
      </c>
    </row>
    <row r="3396" spans="2:7" hidden="1">
      <c r="B3396" s="141" t="s">
        <v>9277</v>
      </c>
      <c r="C3396" s="140"/>
      <c r="D3396" s="141" t="s">
        <v>9278</v>
      </c>
      <c r="E3396" s="140"/>
      <c r="F3396" s="140"/>
      <c r="G3396" s="140"/>
    </row>
    <row r="3397" spans="2:7" hidden="1">
      <c r="B3397" s="141" t="s">
        <v>9279</v>
      </c>
      <c r="C3397" s="140" t="s">
        <v>9280</v>
      </c>
      <c r="D3397" s="141" t="s">
        <v>9281</v>
      </c>
      <c r="E3397" s="140" t="s">
        <v>9282</v>
      </c>
      <c r="F3397" s="140"/>
      <c r="G3397" s="140"/>
    </row>
    <row r="3398" spans="2:7" hidden="1">
      <c r="B3398" s="141" t="s">
        <v>9283</v>
      </c>
      <c r="C3398" s="140" t="s">
        <v>9284</v>
      </c>
      <c r="D3398" s="141" t="s">
        <v>9285</v>
      </c>
      <c r="E3398" s="140"/>
      <c r="F3398" s="140"/>
      <c r="G3398" s="140"/>
    </row>
    <row r="3399" spans="2:7" hidden="1">
      <c r="B3399" s="141" t="s">
        <v>9286</v>
      </c>
      <c r="C3399" s="140" t="s">
        <v>9287</v>
      </c>
      <c r="D3399" s="141" t="s">
        <v>9288</v>
      </c>
      <c r="E3399" s="140"/>
      <c r="F3399" s="140"/>
      <c r="G3399" s="140"/>
    </row>
    <row r="3400" spans="2:7" hidden="1">
      <c r="B3400" s="140" t="s">
        <v>9289</v>
      </c>
      <c r="C3400" s="140" t="s">
        <v>9290</v>
      </c>
      <c r="D3400" s="140" t="s">
        <v>9291</v>
      </c>
      <c r="E3400" s="142"/>
      <c r="F3400" s="142"/>
      <c r="G3400" s="140"/>
    </row>
    <row r="3401" spans="2:7" hidden="1">
      <c r="B3401" s="141" t="s">
        <v>9292</v>
      </c>
      <c r="C3401" s="140" t="s">
        <v>9293</v>
      </c>
      <c r="D3401" s="141" t="s">
        <v>9294</v>
      </c>
      <c r="E3401" s="140"/>
      <c r="F3401" s="140"/>
      <c r="G3401" s="140"/>
    </row>
    <row r="3402" spans="2:7" hidden="1">
      <c r="B3402" s="141" t="s">
        <v>9295</v>
      </c>
      <c r="C3402" s="140" t="s">
        <v>9296</v>
      </c>
      <c r="D3402" s="141" t="s">
        <v>9297</v>
      </c>
      <c r="E3402" s="140"/>
      <c r="F3402" s="140"/>
      <c r="G3402" s="140"/>
    </row>
    <row r="3403" spans="2:7" hidden="1">
      <c r="B3403" s="140" t="s">
        <v>9298</v>
      </c>
      <c r="C3403" s="140"/>
      <c r="D3403" s="140" t="s">
        <v>4789</v>
      </c>
      <c r="E3403" s="142"/>
      <c r="F3403" s="142"/>
      <c r="G3403" s="140"/>
    </row>
    <row r="3404" spans="2:7" hidden="1">
      <c r="B3404" s="141" t="s">
        <v>21732</v>
      </c>
      <c r="C3404" s="140" t="s">
        <v>9299</v>
      </c>
      <c r="D3404" s="141" t="s">
        <v>7868</v>
      </c>
      <c r="E3404" s="140"/>
      <c r="F3404" s="140"/>
      <c r="G3404" s="140"/>
    </row>
    <row r="3405" spans="2:7" hidden="1">
      <c r="B3405" s="141" t="s">
        <v>9300</v>
      </c>
      <c r="C3405" s="140"/>
      <c r="D3405" s="141" t="s">
        <v>9301</v>
      </c>
      <c r="E3405" s="140"/>
      <c r="F3405" s="140"/>
      <c r="G3405" s="140"/>
    </row>
    <row r="3406" spans="2:7" hidden="1">
      <c r="B3406" s="141" t="s">
        <v>9302</v>
      </c>
      <c r="C3406" s="140"/>
      <c r="D3406" s="141" t="s">
        <v>8717</v>
      </c>
      <c r="E3406" s="140"/>
      <c r="F3406" s="140"/>
      <c r="G3406" s="140"/>
    </row>
    <row r="3407" spans="2:7" hidden="1">
      <c r="B3407" s="141" t="s">
        <v>9303</v>
      </c>
      <c r="C3407" s="140"/>
      <c r="D3407" s="141" t="s">
        <v>9304</v>
      </c>
      <c r="E3407" s="140"/>
      <c r="F3407" s="140"/>
      <c r="G3407" s="140"/>
    </row>
    <row r="3408" spans="2:7" hidden="1">
      <c r="B3408" s="141" t="s">
        <v>9305</v>
      </c>
      <c r="C3408" s="140"/>
      <c r="D3408" s="141" t="s">
        <v>9306</v>
      </c>
      <c r="E3408" s="140"/>
      <c r="F3408" s="140"/>
      <c r="G3408" s="140"/>
    </row>
    <row r="3409" spans="2:7" hidden="1">
      <c r="B3409" s="140" t="s">
        <v>9307</v>
      </c>
      <c r="C3409" s="140"/>
      <c r="D3409" s="140" t="s">
        <v>9308</v>
      </c>
      <c r="E3409" s="142"/>
      <c r="F3409" s="142"/>
      <c r="G3409" s="140"/>
    </row>
    <row r="3410" spans="2:7" hidden="1">
      <c r="B3410" s="140" t="s">
        <v>9309</v>
      </c>
      <c r="C3410" s="140"/>
      <c r="D3410" s="140" t="s">
        <v>9310</v>
      </c>
      <c r="E3410" s="140"/>
      <c r="F3410" s="140"/>
      <c r="G3410" s="140"/>
    </row>
    <row r="3411" spans="2:7" hidden="1">
      <c r="B3411" s="140" t="s">
        <v>9311</v>
      </c>
      <c r="C3411" s="140"/>
      <c r="D3411" s="140" t="s">
        <v>9312</v>
      </c>
      <c r="E3411" s="140"/>
      <c r="F3411" s="140"/>
      <c r="G3411" s="140"/>
    </row>
    <row r="3412" spans="2:7" hidden="1">
      <c r="B3412" s="141" t="s">
        <v>9313</v>
      </c>
      <c r="C3412" s="140"/>
      <c r="D3412" s="141" t="s">
        <v>9314</v>
      </c>
      <c r="E3412" s="140"/>
      <c r="F3412" s="140"/>
      <c r="G3412" s="140"/>
    </row>
    <row r="3413" spans="2:7" hidden="1">
      <c r="B3413" s="141" t="s">
        <v>9315</v>
      </c>
      <c r="C3413" s="140"/>
      <c r="D3413" s="141" t="s">
        <v>9316</v>
      </c>
      <c r="E3413" s="140"/>
      <c r="F3413" s="140"/>
      <c r="G3413" s="140"/>
    </row>
    <row r="3414" spans="2:7" hidden="1">
      <c r="B3414" s="141" t="s">
        <v>9317</v>
      </c>
      <c r="C3414" s="140"/>
      <c r="D3414" s="141" t="s">
        <v>9318</v>
      </c>
      <c r="E3414" s="140"/>
      <c r="F3414" s="140"/>
      <c r="G3414" s="140"/>
    </row>
    <row r="3415" spans="2:7" hidden="1">
      <c r="B3415" s="141" t="s">
        <v>9319</v>
      </c>
      <c r="C3415" s="140" t="s">
        <v>9320</v>
      </c>
      <c r="D3415" s="141" t="s">
        <v>9321</v>
      </c>
      <c r="E3415" s="140"/>
      <c r="F3415" s="140"/>
      <c r="G3415" s="140"/>
    </row>
    <row r="3416" spans="2:7" hidden="1">
      <c r="B3416" s="141" t="s">
        <v>9322</v>
      </c>
      <c r="C3416" s="140"/>
      <c r="D3416" s="141" t="s">
        <v>4789</v>
      </c>
      <c r="E3416" s="140"/>
      <c r="F3416" s="140"/>
      <c r="G3416" s="140"/>
    </row>
    <row r="3417" spans="2:7" hidden="1">
      <c r="B3417" s="141" t="s">
        <v>9323</v>
      </c>
      <c r="C3417" s="140"/>
      <c r="D3417" s="141" t="s">
        <v>9324</v>
      </c>
      <c r="E3417" s="140"/>
      <c r="F3417" s="140"/>
      <c r="G3417" s="140"/>
    </row>
    <row r="3418" spans="2:7" hidden="1">
      <c r="B3418" s="141" t="s">
        <v>21733</v>
      </c>
      <c r="C3418" s="140"/>
      <c r="D3418" s="141" t="s">
        <v>9325</v>
      </c>
      <c r="E3418" s="140"/>
      <c r="F3418" s="140"/>
      <c r="G3418" s="140"/>
    </row>
    <row r="3419" spans="2:7" hidden="1">
      <c r="B3419" s="141" t="s">
        <v>9326</v>
      </c>
      <c r="C3419" s="140"/>
      <c r="D3419" s="141" t="s">
        <v>1945</v>
      </c>
      <c r="E3419" s="140"/>
      <c r="F3419" s="140"/>
      <c r="G3419" s="140"/>
    </row>
    <row r="3420" spans="2:7" hidden="1">
      <c r="B3420" s="141" t="s">
        <v>9327</v>
      </c>
      <c r="C3420" s="140"/>
      <c r="D3420" s="141" t="s">
        <v>3684</v>
      </c>
      <c r="E3420" s="140"/>
      <c r="F3420" s="140"/>
      <c r="G3420" s="140"/>
    </row>
    <row r="3421" spans="2:7" hidden="1">
      <c r="B3421" s="140" t="s">
        <v>9328</v>
      </c>
      <c r="C3421" s="140"/>
      <c r="D3421" s="140" t="s">
        <v>9329</v>
      </c>
      <c r="E3421" s="142"/>
      <c r="F3421" s="142"/>
      <c r="G3421" s="140"/>
    </row>
    <row r="3422" spans="2:7" hidden="1">
      <c r="B3422" s="141" t="s">
        <v>9330</v>
      </c>
      <c r="C3422" s="140"/>
      <c r="D3422" s="141" t="s">
        <v>8753</v>
      </c>
      <c r="E3422" s="140"/>
      <c r="F3422" s="140"/>
      <c r="G3422" s="140"/>
    </row>
    <row r="3423" spans="2:7" hidden="1">
      <c r="B3423" s="141" t="s">
        <v>9331</v>
      </c>
      <c r="C3423" s="140" t="s">
        <v>9332</v>
      </c>
      <c r="D3423" s="141" t="s">
        <v>9333</v>
      </c>
      <c r="E3423" s="140"/>
      <c r="F3423" s="140"/>
      <c r="G3423" s="140" t="s">
        <v>9334</v>
      </c>
    </row>
    <row r="3424" spans="2:7" hidden="1">
      <c r="B3424" s="141" t="s">
        <v>9342</v>
      </c>
      <c r="C3424" s="140" t="s">
        <v>9343</v>
      </c>
      <c r="D3424" s="141" t="s">
        <v>9344</v>
      </c>
      <c r="E3424" s="140"/>
      <c r="F3424" s="140"/>
      <c r="G3424" s="140"/>
    </row>
    <row r="3425" spans="2:7" hidden="1">
      <c r="B3425" s="141" t="s">
        <v>9345</v>
      </c>
      <c r="C3425" s="140"/>
      <c r="D3425" s="141" t="s">
        <v>9346</v>
      </c>
      <c r="E3425" s="140"/>
      <c r="F3425" s="140"/>
      <c r="G3425" s="140"/>
    </row>
    <row r="3426" spans="2:7" hidden="1">
      <c r="B3426" s="141" t="s">
        <v>9347</v>
      </c>
      <c r="C3426" s="140"/>
      <c r="D3426" s="141" t="s">
        <v>1650</v>
      </c>
      <c r="E3426" s="140"/>
      <c r="F3426" s="140"/>
      <c r="G3426" s="140"/>
    </row>
    <row r="3427" spans="2:7" hidden="1">
      <c r="B3427" s="141" t="s">
        <v>9348</v>
      </c>
      <c r="C3427" s="140"/>
      <c r="D3427" s="141" t="s">
        <v>9349</v>
      </c>
      <c r="E3427" s="140"/>
      <c r="F3427" s="140"/>
      <c r="G3427" s="140"/>
    </row>
    <row r="3428" spans="2:7" hidden="1">
      <c r="B3428" s="140" t="s">
        <v>9350</v>
      </c>
      <c r="C3428" s="140"/>
      <c r="D3428" s="140" t="s">
        <v>9351</v>
      </c>
      <c r="E3428" s="142"/>
      <c r="F3428" s="142"/>
      <c r="G3428" s="140"/>
    </row>
    <row r="3429" spans="2:7" hidden="1">
      <c r="B3429" s="140" t="s">
        <v>9352</v>
      </c>
      <c r="C3429" s="140"/>
      <c r="D3429" s="140" t="s">
        <v>3584</v>
      </c>
      <c r="E3429" s="142"/>
      <c r="F3429" s="142"/>
      <c r="G3429" s="140"/>
    </row>
    <row r="3430" spans="2:7" hidden="1">
      <c r="B3430" s="140" t="s">
        <v>9353</v>
      </c>
      <c r="C3430" s="140"/>
      <c r="D3430" s="140" t="s">
        <v>2692</v>
      </c>
      <c r="E3430" s="142"/>
      <c r="F3430" s="142"/>
      <c r="G3430" s="140"/>
    </row>
    <row r="3431" spans="2:7" hidden="1">
      <c r="B3431" s="141" t="s">
        <v>9354</v>
      </c>
      <c r="C3431" s="140" t="s">
        <v>9355</v>
      </c>
      <c r="D3431" s="141" t="s">
        <v>9356</v>
      </c>
      <c r="E3431" s="140" t="s">
        <v>9088</v>
      </c>
      <c r="F3431" s="140" t="s">
        <v>9089</v>
      </c>
      <c r="G3431" s="140"/>
    </row>
    <row r="3432" spans="2:7" hidden="1">
      <c r="B3432" s="141" t="s">
        <v>9357</v>
      </c>
      <c r="C3432" s="140" t="s">
        <v>9358</v>
      </c>
      <c r="D3432" s="141" t="s">
        <v>9359</v>
      </c>
      <c r="E3432" s="140" t="s">
        <v>9360</v>
      </c>
      <c r="F3432" s="140" t="s">
        <v>9361</v>
      </c>
      <c r="G3432" s="140"/>
    </row>
    <row r="3433" spans="2:7" hidden="1">
      <c r="B3433" s="141" t="s">
        <v>9362</v>
      </c>
      <c r="C3433" s="140"/>
      <c r="D3433" s="141" t="s">
        <v>9363</v>
      </c>
      <c r="E3433" s="140"/>
      <c r="F3433" s="140"/>
      <c r="G3433" s="140"/>
    </row>
    <row r="3434" spans="2:7" hidden="1">
      <c r="B3434" s="141" t="s">
        <v>9364</v>
      </c>
      <c r="C3434" s="140"/>
      <c r="D3434" s="141" t="s">
        <v>9365</v>
      </c>
      <c r="E3434" s="140"/>
      <c r="F3434" s="140"/>
      <c r="G3434" s="140"/>
    </row>
    <row r="3435" spans="2:7" hidden="1">
      <c r="B3435" s="141" t="s">
        <v>9366</v>
      </c>
      <c r="C3435" s="140"/>
      <c r="D3435" s="141" t="s">
        <v>9367</v>
      </c>
      <c r="E3435" s="140"/>
      <c r="F3435" s="140"/>
      <c r="G3435" s="140"/>
    </row>
    <row r="3436" spans="2:7" hidden="1">
      <c r="B3436" s="140" t="s">
        <v>9368</v>
      </c>
      <c r="C3436" s="140" t="s">
        <v>9369</v>
      </c>
      <c r="D3436" s="141" t="s">
        <v>9370</v>
      </c>
      <c r="E3436" s="140"/>
      <c r="F3436" s="140"/>
      <c r="G3436" s="140"/>
    </row>
    <row r="3437" spans="2:7" hidden="1">
      <c r="B3437" s="141" t="s">
        <v>9371</v>
      </c>
      <c r="C3437" s="140"/>
      <c r="D3437" s="141" t="s">
        <v>9372</v>
      </c>
      <c r="E3437" s="140"/>
      <c r="F3437" s="140"/>
      <c r="G3437" s="140"/>
    </row>
    <row r="3438" spans="2:7" hidden="1">
      <c r="B3438" s="141" t="s">
        <v>9373</v>
      </c>
      <c r="C3438" s="140"/>
      <c r="D3438" s="141" t="s">
        <v>2139</v>
      </c>
      <c r="E3438" s="140"/>
      <c r="F3438" s="140"/>
      <c r="G3438" s="140"/>
    </row>
    <row r="3439" spans="2:7" hidden="1">
      <c r="B3439" s="141" t="s">
        <v>9374</v>
      </c>
      <c r="C3439" s="140"/>
      <c r="D3439" s="141" t="s">
        <v>9375</v>
      </c>
      <c r="E3439" s="140"/>
      <c r="F3439" s="140"/>
      <c r="G3439" s="140"/>
    </row>
    <row r="3440" spans="2:7" hidden="1">
      <c r="B3440" s="141" t="s">
        <v>9376</v>
      </c>
      <c r="C3440" s="141"/>
      <c r="D3440" s="141" t="s">
        <v>9377</v>
      </c>
      <c r="E3440" s="141"/>
      <c r="F3440" s="141"/>
      <c r="G3440" s="140"/>
    </row>
    <row r="3441" spans="2:7" hidden="1">
      <c r="B3441" s="141" t="s">
        <v>9378</v>
      </c>
      <c r="C3441" s="140"/>
      <c r="D3441" s="141" t="s">
        <v>9379</v>
      </c>
      <c r="E3441" s="140"/>
      <c r="F3441" s="140"/>
      <c r="G3441" s="140"/>
    </row>
    <row r="3442" spans="2:7" hidden="1">
      <c r="B3442" s="141" t="s">
        <v>9380</v>
      </c>
      <c r="C3442" s="140" t="s">
        <v>9381</v>
      </c>
      <c r="D3442" s="141" t="s">
        <v>9382</v>
      </c>
      <c r="E3442" s="140"/>
      <c r="F3442" s="140"/>
      <c r="G3442" s="140"/>
    </row>
    <row r="3443" spans="2:7" hidden="1">
      <c r="B3443" s="141" t="s">
        <v>9383</v>
      </c>
      <c r="C3443" s="140"/>
      <c r="D3443" s="141" t="s">
        <v>9384</v>
      </c>
      <c r="E3443" s="140"/>
      <c r="F3443" s="140"/>
      <c r="G3443" s="140"/>
    </row>
    <row r="3444" spans="2:7" hidden="1">
      <c r="B3444" s="141" t="s">
        <v>9385</v>
      </c>
      <c r="C3444" s="140"/>
      <c r="D3444" s="141" t="s">
        <v>3867</v>
      </c>
      <c r="E3444" s="140"/>
      <c r="F3444" s="140"/>
      <c r="G3444" s="140"/>
    </row>
    <row r="3445" spans="2:7" hidden="1">
      <c r="B3445" s="141" t="s">
        <v>21734</v>
      </c>
      <c r="C3445" s="140"/>
      <c r="D3445" s="141" t="s">
        <v>5364</v>
      </c>
      <c r="E3445" s="140"/>
      <c r="F3445" s="140"/>
      <c r="G3445" s="140"/>
    </row>
    <row r="3446" spans="2:7" hidden="1">
      <c r="B3446" s="141" t="s">
        <v>9386</v>
      </c>
      <c r="C3446" s="140"/>
      <c r="D3446" s="141" t="s">
        <v>4174</v>
      </c>
      <c r="E3446" s="140"/>
      <c r="F3446" s="140"/>
      <c r="G3446" s="140"/>
    </row>
    <row r="3447" spans="2:7" hidden="1">
      <c r="B3447" s="140" t="s">
        <v>20987</v>
      </c>
      <c r="C3447" s="140" t="s">
        <v>20986</v>
      </c>
      <c r="D3447" s="140" t="s">
        <v>5750</v>
      </c>
      <c r="E3447" s="142" t="s">
        <v>20988</v>
      </c>
      <c r="F3447" s="142" t="s">
        <v>20989</v>
      </c>
      <c r="G3447" s="140" t="s">
        <v>20990</v>
      </c>
    </row>
    <row r="3448" spans="2:7" hidden="1">
      <c r="B3448" s="141" t="s">
        <v>9387</v>
      </c>
      <c r="C3448" s="140"/>
      <c r="D3448" s="141" t="s">
        <v>9388</v>
      </c>
      <c r="E3448" s="140"/>
      <c r="F3448" s="140"/>
      <c r="G3448" s="140"/>
    </row>
    <row r="3449" spans="2:7" hidden="1">
      <c r="B3449" s="141" t="s">
        <v>9389</v>
      </c>
      <c r="C3449" s="140" t="s">
        <v>9390</v>
      </c>
      <c r="D3449" s="141" t="s">
        <v>9391</v>
      </c>
      <c r="E3449" s="140" t="s">
        <v>9392</v>
      </c>
      <c r="F3449" s="140" t="s">
        <v>9393</v>
      </c>
      <c r="G3449" s="140"/>
    </row>
    <row r="3450" spans="2:7" hidden="1">
      <c r="B3450" s="141" t="s">
        <v>9394</v>
      </c>
      <c r="C3450" s="140"/>
      <c r="D3450" s="141" t="s">
        <v>1902</v>
      </c>
      <c r="E3450" s="140"/>
      <c r="F3450" s="140"/>
      <c r="G3450" s="140"/>
    </row>
    <row r="3451" spans="2:7" hidden="1">
      <c r="B3451" s="141" t="s">
        <v>9395</v>
      </c>
      <c r="C3451" s="140"/>
      <c r="D3451" s="141" t="s">
        <v>9396</v>
      </c>
      <c r="E3451" s="140"/>
      <c r="F3451" s="140"/>
      <c r="G3451" s="140"/>
    </row>
    <row r="3452" spans="2:7" hidden="1">
      <c r="B3452" s="141" t="s">
        <v>9397</v>
      </c>
      <c r="C3452" s="140" t="s">
        <v>9398</v>
      </c>
      <c r="D3452" s="141" t="s">
        <v>9399</v>
      </c>
      <c r="E3452" s="140"/>
      <c r="F3452" s="140"/>
      <c r="G3452" s="140"/>
    </row>
    <row r="3453" spans="2:7" hidden="1">
      <c r="B3453" s="141" t="s">
        <v>9400</v>
      </c>
      <c r="C3453" s="140"/>
      <c r="D3453" s="141" t="s">
        <v>9401</v>
      </c>
      <c r="E3453" s="140"/>
      <c r="F3453" s="140"/>
      <c r="G3453" s="140"/>
    </row>
    <row r="3454" spans="2:7" hidden="1">
      <c r="B3454" s="141" t="s">
        <v>9402</v>
      </c>
      <c r="C3454" s="140"/>
      <c r="D3454" s="141" t="s">
        <v>9403</v>
      </c>
      <c r="E3454" s="140"/>
      <c r="F3454" s="140"/>
      <c r="G3454" s="140"/>
    </row>
    <row r="3455" spans="2:7" hidden="1">
      <c r="B3455" s="141" t="s">
        <v>9404</v>
      </c>
      <c r="C3455" s="140"/>
      <c r="D3455" s="141" t="s">
        <v>7868</v>
      </c>
      <c r="E3455" s="140"/>
      <c r="F3455" s="140"/>
      <c r="G3455" s="140"/>
    </row>
    <row r="3456" spans="2:7" hidden="1">
      <c r="B3456" s="141" t="s">
        <v>9405</v>
      </c>
      <c r="C3456" s="141" t="s">
        <v>9406</v>
      </c>
      <c r="D3456" s="141" t="s">
        <v>1218</v>
      </c>
      <c r="E3456" s="141" t="s">
        <v>9407</v>
      </c>
      <c r="F3456" s="141" t="s">
        <v>9408</v>
      </c>
      <c r="G3456" s="140"/>
    </row>
    <row r="3457" spans="2:7" hidden="1">
      <c r="B3457" s="141" t="s">
        <v>9409</v>
      </c>
      <c r="C3457" s="140"/>
      <c r="D3457" s="141" t="s">
        <v>9410</v>
      </c>
      <c r="E3457" s="140"/>
      <c r="F3457" s="140"/>
      <c r="G3457" s="140"/>
    </row>
    <row r="3458" spans="2:7" hidden="1">
      <c r="B3458" s="141" t="s">
        <v>9411</v>
      </c>
      <c r="C3458" s="140" t="s">
        <v>9412</v>
      </c>
      <c r="D3458" s="141" t="s">
        <v>9413</v>
      </c>
      <c r="E3458" s="140" t="s">
        <v>9414</v>
      </c>
      <c r="F3458" s="140" t="s">
        <v>9415</v>
      </c>
      <c r="G3458" s="140"/>
    </row>
    <row r="3459" spans="2:7" hidden="1">
      <c r="B3459" s="141" t="s">
        <v>9416</v>
      </c>
      <c r="C3459" s="140"/>
      <c r="D3459" s="141" t="s">
        <v>9417</v>
      </c>
      <c r="E3459" s="140"/>
      <c r="F3459" s="140"/>
      <c r="G3459" s="140"/>
    </row>
    <row r="3460" spans="2:7" hidden="1">
      <c r="B3460" s="141" t="s">
        <v>9418</v>
      </c>
      <c r="C3460" s="140" t="s">
        <v>9419</v>
      </c>
      <c r="D3460" s="141" t="s">
        <v>1395</v>
      </c>
      <c r="E3460" s="140" t="s">
        <v>9420</v>
      </c>
      <c r="F3460" s="140" t="s">
        <v>9421</v>
      </c>
      <c r="G3460" s="140"/>
    </row>
    <row r="3461" spans="2:7" hidden="1">
      <c r="B3461" s="141" t="s">
        <v>9422</v>
      </c>
      <c r="C3461" s="140"/>
      <c r="D3461" s="141" t="s">
        <v>9423</v>
      </c>
      <c r="E3461" s="140"/>
      <c r="F3461" s="140"/>
      <c r="G3461" s="140"/>
    </row>
    <row r="3462" spans="2:7" hidden="1">
      <c r="B3462" s="141" t="s">
        <v>9424</v>
      </c>
      <c r="C3462" s="140"/>
      <c r="D3462" s="141" t="s">
        <v>5942</v>
      </c>
      <c r="E3462" s="140"/>
      <c r="F3462" s="140"/>
      <c r="G3462" s="140"/>
    </row>
    <row r="3463" spans="2:7" hidden="1">
      <c r="B3463" s="141" t="s">
        <v>9425</v>
      </c>
      <c r="C3463" s="140"/>
      <c r="D3463" s="141" t="s">
        <v>9426</v>
      </c>
      <c r="E3463" s="140"/>
      <c r="F3463" s="140"/>
      <c r="G3463" s="140"/>
    </row>
    <row r="3464" spans="2:7" hidden="1">
      <c r="B3464" s="141" t="s">
        <v>21735</v>
      </c>
      <c r="C3464" s="140"/>
      <c r="D3464" s="141" t="s">
        <v>2237</v>
      </c>
      <c r="E3464" s="140"/>
      <c r="F3464" s="140"/>
      <c r="G3464" s="140"/>
    </row>
    <row r="3465" spans="2:7" hidden="1">
      <c r="B3465" s="141" t="s">
        <v>9441</v>
      </c>
      <c r="C3465" s="140" t="s">
        <v>9442</v>
      </c>
      <c r="D3465" s="141" t="s">
        <v>9443</v>
      </c>
      <c r="E3465" s="140" t="s">
        <v>9444</v>
      </c>
      <c r="F3465" s="140" t="s">
        <v>9445</v>
      </c>
      <c r="G3465" s="140"/>
    </row>
    <row r="3466" spans="2:7" hidden="1">
      <c r="B3466" s="141" t="s">
        <v>9446</v>
      </c>
      <c r="C3466" s="140"/>
      <c r="D3466" s="141" t="s">
        <v>9447</v>
      </c>
      <c r="E3466" s="140"/>
      <c r="F3466" s="140"/>
      <c r="G3466" s="140"/>
    </row>
    <row r="3467" spans="2:7" hidden="1">
      <c r="B3467" s="141" t="s">
        <v>9448</v>
      </c>
      <c r="C3467" s="140" t="s">
        <v>9449</v>
      </c>
      <c r="D3467" s="141" t="s">
        <v>3980</v>
      </c>
      <c r="E3467" s="140" t="s">
        <v>9450</v>
      </c>
      <c r="F3467" s="140" t="s">
        <v>9451</v>
      </c>
      <c r="G3467" s="140"/>
    </row>
    <row r="3468" spans="2:7" hidden="1">
      <c r="B3468" s="141" t="s">
        <v>9452</v>
      </c>
      <c r="C3468" s="140"/>
      <c r="D3468" s="141" t="s">
        <v>9453</v>
      </c>
      <c r="E3468" s="140"/>
      <c r="F3468" s="140"/>
      <c r="G3468" s="140"/>
    </row>
    <row r="3469" spans="2:7" hidden="1">
      <c r="B3469" s="141" t="s">
        <v>9454</v>
      </c>
      <c r="C3469" s="141"/>
      <c r="D3469" s="141" t="s">
        <v>9455</v>
      </c>
      <c r="E3469" s="141"/>
      <c r="F3469" s="140"/>
      <c r="G3469" s="140"/>
    </row>
    <row r="3470" spans="2:7" hidden="1">
      <c r="B3470" s="141" t="s">
        <v>9456</v>
      </c>
      <c r="C3470" s="141"/>
      <c r="D3470" s="141" t="s">
        <v>9457</v>
      </c>
      <c r="E3470" s="140"/>
      <c r="F3470" s="140"/>
      <c r="G3470" s="140"/>
    </row>
    <row r="3471" spans="2:7" hidden="1">
      <c r="B3471" s="141" t="s">
        <v>9458</v>
      </c>
      <c r="C3471" s="140"/>
      <c r="D3471" s="141" t="s">
        <v>7868</v>
      </c>
      <c r="E3471" s="140"/>
      <c r="F3471" s="140"/>
      <c r="G3471" s="140"/>
    </row>
    <row r="3472" spans="2:7" hidden="1">
      <c r="B3472" s="141" t="s">
        <v>21736</v>
      </c>
      <c r="C3472" s="140" t="s">
        <v>9427</v>
      </c>
      <c r="D3472" s="141" t="s">
        <v>9428</v>
      </c>
      <c r="E3472" s="140" t="s">
        <v>9429</v>
      </c>
      <c r="F3472" s="140" t="s">
        <v>9430</v>
      </c>
      <c r="G3472" s="140"/>
    </row>
    <row r="3473" spans="2:7" hidden="1">
      <c r="B3473" s="141" t="s">
        <v>21737</v>
      </c>
      <c r="C3473" s="140"/>
      <c r="D3473" s="141" t="s">
        <v>9431</v>
      </c>
      <c r="E3473" s="140"/>
      <c r="F3473" s="140"/>
      <c r="G3473" s="140"/>
    </row>
    <row r="3474" spans="2:7" hidden="1">
      <c r="B3474" s="141" t="s">
        <v>21738</v>
      </c>
      <c r="C3474" s="140"/>
      <c r="D3474" s="141" t="s">
        <v>9432</v>
      </c>
      <c r="E3474" s="140"/>
      <c r="F3474" s="140"/>
      <c r="G3474" s="140"/>
    </row>
    <row r="3475" spans="2:7" hidden="1">
      <c r="B3475" s="141" t="s">
        <v>21739</v>
      </c>
      <c r="C3475" s="141"/>
      <c r="D3475" s="141" t="s">
        <v>9433</v>
      </c>
      <c r="E3475" s="141"/>
      <c r="F3475" s="141"/>
      <c r="G3475" s="140"/>
    </row>
    <row r="3476" spans="2:7" hidden="1">
      <c r="B3476" s="141" t="s">
        <v>21740</v>
      </c>
      <c r="C3476" s="140"/>
      <c r="D3476" s="141" t="s">
        <v>3989</v>
      </c>
      <c r="E3476" s="140"/>
      <c r="F3476" s="140"/>
      <c r="G3476" s="140"/>
    </row>
    <row r="3477" spans="2:7" hidden="1">
      <c r="B3477" s="141" t="s">
        <v>21741</v>
      </c>
      <c r="C3477" s="140"/>
      <c r="D3477" s="141" t="s">
        <v>9434</v>
      </c>
      <c r="E3477" s="140"/>
      <c r="F3477" s="140"/>
      <c r="G3477" s="140"/>
    </row>
    <row r="3478" spans="2:7" hidden="1">
      <c r="B3478" s="141" t="s">
        <v>21742</v>
      </c>
      <c r="C3478" s="140"/>
      <c r="D3478" s="141" t="s">
        <v>9435</v>
      </c>
      <c r="E3478" s="140"/>
      <c r="F3478" s="140"/>
      <c r="G3478" s="140"/>
    </row>
    <row r="3479" spans="2:7" hidden="1">
      <c r="B3479" s="141" t="s">
        <v>21743</v>
      </c>
      <c r="C3479" s="140"/>
      <c r="D3479" s="141" t="s">
        <v>4355</v>
      </c>
      <c r="E3479" s="140"/>
      <c r="F3479" s="140"/>
      <c r="G3479" s="140"/>
    </row>
    <row r="3480" spans="2:7" hidden="1">
      <c r="B3480" s="141" t="s">
        <v>21744</v>
      </c>
      <c r="C3480" s="140"/>
      <c r="D3480" s="141" t="s">
        <v>9436</v>
      </c>
      <c r="E3480" s="140"/>
      <c r="F3480" s="140"/>
      <c r="G3480" s="140"/>
    </row>
    <row r="3481" spans="2:7" hidden="1">
      <c r="B3481" s="141" t="s">
        <v>21745</v>
      </c>
      <c r="C3481" s="140"/>
      <c r="D3481" s="141" t="s">
        <v>9437</v>
      </c>
      <c r="E3481" s="140"/>
      <c r="F3481" s="140"/>
      <c r="G3481" s="140"/>
    </row>
    <row r="3482" spans="2:7" hidden="1">
      <c r="B3482" s="141" t="s">
        <v>21746</v>
      </c>
      <c r="C3482" s="140" t="s">
        <v>9438</v>
      </c>
      <c r="D3482" s="141" t="s">
        <v>9439</v>
      </c>
      <c r="E3482" s="140" t="s">
        <v>9440</v>
      </c>
      <c r="F3482" s="140"/>
      <c r="G3482" s="140"/>
    </row>
    <row r="3483" spans="2:7" hidden="1">
      <c r="B3483" s="141" t="s">
        <v>9459</v>
      </c>
      <c r="C3483" s="140"/>
      <c r="D3483" s="141" t="s">
        <v>9460</v>
      </c>
      <c r="E3483" s="140"/>
      <c r="F3483" s="140"/>
      <c r="G3483" s="140"/>
    </row>
    <row r="3484" spans="2:7" hidden="1">
      <c r="B3484" s="141" t="s">
        <v>9461</v>
      </c>
      <c r="C3484" s="140"/>
      <c r="D3484" s="141" t="s">
        <v>9462</v>
      </c>
      <c r="E3484" s="140"/>
      <c r="F3484" s="140"/>
      <c r="G3484" s="140"/>
    </row>
    <row r="3485" spans="2:7" hidden="1">
      <c r="B3485" s="141" t="s">
        <v>9463</v>
      </c>
      <c r="C3485" s="140"/>
      <c r="D3485" s="141" t="s">
        <v>1921</v>
      </c>
      <c r="E3485" s="140"/>
      <c r="F3485" s="140"/>
      <c r="G3485" s="140"/>
    </row>
    <row r="3486" spans="2:7" hidden="1">
      <c r="B3486" s="141" t="s">
        <v>9464</v>
      </c>
      <c r="C3486" s="140"/>
      <c r="D3486" s="141" t="s">
        <v>9465</v>
      </c>
      <c r="E3486" s="140"/>
      <c r="F3486" s="140"/>
      <c r="G3486" s="140"/>
    </row>
    <row r="3487" spans="2:7" hidden="1">
      <c r="B3487" s="141" t="s">
        <v>9466</v>
      </c>
      <c r="C3487" s="140"/>
      <c r="D3487" s="141" t="s">
        <v>9467</v>
      </c>
      <c r="E3487" s="140"/>
      <c r="F3487" s="140"/>
      <c r="G3487" s="140"/>
    </row>
    <row r="3488" spans="2:7" hidden="1">
      <c r="B3488" s="141" t="s">
        <v>9468</v>
      </c>
      <c r="C3488" s="141"/>
      <c r="D3488" s="141" t="s">
        <v>9469</v>
      </c>
      <c r="E3488" s="141"/>
      <c r="F3488" s="141"/>
      <c r="G3488" s="140"/>
    </row>
    <row r="3489" spans="2:7" hidden="1">
      <c r="B3489" s="141" t="s">
        <v>9470</v>
      </c>
      <c r="C3489" s="140" t="s">
        <v>9449</v>
      </c>
      <c r="D3489" s="141" t="s">
        <v>5725</v>
      </c>
      <c r="E3489" s="140" t="s">
        <v>9471</v>
      </c>
      <c r="F3489" s="140" t="s">
        <v>9472</v>
      </c>
      <c r="G3489" s="140"/>
    </row>
    <row r="3490" spans="2:7" hidden="1">
      <c r="B3490" s="141" t="s">
        <v>9473</v>
      </c>
      <c r="C3490" s="141"/>
      <c r="D3490" s="141" t="s">
        <v>2842</v>
      </c>
      <c r="E3490" s="141"/>
      <c r="F3490" s="140"/>
      <c r="G3490" s="140"/>
    </row>
    <row r="3491" spans="2:7" hidden="1">
      <c r="B3491" s="140" t="s">
        <v>9474</v>
      </c>
      <c r="C3491" s="140"/>
      <c r="D3491" s="140" t="s">
        <v>2851</v>
      </c>
      <c r="E3491" s="142"/>
      <c r="F3491" s="142"/>
      <c r="G3491" s="140"/>
    </row>
    <row r="3492" spans="2:7" hidden="1">
      <c r="B3492" s="141" t="s">
        <v>9475</v>
      </c>
      <c r="C3492" s="140"/>
      <c r="D3492" s="141" t="s">
        <v>9476</v>
      </c>
      <c r="E3492" s="140"/>
      <c r="F3492" s="140"/>
      <c r="G3492" s="140"/>
    </row>
    <row r="3493" spans="2:7" hidden="1">
      <c r="B3493" s="141" t="s">
        <v>9477</v>
      </c>
      <c r="C3493" s="140"/>
      <c r="D3493" s="141" t="s">
        <v>9478</v>
      </c>
      <c r="E3493" s="140"/>
      <c r="F3493" s="140"/>
      <c r="G3493" s="140"/>
    </row>
    <row r="3494" spans="2:7" hidden="1">
      <c r="B3494" s="140" t="s">
        <v>9479</v>
      </c>
      <c r="C3494" s="140"/>
      <c r="D3494" s="140" t="s">
        <v>3814</v>
      </c>
      <c r="E3494" s="142" t="s">
        <v>3184</v>
      </c>
      <c r="F3494" s="142" t="s">
        <v>3185</v>
      </c>
      <c r="G3494" s="140"/>
    </row>
    <row r="3495" spans="2:7" hidden="1">
      <c r="B3495" s="140" t="s">
        <v>9480</v>
      </c>
      <c r="C3495" s="140" t="s">
        <v>9481</v>
      </c>
      <c r="D3495" s="140" t="s">
        <v>9482</v>
      </c>
      <c r="E3495" s="142" t="s">
        <v>9483</v>
      </c>
      <c r="F3495" s="142"/>
      <c r="G3495" s="140"/>
    </row>
    <row r="3496" spans="2:7" hidden="1">
      <c r="B3496" s="141" t="s">
        <v>9484</v>
      </c>
      <c r="C3496" s="140"/>
      <c r="D3496" s="141" t="s">
        <v>9485</v>
      </c>
      <c r="E3496" s="140"/>
      <c r="F3496" s="140"/>
      <c r="G3496" s="140"/>
    </row>
    <row r="3497" spans="2:7" hidden="1">
      <c r="B3497" s="140" t="s">
        <v>9486</v>
      </c>
      <c r="C3497" s="140"/>
      <c r="D3497" s="140" t="s">
        <v>2528</v>
      </c>
      <c r="E3497" s="142"/>
      <c r="F3497" s="142"/>
      <c r="G3497" s="140"/>
    </row>
    <row r="3498" spans="2:7" hidden="1">
      <c r="B3498" s="141" t="s">
        <v>9487</v>
      </c>
      <c r="C3498" s="140"/>
      <c r="D3498" s="141" t="s">
        <v>9488</v>
      </c>
      <c r="E3498" s="140"/>
      <c r="F3498" s="140"/>
      <c r="G3498" s="140"/>
    </row>
    <row r="3499" spans="2:7" hidden="1">
      <c r="B3499" s="141" t="s">
        <v>9489</v>
      </c>
      <c r="C3499" s="140" t="s">
        <v>9490</v>
      </c>
      <c r="D3499" s="141" t="s">
        <v>9491</v>
      </c>
      <c r="E3499" s="140" t="s">
        <v>9492</v>
      </c>
      <c r="F3499" s="140"/>
      <c r="G3499" s="140"/>
    </row>
    <row r="3500" spans="2:7" hidden="1">
      <c r="B3500" s="141" t="s">
        <v>9493</v>
      </c>
      <c r="C3500" s="140" t="s">
        <v>9494</v>
      </c>
      <c r="D3500" s="141" t="s">
        <v>5765</v>
      </c>
      <c r="E3500" s="140" t="s">
        <v>9495</v>
      </c>
      <c r="F3500" s="140" t="s">
        <v>9496</v>
      </c>
      <c r="G3500" s="140"/>
    </row>
    <row r="3501" spans="2:7" hidden="1">
      <c r="B3501" s="141" t="s">
        <v>9497</v>
      </c>
      <c r="C3501" s="140" t="s">
        <v>9498</v>
      </c>
      <c r="D3501" s="141" t="s">
        <v>3801</v>
      </c>
      <c r="E3501" s="140" t="s">
        <v>9499</v>
      </c>
      <c r="F3501" s="140" t="s">
        <v>9500</v>
      </c>
      <c r="G3501" s="140"/>
    </row>
    <row r="3502" spans="2:7" hidden="1">
      <c r="B3502" s="141" t="s">
        <v>9501</v>
      </c>
      <c r="C3502" s="140" t="s">
        <v>9502</v>
      </c>
      <c r="D3502" s="141" t="s">
        <v>9503</v>
      </c>
      <c r="E3502" s="140" t="s">
        <v>9504</v>
      </c>
      <c r="F3502" s="140" t="s">
        <v>9505</v>
      </c>
      <c r="G3502" s="140"/>
    </row>
    <row r="3503" spans="2:7" hidden="1">
      <c r="B3503" s="141" t="s">
        <v>9506</v>
      </c>
      <c r="C3503" s="140" t="s">
        <v>9507</v>
      </c>
      <c r="D3503" s="141" t="s">
        <v>9508</v>
      </c>
      <c r="E3503" s="140" t="s">
        <v>9509</v>
      </c>
      <c r="F3503" s="140" t="s">
        <v>9510</v>
      </c>
      <c r="G3503" s="140"/>
    </row>
    <row r="3504" spans="2:7" hidden="1">
      <c r="B3504" s="141" t="s">
        <v>9511</v>
      </c>
      <c r="C3504" s="140" t="s">
        <v>9512</v>
      </c>
      <c r="D3504" s="141" t="s">
        <v>9513</v>
      </c>
      <c r="E3504" s="140" t="s">
        <v>9514</v>
      </c>
      <c r="F3504" s="140" t="s">
        <v>9515</v>
      </c>
      <c r="G3504" s="140"/>
    </row>
    <row r="3505" spans="2:7" hidden="1">
      <c r="B3505" s="141" t="s">
        <v>9516</v>
      </c>
      <c r="C3505" s="140" t="s">
        <v>9517</v>
      </c>
      <c r="D3505" s="141" t="s">
        <v>9518</v>
      </c>
      <c r="E3505" s="140"/>
      <c r="F3505" s="140"/>
      <c r="G3505" s="140"/>
    </row>
    <row r="3506" spans="2:7" hidden="1">
      <c r="B3506" s="141" t="s">
        <v>9519</v>
      </c>
      <c r="C3506" s="140"/>
      <c r="D3506" s="141" t="s">
        <v>9520</v>
      </c>
      <c r="E3506" s="140"/>
      <c r="F3506" s="140"/>
      <c r="G3506" s="140"/>
    </row>
    <row r="3507" spans="2:7" hidden="1">
      <c r="B3507" s="141" t="s">
        <v>9521</v>
      </c>
      <c r="C3507" s="141"/>
      <c r="D3507" s="141" t="s">
        <v>9522</v>
      </c>
      <c r="E3507" s="141"/>
      <c r="F3507" s="140"/>
      <c r="G3507" s="140"/>
    </row>
    <row r="3508" spans="2:7" hidden="1">
      <c r="B3508" s="141" t="s">
        <v>9523</v>
      </c>
      <c r="C3508" s="140"/>
      <c r="D3508" s="141" t="s">
        <v>1454</v>
      </c>
      <c r="E3508" s="140"/>
      <c r="F3508" s="140"/>
      <c r="G3508" s="140"/>
    </row>
    <row r="3509" spans="2:7" hidden="1">
      <c r="B3509" s="141" t="s">
        <v>9524</v>
      </c>
      <c r="C3509" s="140"/>
      <c r="D3509" s="141" t="s">
        <v>9525</v>
      </c>
      <c r="E3509" s="140"/>
      <c r="F3509" s="140"/>
      <c r="G3509" s="140"/>
    </row>
    <row r="3510" spans="2:7" hidden="1">
      <c r="B3510" s="141" t="s">
        <v>9526</v>
      </c>
      <c r="C3510" s="140"/>
      <c r="D3510" s="141" t="s">
        <v>7537</v>
      </c>
      <c r="E3510" s="140"/>
      <c r="F3510" s="140"/>
      <c r="G3510" s="140"/>
    </row>
    <row r="3511" spans="2:7" hidden="1">
      <c r="B3511" s="141" t="s">
        <v>9527</v>
      </c>
      <c r="C3511" s="141"/>
      <c r="D3511" s="141" t="s">
        <v>9528</v>
      </c>
      <c r="E3511" s="141"/>
      <c r="F3511" s="141"/>
      <c r="G3511" s="140"/>
    </row>
    <row r="3512" spans="2:7" hidden="1">
      <c r="B3512" s="141" t="s">
        <v>9529</v>
      </c>
      <c r="C3512" s="140"/>
      <c r="D3512" s="141" t="s">
        <v>9530</v>
      </c>
      <c r="E3512" s="140"/>
      <c r="F3512" s="140"/>
      <c r="G3512" s="140"/>
    </row>
    <row r="3513" spans="2:7" hidden="1">
      <c r="B3513" s="141" t="s">
        <v>9531</v>
      </c>
      <c r="C3513" s="140"/>
      <c r="D3513" s="141" t="s">
        <v>9532</v>
      </c>
      <c r="E3513" s="140"/>
      <c r="F3513" s="140"/>
      <c r="G3513" s="140"/>
    </row>
    <row r="3514" spans="2:7" hidden="1">
      <c r="B3514" s="140" t="s">
        <v>21240</v>
      </c>
      <c r="C3514" s="140" t="s">
        <v>21241</v>
      </c>
      <c r="D3514" s="140" t="s">
        <v>21226</v>
      </c>
      <c r="E3514" s="142" t="s">
        <v>21242</v>
      </c>
      <c r="F3514" s="142"/>
      <c r="G3514" s="140"/>
    </row>
    <row r="3515" spans="2:7" hidden="1">
      <c r="B3515" s="141" t="s">
        <v>21747</v>
      </c>
      <c r="C3515" s="141"/>
      <c r="D3515" s="141" t="s">
        <v>8611</v>
      </c>
      <c r="E3515" s="141" t="s">
        <v>9533</v>
      </c>
      <c r="F3515" s="140" t="s">
        <v>9534</v>
      </c>
      <c r="G3515" s="140"/>
    </row>
    <row r="3516" spans="2:7" hidden="1">
      <c r="B3516" s="141" t="s">
        <v>9535</v>
      </c>
      <c r="C3516" s="140" t="s">
        <v>9536</v>
      </c>
      <c r="D3516" s="141" t="s">
        <v>9537</v>
      </c>
      <c r="E3516" s="140" t="s">
        <v>9538</v>
      </c>
      <c r="F3516" s="140" t="s">
        <v>9539</v>
      </c>
      <c r="G3516" s="140"/>
    </row>
    <row r="3517" spans="2:7" hidden="1">
      <c r="B3517" s="141" t="s">
        <v>9540</v>
      </c>
      <c r="C3517" s="140"/>
      <c r="D3517" s="141" t="s">
        <v>9541</v>
      </c>
      <c r="E3517" s="140"/>
      <c r="F3517" s="140"/>
      <c r="G3517" s="140"/>
    </row>
    <row r="3518" spans="2:7" hidden="1">
      <c r="B3518" s="141" t="s">
        <v>9542</v>
      </c>
      <c r="C3518" s="140" t="s">
        <v>9543</v>
      </c>
      <c r="D3518" s="141" t="s">
        <v>9544</v>
      </c>
      <c r="E3518" s="140"/>
      <c r="F3518" s="140"/>
      <c r="G3518" s="140"/>
    </row>
    <row r="3519" spans="2:7" hidden="1">
      <c r="B3519" s="141" t="s">
        <v>9545</v>
      </c>
      <c r="C3519" s="140" t="s">
        <v>9546</v>
      </c>
      <c r="D3519" s="141" t="s">
        <v>2612</v>
      </c>
      <c r="E3519" s="140" t="s">
        <v>9547</v>
      </c>
      <c r="F3519" s="140" t="s">
        <v>9548</v>
      </c>
      <c r="G3519" s="140"/>
    </row>
    <row r="3520" spans="2:7" hidden="1">
      <c r="B3520" s="140" t="s">
        <v>9549</v>
      </c>
      <c r="C3520" s="140" t="s">
        <v>9550</v>
      </c>
      <c r="D3520" s="140" t="s">
        <v>9551</v>
      </c>
      <c r="E3520" s="142"/>
      <c r="F3520" s="142"/>
      <c r="G3520" s="140"/>
    </row>
    <row r="3521" spans="2:7" hidden="1">
      <c r="B3521" s="141" t="s">
        <v>9552</v>
      </c>
      <c r="C3521" s="140"/>
      <c r="D3521" s="141" t="s">
        <v>9553</v>
      </c>
      <c r="E3521" s="140"/>
      <c r="F3521" s="140"/>
      <c r="G3521" s="140"/>
    </row>
    <row r="3522" spans="2:7" hidden="1">
      <c r="B3522" s="141" t="s">
        <v>9554</v>
      </c>
      <c r="C3522" s="140"/>
      <c r="D3522" s="141" t="s">
        <v>9555</v>
      </c>
      <c r="E3522" s="140"/>
      <c r="F3522" s="140"/>
      <c r="G3522" s="140"/>
    </row>
    <row r="3523" spans="2:7" hidden="1">
      <c r="B3523" s="141" t="s">
        <v>21748</v>
      </c>
      <c r="C3523" s="140"/>
      <c r="D3523" s="140" t="s">
        <v>9556</v>
      </c>
      <c r="E3523" s="140"/>
      <c r="F3523" s="140"/>
      <c r="G3523" s="140"/>
    </row>
    <row r="3524" spans="2:7" hidden="1">
      <c r="B3524" s="141" t="s">
        <v>9557</v>
      </c>
      <c r="C3524" s="140"/>
      <c r="D3524" s="141" t="s">
        <v>9558</v>
      </c>
      <c r="E3524" s="140"/>
      <c r="F3524" s="140"/>
      <c r="G3524" s="140"/>
    </row>
    <row r="3525" spans="2:7" hidden="1">
      <c r="B3525" s="141" t="s">
        <v>9559</v>
      </c>
      <c r="C3525" s="140"/>
      <c r="D3525" s="141" t="s">
        <v>9485</v>
      </c>
      <c r="E3525" s="140"/>
      <c r="F3525" s="140"/>
      <c r="G3525" s="140"/>
    </row>
    <row r="3526" spans="2:7" hidden="1">
      <c r="B3526" s="141" t="s">
        <v>9560</v>
      </c>
      <c r="C3526" s="140"/>
      <c r="D3526" s="141" t="s">
        <v>9561</v>
      </c>
      <c r="E3526" s="140"/>
      <c r="F3526" s="140"/>
      <c r="G3526" s="140"/>
    </row>
    <row r="3527" spans="2:7" hidden="1">
      <c r="B3527" s="141" t="s">
        <v>9562</v>
      </c>
      <c r="C3527" s="141"/>
      <c r="D3527" s="141" t="s">
        <v>4686</v>
      </c>
      <c r="E3527" s="141"/>
      <c r="F3527" s="140"/>
      <c r="G3527" s="140"/>
    </row>
    <row r="3528" spans="2:7" hidden="1">
      <c r="B3528" s="141" t="s">
        <v>9563</v>
      </c>
      <c r="C3528" s="140"/>
      <c r="D3528" s="141" t="s">
        <v>1871</v>
      </c>
      <c r="E3528" s="140"/>
      <c r="F3528" s="140"/>
      <c r="G3528" s="140"/>
    </row>
    <row r="3529" spans="2:7" hidden="1">
      <c r="B3529" s="141" t="s">
        <v>9564</v>
      </c>
      <c r="C3529" s="140"/>
      <c r="D3529" s="141" t="s">
        <v>9565</v>
      </c>
      <c r="E3529" s="140"/>
      <c r="F3529" s="140"/>
      <c r="G3529" s="140"/>
    </row>
    <row r="3530" spans="2:7" hidden="1">
      <c r="B3530" s="141" t="s">
        <v>9566</v>
      </c>
      <c r="C3530" s="140"/>
      <c r="D3530" s="141" t="s">
        <v>9567</v>
      </c>
      <c r="E3530" s="140"/>
      <c r="F3530" s="140"/>
      <c r="G3530" s="140"/>
    </row>
    <row r="3531" spans="2:7" hidden="1">
      <c r="B3531" s="141" t="s">
        <v>9568</v>
      </c>
      <c r="C3531" s="140"/>
      <c r="D3531" s="141" t="s">
        <v>9569</v>
      </c>
      <c r="E3531" s="140"/>
      <c r="F3531" s="140"/>
      <c r="G3531" s="140"/>
    </row>
    <row r="3532" spans="2:7" hidden="1">
      <c r="B3532" s="141" t="s">
        <v>9570</v>
      </c>
      <c r="C3532" s="140" t="s">
        <v>9571</v>
      </c>
      <c r="D3532" s="141" t="s">
        <v>9572</v>
      </c>
      <c r="E3532" s="140" t="s">
        <v>9573</v>
      </c>
      <c r="F3532" s="140"/>
      <c r="G3532" s="140"/>
    </row>
    <row r="3533" spans="2:7" hidden="1">
      <c r="B3533" s="141" t="s">
        <v>9574</v>
      </c>
      <c r="C3533" s="140" t="s">
        <v>9575</v>
      </c>
      <c r="D3533" s="141" t="s">
        <v>9576</v>
      </c>
      <c r="E3533" s="140" t="s">
        <v>20340</v>
      </c>
      <c r="F3533" s="140"/>
      <c r="G3533" s="140" t="s">
        <v>20341</v>
      </c>
    </row>
    <row r="3534" spans="2:7" hidden="1">
      <c r="B3534" s="141" t="s">
        <v>9577</v>
      </c>
      <c r="C3534" s="140"/>
      <c r="D3534" s="141" t="s">
        <v>9569</v>
      </c>
      <c r="E3534" s="140"/>
      <c r="F3534" s="140"/>
      <c r="G3534" s="140"/>
    </row>
    <row r="3535" spans="2:7" hidden="1">
      <c r="B3535" s="141" t="s">
        <v>9578</v>
      </c>
      <c r="C3535" s="140"/>
      <c r="D3535" s="141" t="s">
        <v>9569</v>
      </c>
      <c r="E3535" s="140"/>
      <c r="F3535" s="140"/>
      <c r="G3535" s="140"/>
    </row>
    <row r="3536" spans="2:7" hidden="1">
      <c r="B3536" s="141" t="s">
        <v>9579</v>
      </c>
      <c r="C3536" s="140"/>
      <c r="D3536" s="141" t="s">
        <v>7154</v>
      </c>
      <c r="E3536" s="140"/>
      <c r="F3536" s="140"/>
      <c r="G3536" s="140"/>
    </row>
    <row r="3537" spans="2:7" hidden="1">
      <c r="B3537" s="141" t="s">
        <v>9580</v>
      </c>
      <c r="C3537" s="140"/>
      <c r="D3537" s="141" t="s">
        <v>3961</v>
      </c>
      <c r="E3537" s="140"/>
      <c r="F3537" s="140"/>
      <c r="G3537" s="140"/>
    </row>
    <row r="3538" spans="2:7" hidden="1">
      <c r="B3538" s="140" t="s">
        <v>9581</v>
      </c>
      <c r="C3538" s="140"/>
      <c r="D3538" s="140" t="s">
        <v>9582</v>
      </c>
      <c r="E3538" s="142"/>
      <c r="F3538" s="142"/>
      <c r="G3538" s="140"/>
    </row>
    <row r="3539" spans="2:7" hidden="1">
      <c r="B3539" s="140" t="s">
        <v>9583</v>
      </c>
      <c r="C3539" s="140"/>
      <c r="D3539" s="140" t="s">
        <v>9584</v>
      </c>
      <c r="E3539" s="142"/>
      <c r="F3539" s="142"/>
      <c r="G3539" s="140"/>
    </row>
    <row r="3540" spans="2:7" hidden="1">
      <c r="B3540" s="141" t="s">
        <v>9585</v>
      </c>
      <c r="C3540" s="140" t="s">
        <v>9586</v>
      </c>
      <c r="D3540" s="141" t="s">
        <v>9443</v>
      </c>
      <c r="E3540" s="140" t="s">
        <v>9587</v>
      </c>
      <c r="F3540" s="140" t="s">
        <v>9588</v>
      </c>
      <c r="G3540" s="140"/>
    </row>
    <row r="3541" spans="2:7" hidden="1">
      <c r="B3541" s="140" t="s">
        <v>9589</v>
      </c>
      <c r="C3541" s="140"/>
      <c r="D3541" s="140" t="s">
        <v>9469</v>
      </c>
      <c r="E3541" s="140"/>
      <c r="F3541" s="140"/>
      <c r="G3541" s="140"/>
    </row>
    <row r="3542" spans="2:7" hidden="1">
      <c r="B3542" s="141" t="s">
        <v>9590</v>
      </c>
      <c r="C3542" s="140" t="s">
        <v>9591</v>
      </c>
      <c r="D3542" s="141" t="s">
        <v>9592</v>
      </c>
      <c r="E3542" s="140"/>
      <c r="F3542" s="140"/>
      <c r="G3542" s="140"/>
    </row>
    <row r="3543" spans="2:7" hidden="1">
      <c r="B3543" s="140" t="s">
        <v>9593</v>
      </c>
      <c r="C3543" s="140" t="s">
        <v>9594</v>
      </c>
      <c r="D3543" s="140" t="s">
        <v>4970</v>
      </c>
      <c r="E3543" s="142"/>
      <c r="F3543" s="142"/>
      <c r="G3543" s="140" t="s">
        <v>9595</v>
      </c>
    </row>
    <row r="3544" spans="2:7" hidden="1">
      <c r="B3544" s="140" t="s">
        <v>9596</v>
      </c>
      <c r="C3544" s="140" t="s">
        <v>9597</v>
      </c>
      <c r="D3544" s="140" t="s">
        <v>9598</v>
      </c>
      <c r="E3544" s="142" t="s">
        <v>9599</v>
      </c>
      <c r="F3544" s="142" t="s">
        <v>9600</v>
      </c>
      <c r="G3544" s="140"/>
    </row>
    <row r="3545" spans="2:7" hidden="1">
      <c r="B3545" s="140" t="s">
        <v>9601</v>
      </c>
      <c r="C3545" s="140"/>
      <c r="D3545" s="140" t="s">
        <v>9602</v>
      </c>
      <c r="E3545" s="140"/>
      <c r="F3545" s="140"/>
      <c r="G3545" s="140"/>
    </row>
    <row r="3546" spans="2:7" hidden="1">
      <c r="B3546" s="140" t="s">
        <v>9603</v>
      </c>
      <c r="C3546" s="140"/>
      <c r="D3546" s="140" t="s">
        <v>2538</v>
      </c>
      <c r="E3546" s="142"/>
      <c r="F3546" s="142"/>
      <c r="G3546" s="140"/>
    </row>
    <row r="3547" spans="2:7" hidden="1">
      <c r="B3547" s="140" t="s">
        <v>9604</v>
      </c>
      <c r="C3547" s="140"/>
      <c r="D3547" s="141" t="s">
        <v>9605</v>
      </c>
      <c r="E3547" s="140"/>
      <c r="F3547" s="140"/>
      <c r="G3547" s="140"/>
    </row>
    <row r="3548" spans="2:7" hidden="1">
      <c r="B3548" s="140" t="s">
        <v>9606</v>
      </c>
      <c r="C3548" s="140"/>
      <c r="D3548" s="140" t="s">
        <v>9607</v>
      </c>
      <c r="E3548" s="142"/>
      <c r="F3548" s="142"/>
      <c r="G3548" s="140"/>
    </row>
    <row r="3549" spans="2:7" hidden="1">
      <c r="B3549" s="140" t="s">
        <v>9608</v>
      </c>
      <c r="C3549" s="140"/>
      <c r="D3549" s="140" t="s">
        <v>9609</v>
      </c>
      <c r="E3549" s="142"/>
      <c r="F3549" s="142"/>
      <c r="G3549" s="140"/>
    </row>
    <row r="3550" spans="2:7" hidden="1">
      <c r="B3550" s="141" t="s">
        <v>9610</v>
      </c>
      <c r="C3550" s="141" t="s">
        <v>9611</v>
      </c>
      <c r="D3550" s="141" t="s">
        <v>9612</v>
      </c>
      <c r="E3550" s="141" t="s">
        <v>9613</v>
      </c>
      <c r="F3550" s="140" t="s">
        <v>9614</v>
      </c>
      <c r="G3550" s="140"/>
    </row>
    <row r="3551" spans="2:7" hidden="1">
      <c r="B3551" s="141" t="s">
        <v>9615</v>
      </c>
      <c r="C3551" s="140" t="s">
        <v>9616</v>
      </c>
      <c r="D3551" s="141" t="s">
        <v>9617</v>
      </c>
      <c r="E3551" s="140" t="s">
        <v>9618</v>
      </c>
      <c r="F3551" s="140" t="s">
        <v>9619</v>
      </c>
      <c r="G3551" s="140"/>
    </row>
    <row r="3552" spans="2:7" hidden="1">
      <c r="B3552" s="140" t="s">
        <v>9620</v>
      </c>
      <c r="C3552" s="140"/>
      <c r="D3552" s="140" t="s">
        <v>9621</v>
      </c>
      <c r="E3552" s="142"/>
      <c r="F3552" s="142"/>
      <c r="G3552" s="140"/>
    </row>
    <row r="3553" spans="2:7" hidden="1">
      <c r="B3553" s="140" t="s">
        <v>9622</v>
      </c>
      <c r="C3553" s="140" t="s">
        <v>9623</v>
      </c>
      <c r="D3553" s="140" t="s">
        <v>9624</v>
      </c>
      <c r="E3553" s="142"/>
      <c r="F3553" s="142"/>
      <c r="G3553" s="140" t="s">
        <v>9625</v>
      </c>
    </row>
    <row r="3554" spans="2:7" hidden="1">
      <c r="B3554" s="141" t="s">
        <v>9626</v>
      </c>
      <c r="C3554" s="140" t="s">
        <v>9627</v>
      </c>
      <c r="D3554" s="141" t="s">
        <v>9628</v>
      </c>
      <c r="E3554" s="140"/>
      <c r="F3554" s="140"/>
      <c r="G3554" s="140" t="s">
        <v>9629</v>
      </c>
    </row>
    <row r="3555" spans="2:7" hidden="1">
      <c r="B3555" s="141" t="s">
        <v>9630</v>
      </c>
      <c r="C3555" s="140" t="s">
        <v>9631</v>
      </c>
      <c r="D3555" s="141" t="s">
        <v>8247</v>
      </c>
      <c r="E3555" s="140"/>
      <c r="F3555" s="140"/>
      <c r="G3555" s="140"/>
    </row>
    <row r="3556" spans="2:7" hidden="1">
      <c r="B3556" s="141" t="s">
        <v>9632</v>
      </c>
      <c r="C3556" s="140"/>
      <c r="D3556" s="141" t="s">
        <v>1213</v>
      </c>
      <c r="E3556" s="140"/>
      <c r="F3556" s="140"/>
      <c r="G3556" s="140"/>
    </row>
    <row r="3557" spans="2:7" hidden="1">
      <c r="B3557" s="141" t="s">
        <v>9633</v>
      </c>
      <c r="C3557" s="140"/>
      <c r="D3557" s="141" t="s">
        <v>9634</v>
      </c>
      <c r="E3557" s="140"/>
      <c r="F3557" s="140"/>
      <c r="G3557" s="140"/>
    </row>
    <row r="3558" spans="2:7" hidden="1">
      <c r="B3558" s="141" t="s">
        <v>21749</v>
      </c>
      <c r="C3558" s="140"/>
      <c r="D3558" s="141" t="s">
        <v>9635</v>
      </c>
      <c r="E3558" s="140"/>
      <c r="F3558" s="140"/>
      <c r="G3558" s="140"/>
    </row>
    <row r="3559" spans="2:7" hidden="1">
      <c r="B3559" s="141" t="s">
        <v>9636</v>
      </c>
      <c r="C3559" s="140"/>
      <c r="D3559" s="141" t="s">
        <v>9637</v>
      </c>
      <c r="E3559" s="140"/>
      <c r="F3559" s="140"/>
      <c r="G3559" s="140"/>
    </row>
    <row r="3560" spans="2:7" hidden="1">
      <c r="B3560" s="140" t="s">
        <v>9638</v>
      </c>
      <c r="C3560" s="140"/>
      <c r="D3560" s="140" t="s">
        <v>4710</v>
      </c>
      <c r="E3560" s="142"/>
      <c r="F3560" s="142"/>
      <c r="G3560" s="140"/>
    </row>
    <row r="3561" spans="2:7" hidden="1">
      <c r="B3561" s="141" t="s">
        <v>9639</v>
      </c>
      <c r="C3561" s="140"/>
      <c r="D3561" s="141" t="s">
        <v>9310</v>
      </c>
      <c r="E3561" s="140"/>
      <c r="F3561" s="140"/>
      <c r="G3561" s="140"/>
    </row>
    <row r="3562" spans="2:7" hidden="1">
      <c r="B3562" s="141" t="s">
        <v>9640</v>
      </c>
      <c r="C3562" s="140"/>
      <c r="D3562" s="141" t="s">
        <v>9641</v>
      </c>
      <c r="E3562" s="140"/>
      <c r="F3562" s="140"/>
      <c r="G3562" s="140"/>
    </row>
    <row r="3563" spans="2:7" hidden="1">
      <c r="B3563" s="141" t="s">
        <v>9642</v>
      </c>
      <c r="C3563" s="140"/>
      <c r="D3563" s="141" t="s">
        <v>8393</v>
      </c>
      <c r="E3563" s="140"/>
      <c r="F3563" s="140"/>
      <c r="G3563" s="140"/>
    </row>
    <row r="3564" spans="2:7" hidden="1">
      <c r="B3564" s="141" t="s">
        <v>21750</v>
      </c>
      <c r="C3564" s="140" t="s">
        <v>9643</v>
      </c>
      <c r="D3564" s="141" t="s">
        <v>9644</v>
      </c>
      <c r="E3564" s="140" t="s">
        <v>9645</v>
      </c>
      <c r="F3564" s="140" t="s">
        <v>9646</v>
      </c>
      <c r="G3564" s="140" t="s">
        <v>9647</v>
      </c>
    </row>
    <row r="3565" spans="2:7" hidden="1">
      <c r="B3565" s="141" t="s">
        <v>21751</v>
      </c>
      <c r="C3565" s="140"/>
      <c r="D3565" s="141" t="s">
        <v>9648</v>
      </c>
      <c r="E3565" s="140"/>
      <c r="F3565" s="140"/>
      <c r="G3565" s="140"/>
    </row>
    <row r="3566" spans="2:7" hidden="1">
      <c r="B3566" s="141" t="s">
        <v>9649</v>
      </c>
      <c r="C3566" s="140"/>
      <c r="D3566" s="141" t="s">
        <v>9650</v>
      </c>
      <c r="E3566" s="140"/>
      <c r="F3566" s="140"/>
      <c r="G3566" s="140"/>
    </row>
    <row r="3567" spans="2:7" hidden="1">
      <c r="B3567" s="141" t="s">
        <v>9651</v>
      </c>
      <c r="C3567" s="140"/>
      <c r="D3567" s="141" t="s">
        <v>9652</v>
      </c>
      <c r="E3567" s="140"/>
      <c r="F3567" s="140"/>
      <c r="G3567" s="140" t="s">
        <v>9653</v>
      </c>
    </row>
    <row r="3568" spans="2:7" hidden="1">
      <c r="B3568" s="141" t="s">
        <v>9654</v>
      </c>
      <c r="C3568" s="140"/>
      <c r="D3568" s="141" t="s">
        <v>9655</v>
      </c>
      <c r="E3568" s="140"/>
      <c r="F3568" s="140"/>
      <c r="G3568" s="140"/>
    </row>
    <row r="3569" spans="2:7" hidden="1">
      <c r="B3569" s="141" t="s">
        <v>9656</v>
      </c>
      <c r="C3569" s="141" t="s">
        <v>9657</v>
      </c>
      <c r="D3569" s="141" t="s">
        <v>9658</v>
      </c>
      <c r="E3569" s="140" t="s">
        <v>9659</v>
      </c>
      <c r="F3569" s="140" t="s">
        <v>9660</v>
      </c>
      <c r="G3569" s="140" t="s">
        <v>9661</v>
      </c>
    </row>
    <row r="3570" spans="2:7" hidden="1">
      <c r="B3570" s="141" t="s">
        <v>9662</v>
      </c>
      <c r="C3570" s="140" t="s">
        <v>9663</v>
      </c>
      <c r="D3570" s="141" t="s">
        <v>9664</v>
      </c>
      <c r="E3570" s="140"/>
      <c r="F3570" s="140"/>
      <c r="G3570" s="140"/>
    </row>
    <row r="3571" spans="2:7" hidden="1">
      <c r="B3571" s="140" t="s">
        <v>21048</v>
      </c>
      <c r="C3571" s="140" t="s">
        <v>21049</v>
      </c>
      <c r="D3571" s="140" t="s">
        <v>11980</v>
      </c>
      <c r="E3571" s="142"/>
      <c r="F3571" s="142"/>
      <c r="G3571" s="140"/>
    </row>
    <row r="3572" spans="2:7" hidden="1">
      <c r="B3572" s="141" t="s">
        <v>20140</v>
      </c>
      <c r="C3572" s="140" t="s">
        <v>20141</v>
      </c>
      <c r="D3572" s="141" t="s">
        <v>20142</v>
      </c>
      <c r="E3572" s="140" t="s">
        <v>20143</v>
      </c>
      <c r="F3572" s="140" t="s">
        <v>20144</v>
      </c>
      <c r="G3572" s="140"/>
    </row>
    <row r="3573" spans="2:7" hidden="1">
      <c r="B3573" s="141" t="s">
        <v>9665</v>
      </c>
      <c r="C3573" s="140" t="s">
        <v>9666</v>
      </c>
      <c r="D3573" s="141" t="s">
        <v>9667</v>
      </c>
      <c r="E3573" s="140" t="s">
        <v>9668</v>
      </c>
      <c r="F3573" s="140" t="s">
        <v>9669</v>
      </c>
      <c r="G3573" s="140"/>
    </row>
    <row r="3574" spans="2:7" hidden="1">
      <c r="B3574" s="141" t="s">
        <v>9670</v>
      </c>
      <c r="C3574" s="140"/>
      <c r="D3574" s="141" t="s">
        <v>9671</v>
      </c>
      <c r="E3574" s="140"/>
      <c r="F3574" s="140"/>
      <c r="G3574" s="140"/>
    </row>
    <row r="3575" spans="2:7" hidden="1">
      <c r="B3575" s="141" t="s">
        <v>9672</v>
      </c>
      <c r="C3575" s="140"/>
      <c r="D3575" s="141" t="s">
        <v>9673</v>
      </c>
      <c r="E3575" s="140"/>
      <c r="F3575" s="140"/>
      <c r="G3575" s="140"/>
    </row>
    <row r="3576" spans="2:7" hidden="1">
      <c r="B3576" s="141" t="s">
        <v>9674</v>
      </c>
      <c r="C3576" s="140" t="s">
        <v>9675</v>
      </c>
      <c r="D3576" s="141" t="s">
        <v>9676</v>
      </c>
      <c r="E3576" s="140"/>
      <c r="F3576" s="140"/>
      <c r="G3576" s="140" t="s">
        <v>9677</v>
      </c>
    </row>
    <row r="3577" spans="2:7" hidden="1">
      <c r="B3577" s="140" t="s">
        <v>21037</v>
      </c>
      <c r="C3577" s="140" t="s">
        <v>21038</v>
      </c>
      <c r="D3577" s="140" t="s">
        <v>21039</v>
      </c>
      <c r="E3577" s="142" t="s">
        <v>21040</v>
      </c>
      <c r="F3577" s="142"/>
      <c r="G3577" s="140"/>
    </row>
    <row r="3578" spans="2:7" hidden="1">
      <c r="B3578" s="141" t="s">
        <v>9678</v>
      </c>
      <c r="C3578" s="140" t="s">
        <v>9679</v>
      </c>
      <c r="D3578" s="141" t="s">
        <v>9680</v>
      </c>
      <c r="E3578" s="140" t="s">
        <v>9681</v>
      </c>
      <c r="F3578" s="140" t="s">
        <v>9682</v>
      </c>
      <c r="G3578" s="140"/>
    </row>
    <row r="3579" spans="2:7" hidden="1">
      <c r="B3579" s="140" t="s">
        <v>21362</v>
      </c>
      <c r="C3579" s="140" t="s">
        <v>21363</v>
      </c>
      <c r="D3579" s="140" t="s">
        <v>21364</v>
      </c>
      <c r="E3579" s="142" t="s">
        <v>21365</v>
      </c>
      <c r="F3579" s="142"/>
      <c r="G3579" s="140"/>
    </row>
    <row r="3580" spans="2:7" hidden="1">
      <c r="B3580" s="141" t="s">
        <v>9683</v>
      </c>
      <c r="C3580" s="140" t="s">
        <v>9684</v>
      </c>
      <c r="D3580" s="141" t="s">
        <v>9206</v>
      </c>
      <c r="E3580" s="140" t="s">
        <v>9685</v>
      </c>
      <c r="F3580" s="140"/>
      <c r="G3580" s="140"/>
    </row>
    <row r="3581" spans="2:7" hidden="1">
      <c r="B3581" s="140" t="s">
        <v>9686</v>
      </c>
      <c r="C3581" s="140"/>
      <c r="D3581" s="140" t="s">
        <v>9687</v>
      </c>
      <c r="E3581" s="142"/>
      <c r="F3581" s="142"/>
      <c r="G3581" s="140"/>
    </row>
    <row r="3582" spans="2:7" hidden="1">
      <c r="B3582" s="140" t="s">
        <v>9688</v>
      </c>
      <c r="C3582" s="140"/>
      <c r="D3582" s="140" t="s">
        <v>9431</v>
      </c>
      <c r="E3582" s="140"/>
      <c r="F3582" s="140"/>
      <c r="G3582" s="140"/>
    </row>
    <row r="3583" spans="2:7" hidden="1">
      <c r="B3583" s="140" t="s">
        <v>21752</v>
      </c>
      <c r="C3583" s="140"/>
      <c r="D3583" s="140" t="s">
        <v>9365</v>
      </c>
      <c r="E3583" s="142"/>
      <c r="F3583" s="142"/>
      <c r="G3583" s="140"/>
    </row>
    <row r="3584" spans="2:7" hidden="1">
      <c r="B3584" s="141" t="s">
        <v>9690</v>
      </c>
      <c r="C3584" s="140"/>
      <c r="D3584" s="141" t="s">
        <v>9691</v>
      </c>
      <c r="E3584" s="140"/>
      <c r="F3584" s="140"/>
      <c r="G3584" s="140"/>
    </row>
    <row r="3585" spans="2:7" hidden="1">
      <c r="B3585" s="141" t="s">
        <v>21753</v>
      </c>
      <c r="C3585" s="141"/>
      <c r="D3585" s="141" t="s">
        <v>9689</v>
      </c>
      <c r="E3585" s="141"/>
      <c r="F3585" s="141"/>
      <c r="G3585" s="140"/>
    </row>
    <row r="3586" spans="2:7" hidden="1">
      <c r="B3586" s="141" t="s">
        <v>9692</v>
      </c>
      <c r="C3586" s="140" t="s">
        <v>9693</v>
      </c>
      <c r="D3586" s="141" t="s">
        <v>2168</v>
      </c>
      <c r="E3586" s="140" t="s">
        <v>9694</v>
      </c>
      <c r="F3586" s="140"/>
      <c r="G3586" s="140"/>
    </row>
    <row r="3587" spans="2:7" hidden="1">
      <c r="B3587" s="141" t="s">
        <v>9695</v>
      </c>
      <c r="C3587" s="141" t="s">
        <v>9696</v>
      </c>
      <c r="D3587" s="141" t="s">
        <v>9697</v>
      </c>
      <c r="E3587" s="141" t="s">
        <v>9698</v>
      </c>
      <c r="F3587" s="140" t="s">
        <v>9699</v>
      </c>
      <c r="G3587" s="140"/>
    </row>
    <row r="3588" spans="2:7" hidden="1">
      <c r="B3588" s="141" t="s">
        <v>9700</v>
      </c>
      <c r="C3588" s="141"/>
      <c r="D3588" s="141" t="s">
        <v>9701</v>
      </c>
      <c r="E3588" s="140"/>
      <c r="F3588" s="140"/>
      <c r="G3588" s="140"/>
    </row>
    <row r="3589" spans="2:7" hidden="1">
      <c r="B3589" s="141" t="s">
        <v>9702</v>
      </c>
      <c r="C3589" s="140"/>
      <c r="D3589" s="141" t="s">
        <v>9703</v>
      </c>
      <c r="E3589" s="140"/>
      <c r="F3589" s="140"/>
      <c r="G3589" s="140"/>
    </row>
    <row r="3590" spans="2:7" hidden="1">
      <c r="B3590" s="141" t="s">
        <v>20145</v>
      </c>
      <c r="C3590" s="140" t="s">
        <v>20146</v>
      </c>
      <c r="D3590" s="141" t="s">
        <v>20147</v>
      </c>
      <c r="E3590" s="140"/>
      <c r="F3590" s="140"/>
      <c r="G3590" s="140"/>
    </row>
    <row r="3591" spans="2:7" hidden="1">
      <c r="B3591" s="141" t="s">
        <v>9704</v>
      </c>
      <c r="C3591" s="140"/>
      <c r="D3591" s="141" t="s">
        <v>9705</v>
      </c>
      <c r="E3591" s="140"/>
      <c r="F3591" s="140"/>
      <c r="G3591" s="140"/>
    </row>
    <row r="3592" spans="2:7" hidden="1">
      <c r="B3592" s="141" t="s">
        <v>9706</v>
      </c>
      <c r="C3592" s="141" t="s">
        <v>9707</v>
      </c>
      <c r="D3592" s="141" t="s">
        <v>9708</v>
      </c>
      <c r="E3592" s="141" t="s">
        <v>2918</v>
      </c>
      <c r="F3592" s="140"/>
      <c r="G3592" s="140"/>
    </row>
    <row r="3593" spans="2:7" hidden="1">
      <c r="B3593" s="141" t="s">
        <v>9709</v>
      </c>
      <c r="C3593" s="140" t="s">
        <v>9710</v>
      </c>
      <c r="D3593" s="141" t="s">
        <v>9711</v>
      </c>
      <c r="E3593" s="140" t="s">
        <v>9712</v>
      </c>
      <c r="F3593" s="140" t="s">
        <v>9713</v>
      </c>
      <c r="G3593" s="140"/>
    </row>
    <row r="3594" spans="2:7" hidden="1">
      <c r="B3594" s="141" t="s">
        <v>9714</v>
      </c>
      <c r="C3594" s="140" t="s">
        <v>9715</v>
      </c>
      <c r="D3594" s="141" t="s">
        <v>9716</v>
      </c>
      <c r="E3594" s="140" t="s">
        <v>9717</v>
      </c>
      <c r="F3594" s="140"/>
      <c r="G3594" s="140"/>
    </row>
    <row r="3595" spans="2:7" hidden="1">
      <c r="B3595" s="141" t="s">
        <v>9718</v>
      </c>
      <c r="C3595" s="140"/>
      <c r="D3595" s="141" t="s">
        <v>9719</v>
      </c>
      <c r="E3595" s="140"/>
      <c r="F3595" s="140"/>
      <c r="G3595" s="140"/>
    </row>
    <row r="3596" spans="2:7" hidden="1">
      <c r="B3596" s="140" t="s">
        <v>9720</v>
      </c>
      <c r="C3596" s="140"/>
      <c r="D3596" s="140" t="s">
        <v>9721</v>
      </c>
      <c r="E3596" s="142"/>
      <c r="F3596" s="142"/>
      <c r="G3596" s="140"/>
    </row>
    <row r="3597" spans="2:7" hidden="1">
      <c r="B3597" s="141" t="s">
        <v>9722</v>
      </c>
      <c r="C3597" s="140"/>
      <c r="D3597" s="141" t="s">
        <v>9723</v>
      </c>
      <c r="E3597" s="140"/>
      <c r="F3597" s="140"/>
      <c r="G3597" s="140"/>
    </row>
    <row r="3598" spans="2:7" hidden="1">
      <c r="B3598" s="141" t="s">
        <v>9724</v>
      </c>
      <c r="C3598" s="140"/>
      <c r="D3598" s="141" t="s">
        <v>9725</v>
      </c>
      <c r="E3598" s="140"/>
      <c r="F3598" s="140"/>
      <c r="G3598" s="140"/>
    </row>
    <row r="3599" spans="2:7" hidden="1">
      <c r="B3599" s="141" t="s">
        <v>9726</v>
      </c>
      <c r="C3599" s="140"/>
      <c r="D3599" s="141" t="s">
        <v>9727</v>
      </c>
      <c r="E3599" s="140"/>
      <c r="F3599" s="140"/>
      <c r="G3599" s="140"/>
    </row>
    <row r="3600" spans="2:7" hidden="1">
      <c r="B3600" s="141" t="s">
        <v>9728</v>
      </c>
      <c r="C3600" s="140"/>
      <c r="D3600" s="141" t="s">
        <v>9729</v>
      </c>
      <c r="E3600" s="140"/>
      <c r="F3600" s="140"/>
      <c r="G3600" s="140"/>
    </row>
    <row r="3601" spans="2:7" hidden="1">
      <c r="B3601" s="141" t="s">
        <v>9730</v>
      </c>
      <c r="C3601" s="140" t="s">
        <v>9731</v>
      </c>
      <c r="D3601" s="141" t="s">
        <v>9732</v>
      </c>
      <c r="E3601" s="140"/>
      <c r="F3601" s="140"/>
      <c r="G3601" s="140"/>
    </row>
    <row r="3602" spans="2:7" hidden="1">
      <c r="B3602" s="141" t="s">
        <v>9733</v>
      </c>
      <c r="C3602" s="140"/>
      <c r="D3602" s="141" t="s">
        <v>9734</v>
      </c>
      <c r="E3602" s="140"/>
      <c r="F3602" s="140"/>
      <c r="G3602" s="140"/>
    </row>
    <row r="3603" spans="2:7" hidden="1">
      <c r="B3603" s="141" t="s">
        <v>9735</v>
      </c>
      <c r="C3603" s="140" t="s">
        <v>9736</v>
      </c>
      <c r="D3603" s="141" t="s">
        <v>9737</v>
      </c>
      <c r="E3603" s="140" t="s">
        <v>9738</v>
      </c>
      <c r="F3603" s="140"/>
      <c r="G3603" s="140" t="s">
        <v>9739</v>
      </c>
    </row>
    <row r="3604" spans="2:7" hidden="1">
      <c r="B3604" s="141" t="s">
        <v>9740</v>
      </c>
      <c r="C3604" s="140"/>
      <c r="D3604" s="141" t="s">
        <v>7111</v>
      </c>
      <c r="E3604" s="140"/>
      <c r="F3604" s="140"/>
      <c r="G3604" s="140"/>
    </row>
    <row r="3605" spans="2:7" hidden="1">
      <c r="B3605" s="141" t="s">
        <v>9741</v>
      </c>
      <c r="C3605" s="141"/>
      <c r="D3605" s="141" t="s">
        <v>9742</v>
      </c>
      <c r="E3605" s="140"/>
      <c r="F3605" s="140"/>
      <c r="G3605" s="140"/>
    </row>
    <row r="3606" spans="2:7" hidden="1">
      <c r="B3606" s="141" t="s">
        <v>9743</v>
      </c>
      <c r="C3606" s="140"/>
      <c r="D3606" s="141" t="s">
        <v>4778</v>
      </c>
      <c r="E3606" s="140"/>
      <c r="F3606" s="140"/>
      <c r="G3606" s="140"/>
    </row>
    <row r="3607" spans="2:7" hidden="1">
      <c r="B3607" s="141" t="s">
        <v>9744</v>
      </c>
      <c r="C3607" s="140" t="s">
        <v>9745</v>
      </c>
      <c r="D3607" s="141" t="s">
        <v>9746</v>
      </c>
      <c r="E3607" s="140" t="s">
        <v>9747</v>
      </c>
      <c r="F3607" s="140"/>
      <c r="G3607" s="140"/>
    </row>
    <row r="3608" spans="2:7" hidden="1">
      <c r="B3608" s="141" t="s">
        <v>9748</v>
      </c>
      <c r="C3608" s="140"/>
      <c r="D3608" s="141" t="s">
        <v>9749</v>
      </c>
      <c r="E3608" s="140"/>
      <c r="F3608" s="140"/>
      <c r="G3608" s="140"/>
    </row>
    <row r="3609" spans="2:7" hidden="1">
      <c r="B3609" s="141" t="s">
        <v>9750</v>
      </c>
      <c r="C3609" s="140" t="s">
        <v>9751</v>
      </c>
      <c r="D3609" s="141" t="s">
        <v>9752</v>
      </c>
      <c r="E3609" s="140"/>
      <c r="F3609" s="140"/>
      <c r="G3609" s="140" t="s">
        <v>9753</v>
      </c>
    </row>
    <row r="3610" spans="2:7" hidden="1">
      <c r="B3610" s="140" t="s">
        <v>9754</v>
      </c>
      <c r="C3610" s="140" t="s">
        <v>9755</v>
      </c>
      <c r="D3610" s="140" t="s">
        <v>9756</v>
      </c>
      <c r="E3610" s="142"/>
      <c r="F3610" s="142"/>
      <c r="G3610" s="140"/>
    </row>
    <row r="3611" spans="2:7" hidden="1">
      <c r="B3611" s="140" t="s">
        <v>9757</v>
      </c>
      <c r="C3611" s="140" t="s">
        <v>9758</v>
      </c>
      <c r="D3611" s="140" t="s">
        <v>9759</v>
      </c>
      <c r="E3611" s="142"/>
      <c r="F3611" s="142"/>
      <c r="G3611" s="140"/>
    </row>
    <row r="3612" spans="2:7" hidden="1">
      <c r="B3612" s="141" t="s">
        <v>9760</v>
      </c>
      <c r="C3612" s="140"/>
      <c r="D3612" s="141" t="s">
        <v>9761</v>
      </c>
      <c r="E3612" s="140"/>
      <c r="F3612" s="140"/>
      <c r="G3612" s="140"/>
    </row>
    <row r="3613" spans="2:7" hidden="1">
      <c r="B3613" s="141" t="s">
        <v>9762</v>
      </c>
      <c r="C3613" s="140"/>
      <c r="D3613" s="141" t="s">
        <v>9763</v>
      </c>
      <c r="E3613" s="140"/>
      <c r="F3613" s="140"/>
      <c r="G3613" s="140"/>
    </row>
    <row r="3614" spans="2:7" hidden="1">
      <c r="B3614" s="141" t="s">
        <v>21754</v>
      </c>
      <c r="C3614" s="140"/>
      <c r="D3614" s="141" t="s">
        <v>9764</v>
      </c>
      <c r="E3614" s="140"/>
      <c r="F3614" s="140"/>
      <c r="G3614" s="140"/>
    </row>
    <row r="3615" spans="2:7" hidden="1">
      <c r="B3615" s="140" t="s">
        <v>9765</v>
      </c>
      <c r="C3615" s="140"/>
      <c r="D3615" s="140" t="s">
        <v>9766</v>
      </c>
      <c r="E3615" s="142"/>
      <c r="F3615" s="142"/>
      <c r="G3615" s="140"/>
    </row>
    <row r="3616" spans="2:7" hidden="1">
      <c r="B3616" s="140" t="s">
        <v>9767</v>
      </c>
      <c r="C3616" s="140" t="s">
        <v>9768</v>
      </c>
      <c r="D3616" s="140" t="s">
        <v>9769</v>
      </c>
      <c r="E3616" s="142" t="s">
        <v>9770</v>
      </c>
      <c r="F3616" s="142"/>
      <c r="G3616" s="140"/>
    </row>
    <row r="3617" spans="2:7" hidden="1">
      <c r="B3617" s="141" t="s">
        <v>9771</v>
      </c>
      <c r="C3617" s="140"/>
      <c r="D3617" s="141" t="s">
        <v>9772</v>
      </c>
      <c r="E3617" s="140"/>
      <c r="F3617" s="140"/>
      <c r="G3617" s="140"/>
    </row>
    <row r="3618" spans="2:7" hidden="1">
      <c r="B3618" s="141" t="s">
        <v>9773</v>
      </c>
      <c r="C3618" s="140"/>
      <c r="D3618" s="141" t="s">
        <v>4778</v>
      </c>
      <c r="E3618" s="140"/>
      <c r="F3618" s="140"/>
      <c r="G3618" s="140"/>
    </row>
    <row r="3619" spans="2:7" hidden="1">
      <c r="B3619" s="140" t="s">
        <v>9774</v>
      </c>
      <c r="C3619" s="140"/>
      <c r="D3619" s="140" t="s">
        <v>6890</v>
      </c>
      <c r="E3619" s="140"/>
      <c r="F3619" s="140"/>
      <c r="G3619" s="140"/>
    </row>
    <row r="3620" spans="2:7" hidden="1">
      <c r="B3620" s="140" t="s">
        <v>9775</v>
      </c>
      <c r="C3620" s="140"/>
      <c r="D3620" s="140" t="s">
        <v>9776</v>
      </c>
      <c r="E3620" s="142"/>
      <c r="F3620" s="142"/>
      <c r="G3620" s="140"/>
    </row>
    <row r="3621" spans="2:7" hidden="1">
      <c r="B3621" s="140" t="s">
        <v>9777</v>
      </c>
      <c r="C3621" s="140" t="s">
        <v>9778</v>
      </c>
      <c r="D3621" s="140" t="s">
        <v>9779</v>
      </c>
      <c r="E3621" s="140" t="s">
        <v>9780</v>
      </c>
      <c r="F3621" s="140" t="s">
        <v>9781</v>
      </c>
      <c r="G3621" s="140"/>
    </row>
    <row r="3622" spans="2:7" hidden="1">
      <c r="B3622" s="140" t="s">
        <v>9782</v>
      </c>
      <c r="C3622" s="140" t="s">
        <v>9783</v>
      </c>
      <c r="D3622" s="140" t="s">
        <v>9784</v>
      </c>
      <c r="E3622" s="142" t="s">
        <v>9785</v>
      </c>
      <c r="F3622" s="142" t="s">
        <v>9786</v>
      </c>
      <c r="G3622" s="140"/>
    </row>
    <row r="3623" spans="2:7" hidden="1">
      <c r="B3623" s="141" t="s">
        <v>9787</v>
      </c>
      <c r="C3623" s="140"/>
      <c r="D3623" s="141" t="s">
        <v>9788</v>
      </c>
      <c r="E3623" s="140"/>
      <c r="F3623" s="140"/>
      <c r="G3623" s="140"/>
    </row>
    <row r="3624" spans="2:7" hidden="1">
      <c r="B3624" s="141" t="s">
        <v>9789</v>
      </c>
      <c r="C3624" s="140" t="s">
        <v>9790</v>
      </c>
      <c r="D3624" s="141" t="s">
        <v>9791</v>
      </c>
      <c r="E3624" s="140" t="s">
        <v>9792</v>
      </c>
      <c r="F3624" s="140" t="s">
        <v>9793</v>
      </c>
      <c r="G3624" s="140"/>
    </row>
    <row r="3625" spans="2:7" hidden="1">
      <c r="B3625" s="141" t="s">
        <v>9794</v>
      </c>
      <c r="C3625" s="141"/>
      <c r="D3625" s="141" t="s">
        <v>9795</v>
      </c>
      <c r="E3625" s="140"/>
      <c r="F3625" s="140"/>
      <c r="G3625" s="140"/>
    </row>
    <row r="3626" spans="2:7" hidden="1">
      <c r="B3626" s="141" t="s">
        <v>9796</v>
      </c>
      <c r="C3626" s="140" t="s">
        <v>9797</v>
      </c>
      <c r="D3626" s="141" t="s">
        <v>2844</v>
      </c>
      <c r="E3626" s="140" t="s">
        <v>9798</v>
      </c>
      <c r="F3626" s="140" t="s">
        <v>9799</v>
      </c>
      <c r="G3626" s="140"/>
    </row>
    <row r="3627" spans="2:7" hidden="1">
      <c r="B3627" s="141" t="s">
        <v>9800</v>
      </c>
      <c r="C3627" s="140" t="s">
        <v>9801</v>
      </c>
      <c r="D3627" s="141" t="s">
        <v>9802</v>
      </c>
      <c r="E3627" s="141"/>
      <c r="F3627" s="140"/>
      <c r="G3627" s="140"/>
    </row>
    <row r="3628" spans="2:7" hidden="1">
      <c r="B3628" s="141" t="s">
        <v>9809</v>
      </c>
      <c r="C3628" s="140"/>
      <c r="D3628" s="141" t="s">
        <v>9810</v>
      </c>
      <c r="E3628" s="140"/>
      <c r="F3628" s="140"/>
      <c r="G3628" s="140"/>
    </row>
    <row r="3629" spans="2:7" hidden="1">
      <c r="B3629" s="141" t="s">
        <v>9811</v>
      </c>
      <c r="C3629" s="140"/>
      <c r="D3629" s="141" t="s">
        <v>9812</v>
      </c>
      <c r="E3629" s="140"/>
      <c r="F3629" s="140"/>
      <c r="G3629" s="140"/>
    </row>
    <row r="3630" spans="2:7" hidden="1">
      <c r="B3630" s="141" t="s">
        <v>21755</v>
      </c>
      <c r="C3630" s="140" t="s">
        <v>9803</v>
      </c>
      <c r="D3630" s="141" t="s">
        <v>9804</v>
      </c>
      <c r="E3630" s="140" t="s">
        <v>9805</v>
      </c>
      <c r="F3630" s="140" t="s">
        <v>9806</v>
      </c>
      <c r="G3630" s="140" t="s">
        <v>9807</v>
      </c>
    </row>
    <row r="3631" spans="2:7" hidden="1">
      <c r="B3631" s="141" t="s">
        <v>21756</v>
      </c>
      <c r="C3631" s="140"/>
      <c r="D3631" s="141" t="s">
        <v>9808</v>
      </c>
      <c r="E3631" s="140"/>
      <c r="F3631" s="140"/>
      <c r="G3631" s="140"/>
    </row>
    <row r="3632" spans="2:7" hidden="1">
      <c r="B3632" s="141" t="s">
        <v>21757</v>
      </c>
      <c r="C3632" s="140"/>
      <c r="D3632" s="141" t="s">
        <v>1963</v>
      </c>
      <c r="E3632" s="140"/>
      <c r="F3632" s="140"/>
      <c r="G3632" s="140"/>
    </row>
    <row r="3633" spans="2:7" hidden="1">
      <c r="B3633" s="140" t="s">
        <v>9813</v>
      </c>
      <c r="C3633" s="140"/>
      <c r="D3633" s="140" t="s">
        <v>9814</v>
      </c>
      <c r="E3633" s="140"/>
      <c r="F3633" s="140"/>
      <c r="G3633" s="140"/>
    </row>
    <row r="3634" spans="2:7" hidden="1">
      <c r="B3634" s="140" t="s">
        <v>20510</v>
      </c>
      <c r="C3634" s="140" t="s">
        <v>20511</v>
      </c>
      <c r="D3634" s="140" t="s">
        <v>9931</v>
      </c>
      <c r="E3634" s="140"/>
      <c r="F3634" s="140"/>
      <c r="G3634" s="140"/>
    </row>
    <row r="3635" spans="2:7" hidden="1">
      <c r="B3635" s="140" t="s">
        <v>20507</v>
      </c>
      <c r="C3635" s="140" t="s">
        <v>20508</v>
      </c>
      <c r="D3635" s="140" t="s">
        <v>20509</v>
      </c>
      <c r="E3635" s="142"/>
      <c r="F3635" s="142"/>
      <c r="G3635" s="140"/>
    </row>
    <row r="3636" spans="2:7" hidden="1">
      <c r="B3636" s="140" t="s">
        <v>9815</v>
      </c>
      <c r="C3636" s="140"/>
      <c r="D3636" s="140" t="s">
        <v>9816</v>
      </c>
      <c r="E3636" s="142"/>
      <c r="F3636" s="142"/>
      <c r="G3636" s="140"/>
    </row>
    <row r="3637" spans="2:7" hidden="1">
      <c r="B3637" s="140" t="s">
        <v>9817</v>
      </c>
      <c r="C3637" s="140"/>
      <c r="D3637" s="140" t="s">
        <v>9818</v>
      </c>
      <c r="E3637" s="142"/>
      <c r="F3637" s="142"/>
      <c r="G3637" s="140"/>
    </row>
    <row r="3638" spans="2:7" hidden="1">
      <c r="B3638" s="141" t="s">
        <v>9819</v>
      </c>
      <c r="C3638" s="141"/>
      <c r="D3638" s="141" t="s">
        <v>3061</v>
      </c>
      <c r="E3638" s="141"/>
      <c r="F3638" s="140"/>
      <c r="G3638" s="140"/>
    </row>
    <row r="3639" spans="2:7" hidden="1">
      <c r="B3639" s="140" t="s">
        <v>9820</v>
      </c>
      <c r="C3639" s="140"/>
      <c r="D3639" s="140" t="s">
        <v>9821</v>
      </c>
      <c r="E3639" s="142"/>
      <c r="F3639" s="142"/>
      <c r="G3639" s="140"/>
    </row>
    <row r="3640" spans="2:7" hidden="1">
      <c r="B3640" s="141" t="s">
        <v>9822</v>
      </c>
      <c r="C3640" s="140"/>
      <c r="D3640" s="141" t="s">
        <v>1506</v>
      </c>
      <c r="E3640" s="140"/>
      <c r="F3640" s="140"/>
      <c r="G3640" s="140"/>
    </row>
    <row r="3641" spans="2:7" hidden="1">
      <c r="B3641" s="141" t="s">
        <v>9823</v>
      </c>
      <c r="C3641" s="140"/>
      <c r="D3641" s="141" t="s">
        <v>9824</v>
      </c>
      <c r="E3641" s="140"/>
      <c r="F3641" s="140"/>
      <c r="G3641" s="140"/>
    </row>
    <row r="3642" spans="2:7" hidden="1">
      <c r="B3642" s="141" t="s">
        <v>9825</v>
      </c>
      <c r="C3642" s="140"/>
      <c r="D3642" s="141" t="s">
        <v>4524</v>
      </c>
      <c r="E3642" s="140"/>
      <c r="F3642" s="140"/>
      <c r="G3642" s="140"/>
    </row>
    <row r="3643" spans="2:7" hidden="1">
      <c r="B3643" s="140" t="s">
        <v>9826</v>
      </c>
      <c r="C3643" s="140"/>
      <c r="D3643" s="140" t="s">
        <v>2528</v>
      </c>
      <c r="E3643" s="142"/>
      <c r="F3643" s="142"/>
      <c r="G3643" s="140"/>
    </row>
    <row r="3644" spans="2:7" hidden="1">
      <c r="B3644" s="140" t="s">
        <v>9827</v>
      </c>
      <c r="C3644" s="140"/>
      <c r="D3644" s="140" t="s">
        <v>9828</v>
      </c>
      <c r="E3644" s="142"/>
      <c r="F3644" s="142"/>
      <c r="G3644" s="140"/>
    </row>
    <row r="3645" spans="2:7" hidden="1">
      <c r="B3645" s="141" t="s">
        <v>20404</v>
      </c>
      <c r="C3645" s="140" t="s">
        <v>9837</v>
      </c>
      <c r="D3645" s="141" t="s">
        <v>9838</v>
      </c>
      <c r="E3645" s="140" t="s">
        <v>9839</v>
      </c>
      <c r="F3645" s="140" t="s">
        <v>9840</v>
      </c>
      <c r="G3645" s="140"/>
    </row>
    <row r="3646" spans="2:7" hidden="1">
      <c r="B3646" s="141" t="s">
        <v>20417</v>
      </c>
      <c r="C3646" s="140" t="s">
        <v>20418</v>
      </c>
      <c r="D3646" s="141" t="s">
        <v>5558</v>
      </c>
      <c r="E3646" s="140">
        <v>7049725302</v>
      </c>
      <c r="F3646" s="140">
        <v>7043989993</v>
      </c>
      <c r="G3646" s="140"/>
    </row>
    <row r="3647" spans="2:7" hidden="1">
      <c r="B3647" s="141" t="s">
        <v>20411</v>
      </c>
      <c r="C3647" s="140"/>
      <c r="D3647" s="141" t="s">
        <v>1638</v>
      </c>
      <c r="E3647" s="140"/>
      <c r="F3647" s="140"/>
      <c r="G3647" s="140"/>
    </row>
    <row r="3648" spans="2:7" hidden="1">
      <c r="B3648" s="141" t="s">
        <v>20402</v>
      </c>
      <c r="C3648" s="140"/>
      <c r="D3648" s="141" t="s">
        <v>9832</v>
      </c>
      <c r="E3648" s="140"/>
      <c r="F3648" s="140"/>
      <c r="G3648" s="140"/>
    </row>
    <row r="3649" spans="2:7" hidden="1">
      <c r="B3649" s="141" t="s">
        <v>20412</v>
      </c>
      <c r="C3649" s="140" t="s">
        <v>9865</v>
      </c>
      <c r="D3649" s="141" t="s">
        <v>9866</v>
      </c>
      <c r="E3649" s="140" t="s">
        <v>9867</v>
      </c>
      <c r="F3649" s="140" t="s">
        <v>9868</v>
      </c>
      <c r="G3649" s="140"/>
    </row>
    <row r="3650" spans="2:7" hidden="1">
      <c r="B3650" s="140" t="s">
        <v>20406</v>
      </c>
      <c r="C3650" s="141" t="s">
        <v>9845</v>
      </c>
      <c r="D3650" s="141" t="s">
        <v>4628</v>
      </c>
      <c r="E3650" s="141" t="s">
        <v>9846</v>
      </c>
      <c r="F3650" s="141" t="s">
        <v>9847</v>
      </c>
      <c r="G3650" s="140"/>
    </row>
    <row r="3651" spans="2:7" hidden="1">
      <c r="B3651" s="141" t="s">
        <v>20403</v>
      </c>
      <c r="C3651" s="140" t="s">
        <v>9833</v>
      </c>
      <c r="D3651" s="141" t="s">
        <v>9834</v>
      </c>
      <c r="E3651" s="140" t="s">
        <v>9835</v>
      </c>
      <c r="F3651" s="140" t="s">
        <v>9836</v>
      </c>
      <c r="G3651" s="140"/>
    </row>
    <row r="3652" spans="2:7" hidden="1">
      <c r="B3652" s="141" t="s">
        <v>9829</v>
      </c>
      <c r="C3652" s="140" t="s">
        <v>9861</v>
      </c>
      <c r="D3652" s="141" t="s">
        <v>9862</v>
      </c>
      <c r="E3652" s="140" t="s">
        <v>9863</v>
      </c>
      <c r="F3652" s="140" t="s">
        <v>9864</v>
      </c>
      <c r="G3652" s="140"/>
    </row>
    <row r="3653" spans="2:7" hidden="1">
      <c r="B3653" s="141" t="s">
        <v>20414</v>
      </c>
      <c r="C3653" s="140" t="s">
        <v>9873</v>
      </c>
      <c r="D3653" s="141" t="s">
        <v>9874</v>
      </c>
      <c r="E3653" s="140" t="s">
        <v>9875</v>
      </c>
      <c r="F3653" s="140" t="s">
        <v>9876</v>
      </c>
      <c r="G3653" s="140"/>
    </row>
    <row r="3654" spans="2:7" hidden="1">
      <c r="B3654" s="141" t="s">
        <v>20405</v>
      </c>
      <c r="C3654" s="140" t="s">
        <v>9841</v>
      </c>
      <c r="D3654" s="141" t="s">
        <v>9842</v>
      </c>
      <c r="E3654" s="140" t="s">
        <v>9843</v>
      </c>
      <c r="F3654" s="140" t="s">
        <v>9844</v>
      </c>
      <c r="G3654" s="140"/>
    </row>
    <row r="3655" spans="2:7" hidden="1">
      <c r="B3655" s="141" t="s">
        <v>20410</v>
      </c>
      <c r="C3655" s="140"/>
      <c r="D3655" s="141" t="s">
        <v>9860</v>
      </c>
      <c r="E3655" s="140"/>
      <c r="F3655" s="140"/>
      <c r="G3655" s="140"/>
    </row>
    <row r="3656" spans="2:7" hidden="1">
      <c r="B3656" s="141" t="s">
        <v>20408</v>
      </c>
      <c r="C3656" s="141" t="s">
        <v>9852</v>
      </c>
      <c r="D3656" s="141" t="s">
        <v>9853</v>
      </c>
      <c r="E3656" s="141" t="s">
        <v>9854</v>
      </c>
      <c r="F3656" s="140" t="s">
        <v>9855</v>
      </c>
      <c r="G3656" s="140"/>
    </row>
    <row r="3657" spans="2:7" hidden="1">
      <c r="B3657" s="141" t="s">
        <v>20407</v>
      </c>
      <c r="C3657" s="140" t="s">
        <v>9848</v>
      </c>
      <c r="D3657" s="141" t="s">
        <v>9849</v>
      </c>
      <c r="E3657" s="140" t="s">
        <v>9850</v>
      </c>
      <c r="F3657" s="140" t="s">
        <v>9851</v>
      </c>
      <c r="G3657" s="140"/>
    </row>
    <row r="3658" spans="2:7" hidden="1">
      <c r="B3658" s="141" t="s">
        <v>9830</v>
      </c>
      <c r="C3658" s="140"/>
      <c r="D3658" s="141" t="s">
        <v>2110</v>
      </c>
      <c r="E3658" s="140"/>
      <c r="F3658" s="140"/>
      <c r="G3658" s="140"/>
    </row>
    <row r="3659" spans="2:7" hidden="1">
      <c r="B3659" s="141" t="s">
        <v>20415</v>
      </c>
      <c r="C3659" s="140" t="s">
        <v>9878</v>
      </c>
      <c r="D3659" s="141" t="s">
        <v>9879</v>
      </c>
      <c r="E3659" s="140" t="s">
        <v>9880</v>
      </c>
      <c r="F3659" s="140" t="s">
        <v>9881</v>
      </c>
      <c r="G3659" s="140"/>
    </row>
    <row r="3660" spans="2:7" hidden="1">
      <c r="B3660" s="140" t="s">
        <v>20409</v>
      </c>
      <c r="C3660" s="140" t="s">
        <v>9856</v>
      </c>
      <c r="D3660" s="140" t="s">
        <v>9857</v>
      </c>
      <c r="E3660" s="142" t="s">
        <v>9858</v>
      </c>
      <c r="F3660" s="142" t="s">
        <v>9859</v>
      </c>
      <c r="G3660" s="140"/>
    </row>
    <row r="3661" spans="2:7" hidden="1">
      <c r="B3661" s="141" t="s">
        <v>20416</v>
      </c>
      <c r="C3661" s="140" t="s">
        <v>9882</v>
      </c>
      <c r="D3661" s="141" t="s">
        <v>9883</v>
      </c>
      <c r="E3661" s="140" t="s">
        <v>9884</v>
      </c>
      <c r="F3661" s="140" t="s">
        <v>9877</v>
      </c>
      <c r="G3661" s="140"/>
    </row>
    <row r="3662" spans="2:7" hidden="1">
      <c r="B3662" s="141" t="s">
        <v>20401</v>
      </c>
      <c r="C3662" s="140"/>
      <c r="D3662" s="141" t="s">
        <v>9831</v>
      </c>
      <c r="E3662" s="140"/>
      <c r="F3662" s="140"/>
      <c r="G3662" s="140"/>
    </row>
    <row r="3663" spans="2:7" hidden="1">
      <c r="B3663" s="141" t="s">
        <v>20413</v>
      </c>
      <c r="C3663" s="140" t="s">
        <v>9869</v>
      </c>
      <c r="D3663" s="141" t="s">
        <v>9870</v>
      </c>
      <c r="E3663" s="140" t="s">
        <v>9871</v>
      </c>
      <c r="F3663" s="140" t="s">
        <v>9872</v>
      </c>
      <c r="G3663" s="140"/>
    </row>
    <row r="3664" spans="2:7" hidden="1">
      <c r="B3664" s="141" t="s">
        <v>9885</v>
      </c>
      <c r="C3664" s="140"/>
      <c r="D3664" s="141" t="s">
        <v>9886</v>
      </c>
      <c r="E3664" s="140"/>
      <c r="F3664" s="140"/>
      <c r="G3664" s="140"/>
    </row>
    <row r="3665" spans="2:7" hidden="1">
      <c r="B3665" s="141" t="s">
        <v>9887</v>
      </c>
      <c r="C3665" s="141"/>
      <c r="D3665" s="141" t="s">
        <v>5213</v>
      </c>
      <c r="E3665" s="141"/>
      <c r="F3665" s="141"/>
      <c r="G3665" s="140"/>
    </row>
    <row r="3666" spans="2:7" hidden="1">
      <c r="B3666" s="141" t="s">
        <v>9888</v>
      </c>
      <c r="C3666" s="141"/>
      <c r="D3666" s="141" t="s">
        <v>9889</v>
      </c>
      <c r="E3666" s="141"/>
      <c r="F3666" s="141"/>
      <c r="G3666" s="140"/>
    </row>
    <row r="3667" spans="2:7" hidden="1">
      <c r="B3667" s="141" t="s">
        <v>21758</v>
      </c>
      <c r="C3667" s="140"/>
      <c r="D3667" s="141" t="s">
        <v>9890</v>
      </c>
      <c r="E3667" s="140"/>
      <c r="F3667" s="140"/>
      <c r="G3667" s="140"/>
    </row>
    <row r="3668" spans="2:7" hidden="1">
      <c r="B3668" s="141" t="s">
        <v>9891</v>
      </c>
      <c r="C3668" s="140"/>
      <c r="D3668" s="141" t="s">
        <v>9892</v>
      </c>
      <c r="E3668" s="140"/>
      <c r="F3668" s="140"/>
      <c r="G3668" s="140"/>
    </row>
    <row r="3669" spans="2:7" hidden="1">
      <c r="B3669" s="141" t="s">
        <v>9893</v>
      </c>
      <c r="C3669" s="140"/>
      <c r="D3669" s="141" t="s">
        <v>9894</v>
      </c>
      <c r="E3669" s="140"/>
      <c r="F3669" s="140"/>
      <c r="G3669" s="140"/>
    </row>
    <row r="3670" spans="2:7" hidden="1">
      <c r="B3670" s="141" t="s">
        <v>9895</v>
      </c>
      <c r="C3670" s="140"/>
      <c r="D3670" s="141" t="s">
        <v>9896</v>
      </c>
      <c r="E3670" s="140"/>
      <c r="F3670" s="140"/>
      <c r="G3670" s="140"/>
    </row>
    <row r="3671" spans="2:7" hidden="1">
      <c r="B3671" s="140" t="s">
        <v>9897</v>
      </c>
      <c r="C3671" s="140"/>
      <c r="D3671" s="140" t="s">
        <v>4084</v>
      </c>
      <c r="E3671" s="142"/>
      <c r="F3671" s="142"/>
      <c r="G3671" s="140"/>
    </row>
    <row r="3672" spans="2:7" hidden="1">
      <c r="B3672" s="141" t="s">
        <v>9898</v>
      </c>
      <c r="C3672" s="140"/>
      <c r="D3672" s="141" t="s">
        <v>3867</v>
      </c>
      <c r="E3672" s="140"/>
      <c r="F3672" s="140"/>
      <c r="G3672" s="140"/>
    </row>
    <row r="3673" spans="2:7" hidden="1">
      <c r="B3673" s="141" t="s">
        <v>9899</v>
      </c>
      <c r="C3673" s="140"/>
      <c r="D3673" s="141" t="s">
        <v>9900</v>
      </c>
      <c r="E3673" s="140"/>
      <c r="F3673" s="140"/>
      <c r="G3673" s="140"/>
    </row>
    <row r="3674" spans="2:7" hidden="1">
      <c r="B3674" s="140" t="s">
        <v>9901</v>
      </c>
      <c r="C3674" s="140"/>
      <c r="D3674" s="140" t="s">
        <v>4675</v>
      </c>
      <c r="E3674" s="142"/>
      <c r="F3674" s="142"/>
      <c r="G3674" s="140"/>
    </row>
    <row r="3675" spans="2:7" hidden="1">
      <c r="B3675" s="141" t="s">
        <v>9902</v>
      </c>
      <c r="C3675" s="140"/>
      <c r="D3675" s="141" t="s">
        <v>9903</v>
      </c>
      <c r="E3675" s="140"/>
      <c r="F3675" s="140"/>
      <c r="G3675" s="140"/>
    </row>
    <row r="3676" spans="2:7" hidden="1">
      <c r="B3676" s="140" t="s">
        <v>9904</v>
      </c>
      <c r="C3676" s="140" t="s">
        <v>9905</v>
      </c>
      <c r="D3676" s="140" t="s">
        <v>9906</v>
      </c>
      <c r="E3676" s="142" t="s">
        <v>9907</v>
      </c>
      <c r="F3676" s="142" t="s">
        <v>9908</v>
      </c>
      <c r="G3676" s="140"/>
    </row>
    <row r="3677" spans="2:7" hidden="1">
      <c r="B3677" s="141" t="s">
        <v>9909</v>
      </c>
      <c r="C3677" s="140" t="s">
        <v>9910</v>
      </c>
      <c r="D3677" s="141" t="s">
        <v>9911</v>
      </c>
      <c r="E3677" s="140" t="s">
        <v>9912</v>
      </c>
      <c r="F3677" s="140" t="s">
        <v>9913</v>
      </c>
      <c r="G3677" s="140"/>
    </row>
    <row r="3678" spans="2:7" hidden="1">
      <c r="B3678" s="141" t="s">
        <v>9914</v>
      </c>
      <c r="C3678" s="140" t="s">
        <v>9915</v>
      </c>
      <c r="D3678" s="141" t="s">
        <v>5157</v>
      </c>
      <c r="E3678" s="140" t="s">
        <v>9916</v>
      </c>
      <c r="F3678" s="140" t="s">
        <v>9917</v>
      </c>
      <c r="G3678" s="140"/>
    </row>
    <row r="3679" spans="2:7" hidden="1">
      <c r="B3679" s="141" t="s">
        <v>9918</v>
      </c>
      <c r="C3679" s="140"/>
      <c r="D3679" s="141" t="s">
        <v>9919</v>
      </c>
      <c r="E3679" s="140"/>
      <c r="F3679" s="140"/>
      <c r="G3679" s="140"/>
    </row>
    <row r="3680" spans="2:7" hidden="1">
      <c r="B3680" s="141" t="s">
        <v>9920</v>
      </c>
      <c r="C3680" s="140"/>
      <c r="D3680" s="141" t="s">
        <v>9921</v>
      </c>
      <c r="E3680" s="140"/>
      <c r="F3680" s="140"/>
      <c r="G3680" s="140"/>
    </row>
    <row r="3681" spans="2:7" hidden="1">
      <c r="B3681" s="141" t="s">
        <v>9922</v>
      </c>
      <c r="C3681" s="140" t="s">
        <v>9923</v>
      </c>
      <c r="D3681" s="141" t="s">
        <v>9635</v>
      </c>
      <c r="E3681" s="140" t="s">
        <v>9924</v>
      </c>
      <c r="F3681" s="140" t="s">
        <v>9925</v>
      </c>
      <c r="G3681" s="140"/>
    </row>
    <row r="3682" spans="2:7" hidden="1">
      <c r="B3682" s="140" t="s">
        <v>9926</v>
      </c>
      <c r="C3682" s="140"/>
      <c r="D3682" s="140" t="s">
        <v>4698</v>
      </c>
      <c r="E3682" s="142"/>
      <c r="F3682" s="142"/>
      <c r="G3682" s="140"/>
    </row>
    <row r="3683" spans="2:7" hidden="1">
      <c r="B3683" s="141" t="s">
        <v>9927</v>
      </c>
      <c r="C3683" s="140"/>
      <c r="D3683" s="141" t="s">
        <v>1031</v>
      </c>
      <c r="E3683" s="140"/>
      <c r="F3683" s="140"/>
      <c r="G3683" s="140"/>
    </row>
    <row r="3684" spans="2:7" hidden="1">
      <c r="B3684" s="141" t="s">
        <v>9928</v>
      </c>
      <c r="C3684" s="140"/>
      <c r="D3684" s="141" t="s">
        <v>9929</v>
      </c>
      <c r="E3684" s="140"/>
      <c r="F3684" s="140"/>
      <c r="G3684" s="140"/>
    </row>
    <row r="3685" spans="2:7" hidden="1">
      <c r="B3685" s="141" t="s">
        <v>9930</v>
      </c>
      <c r="C3685" s="140"/>
      <c r="D3685" s="141" t="s">
        <v>9931</v>
      </c>
      <c r="E3685" s="140"/>
      <c r="F3685" s="140"/>
      <c r="G3685" s="140"/>
    </row>
    <row r="3686" spans="2:7" hidden="1">
      <c r="B3686" s="141" t="s">
        <v>9932</v>
      </c>
      <c r="C3686" s="140"/>
      <c r="D3686" s="141" t="s">
        <v>9933</v>
      </c>
      <c r="E3686" s="140"/>
      <c r="F3686" s="140"/>
      <c r="G3686" s="140"/>
    </row>
    <row r="3687" spans="2:7" hidden="1">
      <c r="B3687" s="141" t="s">
        <v>9934</v>
      </c>
      <c r="C3687" s="141" t="s">
        <v>9935</v>
      </c>
      <c r="D3687" s="141" t="s">
        <v>9936</v>
      </c>
      <c r="E3687" s="141" t="s">
        <v>9937</v>
      </c>
      <c r="F3687" s="140"/>
      <c r="G3687" s="140"/>
    </row>
    <row r="3688" spans="2:7" hidden="1">
      <c r="B3688" s="141" t="s">
        <v>9938</v>
      </c>
      <c r="C3688" s="140"/>
      <c r="D3688" s="141" t="s">
        <v>9939</v>
      </c>
      <c r="E3688" s="140"/>
      <c r="F3688" s="140"/>
      <c r="G3688" s="140"/>
    </row>
    <row r="3689" spans="2:7" hidden="1">
      <c r="B3689" s="141" t="s">
        <v>9940</v>
      </c>
      <c r="C3689" s="140"/>
      <c r="D3689" s="141" t="s">
        <v>9941</v>
      </c>
      <c r="E3689" s="140"/>
      <c r="F3689" s="140"/>
      <c r="G3689" s="140"/>
    </row>
    <row r="3690" spans="2:7" hidden="1">
      <c r="B3690" s="141" t="s">
        <v>9942</v>
      </c>
      <c r="C3690" s="140"/>
      <c r="D3690" s="141" t="s">
        <v>9943</v>
      </c>
      <c r="E3690" s="140"/>
      <c r="F3690" s="140"/>
      <c r="G3690" s="140"/>
    </row>
    <row r="3691" spans="2:7" hidden="1">
      <c r="B3691" s="141" t="s">
        <v>9944</v>
      </c>
      <c r="C3691" s="140"/>
      <c r="D3691" s="141" t="s">
        <v>5085</v>
      </c>
      <c r="E3691" s="140"/>
      <c r="F3691" s="140"/>
      <c r="G3691" s="140"/>
    </row>
    <row r="3692" spans="2:7" hidden="1">
      <c r="B3692" s="140" t="s">
        <v>9945</v>
      </c>
      <c r="C3692" s="140"/>
      <c r="D3692" s="140" t="s">
        <v>9946</v>
      </c>
      <c r="E3692" s="142"/>
      <c r="F3692" s="142"/>
      <c r="G3692" s="140"/>
    </row>
    <row r="3693" spans="2:7" hidden="1">
      <c r="B3693" s="141" t="s">
        <v>9947</v>
      </c>
      <c r="C3693" s="140"/>
      <c r="D3693" s="141" t="s">
        <v>9503</v>
      </c>
      <c r="E3693" s="140"/>
      <c r="F3693" s="140"/>
      <c r="G3693" s="140"/>
    </row>
    <row r="3694" spans="2:7" hidden="1">
      <c r="B3694" s="141" t="s">
        <v>9948</v>
      </c>
      <c r="C3694" s="140"/>
      <c r="D3694" s="141" t="s">
        <v>9949</v>
      </c>
      <c r="E3694" s="140"/>
      <c r="F3694" s="140"/>
      <c r="G3694" s="140"/>
    </row>
    <row r="3695" spans="2:7" hidden="1">
      <c r="B3695" s="140" t="s">
        <v>9950</v>
      </c>
      <c r="C3695" s="140" t="s">
        <v>9951</v>
      </c>
      <c r="D3695" s="140" t="s">
        <v>9952</v>
      </c>
      <c r="E3695" s="142"/>
      <c r="F3695" s="142"/>
      <c r="G3695" s="140"/>
    </row>
    <row r="3696" spans="2:7" hidden="1">
      <c r="B3696" s="141" t="s">
        <v>9953</v>
      </c>
      <c r="C3696" s="140" t="s">
        <v>9954</v>
      </c>
      <c r="D3696" s="141" t="s">
        <v>4618</v>
      </c>
      <c r="E3696" s="140" t="s">
        <v>9955</v>
      </c>
      <c r="F3696" s="140" t="s">
        <v>9956</v>
      </c>
      <c r="G3696" s="140"/>
    </row>
    <row r="3697" spans="2:7" hidden="1">
      <c r="B3697" s="141" t="s">
        <v>9957</v>
      </c>
      <c r="C3697" s="140"/>
      <c r="D3697" s="141" t="s">
        <v>9958</v>
      </c>
      <c r="E3697" s="140"/>
      <c r="F3697" s="140"/>
      <c r="G3697" s="140"/>
    </row>
    <row r="3698" spans="2:7" hidden="1">
      <c r="B3698" s="141" t="s">
        <v>9959</v>
      </c>
      <c r="C3698" s="140"/>
      <c r="D3698" s="141" t="s">
        <v>3621</v>
      </c>
      <c r="E3698" s="140"/>
      <c r="F3698" s="140"/>
      <c r="G3698" s="140"/>
    </row>
    <row r="3699" spans="2:7" hidden="1">
      <c r="B3699" s="141" t="s">
        <v>21759</v>
      </c>
      <c r="C3699" s="141"/>
      <c r="D3699" s="141" t="s">
        <v>4651</v>
      </c>
      <c r="E3699" s="141"/>
      <c r="F3699" s="141"/>
      <c r="G3699" s="140"/>
    </row>
    <row r="3700" spans="2:7" hidden="1">
      <c r="B3700" s="141" t="s">
        <v>9960</v>
      </c>
      <c r="C3700" s="140"/>
      <c r="D3700" s="141" t="s">
        <v>9961</v>
      </c>
      <c r="E3700" s="140"/>
      <c r="F3700" s="140"/>
      <c r="G3700" s="140"/>
    </row>
    <row r="3701" spans="2:7" hidden="1">
      <c r="B3701" s="141" t="s">
        <v>9962</v>
      </c>
      <c r="C3701" s="140"/>
      <c r="D3701" s="141" t="s">
        <v>3099</v>
      </c>
      <c r="E3701" s="140"/>
      <c r="F3701" s="140"/>
      <c r="G3701" s="140"/>
    </row>
    <row r="3702" spans="2:7" hidden="1">
      <c r="B3702" s="141" t="s">
        <v>9963</v>
      </c>
      <c r="C3702" s="140" t="s">
        <v>9964</v>
      </c>
      <c r="D3702" s="141" t="s">
        <v>2431</v>
      </c>
      <c r="E3702" s="140" t="s">
        <v>9965</v>
      </c>
      <c r="F3702" s="140" t="s">
        <v>9966</v>
      </c>
      <c r="G3702" s="140"/>
    </row>
    <row r="3703" spans="2:7" hidden="1">
      <c r="B3703" s="141" t="s">
        <v>21760</v>
      </c>
      <c r="C3703" s="140"/>
      <c r="D3703" s="141" t="s">
        <v>4529</v>
      </c>
      <c r="E3703" s="140"/>
      <c r="F3703" s="140"/>
      <c r="G3703" s="140"/>
    </row>
    <row r="3704" spans="2:7" hidden="1">
      <c r="B3704" s="141" t="s">
        <v>9967</v>
      </c>
      <c r="C3704" s="140"/>
      <c r="D3704" s="141" t="s">
        <v>4691</v>
      </c>
      <c r="E3704" s="140"/>
      <c r="F3704" s="140"/>
      <c r="G3704" s="140"/>
    </row>
    <row r="3705" spans="2:7" hidden="1">
      <c r="B3705" s="141" t="s">
        <v>9968</v>
      </c>
      <c r="C3705" s="140"/>
      <c r="D3705" s="141" t="s">
        <v>9969</v>
      </c>
      <c r="E3705" s="140"/>
      <c r="F3705" s="140"/>
      <c r="G3705" s="140"/>
    </row>
    <row r="3706" spans="2:7" hidden="1">
      <c r="B3706" s="141" t="s">
        <v>9970</v>
      </c>
      <c r="C3706" s="141" t="s">
        <v>9971</v>
      </c>
      <c r="D3706" s="141" t="s">
        <v>9972</v>
      </c>
      <c r="E3706" s="141" t="s">
        <v>9973</v>
      </c>
      <c r="F3706" s="141" t="s">
        <v>9974</v>
      </c>
      <c r="G3706" s="140"/>
    </row>
    <row r="3707" spans="2:7" hidden="1">
      <c r="B3707" s="140" t="s">
        <v>9975</v>
      </c>
      <c r="C3707" s="140"/>
      <c r="D3707" s="140" t="s">
        <v>9976</v>
      </c>
      <c r="E3707" s="142"/>
      <c r="F3707" s="142"/>
      <c r="G3707" s="140"/>
    </row>
    <row r="3708" spans="2:7" hidden="1">
      <c r="B3708" s="141" t="s">
        <v>9977</v>
      </c>
      <c r="C3708" s="140"/>
      <c r="D3708" s="141" t="s">
        <v>9978</v>
      </c>
      <c r="E3708" s="140"/>
      <c r="F3708" s="140"/>
      <c r="G3708" s="140"/>
    </row>
    <row r="3709" spans="2:7" hidden="1">
      <c r="B3709" s="141" t="s">
        <v>9979</v>
      </c>
      <c r="C3709" s="140"/>
      <c r="D3709" s="141" t="s">
        <v>1249</v>
      </c>
      <c r="E3709" s="140"/>
      <c r="F3709" s="140"/>
      <c r="G3709" s="140"/>
    </row>
    <row r="3710" spans="2:7" hidden="1">
      <c r="B3710" s="141" t="s">
        <v>9980</v>
      </c>
      <c r="C3710" s="140"/>
      <c r="D3710" s="141" t="s">
        <v>1739</v>
      </c>
      <c r="E3710" s="140"/>
      <c r="F3710" s="140"/>
      <c r="G3710" s="140"/>
    </row>
    <row r="3711" spans="2:7" hidden="1">
      <c r="B3711" s="141" t="s">
        <v>9981</v>
      </c>
      <c r="C3711" s="140"/>
      <c r="D3711" s="140" t="s">
        <v>7471</v>
      </c>
      <c r="E3711" s="140"/>
      <c r="F3711" s="140"/>
      <c r="G3711" s="140"/>
    </row>
    <row r="3712" spans="2:7" hidden="1">
      <c r="B3712" s="140" t="s">
        <v>9982</v>
      </c>
      <c r="C3712" s="140"/>
      <c r="D3712" s="140" t="s">
        <v>9983</v>
      </c>
      <c r="E3712" s="142"/>
      <c r="F3712" s="142"/>
      <c r="G3712" s="140"/>
    </row>
    <row r="3713" spans="2:7" hidden="1">
      <c r="B3713" s="141" t="s">
        <v>21761</v>
      </c>
      <c r="C3713" s="140" t="s">
        <v>9984</v>
      </c>
      <c r="D3713" s="141" t="s">
        <v>8918</v>
      </c>
      <c r="E3713" s="140" t="s">
        <v>9985</v>
      </c>
      <c r="F3713" s="140" t="s">
        <v>9986</v>
      </c>
      <c r="G3713" s="140"/>
    </row>
    <row r="3714" spans="2:7" hidden="1">
      <c r="B3714" s="141" t="s">
        <v>9987</v>
      </c>
      <c r="C3714" s="141" t="s">
        <v>9988</v>
      </c>
      <c r="D3714" s="141" t="s">
        <v>9989</v>
      </c>
      <c r="E3714" s="141"/>
      <c r="F3714" s="140"/>
      <c r="G3714" s="140"/>
    </row>
    <row r="3715" spans="2:7" hidden="1">
      <c r="B3715" s="141" t="s">
        <v>9990</v>
      </c>
      <c r="C3715" s="140"/>
      <c r="D3715" s="141" t="s">
        <v>9991</v>
      </c>
      <c r="E3715" s="140"/>
      <c r="F3715" s="140"/>
      <c r="G3715" s="140"/>
    </row>
    <row r="3716" spans="2:7" hidden="1">
      <c r="B3716" s="141" t="s">
        <v>9992</v>
      </c>
      <c r="C3716" s="140"/>
      <c r="D3716" s="141" t="s">
        <v>9993</v>
      </c>
      <c r="E3716" s="140"/>
      <c r="F3716" s="140"/>
      <c r="G3716" s="140"/>
    </row>
    <row r="3717" spans="2:7" hidden="1">
      <c r="B3717" s="141" t="s">
        <v>9994</v>
      </c>
      <c r="C3717" s="140"/>
      <c r="D3717" s="141" t="s">
        <v>4938</v>
      </c>
      <c r="E3717" s="140"/>
      <c r="F3717" s="140"/>
      <c r="G3717" s="140"/>
    </row>
    <row r="3718" spans="2:7" hidden="1">
      <c r="B3718" s="141" t="s">
        <v>9995</v>
      </c>
      <c r="C3718" s="140"/>
      <c r="D3718" s="141" t="s">
        <v>9996</v>
      </c>
      <c r="E3718" s="140"/>
      <c r="F3718" s="140"/>
      <c r="G3718" s="140"/>
    </row>
    <row r="3719" spans="2:7" hidden="1">
      <c r="B3719" s="141" t="s">
        <v>9997</v>
      </c>
      <c r="C3719" s="140" t="s">
        <v>9998</v>
      </c>
      <c r="D3719" s="141" t="s">
        <v>3426</v>
      </c>
      <c r="E3719" s="140" t="s">
        <v>9999</v>
      </c>
      <c r="F3719" s="140" t="s">
        <v>9999</v>
      </c>
      <c r="G3719" s="140"/>
    </row>
    <row r="3720" spans="2:7" hidden="1">
      <c r="B3720" s="141" t="s">
        <v>10000</v>
      </c>
      <c r="C3720" s="140"/>
      <c r="D3720" s="141" t="s">
        <v>4938</v>
      </c>
      <c r="E3720" s="140"/>
      <c r="F3720" s="140"/>
      <c r="G3720" s="140"/>
    </row>
    <row r="3721" spans="2:7" hidden="1">
      <c r="B3721" s="141" t="s">
        <v>10001</v>
      </c>
      <c r="C3721" s="140"/>
      <c r="D3721" s="141" t="s">
        <v>10002</v>
      </c>
      <c r="E3721" s="140"/>
      <c r="F3721" s="140"/>
      <c r="G3721" s="140"/>
    </row>
    <row r="3722" spans="2:7" hidden="1">
      <c r="B3722" s="141" t="s">
        <v>10003</v>
      </c>
      <c r="C3722" s="141"/>
      <c r="D3722" s="141" t="s">
        <v>4104</v>
      </c>
      <c r="E3722" s="141"/>
      <c r="F3722" s="140"/>
      <c r="G3722" s="140"/>
    </row>
    <row r="3723" spans="2:7" hidden="1">
      <c r="B3723" s="141" t="s">
        <v>10004</v>
      </c>
      <c r="C3723" s="141"/>
      <c r="D3723" s="141" t="s">
        <v>10005</v>
      </c>
      <c r="E3723" s="141"/>
      <c r="F3723" s="141"/>
      <c r="G3723" s="140"/>
    </row>
    <row r="3724" spans="2:7" hidden="1">
      <c r="B3724" s="141" t="s">
        <v>10006</v>
      </c>
      <c r="C3724" s="140"/>
      <c r="D3724" s="141" t="s">
        <v>10007</v>
      </c>
      <c r="E3724" s="140"/>
      <c r="F3724" s="140"/>
      <c r="G3724" s="140"/>
    </row>
    <row r="3725" spans="2:7" hidden="1">
      <c r="B3725" s="141" t="s">
        <v>10008</v>
      </c>
      <c r="C3725" s="140"/>
      <c r="D3725" s="141" t="s">
        <v>10009</v>
      </c>
      <c r="E3725" s="140"/>
      <c r="F3725" s="140"/>
      <c r="G3725" s="140"/>
    </row>
    <row r="3726" spans="2:7" hidden="1">
      <c r="B3726" s="141" t="s">
        <v>10010</v>
      </c>
      <c r="C3726" s="140"/>
      <c r="D3726" s="141" t="s">
        <v>10011</v>
      </c>
      <c r="E3726" s="140"/>
      <c r="F3726" s="140"/>
      <c r="G3726" s="140"/>
    </row>
    <row r="3727" spans="2:7" hidden="1">
      <c r="B3727" s="141" t="s">
        <v>10012</v>
      </c>
      <c r="C3727" s="140" t="s">
        <v>10013</v>
      </c>
      <c r="D3727" s="141" t="s">
        <v>2168</v>
      </c>
      <c r="E3727" s="140" t="s">
        <v>10014</v>
      </c>
      <c r="F3727" s="140" t="s">
        <v>10015</v>
      </c>
      <c r="G3727" s="140"/>
    </row>
    <row r="3728" spans="2:7" hidden="1">
      <c r="B3728" s="141" t="s">
        <v>10016</v>
      </c>
      <c r="C3728" s="140" t="s">
        <v>10017</v>
      </c>
      <c r="D3728" s="141" t="s">
        <v>9879</v>
      </c>
      <c r="E3728" s="140" t="s">
        <v>10018</v>
      </c>
      <c r="F3728" s="140" t="s">
        <v>10019</v>
      </c>
      <c r="G3728" s="140"/>
    </row>
    <row r="3729" spans="2:7" hidden="1">
      <c r="B3729" s="140" t="s">
        <v>10020</v>
      </c>
      <c r="C3729" s="140" t="s">
        <v>9882</v>
      </c>
      <c r="D3729" s="140" t="s">
        <v>9883</v>
      </c>
      <c r="E3729" s="142" t="s">
        <v>10021</v>
      </c>
      <c r="F3729" s="142" t="s">
        <v>10022</v>
      </c>
      <c r="G3729" s="140"/>
    </row>
    <row r="3730" spans="2:7" hidden="1">
      <c r="B3730" s="141" t="s">
        <v>10023</v>
      </c>
      <c r="C3730" s="141" t="s">
        <v>9852</v>
      </c>
      <c r="D3730" s="141" t="s">
        <v>9853</v>
      </c>
      <c r="E3730" s="141" t="s">
        <v>10024</v>
      </c>
      <c r="F3730" s="141" t="s">
        <v>10025</v>
      </c>
      <c r="G3730" s="140"/>
    </row>
    <row r="3731" spans="2:7" hidden="1">
      <c r="B3731" s="141" t="s">
        <v>10026</v>
      </c>
      <c r="C3731" s="141" t="s">
        <v>10027</v>
      </c>
      <c r="D3731" s="141" t="s">
        <v>2269</v>
      </c>
      <c r="E3731" s="141" t="s">
        <v>10028</v>
      </c>
      <c r="F3731" s="140" t="s">
        <v>10029</v>
      </c>
      <c r="G3731" s="140"/>
    </row>
    <row r="3732" spans="2:7" hidden="1">
      <c r="B3732" s="141" t="s">
        <v>10030</v>
      </c>
      <c r="C3732" s="140"/>
      <c r="D3732" s="141" t="s">
        <v>1301</v>
      </c>
      <c r="E3732" s="140"/>
      <c r="F3732" s="140"/>
      <c r="G3732" s="140"/>
    </row>
    <row r="3733" spans="2:7" hidden="1">
      <c r="B3733" s="141" t="s">
        <v>10031</v>
      </c>
      <c r="C3733" s="140"/>
      <c r="D3733" s="141" t="s">
        <v>10032</v>
      </c>
      <c r="E3733" s="140"/>
      <c r="F3733" s="140"/>
      <c r="G3733" s="140"/>
    </row>
    <row r="3734" spans="2:7" hidden="1">
      <c r="B3734" s="141" t="s">
        <v>10033</v>
      </c>
      <c r="C3734" s="140"/>
      <c r="D3734" s="141" t="s">
        <v>3213</v>
      </c>
      <c r="E3734" s="140"/>
      <c r="F3734" s="140"/>
      <c r="G3734" s="140"/>
    </row>
    <row r="3735" spans="2:7" hidden="1">
      <c r="B3735" s="141" t="s">
        <v>10034</v>
      </c>
      <c r="C3735" s="141"/>
      <c r="D3735" s="141" t="s">
        <v>10035</v>
      </c>
      <c r="E3735" s="141"/>
      <c r="F3735" s="140"/>
      <c r="G3735" s="140"/>
    </row>
    <row r="3736" spans="2:7" hidden="1">
      <c r="B3736" s="141" t="s">
        <v>10036</v>
      </c>
      <c r="C3736" s="140"/>
      <c r="D3736" s="141" t="s">
        <v>10037</v>
      </c>
      <c r="E3736" s="140"/>
      <c r="F3736" s="140"/>
      <c r="G3736" s="140"/>
    </row>
    <row r="3737" spans="2:7" hidden="1">
      <c r="B3737" s="141" t="s">
        <v>10038</v>
      </c>
      <c r="C3737" s="140" t="s">
        <v>10039</v>
      </c>
      <c r="D3737" s="141" t="s">
        <v>10040</v>
      </c>
      <c r="E3737" s="140"/>
      <c r="F3737" s="140"/>
      <c r="G3737" s="140"/>
    </row>
    <row r="3738" spans="2:7" hidden="1">
      <c r="B3738" s="141" t="s">
        <v>10041</v>
      </c>
      <c r="C3738" s="140" t="s">
        <v>10042</v>
      </c>
      <c r="D3738" s="141" t="s">
        <v>10043</v>
      </c>
      <c r="E3738" s="140"/>
      <c r="F3738" s="140"/>
      <c r="G3738" s="140"/>
    </row>
    <row r="3739" spans="2:7" hidden="1">
      <c r="B3739" s="141" t="s">
        <v>10044</v>
      </c>
      <c r="C3739" s="141"/>
      <c r="D3739" s="141" t="s">
        <v>10045</v>
      </c>
      <c r="E3739" s="141"/>
      <c r="F3739" s="141"/>
      <c r="G3739" s="140"/>
    </row>
    <row r="3740" spans="2:7" hidden="1">
      <c r="B3740" s="141" t="s">
        <v>10046</v>
      </c>
      <c r="C3740" s="140" t="s">
        <v>10047</v>
      </c>
      <c r="D3740" s="141" t="s">
        <v>2251</v>
      </c>
      <c r="E3740" s="140" t="s">
        <v>10048</v>
      </c>
      <c r="F3740" s="140" t="s">
        <v>10049</v>
      </c>
      <c r="G3740" s="140"/>
    </row>
    <row r="3741" spans="2:7" hidden="1">
      <c r="B3741" s="141" t="s">
        <v>10050</v>
      </c>
      <c r="C3741" s="140" t="s">
        <v>10051</v>
      </c>
      <c r="D3741" s="141" t="s">
        <v>10052</v>
      </c>
      <c r="E3741" s="140" t="s">
        <v>10053</v>
      </c>
      <c r="F3741" s="140" t="s">
        <v>10054</v>
      </c>
      <c r="G3741" s="140"/>
    </row>
    <row r="3742" spans="2:7" hidden="1">
      <c r="B3742" s="141" t="s">
        <v>10055</v>
      </c>
      <c r="C3742" s="140" t="s">
        <v>10056</v>
      </c>
      <c r="D3742" s="141" t="s">
        <v>10057</v>
      </c>
      <c r="E3742" s="140" t="s">
        <v>10058</v>
      </c>
      <c r="F3742" s="140" t="s">
        <v>10059</v>
      </c>
      <c r="G3742" s="140"/>
    </row>
    <row r="3743" spans="2:7" hidden="1">
      <c r="B3743" s="141" t="s">
        <v>10060</v>
      </c>
      <c r="C3743" s="140" t="s">
        <v>10061</v>
      </c>
      <c r="D3743" s="141" t="s">
        <v>10062</v>
      </c>
      <c r="E3743" s="140" t="s">
        <v>10063</v>
      </c>
      <c r="F3743" s="140" t="s">
        <v>10064</v>
      </c>
      <c r="G3743" s="140"/>
    </row>
    <row r="3744" spans="2:7" hidden="1">
      <c r="B3744" s="141" t="s">
        <v>10065</v>
      </c>
      <c r="C3744" s="140"/>
      <c r="D3744" s="141" t="s">
        <v>3943</v>
      </c>
      <c r="E3744" s="140"/>
      <c r="F3744" s="140"/>
      <c r="G3744" s="140"/>
    </row>
    <row r="3745" spans="2:7" hidden="1">
      <c r="B3745" s="141" t="s">
        <v>10066</v>
      </c>
      <c r="C3745" s="140" t="s">
        <v>10067</v>
      </c>
      <c r="D3745" s="141" t="s">
        <v>10068</v>
      </c>
      <c r="E3745" s="140" t="s">
        <v>10069</v>
      </c>
      <c r="F3745" s="140" t="s">
        <v>10070</v>
      </c>
      <c r="G3745" s="140"/>
    </row>
    <row r="3746" spans="2:7" hidden="1">
      <c r="B3746" s="141" t="s">
        <v>10071</v>
      </c>
      <c r="C3746" s="140"/>
      <c r="D3746" s="141" t="s">
        <v>10072</v>
      </c>
      <c r="E3746" s="140"/>
      <c r="F3746" s="140"/>
      <c r="G3746" s="140"/>
    </row>
    <row r="3747" spans="2:7" hidden="1">
      <c r="B3747" s="140" t="s">
        <v>10073</v>
      </c>
      <c r="C3747" s="140"/>
      <c r="D3747" s="140" t="s">
        <v>8796</v>
      </c>
      <c r="E3747" s="142"/>
      <c r="F3747" s="142"/>
      <c r="G3747" s="140"/>
    </row>
    <row r="3748" spans="2:7" hidden="1">
      <c r="B3748" s="141" t="s">
        <v>10074</v>
      </c>
      <c r="C3748" s="140"/>
      <c r="D3748" s="141" t="s">
        <v>6305</v>
      </c>
      <c r="E3748" s="140"/>
      <c r="F3748" s="140"/>
      <c r="G3748" s="140"/>
    </row>
    <row r="3749" spans="2:7" hidden="1">
      <c r="B3749" s="141" t="s">
        <v>10075</v>
      </c>
      <c r="C3749" s="140"/>
      <c r="D3749" s="141" t="s">
        <v>10076</v>
      </c>
      <c r="E3749" s="140"/>
      <c r="F3749" s="140"/>
      <c r="G3749" s="140"/>
    </row>
    <row r="3750" spans="2:7" hidden="1">
      <c r="B3750" s="141" t="s">
        <v>10077</v>
      </c>
      <c r="C3750" s="140"/>
      <c r="D3750" s="141" t="s">
        <v>10078</v>
      </c>
      <c r="E3750" s="140"/>
      <c r="F3750" s="140"/>
      <c r="G3750" s="140"/>
    </row>
    <row r="3751" spans="2:7" hidden="1">
      <c r="B3751" s="141" t="s">
        <v>10079</v>
      </c>
      <c r="C3751" s="140"/>
      <c r="D3751" s="141" t="s">
        <v>10080</v>
      </c>
      <c r="E3751" s="140"/>
      <c r="F3751" s="140"/>
      <c r="G3751" s="140"/>
    </row>
    <row r="3752" spans="2:7" hidden="1">
      <c r="B3752" s="141" t="s">
        <v>21762</v>
      </c>
      <c r="C3752" s="141"/>
      <c r="D3752" s="141" t="s">
        <v>3847</v>
      </c>
      <c r="E3752" s="141"/>
      <c r="F3752" s="140"/>
      <c r="G3752" s="140"/>
    </row>
    <row r="3753" spans="2:7" hidden="1">
      <c r="B3753" s="141" t="s">
        <v>10081</v>
      </c>
      <c r="C3753" s="140" t="s">
        <v>10082</v>
      </c>
      <c r="D3753" s="141" t="s">
        <v>10083</v>
      </c>
      <c r="E3753" s="140" t="s">
        <v>10084</v>
      </c>
      <c r="F3753" s="140"/>
      <c r="G3753" s="140"/>
    </row>
    <row r="3754" spans="2:7" hidden="1">
      <c r="B3754" s="141" t="s">
        <v>10085</v>
      </c>
      <c r="C3754" s="140"/>
      <c r="D3754" s="141" t="s">
        <v>2261</v>
      </c>
      <c r="E3754" s="140"/>
      <c r="F3754" s="140"/>
      <c r="G3754" s="140"/>
    </row>
    <row r="3755" spans="2:7" hidden="1">
      <c r="B3755" s="141" t="s">
        <v>10086</v>
      </c>
      <c r="C3755" s="140" t="s">
        <v>10087</v>
      </c>
      <c r="D3755" s="141" t="s">
        <v>10088</v>
      </c>
      <c r="E3755" s="140"/>
      <c r="F3755" s="140"/>
      <c r="G3755" s="140" t="s">
        <v>10089</v>
      </c>
    </row>
    <row r="3756" spans="2:7" hidden="1">
      <c r="B3756" s="141" t="s">
        <v>10090</v>
      </c>
      <c r="C3756" s="141"/>
      <c r="D3756" s="141" t="s">
        <v>10091</v>
      </c>
      <c r="E3756" s="141"/>
      <c r="F3756" s="140"/>
      <c r="G3756" s="140"/>
    </row>
    <row r="3757" spans="2:7" hidden="1">
      <c r="B3757" s="141" t="s">
        <v>10092</v>
      </c>
      <c r="C3757" s="140"/>
      <c r="D3757" s="141" t="s">
        <v>7941</v>
      </c>
      <c r="E3757" s="140"/>
      <c r="F3757" s="140"/>
      <c r="G3757" s="140"/>
    </row>
    <row r="3758" spans="2:7" hidden="1">
      <c r="B3758" s="141" t="s">
        <v>10093</v>
      </c>
      <c r="C3758" s="140" t="s">
        <v>10094</v>
      </c>
      <c r="D3758" s="141" t="s">
        <v>10095</v>
      </c>
      <c r="E3758" s="140"/>
      <c r="F3758" s="140"/>
      <c r="G3758" s="140"/>
    </row>
    <row r="3759" spans="2:7" hidden="1">
      <c r="B3759" s="140" t="s">
        <v>10096</v>
      </c>
      <c r="C3759" s="140"/>
      <c r="D3759" s="140" t="s">
        <v>2954</v>
      </c>
      <c r="E3759" s="142"/>
      <c r="F3759" s="142"/>
      <c r="G3759" s="140"/>
    </row>
    <row r="3760" spans="2:7" hidden="1">
      <c r="B3760" s="141" t="s">
        <v>10097</v>
      </c>
      <c r="C3760" s="140"/>
      <c r="D3760" s="141" t="s">
        <v>4999</v>
      </c>
      <c r="E3760" s="140"/>
      <c r="F3760" s="140"/>
      <c r="G3760" s="140"/>
    </row>
    <row r="3761" spans="2:7" hidden="1">
      <c r="B3761" s="141" t="s">
        <v>10098</v>
      </c>
      <c r="C3761" s="140"/>
      <c r="D3761" s="141" t="s">
        <v>10099</v>
      </c>
      <c r="E3761" s="140"/>
      <c r="F3761" s="140"/>
      <c r="G3761" s="140"/>
    </row>
    <row r="3762" spans="2:7" hidden="1">
      <c r="B3762" s="141" t="s">
        <v>21763</v>
      </c>
      <c r="C3762" s="140"/>
      <c r="D3762" s="141" t="s">
        <v>10100</v>
      </c>
      <c r="E3762" s="140"/>
      <c r="F3762" s="140"/>
      <c r="G3762" s="140"/>
    </row>
    <row r="3763" spans="2:7" hidden="1">
      <c r="B3763" s="141" t="s">
        <v>10101</v>
      </c>
      <c r="C3763" s="141"/>
      <c r="D3763" s="141" t="s">
        <v>4152</v>
      </c>
      <c r="E3763" s="140"/>
      <c r="F3763" s="140"/>
      <c r="G3763" s="140"/>
    </row>
    <row r="3764" spans="2:7" hidden="1">
      <c r="B3764" s="141" t="s">
        <v>10102</v>
      </c>
      <c r="C3764" s="140"/>
      <c r="D3764" s="141" t="s">
        <v>3208</v>
      </c>
      <c r="E3764" s="140"/>
      <c r="F3764" s="140"/>
      <c r="G3764" s="140"/>
    </row>
    <row r="3765" spans="2:7" hidden="1">
      <c r="B3765" s="141" t="s">
        <v>10103</v>
      </c>
      <c r="C3765" s="140"/>
      <c r="D3765" s="141" t="s">
        <v>10104</v>
      </c>
      <c r="E3765" s="140"/>
      <c r="F3765" s="140"/>
      <c r="G3765" s="140"/>
    </row>
    <row r="3766" spans="2:7" hidden="1">
      <c r="B3766" s="141" t="s">
        <v>21764</v>
      </c>
      <c r="C3766" s="140"/>
      <c r="D3766" s="141" t="s">
        <v>9503</v>
      </c>
      <c r="E3766" s="140"/>
      <c r="F3766" s="140"/>
      <c r="G3766" s="140"/>
    </row>
    <row r="3767" spans="2:7" hidden="1">
      <c r="B3767" s="141" t="s">
        <v>10105</v>
      </c>
      <c r="C3767" s="140"/>
      <c r="D3767" s="141" t="s">
        <v>4003</v>
      </c>
      <c r="E3767" s="140"/>
      <c r="F3767" s="140"/>
      <c r="G3767" s="140"/>
    </row>
    <row r="3768" spans="2:7" hidden="1">
      <c r="B3768" s="141" t="s">
        <v>10106</v>
      </c>
      <c r="C3768" s="140"/>
      <c r="D3768" s="141" t="s">
        <v>10107</v>
      </c>
      <c r="E3768" s="140"/>
      <c r="F3768" s="140"/>
      <c r="G3768" s="140"/>
    </row>
    <row r="3769" spans="2:7" hidden="1">
      <c r="B3769" s="141" t="s">
        <v>10108</v>
      </c>
      <c r="C3769" s="140" t="s">
        <v>10109</v>
      </c>
      <c r="D3769" s="141" t="s">
        <v>10110</v>
      </c>
      <c r="E3769" s="140" t="s">
        <v>10111</v>
      </c>
      <c r="F3769" s="140" t="s">
        <v>10112</v>
      </c>
      <c r="G3769" s="140"/>
    </row>
    <row r="3770" spans="2:7" hidden="1">
      <c r="B3770" s="141" t="s">
        <v>10113</v>
      </c>
      <c r="C3770" s="140" t="s">
        <v>10114</v>
      </c>
      <c r="D3770" s="141" t="s">
        <v>10115</v>
      </c>
      <c r="E3770" s="140" t="s">
        <v>10116</v>
      </c>
      <c r="F3770" s="140"/>
      <c r="G3770" s="140"/>
    </row>
    <row r="3771" spans="2:7" hidden="1">
      <c r="B3771" s="141" t="s">
        <v>10117</v>
      </c>
      <c r="C3771" s="140"/>
      <c r="D3771" s="141" t="s">
        <v>10118</v>
      </c>
      <c r="E3771" s="140"/>
      <c r="F3771" s="140"/>
      <c r="G3771" s="140"/>
    </row>
    <row r="3772" spans="2:7" hidden="1">
      <c r="B3772" s="141" t="s">
        <v>10119</v>
      </c>
      <c r="C3772" s="140"/>
      <c r="D3772" s="141" t="s">
        <v>10120</v>
      </c>
      <c r="E3772" s="140"/>
      <c r="F3772" s="140"/>
      <c r="G3772" s="140"/>
    </row>
    <row r="3773" spans="2:7" hidden="1">
      <c r="B3773" s="141" t="s">
        <v>10121</v>
      </c>
      <c r="C3773" s="140" t="s">
        <v>10122</v>
      </c>
      <c r="D3773" s="141" t="s">
        <v>10123</v>
      </c>
      <c r="E3773" s="140"/>
      <c r="F3773" s="140"/>
      <c r="G3773" s="140"/>
    </row>
    <row r="3774" spans="2:7" hidden="1">
      <c r="B3774" s="141" t="s">
        <v>10124</v>
      </c>
      <c r="C3774" s="140" t="s">
        <v>10125</v>
      </c>
      <c r="D3774" s="141" t="s">
        <v>10126</v>
      </c>
      <c r="E3774" s="140" t="s">
        <v>10127</v>
      </c>
      <c r="F3774" s="140"/>
      <c r="G3774" s="140"/>
    </row>
    <row r="3775" spans="2:7" hidden="1">
      <c r="B3775" s="141" t="s">
        <v>10128</v>
      </c>
      <c r="C3775" s="140"/>
      <c r="D3775" s="141" t="s">
        <v>10129</v>
      </c>
      <c r="E3775" s="140"/>
      <c r="F3775" s="140"/>
      <c r="G3775" s="140"/>
    </row>
    <row r="3776" spans="2:7" hidden="1">
      <c r="B3776" s="141" t="s">
        <v>10130</v>
      </c>
      <c r="C3776" s="140" t="s">
        <v>10131</v>
      </c>
      <c r="D3776" s="141" t="s">
        <v>10132</v>
      </c>
      <c r="E3776" s="140" t="s">
        <v>10133</v>
      </c>
      <c r="F3776" s="140" t="s">
        <v>10134</v>
      </c>
      <c r="G3776" s="140"/>
    </row>
    <row r="3777" spans="2:7" hidden="1">
      <c r="B3777" s="140" t="s">
        <v>10135</v>
      </c>
      <c r="C3777" s="140"/>
      <c r="D3777" s="140" t="s">
        <v>10136</v>
      </c>
      <c r="E3777" s="142"/>
      <c r="F3777" s="142"/>
      <c r="G3777" s="140"/>
    </row>
    <row r="3778" spans="2:7" hidden="1">
      <c r="B3778" s="140" t="s">
        <v>10137</v>
      </c>
      <c r="C3778" s="140"/>
      <c r="D3778" s="140" t="s">
        <v>10138</v>
      </c>
      <c r="E3778" s="140"/>
      <c r="F3778" s="140"/>
      <c r="G3778" s="140"/>
    </row>
    <row r="3779" spans="2:7" hidden="1">
      <c r="B3779" s="141" t="s">
        <v>10139</v>
      </c>
      <c r="C3779" s="140"/>
      <c r="D3779" s="141" t="s">
        <v>10140</v>
      </c>
      <c r="E3779" s="140"/>
      <c r="F3779" s="140"/>
      <c r="G3779" s="140"/>
    </row>
    <row r="3780" spans="2:7" hidden="1">
      <c r="B3780" s="141" t="s">
        <v>10141</v>
      </c>
      <c r="C3780" s="140"/>
      <c r="D3780" s="141" t="s">
        <v>4426</v>
      </c>
      <c r="E3780" s="140"/>
      <c r="F3780" s="140"/>
      <c r="G3780" s="140"/>
    </row>
    <row r="3781" spans="2:7" hidden="1">
      <c r="B3781" s="141" t="s">
        <v>10142</v>
      </c>
      <c r="C3781" s="140"/>
      <c r="D3781" s="141" t="s">
        <v>3513</v>
      </c>
      <c r="E3781" s="140"/>
      <c r="F3781" s="140"/>
      <c r="G3781" s="140"/>
    </row>
    <row r="3782" spans="2:7" hidden="1">
      <c r="B3782" s="141" t="s">
        <v>10143</v>
      </c>
      <c r="C3782" s="140" t="s">
        <v>10144</v>
      </c>
      <c r="D3782" s="141" t="s">
        <v>10145</v>
      </c>
      <c r="E3782" s="140"/>
      <c r="F3782" s="140"/>
      <c r="G3782" s="140"/>
    </row>
    <row r="3783" spans="2:7" hidden="1">
      <c r="B3783" s="141" t="s">
        <v>10146</v>
      </c>
      <c r="C3783" s="140"/>
      <c r="D3783" s="141" t="s">
        <v>3345</v>
      </c>
      <c r="E3783" s="140"/>
      <c r="F3783" s="140"/>
      <c r="G3783" s="140"/>
    </row>
    <row r="3784" spans="2:7" hidden="1">
      <c r="B3784" s="141" t="s">
        <v>10147</v>
      </c>
      <c r="C3784" s="140"/>
      <c r="D3784" s="141" t="s">
        <v>3010</v>
      </c>
      <c r="E3784" s="140"/>
      <c r="F3784" s="140"/>
      <c r="G3784" s="140"/>
    </row>
    <row r="3785" spans="2:7" hidden="1">
      <c r="B3785" s="141" t="s">
        <v>10148</v>
      </c>
      <c r="C3785" s="140"/>
      <c r="D3785" s="141" t="s">
        <v>9433</v>
      </c>
      <c r="E3785" s="140"/>
      <c r="F3785" s="140"/>
      <c r="G3785" s="140"/>
    </row>
    <row r="3786" spans="2:7" hidden="1">
      <c r="B3786" s="141" t="s">
        <v>10149</v>
      </c>
      <c r="C3786" s="140"/>
      <c r="D3786" s="141" t="s">
        <v>10150</v>
      </c>
      <c r="E3786" s="140"/>
      <c r="F3786" s="140"/>
      <c r="G3786" s="140"/>
    </row>
    <row r="3787" spans="2:7" hidden="1">
      <c r="B3787" s="141" t="s">
        <v>10151</v>
      </c>
      <c r="C3787" s="140" t="s">
        <v>10152</v>
      </c>
      <c r="D3787" s="141" t="s">
        <v>10153</v>
      </c>
      <c r="E3787" s="140"/>
      <c r="F3787" s="140"/>
      <c r="G3787" s="140"/>
    </row>
    <row r="3788" spans="2:7" hidden="1">
      <c r="B3788" s="141" t="s">
        <v>10154</v>
      </c>
      <c r="C3788" s="140"/>
      <c r="D3788" s="141" t="s">
        <v>10155</v>
      </c>
      <c r="E3788" s="140"/>
      <c r="F3788" s="140"/>
      <c r="G3788" s="140"/>
    </row>
    <row r="3789" spans="2:7" hidden="1">
      <c r="B3789" s="141" t="s">
        <v>10156</v>
      </c>
      <c r="C3789" s="140"/>
      <c r="D3789" s="141" t="s">
        <v>10157</v>
      </c>
      <c r="E3789" s="140"/>
      <c r="F3789" s="140"/>
      <c r="G3789" s="140"/>
    </row>
    <row r="3790" spans="2:7" hidden="1">
      <c r="B3790" s="141" t="s">
        <v>10158</v>
      </c>
      <c r="C3790" s="140"/>
      <c r="D3790" s="141" t="s">
        <v>5582</v>
      </c>
      <c r="E3790" s="140"/>
      <c r="F3790" s="140"/>
      <c r="G3790" s="140"/>
    </row>
    <row r="3791" spans="2:7" hidden="1">
      <c r="B3791" s="141" t="s">
        <v>21765</v>
      </c>
      <c r="C3791" s="140"/>
      <c r="D3791" s="141" t="s">
        <v>10159</v>
      </c>
      <c r="E3791" s="140"/>
      <c r="F3791" s="140"/>
      <c r="G3791" s="140"/>
    </row>
    <row r="3792" spans="2:7" hidden="1">
      <c r="B3792" s="141" t="s">
        <v>10160</v>
      </c>
      <c r="C3792" s="140"/>
      <c r="D3792" s="141" t="s">
        <v>5421</v>
      </c>
      <c r="E3792" s="140"/>
      <c r="F3792" s="140"/>
      <c r="G3792" s="140"/>
    </row>
    <row r="3793" spans="2:7" hidden="1">
      <c r="B3793" s="141" t="s">
        <v>10161</v>
      </c>
      <c r="C3793" s="140"/>
      <c r="D3793" s="141" t="s">
        <v>10162</v>
      </c>
      <c r="E3793" s="140"/>
      <c r="F3793" s="140"/>
      <c r="G3793" s="140"/>
    </row>
    <row r="3794" spans="2:7" hidden="1">
      <c r="B3794" s="141" t="s">
        <v>10163</v>
      </c>
      <c r="C3794" s="140"/>
      <c r="D3794" s="141" t="s">
        <v>10164</v>
      </c>
      <c r="E3794" s="140"/>
      <c r="F3794" s="140"/>
      <c r="G3794" s="140"/>
    </row>
    <row r="3795" spans="2:7" hidden="1">
      <c r="B3795" s="141" t="s">
        <v>20148</v>
      </c>
      <c r="C3795" s="140" t="s">
        <v>20149</v>
      </c>
      <c r="D3795" s="141" t="s">
        <v>10167</v>
      </c>
      <c r="E3795" s="140" t="s">
        <v>20150</v>
      </c>
      <c r="F3795" s="140"/>
      <c r="G3795" s="140" t="s">
        <v>20151</v>
      </c>
    </row>
    <row r="3796" spans="2:7" hidden="1">
      <c r="B3796" s="141" t="s">
        <v>10165</v>
      </c>
      <c r="C3796" s="140" t="s">
        <v>10166</v>
      </c>
      <c r="D3796" s="141" t="s">
        <v>10167</v>
      </c>
      <c r="E3796" s="140"/>
      <c r="F3796" s="140"/>
      <c r="G3796" s="140" t="s">
        <v>10168</v>
      </c>
    </row>
    <row r="3797" spans="2:7" hidden="1">
      <c r="B3797" s="141" t="s">
        <v>10169</v>
      </c>
      <c r="C3797" s="141"/>
      <c r="D3797" s="141" t="s">
        <v>10170</v>
      </c>
      <c r="E3797" s="141"/>
      <c r="F3797" s="140"/>
      <c r="G3797" s="140"/>
    </row>
    <row r="3798" spans="2:7" hidden="1">
      <c r="B3798" s="140" t="s">
        <v>10171</v>
      </c>
      <c r="C3798" s="140"/>
      <c r="D3798" s="140" t="s">
        <v>8199</v>
      </c>
      <c r="E3798" s="142"/>
      <c r="F3798" s="142"/>
      <c r="G3798" s="140"/>
    </row>
    <row r="3799" spans="2:7" hidden="1">
      <c r="B3799" s="141" t="s">
        <v>10172</v>
      </c>
      <c r="C3799" s="140"/>
      <c r="D3799" s="141" t="s">
        <v>4458</v>
      </c>
      <c r="E3799" s="140"/>
      <c r="F3799" s="140"/>
      <c r="G3799" s="140"/>
    </row>
    <row r="3800" spans="2:7" hidden="1">
      <c r="B3800" s="140" t="s">
        <v>22048</v>
      </c>
      <c r="C3800" s="140" t="s">
        <v>22049</v>
      </c>
      <c r="D3800" s="140" t="s">
        <v>22050</v>
      </c>
      <c r="E3800" s="142"/>
      <c r="F3800" s="142"/>
      <c r="G3800" s="140"/>
    </row>
    <row r="3801" spans="2:7" hidden="1">
      <c r="B3801" s="141" t="s">
        <v>10173</v>
      </c>
      <c r="C3801" s="140"/>
      <c r="D3801" s="141" t="s">
        <v>10174</v>
      </c>
      <c r="E3801" s="140"/>
      <c r="F3801" s="140"/>
      <c r="G3801" s="140"/>
    </row>
    <row r="3802" spans="2:7" hidden="1">
      <c r="B3802" s="140" t="s">
        <v>10175</v>
      </c>
      <c r="C3802" s="140"/>
      <c r="D3802" s="140" t="s">
        <v>7918</v>
      </c>
      <c r="E3802" s="142"/>
      <c r="F3802" s="142"/>
      <c r="G3802" s="140"/>
    </row>
    <row r="3803" spans="2:7" hidden="1">
      <c r="B3803" s="141" t="s">
        <v>21766</v>
      </c>
      <c r="C3803" s="140"/>
      <c r="D3803" s="141" t="s">
        <v>3205</v>
      </c>
      <c r="E3803" s="140"/>
      <c r="F3803" s="140"/>
      <c r="G3803" s="140"/>
    </row>
    <row r="3804" spans="2:7" hidden="1">
      <c r="B3804" s="141" t="s">
        <v>10176</v>
      </c>
      <c r="C3804" s="140"/>
      <c r="D3804" s="141" t="s">
        <v>6141</v>
      </c>
      <c r="E3804" s="140"/>
      <c r="F3804" s="140"/>
      <c r="G3804" s="140"/>
    </row>
    <row r="3805" spans="2:7" hidden="1">
      <c r="B3805" s="141" t="s">
        <v>10177</v>
      </c>
      <c r="C3805" s="140"/>
      <c r="D3805" s="141" t="s">
        <v>10076</v>
      </c>
      <c r="E3805" s="140"/>
      <c r="F3805" s="140"/>
      <c r="G3805" s="140"/>
    </row>
    <row r="3806" spans="2:7" hidden="1">
      <c r="B3806" s="140" t="s">
        <v>10178</v>
      </c>
      <c r="C3806" s="141" t="s">
        <v>10179</v>
      </c>
      <c r="D3806" s="141" t="s">
        <v>10180</v>
      </c>
      <c r="E3806" s="141"/>
      <c r="F3806" s="141"/>
      <c r="G3806" s="140"/>
    </row>
    <row r="3807" spans="2:7" hidden="1">
      <c r="B3807" s="141" t="s">
        <v>10181</v>
      </c>
      <c r="C3807" s="140"/>
      <c r="D3807" s="141" t="s">
        <v>10182</v>
      </c>
      <c r="E3807" s="140"/>
      <c r="F3807" s="140"/>
      <c r="G3807" s="140"/>
    </row>
    <row r="3808" spans="2:7" hidden="1">
      <c r="B3808" s="141" t="s">
        <v>10183</v>
      </c>
      <c r="C3808" s="141"/>
      <c r="D3808" s="141" t="s">
        <v>10184</v>
      </c>
      <c r="E3808" s="141"/>
      <c r="F3808" s="140"/>
      <c r="G3808" s="140"/>
    </row>
    <row r="3809" spans="2:7" hidden="1">
      <c r="B3809" s="141" t="s">
        <v>10185</v>
      </c>
      <c r="C3809" s="140"/>
      <c r="D3809" s="141" t="s">
        <v>10186</v>
      </c>
      <c r="E3809" s="140"/>
      <c r="F3809" s="140"/>
      <c r="G3809" s="140"/>
    </row>
    <row r="3810" spans="2:7" hidden="1">
      <c r="B3810" s="141" t="s">
        <v>10187</v>
      </c>
      <c r="C3810" s="140" t="s">
        <v>10188</v>
      </c>
      <c r="D3810" s="141" t="s">
        <v>10189</v>
      </c>
      <c r="E3810" s="140" t="s">
        <v>10190</v>
      </c>
      <c r="F3810" s="140" t="s">
        <v>10191</v>
      </c>
      <c r="G3810" s="140"/>
    </row>
    <row r="3811" spans="2:7" hidden="1">
      <c r="B3811" s="141" t="s">
        <v>21767</v>
      </c>
      <c r="C3811" s="140" t="s">
        <v>10192</v>
      </c>
      <c r="D3811" s="141" t="s">
        <v>10193</v>
      </c>
      <c r="E3811" s="140"/>
      <c r="F3811" s="140"/>
      <c r="G3811" s="140"/>
    </row>
    <row r="3812" spans="2:7" hidden="1">
      <c r="B3812" s="141" t="s">
        <v>10206</v>
      </c>
      <c r="C3812" s="140"/>
      <c r="D3812" s="141" t="s">
        <v>10207</v>
      </c>
      <c r="E3812" s="140"/>
      <c r="F3812" s="140"/>
      <c r="G3812" s="140"/>
    </row>
    <row r="3813" spans="2:7" hidden="1">
      <c r="B3813" s="141" t="s">
        <v>10208</v>
      </c>
      <c r="C3813" s="140"/>
      <c r="D3813" s="141" t="s">
        <v>10209</v>
      </c>
      <c r="E3813" s="140"/>
      <c r="F3813" s="140"/>
      <c r="G3813" s="140"/>
    </row>
    <row r="3814" spans="2:7" hidden="1">
      <c r="B3814" s="141" t="s">
        <v>10210</v>
      </c>
      <c r="C3814" s="140"/>
      <c r="D3814" s="141" t="s">
        <v>10211</v>
      </c>
      <c r="E3814" s="140"/>
      <c r="F3814" s="140"/>
      <c r="G3814" s="140"/>
    </row>
    <row r="3815" spans="2:7" hidden="1">
      <c r="B3815" s="141" t="s">
        <v>21768</v>
      </c>
      <c r="C3815" s="140"/>
      <c r="D3815" s="141" t="s">
        <v>4618</v>
      </c>
      <c r="E3815" s="140"/>
      <c r="F3815" s="140"/>
      <c r="G3815" s="140"/>
    </row>
    <row r="3816" spans="2:7" hidden="1">
      <c r="B3816" s="141" t="s">
        <v>21769</v>
      </c>
      <c r="C3816" s="140" t="s">
        <v>10194</v>
      </c>
      <c r="D3816" s="141" t="s">
        <v>10195</v>
      </c>
      <c r="E3816" s="140" t="s">
        <v>10196</v>
      </c>
      <c r="F3816" s="140"/>
      <c r="G3816" s="140"/>
    </row>
    <row r="3817" spans="2:7" hidden="1">
      <c r="B3817" s="140" t="s">
        <v>21770</v>
      </c>
      <c r="C3817" s="140"/>
      <c r="D3817" s="140" t="s">
        <v>10197</v>
      </c>
      <c r="E3817" s="140"/>
      <c r="F3817" s="140"/>
      <c r="G3817" s="140"/>
    </row>
    <row r="3818" spans="2:7" hidden="1">
      <c r="B3818" s="140" t="s">
        <v>21771</v>
      </c>
      <c r="C3818" s="140"/>
      <c r="D3818" s="140" t="s">
        <v>7777</v>
      </c>
      <c r="E3818" s="140"/>
      <c r="F3818" s="140"/>
      <c r="G3818" s="140"/>
    </row>
    <row r="3819" spans="2:7" hidden="1">
      <c r="B3819" s="141" t="s">
        <v>10212</v>
      </c>
      <c r="C3819" s="141"/>
      <c r="D3819" s="141" t="s">
        <v>1187</v>
      </c>
      <c r="E3819" s="141"/>
      <c r="F3819" s="140"/>
      <c r="G3819" s="140"/>
    </row>
    <row r="3820" spans="2:7" hidden="1">
      <c r="B3820" s="140" t="s">
        <v>10213</v>
      </c>
      <c r="C3820" s="140"/>
      <c r="D3820" s="140" t="s">
        <v>10214</v>
      </c>
      <c r="E3820" s="142"/>
      <c r="F3820" s="142"/>
      <c r="G3820" s="140"/>
    </row>
    <row r="3821" spans="2:7" hidden="1">
      <c r="B3821" s="141" t="s">
        <v>21772</v>
      </c>
      <c r="C3821" s="140"/>
      <c r="D3821" s="141" t="s">
        <v>10198</v>
      </c>
      <c r="E3821" s="140"/>
      <c r="F3821" s="140"/>
      <c r="G3821" s="140"/>
    </row>
    <row r="3822" spans="2:7" hidden="1">
      <c r="B3822" s="141" t="s">
        <v>21773</v>
      </c>
      <c r="C3822" s="140"/>
      <c r="D3822" s="141" t="s">
        <v>8165</v>
      </c>
      <c r="E3822" s="140"/>
      <c r="F3822" s="140"/>
      <c r="G3822" s="140"/>
    </row>
    <row r="3823" spans="2:7" hidden="1">
      <c r="B3823" s="141" t="s">
        <v>10215</v>
      </c>
      <c r="C3823" s="140" t="s">
        <v>10216</v>
      </c>
      <c r="D3823" s="141" t="s">
        <v>4129</v>
      </c>
      <c r="E3823" s="140" t="s">
        <v>10217</v>
      </c>
      <c r="F3823" s="140" t="s">
        <v>10218</v>
      </c>
      <c r="G3823" s="140"/>
    </row>
    <row r="3824" spans="2:7" hidden="1">
      <c r="B3824" s="141" t="s">
        <v>21774</v>
      </c>
      <c r="C3824" s="140" t="s">
        <v>10199</v>
      </c>
      <c r="D3824" s="141" t="s">
        <v>10200</v>
      </c>
      <c r="E3824" s="140" t="s">
        <v>10201</v>
      </c>
      <c r="F3824" s="140"/>
      <c r="G3824" s="140"/>
    </row>
    <row r="3825" spans="2:7" hidden="1">
      <c r="B3825" s="141" t="s">
        <v>21775</v>
      </c>
      <c r="C3825" s="141" t="s">
        <v>10202</v>
      </c>
      <c r="D3825" s="141" t="s">
        <v>10203</v>
      </c>
      <c r="E3825" s="141" t="s">
        <v>10204</v>
      </c>
      <c r="F3825" s="141" t="s">
        <v>10205</v>
      </c>
      <c r="G3825" s="140"/>
    </row>
    <row r="3826" spans="2:7" hidden="1">
      <c r="B3826" s="141" t="s">
        <v>21776</v>
      </c>
      <c r="C3826" s="140"/>
      <c r="D3826" s="140" t="s">
        <v>3643</v>
      </c>
      <c r="E3826" s="140"/>
      <c r="F3826" s="140"/>
      <c r="G3826" s="140"/>
    </row>
    <row r="3827" spans="2:7" hidden="1">
      <c r="B3827" s="141" t="s">
        <v>10219</v>
      </c>
      <c r="C3827" s="141" t="s">
        <v>10220</v>
      </c>
      <c r="D3827" s="141" t="s">
        <v>10221</v>
      </c>
      <c r="E3827" s="141"/>
      <c r="F3827" s="140"/>
      <c r="G3827" s="140"/>
    </row>
    <row r="3828" spans="2:7" hidden="1">
      <c r="B3828" s="141" t="s">
        <v>10222</v>
      </c>
      <c r="C3828" s="140" t="s">
        <v>10223</v>
      </c>
      <c r="D3828" s="141" t="s">
        <v>10224</v>
      </c>
      <c r="E3828" s="140"/>
      <c r="F3828" s="140"/>
      <c r="G3828" s="140" t="s">
        <v>10225</v>
      </c>
    </row>
    <row r="3829" spans="2:7" hidden="1">
      <c r="B3829" s="141" t="s">
        <v>10226</v>
      </c>
      <c r="C3829" s="141"/>
      <c r="D3829" s="141" t="s">
        <v>10227</v>
      </c>
      <c r="E3829" s="141"/>
      <c r="F3829" s="141"/>
      <c r="G3829" s="140"/>
    </row>
    <row r="3830" spans="2:7" hidden="1">
      <c r="B3830" s="141" t="s">
        <v>10228</v>
      </c>
      <c r="C3830" s="140"/>
      <c r="D3830" s="141" t="s">
        <v>5503</v>
      </c>
      <c r="E3830" s="140"/>
      <c r="F3830" s="140"/>
      <c r="G3830" s="140"/>
    </row>
    <row r="3831" spans="2:7" hidden="1">
      <c r="B3831" s="141" t="s">
        <v>21777</v>
      </c>
      <c r="C3831" s="140"/>
      <c r="D3831" s="141" t="s">
        <v>10229</v>
      </c>
      <c r="E3831" s="140"/>
      <c r="F3831" s="140"/>
      <c r="G3831" s="140"/>
    </row>
    <row r="3832" spans="2:7" hidden="1">
      <c r="B3832" s="141" t="s">
        <v>21778</v>
      </c>
      <c r="C3832" s="140"/>
      <c r="D3832" s="141" t="s">
        <v>3124</v>
      </c>
      <c r="E3832" s="140"/>
      <c r="F3832" s="140"/>
      <c r="G3832" s="140"/>
    </row>
    <row r="3833" spans="2:7" hidden="1">
      <c r="B3833" s="141" t="s">
        <v>10230</v>
      </c>
      <c r="C3833" s="140"/>
      <c r="D3833" s="141" t="s">
        <v>3643</v>
      </c>
      <c r="E3833" s="140"/>
      <c r="F3833" s="140"/>
      <c r="G3833" s="140"/>
    </row>
    <row r="3834" spans="2:7" hidden="1">
      <c r="B3834" s="140" t="s">
        <v>10231</v>
      </c>
      <c r="C3834" s="140"/>
      <c r="D3834" s="140" t="s">
        <v>4290</v>
      </c>
      <c r="E3834" s="142"/>
      <c r="F3834" s="142"/>
      <c r="G3834" s="140"/>
    </row>
    <row r="3835" spans="2:7" hidden="1">
      <c r="B3835" s="141" t="s">
        <v>10232</v>
      </c>
      <c r="C3835" s="140"/>
      <c r="D3835" s="141" t="s">
        <v>10233</v>
      </c>
      <c r="E3835" s="140"/>
      <c r="F3835" s="140"/>
      <c r="G3835" s="140"/>
    </row>
    <row r="3836" spans="2:7" hidden="1">
      <c r="B3836" s="140" t="s">
        <v>10234</v>
      </c>
      <c r="C3836" s="140"/>
      <c r="D3836" s="140" t="s">
        <v>10235</v>
      </c>
      <c r="E3836" s="142"/>
      <c r="F3836" s="142"/>
      <c r="G3836" s="140"/>
    </row>
    <row r="3837" spans="2:7" hidden="1">
      <c r="B3837" s="141" t="s">
        <v>21779</v>
      </c>
      <c r="C3837" s="141"/>
      <c r="D3837" s="141" t="s">
        <v>10236</v>
      </c>
      <c r="E3837" s="140"/>
      <c r="F3837" s="140"/>
      <c r="G3837" s="140"/>
    </row>
    <row r="3838" spans="2:7" hidden="1">
      <c r="B3838" s="141" t="s">
        <v>10237</v>
      </c>
      <c r="C3838" s="140"/>
      <c r="D3838" s="141" t="s">
        <v>10238</v>
      </c>
      <c r="E3838" s="140"/>
      <c r="F3838" s="140"/>
      <c r="G3838" s="140"/>
    </row>
    <row r="3839" spans="2:7" hidden="1">
      <c r="B3839" s="141" t="s">
        <v>10239</v>
      </c>
      <c r="C3839" s="140"/>
      <c r="D3839" s="141" t="s">
        <v>10240</v>
      </c>
      <c r="E3839" s="140"/>
      <c r="F3839" s="140"/>
      <c r="G3839" s="140"/>
    </row>
    <row r="3840" spans="2:7" hidden="1">
      <c r="B3840" s="140" t="s">
        <v>10241</v>
      </c>
      <c r="C3840" s="140"/>
      <c r="D3840" s="140" t="s">
        <v>6305</v>
      </c>
      <c r="E3840" s="142"/>
      <c r="F3840" s="142"/>
      <c r="G3840" s="140"/>
    </row>
    <row r="3841" spans="2:7" hidden="1">
      <c r="B3841" s="141" t="s">
        <v>10242</v>
      </c>
      <c r="C3841" s="140"/>
      <c r="D3841" s="141" t="s">
        <v>10243</v>
      </c>
      <c r="E3841" s="140"/>
      <c r="F3841" s="140"/>
      <c r="G3841" s="140"/>
    </row>
    <row r="3842" spans="2:7" hidden="1">
      <c r="B3842" s="141" t="s">
        <v>10244</v>
      </c>
      <c r="C3842" s="140"/>
      <c r="D3842" s="141" t="s">
        <v>10245</v>
      </c>
      <c r="E3842" s="140"/>
      <c r="F3842" s="140"/>
      <c r="G3842" s="140"/>
    </row>
    <row r="3843" spans="2:7" hidden="1">
      <c r="B3843" s="141" t="s">
        <v>10246</v>
      </c>
      <c r="C3843" s="140" t="s">
        <v>10247</v>
      </c>
      <c r="D3843" s="141" t="s">
        <v>10248</v>
      </c>
      <c r="E3843" s="140"/>
      <c r="F3843" s="140"/>
      <c r="G3843" s="140"/>
    </row>
    <row r="3844" spans="2:7" hidden="1">
      <c r="B3844" s="141" t="s">
        <v>10249</v>
      </c>
      <c r="C3844" s="140" t="s">
        <v>10250</v>
      </c>
      <c r="D3844" s="141" t="s">
        <v>10251</v>
      </c>
      <c r="E3844" s="140"/>
      <c r="F3844" s="140"/>
      <c r="G3844" s="140"/>
    </row>
    <row r="3845" spans="2:7" hidden="1">
      <c r="B3845" s="140" t="s">
        <v>10252</v>
      </c>
      <c r="C3845" s="140"/>
      <c r="D3845" s="140" t="s">
        <v>2334</v>
      </c>
      <c r="E3845" s="142"/>
      <c r="F3845" s="142"/>
      <c r="G3845" s="140"/>
    </row>
    <row r="3846" spans="2:7" hidden="1">
      <c r="B3846" s="141" t="s">
        <v>10253</v>
      </c>
      <c r="C3846" s="140"/>
      <c r="D3846" s="141" t="s">
        <v>3334</v>
      </c>
      <c r="E3846" s="140"/>
      <c r="F3846" s="140"/>
      <c r="G3846" s="140"/>
    </row>
    <row r="3847" spans="2:7" hidden="1">
      <c r="B3847" s="141" t="s">
        <v>10254</v>
      </c>
      <c r="C3847" s="140"/>
      <c r="D3847" s="141" t="s">
        <v>10255</v>
      </c>
      <c r="E3847" s="140"/>
      <c r="F3847" s="140"/>
      <c r="G3847" s="140"/>
    </row>
    <row r="3848" spans="2:7" hidden="1">
      <c r="B3848" s="141" t="s">
        <v>10256</v>
      </c>
      <c r="C3848" s="140"/>
      <c r="D3848" s="141" t="s">
        <v>1213</v>
      </c>
      <c r="E3848" s="140"/>
      <c r="F3848" s="140"/>
      <c r="G3848" s="140"/>
    </row>
    <row r="3849" spans="2:7" hidden="1">
      <c r="B3849" s="141" t="s">
        <v>10257</v>
      </c>
      <c r="C3849" s="140" t="s">
        <v>10258</v>
      </c>
      <c r="D3849" s="141" t="s">
        <v>10259</v>
      </c>
      <c r="E3849" s="140" t="s">
        <v>10260</v>
      </c>
      <c r="F3849" s="140" t="s">
        <v>10261</v>
      </c>
      <c r="G3849" s="140"/>
    </row>
    <row r="3850" spans="2:7" hidden="1">
      <c r="B3850" s="141" t="s">
        <v>21780</v>
      </c>
      <c r="C3850" s="140" t="s">
        <v>10262</v>
      </c>
      <c r="D3850" s="141" t="s">
        <v>10263</v>
      </c>
      <c r="E3850" s="140" t="s">
        <v>10264</v>
      </c>
      <c r="F3850" s="140" t="s">
        <v>10265</v>
      </c>
      <c r="G3850" s="140"/>
    </row>
    <row r="3851" spans="2:7" hidden="1">
      <c r="B3851" s="141" t="s">
        <v>21781</v>
      </c>
      <c r="C3851" s="141" t="s">
        <v>10266</v>
      </c>
      <c r="D3851" s="141" t="s">
        <v>10267</v>
      </c>
      <c r="E3851" s="141"/>
      <c r="F3851" s="140"/>
      <c r="G3851" s="140"/>
    </row>
    <row r="3852" spans="2:7" hidden="1">
      <c r="B3852" s="141" t="s">
        <v>10268</v>
      </c>
      <c r="C3852" s="140" t="s">
        <v>10269</v>
      </c>
      <c r="D3852" s="141" t="s">
        <v>6038</v>
      </c>
      <c r="E3852" s="140"/>
      <c r="F3852" s="140"/>
      <c r="G3852" s="140"/>
    </row>
    <row r="3853" spans="2:7" hidden="1">
      <c r="B3853" s="141" t="s">
        <v>10270</v>
      </c>
      <c r="C3853" s="140"/>
      <c r="D3853" s="141" t="s">
        <v>10271</v>
      </c>
      <c r="E3853" s="140"/>
      <c r="F3853" s="140"/>
      <c r="G3853" s="140"/>
    </row>
    <row r="3854" spans="2:7" hidden="1">
      <c r="B3854" s="141" t="s">
        <v>10272</v>
      </c>
      <c r="C3854" s="140"/>
      <c r="D3854" s="141" t="s">
        <v>10273</v>
      </c>
      <c r="E3854" s="140"/>
      <c r="F3854" s="140"/>
      <c r="G3854" s="140"/>
    </row>
    <row r="3855" spans="2:7" hidden="1">
      <c r="B3855" s="140" t="s">
        <v>10274</v>
      </c>
      <c r="C3855" s="140"/>
      <c r="D3855" s="140" t="s">
        <v>10275</v>
      </c>
      <c r="E3855" s="142"/>
      <c r="F3855" s="142"/>
      <c r="G3855" s="140"/>
    </row>
    <row r="3856" spans="2:7" hidden="1">
      <c r="B3856" s="140" t="s">
        <v>10276</v>
      </c>
      <c r="C3856" s="141"/>
      <c r="D3856" s="141" t="s">
        <v>7199</v>
      </c>
      <c r="E3856" s="141"/>
      <c r="F3856" s="141"/>
      <c r="G3856" s="140"/>
    </row>
    <row r="3857" spans="2:7" hidden="1">
      <c r="B3857" s="141" t="s">
        <v>10277</v>
      </c>
      <c r="C3857" s="140"/>
      <c r="D3857" s="141" t="s">
        <v>10278</v>
      </c>
      <c r="E3857" s="140"/>
      <c r="F3857" s="140"/>
      <c r="G3857" s="140"/>
    </row>
    <row r="3858" spans="2:7" hidden="1">
      <c r="B3858" s="141" t="s">
        <v>10279</v>
      </c>
      <c r="C3858" s="140"/>
      <c r="D3858" s="141" t="s">
        <v>3416</v>
      </c>
      <c r="E3858" s="140"/>
      <c r="F3858" s="140"/>
      <c r="G3858" s="140"/>
    </row>
    <row r="3859" spans="2:7" hidden="1">
      <c r="B3859" s="141" t="s">
        <v>10280</v>
      </c>
      <c r="C3859" s="140"/>
      <c r="D3859" s="141" t="s">
        <v>10281</v>
      </c>
      <c r="E3859" s="140"/>
      <c r="F3859" s="140"/>
      <c r="G3859" s="140"/>
    </row>
    <row r="3860" spans="2:7" hidden="1">
      <c r="B3860" s="141" t="s">
        <v>10282</v>
      </c>
      <c r="C3860" s="141"/>
      <c r="D3860" s="141" t="s">
        <v>9433</v>
      </c>
      <c r="E3860" s="141"/>
      <c r="F3860" s="141"/>
      <c r="G3860" s="140"/>
    </row>
    <row r="3861" spans="2:7" hidden="1">
      <c r="B3861" s="140" t="s">
        <v>21782</v>
      </c>
      <c r="C3861" s="140" t="s">
        <v>10283</v>
      </c>
      <c r="D3861" s="140" t="s">
        <v>10284</v>
      </c>
      <c r="E3861" s="142" t="s">
        <v>10285</v>
      </c>
      <c r="F3861" s="142" t="s">
        <v>10286</v>
      </c>
      <c r="G3861" s="140"/>
    </row>
    <row r="3862" spans="2:7" hidden="1">
      <c r="B3862" s="141" t="s">
        <v>10287</v>
      </c>
      <c r="C3862" s="140"/>
      <c r="D3862" s="141" t="s">
        <v>10288</v>
      </c>
      <c r="E3862" s="140"/>
      <c r="F3862" s="140"/>
      <c r="G3862" s="140"/>
    </row>
    <row r="3863" spans="2:7" hidden="1">
      <c r="B3863" s="141" t="s">
        <v>10289</v>
      </c>
      <c r="C3863" s="140"/>
      <c r="D3863" s="141" t="s">
        <v>10290</v>
      </c>
      <c r="E3863" s="140"/>
      <c r="F3863" s="140"/>
      <c r="G3863" s="140"/>
    </row>
    <row r="3864" spans="2:7" hidden="1">
      <c r="B3864" s="141" t="s">
        <v>10291</v>
      </c>
      <c r="C3864" s="140" t="s">
        <v>10292</v>
      </c>
      <c r="D3864" s="141" t="s">
        <v>10293</v>
      </c>
      <c r="E3864" s="140"/>
      <c r="F3864" s="140"/>
      <c r="G3864" s="140" t="s">
        <v>10294</v>
      </c>
    </row>
    <row r="3865" spans="2:7" hidden="1">
      <c r="B3865" s="141" t="s">
        <v>21783</v>
      </c>
      <c r="C3865" s="140"/>
      <c r="D3865" s="141" t="s">
        <v>9635</v>
      </c>
      <c r="E3865" s="140"/>
      <c r="F3865" s="140"/>
      <c r="G3865" s="140"/>
    </row>
    <row r="3866" spans="2:7" hidden="1">
      <c r="B3866" s="141" t="s">
        <v>10295</v>
      </c>
      <c r="C3866" s="140"/>
      <c r="D3866" s="141" t="s">
        <v>10296</v>
      </c>
      <c r="E3866" s="140"/>
      <c r="F3866" s="140"/>
      <c r="G3866" s="140"/>
    </row>
    <row r="3867" spans="2:7" hidden="1">
      <c r="B3867" s="141" t="s">
        <v>10297</v>
      </c>
      <c r="C3867" s="140"/>
      <c r="D3867" s="141" t="s">
        <v>10298</v>
      </c>
      <c r="E3867" s="140"/>
      <c r="F3867" s="140"/>
      <c r="G3867" s="140"/>
    </row>
    <row r="3868" spans="2:7" hidden="1">
      <c r="B3868" s="141" t="s">
        <v>10299</v>
      </c>
      <c r="C3868" s="140" t="s">
        <v>10300</v>
      </c>
      <c r="D3868" s="141" t="s">
        <v>10301</v>
      </c>
      <c r="E3868" s="141" t="s">
        <v>10302</v>
      </c>
      <c r="F3868" s="141" t="s">
        <v>10303</v>
      </c>
      <c r="G3868" s="140"/>
    </row>
    <row r="3869" spans="2:7" hidden="1">
      <c r="B3869" s="141" t="s">
        <v>10304</v>
      </c>
      <c r="C3869" s="140"/>
      <c r="D3869" s="141" t="s">
        <v>10305</v>
      </c>
      <c r="E3869" s="140"/>
      <c r="F3869" s="140"/>
      <c r="G3869" s="140"/>
    </row>
    <row r="3870" spans="2:7" hidden="1">
      <c r="B3870" s="141" t="s">
        <v>10306</v>
      </c>
      <c r="C3870" s="140"/>
      <c r="D3870" s="141" t="s">
        <v>2110</v>
      </c>
      <c r="E3870" s="140"/>
      <c r="F3870" s="140"/>
      <c r="G3870" s="140"/>
    </row>
    <row r="3871" spans="2:7" hidden="1">
      <c r="B3871" s="141" t="s">
        <v>10307</v>
      </c>
      <c r="C3871" s="140"/>
      <c r="D3871" s="141" t="s">
        <v>4479</v>
      </c>
      <c r="E3871" s="140"/>
      <c r="F3871" s="140"/>
      <c r="G3871" s="140"/>
    </row>
    <row r="3872" spans="2:7" hidden="1">
      <c r="B3872" s="141" t="s">
        <v>10308</v>
      </c>
      <c r="C3872" s="141"/>
      <c r="D3872" s="141" t="s">
        <v>10309</v>
      </c>
      <c r="E3872" s="141"/>
      <c r="F3872" s="140"/>
      <c r="G3872" s="140"/>
    </row>
    <row r="3873" spans="2:7" hidden="1">
      <c r="B3873" s="140" t="s">
        <v>10310</v>
      </c>
      <c r="C3873" s="140"/>
      <c r="D3873" s="141" t="s">
        <v>3910</v>
      </c>
      <c r="E3873" s="140"/>
      <c r="F3873" s="140"/>
      <c r="G3873" s="140"/>
    </row>
    <row r="3874" spans="2:7" hidden="1">
      <c r="B3874" s="141" t="s">
        <v>10311</v>
      </c>
      <c r="C3874" s="140"/>
      <c r="D3874" s="141" t="s">
        <v>10312</v>
      </c>
      <c r="E3874" s="140"/>
      <c r="F3874" s="140"/>
      <c r="G3874" s="140"/>
    </row>
    <row r="3875" spans="2:7" hidden="1">
      <c r="B3875" s="141" t="s">
        <v>10313</v>
      </c>
      <c r="C3875" s="141"/>
      <c r="D3875" s="141" t="s">
        <v>9832</v>
      </c>
      <c r="E3875" s="141"/>
      <c r="F3875" s="141"/>
      <c r="G3875" s="140"/>
    </row>
    <row r="3876" spans="2:7" hidden="1">
      <c r="B3876" s="141" t="s">
        <v>10314</v>
      </c>
      <c r="C3876" s="140"/>
      <c r="D3876" s="141" t="s">
        <v>10315</v>
      </c>
      <c r="E3876" s="140"/>
      <c r="F3876" s="140"/>
      <c r="G3876" s="140"/>
    </row>
    <row r="3877" spans="2:7" hidden="1">
      <c r="B3877" s="141" t="s">
        <v>10316</v>
      </c>
      <c r="C3877" s="140" t="s">
        <v>10317</v>
      </c>
      <c r="D3877" s="141" t="s">
        <v>3100</v>
      </c>
      <c r="E3877" s="140" t="s">
        <v>10318</v>
      </c>
      <c r="F3877" s="140" t="s">
        <v>10319</v>
      </c>
      <c r="G3877" s="140"/>
    </row>
    <row r="3878" spans="2:7" hidden="1">
      <c r="B3878" s="141" t="s">
        <v>10320</v>
      </c>
      <c r="C3878" s="140"/>
      <c r="D3878" s="141" t="s">
        <v>10321</v>
      </c>
      <c r="E3878" s="140"/>
      <c r="F3878" s="140"/>
      <c r="G3878" s="140"/>
    </row>
    <row r="3879" spans="2:7" hidden="1">
      <c r="B3879" s="141" t="s">
        <v>10322</v>
      </c>
      <c r="C3879" s="140" t="s">
        <v>10323</v>
      </c>
      <c r="D3879" s="141" t="s">
        <v>10324</v>
      </c>
      <c r="E3879" s="140" t="s">
        <v>10325</v>
      </c>
      <c r="F3879" s="140" t="s">
        <v>10326</v>
      </c>
      <c r="G3879" s="140"/>
    </row>
    <row r="3880" spans="2:7" hidden="1">
      <c r="B3880" s="141" t="s">
        <v>10327</v>
      </c>
      <c r="C3880" s="140" t="s">
        <v>10328</v>
      </c>
      <c r="D3880" s="141" t="s">
        <v>10329</v>
      </c>
      <c r="E3880" s="140" t="s">
        <v>10330</v>
      </c>
      <c r="F3880" s="140" t="s">
        <v>10331</v>
      </c>
      <c r="G3880" s="140"/>
    </row>
    <row r="3881" spans="2:7" hidden="1">
      <c r="B3881" s="141" t="s">
        <v>10332</v>
      </c>
      <c r="C3881" s="140"/>
      <c r="D3881" s="141" t="s">
        <v>10333</v>
      </c>
      <c r="E3881" s="140"/>
      <c r="F3881" s="140"/>
      <c r="G3881" s="140"/>
    </row>
    <row r="3882" spans="2:7" hidden="1">
      <c r="B3882" s="141" t="s">
        <v>10334</v>
      </c>
      <c r="C3882" s="140" t="s">
        <v>10335</v>
      </c>
      <c r="D3882" s="141" t="s">
        <v>2690</v>
      </c>
      <c r="E3882" s="140"/>
      <c r="F3882" s="140"/>
      <c r="G3882" s="140"/>
    </row>
    <row r="3883" spans="2:7" hidden="1">
      <c r="B3883" s="141" t="s">
        <v>10336</v>
      </c>
      <c r="C3883" s="140"/>
      <c r="D3883" s="141" t="s">
        <v>10337</v>
      </c>
      <c r="E3883" s="140"/>
      <c r="F3883" s="140"/>
      <c r="G3883" s="140"/>
    </row>
    <row r="3884" spans="2:7" hidden="1">
      <c r="B3884" s="141" t="s">
        <v>21784</v>
      </c>
      <c r="C3884" s="140"/>
      <c r="D3884" s="141" t="s">
        <v>10338</v>
      </c>
      <c r="E3884" s="140"/>
      <c r="F3884" s="140"/>
      <c r="G3884" s="140"/>
    </row>
    <row r="3885" spans="2:7" hidden="1">
      <c r="B3885" s="141" t="s">
        <v>21785</v>
      </c>
      <c r="C3885" s="140" t="s">
        <v>10339</v>
      </c>
      <c r="D3885" s="141" t="s">
        <v>10340</v>
      </c>
      <c r="E3885" s="140"/>
      <c r="F3885" s="140"/>
      <c r="G3885" s="140"/>
    </row>
    <row r="3886" spans="2:7" hidden="1">
      <c r="B3886" s="141" t="s">
        <v>10341</v>
      </c>
      <c r="C3886" s="140" t="s">
        <v>10342</v>
      </c>
      <c r="D3886" s="141" t="s">
        <v>10343</v>
      </c>
      <c r="E3886" s="140"/>
      <c r="F3886" s="140"/>
      <c r="G3886" s="140"/>
    </row>
    <row r="3887" spans="2:7" hidden="1">
      <c r="B3887" s="141" t="s">
        <v>10344</v>
      </c>
      <c r="C3887" s="141"/>
      <c r="D3887" s="141" t="s">
        <v>7563</v>
      </c>
      <c r="E3887" s="141"/>
      <c r="F3887" s="140"/>
      <c r="G3887" s="140"/>
    </row>
    <row r="3888" spans="2:7" hidden="1">
      <c r="B3888" s="141" t="s">
        <v>10345</v>
      </c>
      <c r="C3888" s="140"/>
      <c r="D3888" s="141" t="s">
        <v>10346</v>
      </c>
      <c r="E3888" s="140"/>
      <c r="F3888" s="140"/>
      <c r="G3888" s="140"/>
    </row>
    <row r="3889" spans="2:7" hidden="1">
      <c r="B3889" s="140" t="s">
        <v>10347</v>
      </c>
      <c r="C3889" s="140"/>
      <c r="D3889" s="140" t="s">
        <v>10032</v>
      </c>
      <c r="E3889" s="142"/>
      <c r="F3889" s="142"/>
      <c r="G3889" s="140"/>
    </row>
    <row r="3890" spans="2:7" hidden="1">
      <c r="B3890" s="141" t="s">
        <v>10348</v>
      </c>
      <c r="C3890" s="140"/>
      <c r="D3890" s="141" t="s">
        <v>10349</v>
      </c>
      <c r="E3890" s="140"/>
      <c r="F3890" s="140"/>
      <c r="G3890" s="140"/>
    </row>
    <row r="3891" spans="2:7" hidden="1">
      <c r="B3891" s="141" t="s">
        <v>10350</v>
      </c>
      <c r="C3891" s="140"/>
      <c r="D3891" s="141" t="s">
        <v>10351</v>
      </c>
      <c r="E3891" s="140"/>
      <c r="F3891" s="140"/>
      <c r="G3891" s="140"/>
    </row>
    <row r="3892" spans="2:7" hidden="1">
      <c r="B3892" s="141" t="s">
        <v>10352</v>
      </c>
      <c r="C3892" s="141" t="s">
        <v>10353</v>
      </c>
      <c r="D3892" s="141" t="s">
        <v>10354</v>
      </c>
      <c r="E3892" s="141"/>
      <c r="F3892" s="141"/>
      <c r="G3892" s="140" t="s">
        <v>10355</v>
      </c>
    </row>
    <row r="3893" spans="2:7" hidden="1">
      <c r="B3893" s="141" t="s">
        <v>10356</v>
      </c>
      <c r="C3893" s="141"/>
      <c r="D3893" s="141" t="s">
        <v>10357</v>
      </c>
      <c r="E3893" s="141"/>
      <c r="F3893" s="140"/>
      <c r="G3893" s="140"/>
    </row>
    <row r="3894" spans="2:7" hidden="1">
      <c r="B3894" s="141" t="s">
        <v>10358</v>
      </c>
      <c r="C3894" s="141"/>
      <c r="D3894" s="141" t="s">
        <v>4740</v>
      </c>
      <c r="E3894" s="141"/>
      <c r="F3894" s="141"/>
      <c r="G3894" s="140"/>
    </row>
    <row r="3895" spans="2:7" hidden="1">
      <c r="B3895" s="141" t="s">
        <v>10359</v>
      </c>
      <c r="C3895" s="140"/>
      <c r="D3895" s="141" t="s">
        <v>10360</v>
      </c>
      <c r="E3895" s="140"/>
      <c r="F3895" s="140"/>
      <c r="G3895" s="140"/>
    </row>
    <row r="3896" spans="2:7" hidden="1">
      <c r="B3896" s="141" t="s">
        <v>10361</v>
      </c>
      <c r="C3896" s="140" t="s">
        <v>10362</v>
      </c>
      <c r="D3896" s="141" t="s">
        <v>10363</v>
      </c>
      <c r="E3896" s="140"/>
      <c r="F3896" s="140"/>
      <c r="G3896" s="140"/>
    </row>
    <row r="3897" spans="2:7" hidden="1">
      <c r="B3897" s="141" t="s">
        <v>10364</v>
      </c>
      <c r="C3897" s="140"/>
      <c r="D3897" s="141" t="s">
        <v>10365</v>
      </c>
      <c r="E3897" s="140"/>
      <c r="F3897" s="140"/>
      <c r="G3897" s="140"/>
    </row>
    <row r="3898" spans="2:7" hidden="1">
      <c r="B3898" s="141" t="s">
        <v>10366</v>
      </c>
      <c r="C3898" s="140"/>
      <c r="D3898" s="141" t="s">
        <v>10367</v>
      </c>
      <c r="E3898" s="140"/>
      <c r="F3898" s="140"/>
      <c r="G3898" s="140"/>
    </row>
    <row r="3899" spans="2:7" hidden="1">
      <c r="B3899" s="140" t="s">
        <v>10368</v>
      </c>
      <c r="C3899" s="140"/>
      <c r="D3899" s="140" t="s">
        <v>10369</v>
      </c>
      <c r="E3899" s="142"/>
      <c r="F3899" s="142"/>
      <c r="G3899" s="140"/>
    </row>
    <row r="3900" spans="2:7" hidden="1">
      <c r="B3900" s="141" t="s">
        <v>10370</v>
      </c>
      <c r="C3900" s="140"/>
      <c r="D3900" s="141" t="s">
        <v>10371</v>
      </c>
      <c r="E3900" s="140"/>
      <c r="F3900" s="140"/>
      <c r="G3900" s="140"/>
    </row>
    <row r="3901" spans="2:7" hidden="1">
      <c r="B3901" s="140" t="s">
        <v>10372</v>
      </c>
      <c r="C3901" s="140"/>
      <c r="D3901" s="140" t="s">
        <v>2149</v>
      </c>
      <c r="E3901" s="142"/>
      <c r="F3901" s="142"/>
      <c r="G3901" s="140"/>
    </row>
    <row r="3902" spans="2:7" hidden="1">
      <c r="B3902" s="141" t="s">
        <v>10373</v>
      </c>
      <c r="C3902" s="140"/>
      <c r="D3902" s="141" t="s">
        <v>10374</v>
      </c>
      <c r="E3902" s="140"/>
      <c r="F3902" s="140"/>
      <c r="G3902" s="140"/>
    </row>
    <row r="3903" spans="2:7" hidden="1">
      <c r="B3903" s="141" t="s">
        <v>10375</v>
      </c>
      <c r="C3903" s="140"/>
      <c r="D3903" s="141" t="s">
        <v>10376</v>
      </c>
      <c r="E3903" s="140"/>
      <c r="F3903" s="140"/>
      <c r="G3903" s="140"/>
    </row>
    <row r="3904" spans="2:7" hidden="1">
      <c r="B3904" s="141" t="s">
        <v>10377</v>
      </c>
      <c r="C3904" s="140"/>
      <c r="D3904" s="141" t="s">
        <v>10378</v>
      </c>
      <c r="E3904" s="140"/>
      <c r="F3904" s="140"/>
      <c r="G3904" s="140"/>
    </row>
    <row r="3905" spans="2:7" hidden="1">
      <c r="B3905" s="140" t="s">
        <v>10379</v>
      </c>
      <c r="C3905" s="140"/>
      <c r="D3905" s="140" t="s">
        <v>9410</v>
      </c>
      <c r="E3905" s="142"/>
      <c r="F3905" s="142"/>
      <c r="G3905" s="140"/>
    </row>
    <row r="3906" spans="2:7" hidden="1">
      <c r="B3906" s="141" t="s">
        <v>10380</v>
      </c>
      <c r="C3906" s="141"/>
      <c r="D3906" s="141" t="s">
        <v>10381</v>
      </c>
      <c r="E3906" s="141"/>
      <c r="F3906" s="141"/>
      <c r="G3906" s="140"/>
    </row>
    <row r="3907" spans="2:7" hidden="1">
      <c r="B3907" s="141" t="s">
        <v>10382</v>
      </c>
      <c r="C3907" s="140"/>
      <c r="D3907" s="141" t="s">
        <v>10383</v>
      </c>
      <c r="E3907" s="140"/>
      <c r="F3907" s="140"/>
      <c r="G3907" s="140"/>
    </row>
    <row r="3908" spans="2:7" hidden="1">
      <c r="B3908" s="141" t="s">
        <v>10384</v>
      </c>
      <c r="C3908" s="140"/>
      <c r="D3908" s="141" t="s">
        <v>10385</v>
      </c>
      <c r="E3908" s="140"/>
      <c r="F3908" s="140"/>
      <c r="G3908" s="140"/>
    </row>
    <row r="3909" spans="2:7" hidden="1">
      <c r="B3909" s="141" t="s">
        <v>10386</v>
      </c>
      <c r="C3909" s="140"/>
      <c r="D3909" s="141" t="s">
        <v>10387</v>
      </c>
      <c r="E3909" s="140"/>
      <c r="F3909" s="140"/>
      <c r="G3909" s="140"/>
    </row>
    <row r="3910" spans="2:7" hidden="1">
      <c r="B3910" s="140" t="s">
        <v>10388</v>
      </c>
      <c r="C3910" s="140"/>
      <c r="D3910" s="140" t="s">
        <v>2995</v>
      </c>
      <c r="E3910" s="140"/>
      <c r="F3910" s="140"/>
      <c r="G3910" s="140"/>
    </row>
    <row r="3911" spans="2:7" hidden="1">
      <c r="B3911" s="140" t="s">
        <v>10389</v>
      </c>
      <c r="C3911" s="140" t="s">
        <v>10390</v>
      </c>
      <c r="D3911" s="140" t="s">
        <v>10391</v>
      </c>
      <c r="E3911" s="142" t="s">
        <v>10392</v>
      </c>
      <c r="F3911" s="142" t="s">
        <v>10393</v>
      </c>
      <c r="G3911" s="140"/>
    </row>
    <row r="3912" spans="2:7" hidden="1">
      <c r="B3912" s="141" t="s">
        <v>21786</v>
      </c>
      <c r="C3912" s="140"/>
      <c r="D3912" s="141" t="s">
        <v>10394</v>
      </c>
      <c r="E3912" s="140"/>
      <c r="F3912" s="140"/>
      <c r="G3912" s="140"/>
    </row>
    <row r="3913" spans="2:7" hidden="1">
      <c r="B3913" s="141" t="s">
        <v>10395</v>
      </c>
      <c r="C3913" s="140"/>
      <c r="D3913" s="141" t="s">
        <v>3100</v>
      </c>
      <c r="E3913" s="140"/>
      <c r="F3913" s="140"/>
      <c r="G3913" s="140"/>
    </row>
    <row r="3914" spans="2:7" hidden="1">
      <c r="B3914" s="141" t="s">
        <v>10396</v>
      </c>
      <c r="C3914" s="141"/>
      <c r="D3914" s="141" t="s">
        <v>10397</v>
      </c>
      <c r="E3914" s="141"/>
      <c r="F3914" s="141"/>
      <c r="G3914" s="140"/>
    </row>
    <row r="3915" spans="2:7" hidden="1">
      <c r="B3915" s="141" t="s">
        <v>21787</v>
      </c>
      <c r="C3915" s="141"/>
      <c r="D3915" s="141" t="s">
        <v>7586</v>
      </c>
      <c r="E3915" s="141"/>
      <c r="F3915" s="140"/>
      <c r="G3915" s="140"/>
    </row>
    <row r="3916" spans="2:7" hidden="1">
      <c r="B3916" s="141" t="s">
        <v>10398</v>
      </c>
      <c r="C3916" s="140"/>
      <c r="D3916" s="141" t="s">
        <v>10399</v>
      </c>
      <c r="E3916" s="140"/>
      <c r="F3916" s="140"/>
      <c r="G3916" s="140"/>
    </row>
    <row r="3917" spans="2:7" hidden="1">
      <c r="B3917" s="141" t="s">
        <v>10400</v>
      </c>
      <c r="C3917" s="140"/>
      <c r="D3917" s="141" t="s">
        <v>10401</v>
      </c>
      <c r="E3917" s="140"/>
      <c r="F3917" s="140"/>
      <c r="G3917" s="140"/>
    </row>
    <row r="3918" spans="2:7" hidden="1">
      <c r="B3918" s="141" t="s">
        <v>10402</v>
      </c>
      <c r="C3918" s="140"/>
      <c r="D3918" s="141" t="s">
        <v>2778</v>
      </c>
      <c r="E3918" s="140"/>
      <c r="F3918" s="140"/>
      <c r="G3918" s="140"/>
    </row>
    <row r="3919" spans="2:7" hidden="1">
      <c r="B3919" s="140" t="s">
        <v>21788</v>
      </c>
      <c r="C3919" s="140"/>
      <c r="D3919" s="140" t="s">
        <v>10403</v>
      </c>
      <c r="E3919" s="140"/>
      <c r="F3919" s="140"/>
      <c r="G3919" s="140"/>
    </row>
    <row r="3920" spans="2:7" hidden="1">
      <c r="B3920" s="141" t="s">
        <v>10404</v>
      </c>
      <c r="C3920" s="140"/>
      <c r="D3920" s="141"/>
      <c r="E3920" s="140"/>
      <c r="F3920" s="140"/>
      <c r="G3920" s="140" t="s">
        <v>10405</v>
      </c>
    </row>
    <row r="3921" spans="2:7" hidden="1">
      <c r="B3921" s="141" t="s">
        <v>10406</v>
      </c>
      <c r="C3921" s="140"/>
      <c r="D3921" s="141" t="s">
        <v>10407</v>
      </c>
      <c r="E3921" s="140"/>
      <c r="F3921" s="140"/>
      <c r="G3921" s="140"/>
    </row>
    <row r="3922" spans="2:7" hidden="1">
      <c r="B3922" s="141" t="s">
        <v>21789</v>
      </c>
      <c r="C3922" s="140" t="s">
        <v>10408</v>
      </c>
      <c r="D3922" s="141" t="s">
        <v>10409</v>
      </c>
      <c r="E3922" s="140" t="s">
        <v>10410</v>
      </c>
      <c r="F3922" s="140"/>
      <c r="G3922" s="140"/>
    </row>
    <row r="3923" spans="2:7" hidden="1">
      <c r="B3923" s="141" t="s">
        <v>10411</v>
      </c>
      <c r="C3923" s="141"/>
      <c r="D3923" s="141" t="s">
        <v>7390</v>
      </c>
      <c r="E3923" s="141"/>
      <c r="F3923" s="141"/>
      <c r="G3923" s="140"/>
    </row>
    <row r="3924" spans="2:7" hidden="1">
      <c r="B3924" s="140" t="s">
        <v>10412</v>
      </c>
      <c r="C3924" s="140"/>
      <c r="D3924" s="140" t="s">
        <v>10413</v>
      </c>
      <c r="E3924" s="142"/>
      <c r="F3924" s="142"/>
      <c r="G3924" s="140"/>
    </row>
    <row r="3925" spans="2:7" hidden="1">
      <c r="B3925" s="140" t="s">
        <v>10414</v>
      </c>
      <c r="C3925" s="140"/>
      <c r="D3925" s="140" t="s">
        <v>10415</v>
      </c>
      <c r="E3925" s="142"/>
      <c r="F3925" s="142"/>
      <c r="G3925" s="140"/>
    </row>
    <row r="3926" spans="2:7" hidden="1">
      <c r="B3926" s="141" t="s">
        <v>10416</v>
      </c>
      <c r="C3926" s="140"/>
      <c r="D3926" s="141" t="s">
        <v>10417</v>
      </c>
      <c r="E3926" s="140"/>
      <c r="F3926" s="140"/>
      <c r="G3926" s="140"/>
    </row>
    <row r="3927" spans="2:7" hidden="1">
      <c r="B3927" s="141" t="s">
        <v>10418</v>
      </c>
      <c r="C3927" s="140" t="s">
        <v>10419</v>
      </c>
      <c r="D3927" s="141" t="s">
        <v>10420</v>
      </c>
      <c r="E3927" s="140" t="s">
        <v>10421</v>
      </c>
      <c r="F3927" s="140" t="s">
        <v>10422</v>
      </c>
      <c r="G3927" s="140"/>
    </row>
    <row r="3928" spans="2:7" hidden="1">
      <c r="B3928" s="140" t="s">
        <v>10423</v>
      </c>
      <c r="C3928" s="140"/>
      <c r="D3928" s="140" t="s">
        <v>10424</v>
      </c>
      <c r="E3928" s="142"/>
      <c r="F3928" s="142"/>
      <c r="G3928" s="140"/>
    </row>
    <row r="3929" spans="2:7" hidden="1">
      <c r="B3929" s="141" t="s">
        <v>10425</v>
      </c>
      <c r="C3929" s="140"/>
      <c r="D3929" s="141" t="s">
        <v>10426</v>
      </c>
      <c r="E3929" s="140"/>
      <c r="F3929" s="140"/>
      <c r="G3929" s="140"/>
    </row>
    <row r="3930" spans="2:7" hidden="1">
      <c r="B3930" s="141" t="s">
        <v>10427</v>
      </c>
      <c r="C3930" s="140" t="s">
        <v>10428</v>
      </c>
      <c r="D3930" s="141" t="s">
        <v>10429</v>
      </c>
      <c r="E3930" s="140"/>
      <c r="F3930" s="140"/>
      <c r="G3930" s="140"/>
    </row>
    <row r="3931" spans="2:7" hidden="1">
      <c r="B3931" s="141" t="s">
        <v>10430</v>
      </c>
      <c r="C3931" s="140"/>
      <c r="D3931" s="141" t="s">
        <v>10431</v>
      </c>
      <c r="E3931" s="140"/>
      <c r="F3931" s="140"/>
      <c r="G3931" s="140"/>
    </row>
    <row r="3932" spans="2:7" hidden="1">
      <c r="B3932" s="141" t="s">
        <v>10432</v>
      </c>
      <c r="C3932" s="140"/>
      <c r="D3932" s="141" t="s">
        <v>10433</v>
      </c>
      <c r="E3932" s="140"/>
      <c r="F3932" s="140"/>
      <c r="G3932" s="140"/>
    </row>
    <row r="3933" spans="2:7" hidden="1">
      <c r="B3933" s="141" t="s">
        <v>10434</v>
      </c>
      <c r="C3933" s="141"/>
      <c r="D3933" s="141" t="s">
        <v>2942</v>
      </c>
      <c r="E3933" s="141"/>
      <c r="F3933" s="140"/>
      <c r="G3933" s="140"/>
    </row>
    <row r="3934" spans="2:7" hidden="1">
      <c r="B3934" s="141" t="s">
        <v>10435</v>
      </c>
      <c r="C3934" s="140"/>
      <c r="D3934" s="141" t="s">
        <v>7660</v>
      </c>
      <c r="E3934" s="140"/>
      <c r="F3934" s="140"/>
      <c r="G3934" s="140"/>
    </row>
    <row r="3935" spans="2:7" hidden="1">
      <c r="B3935" s="141" t="s">
        <v>10436</v>
      </c>
      <c r="C3935" s="140"/>
      <c r="D3935" s="141" t="s">
        <v>7755</v>
      </c>
      <c r="E3935" s="140"/>
      <c r="F3935" s="140"/>
      <c r="G3935" s="140"/>
    </row>
    <row r="3936" spans="2:7" hidden="1">
      <c r="B3936" s="141" t="s">
        <v>10437</v>
      </c>
      <c r="C3936" s="140"/>
      <c r="D3936" s="141" t="s">
        <v>4667</v>
      </c>
      <c r="E3936" s="140"/>
      <c r="F3936" s="140"/>
      <c r="G3936" s="140"/>
    </row>
    <row r="3937" spans="2:7" hidden="1">
      <c r="B3937" s="141" t="s">
        <v>10438</v>
      </c>
      <c r="C3937" s="140"/>
      <c r="D3937" s="141" t="s">
        <v>10439</v>
      </c>
      <c r="E3937" s="140"/>
      <c r="F3937" s="140"/>
      <c r="G3937" s="140"/>
    </row>
    <row r="3938" spans="2:7" hidden="1">
      <c r="B3938" s="140" t="s">
        <v>21790</v>
      </c>
      <c r="C3938" s="140"/>
      <c r="D3938" s="140" t="s">
        <v>10440</v>
      </c>
      <c r="E3938" s="140"/>
      <c r="F3938" s="140"/>
      <c r="G3938" s="140"/>
    </row>
    <row r="3939" spans="2:7" hidden="1">
      <c r="B3939" s="141" t="s">
        <v>10441</v>
      </c>
      <c r="C3939" s="140" t="s">
        <v>10442</v>
      </c>
      <c r="D3939" s="141" t="s">
        <v>10443</v>
      </c>
      <c r="E3939" s="140"/>
      <c r="F3939" s="140"/>
      <c r="G3939" s="140"/>
    </row>
    <row r="3940" spans="2:7" hidden="1">
      <c r="B3940" s="141" t="s">
        <v>10444</v>
      </c>
      <c r="C3940" s="141"/>
      <c r="D3940" s="141" t="s">
        <v>10445</v>
      </c>
      <c r="E3940" s="141"/>
      <c r="F3940" s="141"/>
      <c r="G3940" s="140"/>
    </row>
    <row r="3941" spans="2:7" hidden="1">
      <c r="B3941" s="141" t="s">
        <v>21791</v>
      </c>
      <c r="C3941" s="140" t="s">
        <v>10446</v>
      </c>
      <c r="D3941" s="141" t="s">
        <v>10447</v>
      </c>
      <c r="E3941" s="140" t="s">
        <v>10448</v>
      </c>
      <c r="F3941" s="140" t="s">
        <v>10449</v>
      </c>
      <c r="G3941" s="140"/>
    </row>
    <row r="3942" spans="2:7" hidden="1">
      <c r="B3942" s="141" t="s">
        <v>10450</v>
      </c>
      <c r="C3942" s="140" t="s">
        <v>10451</v>
      </c>
      <c r="D3942" s="141" t="s">
        <v>10452</v>
      </c>
      <c r="E3942" s="140" t="s">
        <v>10453</v>
      </c>
      <c r="F3942" s="140" t="s">
        <v>10454</v>
      </c>
      <c r="G3942" s="140"/>
    </row>
    <row r="3943" spans="2:7" hidden="1">
      <c r="B3943" s="141" t="s">
        <v>10455</v>
      </c>
      <c r="C3943" s="141"/>
      <c r="D3943" s="141" t="s">
        <v>10456</v>
      </c>
      <c r="E3943" s="141"/>
      <c r="F3943" s="140"/>
      <c r="G3943" s="140"/>
    </row>
    <row r="3944" spans="2:7" hidden="1">
      <c r="B3944" s="141" t="s">
        <v>10457</v>
      </c>
      <c r="C3944" s="140"/>
      <c r="D3944" s="141" t="s">
        <v>10458</v>
      </c>
      <c r="E3944" s="140"/>
      <c r="F3944" s="140"/>
      <c r="G3944" s="140"/>
    </row>
    <row r="3945" spans="2:7" hidden="1">
      <c r="B3945" s="141" t="s">
        <v>10459</v>
      </c>
      <c r="C3945" s="140"/>
      <c r="D3945" s="141" t="s">
        <v>10460</v>
      </c>
      <c r="E3945" s="140"/>
      <c r="F3945" s="140"/>
      <c r="G3945" s="140"/>
    </row>
    <row r="3946" spans="2:7" hidden="1">
      <c r="B3946" s="141" t="s">
        <v>10461</v>
      </c>
      <c r="C3946" s="140"/>
      <c r="D3946" s="141" t="s">
        <v>10462</v>
      </c>
      <c r="E3946" s="140"/>
      <c r="F3946" s="140"/>
      <c r="G3946" s="140"/>
    </row>
    <row r="3947" spans="2:7" hidden="1">
      <c r="B3947" s="141" t="s">
        <v>10463</v>
      </c>
      <c r="C3947" s="140"/>
      <c r="D3947" s="141" t="s">
        <v>10464</v>
      </c>
      <c r="E3947" s="140"/>
      <c r="F3947" s="140"/>
      <c r="G3947" s="140"/>
    </row>
    <row r="3948" spans="2:7" hidden="1">
      <c r="B3948" s="141" t="s">
        <v>10465</v>
      </c>
      <c r="C3948" s="140"/>
      <c r="D3948" s="141" t="s">
        <v>10466</v>
      </c>
      <c r="E3948" s="140"/>
      <c r="F3948" s="140"/>
      <c r="G3948" s="140"/>
    </row>
    <row r="3949" spans="2:7" hidden="1">
      <c r="B3949" s="140" t="s">
        <v>10467</v>
      </c>
      <c r="C3949" s="140" t="s">
        <v>10468</v>
      </c>
      <c r="D3949" s="140" t="s">
        <v>10469</v>
      </c>
      <c r="E3949" s="142" t="s">
        <v>10470</v>
      </c>
      <c r="F3949" s="142" t="s">
        <v>10471</v>
      </c>
      <c r="G3949" s="140"/>
    </row>
    <row r="3950" spans="2:7" hidden="1">
      <c r="B3950" s="141" t="s">
        <v>10472</v>
      </c>
      <c r="C3950" s="140" t="s">
        <v>10473</v>
      </c>
      <c r="D3950" s="141" t="s">
        <v>10474</v>
      </c>
      <c r="E3950" s="140" t="s">
        <v>10475</v>
      </c>
      <c r="F3950" s="140" t="s">
        <v>10476</v>
      </c>
      <c r="G3950" s="140"/>
    </row>
    <row r="3951" spans="2:7" hidden="1">
      <c r="B3951" s="140" t="s">
        <v>10477</v>
      </c>
      <c r="C3951" s="140"/>
      <c r="D3951" s="140" t="s">
        <v>10478</v>
      </c>
      <c r="E3951" s="142"/>
      <c r="F3951" s="142"/>
      <c r="G3951" s="140"/>
    </row>
    <row r="3952" spans="2:7" hidden="1">
      <c r="B3952" s="141" t="s">
        <v>10479</v>
      </c>
      <c r="C3952" s="141" t="s">
        <v>10480</v>
      </c>
      <c r="D3952" s="141" t="s">
        <v>6345</v>
      </c>
      <c r="E3952" s="141"/>
      <c r="F3952" s="141"/>
      <c r="G3952" s="140"/>
    </row>
    <row r="3953" spans="2:7" hidden="1">
      <c r="B3953" s="141" t="s">
        <v>10481</v>
      </c>
      <c r="C3953" s="140"/>
      <c r="D3953" s="141" t="s">
        <v>10238</v>
      </c>
      <c r="E3953" s="140"/>
      <c r="F3953" s="140"/>
      <c r="G3953" s="140"/>
    </row>
    <row r="3954" spans="2:7" hidden="1">
      <c r="B3954" s="141" t="s">
        <v>10482</v>
      </c>
      <c r="C3954" s="140"/>
      <c r="D3954" s="141" t="s">
        <v>10483</v>
      </c>
      <c r="E3954" s="140"/>
      <c r="F3954" s="140"/>
      <c r="G3954" s="140"/>
    </row>
    <row r="3955" spans="2:7" hidden="1">
      <c r="B3955" s="141" t="s">
        <v>10484</v>
      </c>
      <c r="C3955" s="140" t="s">
        <v>10485</v>
      </c>
      <c r="D3955" s="141" t="s">
        <v>10486</v>
      </c>
      <c r="E3955" s="140" t="s">
        <v>10487</v>
      </c>
      <c r="F3955" s="140" t="s">
        <v>10488</v>
      </c>
      <c r="G3955" s="140"/>
    </row>
    <row r="3956" spans="2:7" hidden="1">
      <c r="B3956" s="141" t="s">
        <v>10489</v>
      </c>
      <c r="C3956" s="140" t="s">
        <v>10490</v>
      </c>
      <c r="D3956" s="141" t="s">
        <v>10491</v>
      </c>
      <c r="E3956" s="140" t="s">
        <v>10487</v>
      </c>
      <c r="F3956" s="140" t="s">
        <v>10488</v>
      </c>
      <c r="G3956" s="140"/>
    </row>
    <row r="3957" spans="2:7" hidden="1">
      <c r="B3957" s="141" t="s">
        <v>10492</v>
      </c>
      <c r="C3957" s="140"/>
      <c r="D3957" s="141" t="s">
        <v>10493</v>
      </c>
      <c r="E3957" s="140"/>
      <c r="F3957" s="140"/>
      <c r="G3957" s="140"/>
    </row>
    <row r="3958" spans="2:7" hidden="1">
      <c r="B3958" s="141" t="s">
        <v>10494</v>
      </c>
      <c r="C3958" s="140"/>
      <c r="D3958" s="141" t="s">
        <v>3752</v>
      </c>
      <c r="E3958" s="140"/>
      <c r="F3958" s="140"/>
      <c r="G3958" s="140"/>
    </row>
    <row r="3959" spans="2:7" hidden="1">
      <c r="B3959" s="141" t="s">
        <v>10495</v>
      </c>
      <c r="C3959" s="140" t="s">
        <v>10496</v>
      </c>
      <c r="D3959" s="141" t="s">
        <v>10497</v>
      </c>
      <c r="E3959" s="140" t="s">
        <v>10498</v>
      </c>
      <c r="F3959" s="140" t="s">
        <v>10499</v>
      </c>
      <c r="G3959" s="140"/>
    </row>
    <row r="3960" spans="2:7" hidden="1">
      <c r="B3960" s="140" t="s">
        <v>21792</v>
      </c>
      <c r="C3960" s="140"/>
      <c r="D3960" s="140" t="s">
        <v>10500</v>
      </c>
      <c r="E3960" s="142"/>
      <c r="F3960" s="142"/>
      <c r="G3960" s="140"/>
    </row>
    <row r="3961" spans="2:7" hidden="1">
      <c r="B3961" s="141" t="s">
        <v>10501</v>
      </c>
      <c r="C3961" s="140"/>
      <c r="D3961" s="141" t="s">
        <v>10502</v>
      </c>
      <c r="E3961" s="140"/>
      <c r="F3961" s="140"/>
      <c r="G3961" s="140"/>
    </row>
    <row r="3962" spans="2:7" hidden="1">
      <c r="B3962" s="141" t="s">
        <v>10503</v>
      </c>
      <c r="C3962" s="141"/>
      <c r="D3962" s="141" t="s">
        <v>1997</v>
      </c>
      <c r="E3962" s="141"/>
      <c r="F3962" s="141"/>
      <c r="G3962" s="140"/>
    </row>
    <row r="3963" spans="2:7" hidden="1">
      <c r="B3963" s="140" t="s">
        <v>10504</v>
      </c>
      <c r="C3963" s="140" t="s">
        <v>10505</v>
      </c>
      <c r="D3963" s="140" t="s">
        <v>6046</v>
      </c>
      <c r="E3963" s="142" t="s">
        <v>10506</v>
      </c>
      <c r="F3963" s="142" t="s">
        <v>10507</v>
      </c>
      <c r="G3963" s="140"/>
    </row>
    <row r="3964" spans="2:7" hidden="1">
      <c r="B3964" s="141" t="s">
        <v>10508</v>
      </c>
      <c r="C3964" s="140"/>
      <c r="D3964" s="141" t="s">
        <v>10509</v>
      </c>
      <c r="E3964" s="140"/>
      <c r="F3964" s="140"/>
      <c r="G3964" s="140"/>
    </row>
    <row r="3965" spans="2:7" hidden="1">
      <c r="B3965" s="141" t="s">
        <v>10510</v>
      </c>
      <c r="C3965" s="141"/>
      <c r="D3965" s="141" t="s">
        <v>10511</v>
      </c>
      <c r="E3965" s="141"/>
      <c r="F3965" s="141"/>
      <c r="G3965" s="140"/>
    </row>
    <row r="3966" spans="2:7" hidden="1">
      <c r="B3966" s="141" t="s">
        <v>10512</v>
      </c>
      <c r="C3966" s="140"/>
      <c r="D3966" s="141" t="s">
        <v>2692</v>
      </c>
      <c r="E3966" s="140"/>
      <c r="F3966" s="140"/>
      <c r="G3966" s="140"/>
    </row>
    <row r="3967" spans="2:7" hidden="1">
      <c r="B3967" s="141" t="s">
        <v>21793</v>
      </c>
      <c r="C3967" s="140"/>
      <c r="D3967" s="141" t="s">
        <v>10513</v>
      </c>
      <c r="E3967" s="140"/>
      <c r="F3967" s="140"/>
      <c r="G3967" s="140"/>
    </row>
    <row r="3968" spans="2:7" hidden="1">
      <c r="B3968" s="141" t="s">
        <v>10514</v>
      </c>
      <c r="C3968" s="140"/>
      <c r="D3968" s="141" t="s">
        <v>10515</v>
      </c>
      <c r="E3968" s="140"/>
      <c r="F3968" s="140"/>
      <c r="G3968" s="140"/>
    </row>
    <row r="3969" spans="2:7" hidden="1">
      <c r="B3969" s="141" t="s">
        <v>10516</v>
      </c>
      <c r="C3969" s="140"/>
      <c r="D3969" s="141" t="s">
        <v>5256</v>
      </c>
      <c r="E3969" s="140"/>
      <c r="F3969" s="140"/>
      <c r="G3969" s="140"/>
    </row>
    <row r="3970" spans="2:7" hidden="1">
      <c r="B3970" s="140" t="s">
        <v>10517</v>
      </c>
      <c r="C3970" s="140"/>
      <c r="D3970" s="140" t="s">
        <v>10518</v>
      </c>
      <c r="E3970" s="142"/>
      <c r="F3970" s="142"/>
      <c r="G3970" s="140"/>
    </row>
    <row r="3971" spans="2:7" hidden="1">
      <c r="B3971" s="141" t="s">
        <v>10519</v>
      </c>
      <c r="C3971" s="140"/>
      <c r="D3971" s="141" t="s">
        <v>10520</v>
      </c>
      <c r="E3971" s="140"/>
      <c r="F3971" s="140"/>
      <c r="G3971" s="140"/>
    </row>
    <row r="3972" spans="2:7" hidden="1">
      <c r="B3972" s="141" t="s">
        <v>10521</v>
      </c>
      <c r="C3972" s="140"/>
      <c r="D3972" s="141" t="s">
        <v>10522</v>
      </c>
      <c r="E3972" s="140"/>
      <c r="F3972" s="140"/>
      <c r="G3972" s="140"/>
    </row>
    <row r="3973" spans="2:7" hidden="1">
      <c r="B3973" s="141" t="s">
        <v>10523</v>
      </c>
      <c r="C3973" s="140" t="s">
        <v>10524</v>
      </c>
      <c r="D3973" s="141" t="s">
        <v>10525</v>
      </c>
      <c r="E3973" s="140"/>
      <c r="F3973" s="140"/>
      <c r="G3973" s="140"/>
    </row>
    <row r="3974" spans="2:7" hidden="1">
      <c r="B3974" s="141" t="s">
        <v>10526</v>
      </c>
      <c r="C3974" s="140"/>
      <c r="D3974" s="141" t="s">
        <v>10527</v>
      </c>
      <c r="E3974" s="140"/>
      <c r="F3974" s="140"/>
      <c r="G3974" s="140"/>
    </row>
    <row r="3975" spans="2:7" hidden="1">
      <c r="B3975" s="141" t="s">
        <v>10528</v>
      </c>
      <c r="C3975" s="140"/>
      <c r="D3975" s="141" t="s">
        <v>10529</v>
      </c>
      <c r="E3975" s="140"/>
      <c r="F3975" s="140"/>
      <c r="G3975" s="140"/>
    </row>
    <row r="3976" spans="2:7" hidden="1">
      <c r="B3976" s="141" t="s">
        <v>10530</v>
      </c>
      <c r="C3976" s="140" t="s">
        <v>10531</v>
      </c>
      <c r="D3976" s="141" t="s">
        <v>10532</v>
      </c>
      <c r="E3976" s="140" t="s">
        <v>10533</v>
      </c>
      <c r="F3976" s="140" t="s">
        <v>10534</v>
      </c>
      <c r="G3976" s="140"/>
    </row>
    <row r="3977" spans="2:7" hidden="1">
      <c r="B3977" s="141" t="s">
        <v>10535</v>
      </c>
      <c r="C3977" s="141" t="s">
        <v>10536</v>
      </c>
      <c r="D3977" s="141" t="s">
        <v>10537</v>
      </c>
      <c r="E3977" s="141" t="s">
        <v>10538</v>
      </c>
      <c r="F3977" s="141" t="s">
        <v>10539</v>
      </c>
      <c r="G3977" s="140"/>
    </row>
    <row r="3978" spans="2:7" hidden="1">
      <c r="B3978" s="141" t="s">
        <v>10540</v>
      </c>
      <c r="C3978" s="140" t="s">
        <v>10541</v>
      </c>
      <c r="D3978" s="141" t="s">
        <v>10542</v>
      </c>
      <c r="E3978" s="140" t="s">
        <v>10543</v>
      </c>
      <c r="F3978" s="140"/>
      <c r="G3978" s="140"/>
    </row>
    <row r="3979" spans="2:7" hidden="1">
      <c r="B3979" s="141" t="s">
        <v>10544</v>
      </c>
      <c r="C3979" s="140"/>
      <c r="D3979" s="141" t="s">
        <v>9161</v>
      </c>
      <c r="E3979" s="140"/>
      <c r="F3979" s="140"/>
      <c r="G3979" s="140"/>
    </row>
    <row r="3980" spans="2:7" hidden="1">
      <c r="B3980" s="141" t="s">
        <v>10545</v>
      </c>
      <c r="C3980" s="140" t="s">
        <v>10546</v>
      </c>
      <c r="D3980" s="141" t="s">
        <v>10547</v>
      </c>
      <c r="E3980" s="140" t="s">
        <v>10548</v>
      </c>
      <c r="F3980" s="140" t="s">
        <v>10549</v>
      </c>
      <c r="G3980" s="140"/>
    </row>
    <row r="3981" spans="2:7" hidden="1">
      <c r="B3981" s="141" t="s">
        <v>10550</v>
      </c>
      <c r="C3981" s="140" t="s">
        <v>10551</v>
      </c>
      <c r="D3981" s="141" t="s">
        <v>10552</v>
      </c>
      <c r="E3981" s="140" t="s">
        <v>10553</v>
      </c>
      <c r="F3981" s="140"/>
      <c r="G3981" s="140" t="s">
        <v>10554</v>
      </c>
    </row>
    <row r="3982" spans="2:7" hidden="1">
      <c r="B3982" s="141" t="s">
        <v>10555</v>
      </c>
      <c r="C3982" s="140"/>
      <c r="D3982" s="141" t="s">
        <v>5380</v>
      </c>
      <c r="E3982" s="140"/>
      <c r="F3982" s="140"/>
      <c r="G3982" s="140"/>
    </row>
    <row r="3983" spans="2:7" hidden="1">
      <c r="B3983" s="141" t="s">
        <v>10556</v>
      </c>
      <c r="C3983" s="140" t="s">
        <v>10557</v>
      </c>
      <c r="D3983" s="141" t="s">
        <v>10558</v>
      </c>
      <c r="E3983" s="140" t="s">
        <v>10559</v>
      </c>
      <c r="F3983" s="140" t="s">
        <v>10560</v>
      </c>
      <c r="G3983" s="140" t="s">
        <v>10561</v>
      </c>
    </row>
    <row r="3984" spans="2:7" hidden="1">
      <c r="B3984" s="141" t="s">
        <v>10562</v>
      </c>
      <c r="C3984" s="140" t="s">
        <v>10563</v>
      </c>
      <c r="D3984" s="141" t="s">
        <v>10564</v>
      </c>
      <c r="E3984" s="140" t="s">
        <v>10565</v>
      </c>
      <c r="F3984" s="140" t="s">
        <v>10566</v>
      </c>
      <c r="G3984" s="140"/>
    </row>
    <row r="3985" spans="2:7" hidden="1">
      <c r="B3985" s="140" t="s">
        <v>10567</v>
      </c>
      <c r="C3985" s="140"/>
      <c r="D3985" s="140" t="s">
        <v>10568</v>
      </c>
      <c r="E3985" s="142"/>
      <c r="F3985" s="142"/>
      <c r="G3985" s="140"/>
    </row>
    <row r="3986" spans="2:7" hidden="1">
      <c r="B3986" s="141" t="s">
        <v>10569</v>
      </c>
      <c r="C3986" s="140" t="s">
        <v>10570</v>
      </c>
      <c r="D3986" s="141" t="s">
        <v>9769</v>
      </c>
      <c r="E3986" s="140" t="s">
        <v>10571</v>
      </c>
      <c r="F3986" s="140"/>
      <c r="G3986" s="140"/>
    </row>
    <row r="3987" spans="2:7" hidden="1">
      <c r="B3987" s="140" t="s">
        <v>10572</v>
      </c>
      <c r="C3987" s="140" t="s">
        <v>10573</v>
      </c>
      <c r="D3987" s="140" t="s">
        <v>2168</v>
      </c>
      <c r="E3987" s="142" t="s">
        <v>10574</v>
      </c>
      <c r="F3987" s="142" t="s">
        <v>10575</v>
      </c>
      <c r="G3987" s="140"/>
    </row>
    <row r="3988" spans="2:7" hidden="1">
      <c r="B3988" s="141" t="s">
        <v>10576</v>
      </c>
      <c r="C3988" s="140" t="s">
        <v>10573</v>
      </c>
      <c r="D3988" s="141" t="s">
        <v>10577</v>
      </c>
      <c r="E3988" s="140" t="s">
        <v>10578</v>
      </c>
      <c r="F3988" s="140" t="s">
        <v>10579</v>
      </c>
      <c r="G3988" s="140"/>
    </row>
    <row r="3989" spans="2:7" hidden="1">
      <c r="B3989" s="141" t="s">
        <v>21794</v>
      </c>
      <c r="C3989" s="140" t="s">
        <v>10580</v>
      </c>
      <c r="D3989" s="141" t="s">
        <v>2650</v>
      </c>
      <c r="E3989" s="140" t="s">
        <v>10581</v>
      </c>
      <c r="F3989" s="140"/>
      <c r="G3989" s="140"/>
    </row>
    <row r="3990" spans="2:7" hidden="1">
      <c r="B3990" s="141" t="s">
        <v>21795</v>
      </c>
      <c r="C3990" s="140" t="s">
        <v>10582</v>
      </c>
      <c r="D3990" s="141" t="s">
        <v>10583</v>
      </c>
      <c r="E3990" s="140" t="s">
        <v>10584</v>
      </c>
      <c r="F3990" s="140"/>
      <c r="G3990" s="140"/>
    </row>
    <row r="3991" spans="2:7" hidden="1">
      <c r="B3991" s="141" t="s">
        <v>21796</v>
      </c>
      <c r="C3991" s="140" t="s">
        <v>10585</v>
      </c>
      <c r="D3991" s="141" t="s">
        <v>1815</v>
      </c>
      <c r="E3991" s="140" t="s">
        <v>10586</v>
      </c>
      <c r="F3991" s="140"/>
      <c r="G3991" s="140"/>
    </row>
    <row r="3992" spans="2:7" hidden="1">
      <c r="B3992" s="141" t="s">
        <v>10587</v>
      </c>
      <c r="C3992" s="140" t="s">
        <v>21797</v>
      </c>
      <c r="D3992" s="141" t="s">
        <v>10588</v>
      </c>
      <c r="E3992" s="140"/>
      <c r="F3992" s="140"/>
      <c r="G3992" s="140"/>
    </row>
    <row r="3993" spans="2:7" hidden="1">
      <c r="B3993" s="140" t="s">
        <v>10589</v>
      </c>
      <c r="C3993" s="140"/>
      <c r="D3993" s="140" t="s">
        <v>10590</v>
      </c>
      <c r="E3993" s="142"/>
      <c r="F3993" s="142"/>
      <c r="G3993" s="140"/>
    </row>
    <row r="3994" spans="2:7" hidden="1">
      <c r="B3994" s="140" t="s">
        <v>10591</v>
      </c>
      <c r="C3994" s="140" t="s">
        <v>10592</v>
      </c>
      <c r="D3994" s="140" t="s">
        <v>10593</v>
      </c>
      <c r="E3994" s="142" t="s">
        <v>10594</v>
      </c>
      <c r="F3994" s="142" t="s">
        <v>10595</v>
      </c>
      <c r="G3994" s="140"/>
    </row>
    <row r="3995" spans="2:7" hidden="1">
      <c r="B3995" s="141" t="s">
        <v>10596</v>
      </c>
      <c r="C3995" s="140" t="s">
        <v>10597</v>
      </c>
      <c r="D3995" s="141" t="s">
        <v>10598</v>
      </c>
      <c r="E3995" s="140"/>
      <c r="F3995" s="140"/>
      <c r="G3995" s="140"/>
    </row>
    <row r="3996" spans="2:7" hidden="1">
      <c r="B3996" s="140" t="s">
        <v>10599</v>
      </c>
      <c r="C3996" s="140" t="s">
        <v>21798</v>
      </c>
      <c r="D3996" s="140" t="s">
        <v>10600</v>
      </c>
      <c r="E3996" s="140"/>
      <c r="F3996" s="140"/>
      <c r="G3996" s="140"/>
    </row>
    <row r="3997" spans="2:7" hidden="1">
      <c r="B3997" s="140" t="s">
        <v>10601</v>
      </c>
      <c r="C3997" s="140"/>
      <c r="D3997" s="140" t="s">
        <v>7055</v>
      </c>
      <c r="E3997" s="142"/>
      <c r="F3997" s="142"/>
      <c r="G3997" s="140"/>
    </row>
    <row r="3998" spans="2:7" hidden="1">
      <c r="B3998" s="141" t="s">
        <v>10602</v>
      </c>
      <c r="C3998" s="141"/>
      <c r="D3998" s="141" t="s">
        <v>10603</v>
      </c>
      <c r="E3998" s="141"/>
      <c r="F3998" s="140"/>
      <c r="G3998" s="140"/>
    </row>
    <row r="3999" spans="2:7" hidden="1">
      <c r="B3999" s="141" t="s">
        <v>10604</v>
      </c>
      <c r="C3999" s="140"/>
      <c r="D3999" s="141" t="s">
        <v>10605</v>
      </c>
      <c r="E3999" s="140"/>
      <c r="F3999" s="140"/>
      <c r="G3999" s="140"/>
    </row>
    <row r="4000" spans="2:7" hidden="1">
      <c r="B4000" s="141" t="s">
        <v>10606</v>
      </c>
      <c r="C4000" s="140"/>
      <c r="D4000" s="141" t="s">
        <v>3684</v>
      </c>
      <c r="E4000" s="140"/>
      <c r="F4000" s="140"/>
      <c r="G4000" s="140"/>
    </row>
    <row r="4001" spans="2:7" hidden="1">
      <c r="B4001" s="141" t="s">
        <v>21260</v>
      </c>
      <c r="C4001" s="140" t="s">
        <v>21259</v>
      </c>
      <c r="D4001" s="141" t="s">
        <v>21261</v>
      </c>
      <c r="E4001" s="140" t="s">
        <v>21262</v>
      </c>
      <c r="F4001" s="140"/>
      <c r="G4001" s="140"/>
    </row>
    <row r="4002" spans="2:7" hidden="1">
      <c r="B4002" s="140" t="s">
        <v>21260</v>
      </c>
      <c r="C4002" s="140" t="s">
        <v>21259</v>
      </c>
      <c r="D4002" s="140" t="s">
        <v>21261</v>
      </c>
      <c r="E4002" s="142" t="s">
        <v>21262</v>
      </c>
      <c r="F4002" s="142"/>
      <c r="G4002" s="140"/>
    </row>
    <row r="4003" spans="2:7" hidden="1">
      <c r="B4003" s="141" t="s">
        <v>10607</v>
      </c>
      <c r="C4003" s="140" t="s">
        <v>10608</v>
      </c>
      <c r="D4003" s="141" t="s">
        <v>10609</v>
      </c>
      <c r="E4003" s="140"/>
      <c r="F4003" s="140"/>
      <c r="G4003" s="140"/>
    </row>
    <row r="4004" spans="2:7" hidden="1">
      <c r="B4004" s="141" t="s">
        <v>10610</v>
      </c>
      <c r="C4004" s="140"/>
      <c r="D4004" s="141" t="s">
        <v>10611</v>
      </c>
      <c r="E4004" s="140"/>
      <c r="F4004" s="140"/>
      <c r="G4004" s="140"/>
    </row>
    <row r="4005" spans="2:7" hidden="1">
      <c r="B4005" s="141" t="s">
        <v>10612</v>
      </c>
      <c r="C4005" s="140"/>
      <c r="D4005" s="141" t="s">
        <v>7897</v>
      </c>
      <c r="E4005" s="140"/>
      <c r="F4005" s="140"/>
      <c r="G4005" s="140"/>
    </row>
    <row r="4006" spans="2:7" hidden="1">
      <c r="B4006" s="140" t="s">
        <v>21013</v>
      </c>
      <c r="C4006" s="140" t="s">
        <v>21014</v>
      </c>
      <c r="D4006" s="140" t="s">
        <v>21015</v>
      </c>
      <c r="E4006" s="142" t="s">
        <v>21016</v>
      </c>
      <c r="F4006" s="142"/>
      <c r="G4006" s="140"/>
    </row>
    <row r="4007" spans="2:7" hidden="1">
      <c r="B4007" s="140" t="s">
        <v>10613</v>
      </c>
      <c r="C4007" s="140"/>
      <c r="D4007" s="140" t="s">
        <v>10614</v>
      </c>
      <c r="E4007" s="142"/>
      <c r="F4007" s="142"/>
      <c r="G4007" s="140"/>
    </row>
    <row r="4008" spans="2:7" hidden="1">
      <c r="B4008" s="141" t="s">
        <v>10615</v>
      </c>
      <c r="C4008" s="140"/>
      <c r="D4008" s="141" t="s">
        <v>10616</v>
      </c>
      <c r="E4008" s="140"/>
      <c r="F4008" s="140"/>
      <c r="G4008" s="140"/>
    </row>
    <row r="4009" spans="2:7" hidden="1">
      <c r="B4009" s="141" t="s">
        <v>10617</v>
      </c>
      <c r="C4009" s="140"/>
      <c r="D4009" s="141" t="s">
        <v>10618</v>
      </c>
      <c r="E4009" s="140"/>
      <c r="F4009" s="140"/>
      <c r="G4009" s="140"/>
    </row>
    <row r="4010" spans="2:7" hidden="1">
      <c r="B4010" s="141" t="s">
        <v>10619</v>
      </c>
      <c r="C4010" s="140"/>
      <c r="D4010" s="141" t="s">
        <v>10620</v>
      </c>
      <c r="E4010" s="140"/>
      <c r="F4010" s="140"/>
      <c r="G4010" s="140"/>
    </row>
    <row r="4011" spans="2:7" hidden="1">
      <c r="B4011" s="141" t="s">
        <v>10621</v>
      </c>
      <c r="C4011" s="140"/>
      <c r="D4011" s="141" t="s">
        <v>10622</v>
      </c>
      <c r="E4011" s="140"/>
      <c r="F4011" s="140"/>
      <c r="G4011" s="140"/>
    </row>
    <row r="4012" spans="2:7" hidden="1">
      <c r="B4012" s="141" t="s">
        <v>10623</v>
      </c>
      <c r="C4012" s="141"/>
      <c r="D4012" s="141" t="s">
        <v>3643</v>
      </c>
      <c r="E4012" s="141"/>
      <c r="F4012" s="141"/>
      <c r="G4012" s="140"/>
    </row>
    <row r="4013" spans="2:7" hidden="1">
      <c r="B4013" s="141" t="s">
        <v>10624</v>
      </c>
      <c r="C4013" s="140" t="s">
        <v>10625</v>
      </c>
      <c r="D4013" s="141" t="s">
        <v>4073</v>
      </c>
      <c r="E4013" s="140" t="s">
        <v>10626</v>
      </c>
      <c r="F4013" s="140" t="s">
        <v>10627</v>
      </c>
      <c r="G4013" s="140"/>
    </row>
    <row r="4014" spans="2:7" hidden="1">
      <c r="B4014" s="141" t="s">
        <v>10628</v>
      </c>
      <c r="C4014" s="140"/>
      <c r="D4014" s="141" t="s">
        <v>10629</v>
      </c>
      <c r="E4014" s="140"/>
      <c r="F4014" s="140"/>
      <c r="G4014" s="140"/>
    </row>
    <row r="4015" spans="2:7" hidden="1">
      <c r="B4015" s="141" t="s">
        <v>10630</v>
      </c>
      <c r="C4015" s="140"/>
      <c r="D4015" s="141" t="s">
        <v>10631</v>
      </c>
      <c r="E4015" s="140"/>
      <c r="F4015" s="140"/>
      <c r="G4015" s="140"/>
    </row>
    <row r="4016" spans="2:7" hidden="1">
      <c r="B4016" s="141" t="s">
        <v>10632</v>
      </c>
      <c r="C4016" s="140"/>
      <c r="D4016" s="141" t="s">
        <v>1150</v>
      </c>
      <c r="E4016" s="140"/>
      <c r="F4016" s="140"/>
      <c r="G4016" s="140"/>
    </row>
    <row r="4017" spans="2:7" hidden="1">
      <c r="B4017" s="141" t="s">
        <v>10633</v>
      </c>
      <c r="C4017" s="140"/>
      <c r="D4017" s="141" t="s">
        <v>10634</v>
      </c>
      <c r="E4017" s="140"/>
      <c r="F4017" s="140"/>
      <c r="G4017" s="140"/>
    </row>
    <row r="4018" spans="2:7" hidden="1">
      <c r="B4018" s="141" t="s">
        <v>10635</v>
      </c>
      <c r="C4018" s="140"/>
      <c r="D4018" s="141" t="s">
        <v>10636</v>
      </c>
      <c r="E4018" s="140"/>
      <c r="F4018" s="140"/>
      <c r="G4018" s="140"/>
    </row>
    <row r="4019" spans="2:7" hidden="1">
      <c r="B4019" s="140" t="s">
        <v>20489</v>
      </c>
      <c r="C4019" s="140" t="s">
        <v>20488</v>
      </c>
      <c r="D4019" s="140" t="s">
        <v>20490</v>
      </c>
      <c r="E4019" s="142" t="s">
        <v>20491</v>
      </c>
      <c r="F4019" s="142"/>
      <c r="G4019" s="140"/>
    </row>
    <row r="4020" spans="2:7" hidden="1">
      <c r="B4020" s="141" t="s">
        <v>10637</v>
      </c>
      <c r="C4020" s="141" t="s">
        <v>10638</v>
      </c>
      <c r="D4020" s="141" t="s">
        <v>10639</v>
      </c>
      <c r="E4020" s="141" t="s">
        <v>10640</v>
      </c>
      <c r="F4020" s="140" t="s">
        <v>10641</v>
      </c>
      <c r="G4020" s="140"/>
    </row>
    <row r="4021" spans="2:7" hidden="1">
      <c r="B4021" s="141" t="s">
        <v>10642</v>
      </c>
      <c r="C4021" s="140"/>
      <c r="D4021" s="141" t="s">
        <v>10643</v>
      </c>
      <c r="E4021" s="140"/>
      <c r="F4021" s="140"/>
      <c r="G4021" s="140"/>
    </row>
    <row r="4022" spans="2:7" hidden="1">
      <c r="B4022" s="141" t="s">
        <v>10644</v>
      </c>
      <c r="C4022" s="140" t="s">
        <v>10645</v>
      </c>
      <c r="D4022" s="141" t="s">
        <v>10646</v>
      </c>
      <c r="E4022" s="140"/>
      <c r="F4022" s="140"/>
      <c r="G4022" s="140"/>
    </row>
    <row r="4023" spans="2:7" hidden="1">
      <c r="B4023" s="141" t="s">
        <v>10647</v>
      </c>
      <c r="C4023" s="140" t="s">
        <v>10648</v>
      </c>
      <c r="D4023" s="141" t="s">
        <v>7258</v>
      </c>
      <c r="E4023" s="140"/>
      <c r="F4023" s="140"/>
      <c r="G4023" s="140"/>
    </row>
    <row r="4024" spans="2:7" hidden="1">
      <c r="B4024" s="141" t="s">
        <v>10649</v>
      </c>
      <c r="C4024" s="140"/>
      <c r="D4024" s="141" t="s">
        <v>10650</v>
      </c>
      <c r="E4024" s="140"/>
      <c r="F4024" s="140"/>
      <c r="G4024" s="140"/>
    </row>
    <row r="4025" spans="2:7" hidden="1">
      <c r="B4025" s="140" t="s">
        <v>10651</v>
      </c>
      <c r="C4025" s="140"/>
      <c r="D4025" s="140" t="s">
        <v>10652</v>
      </c>
      <c r="E4025" s="142"/>
      <c r="F4025" s="142"/>
      <c r="G4025" s="140"/>
    </row>
    <row r="4026" spans="2:7" hidden="1">
      <c r="B4026" s="141" t="s">
        <v>10653</v>
      </c>
      <c r="C4026" s="140"/>
      <c r="D4026" s="141" t="s">
        <v>10654</v>
      </c>
      <c r="E4026" s="140"/>
      <c r="F4026" s="140"/>
      <c r="G4026" s="140"/>
    </row>
    <row r="4027" spans="2:7" hidden="1">
      <c r="B4027" s="141" t="s">
        <v>10655</v>
      </c>
      <c r="C4027" s="140" t="s">
        <v>10656</v>
      </c>
      <c r="D4027" s="141" t="s">
        <v>10657</v>
      </c>
      <c r="E4027" s="140" t="s">
        <v>10658</v>
      </c>
      <c r="F4027" s="140" t="s">
        <v>10659</v>
      </c>
      <c r="G4027" s="140"/>
    </row>
    <row r="4028" spans="2:7" hidden="1">
      <c r="B4028" s="141" t="s">
        <v>10660</v>
      </c>
      <c r="C4028" s="140"/>
      <c r="D4028" s="141" t="s">
        <v>10661</v>
      </c>
      <c r="E4028" s="140"/>
      <c r="F4028" s="140"/>
      <c r="G4028" s="140"/>
    </row>
    <row r="4029" spans="2:7" hidden="1">
      <c r="B4029" s="140" t="s">
        <v>10662</v>
      </c>
      <c r="C4029" s="140" t="s">
        <v>10663</v>
      </c>
      <c r="D4029" s="140" t="s">
        <v>1192</v>
      </c>
      <c r="E4029" s="142"/>
      <c r="F4029" s="142"/>
      <c r="G4029" s="140"/>
    </row>
    <row r="4030" spans="2:7" hidden="1">
      <c r="B4030" s="140" t="s">
        <v>10664</v>
      </c>
      <c r="C4030" s="140"/>
      <c r="D4030" s="140" t="s">
        <v>10665</v>
      </c>
      <c r="E4030" s="142"/>
      <c r="F4030" s="142"/>
      <c r="G4030" s="140"/>
    </row>
    <row r="4031" spans="2:7" hidden="1">
      <c r="B4031" s="141" t="s">
        <v>10666</v>
      </c>
      <c r="C4031" s="140" t="s">
        <v>10667</v>
      </c>
      <c r="D4031" s="141" t="s">
        <v>10668</v>
      </c>
      <c r="E4031" s="140"/>
      <c r="F4031" s="140"/>
      <c r="G4031" s="140" t="s">
        <v>10669</v>
      </c>
    </row>
    <row r="4032" spans="2:7" hidden="1">
      <c r="B4032" s="140" t="s">
        <v>10670</v>
      </c>
      <c r="C4032" s="140" t="s">
        <v>10645</v>
      </c>
      <c r="D4032" s="140" t="s">
        <v>10646</v>
      </c>
      <c r="E4032" s="142"/>
      <c r="F4032" s="142"/>
      <c r="G4032" s="140"/>
    </row>
    <row r="4033" spans="2:7" hidden="1">
      <c r="B4033" s="141" t="s">
        <v>21799</v>
      </c>
      <c r="C4033" s="140" t="s">
        <v>10671</v>
      </c>
      <c r="D4033" s="141" t="s">
        <v>10672</v>
      </c>
      <c r="E4033" s="140"/>
      <c r="F4033" s="140"/>
      <c r="G4033" s="140"/>
    </row>
    <row r="4034" spans="2:7" hidden="1">
      <c r="B4034" s="141" t="s">
        <v>21800</v>
      </c>
      <c r="C4034" s="140" t="s">
        <v>10673</v>
      </c>
      <c r="D4034" s="141" t="s">
        <v>10674</v>
      </c>
      <c r="E4034" s="140" t="s">
        <v>10675</v>
      </c>
      <c r="F4034" s="140" t="s">
        <v>10676</v>
      </c>
      <c r="G4034" s="140"/>
    </row>
    <row r="4035" spans="2:7" hidden="1">
      <c r="B4035" s="141" t="s">
        <v>10677</v>
      </c>
      <c r="C4035" s="140"/>
      <c r="D4035" s="141" t="s">
        <v>10678</v>
      </c>
      <c r="E4035" s="140"/>
      <c r="F4035" s="140"/>
      <c r="G4035" s="140"/>
    </row>
    <row r="4036" spans="2:7" hidden="1">
      <c r="B4036" s="141" t="s">
        <v>10679</v>
      </c>
      <c r="C4036" s="140"/>
      <c r="D4036" s="141" t="s">
        <v>10680</v>
      </c>
      <c r="E4036" s="140"/>
      <c r="F4036" s="140"/>
      <c r="G4036" s="140"/>
    </row>
    <row r="4037" spans="2:7" hidden="1">
      <c r="B4037" s="140" t="s">
        <v>10681</v>
      </c>
      <c r="C4037" s="140" t="s">
        <v>21801</v>
      </c>
      <c r="D4037" s="140" t="s">
        <v>10682</v>
      </c>
      <c r="E4037" s="140" t="s">
        <v>10683</v>
      </c>
      <c r="F4037" s="140" t="s">
        <v>10684</v>
      </c>
      <c r="G4037" s="140"/>
    </row>
    <row r="4038" spans="2:7" hidden="1">
      <c r="B4038" s="141" t="s">
        <v>10685</v>
      </c>
      <c r="C4038" s="140" t="s">
        <v>10686</v>
      </c>
      <c r="D4038" s="141" t="s">
        <v>10687</v>
      </c>
      <c r="E4038" s="140"/>
      <c r="F4038" s="140"/>
      <c r="G4038" s="140"/>
    </row>
    <row r="4039" spans="2:7" hidden="1">
      <c r="B4039" s="141" t="s">
        <v>10688</v>
      </c>
      <c r="C4039" s="140"/>
      <c r="D4039" s="141" t="s">
        <v>10689</v>
      </c>
      <c r="E4039" s="140"/>
      <c r="F4039" s="140"/>
      <c r="G4039" s="140"/>
    </row>
    <row r="4040" spans="2:7" hidden="1">
      <c r="B4040" s="141" t="s">
        <v>10690</v>
      </c>
      <c r="C4040" s="140" t="s">
        <v>10691</v>
      </c>
      <c r="D4040" s="141" t="s">
        <v>7875</v>
      </c>
      <c r="E4040" s="140" t="s">
        <v>10692</v>
      </c>
      <c r="F4040" s="140"/>
      <c r="G4040" s="140"/>
    </row>
    <row r="4041" spans="2:7" hidden="1">
      <c r="B4041" s="141" t="s">
        <v>10693</v>
      </c>
      <c r="C4041" s="140"/>
      <c r="D4041" s="141" t="s">
        <v>1929</v>
      </c>
      <c r="E4041" s="140"/>
      <c r="F4041" s="140"/>
      <c r="G4041" s="140"/>
    </row>
    <row r="4042" spans="2:7" hidden="1">
      <c r="B4042" s="141" t="s">
        <v>10694</v>
      </c>
      <c r="C4042" s="140"/>
      <c r="D4042" s="141" t="s">
        <v>10695</v>
      </c>
      <c r="E4042" s="140"/>
      <c r="F4042" s="140"/>
      <c r="G4042" s="140"/>
    </row>
    <row r="4043" spans="2:7" hidden="1">
      <c r="B4043" s="141" t="s">
        <v>10696</v>
      </c>
      <c r="C4043" s="140"/>
      <c r="D4043" s="141" t="s">
        <v>10697</v>
      </c>
      <c r="E4043" s="140"/>
      <c r="F4043" s="140"/>
      <c r="G4043" s="140"/>
    </row>
    <row r="4044" spans="2:7" hidden="1">
      <c r="B4044" s="141" t="s">
        <v>10698</v>
      </c>
      <c r="C4044" s="140"/>
      <c r="D4044" s="141" t="s">
        <v>10699</v>
      </c>
      <c r="E4044" s="140"/>
      <c r="F4044" s="140"/>
      <c r="G4044" s="140"/>
    </row>
    <row r="4045" spans="2:7" hidden="1">
      <c r="B4045" s="141" t="s">
        <v>10700</v>
      </c>
      <c r="C4045" s="140"/>
      <c r="D4045" s="141" t="s">
        <v>10701</v>
      </c>
      <c r="E4045" s="140"/>
      <c r="F4045" s="140"/>
      <c r="G4045" s="140"/>
    </row>
    <row r="4046" spans="2:7" hidden="1">
      <c r="B4046" s="141" t="s">
        <v>10702</v>
      </c>
      <c r="C4046" s="140"/>
      <c r="D4046" s="141" t="s">
        <v>10703</v>
      </c>
      <c r="E4046" s="140"/>
      <c r="F4046" s="140"/>
      <c r="G4046" s="140"/>
    </row>
    <row r="4047" spans="2:7" hidden="1">
      <c r="B4047" s="140" t="s">
        <v>10704</v>
      </c>
      <c r="C4047" s="141"/>
      <c r="D4047" s="141" t="s">
        <v>10705</v>
      </c>
      <c r="E4047" s="141"/>
      <c r="F4047" s="141"/>
      <c r="G4047" s="140"/>
    </row>
    <row r="4048" spans="2:7" hidden="1">
      <c r="B4048" s="141" t="s">
        <v>10706</v>
      </c>
      <c r="C4048" s="140"/>
      <c r="D4048" s="141" t="s">
        <v>10707</v>
      </c>
      <c r="E4048" s="140"/>
      <c r="F4048" s="140"/>
      <c r="G4048" s="140"/>
    </row>
    <row r="4049" spans="2:7" hidden="1">
      <c r="B4049" s="141" t="s">
        <v>10708</v>
      </c>
      <c r="C4049" s="140" t="s">
        <v>10709</v>
      </c>
      <c r="D4049" s="141" t="s">
        <v>2528</v>
      </c>
      <c r="E4049" s="140"/>
      <c r="F4049" s="140"/>
      <c r="G4049" s="140" t="s">
        <v>10710</v>
      </c>
    </row>
    <row r="4050" spans="2:7" hidden="1">
      <c r="B4050" s="141" t="s">
        <v>10711</v>
      </c>
      <c r="C4050" s="140"/>
      <c r="D4050" s="141" t="s">
        <v>5297</v>
      </c>
      <c r="E4050" s="140"/>
      <c r="F4050" s="140"/>
      <c r="G4050" s="140"/>
    </row>
    <row r="4051" spans="2:7" hidden="1">
      <c r="B4051" s="141" t="s">
        <v>10712</v>
      </c>
      <c r="C4051" s="140"/>
      <c r="D4051" s="141" t="s">
        <v>3643</v>
      </c>
      <c r="E4051" s="140"/>
      <c r="F4051" s="140"/>
      <c r="G4051" s="140"/>
    </row>
    <row r="4052" spans="2:7" hidden="1">
      <c r="B4052" s="141" t="s">
        <v>10713</v>
      </c>
      <c r="C4052" s="140" t="s">
        <v>10714</v>
      </c>
      <c r="D4052" s="141" t="s">
        <v>10715</v>
      </c>
      <c r="E4052" s="140" t="s">
        <v>10716</v>
      </c>
      <c r="F4052" s="140" t="s">
        <v>10717</v>
      </c>
      <c r="G4052" s="140"/>
    </row>
    <row r="4053" spans="2:7" hidden="1">
      <c r="B4053" s="141" t="s">
        <v>10718</v>
      </c>
      <c r="C4053" s="140"/>
      <c r="D4053" s="141" t="s">
        <v>3526</v>
      </c>
      <c r="E4053" s="140"/>
      <c r="F4053" s="140"/>
      <c r="G4053" s="140"/>
    </row>
    <row r="4054" spans="2:7" hidden="1">
      <c r="B4054" s="140" t="s">
        <v>10719</v>
      </c>
      <c r="C4054" s="140"/>
      <c r="D4054" s="140" t="s">
        <v>3205</v>
      </c>
      <c r="E4054" s="140"/>
      <c r="F4054" s="140"/>
      <c r="G4054" s="140"/>
    </row>
    <row r="4055" spans="2:7" hidden="1">
      <c r="B4055" s="141" t="s">
        <v>10720</v>
      </c>
      <c r="C4055" s="140"/>
      <c r="D4055" s="141" t="s">
        <v>3991</v>
      </c>
      <c r="E4055" s="140"/>
      <c r="F4055" s="140"/>
      <c r="G4055" s="140"/>
    </row>
    <row r="4056" spans="2:7" hidden="1">
      <c r="B4056" s="141" t="s">
        <v>10730</v>
      </c>
      <c r="C4056" s="140" t="s">
        <v>10731</v>
      </c>
      <c r="D4056" s="141" t="s">
        <v>10732</v>
      </c>
      <c r="E4056" s="140"/>
      <c r="F4056" s="140"/>
      <c r="G4056" s="140"/>
    </row>
    <row r="4057" spans="2:7" hidden="1">
      <c r="B4057" s="140" t="s">
        <v>10733</v>
      </c>
      <c r="C4057" s="140"/>
      <c r="D4057" s="140" t="s">
        <v>1815</v>
      </c>
      <c r="E4057" s="142"/>
      <c r="F4057" s="142"/>
      <c r="G4057" s="140"/>
    </row>
    <row r="4058" spans="2:7" hidden="1">
      <c r="B4058" s="141" t="s">
        <v>10734</v>
      </c>
      <c r="C4058" s="140"/>
      <c r="D4058" s="141" t="s">
        <v>10735</v>
      </c>
      <c r="E4058" s="140"/>
      <c r="F4058" s="140"/>
      <c r="G4058" s="140"/>
    </row>
    <row r="4059" spans="2:7" hidden="1">
      <c r="B4059" s="141" t="s">
        <v>10736</v>
      </c>
      <c r="C4059" s="140"/>
      <c r="D4059" s="141" t="s">
        <v>10737</v>
      </c>
      <c r="E4059" s="140"/>
      <c r="F4059" s="140"/>
      <c r="G4059" s="140"/>
    </row>
    <row r="4060" spans="2:7" hidden="1">
      <c r="B4060" s="141" t="s">
        <v>10738</v>
      </c>
      <c r="C4060" s="140"/>
      <c r="D4060" s="141" t="s">
        <v>10739</v>
      </c>
      <c r="E4060" s="140"/>
      <c r="F4060" s="140"/>
      <c r="G4060" s="140"/>
    </row>
    <row r="4061" spans="2:7" hidden="1">
      <c r="B4061" s="141" t="s">
        <v>10740</v>
      </c>
      <c r="C4061" s="140"/>
      <c r="D4061" s="141" t="s">
        <v>1441</v>
      </c>
      <c r="E4061" s="140"/>
      <c r="F4061" s="140"/>
      <c r="G4061" s="140"/>
    </row>
    <row r="4062" spans="2:7" hidden="1">
      <c r="B4062" s="141" t="s">
        <v>21807</v>
      </c>
      <c r="C4062" s="140"/>
      <c r="D4062" s="141" t="s">
        <v>10741</v>
      </c>
      <c r="E4062" s="140"/>
      <c r="F4062" s="140"/>
      <c r="G4062" s="140"/>
    </row>
    <row r="4063" spans="2:7" hidden="1">
      <c r="B4063" s="141" t="s">
        <v>21802</v>
      </c>
      <c r="C4063" s="141" t="s">
        <v>10721</v>
      </c>
      <c r="D4063" s="141" t="s">
        <v>10722</v>
      </c>
      <c r="E4063" s="140" t="s">
        <v>10723</v>
      </c>
      <c r="F4063" s="140" t="s">
        <v>10724</v>
      </c>
      <c r="G4063" s="140"/>
    </row>
    <row r="4064" spans="2:7" hidden="1">
      <c r="B4064" s="141" t="s">
        <v>21803</v>
      </c>
      <c r="C4064" s="140" t="s">
        <v>10725</v>
      </c>
      <c r="D4064" s="141" t="s">
        <v>4032</v>
      </c>
      <c r="E4064" s="140" t="s">
        <v>10726</v>
      </c>
      <c r="F4064" s="140" t="s">
        <v>10727</v>
      </c>
      <c r="G4064" s="140"/>
    </row>
    <row r="4065" spans="2:7" hidden="1">
      <c r="B4065" s="141" t="s">
        <v>21804</v>
      </c>
      <c r="C4065" s="140"/>
      <c r="D4065" s="141" t="s">
        <v>10728</v>
      </c>
      <c r="E4065" s="140"/>
      <c r="F4065" s="140"/>
      <c r="G4065" s="140"/>
    </row>
    <row r="4066" spans="2:7" hidden="1">
      <c r="B4066" s="141" t="s">
        <v>21805</v>
      </c>
      <c r="C4066" s="141"/>
      <c r="D4066" s="141" t="s">
        <v>5448</v>
      </c>
      <c r="E4066" s="140"/>
      <c r="F4066" s="140"/>
      <c r="G4066" s="140"/>
    </row>
    <row r="4067" spans="2:7" hidden="1">
      <c r="B4067" s="141" t="s">
        <v>10742</v>
      </c>
      <c r="C4067" s="140"/>
      <c r="D4067" s="141" t="s">
        <v>10743</v>
      </c>
      <c r="E4067" s="140"/>
      <c r="F4067" s="140"/>
      <c r="G4067" s="140"/>
    </row>
    <row r="4068" spans="2:7" hidden="1">
      <c r="B4068" s="141" t="s">
        <v>10744</v>
      </c>
      <c r="C4068" s="140" t="s">
        <v>10745</v>
      </c>
      <c r="D4068" s="141" t="s">
        <v>10746</v>
      </c>
      <c r="E4068" s="140"/>
      <c r="F4068" s="140"/>
      <c r="G4068" s="140" t="s">
        <v>21808</v>
      </c>
    </row>
    <row r="4069" spans="2:7" hidden="1">
      <c r="B4069" s="140" t="s">
        <v>21806</v>
      </c>
      <c r="C4069" s="140"/>
      <c r="D4069" s="140" t="s">
        <v>10729</v>
      </c>
      <c r="E4069" s="142"/>
      <c r="F4069" s="142"/>
      <c r="G4069" s="140"/>
    </row>
    <row r="4070" spans="2:7" hidden="1">
      <c r="B4070" s="140" t="s">
        <v>10747</v>
      </c>
      <c r="C4070" s="140" t="s">
        <v>10748</v>
      </c>
      <c r="D4070" s="140" t="s">
        <v>1263</v>
      </c>
      <c r="E4070" s="142" t="s">
        <v>10749</v>
      </c>
      <c r="F4070" s="142" t="s">
        <v>10750</v>
      </c>
      <c r="G4070" s="140"/>
    </row>
    <row r="4071" spans="2:7" hidden="1">
      <c r="B4071" s="141" t="s">
        <v>21809</v>
      </c>
      <c r="C4071" s="140"/>
      <c r="D4071" s="140" t="s">
        <v>10751</v>
      </c>
      <c r="E4071" s="140"/>
      <c r="F4071" s="140"/>
      <c r="G4071" s="140"/>
    </row>
    <row r="4072" spans="2:7" hidden="1">
      <c r="B4072" s="141" t="s">
        <v>10752</v>
      </c>
      <c r="C4072" s="140"/>
      <c r="D4072" s="141" t="s">
        <v>5024</v>
      </c>
      <c r="E4072" s="140"/>
      <c r="F4072" s="140"/>
      <c r="G4072" s="140"/>
    </row>
    <row r="4073" spans="2:7" hidden="1">
      <c r="B4073" s="141" t="s">
        <v>10753</v>
      </c>
      <c r="C4073" s="140"/>
      <c r="D4073" s="141" t="s">
        <v>1815</v>
      </c>
      <c r="E4073" s="140"/>
      <c r="F4073" s="140"/>
      <c r="G4073" s="140"/>
    </row>
    <row r="4074" spans="2:7" hidden="1">
      <c r="B4074" s="141" t="s">
        <v>10754</v>
      </c>
      <c r="C4074" s="140"/>
      <c r="D4074" s="141" t="s">
        <v>9602</v>
      </c>
      <c r="E4074" s="140"/>
      <c r="F4074" s="140"/>
      <c r="G4074" s="140"/>
    </row>
    <row r="4075" spans="2:7" hidden="1">
      <c r="B4075" s="141" t="s">
        <v>10755</v>
      </c>
      <c r="C4075" s="140"/>
      <c r="D4075" s="141" t="s">
        <v>5736</v>
      </c>
      <c r="E4075" s="140"/>
      <c r="F4075" s="140"/>
      <c r="G4075" s="140"/>
    </row>
    <row r="4076" spans="2:7" hidden="1">
      <c r="B4076" s="141" t="s">
        <v>10756</v>
      </c>
      <c r="C4076" s="141" t="s">
        <v>10757</v>
      </c>
      <c r="D4076" s="141" t="s">
        <v>3124</v>
      </c>
      <c r="E4076" s="141" t="s">
        <v>10758</v>
      </c>
      <c r="F4076" s="140" t="s">
        <v>10759</v>
      </c>
      <c r="G4076" s="140"/>
    </row>
    <row r="4077" spans="2:7" hidden="1">
      <c r="B4077" s="141" t="s">
        <v>21810</v>
      </c>
      <c r="C4077" s="140"/>
      <c r="D4077" s="141" t="s">
        <v>2166</v>
      </c>
      <c r="E4077" s="140"/>
      <c r="F4077" s="140"/>
      <c r="G4077" s="140"/>
    </row>
    <row r="4078" spans="2:7" hidden="1">
      <c r="B4078" s="140" t="s">
        <v>10760</v>
      </c>
      <c r="C4078" s="140"/>
      <c r="D4078" s="140" t="s">
        <v>10761</v>
      </c>
      <c r="E4078" s="142"/>
      <c r="F4078" s="142"/>
      <c r="G4078" s="140"/>
    </row>
    <row r="4079" spans="2:7" hidden="1">
      <c r="B4079" s="141" t="s">
        <v>10762</v>
      </c>
      <c r="C4079" s="140" t="s">
        <v>10763</v>
      </c>
      <c r="D4079" s="141" t="s">
        <v>9687</v>
      </c>
      <c r="E4079" s="140" t="s">
        <v>10764</v>
      </c>
      <c r="F4079" s="140" t="s">
        <v>10765</v>
      </c>
      <c r="G4079" s="140"/>
    </row>
    <row r="4080" spans="2:7" hidden="1">
      <c r="B4080" s="141" t="s">
        <v>10766</v>
      </c>
      <c r="C4080" s="140"/>
      <c r="D4080" s="141" t="s">
        <v>10767</v>
      </c>
      <c r="E4080" s="140"/>
      <c r="F4080" s="140"/>
      <c r="G4080" s="140"/>
    </row>
    <row r="4081" spans="2:7" hidden="1">
      <c r="B4081" s="141" t="s">
        <v>10768</v>
      </c>
      <c r="C4081" s="140"/>
      <c r="D4081" s="141" t="s">
        <v>10769</v>
      </c>
      <c r="E4081" s="140"/>
      <c r="F4081" s="140"/>
      <c r="G4081" s="140"/>
    </row>
    <row r="4082" spans="2:7" hidden="1">
      <c r="B4082" s="141" t="s">
        <v>10770</v>
      </c>
      <c r="C4082" s="140"/>
      <c r="D4082" s="141" t="s">
        <v>10771</v>
      </c>
      <c r="E4082" s="140"/>
      <c r="F4082" s="140"/>
      <c r="G4082" s="140"/>
    </row>
    <row r="4083" spans="2:7" hidden="1">
      <c r="B4083" s="141" t="s">
        <v>10772</v>
      </c>
      <c r="C4083" s="140"/>
      <c r="D4083" s="141" t="s">
        <v>9853</v>
      </c>
      <c r="E4083" s="140"/>
      <c r="F4083" s="140"/>
      <c r="G4083" s="140"/>
    </row>
    <row r="4084" spans="2:7" hidden="1">
      <c r="B4084" s="141" t="s">
        <v>10773</v>
      </c>
      <c r="C4084" s="140" t="s">
        <v>10774</v>
      </c>
      <c r="D4084" s="141" t="s">
        <v>10775</v>
      </c>
      <c r="E4084" s="140"/>
      <c r="F4084" s="140"/>
      <c r="G4084" s="140"/>
    </row>
    <row r="4085" spans="2:7" hidden="1">
      <c r="B4085" s="141" t="s">
        <v>10776</v>
      </c>
      <c r="C4085" s="140"/>
      <c r="D4085" s="141" t="s">
        <v>5031</v>
      </c>
      <c r="E4085" s="140"/>
      <c r="F4085" s="140"/>
      <c r="G4085" s="140"/>
    </row>
    <row r="4086" spans="2:7" hidden="1">
      <c r="B4086" s="141" t="s">
        <v>10777</v>
      </c>
      <c r="C4086" s="140" t="s">
        <v>10778</v>
      </c>
      <c r="D4086" s="141" t="s">
        <v>10779</v>
      </c>
      <c r="E4086" s="140" t="s">
        <v>10780</v>
      </c>
      <c r="F4086" s="140" t="s">
        <v>10781</v>
      </c>
      <c r="G4086" s="140"/>
    </row>
    <row r="4087" spans="2:7" hidden="1">
      <c r="B4087" s="140" t="s">
        <v>10782</v>
      </c>
      <c r="C4087" s="140" t="s">
        <v>10783</v>
      </c>
      <c r="D4087" s="140" t="s">
        <v>10784</v>
      </c>
      <c r="E4087" s="142" t="s">
        <v>10785</v>
      </c>
      <c r="F4087" s="142"/>
      <c r="G4087" s="140"/>
    </row>
    <row r="4088" spans="2:7" hidden="1">
      <c r="B4088" s="141" t="s">
        <v>10786</v>
      </c>
      <c r="C4088" s="140"/>
      <c r="D4088" s="141" t="s">
        <v>10787</v>
      </c>
      <c r="E4088" s="140"/>
      <c r="F4088" s="140"/>
      <c r="G4088" s="140"/>
    </row>
    <row r="4089" spans="2:7" hidden="1">
      <c r="B4089" s="141" t="s">
        <v>10788</v>
      </c>
      <c r="C4089" s="140"/>
      <c r="D4089" s="141" t="s">
        <v>10789</v>
      </c>
      <c r="E4089" s="140"/>
      <c r="F4089" s="140"/>
      <c r="G4089" s="140"/>
    </row>
    <row r="4090" spans="2:7" hidden="1">
      <c r="B4090" s="141" t="s">
        <v>10790</v>
      </c>
      <c r="C4090" s="141"/>
      <c r="D4090" s="141" t="s">
        <v>10791</v>
      </c>
      <c r="E4090" s="140"/>
      <c r="F4090" s="140"/>
      <c r="G4090" s="140"/>
    </row>
    <row r="4091" spans="2:7" hidden="1">
      <c r="B4091" s="141" t="s">
        <v>10792</v>
      </c>
      <c r="C4091" s="140"/>
      <c r="D4091" s="141" t="s">
        <v>4226</v>
      </c>
      <c r="E4091" s="140"/>
      <c r="F4091" s="140"/>
      <c r="G4091" s="140"/>
    </row>
    <row r="4092" spans="2:7" hidden="1">
      <c r="B4092" s="141" t="s">
        <v>10793</v>
      </c>
      <c r="C4092" s="140"/>
      <c r="D4092" s="141" t="s">
        <v>4935</v>
      </c>
      <c r="E4092" s="140"/>
      <c r="F4092" s="140"/>
      <c r="G4092" s="140"/>
    </row>
    <row r="4093" spans="2:7" hidden="1">
      <c r="B4093" s="141" t="s">
        <v>10794</v>
      </c>
      <c r="C4093" s="140"/>
      <c r="D4093" s="141" t="s">
        <v>2788</v>
      </c>
      <c r="E4093" s="140"/>
      <c r="F4093" s="140"/>
      <c r="G4093" s="140"/>
    </row>
    <row r="4094" spans="2:7" hidden="1">
      <c r="B4094" s="140" t="s">
        <v>10795</v>
      </c>
      <c r="C4094" s="140" t="s">
        <v>10796</v>
      </c>
      <c r="D4094" s="140" t="s">
        <v>10797</v>
      </c>
      <c r="E4094" s="140"/>
      <c r="F4094" s="140"/>
      <c r="G4094" s="140" t="s">
        <v>22123</v>
      </c>
    </row>
    <row r="4095" spans="2:7" hidden="1">
      <c r="B4095" s="141" t="s">
        <v>10798</v>
      </c>
      <c r="C4095" s="140"/>
      <c r="D4095" s="141" t="s">
        <v>10799</v>
      </c>
      <c r="E4095" s="140"/>
      <c r="F4095" s="140"/>
      <c r="G4095" s="140"/>
    </row>
    <row r="4096" spans="2:7" hidden="1">
      <c r="B4096" s="141" t="s">
        <v>10800</v>
      </c>
      <c r="C4096" s="140" t="s">
        <v>10801</v>
      </c>
      <c r="D4096" s="141" t="s">
        <v>10802</v>
      </c>
      <c r="E4096" s="140"/>
      <c r="F4096" s="140"/>
      <c r="G4096" s="140"/>
    </row>
    <row r="4097" spans="2:7" hidden="1">
      <c r="B4097" s="140" t="s">
        <v>10803</v>
      </c>
      <c r="C4097" s="140" t="s">
        <v>10801</v>
      </c>
      <c r="D4097" s="140" t="s">
        <v>10802</v>
      </c>
      <c r="E4097" s="142"/>
      <c r="F4097" s="142"/>
      <c r="G4097" s="140"/>
    </row>
    <row r="4098" spans="2:7" hidden="1">
      <c r="B4098" s="141" t="s">
        <v>10805</v>
      </c>
      <c r="C4098" s="140"/>
      <c r="D4098" s="141" t="s">
        <v>10806</v>
      </c>
      <c r="E4098" s="140"/>
      <c r="F4098" s="140"/>
      <c r="G4098" s="140"/>
    </row>
    <row r="4099" spans="2:7" hidden="1">
      <c r="B4099" s="141" t="s">
        <v>21811</v>
      </c>
      <c r="C4099" s="140"/>
      <c r="D4099" s="141" t="s">
        <v>10804</v>
      </c>
      <c r="E4099" s="140"/>
      <c r="F4099" s="140"/>
      <c r="G4099" s="140"/>
    </row>
    <row r="4100" spans="2:7" hidden="1">
      <c r="B4100" s="141" t="s">
        <v>10807</v>
      </c>
      <c r="C4100" s="140" t="s">
        <v>10808</v>
      </c>
      <c r="D4100" s="141" t="s">
        <v>10809</v>
      </c>
      <c r="E4100" s="140" t="s">
        <v>10810</v>
      </c>
      <c r="F4100" s="140" t="s">
        <v>10811</v>
      </c>
      <c r="G4100" s="140"/>
    </row>
    <row r="4101" spans="2:7" hidden="1">
      <c r="B4101" s="140" t="s">
        <v>10812</v>
      </c>
      <c r="C4101" s="140"/>
      <c r="D4101" s="140" t="s">
        <v>7832</v>
      </c>
      <c r="E4101" s="140"/>
      <c r="F4101" s="140"/>
      <c r="G4101" s="140"/>
    </row>
    <row r="4102" spans="2:7" hidden="1">
      <c r="B4102" s="141" t="s">
        <v>10813</v>
      </c>
      <c r="C4102" s="140" t="s">
        <v>10814</v>
      </c>
      <c r="D4102" s="141" t="s">
        <v>10815</v>
      </c>
      <c r="E4102" s="140"/>
      <c r="F4102" s="140"/>
      <c r="G4102" s="140"/>
    </row>
    <row r="4103" spans="2:7" hidden="1">
      <c r="B4103" s="140" t="s">
        <v>21073</v>
      </c>
      <c r="C4103" s="140" t="s">
        <v>21075</v>
      </c>
      <c r="D4103" s="140" t="s">
        <v>21074</v>
      </c>
      <c r="E4103" s="142" t="s">
        <v>21076</v>
      </c>
      <c r="F4103" s="142"/>
      <c r="G4103" s="140" t="s">
        <v>21077</v>
      </c>
    </row>
    <row r="4104" spans="2:7" hidden="1">
      <c r="B4104" s="140" t="s">
        <v>20512</v>
      </c>
      <c r="C4104" s="140" t="s">
        <v>20513</v>
      </c>
      <c r="D4104" s="140" t="s">
        <v>20514</v>
      </c>
      <c r="E4104" s="142" t="s">
        <v>20515</v>
      </c>
      <c r="F4104" s="142"/>
      <c r="G4104" s="140"/>
    </row>
    <row r="4105" spans="2:7" hidden="1">
      <c r="B4105" s="141" t="s">
        <v>10816</v>
      </c>
      <c r="C4105" s="140"/>
      <c r="D4105" s="140" t="s">
        <v>10817</v>
      </c>
      <c r="E4105" s="140"/>
      <c r="F4105" s="140"/>
      <c r="G4105" s="140"/>
    </row>
    <row r="4106" spans="2:7" hidden="1">
      <c r="B4106" s="141" t="s">
        <v>10818</v>
      </c>
      <c r="C4106" s="140"/>
      <c r="D4106" s="141" t="s">
        <v>2564</v>
      </c>
      <c r="E4106" s="140"/>
      <c r="F4106" s="140"/>
      <c r="G4106" s="140"/>
    </row>
    <row r="4107" spans="2:7" hidden="1">
      <c r="B4107" s="140" t="s">
        <v>10819</v>
      </c>
      <c r="C4107" s="140"/>
      <c r="D4107" s="140" t="s">
        <v>1213</v>
      </c>
      <c r="E4107" s="142"/>
      <c r="F4107" s="142"/>
      <c r="G4107" s="140"/>
    </row>
    <row r="4108" spans="2:7" hidden="1">
      <c r="B4108" s="141" t="s">
        <v>10820</v>
      </c>
      <c r="C4108" s="140"/>
      <c r="D4108" s="141" t="s">
        <v>10821</v>
      </c>
      <c r="E4108" s="140"/>
      <c r="F4108" s="140"/>
      <c r="G4108" s="140"/>
    </row>
    <row r="4109" spans="2:7" hidden="1">
      <c r="B4109" s="140" t="s">
        <v>10822</v>
      </c>
      <c r="C4109" s="140"/>
      <c r="D4109" s="140" t="s">
        <v>10823</v>
      </c>
      <c r="E4109" s="140"/>
      <c r="F4109" s="140"/>
      <c r="G4109" s="140"/>
    </row>
    <row r="4110" spans="2:7" hidden="1">
      <c r="B4110" s="141" t="s">
        <v>10824</v>
      </c>
      <c r="C4110" s="140" t="s">
        <v>10825</v>
      </c>
      <c r="D4110" s="141" t="s">
        <v>10826</v>
      </c>
      <c r="E4110" s="140"/>
      <c r="F4110" s="140"/>
      <c r="G4110" s="140" t="s">
        <v>10827</v>
      </c>
    </row>
    <row r="4111" spans="2:7" hidden="1">
      <c r="B4111" s="141" t="s">
        <v>10828</v>
      </c>
      <c r="C4111" s="140"/>
      <c r="D4111" s="141" t="s">
        <v>10829</v>
      </c>
      <c r="E4111" s="140"/>
      <c r="F4111" s="140"/>
      <c r="G4111" s="140"/>
    </row>
    <row r="4112" spans="2:7" hidden="1">
      <c r="B4112" s="141" t="s">
        <v>21813</v>
      </c>
      <c r="C4112" s="140"/>
      <c r="D4112" s="141" t="s">
        <v>10830</v>
      </c>
      <c r="E4112" s="140"/>
      <c r="F4112" s="140"/>
      <c r="G4112" s="140"/>
    </row>
    <row r="4113" spans="2:7" hidden="1">
      <c r="B4113" s="141" t="s">
        <v>10831</v>
      </c>
      <c r="C4113" s="140"/>
      <c r="D4113" s="141" t="s">
        <v>10832</v>
      </c>
      <c r="E4113" s="140"/>
      <c r="F4113" s="140"/>
      <c r="G4113" s="140"/>
    </row>
    <row r="4114" spans="2:7" hidden="1">
      <c r="B4114" s="141" t="s">
        <v>21812</v>
      </c>
      <c r="C4114" s="140"/>
      <c r="D4114" s="141" t="s">
        <v>10631</v>
      </c>
      <c r="E4114" s="140"/>
      <c r="F4114" s="140"/>
      <c r="G4114" s="140"/>
    </row>
    <row r="4115" spans="2:7" hidden="1">
      <c r="B4115" s="141" t="s">
        <v>10833</v>
      </c>
      <c r="C4115" s="140"/>
      <c r="D4115" s="141" t="s">
        <v>10834</v>
      </c>
      <c r="E4115" s="140"/>
      <c r="F4115" s="140"/>
      <c r="G4115" s="140"/>
    </row>
    <row r="4116" spans="2:7" hidden="1">
      <c r="B4116" s="141" t="s">
        <v>10835</v>
      </c>
      <c r="C4116" s="140"/>
      <c r="D4116" s="141" t="s">
        <v>3672</v>
      </c>
      <c r="E4116" s="149"/>
      <c r="F4116" s="149"/>
      <c r="G4116" s="140"/>
    </row>
    <row r="4117" spans="2:7" hidden="1">
      <c r="B4117" s="141" t="s">
        <v>10836</v>
      </c>
      <c r="C4117" s="140"/>
      <c r="D4117" s="141" t="s">
        <v>10837</v>
      </c>
      <c r="E4117" s="142"/>
      <c r="F4117" s="142"/>
      <c r="G4117" s="140"/>
    </row>
    <row r="4118" spans="2:7" hidden="1">
      <c r="B4118" s="141" t="s">
        <v>10838</v>
      </c>
      <c r="C4118" s="140"/>
      <c r="D4118" s="140" t="s">
        <v>10839</v>
      </c>
      <c r="E4118" s="142"/>
      <c r="F4118" s="142"/>
      <c r="G4118" s="140"/>
    </row>
    <row r="4119" spans="2:7" hidden="1">
      <c r="B4119" s="140" t="s">
        <v>21228</v>
      </c>
      <c r="C4119" s="140" t="s">
        <v>21227</v>
      </c>
      <c r="D4119" s="140" t="s">
        <v>21226</v>
      </c>
      <c r="E4119" s="142" t="s">
        <v>21229</v>
      </c>
      <c r="F4119" s="142"/>
      <c r="G4119" s="140"/>
    </row>
    <row r="4120" spans="2:7" hidden="1">
      <c r="B4120" s="140" t="s">
        <v>10840</v>
      </c>
      <c r="C4120" s="140"/>
      <c r="D4120" s="140" t="s">
        <v>10841</v>
      </c>
      <c r="E4120" s="142"/>
      <c r="F4120" s="142"/>
      <c r="G4120" s="140"/>
    </row>
    <row r="4121" spans="2:7" hidden="1">
      <c r="B4121" s="141" t="s">
        <v>10842</v>
      </c>
      <c r="C4121" s="141" t="s">
        <v>10843</v>
      </c>
      <c r="D4121" s="141" t="s">
        <v>10844</v>
      </c>
      <c r="E4121" s="149"/>
      <c r="F4121" s="149"/>
      <c r="G4121" s="140" t="s">
        <v>10845</v>
      </c>
    </row>
    <row r="4122" spans="2:7" hidden="1">
      <c r="B4122" s="141" t="s">
        <v>10846</v>
      </c>
      <c r="C4122" s="140"/>
      <c r="D4122" s="141" t="s">
        <v>10847</v>
      </c>
      <c r="E4122" s="142"/>
      <c r="F4122" s="142"/>
      <c r="G4122" s="140"/>
    </row>
    <row r="4123" spans="2:7" hidden="1">
      <c r="B4123" s="140" t="s">
        <v>21814</v>
      </c>
      <c r="C4123" s="140"/>
      <c r="D4123" s="140" t="s">
        <v>6510</v>
      </c>
      <c r="E4123" s="142"/>
      <c r="F4123" s="142"/>
      <c r="G4123" s="140"/>
    </row>
    <row r="4124" spans="2:7" hidden="1">
      <c r="B4124" s="141" t="s">
        <v>10848</v>
      </c>
      <c r="C4124" s="140"/>
      <c r="D4124" s="141" t="s">
        <v>10849</v>
      </c>
      <c r="E4124" s="142"/>
      <c r="F4124" s="142"/>
      <c r="G4124" s="140"/>
    </row>
    <row r="4125" spans="2:7" hidden="1">
      <c r="B4125" s="141" t="s">
        <v>10850</v>
      </c>
      <c r="C4125" s="140"/>
      <c r="D4125" s="141" t="s">
        <v>10851</v>
      </c>
      <c r="E4125" s="142"/>
      <c r="F4125" s="142"/>
      <c r="G4125" s="140"/>
    </row>
    <row r="4126" spans="2:7" hidden="1">
      <c r="B4126" s="140" t="s">
        <v>10852</v>
      </c>
      <c r="C4126" s="140"/>
      <c r="D4126" s="140" t="s">
        <v>10853</v>
      </c>
      <c r="E4126" s="142"/>
      <c r="F4126" s="142"/>
      <c r="G4126" s="140"/>
    </row>
    <row r="4127" spans="2:7" hidden="1">
      <c r="B4127" s="140" t="s">
        <v>10854</v>
      </c>
      <c r="C4127" s="140"/>
      <c r="D4127" s="140" t="s">
        <v>10855</v>
      </c>
      <c r="E4127" s="142"/>
      <c r="F4127" s="142"/>
      <c r="G4127" s="140"/>
    </row>
    <row r="4128" spans="2:7" hidden="1">
      <c r="B4128" s="141" t="s">
        <v>10856</v>
      </c>
      <c r="C4128" s="140"/>
      <c r="D4128" s="141" t="s">
        <v>5204</v>
      </c>
      <c r="E4128" s="142"/>
      <c r="F4128" s="142"/>
      <c r="G4128" s="140"/>
    </row>
    <row r="4129" spans="2:7" hidden="1">
      <c r="B4129" s="141" t="s">
        <v>10857</v>
      </c>
      <c r="C4129" s="140"/>
      <c r="D4129" s="141" t="s">
        <v>2138</v>
      </c>
      <c r="E4129" s="142"/>
      <c r="F4129" s="142"/>
      <c r="G4129" s="140"/>
    </row>
    <row r="4130" spans="2:7" hidden="1">
      <c r="B4130" s="141" t="s">
        <v>10858</v>
      </c>
      <c r="C4130" s="140"/>
      <c r="D4130" s="141" t="s">
        <v>10859</v>
      </c>
      <c r="E4130" s="142"/>
      <c r="F4130" s="142"/>
      <c r="G4130" s="140"/>
    </row>
    <row r="4131" spans="2:7" hidden="1">
      <c r="B4131" s="141" t="s">
        <v>10860</v>
      </c>
      <c r="C4131" s="140"/>
      <c r="D4131" s="141" t="s">
        <v>10861</v>
      </c>
      <c r="E4131" s="142"/>
      <c r="F4131" s="142"/>
      <c r="G4131" s="140"/>
    </row>
    <row r="4132" spans="2:7" hidden="1">
      <c r="B4132" s="141" t="s">
        <v>21815</v>
      </c>
      <c r="C4132" s="140"/>
      <c r="D4132" s="141" t="s">
        <v>4277</v>
      </c>
      <c r="E4132" s="142"/>
      <c r="F4132" s="142"/>
      <c r="G4132" s="140"/>
    </row>
    <row r="4133" spans="2:7" hidden="1">
      <c r="B4133" s="140" t="s">
        <v>10862</v>
      </c>
      <c r="C4133" s="140"/>
      <c r="D4133" s="140" t="s">
        <v>10863</v>
      </c>
      <c r="E4133" s="142"/>
      <c r="F4133" s="142"/>
      <c r="G4133" s="140"/>
    </row>
    <row r="4134" spans="2:7" hidden="1">
      <c r="B4134" s="140" t="s">
        <v>10864</v>
      </c>
      <c r="C4134" s="140"/>
      <c r="D4134" s="140" t="s">
        <v>10865</v>
      </c>
      <c r="E4134" s="142"/>
      <c r="F4134" s="142"/>
      <c r="G4134" s="140"/>
    </row>
    <row r="4135" spans="2:7" hidden="1">
      <c r="B4135" s="140" t="s">
        <v>20342</v>
      </c>
      <c r="C4135" s="140" t="s">
        <v>20349</v>
      </c>
      <c r="D4135" s="140" t="s">
        <v>20343</v>
      </c>
      <c r="E4135" s="142" t="s">
        <v>20350</v>
      </c>
      <c r="F4135" s="142"/>
      <c r="G4135" s="140"/>
    </row>
    <row r="4136" spans="2:7" hidden="1">
      <c r="B4136" s="140" t="s">
        <v>10866</v>
      </c>
      <c r="C4136" s="140" t="s">
        <v>10867</v>
      </c>
      <c r="D4136" s="140" t="s">
        <v>10868</v>
      </c>
      <c r="E4136" s="142" t="s">
        <v>10869</v>
      </c>
      <c r="F4136" s="142" t="s">
        <v>10870</v>
      </c>
      <c r="G4136" s="140"/>
    </row>
    <row r="4137" spans="2:7" hidden="1">
      <c r="B4137" s="141" t="s">
        <v>10871</v>
      </c>
      <c r="C4137" s="140" t="s">
        <v>10872</v>
      </c>
      <c r="D4137" s="141" t="s">
        <v>10873</v>
      </c>
      <c r="E4137" s="142"/>
      <c r="F4137" s="142"/>
      <c r="G4137" s="140"/>
    </row>
    <row r="4138" spans="2:7" hidden="1">
      <c r="B4138" s="141" t="s">
        <v>10874</v>
      </c>
      <c r="C4138" s="140"/>
      <c r="D4138" s="141" t="s">
        <v>10875</v>
      </c>
      <c r="E4138" s="142"/>
      <c r="F4138" s="142"/>
      <c r="G4138" s="140"/>
    </row>
    <row r="4139" spans="2:7" hidden="1">
      <c r="B4139" s="140" t="s">
        <v>10876</v>
      </c>
      <c r="C4139" s="140"/>
      <c r="D4139" s="140" t="s">
        <v>10877</v>
      </c>
      <c r="E4139" s="142"/>
      <c r="F4139" s="142"/>
      <c r="G4139" s="140"/>
    </row>
    <row r="4140" spans="2:7" hidden="1">
      <c r="B4140" s="140" t="s">
        <v>21289</v>
      </c>
      <c r="C4140" s="140" t="s">
        <v>21288</v>
      </c>
      <c r="D4140" s="140" t="s">
        <v>21287</v>
      </c>
      <c r="E4140" s="142" t="s">
        <v>21290</v>
      </c>
      <c r="F4140" s="142"/>
      <c r="G4140" s="140"/>
    </row>
    <row r="4141" spans="2:7" hidden="1">
      <c r="B4141" s="141" t="s">
        <v>10878</v>
      </c>
      <c r="C4141" s="140"/>
      <c r="D4141" s="141" t="s">
        <v>10879</v>
      </c>
      <c r="E4141" s="140"/>
      <c r="F4141" s="140"/>
      <c r="G4141" s="140"/>
    </row>
    <row r="4142" spans="2:7" hidden="1">
      <c r="B4142" s="141" t="s">
        <v>10880</v>
      </c>
      <c r="C4142" s="140"/>
      <c r="D4142" s="141" t="s">
        <v>10881</v>
      </c>
      <c r="E4142" s="140"/>
      <c r="F4142" s="140"/>
      <c r="G4142" s="140"/>
    </row>
    <row r="4143" spans="2:7" hidden="1">
      <c r="B4143" s="141" t="s">
        <v>10882</v>
      </c>
      <c r="C4143" s="140"/>
      <c r="D4143" s="141" t="s">
        <v>10883</v>
      </c>
      <c r="E4143" s="140"/>
      <c r="F4143" s="140"/>
      <c r="G4143" s="140"/>
    </row>
    <row r="4144" spans="2:7" hidden="1">
      <c r="B4144" s="141" t="s">
        <v>10884</v>
      </c>
      <c r="C4144" s="140"/>
      <c r="D4144" s="141" t="s">
        <v>10885</v>
      </c>
      <c r="E4144" s="140"/>
      <c r="F4144" s="140"/>
      <c r="G4144" s="140"/>
    </row>
    <row r="4145" spans="2:7" hidden="1">
      <c r="B4145" s="141" t="s">
        <v>21816</v>
      </c>
      <c r="C4145" s="140" t="s">
        <v>10886</v>
      </c>
      <c r="D4145" s="141" t="s">
        <v>1946</v>
      </c>
      <c r="E4145" s="140" t="s">
        <v>10887</v>
      </c>
      <c r="F4145" s="140" t="s">
        <v>10888</v>
      </c>
      <c r="G4145" s="140"/>
    </row>
    <row r="4146" spans="2:7" hidden="1">
      <c r="B4146" s="140" t="s">
        <v>10889</v>
      </c>
      <c r="C4146" s="140" t="s">
        <v>10890</v>
      </c>
      <c r="D4146" s="140" t="s">
        <v>10891</v>
      </c>
      <c r="E4146" s="140" t="s">
        <v>10892</v>
      </c>
      <c r="F4146" s="140" t="s">
        <v>10893</v>
      </c>
      <c r="G4146" s="140" t="s">
        <v>1063</v>
      </c>
    </row>
    <row r="4147" spans="2:7" hidden="1">
      <c r="B4147" s="140" t="s">
        <v>20960</v>
      </c>
      <c r="C4147" s="140" t="s">
        <v>20961</v>
      </c>
      <c r="D4147" s="140" t="s">
        <v>20962</v>
      </c>
      <c r="E4147" s="142" t="s">
        <v>20302</v>
      </c>
      <c r="F4147" s="142" t="s">
        <v>20303</v>
      </c>
      <c r="G4147" s="140" t="s">
        <v>20304</v>
      </c>
    </row>
    <row r="4148" spans="2:7" hidden="1">
      <c r="B4148" s="141" t="s">
        <v>10894</v>
      </c>
      <c r="C4148" s="140"/>
      <c r="D4148" s="141" t="s">
        <v>10895</v>
      </c>
      <c r="E4148" s="140"/>
      <c r="F4148" s="140"/>
      <c r="G4148" s="140"/>
    </row>
    <row r="4149" spans="2:7" hidden="1">
      <c r="B4149" s="141" t="s">
        <v>10896</v>
      </c>
      <c r="C4149" s="140"/>
      <c r="D4149" s="141" t="s">
        <v>7546</v>
      </c>
      <c r="E4149" s="140"/>
      <c r="F4149" s="140"/>
      <c r="G4149" s="140"/>
    </row>
    <row r="4150" spans="2:7" hidden="1">
      <c r="B4150" s="141" t="s">
        <v>10897</v>
      </c>
      <c r="C4150" s="141"/>
      <c r="D4150" s="141" t="s">
        <v>9961</v>
      </c>
      <c r="E4150" s="140"/>
      <c r="F4150" s="140"/>
      <c r="G4150" s="140"/>
    </row>
    <row r="4151" spans="2:7" hidden="1">
      <c r="B4151" s="141" t="s">
        <v>10898</v>
      </c>
      <c r="C4151" s="140"/>
      <c r="D4151" s="141" t="s">
        <v>3550</v>
      </c>
      <c r="E4151" s="140"/>
      <c r="F4151" s="140"/>
      <c r="G4151" s="140"/>
    </row>
    <row r="4152" spans="2:7" hidden="1">
      <c r="B4152" s="141" t="s">
        <v>10899</v>
      </c>
      <c r="C4152" s="140"/>
      <c r="D4152" s="141" t="s">
        <v>10900</v>
      </c>
      <c r="E4152" s="140"/>
      <c r="F4152" s="140"/>
      <c r="G4152" s="140"/>
    </row>
    <row r="4153" spans="2:7" hidden="1">
      <c r="B4153" s="141" t="s">
        <v>10901</v>
      </c>
      <c r="C4153" s="141"/>
      <c r="D4153" s="141" t="s">
        <v>10902</v>
      </c>
      <c r="E4153" s="141"/>
      <c r="F4153" s="141"/>
      <c r="G4153" s="140"/>
    </row>
    <row r="4154" spans="2:7" hidden="1">
      <c r="B4154" s="141" t="s">
        <v>10903</v>
      </c>
      <c r="C4154" s="141"/>
      <c r="D4154" s="141" t="s">
        <v>1421</v>
      </c>
      <c r="E4154" s="141"/>
      <c r="F4154" s="141"/>
      <c r="G4154" s="140"/>
    </row>
    <row r="4155" spans="2:7" hidden="1">
      <c r="B4155" s="141" t="s">
        <v>10904</v>
      </c>
      <c r="C4155" s="140" t="s">
        <v>10905</v>
      </c>
      <c r="D4155" s="141" t="s">
        <v>10906</v>
      </c>
      <c r="E4155" s="140"/>
      <c r="F4155" s="140"/>
      <c r="G4155" s="140"/>
    </row>
    <row r="4156" spans="2:7" hidden="1">
      <c r="B4156" s="141" t="s">
        <v>10907</v>
      </c>
      <c r="C4156" s="140" t="s">
        <v>10908</v>
      </c>
      <c r="D4156" s="141" t="s">
        <v>10909</v>
      </c>
      <c r="E4156" s="140" t="s">
        <v>10910</v>
      </c>
      <c r="F4156" s="140" t="s">
        <v>10911</v>
      </c>
      <c r="G4156" s="140"/>
    </row>
    <row r="4157" spans="2:7" hidden="1">
      <c r="B4157" s="141" t="s">
        <v>10912</v>
      </c>
      <c r="C4157" s="140"/>
      <c r="D4157" s="141" t="s">
        <v>10913</v>
      </c>
      <c r="E4157" s="140"/>
      <c r="F4157" s="140"/>
      <c r="G4157" s="140"/>
    </row>
    <row r="4158" spans="2:7" hidden="1">
      <c r="B4158" s="141" t="s">
        <v>21817</v>
      </c>
      <c r="C4158" s="140"/>
      <c r="D4158" s="141" t="s">
        <v>10914</v>
      </c>
      <c r="E4158" s="140"/>
      <c r="F4158" s="140"/>
      <c r="G4158" s="140"/>
    </row>
    <row r="4159" spans="2:7" hidden="1">
      <c r="B4159" s="141" t="s">
        <v>21818</v>
      </c>
      <c r="C4159" s="140" t="s">
        <v>10915</v>
      </c>
      <c r="D4159" s="141" t="s">
        <v>3762</v>
      </c>
      <c r="E4159" s="140" t="s">
        <v>10916</v>
      </c>
      <c r="F4159" s="140" t="s">
        <v>10917</v>
      </c>
      <c r="G4159" s="140"/>
    </row>
    <row r="4160" spans="2:7" hidden="1">
      <c r="B4160" s="141" t="s">
        <v>10918</v>
      </c>
      <c r="C4160" s="141"/>
      <c r="D4160" s="141" t="s">
        <v>10919</v>
      </c>
      <c r="E4160" s="141"/>
      <c r="F4160" s="141"/>
      <c r="G4160" s="140"/>
    </row>
    <row r="4161" spans="2:7" hidden="1">
      <c r="B4161" s="141" t="s">
        <v>10920</v>
      </c>
      <c r="C4161" s="140"/>
      <c r="D4161" s="141" t="s">
        <v>10921</v>
      </c>
      <c r="E4161" s="140"/>
      <c r="F4161" s="140"/>
      <c r="G4161" s="140"/>
    </row>
    <row r="4162" spans="2:7" hidden="1">
      <c r="B4162" s="140" t="s">
        <v>21819</v>
      </c>
      <c r="C4162" s="140" t="s">
        <v>10922</v>
      </c>
      <c r="D4162" s="140" t="s">
        <v>10923</v>
      </c>
      <c r="E4162" s="142" t="s">
        <v>10924</v>
      </c>
      <c r="F4162" s="142"/>
      <c r="G4162" s="140"/>
    </row>
    <row r="4163" spans="2:7" hidden="1">
      <c r="B4163" s="140" t="s">
        <v>10925</v>
      </c>
      <c r="C4163" s="140"/>
      <c r="D4163" s="140" t="s">
        <v>10926</v>
      </c>
      <c r="E4163" s="140"/>
      <c r="F4163" s="140"/>
      <c r="G4163" s="140"/>
    </row>
    <row r="4164" spans="2:7" hidden="1">
      <c r="B4164" s="141" t="s">
        <v>10927</v>
      </c>
      <c r="C4164" s="140"/>
      <c r="D4164" s="141" t="s">
        <v>6305</v>
      </c>
      <c r="E4164" s="140"/>
      <c r="F4164" s="140"/>
      <c r="G4164" s="140"/>
    </row>
    <row r="4165" spans="2:7" hidden="1">
      <c r="B4165" s="141" t="s">
        <v>10928</v>
      </c>
      <c r="C4165" s="140"/>
      <c r="D4165" s="141" t="s">
        <v>10929</v>
      </c>
      <c r="E4165" s="140" t="s">
        <v>10930</v>
      </c>
      <c r="F4165" s="140" t="s">
        <v>10931</v>
      </c>
      <c r="G4165" s="140"/>
    </row>
    <row r="4166" spans="2:7" hidden="1">
      <c r="B4166" s="140" t="s">
        <v>10932</v>
      </c>
      <c r="C4166" s="140"/>
      <c r="D4166" s="140" t="s">
        <v>2731</v>
      </c>
      <c r="E4166" s="142"/>
      <c r="F4166" s="142"/>
      <c r="G4166" s="140"/>
    </row>
    <row r="4167" spans="2:7" hidden="1">
      <c r="B4167" s="140" t="s">
        <v>10933</v>
      </c>
      <c r="C4167" s="140"/>
      <c r="D4167" s="140" t="s">
        <v>3938</v>
      </c>
      <c r="E4167" s="142"/>
      <c r="F4167" s="142"/>
      <c r="G4167" s="140"/>
    </row>
    <row r="4168" spans="2:7" hidden="1">
      <c r="B4168" s="140" t="s">
        <v>10934</v>
      </c>
      <c r="C4168" s="140"/>
      <c r="D4168" s="140" t="s">
        <v>3528</v>
      </c>
      <c r="E4168" s="140"/>
      <c r="F4168" s="140"/>
      <c r="G4168" s="140"/>
    </row>
    <row r="4169" spans="2:7" hidden="1">
      <c r="B4169" s="141" t="s">
        <v>10935</v>
      </c>
      <c r="C4169" s="140"/>
      <c r="D4169" s="141" t="s">
        <v>4653</v>
      </c>
      <c r="E4169" s="140"/>
      <c r="F4169" s="140"/>
      <c r="G4169" s="140"/>
    </row>
    <row r="4170" spans="2:7" hidden="1">
      <c r="B4170" s="141" t="s">
        <v>10936</v>
      </c>
      <c r="C4170" s="140"/>
      <c r="D4170" s="141" t="s">
        <v>4935</v>
      </c>
      <c r="E4170" s="140"/>
      <c r="F4170" s="140"/>
      <c r="G4170" s="140"/>
    </row>
    <row r="4171" spans="2:7" hidden="1">
      <c r="B4171" s="141" t="s">
        <v>10937</v>
      </c>
      <c r="C4171" s="140"/>
      <c r="D4171" s="141" t="s">
        <v>10938</v>
      </c>
      <c r="E4171" s="140"/>
      <c r="F4171" s="140"/>
      <c r="G4171" s="140"/>
    </row>
    <row r="4172" spans="2:7" hidden="1">
      <c r="B4172" s="141" t="s">
        <v>10939</v>
      </c>
      <c r="C4172" s="140"/>
      <c r="D4172" s="141" t="s">
        <v>7950</v>
      </c>
      <c r="E4172" s="140"/>
      <c r="F4172" s="140"/>
      <c r="G4172" s="140"/>
    </row>
    <row r="4173" spans="2:7" hidden="1">
      <c r="B4173" s="141" t="s">
        <v>10940</v>
      </c>
      <c r="C4173" s="140" t="s">
        <v>10941</v>
      </c>
      <c r="D4173" s="141" t="s">
        <v>10942</v>
      </c>
      <c r="E4173" s="140" t="s">
        <v>10943</v>
      </c>
      <c r="F4173" s="140"/>
      <c r="G4173" s="140"/>
    </row>
    <row r="4174" spans="2:7" hidden="1">
      <c r="B4174" s="140" t="s">
        <v>10944</v>
      </c>
      <c r="C4174" s="140"/>
      <c r="D4174" s="140" t="s">
        <v>10945</v>
      </c>
      <c r="E4174" s="140"/>
      <c r="F4174" s="140"/>
      <c r="G4174" s="196"/>
    </row>
    <row r="4175" spans="2:7" hidden="1">
      <c r="B4175" s="141" t="s">
        <v>10946</v>
      </c>
      <c r="C4175" s="140"/>
      <c r="D4175" s="141" t="s">
        <v>7960</v>
      </c>
      <c r="E4175" s="140"/>
      <c r="F4175" s="140"/>
      <c r="G4175" s="140"/>
    </row>
    <row r="4176" spans="2:7" hidden="1">
      <c r="B4176" s="140" t="s">
        <v>10947</v>
      </c>
      <c r="C4176" s="140"/>
      <c r="D4176" s="140" t="s">
        <v>2570</v>
      </c>
      <c r="E4176" s="140"/>
      <c r="F4176" s="140"/>
      <c r="G4176" s="140"/>
    </row>
    <row r="4177" spans="2:7" hidden="1">
      <c r="B4177" s="140" t="s">
        <v>10948</v>
      </c>
      <c r="C4177" s="140"/>
      <c r="D4177" s="140" t="s">
        <v>4935</v>
      </c>
      <c r="E4177" s="142"/>
      <c r="F4177" s="142"/>
      <c r="G4177" s="140"/>
    </row>
    <row r="4178" spans="2:7" hidden="1">
      <c r="B4178" s="141" t="s">
        <v>10949</v>
      </c>
      <c r="C4178" s="140" t="s">
        <v>10950</v>
      </c>
      <c r="D4178" s="141" t="s">
        <v>2487</v>
      </c>
      <c r="E4178" s="140" t="s">
        <v>10951</v>
      </c>
      <c r="F4178" s="140" t="s">
        <v>10952</v>
      </c>
      <c r="G4178" s="140"/>
    </row>
    <row r="4179" spans="2:7" hidden="1">
      <c r="B4179" s="141" t="s">
        <v>10953</v>
      </c>
      <c r="C4179" s="140"/>
      <c r="D4179" s="141" t="s">
        <v>10954</v>
      </c>
      <c r="E4179" s="140"/>
      <c r="F4179" s="140"/>
      <c r="G4179" s="140"/>
    </row>
    <row r="4180" spans="2:7" hidden="1">
      <c r="B4180" s="140" t="s">
        <v>10955</v>
      </c>
      <c r="C4180" s="140" t="s">
        <v>10956</v>
      </c>
      <c r="D4180" s="140" t="s">
        <v>10957</v>
      </c>
      <c r="E4180" s="142" t="s">
        <v>10958</v>
      </c>
      <c r="F4180" s="142"/>
      <c r="G4180" s="140"/>
    </row>
    <row r="4181" spans="2:7" hidden="1">
      <c r="B4181" s="140" t="s">
        <v>10959</v>
      </c>
      <c r="C4181" s="140"/>
      <c r="D4181" s="140" t="s">
        <v>10960</v>
      </c>
      <c r="E4181" s="142"/>
      <c r="F4181" s="142"/>
      <c r="G4181" s="140"/>
    </row>
    <row r="4182" spans="2:7" hidden="1">
      <c r="B4182" s="141" t="s">
        <v>10961</v>
      </c>
      <c r="C4182" s="140" t="s">
        <v>10962</v>
      </c>
      <c r="D4182" s="141" t="s">
        <v>10963</v>
      </c>
      <c r="E4182" s="140" t="s">
        <v>10964</v>
      </c>
      <c r="F4182" s="140" t="s">
        <v>10965</v>
      </c>
      <c r="G4182" s="140"/>
    </row>
    <row r="4183" spans="2:7" hidden="1">
      <c r="B4183" s="141" t="s">
        <v>10966</v>
      </c>
      <c r="C4183" s="140" t="s">
        <v>10967</v>
      </c>
      <c r="D4183" s="141" t="s">
        <v>10968</v>
      </c>
      <c r="E4183" s="140" t="s">
        <v>10969</v>
      </c>
      <c r="F4183" s="140" t="s">
        <v>10970</v>
      </c>
      <c r="G4183" s="140"/>
    </row>
    <row r="4184" spans="2:7" hidden="1">
      <c r="B4184" s="141" t="s">
        <v>10971</v>
      </c>
      <c r="C4184" s="140" t="s">
        <v>10972</v>
      </c>
      <c r="D4184" s="141" t="s">
        <v>10973</v>
      </c>
      <c r="E4184" s="140" t="s">
        <v>10974</v>
      </c>
      <c r="F4184" s="140" t="s">
        <v>10975</v>
      </c>
      <c r="G4184" s="140"/>
    </row>
    <row r="4185" spans="2:7" hidden="1">
      <c r="B4185" s="141" t="s">
        <v>10976</v>
      </c>
      <c r="C4185" s="140"/>
      <c r="D4185" s="141" t="s">
        <v>6106</v>
      </c>
      <c r="E4185" s="140"/>
      <c r="F4185" s="140"/>
      <c r="G4185" s="140"/>
    </row>
    <row r="4186" spans="2:7" hidden="1">
      <c r="B4186" s="140" t="s">
        <v>10977</v>
      </c>
      <c r="C4186" s="140"/>
      <c r="D4186" s="140" t="s">
        <v>10978</v>
      </c>
      <c r="E4186" s="140"/>
      <c r="F4186" s="140"/>
      <c r="G4186" s="140"/>
    </row>
    <row r="4187" spans="2:7" hidden="1">
      <c r="B4187" s="141" t="s">
        <v>10979</v>
      </c>
      <c r="C4187" s="140"/>
      <c r="D4187" s="141" t="s">
        <v>10980</v>
      </c>
      <c r="E4187" s="140"/>
      <c r="F4187" s="140"/>
      <c r="G4187" s="140"/>
    </row>
    <row r="4188" spans="2:7" hidden="1">
      <c r="B4188" s="141" t="s">
        <v>10981</v>
      </c>
      <c r="C4188" s="140"/>
      <c r="D4188" s="141" t="s">
        <v>10982</v>
      </c>
      <c r="E4188" s="140"/>
      <c r="F4188" s="140"/>
      <c r="G4188" s="140"/>
    </row>
    <row r="4189" spans="2:7" hidden="1">
      <c r="B4189" s="141" t="s">
        <v>10983</v>
      </c>
      <c r="C4189" s="140"/>
      <c r="D4189" s="141" t="s">
        <v>3355</v>
      </c>
      <c r="E4189" s="140"/>
      <c r="F4189" s="140"/>
      <c r="G4189" s="140"/>
    </row>
    <row r="4190" spans="2:7" hidden="1">
      <c r="B4190" s="141" t="s">
        <v>10984</v>
      </c>
      <c r="C4190" s="140"/>
      <c r="D4190" s="141" t="s">
        <v>10985</v>
      </c>
      <c r="E4190" s="140"/>
      <c r="F4190" s="140"/>
      <c r="G4190" s="140"/>
    </row>
    <row r="4191" spans="2:7" hidden="1">
      <c r="B4191" s="141" t="s">
        <v>10986</v>
      </c>
      <c r="C4191" s="140"/>
      <c r="D4191" s="141" t="s">
        <v>10987</v>
      </c>
      <c r="E4191" s="140"/>
      <c r="F4191" s="140"/>
      <c r="G4191" s="140"/>
    </row>
    <row r="4192" spans="2:7" hidden="1">
      <c r="B4192" s="140" t="s">
        <v>10988</v>
      </c>
      <c r="C4192" s="140" t="s">
        <v>10989</v>
      </c>
      <c r="D4192" s="140" t="s">
        <v>10990</v>
      </c>
      <c r="E4192" s="142" t="s">
        <v>10991</v>
      </c>
      <c r="F4192" s="142" t="s">
        <v>10992</v>
      </c>
      <c r="G4192" s="140"/>
    </row>
    <row r="4193" spans="2:7" hidden="1">
      <c r="B4193" s="141" t="s">
        <v>10993</v>
      </c>
      <c r="C4193" s="140" t="s">
        <v>10994</v>
      </c>
      <c r="D4193" s="141" t="s">
        <v>10995</v>
      </c>
      <c r="E4193" s="140"/>
      <c r="F4193" s="140"/>
      <c r="G4193" s="140"/>
    </row>
    <row r="4194" spans="2:7" hidden="1">
      <c r="B4194" s="141" t="s">
        <v>10996</v>
      </c>
      <c r="C4194" s="140"/>
      <c r="D4194" s="141" t="s">
        <v>10997</v>
      </c>
      <c r="E4194" s="140"/>
      <c r="F4194" s="140"/>
      <c r="G4194" s="140"/>
    </row>
    <row r="4195" spans="2:7" hidden="1">
      <c r="B4195" s="140" t="s">
        <v>10998</v>
      </c>
      <c r="C4195" s="140" t="s">
        <v>10999</v>
      </c>
      <c r="D4195" s="140" t="s">
        <v>7715</v>
      </c>
      <c r="E4195" s="142" t="s">
        <v>11000</v>
      </c>
      <c r="F4195" s="142" t="s">
        <v>11001</v>
      </c>
      <c r="G4195" s="140"/>
    </row>
    <row r="4196" spans="2:7" hidden="1">
      <c r="B4196" s="141" t="s">
        <v>11002</v>
      </c>
      <c r="C4196" s="140" t="s">
        <v>11003</v>
      </c>
      <c r="D4196" s="141" t="s">
        <v>11004</v>
      </c>
      <c r="E4196" s="140"/>
      <c r="F4196" s="140"/>
      <c r="G4196" s="140" t="s">
        <v>11005</v>
      </c>
    </row>
    <row r="4197" spans="2:7" hidden="1">
      <c r="B4197" s="141" t="s">
        <v>11006</v>
      </c>
      <c r="C4197" s="140" t="s">
        <v>11007</v>
      </c>
      <c r="D4197" s="141" t="s">
        <v>11008</v>
      </c>
      <c r="E4197" s="140"/>
      <c r="F4197" s="140"/>
      <c r="G4197" s="140"/>
    </row>
    <row r="4198" spans="2:7" hidden="1">
      <c r="B4198" s="141" t="s">
        <v>11009</v>
      </c>
      <c r="C4198" s="140" t="s">
        <v>11010</v>
      </c>
      <c r="D4198" s="141" t="s">
        <v>11011</v>
      </c>
      <c r="E4198" s="140"/>
      <c r="F4198" s="140"/>
      <c r="G4198" s="140"/>
    </row>
    <row r="4199" spans="2:7" hidden="1">
      <c r="B4199" s="141" t="s">
        <v>11012</v>
      </c>
      <c r="C4199" s="140"/>
      <c r="D4199" s="141" t="s">
        <v>11013</v>
      </c>
      <c r="E4199" s="140"/>
      <c r="F4199" s="140"/>
      <c r="G4199" s="140"/>
    </row>
    <row r="4200" spans="2:7" hidden="1">
      <c r="B4200" s="141" t="s">
        <v>11014</v>
      </c>
      <c r="C4200" s="140" t="s">
        <v>11015</v>
      </c>
      <c r="D4200" s="141" t="s">
        <v>11016</v>
      </c>
      <c r="E4200" s="140"/>
      <c r="F4200" s="140"/>
      <c r="G4200" s="140"/>
    </row>
    <row r="4201" spans="2:7" hidden="1">
      <c r="B4201" s="141" t="s">
        <v>11017</v>
      </c>
      <c r="C4201" s="140" t="s">
        <v>11007</v>
      </c>
      <c r="D4201" s="141" t="s">
        <v>11008</v>
      </c>
      <c r="E4201" s="140"/>
      <c r="F4201" s="140"/>
      <c r="G4201" s="140" t="s">
        <v>11018</v>
      </c>
    </row>
    <row r="4202" spans="2:7" hidden="1">
      <c r="B4202" s="141" t="s">
        <v>11019</v>
      </c>
      <c r="C4202" s="140"/>
      <c r="D4202" s="141" t="s">
        <v>11020</v>
      </c>
      <c r="E4202" s="140"/>
      <c r="F4202" s="140"/>
      <c r="G4202" s="140"/>
    </row>
    <row r="4203" spans="2:7" hidden="1">
      <c r="B4203" s="140" t="s">
        <v>20976</v>
      </c>
      <c r="C4203" s="140" t="s">
        <v>20977</v>
      </c>
      <c r="D4203" s="140" t="s">
        <v>20978</v>
      </c>
      <c r="E4203" s="142" t="s">
        <v>20979</v>
      </c>
      <c r="F4203" s="142"/>
      <c r="G4203" s="140"/>
    </row>
    <row r="4204" spans="2:7" hidden="1">
      <c r="B4204" s="141" t="s">
        <v>11021</v>
      </c>
      <c r="C4204" s="140"/>
      <c r="D4204" s="141" t="s">
        <v>11022</v>
      </c>
      <c r="E4204" s="140"/>
      <c r="F4204" s="140"/>
      <c r="G4204" s="140"/>
    </row>
    <row r="4205" spans="2:7" hidden="1">
      <c r="B4205" s="141" t="s">
        <v>11023</v>
      </c>
      <c r="C4205" s="140" t="s">
        <v>11024</v>
      </c>
      <c r="D4205" s="141" t="s">
        <v>11025</v>
      </c>
      <c r="E4205" s="140" t="s">
        <v>11026</v>
      </c>
      <c r="F4205" s="140" t="s">
        <v>11027</v>
      </c>
      <c r="G4205" s="140"/>
    </row>
    <row r="4206" spans="2:7" hidden="1">
      <c r="B4206" s="141" t="s">
        <v>11028</v>
      </c>
      <c r="C4206" s="140"/>
      <c r="D4206" s="141" t="s">
        <v>11029</v>
      </c>
      <c r="E4206" s="140"/>
      <c r="F4206" s="140"/>
      <c r="G4206" s="140"/>
    </row>
    <row r="4207" spans="2:7" hidden="1">
      <c r="B4207" s="141" t="s">
        <v>11030</v>
      </c>
      <c r="C4207" s="140" t="s">
        <v>11031</v>
      </c>
      <c r="D4207" s="141" t="s">
        <v>11032</v>
      </c>
      <c r="E4207" s="140"/>
      <c r="F4207" s="140"/>
      <c r="G4207" s="140" t="s">
        <v>11033</v>
      </c>
    </row>
    <row r="4208" spans="2:7" hidden="1">
      <c r="B4208" s="141" t="s">
        <v>11034</v>
      </c>
      <c r="C4208" s="140"/>
      <c r="D4208" s="141" t="s">
        <v>11035</v>
      </c>
      <c r="E4208" s="140"/>
      <c r="F4208" s="140"/>
      <c r="G4208" s="140"/>
    </row>
    <row r="4209" spans="2:7" hidden="1">
      <c r="B4209" s="141" t="s">
        <v>20152</v>
      </c>
      <c r="C4209" s="140" t="s">
        <v>20153</v>
      </c>
      <c r="D4209" s="141" t="s">
        <v>20154</v>
      </c>
      <c r="E4209" s="140"/>
      <c r="F4209" s="140"/>
      <c r="G4209" s="140"/>
    </row>
    <row r="4210" spans="2:7" hidden="1">
      <c r="B4210" s="141" t="s">
        <v>20155</v>
      </c>
      <c r="C4210" s="141"/>
      <c r="D4210" s="141" t="s">
        <v>11036</v>
      </c>
      <c r="E4210" s="141" t="s">
        <v>11037</v>
      </c>
      <c r="F4210" s="141" t="s">
        <v>11038</v>
      </c>
      <c r="G4210" s="140" t="s">
        <v>20156</v>
      </c>
    </row>
    <row r="4211" spans="2:7" hidden="1">
      <c r="B4211" s="141" t="s">
        <v>20155</v>
      </c>
      <c r="C4211" s="141" t="s">
        <v>13935</v>
      </c>
      <c r="D4211" s="141" t="s">
        <v>11036</v>
      </c>
      <c r="E4211" s="141" t="s">
        <v>11037</v>
      </c>
      <c r="F4211" s="141" t="s">
        <v>11038</v>
      </c>
      <c r="G4211" s="140" t="s">
        <v>13936</v>
      </c>
    </row>
    <row r="4212" spans="2:7" hidden="1">
      <c r="B4212" s="141" t="s">
        <v>20157</v>
      </c>
      <c r="C4212" s="140" t="s">
        <v>11039</v>
      </c>
      <c r="D4212" s="141" t="s">
        <v>11040</v>
      </c>
      <c r="E4212" s="140" t="s">
        <v>11037</v>
      </c>
      <c r="F4212" s="140"/>
      <c r="G4212" s="140"/>
    </row>
    <row r="4213" spans="2:7" hidden="1">
      <c r="B4213" s="141" t="s">
        <v>11041</v>
      </c>
      <c r="C4213" s="140"/>
      <c r="D4213" s="141" t="s">
        <v>11042</v>
      </c>
      <c r="E4213" s="140"/>
      <c r="F4213" s="140"/>
      <c r="G4213" s="140"/>
    </row>
    <row r="4214" spans="2:7" hidden="1">
      <c r="B4214" s="141" t="s">
        <v>20158</v>
      </c>
      <c r="C4214" s="140" t="s">
        <v>20159</v>
      </c>
      <c r="D4214" s="141" t="s">
        <v>10363</v>
      </c>
      <c r="E4214" s="140" t="s">
        <v>20160</v>
      </c>
      <c r="F4214" s="140"/>
      <c r="G4214" s="140"/>
    </row>
    <row r="4215" spans="2:7" hidden="1">
      <c r="B4215" s="141" t="s">
        <v>21820</v>
      </c>
      <c r="C4215" s="140" t="s">
        <v>11043</v>
      </c>
      <c r="D4215" s="141" t="s">
        <v>11044</v>
      </c>
      <c r="E4215" s="140" t="s">
        <v>11045</v>
      </c>
      <c r="F4215" s="140" t="s">
        <v>11046</v>
      </c>
      <c r="G4215" s="140"/>
    </row>
    <row r="4216" spans="2:7" hidden="1">
      <c r="B4216" s="141" t="s">
        <v>11047</v>
      </c>
      <c r="C4216" s="140" t="s">
        <v>11048</v>
      </c>
      <c r="D4216" s="141" t="s">
        <v>11049</v>
      </c>
      <c r="E4216" s="140"/>
      <c r="F4216" s="140"/>
      <c r="G4216" s="140"/>
    </row>
    <row r="4217" spans="2:7" hidden="1">
      <c r="B4217" s="141" t="s">
        <v>11050</v>
      </c>
      <c r="C4217" s="140" t="s">
        <v>11051</v>
      </c>
      <c r="D4217" s="141" t="s">
        <v>11052</v>
      </c>
      <c r="E4217" s="140"/>
      <c r="F4217" s="140"/>
      <c r="G4217" s="140"/>
    </row>
    <row r="4218" spans="2:7" hidden="1">
      <c r="B4218" s="141" t="s">
        <v>11053</v>
      </c>
      <c r="C4218" s="140"/>
      <c r="D4218" s="141" t="s">
        <v>11054</v>
      </c>
      <c r="E4218" s="140"/>
      <c r="F4218" s="140"/>
      <c r="G4218" s="140"/>
    </row>
    <row r="4219" spans="2:7" hidden="1">
      <c r="B4219" s="141" t="s">
        <v>11055</v>
      </c>
      <c r="C4219" s="140"/>
      <c r="D4219" s="141" t="s">
        <v>5018</v>
      </c>
      <c r="E4219" s="140"/>
      <c r="F4219" s="140"/>
      <c r="G4219" s="140"/>
    </row>
    <row r="4220" spans="2:7" hidden="1">
      <c r="B4220" s="141" t="s">
        <v>11056</v>
      </c>
      <c r="C4220" s="140"/>
      <c r="D4220" s="141" t="s">
        <v>11057</v>
      </c>
      <c r="E4220" s="140"/>
      <c r="F4220" s="140"/>
      <c r="G4220" s="140"/>
    </row>
    <row r="4221" spans="2:7" hidden="1">
      <c r="B4221" s="141" t="s">
        <v>11059</v>
      </c>
      <c r="C4221" s="140" t="s">
        <v>11060</v>
      </c>
      <c r="D4221" s="141" t="s">
        <v>11061</v>
      </c>
      <c r="E4221" s="140" t="s">
        <v>11062</v>
      </c>
      <c r="F4221" s="140" t="s">
        <v>11063</v>
      </c>
      <c r="G4221" s="140"/>
    </row>
    <row r="4222" spans="2:7" hidden="1">
      <c r="B4222" s="141" t="s">
        <v>11064</v>
      </c>
      <c r="C4222" s="141"/>
      <c r="D4222" s="141" t="s">
        <v>11065</v>
      </c>
      <c r="E4222" s="141"/>
      <c r="F4222" s="140"/>
      <c r="G4222" s="140"/>
    </row>
    <row r="4223" spans="2:7" hidden="1">
      <c r="B4223" s="141" t="s">
        <v>21821</v>
      </c>
      <c r="C4223" s="140"/>
      <c r="D4223" s="141" t="s">
        <v>11058</v>
      </c>
      <c r="E4223" s="140"/>
      <c r="F4223" s="140"/>
      <c r="G4223" s="140"/>
    </row>
    <row r="4224" spans="2:7" hidden="1">
      <c r="B4224" s="141" t="s">
        <v>11066</v>
      </c>
      <c r="C4224" s="140"/>
      <c r="D4224" s="141" t="s">
        <v>11067</v>
      </c>
      <c r="E4224" s="140"/>
      <c r="F4224" s="140"/>
      <c r="G4224" s="140"/>
    </row>
    <row r="4225" spans="2:7" hidden="1">
      <c r="B4225" s="141" t="s">
        <v>11068</v>
      </c>
      <c r="C4225" s="140"/>
      <c r="D4225" s="141" t="s">
        <v>6495</v>
      </c>
      <c r="E4225" s="140"/>
      <c r="F4225" s="140"/>
      <c r="G4225" s="140"/>
    </row>
    <row r="4226" spans="2:7" hidden="1">
      <c r="B4226" s="141" t="s">
        <v>11069</v>
      </c>
      <c r="C4226" s="140"/>
      <c r="D4226" s="141" t="s">
        <v>11070</v>
      </c>
      <c r="E4226" s="140"/>
      <c r="F4226" s="140"/>
      <c r="G4226" s="140"/>
    </row>
    <row r="4227" spans="2:7" hidden="1">
      <c r="B4227" s="141" t="s">
        <v>11071</v>
      </c>
      <c r="C4227" s="140"/>
      <c r="D4227" s="141" t="s">
        <v>11072</v>
      </c>
      <c r="E4227" s="140" t="s">
        <v>11073</v>
      </c>
      <c r="F4227" s="140"/>
      <c r="G4227" s="140"/>
    </row>
    <row r="4228" spans="2:7" hidden="1">
      <c r="B4228" s="141" t="s">
        <v>11074</v>
      </c>
      <c r="C4228" s="140"/>
      <c r="D4228" s="141" t="s">
        <v>11075</v>
      </c>
      <c r="E4228" s="140"/>
      <c r="F4228" s="140"/>
      <c r="G4228" s="140"/>
    </row>
    <row r="4229" spans="2:7" hidden="1">
      <c r="B4229" s="141" t="s">
        <v>11076</v>
      </c>
      <c r="C4229" s="140"/>
      <c r="D4229" s="141" t="s">
        <v>6587</v>
      </c>
      <c r="E4229" s="140"/>
      <c r="F4229" s="140"/>
      <c r="G4229" s="140"/>
    </row>
    <row r="4230" spans="2:7" hidden="1">
      <c r="B4230" s="141" t="s">
        <v>11077</v>
      </c>
      <c r="C4230" s="140"/>
      <c r="D4230" s="141" t="s">
        <v>11078</v>
      </c>
      <c r="E4230" s="140"/>
      <c r="F4230" s="140"/>
      <c r="G4230" s="140"/>
    </row>
    <row r="4231" spans="2:7" hidden="1">
      <c r="B4231" s="141" t="s">
        <v>11079</v>
      </c>
      <c r="C4231" s="140" t="s">
        <v>11080</v>
      </c>
      <c r="D4231" s="141" t="s">
        <v>11081</v>
      </c>
      <c r="E4231" s="140" t="s">
        <v>11082</v>
      </c>
      <c r="F4231" s="140"/>
      <c r="G4231" s="140" t="s">
        <v>21822</v>
      </c>
    </row>
    <row r="4232" spans="2:7" hidden="1">
      <c r="B4232" s="141" t="s">
        <v>11083</v>
      </c>
      <c r="C4232" s="140" t="s">
        <v>11084</v>
      </c>
      <c r="D4232" s="141" t="s">
        <v>11085</v>
      </c>
      <c r="E4232" s="140" t="s">
        <v>11086</v>
      </c>
      <c r="F4232" s="140" t="s">
        <v>11087</v>
      </c>
      <c r="G4232" s="140"/>
    </row>
    <row r="4233" spans="2:7" hidden="1">
      <c r="B4233" s="141" t="s">
        <v>11088</v>
      </c>
      <c r="C4233" s="140"/>
      <c r="D4233" s="141" t="s">
        <v>11078</v>
      </c>
      <c r="E4233" s="140"/>
      <c r="F4233" s="140"/>
      <c r="G4233" s="140"/>
    </row>
    <row r="4234" spans="2:7" hidden="1">
      <c r="B4234" s="140" t="s">
        <v>11089</v>
      </c>
      <c r="C4234" s="140"/>
      <c r="D4234" s="140" t="s">
        <v>11090</v>
      </c>
      <c r="E4234" s="142"/>
      <c r="F4234" s="142"/>
      <c r="G4234" s="140"/>
    </row>
    <row r="4235" spans="2:7" hidden="1">
      <c r="B4235" s="141" t="s">
        <v>11091</v>
      </c>
      <c r="C4235" s="140" t="s">
        <v>11092</v>
      </c>
      <c r="D4235" s="141" t="s">
        <v>11093</v>
      </c>
      <c r="E4235" s="140"/>
      <c r="F4235" s="140"/>
      <c r="G4235" s="140"/>
    </row>
    <row r="4236" spans="2:7" hidden="1">
      <c r="B4236" s="141" t="s">
        <v>11094</v>
      </c>
      <c r="C4236" s="140"/>
      <c r="D4236" s="141" t="s">
        <v>4935</v>
      </c>
      <c r="E4236" s="140"/>
      <c r="F4236" s="140"/>
      <c r="G4236" s="140"/>
    </row>
    <row r="4237" spans="2:7" hidden="1">
      <c r="B4237" s="141" t="s">
        <v>11095</v>
      </c>
      <c r="C4237" s="140"/>
      <c r="D4237" s="141" t="s">
        <v>3635</v>
      </c>
      <c r="E4237" s="140"/>
      <c r="F4237" s="140"/>
      <c r="G4237" s="140"/>
    </row>
    <row r="4238" spans="2:7" hidden="1">
      <c r="B4238" s="140" t="s">
        <v>11096</v>
      </c>
      <c r="C4238" s="140"/>
      <c r="D4238" s="140" t="s">
        <v>1081</v>
      </c>
      <c r="E4238" s="140"/>
      <c r="F4238" s="140"/>
      <c r="G4238" s="140"/>
    </row>
    <row r="4239" spans="2:7" hidden="1">
      <c r="B4239" s="141" t="s">
        <v>11097</v>
      </c>
      <c r="C4239" s="140" t="s">
        <v>11098</v>
      </c>
      <c r="D4239" s="141" t="s">
        <v>11099</v>
      </c>
      <c r="E4239" s="140" t="s">
        <v>11100</v>
      </c>
      <c r="F4239" s="140" t="s">
        <v>11101</v>
      </c>
      <c r="G4239" s="140"/>
    </row>
    <row r="4240" spans="2:7" hidden="1">
      <c r="B4240" s="141" t="s">
        <v>11102</v>
      </c>
      <c r="C4240" s="140"/>
      <c r="D4240" s="141" t="s">
        <v>11103</v>
      </c>
      <c r="E4240" s="140"/>
      <c r="F4240" s="140"/>
      <c r="G4240" s="140"/>
    </row>
    <row r="4241" spans="2:7" hidden="1">
      <c r="B4241" s="140" t="s">
        <v>21237</v>
      </c>
      <c r="C4241" s="140" t="s">
        <v>21238</v>
      </c>
      <c r="D4241" s="140" t="s">
        <v>12763</v>
      </c>
      <c r="E4241" s="142" t="s">
        <v>21239</v>
      </c>
      <c r="F4241" s="142"/>
      <c r="G4241" s="140"/>
    </row>
    <row r="4242" spans="2:7" hidden="1">
      <c r="B4242" s="141" t="s">
        <v>11104</v>
      </c>
      <c r="C4242" s="140"/>
      <c r="D4242" s="141" t="s">
        <v>11105</v>
      </c>
      <c r="E4242" s="140"/>
      <c r="F4242" s="140"/>
      <c r="G4242" s="140"/>
    </row>
    <row r="4243" spans="2:7" hidden="1">
      <c r="B4243" s="140" t="s">
        <v>11106</v>
      </c>
      <c r="C4243" s="140"/>
      <c r="D4243" s="140" t="s">
        <v>2957</v>
      </c>
      <c r="E4243" s="142"/>
      <c r="F4243" s="142"/>
      <c r="G4243" s="140"/>
    </row>
    <row r="4244" spans="2:7" hidden="1">
      <c r="B4244" s="141" t="s">
        <v>11107</v>
      </c>
      <c r="C4244" s="141"/>
      <c r="D4244" s="141" t="s">
        <v>11108</v>
      </c>
      <c r="E4244" s="140"/>
      <c r="F4244" s="140"/>
      <c r="G4244" s="140"/>
    </row>
    <row r="4245" spans="2:7" hidden="1">
      <c r="B4245" s="141" t="s">
        <v>11109</v>
      </c>
      <c r="C4245" s="140"/>
      <c r="D4245" s="141" t="s">
        <v>2045</v>
      </c>
      <c r="E4245" s="140"/>
      <c r="F4245" s="140"/>
      <c r="G4245" s="140"/>
    </row>
    <row r="4246" spans="2:7" hidden="1">
      <c r="B4246" s="141" t="s">
        <v>11110</v>
      </c>
      <c r="C4246" s="140"/>
      <c r="D4246" s="141" t="s">
        <v>3814</v>
      </c>
      <c r="E4246" s="140" t="s">
        <v>11111</v>
      </c>
      <c r="F4246" s="140"/>
      <c r="G4246" s="140"/>
    </row>
    <row r="4247" spans="2:7" hidden="1">
      <c r="B4247" s="141" t="s">
        <v>11112</v>
      </c>
      <c r="C4247" s="140" t="s">
        <v>11113</v>
      </c>
      <c r="D4247" s="141" t="s">
        <v>11114</v>
      </c>
      <c r="E4247" s="140" t="s">
        <v>11115</v>
      </c>
      <c r="F4247" s="140"/>
      <c r="G4247" s="140"/>
    </row>
    <row r="4248" spans="2:7" hidden="1">
      <c r="B4248" s="141" t="s">
        <v>11116</v>
      </c>
      <c r="C4248" s="140"/>
      <c r="D4248" s="141" t="s">
        <v>11117</v>
      </c>
      <c r="E4248" s="140"/>
      <c r="F4248" s="140"/>
      <c r="G4248" s="140"/>
    </row>
    <row r="4249" spans="2:7" hidden="1">
      <c r="B4249" s="141" t="s">
        <v>11118</v>
      </c>
      <c r="C4249" s="140"/>
      <c r="D4249" s="141" t="s">
        <v>3834</v>
      </c>
      <c r="E4249" s="140"/>
      <c r="F4249" s="140"/>
      <c r="G4249" s="140"/>
    </row>
    <row r="4250" spans="2:7" hidden="1">
      <c r="B4250" s="141" t="s">
        <v>11119</v>
      </c>
      <c r="C4250" s="140"/>
      <c r="D4250" s="141" t="s">
        <v>11120</v>
      </c>
      <c r="E4250" s="140"/>
      <c r="F4250" s="140"/>
      <c r="G4250" s="140"/>
    </row>
    <row r="4251" spans="2:7" hidden="1">
      <c r="B4251" s="141" t="s">
        <v>11121</v>
      </c>
      <c r="C4251" s="140"/>
      <c r="D4251" s="141" t="s">
        <v>11122</v>
      </c>
      <c r="E4251" s="140"/>
      <c r="F4251" s="140"/>
      <c r="G4251" s="140"/>
    </row>
    <row r="4252" spans="2:7" hidden="1">
      <c r="B4252" s="140" t="s">
        <v>11123</v>
      </c>
      <c r="C4252" s="140"/>
      <c r="D4252" s="140" t="s">
        <v>11124</v>
      </c>
      <c r="E4252" s="140" t="s">
        <v>11125</v>
      </c>
      <c r="F4252" s="140"/>
      <c r="G4252" s="140"/>
    </row>
    <row r="4253" spans="2:7" hidden="1">
      <c r="B4253" s="141" t="s">
        <v>11126</v>
      </c>
      <c r="C4253" s="140"/>
      <c r="D4253" s="141" t="s">
        <v>1929</v>
      </c>
      <c r="E4253" s="141"/>
      <c r="F4253" s="140"/>
      <c r="G4253" s="140"/>
    </row>
    <row r="4254" spans="2:7" hidden="1">
      <c r="B4254" s="141" t="s">
        <v>11127</v>
      </c>
      <c r="C4254" s="140"/>
      <c r="D4254" s="141" t="s">
        <v>11128</v>
      </c>
      <c r="E4254" s="140"/>
      <c r="F4254" s="140"/>
      <c r="G4254" s="140"/>
    </row>
    <row r="4255" spans="2:7" hidden="1">
      <c r="B4255" s="141" t="s">
        <v>11129</v>
      </c>
      <c r="C4255" s="140"/>
      <c r="D4255" s="141" t="s">
        <v>1650</v>
      </c>
      <c r="E4255" s="140"/>
      <c r="F4255" s="140"/>
      <c r="G4255" s="140"/>
    </row>
    <row r="4256" spans="2:7" hidden="1">
      <c r="B4256" s="141" t="s">
        <v>11130</v>
      </c>
      <c r="C4256" s="140"/>
      <c r="D4256" s="141" t="s">
        <v>11131</v>
      </c>
      <c r="E4256" s="140"/>
      <c r="F4256" s="140"/>
      <c r="G4256" s="140"/>
    </row>
    <row r="4257" spans="2:7" hidden="1">
      <c r="B4257" s="141" t="s">
        <v>11132</v>
      </c>
      <c r="C4257" s="140"/>
      <c r="D4257" s="141" t="s">
        <v>11133</v>
      </c>
      <c r="E4257" s="140"/>
      <c r="F4257" s="140"/>
      <c r="G4257" s="140"/>
    </row>
    <row r="4258" spans="2:7" hidden="1">
      <c r="B4258" s="141" t="s">
        <v>21823</v>
      </c>
      <c r="C4258" s="141"/>
      <c r="D4258" s="141" t="s">
        <v>11134</v>
      </c>
      <c r="E4258" s="141"/>
      <c r="F4258" s="140"/>
      <c r="G4258" s="140"/>
    </row>
    <row r="4259" spans="2:7" hidden="1">
      <c r="B4259" s="141" t="s">
        <v>11135</v>
      </c>
      <c r="C4259" s="140"/>
      <c r="D4259" s="141" t="s">
        <v>11136</v>
      </c>
      <c r="E4259" s="140"/>
      <c r="F4259" s="140"/>
      <c r="G4259" s="140"/>
    </row>
    <row r="4260" spans="2:7" hidden="1">
      <c r="B4260" s="141" t="s">
        <v>11137</v>
      </c>
      <c r="C4260" s="140" t="s">
        <v>11138</v>
      </c>
      <c r="D4260" s="141" t="s">
        <v>5199</v>
      </c>
      <c r="E4260" s="140" t="s">
        <v>11139</v>
      </c>
      <c r="F4260" s="140" t="s">
        <v>8667</v>
      </c>
      <c r="G4260" s="140"/>
    </row>
    <row r="4261" spans="2:7" hidden="1">
      <c r="B4261" s="141" t="s">
        <v>11140</v>
      </c>
      <c r="C4261" s="140"/>
      <c r="D4261" s="141" t="s">
        <v>4129</v>
      </c>
      <c r="E4261" s="140"/>
      <c r="F4261" s="140"/>
      <c r="G4261" s="140"/>
    </row>
    <row r="4262" spans="2:7" hidden="1">
      <c r="B4262" s="141" t="s">
        <v>11141</v>
      </c>
      <c r="C4262" s="140"/>
      <c r="D4262" s="141" t="s">
        <v>5102</v>
      </c>
      <c r="E4262" s="140"/>
      <c r="F4262" s="140"/>
      <c r="G4262" s="140"/>
    </row>
    <row r="4263" spans="2:7" hidden="1">
      <c r="B4263" s="141" t="s">
        <v>11142</v>
      </c>
      <c r="C4263" s="140" t="s">
        <v>11143</v>
      </c>
      <c r="D4263" s="141" t="s">
        <v>11144</v>
      </c>
      <c r="E4263" s="140" t="s">
        <v>11145</v>
      </c>
      <c r="F4263" s="140"/>
      <c r="G4263" s="140"/>
    </row>
    <row r="4264" spans="2:7" hidden="1">
      <c r="B4264" s="140" t="s">
        <v>11146</v>
      </c>
      <c r="C4264" s="140"/>
      <c r="D4264" s="140" t="s">
        <v>11147</v>
      </c>
      <c r="E4264" s="142"/>
      <c r="F4264" s="142"/>
      <c r="G4264" s="140"/>
    </row>
    <row r="4265" spans="2:7" hidden="1">
      <c r="B4265" s="140" t="s">
        <v>11148</v>
      </c>
      <c r="C4265" s="140"/>
      <c r="D4265" s="140" t="s">
        <v>11149</v>
      </c>
      <c r="E4265" s="142"/>
      <c r="F4265" s="142"/>
      <c r="G4265" s="140"/>
    </row>
    <row r="4266" spans="2:7" hidden="1">
      <c r="B4266" s="141" t="s">
        <v>11150</v>
      </c>
      <c r="C4266" s="140"/>
      <c r="D4266" s="141" t="s">
        <v>11151</v>
      </c>
      <c r="E4266" s="140"/>
      <c r="F4266" s="140"/>
      <c r="G4266" s="140"/>
    </row>
    <row r="4267" spans="2:7" hidden="1">
      <c r="B4267" s="141" t="s">
        <v>11152</v>
      </c>
      <c r="C4267" s="140" t="s">
        <v>11153</v>
      </c>
      <c r="D4267" s="141" t="s">
        <v>11154</v>
      </c>
      <c r="E4267" s="140"/>
      <c r="F4267" s="140"/>
      <c r="G4267" s="140"/>
    </row>
    <row r="4268" spans="2:7" hidden="1">
      <c r="B4268" s="141" t="s">
        <v>11155</v>
      </c>
      <c r="C4268" s="140" t="s">
        <v>11156</v>
      </c>
      <c r="D4268" s="141" t="s">
        <v>11157</v>
      </c>
      <c r="E4268" s="140" t="s">
        <v>11158</v>
      </c>
      <c r="F4268" s="140" t="s">
        <v>11159</v>
      </c>
      <c r="G4268" s="140"/>
    </row>
    <row r="4269" spans="2:7" hidden="1">
      <c r="B4269" s="140" t="s">
        <v>11160</v>
      </c>
      <c r="C4269" s="140"/>
      <c r="D4269" s="140" t="s">
        <v>7988</v>
      </c>
      <c r="E4269" s="142"/>
      <c r="F4269" s="142"/>
      <c r="G4269" s="140"/>
    </row>
    <row r="4270" spans="2:7" hidden="1">
      <c r="B4270" s="141" t="s">
        <v>11161</v>
      </c>
      <c r="C4270" s="140"/>
      <c r="D4270" s="141" t="s">
        <v>11162</v>
      </c>
      <c r="E4270" s="140"/>
      <c r="F4270" s="140"/>
      <c r="G4270" s="140"/>
    </row>
    <row r="4271" spans="2:7" hidden="1">
      <c r="B4271" s="140" t="s">
        <v>21824</v>
      </c>
      <c r="C4271" s="140"/>
      <c r="D4271" s="140" t="s">
        <v>11163</v>
      </c>
      <c r="E4271" s="142"/>
      <c r="F4271" s="142"/>
      <c r="G4271" s="140"/>
    </row>
    <row r="4272" spans="2:7" hidden="1">
      <c r="B4272" s="141" t="s">
        <v>11164</v>
      </c>
      <c r="C4272" s="140" t="s">
        <v>11165</v>
      </c>
      <c r="D4272" s="141" t="s">
        <v>11128</v>
      </c>
      <c r="E4272" s="140" t="s">
        <v>11166</v>
      </c>
      <c r="F4272" s="140" t="s">
        <v>11167</v>
      </c>
      <c r="G4272" s="140"/>
    </row>
    <row r="4273" spans="2:7" hidden="1">
      <c r="B4273" s="141" t="s">
        <v>11168</v>
      </c>
      <c r="C4273" s="140"/>
      <c r="D4273" s="141" t="s">
        <v>11169</v>
      </c>
      <c r="E4273" s="140"/>
      <c r="F4273" s="140"/>
      <c r="G4273" s="140"/>
    </row>
    <row r="4274" spans="2:7" hidden="1">
      <c r="B4274" s="140" t="s">
        <v>11170</v>
      </c>
      <c r="C4274" s="140"/>
      <c r="D4274" s="141" t="s">
        <v>8126</v>
      </c>
      <c r="E4274" s="142"/>
      <c r="F4274" s="142"/>
      <c r="G4274" s="140"/>
    </row>
    <row r="4275" spans="2:7" hidden="1">
      <c r="B4275" s="141" t="s">
        <v>11171</v>
      </c>
      <c r="C4275" s="140"/>
      <c r="D4275" s="141" t="s">
        <v>2778</v>
      </c>
      <c r="E4275" s="140"/>
      <c r="F4275" s="140"/>
      <c r="G4275" s="140"/>
    </row>
    <row r="4276" spans="2:7" hidden="1">
      <c r="B4276" s="141" t="s">
        <v>11172</v>
      </c>
      <c r="C4276" s="140" t="s">
        <v>11173</v>
      </c>
      <c r="D4276" s="141" t="s">
        <v>11174</v>
      </c>
      <c r="E4276" s="140" t="s">
        <v>11175</v>
      </c>
      <c r="F4276" s="140" t="s">
        <v>11176</v>
      </c>
      <c r="G4276" s="140"/>
    </row>
    <row r="4277" spans="2:7" hidden="1">
      <c r="B4277" s="141" t="s">
        <v>11177</v>
      </c>
      <c r="C4277" s="140" t="s">
        <v>11178</v>
      </c>
      <c r="D4277" s="141" t="s">
        <v>11179</v>
      </c>
      <c r="E4277" s="140" t="s">
        <v>11180</v>
      </c>
      <c r="F4277" s="140"/>
      <c r="G4277" s="140"/>
    </row>
    <row r="4278" spans="2:7" hidden="1">
      <c r="B4278" s="141" t="s">
        <v>11181</v>
      </c>
      <c r="C4278" s="140"/>
      <c r="D4278" s="141" t="s">
        <v>6495</v>
      </c>
      <c r="E4278" s="140"/>
      <c r="F4278" s="140"/>
      <c r="G4278" s="140"/>
    </row>
    <row r="4279" spans="2:7" hidden="1">
      <c r="B4279" s="141" t="s">
        <v>11182</v>
      </c>
      <c r="C4279" s="140"/>
      <c r="D4279" s="141" t="s">
        <v>11183</v>
      </c>
      <c r="E4279" s="140"/>
      <c r="F4279" s="140"/>
      <c r="G4279" s="140"/>
    </row>
    <row r="4280" spans="2:7" hidden="1">
      <c r="B4280" s="141" t="s">
        <v>11184</v>
      </c>
      <c r="C4280" s="140"/>
      <c r="D4280" s="141" t="s">
        <v>11185</v>
      </c>
      <c r="E4280" s="140"/>
      <c r="F4280" s="140"/>
      <c r="G4280" s="140"/>
    </row>
    <row r="4281" spans="2:7" hidden="1">
      <c r="B4281" s="140" t="s">
        <v>11186</v>
      </c>
      <c r="C4281" s="140" t="s">
        <v>11187</v>
      </c>
      <c r="D4281" s="141" t="s">
        <v>11188</v>
      </c>
      <c r="E4281" s="140"/>
      <c r="F4281" s="140"/>
      <c r="G4281" s="140"/>
    </row>
    <row r="4282" spans="2:7" hidden="1">
      <c r="B4282" s="141" t="s">
        <v>11189</v>
      </c>
      <c r="C4282" s="140"/>
      <c r="D4282" s="141" t="s">
        <v>3127</v>
      </c>
      <c r="E4282" s="140"/>
      <c r="F4282" s="140"/>
      <c r="G4282" s="140"/>
    </row>
    <row r="4283" spans="2:7" hidden="1">
      <c r="B4283" s="141" t="s">
        <v>11190</v>
      </c>
      <c r="C4283" s="140" t="s">
        <v>11191</v>
      </c>
      <c r="D4283" s="141" t="s">
        <v>11192</v>
      </c>
      <c r="E4283" s="140"/>
      <c r="F4283" s="140"/>
      <c r="G4283" s="140"/>
    </row>
    <row r="4284" spans="2:7" hidden="1">
      <c r="B4284" s="141" t="s">
        <v>11193</v>
      </c>
      <c r="C4284" s="140" t="s">
        <v>11194</v>
      </c>
      <c r="D4284" s="141" t="s">
        <v>11195</v>
      </c>
      <c r="E4284" s="140"/>
      <c r="F4284" s="140"/>
      <c r="G4284" s="140"/>
    </row>
    <row r="4285" spans="2:7" hidden="1">
      <c r="B4285" s="140" t="s">
        <v>11196</v>
      </c>
      <c r="C4285" s="140"/>
      <c r="D4285" s="140" t="s">
        <v>10817</v>
      </c>
      <c r="E4285" s="142"/>
      <c r="F4285" s="142"/>
      <c r="G4285" s="140"/>
    </row>
    <row r="4286" spans="2:7" hidden="1">
      <c r="B4286" s="141" t="s">
        <v>11197</v>
      </c>
      <c r="C4286" s="140"/>
      <c r="D4286" s="141" t="s">
        <v>11198</v>
      </c>
      <c r="E4286" s="140"/>
      <c r="F4286" s="140"/>
      <c r="G4286" s="140"/>
    </row>
    <row r="4287" spans="2:7" hidden="1">
      <c r="B4287" s="141" t="s">
        <v>11199</v>
      </c>
      <c r="C4287" s="140"/>
      <c r="D4287" s="141" t="s">
        <v>9637</v>
      </c>
      <c r="E4287" s="140"/>
      <c r="F4287" s="140"/>
      <c r="G4287" s="140"/>
    </row>
    <row r="4288" spans="2:7" hidden="1">
      <c r="B4288" s="140" t="s">
        <v>11200</v>
      </c>
      <c r="C4288" s="140" t="s">
        <v>11201</v>
      </c>
      <c r="D4288" s="140" t="s">
        <v>11202</v>
      </c>
      <c r="E4288" s="140"/>
      <c r="F4288" s="140"/>
      <c r="G4288" s="140"/>
    </row>
    <row r="4289" spans="2:7" hidden="1">
      <c r="B4289" s="140" t="s">
        <v>11203</v>
      </c>
      <c r="C4289" s="140"/>
      <c r="D4289" s="140" t="s">
        <v>11204</v>
      </c>
      <c r="E4289" s="140"/>
      <c r="F4289" s="140"/>
      <c r="G4289" s="140"/>
    </row>
    <row r="4290" spans="2:7" hidden="1">
      <c r="B4290" s="141" t="s">
        <v>11205</v>
      </c>
      <c r="C4290" s="140"/>
      <c r="D4290" s="141" t="s">
        <v>11206</v>
      </c>
      <c r="E4290" s="140"/>
      <c r="F4290" s="140"/>
      <c r="G4290" s="140"/>
    </row>
    <row r="4291" spans="2:7" hidden="1">
      <c r="B4291" s="141" t="s">
        <v>11207</v>
      </c>
      <c r="C4291" s="140"/>
      <c r="D4291" s="141" t="s">
        <v>11208</v>
      </c>
      <c r="E4291" s="140"/>
      <c r="F4291" s="140"/>
      <c r="G4291" s="140"/>
    </row>
    <row r="4292" spans="2:7" hidden="1">
      <c r="B4292" s="141" t="s">
        <v>11209</v>
      </c>
      <c r="C4292" s="140"/>
      <c r="D4292" s="141" t="s">
        <v>11210</v>
      </c>
      <c r="E4292" s="140"/>
      <c r="F4292" s="140"/>
      <c r="G4292" s="140"/>
    </row>
    <row r="4293" spans="2:7" hidden="1">
      <c r="B4293" s="140" t="s">
        <v>11211</v>
      </c>
      <c r="C4293" s="140"/>
      <c r="D4293" s="140" t="s">
        <v>8370</v>
      </c>
      <c r="E4293" s="142"/>
      <c r="F4293" s="142"/>
      <c r="G4293" s="140"/>
    </row>
    <row r="4294" spans="2:7" hidden="1">
      <c r="B4294" s="141" t="s">
        <v>11212</v>
      </c>
      <c r="C4294" s="140"/>
      <c r="D4294" s="141" t="s">
        <v>5204</v>
      </c>
      <c r="E4294" s="140"/>
      <c r="F4294" s="140"/>
      <c r="G4294" s="140"/>
    </row>
    <row r="4295" spans="2:7" hidden="1">
      <c r="B4295" s="141" t="s">
        <v>11213</v>
      </c>
      <c r="C4295" s="140"/>
      <c r="D4295" s="141" t="s">
        <v>11214</v>
      </c>
      <c r="E4295" s="140"/>
      <c r="F4295" s="140"/>
      <c r="G4295" s="140"/>
    </row>
    <row r="4296" spans="2:7" hidden="1">
      <c r="B4296" s="141" t="s">
        <v>11215</v>
      </c>
      <c r="C4296" s="140" t="s">
        <v>11216</v>
      </c>
      <c r="D4296" s="141" t="s">
        <v>2323</v>
      </c>
      <c r="E4296" s="140" t="s">
        <v>11217</v>
      </c>
      <c r="F4296" s="140" t="s">
        <v>11218</v>
      </c>
      <c r="G4296" s="140"/>
    </row>
    <row r="4297" spans="2:7" hidden="1">
      <c r="B4297" s="141" t="s">
        <v>11219</v>
      </c>
      <c r="C4297" s="140"/>
      <c r="D4297" s="141" t="s">
        <v>11220</v>
      </c>
      <c r="E4297" s="140"/>
      <c r="F4297" s="140"/>
      <c r="G4297" s="140"/>
    </row>
    <row r="4298" spans="2:7" hidden="1">
      <c r="B4298" s="141" t="s">
        <v>11221</v>
      </c>
      <c r="C4298" s="140" t="s">
        <v>11222</v>
      </c>
      <c r="D4298" s="141" t="s">
        <v>11223</v>
      </c>
      <c r="E4298" s="140" t="s">
        <v>11224</v>
      </c>
      <c r="F4298" s="140" t="s">
        <v>11225</v>
      </c>
      <c r="G4298" s="140" t="s">
        <v>1375</v>
      </c>
    </row>
    <row r="4299" spans="2:7" hidden="1">
      <c r="B4299" s="141" t="s">
        <v>11226</v>
      </c>
      <c r="C4299" s="140" t="s">
        <v>11227</v>
      </c>
      <c r="D4299" s="141" t="s">
        <v>11228</v>
      </c>
      <c r="E4299" s="140" t="s">
        <v>11229</v>
      </c>
      <c r="F4299" s="140" t="s">
        <v>11230</v>
      </c>
      <c r="G4299" s="140"/>
    </row>
    <row r="4300" spans="2:7" hidden="1">
      <c r="B4300" s="141" t="s">
        <v>11231</v>
      </c>
      <c r="C4300" s="140"/>
      <c r="D4300" s="141" t="s">
        <v>1104</v>
      </c>
      <c r="E4300" s="140"/>
      <c r="F4300" s="140"/>
      <c r="G4300" s="140"/>
    </row>
    <row r="4301" spans="2:7" hidden="1">
      <c r="B4301" s="141" t="s">
        <v>11232</v>
      </c>
      <c r="C4301" s="140"/>
      <c r="D4301" s="141" t="s">
        <v>11233</v>
      </c>
      <c r="E4301" s="140"/>
      <c r="F4301" s="140"/>
      <c r="G4301" s="140"/>
    </row>
    <row r="4302" spans="2:7" hidden="1">
      <c r="B4302" s="141" t="s">
        <v>11234</v>
      </c>
      <c r="C4302" s="141"/>
      <c r="D4302" s="141" t="s">
        <v>3426</v>
      </c>
      <c r="E4302" s="141"/>
      <c r="F4302" s="140"/>
      <c r="G4302" s="140"/>
    </row>
    <row r="4303" spans="2:7" hidden="1">
      <c r="B4303" s="141" t="s">
        <v>11235</v>
      </c>
      <c r="C4303" s="140"/>
      <c r="D4303" s="141" t="s">
        <v>5522</v>
      </c>
      <c r="E4303" s="140"/>
      <c r="F4303" s="140"/>
      <c r="G4303" s="140"/>
    </row>
    <row r="4304" spans="2:7" hidden="1">
      <c r="B4304" s="141" t="s">
        <v>11236</v>
      </c>
      <c r="C4304" s="140"/>
      <c r="D4304" s="141" t="s">
        <v>11237</v>
      </c>
      <c r="E4304" s="140"/>
      <c r="F4304" s="140"/>
      <c r="G4304" s="140"/>
    </row>
    <row r="4305" spans="2:7" hidden="1">
      <c r="B4305" s="140" t="s">
        <v>11238</v>
      </c>
      <c r="C4305" s="140"/>
      <c r="D4305" s="140" t="s">
        <v>2692</v>
      </c>
      <c r="E4305" s="142"/>
      <c r="F4305" s="142"/>
      <c r="G4305" s="140"/>
    </row>
    <row r="4306" spans="2:7" hidden="1">
      <c r="B4306" s="141" t="s">
        <v>11239</v>
      </c>
      <c r="C4306" s="140" t="s">
        <v>21825</v>
      </c>
      <c r="D4306" s="141" t="s">
        <v>2699</v>
      </c>
      <c r="E4306" s="140" t="s">
        <v>11240</v>
      </c>
      <c r="F4306" s="140" t="s">
        <v>11241</v>
      </c>
      <c r="G4306" s="140"/>
    </row>
    <row r="4307" spans="2:7" hidden="1">
      <c r="B4307" s="141" t="s">
        <v>11242</v>
      </c>
      <c r="C4307" s="140" t="s">
        <v>11243</v>
      </c>
      <c r="D4307" s="141" t="s">
        <v>11244</v>
      </c>
      <c r="E4307" s="140" t="s">
        <v>11240</v>
      </c>
      <c r="F4307" s="140" t="s">
        <v>11241</v>
      </c>
      <c r="G4307" s="140" t="s">
        <v>11245</v>
      </c>
    </row>
    <row r="4308" spans="2:7" hidden="1">
      <c r="B4308" s="141" t="s">
        <v>11246</v>
      </c>
      <c r="C4308" s="140" t="s">
        <v>11247</v>
      </c>
      <c r="D4308" s="141" t="s">
        <v>11248</v>
      </c>
      <c r="E4308" s="140" t="s">
        <v>11249</v>
      </c>
      <c r="F4308" s="140" t="s">
        <v>11250</v>
      </c>
      <c r="G4308" s="140"/>
    </row>
    <row r="4309" spans="2:7" hidden="1">
      <c r="B4309" s="141" t="s">
        <v>11251</v>
      </c>
      <c r="C4309" s="141" t="s">
        <v>11252</v>
      </c>
      <c r="D4309" s="141" t="s">
        <v>11253</v>
      </c>
      <c r="E4309" s="141" t="s">
        <v>11254</v>
      </c>
      <c r="F4309" s="140" t="s">
        <v>11255</v>
      </c>
      <c r="G4309" s="140"/>
    </row>
    <row r="4310" spans="2:7" hidden="1">
      <c r="B4310" s="141" t="s">
        <v>11256</v>
      </c>
      <c r="C4310" s="140"/>
      <c r="D4310" s="141" t="s">
        <v>11257</v>
      </c>
      <c r="E4310" s="140"/>
      <c r="F4310" s="140"/>
      <c r="G4310" s="140"/>
    </row>
    <row r="4311" spans="2:7" hidden="1">
      <c r="B4311" s="141" t="s">
        <v>11258</v>
      </c>
      <c r="C4311" s="141"/>
      <c r="D4311" s="141" t="s">
        <v>2228</v>
      </c>
      <c r="E4311" s="141"/>
      <c r="F4311" s="141"/>
      <c r="G4311" s="140"/>
    </row>
    <row r="4312" spans="2:7" hidden="1">
      <c r="B4312" s="141" t="s">
        <v>11259</v>
      </c>
      <c r="C4312" s="140"/>
      <c r="D4312" s="141" t="s">
        <v>11260</v>
      </c>
      <c r="E4312" s="140"/>
      <c r="F4312" s="140"/>
      <c r="G4312" s="140"/>
    </row>
    <row r="4313" spans="2:7" hidden="1">
      <c r="B4313" s="141" t="s">
        <v>11261</v>
      </c>
      <c r="C4313" s="140"/>
      <c r="D4313" s="141"/>
      <c r="E4313" s="140" t="s">
        <v>11262</v>
      </c>
      <c r="F4313" s="140" t="s">
        <v>11263</v>
      </c>
      <c r="G4313" s="140"/>
    </row>
    <row r="4314" spans="2:7" hidden="1">
      <c r="B4314" s="141" t="s">
        <v>11264</v>
      </c>
      <c r="C4314" s="141"/>
      <c r="D4314" s="141" t="s">
        <v>11265</v>
      </c>
      <c r="E4314" s="149"/>
      <c r="F4314" s="149"/>
      <c r="G4314" s="140"/>
    </row>
    <row r="4315" spans="2:7" hidden="1">
      <c r="B4315" s="140" t="s">
        <v>11266</v>
      </c>
      <c r="C4315" s="140"/>
      <c r="D4315" s="140" t="s">
        <v>11267</v>
      </c>
      <c r="E4315" s="142"/>
      <c r="F4315" s="142"/>
      <c r="G4315" s="140"/>
    </row>
    <row r="4316" spans="2:7" hidden="1">
      <c r="B4316" s="140" t="s">
        <v>11268</v>
      </c>
      <c r="C4316" s="140"/>
      <c r="D4316" s="140" t="s">
        <v>11269</v>
      </c>
      <c r="E4316" s="142"/>
      <c r="F4316" s="142"/>
      <c r="G4316" s="140"/>
    </row>
    <row r="4317" spans="2:7" hidden="1">
      <c r="B4317" s="141" t="s">
        <v>11270</v>
      </c>
      <c r="C4317" s="140" t="s">
        <v>11271</v>
      </c>
      <c r="D4317" s="141" t="s">
        <v>11272</v>
      </c>
      <c r="E4317" s="142" t="s">
        <v>11273</v>
      </c>
      <c r="F4317" s="142" t="s">
        <v>11274</v>
      </c>
      <c r="G4317" s="140"/>
    </row>
    <row r="4318" spans="2:7" hidden="1">
      <c r="B4318" s="141" t="s">
        <v>11275</v>
      </c>
      <c r="C4318" s="140"/>
      <c r="D4318" s="141" t="s">
        <v>11276</v>
      </c>
      <c r="E4318" s="142"/>
      <c r="F4318" s="142"/>
      <c r="G4318" s="140"/>
    </row>
    <row r="4319" spans="2:7" hidden="1">
      <c r="B4319" s="141" t="s">
        <v>11277</v>
      </c>
      <c r="C4319" s="140" t="s">
        <v>11278</v>
      </c>
      <c r="D4319" s="141" t="s">
        <v>11279</v>
      </c>
      <c r="E4319" s="142"/>
      <c r="F4319" s="142"/>
      <c r="G4319" s="140"/>
    </row>
    <row r="4320" spans="2:7" hidden="1">
      <c r="B4320" s="140" t="s">
        <v>21826</v>
      </c>
      <c r="C4320" s="140"/>
      <c r="D4320" s="140" t="s">
        <v>11280</v>
      </c>
      <c r="E4320" s="140"/>
      <c r="F4320" s="140"/>
      <c r="G4320" s="140"/>
    </row>
    <row r="4321" spans="2:7" hidden="1">
      <c r="B4321" s="141" t="s">
        <v>11281</v>
      </c>
      <c r="C4321" s="140"/>
      <c r="D4321" s="141" t="s">
        <v>7039</v>
      </c>
      <c r="E4321" s="142"/>
      <c r="F4321" s="142"/>
      <c r="G4321" s="140"/>
    </row>
    <row r="4322" spans="2:7" hidden="1">
      <c r="B4322" s="141" t="s">
        <v>11282</v>
      </c>
      <c r="C4322" s="140"/>
      <c r="D4322" s="141" t="s">
        <v>11283</v>
      </c>
      <c r="E4322" s="142"/>
      <c r="F4322" s="142"/>
      <c r="G4322" s="140"/>
    </row>
    <row r="4323" spans="2:7" hidden="1">
      <c r="B4323" s="141" t="s">
        <v>11284</v>
      </c>
      <c r="C4323" s="141" t="s">
        <v>11285</v>
      </c>
      <c r="D4323" s="141" t="s">
        <v>8111</v>
      </c>
      <c r="E4323" s="149" t="s">
        <v>11286</v>
      </c>
      <c r="F4323" s="142" t="s">
        <v>11287</v>
      </c>
      <c r="G4323" s="140"/>
    </row>
    <row r="4324" spans="2:7" hidden="1">
      <c r="B4324" s="141" t="s">
        <v>11288</v>
      </c>
      <c r="C4324" s="140"/>
      <c r="D4324" s="141" t="s">
        <v>11289</v>
      </c>
      <c r="E4324" s="142"/>
      <c r="F4324" s="142"/>
      <c r="G4324" s="140"/>
    </row>
    <row r="4325" spans="2:7" hidden="1">
      <c r="B4325" s="140" t="s">
        <v>11290</v>
      </c>
      <c r="C4325" s="140"/>
      <c r="D4325" s="140" t="s">
        <v>11291</v>
      </c>
      <c r="E4325" s="142"/>
      <c r="F4325" s="142"/>
      <c r="G4325" s="140"/>
    </row>
    <row r="4326" spans="2:7" hidden="1">
      <c r="B4326" s="141" t="s">
        <v>11292</v>
      </c>
      <c r="C4326" s="140"/>
      <c r="D4326" s="141" t="s">
        <v>11293</v>
      </c>
      <c r="E4326" s="142"/>
      <c r="F4326" s="142"/>
      <c r="G4326" s="140"/>
    </row>
    <row r="4327" spans="2:7" hidden="1">
      <c r="B4327" s="141" t="s">
        <v>11294</v>
      </c>
      <c r="C4327" s="140" t="s">
        <v>11295</v>
      </c>
      <c r="D4327" s="141" t="s">
        <v>11296</v>
      </c>
      <c r="E4327" s="142"/>
      <c r="F4327" s="142" t="s">
        <v>11297</v>
      </c>
      <c r="G4327" s="140"/>
    </row>
    <row r="4328" spans="2:7" hidden="1">
      <c r="B4328" s="140" t="s">
        <v>21827</v>
      </c>
      <c r="C4328" s="140" t="s">
        <v>11298</v>
      </c>
      <c r="D4328" s="140" t="s">
        <v>11299</v>
      </c>
      <c r="E4328" s="142" t="s">
        <v>11300</v>
      </c>
      <c r="F4328" s="142" t="s">
        <v>11301</v>
      </c>
      <c r="G4328" s="140"/>
    </row>
    <row r="4329" spans="2:7" hidden="1">
      <c r="B4329" s="140" t="s">
        <v>21828</v>
      </c>
      <c r="C4329" s="140" t="s">
        <v>11302</v>
      </c>
      <c r="D4329" s="140" t="s">
        <v>11303</v>
      </c>
      <c r="E4329" s="142"/>
      <c r="F4329" s="142"/>
      <c r="G4329" s="140"/>
    </row>
    <row r="4330" spans="2:7" hidden="1">
      <c r="B4330" s="140" t="s">
        <v>11304</v>
      </c>
      <c r="C4330" s="140"/>
      <c r="D4330" s="140" t="s">
        <v>11305</v>
      </c>
      <c r="E4330" s="142"/>
      <c r="F4330" s="142"/>
      <c r="G4330" s="140"/>
    </row>
    <row r="4331" spans="2:7" hidden="1">
      <c r="B4331" s="141" t="s">
        <v>11306</v>
      </c>
      <c r="C4331" s="140"/>
      <c r="D4331" s="141" t="s">
        <v>11260</v>
      </c>
      <c r="E4331" s="142"/>
      <c r="F4331" s="142"/>
      <c r="G4331" s="140"/>
    </row>
    <row r="4332" spans="2:7" hidden="1">
      <c r="B4332" s="140" t="s">
        <v>11307</v>
      </c>
      <c r="C4332" s="140" t="s">
        <v>11308</v>
      </c>
      <c r="D4332" s="140" t="s">
        <v>11309</v>
      </c>
      <c r="E4332" s="142"/>
      <c r="F4332" s="142"/>
      <c r="G4332" s="140" t="s">
        <v>5778</v>
      </c>
    </row>
    <row r="4333" spans="2:7" hidden="1">
      <c r="B4333" s="140" t="s">
        <v>11310</v>
      </c>
      <c r="C4333" s="140" t="s">
        <v>11311</v>
      </c>
      <c r="D4333" s="140" t="s">
        <v>11312</v>
      </c>
      <c r="E4333" s="142"/>
      <c r="F4333" s="142"/>
      <c r="G4333" s="140"/>
    </row>
    <row r="4334" spans="2:7" hidden="1">
      <c r="B4334" s="140" t="s">
        <v>11313</v>
      </c>
      <c r="C4334" s="140"/>
      <c r="D4334" s="140" t="s">
        <v>11314</v>
      </c>
      <c r="E4334" s="142"/>
      <c r="F4334" s="142"/>
      <c r="G4334" s="140"/>
    </row>
    <row r="4335" spans="2:7" hidden="1">
      <c r="B4335" s="141" t="s">
        <v>11315</v>
      </c>
      <c r="C4335" s="140"/>
      <c r="D4335" s="141" t="s">
        <v>10834</v>
      </c>
      <c r="E4335" s="142"/>
      <c r="F4335" s="142"/>
      <c r="G4335" s="140"/>
    </row>
    <row r="4336" spans="2:7" hidden="1">
      <c r="B4336" s="140" t="s">
        <v>11316</v>
      </c>
      <c r="C4336" s="140"/>
      <c r="D4336" s="140" t="s">
        <v>11317</v>
      </c>
      <c r="E4336" s="142"/>
      <c r="F4336" s="142"/>
      <c r="G4336" s="140"/>
    </row>
    <row r="4337" spans="2:7" hidden="1">
      <c r="B4337" s="140" t="s">
        <v>11318</v>
      </c>
      <c r="C4337" s="140"/>
      <c r="D4337" s="140" t="s">
        <v>11319</v>
      </c>
      <c r="E4337" s="142"/>
      <c r="F4337" s="142"/>
      <c r="G4337" s="140"/>
    </row>
    <row r="4338" spans="2:7" hidden="1">
      <c r="B4338" s="141" t="s">
        <v>11320</v>
      </c>
      <c r="C4338" s="140"/>
      <c r="D4338" s="141" t="s">
        <v>11321</v>
      </c>
      <c r="E4338" s="142"/>
      <c r="F4338" s="142"/>
      <c r="G4338" s="140"/>
    </row>
    <row r="4339" spans="2:7" hidden="1">
      <c r="B4339" s="141" t="s">
        <v>11322</v>
      </c>
      <c r="C4339" s="140"/>
      <c r="D4339" s="141" t="s">
        <v>4023</v>
      </c>
      <c r="E4339" s="142"/>
      <c r="F4339" s="142"/>
      <c r="G4339" s="140"/>
    </row>
    <row r="4340" spans="2:7" hidden="1">
      <c r="B4340" s="141" t="s">
        <v>11323</v>
      </c>
      <c r="C4340" s="140" t="s">
        <v>11324</v>
      </c>
      <c r="D4340" s="141" t="s">
        <v>10443</v>
      </c>
      <c r="E4340" s="142"/>
      <c r="F4340" s="142"/>
      <c r="G4340" s="140"/>
    </row>
    <row r="4341" spans="2:7" hidden="1">
      <c r="B4341" s="141" t="s">
        <v>11325</v>
      </c>
      <c r="C4341" s="140"/>
      <c r="D4341" s="141" t="s">
        <v>11319</v>
      </c>
      <c r="E4341" s="142"/>
      <c r="F4341" s="142"/>
      <c r="G4341" s="140"/>
    </row>
    <row r="4342" spans="2:7" hidden="1">
      <c r="B4342" s="141" t="s">
        <v>11326</v>
      </c>
      <c r="C4342" s="140"/>
      <c r="D4342" s="141" t="s">
        <v>1866</v>
      </c>
      <c r="E4342" s="142"/>
      <c r="F4342" s="142"/>
      <c r="G4342" s="140"/>
    </row>
    <row r="4343" spans="2:7" hidden="1">
      <c r="B4343" s="140" t="s">
        <v>21829</v>
      </c>
      <c r="C4343" s="140"/>
      <c r="D4343" s="140" t="s">
        <v>11327</v>
      </c>
      <c r="E4343" s="142"/>
      <c r="F4343" s="142"/>
      <c r="G4343" s="140"/>
    </row>
    <row r="4344" spans="2:7" hidden="1">
      <c r="B4344" s="141" t="s">
        <v>11328</v>
      </c>
      <c r="C4344" s="140" t="s">
        <v>11329</v>
      </c>
      <c r="D4344" s="141" t="s">
        <v>11330</v>
      </c>
      <c r="E4344" s="142" t="s">
        <v>11331</v>
      </c>
      <c r="F4344" s="142" t="s">
        <v>11332</v>
      </c>
      <c r="G4344" s="140"/>
    </row>
    <row r="4345" spans="2:7" hidden="1">
      <c r="B4345" s="141" t="s">
        <v>11333</v>
      </c>
      <c r="C4345" s="140"/>
      <c r="D4345" s="141" t="s">
        <v>11334</v>
      </c>
      <c r="E4345" s="142"/>
      <c r="F4345" s="142"/>
      <c r="G4345" s="140"/>
    </row>
    <row r="4346" spans="2:7" hidden="1">
      <c r="B4346" s="140" t="s">
        <v>11335</v>
      </c>
      <c r="C4346" s="140"/>
      <c r="D4346" s="140" t="s">
        <v>11336</v>
      </c>
      <c r="E4346" s="142"/>
      <c r="F4346" s="142"/>
      <c r="G4346" s="140"/>
    </row>
    <row r="4347" spans="2:7" hidden="1">
      <c r="B4347" s="140" t="s">
        <v>11337</v>
      </c>
      <c r="C4347" s="140" t="s">
        <v>11338</v>
      </c>
      <c r="D4347" s="140" t="s">
        <v>11339</v>
      </c>
      <c r="E4347" s="142" t="s">
        <v>11340</v>
      </c>
      <c r="F4347" s="142"/>
      <c r="G4347" s="140"/>
    </row>
    <row r="4348" spans="2:7" hidden="1">
      <c r="B4348" s="141" t="s">
        <v>11341</v>
      </c>
      <c r="C4348" s="140"/>
      <c r="D4348" s="141" t="s">
        <v>11342</v>
      </c>
      <c r="E4348" s="142"/>
      <c r="F4348" s="142"/>
      <c r="G4348" s="140"/>
    </row>
    <row r="4349" spans="2:7" hidden="1">
      <c r="B4349" s="141" t="s">
        <v>11343</v>
      </c>
      <c r="C4349" s="140" t="s">
        <v>11344</v>
      </c>
      <c r="D4349" s="141" t="s">
        <v>11345</v>
      </c>
      <c r="E4349" s="140" t="s">
        <v>11346</v>
      </c>
      <c r="F4349" s="140"/>
      <c r="G4349" s="140"/>
    </row>
    <row r="4350" spans="2:7" hidden="1">
      <c r="B4350" s="141" t="s">
        <v>11347</v>
      </c>
      <c r="C4350" s="140"/>
      <c r="D4350" s="141" t="s">
        <v>4966</v>
      </c>
      <c r="E4350" s="140"/>
      <c r="F4350" s="140"/>
      <c r="G4350" s="140"/>
    </row>
    <row r="4351" spans="2:7" hidden="1">
      <c r="B4351" s="140" t="s">
        <v>11348</v>
      </c>
      <c r="C4351" s="140"/>
      <c r="D4351" s="140" t="s">
        <v>11349</v>
      </c>
      <c r="E4351" s="142"/>
      <c r="F4351" s="142"/>
      <c r="G4351" s="140"/>
    </row>
    <row r="4352" spans="2:7" hidden="1">
      <c r="B4352" s="140" t="s">
        <v>11350</v>
      </c>
      <c r="C4352" s="140" t="s">
        <v>11351</v>
      </c>
      <c r="D4352" s="140" t="s">
        <v>6753</v>
      </c>
      <c r="E4352" s="142"/>
      <c r="F4352" s="142"/>
      <c r="G4352" s="140"/>
    </row>
    <row r="4353" spans="2:7" hidden="1">
      <c r="B4353" s="141" t="s">
        <v>11352</v>
      </c>
      <c r="C4353" s="140"/>
      <c r="D4353" s="141" t="s">
        <v>11353</v>
      </c>
      <c r="E4353" s="140"/>
      <c r="F4353" s="140"/>
      <c r="G4353" s="140"/>
    </row>
    <row r="4354" spans="2:7" hidden="1">
      <c r="B4354" s="141" t="s">
        <v>11354</v>
      </c>
      <c r="C4354" s="140"/>
      <c r="D4354" s="141" t="s">
        <v>5243</v>
      </c>
      <c r="E4354" s="140"/>
      <c r="F4354" s="140"/>
      <c r="G4354" s="140"/>
    </row>
    <row r="4355" spans="2:7" hidden="1">
      <c r="B4355" s="141" t="s">
        <v>11355</v>
      </c>
      <c r="C4355" s="140"/>
      <c r="D4355" s="141" t="s">
        <v>3934</v>
      </c>
      <c r="E4355" s="140"/>
      <c r="F4355" s="140"/>
      <c r="G4355" s="140"/>
    </row>
    <row r="4356" spans="2:7" hidden="1">
      <c r="B4356" s="141" t="s">
        <v>11356</v>
      </c>
      <c r="C4356" s="140"/>
      <c r="D4356" s="141" t="s">
        <v>11357</v>
      </c>
      <c r="E4356" s="140"/>
      <c r="F4356" s="140"/>
      <c r="G4356" s="140"/>
    </row>
    <row r="4357" spans="2:7" hidden="1">
      <c r="B4357" s="141" t="s">
        <v>11358</v>
      </c>
      <c r="C4357" s="140"/>
      <c r="D4357" s="141" t="s">
        <v>11359</v>
      </c>
      <c r="E4357" s="140"/>
      <c r="F4357" s="140"/>
      <c r="G4357" s="140"/>
    </row>
    <row r="4358" spans="2:7" hidden="1">
      <c r="B4358" s="141" t="s">
        <v>11360</v>
      </c>
      <c r="C4358" s="140"/>
      <c r="D4358" s="141" t="s">
        <v>11361</v>
      </c>
      <c r="E4358" s="140"/>
      <c r="F4358" s="140"/>
      <c r="G4358" s="140"/>
    </row>
    <row r="4359" spans="2:7" hidden="1">
      <c r="B4359" s="141" t="s">
        <v>11362</v>
      </c>
      <c r="C4359" s="140" t="s">
        <v>11363</v>
      </c>
      <c r="D4359" s="141" t="s">
        <v>11364</v>
      </c>
      <c r="E4359" s="140" t="s">
        <v>11365</v>
      </c>
      <c r="F4359" s="140"/>
      <c r="G4359" s="140"/>
    </row>
    <row r="4360" spans="2:7" hidden="1">
      <c r="B4360" s="140" t="s">
        <v>11366</v>
      </c>
      <c r="C4360" s="140"/>
      <c r="D4360" s="140" t="s">
        <v>1934</v>
      </c>
      <c r="E4360" s="142"/>
      <c r="F4360" s="142"/>
      <c r="G4360" s="140"/>
    </row>
    <row r="4361" spans="2:7" hidden="1">
      <c r="B4361" s="141" t="s">
        <v>11367</v>
      </c>
      <c r="C4361" s="140"/>
      <c r="D4361" s="141" t="s">
        <v>11368</v>
      </c>
      <c r="E4361" s="140"/>
      <c r="F4361" s="140"/>
      <c r="G4361" s="140"/>
    </row>
    <row r="4362" spans="2:7" hidden="1">
      <c r="B4362" s="140" t="s">
        <v>11369</v>
      </c>
      <c r="C4362" s="140" t="s">
        <v>11370</v>
      </c>
      <c r="D4362" s="140" t="s">
        <v>11371</v>
      </c>
      <c r="E4362" s="142" t="s">
        <v>11372</v>
      </c>
      <c r="F4362" s="142" t="s">
        <v>11373</v>
      </c>
      <c r="G4362" s="140"/>
    </row>
    <row r="4363" spans="2:7" hidden="1">
      <c r="B4363" s="140" t="s">
        <v>11374</v>
      </c>
      <c r="C4363" s="140" t="s">
        <v>11375</v>
      </c>
      <c r="D4363" s="140" t="s">
        <v>1646</v>
      </c>
      <c r="E4363" s="142" t="s">
        <v>11376</v>
      </c>
      <c r="F4363" s="142"/>
      <c r="G4363" s="140"/>
    </row>
    <row r="4364" spans="2:7" hidden="1">
      <c r="B4364" s="141" t="s">
        <v>11377</v>
      </c>
      <c r="C4364" s="140" t="s">
        <v>11378</v>
      </c>
      <c r="D4364" s="141" t="s">
        <v>11379</v>
      </c>
      <c r="E4364" s="140"/>
      <c r="F4364" s="140"/>
      <c r="G4364" s="140" t="s">
        <v>11380</v>
      </c>
    </row>
    <row r="4365" spans="2:7" hidden="1">
      <c r="B4365" s="141" t="s">
        <v>11381</v>
      </c>
      <c r="C4365" s="140"/>
      <c r="D4365" s="141" t="s">
        <v>11382</v>
      </c>
      <c r="E4365" s="140"/>
      <c r="F4365" s="140"/>
      <c r="G4365" s="140"/>
    </row>
    <row r="4366" spans="2:7" hidden="1">
      <c r="B4366" s="140" t="s">
        <v>11383</v>
      </c>
      <c r="C4366" s="140"/>
      <c r="D4366" s="140" t="s">
        <v>11384</v>
      </c>
      <c r="E4366" s="142"/>
      <c r="F4366" s="142"/>
      <c r="G4366" s="140"/>
    </row>
    <row r="4367" spans="2:7" hidden="1">
      <c r="B4367" s="140" t="s">
        <v>11385</v>
      </c>
      <c r="C4367" s="140"/>
      <c r="D4367" s="140" t="s">
        <v>6812</v>
      </c>
      <c r="E4367" s="142"/>
      <c r="F4367" s="142"/>
      <c r="G4367" s="140"/>
    </row>
    <row r="4368" spans="2:7" hidden="1">
      <c r="B4368" s="141" t="s">
        <v>11386</v>
      </c>
      <c r="C4368" s="140"/>
      <c r="D4368" s="141" t="s">
        <v>11387</v>
      </c>
      <c r="E4368" s="140"/>
      <c r="F4368" s="140"/>
      <c r="G4368" s="140"/>
    </row>
    <row r="4369" spans="2:7" hidden="1">
      <c r="B4369" s="140" t="s">
        <v>21136</v>
      </c>
      <c r="C4369" s="140" t="s">
        <v>21137</v>
      </c>
      <c r="D4369" s="140" t="s">
        <v>21138</v>
      </c>
      <c r="E4369" s="142" t="s">
        <v>21139</v>
      </c>
      <c r="F4369" s="142"/>
      <c r="G4369" s="140" t="s">
        <v>21140</v>
      </c>
    </row>
    <row r="4370" spans="2:7" hidden="1">
      <c r="B4370" s="141" t="s">
        <v>11388</v>
      </c>
      <c r="C4370" s="140" t="s">
        <v>11389</v>
      </c>
      <c r="D4370" s="141" t="s">
        <v>11390</v>
      </c>
      <c r="E4370" s="140"/>
      <c r="F4370" s="140"/>
      <c r="G4370" s="140" t="s">
        <v>11005</v>
      </c>
    </row>
    <row r="4371" spans="2:7" hidden="1">
      <c r="B4371" s="140" t="s">
        <v>11391</v>
      </c>
      <c r="C4371" s="140"/>
      <c r="D4371" s="140" t="s">
        <v>11392</v>
      </c>
      <c r="E4371" s="142"/>
      <c r="F4371" s="142"/>
      <c r="G4371" s="140"/>
    </row>
    <row r="4372" spans="2:7" hidden="1">
      <c r="B4372" s="140" t="s">
        <v>11393</v>
      </c>
      <c r="C4372" s="140"/>
      <c r="D4372" s="140" t="s">
        <v>11394</v>
      </c>
      <c r="E4372" s="142"/>
      <c r="F4372" s="142"/>
      <c r="G4372" s="140"/>
    </row>
    <row r="4373" spans="2:7" hidden="1">
      <c r="B4373" s="140" t="s">
        <v>11395</v>
      </c>
      <c r="C4373" s="140"/>
      <c r="D4373" s="140" t="s">
        <v>11396</v>
      </c>
      <c r="E4373" s="142"/>
      <c r="F4373" s="142"/>
      <c r="G4373" s="140"/>
    </row>
    <row r="4374" spans="2:7" hidden="1">
      <c r="B4374" s="141" t="s">
        <v>11397</v>
      </c>
      <c r="C4374" s="140"/>
      <c r="D4374" s="141" t="s">
        <v>11398</v>
      </c>
      <c r="E4374" s="140"/>
      <c r="F4374" s="140"/>
      <c r="G4374" s="140"/>
    </row>
    <row r="4375" spans="2:7" hidden="1">
      <c r="B4375" s="140" t="s">
        <v>11399</v>
      </c>
      <c r="C4375" s="140" t="s">
        <v>11400</v>
      </c>
      <c r="D4375" s="140" t="s">
        <v>11401</v>
      </c>
      <c r="E4375" s="142"/>
      <c r="F4375" s="142"/>
      <c r="G4375" s="140"/>
    </row>
    <row r="4376" spans="2:7" hidden="1">
      <c r="B4376" s="141" t="s">
        <v>11402</v>
      </c>
      <c r="C4376" s="140"/>
      <c r="D4376" s="141" t="s">
        <v>11403</v>
      </c>
      <c r="E4376" s="140" t="s">
        <v>11404</v>
      </c>
      <c r="F4376" s="140" t="s">
        <v>11405</v>
      </c>
      <c r="G4376" s="140"/>
    </row>
    <row r="4377" spans="2:7" hidden="1">
      <c r="B4377" s="141" t="s">
        <v>11406</v>
      </c>
      <c r="C4377" s="140" t="s">
        <v>11407</v>
      </c>
      <c r="D4377" s="141" t="s">
        <v>11408</v>
      </c>
      <c r="E4377" s="140" t="s">
        <v>11409</v>
      </c>
      <c r="F4377" s="140"/>
      <c r="G4377" s="140"/>
    </row>
    <row r="4378" spans="2:7" hidden="1">
      <c r="B4378" s="141" t="s">
        <v>11410</v>
      </c>
      <c r="C4378" s="141" t="s">
        <v>11411</v>
      </c>
      <c r="D4378" s="141" t="s">
        <v>11412</v>
      </c>
      <c r="E4378" s="141" t="s">
        <v>11413</v>
      </c>
      <c r="F4378" s="141" t="s">
        <v>11414</v>
      </c>
      <c r="G4378" s="140"/>
    </row>
    <row r="4379" spans="2:7" hidden="1">
      <c r="B4379" s="141" t="s">
        <v>11415</v>
      </c>
      <c r="C4379" s="140" t="s">
        <v>11416</v>
      </c>
      <c r="D4379" s="141" t="s">
        <v>11417</v>
      </c>
      <c r="E4379" s="140"/>
      <c r="F4379" s="140"/>
      <c r="G4379" s="140"/>
    </row>
    <row r="4380" spans="2:7" hidden="1">
      <c r="B4380" s="141" t="s">
        <v>11418</v>
      </c>
      <c r="C4380" s="140" t="s">
        <v>11419</v>
      </c>
      <c r="D4380" s="141" t="s">
        <v>11420</v>
      </c>
      <c r="E4380" s="140" t="s">
        <v>11421</v>
      </c>
      <c r="F4380" s="140"/>
      <c r="G4380" s="140"/>
    </row>
    <row r="4381" spans="2:7" hidden="1">
      <c r="B4381" s="141" t="s">
        <v>11422</v>
      </c>
      <c r="C4381" s="140" t="s">
        <v>11423</v>
      </c>
      <c r="D4381" s="141" t="s">
        <v>11424</v>
      </c>
      <c r="E4381" s="140" t="s">
        <v>11425</v>
      </c>
      <c r="F4381" s="140" t="s">
        <v>11426</v>
      </c>
      <c r="G4381" s="140"/>
    </row>
    <row r="4382" spans="2:7" hidden="1">
      <c r="B4382" s="141" t="s">
        <v>11427</v>
      </c>
      <c r="C4382" s="140"/>
      <c r="D4382" s="141" t="s">
        <v>1863</v>
      </c>
      <c r="E4382" s="140"/>
      <c r="F4382" s="140"/>
      <c r="G4382" s="140"/>
    </row>
    <row r="4383" spans="2:7" hidden="1">
      <c r="B4383" s="141" t="s">
        <v>11428</v>
      </c>
      <c r="C4383" s="140" t="s">
        <v>11429</v>
      </c>
      <c r="D4383" s="141" t="s">
        <v>3980</v>
      </c>
      <c r="E4383" s="140" t="s">
        <v>11430</v>
      </c>
      <c r="F4383" s="140" t="s">
        <v>11431</v>
      </c>
      <c r="G4383" s="140"/>
    </row>
    <row r="4384" spans="2:7" hidden="1">
      <c r="B4384" s="141" t="s">
        <v>21830</v>
      </c>
      <c r="C4384" s="141"/>
      <c r="D4384" s="141" t="s">
        <v>10513</v>
      </c>
      <c r="E4384" s="141"/>
      <c r="F4384" s="140"/>
      <c r="G4384" s="140"/>
    </row>
    <row r="4385" spans="2:7" hidden="1">
      <c r="B4385" s="140" t="s">
        <v>11432</v>
      </c>
      <c r="C4385" s="140"/>
      <c r="D4385" s="140" t="s">
        <v>5175</v>
      </c>
      <c r="E4385" s="142"/>
      <c r="F4385" s="142"/>
      <c r="G4385" s="140"/>
    </row>
    <row r="4386" spans="2:7" hidden="1">
      <c r="B4386" s="140" t="s">
        <v>11433</v>
      </c>
      <c r="C4386" s="140"/>
      <c r="D4386" s="140" t="s">
        <v>11398</v>
      </c>
      <c r="E4386" s="142"/>
      <c r="F4386" s="142"/>
      <c r="G4386" s="140"/>
    </row>
    <row r="4387" spans="2:7" hidden="1">
      <c r="B4387" s="141" t="s">
        <v>11434</v>
      </c>
      <c r="C4387" s="140"/>
      <c r="D4387" s="141" t="s">
        <v>11435</v>
      </c>
      <c r="E4387" s="140"/>
      <c r="F4387" s="140"/>
      <c r="G4387" s="140"/>
    </row>
    <row r="4388" spans="2:7" hidden="1">
      <c r="B4388" s="141" t="s">
        <v>11436</v>
      </c>
      <c r="C4388" s="140"/>
      <c r="D4388" s="141" t="s">
        <v>11437</v>
      </c>
      <c r="E4388" s="140"/>
      <c r="F4388" s="140"/>
      <c r="G4388" s="140"/>
    </row>
    <row r="4389" spans="2:7" hidden="1">
      <c r="B4389" s="141" t="s">
        <v>11438</v>
      </c>
      <c r="C4389" s="140"/>
      <c r="D4389" s="141" t="s">
        <v>11439</v>
      </c>
      <c r="E4389" s="140"/>
      <c r="F4389" s="140"/>
      <c r="G4389" s="140"/>
    </row>
    <row r="4390" spans="2:7" hidden="1">
      <c r="B4390" s="141" t="s">
        <v>11440</v>
      </c>
      <c r="C4390" s="140" t="s">
        <v>11441</v>
      </c>
      <c r="D4390" s="141" t="s">
        <v>5869</v>
      </c>
      <c r="E4390" s="140" t="s">
        <v>11442</v>
      </c>
      <c r="F4390" s="140" t="s">
        <v>11443</v>
      </c>
      <c r="G4390" s="140"/>
    </row>
    <row r="4391" spans="2:7" hidden="1">
      <c r="B4391" s="141" t="s">
        <v>11444</v>
      </c>
      <c r="C4391" s="140" t="s">
        <v>11445</v>
      </c>
      <c r="D4391" s="141" t="s">
        <v>11446</v>
      </c>
      <c r="E4391" s="140" t="s">
        <v>11447</v>
      </c>
      <c r="F4391" s="140" t="s">
        <v>11448</v>
      </c>
      <c r="G4391" s="140"/>
    </row>
    <row r="4392" spans="2:7" hidden="1">
      <c r="B4392" s="141" t="s">
        <v>11449</v>
      </c>
      <c r="C4392" s="140" t="s">
        <v>9643</v>
      </c>
      <c r="D4392" s="141" t="s">
        <v>9644</v>
      </c>
      <c r="E4392" s="140" t="s">
        <v>11450</v>
      </c>
      <c r="F4392" s="140" t="s">
        <v>9646</v>
      </c>
      <c r="G4392" s="140"/>
    </row>
    <row r="4393" spans="2:7" hidden="1">
      <c r="B4393" s="141" t="s">
        <v>11451</v>
      </c>
      <c r="C4393" s="140"/>
      <c r="D4393" s="141" t="s">
        <v>1081</v>
      </c>
      <c r="E4393" s="140"/>
      <c r="F4393" s="140"/>
      <c r="G4393" s="140"/>
    </row>
    <row r="4394" spans="2:7" hidden="1">
      <c r="B4394" s="140" t="s">
        <v>11452</v>
      </c>
      <c r="C4394" s="140" t="s">
        <v>11453</v>
      </c>
      <c r="D4394" s="140" t="s">
        <v>11454</v>
      </c>
      <c r="E4394" s="142" t="s">
        <v>11455</v>
      </c>
      <c r="F4394" s="142"/>
      <c r="G4394" s="140"/>
    </row>
    <row r="4395" spans="2:7" hidden="1">
      <c r="B4395" s="141" t="s">
        <v>11456</v>
      </c>
      <c r="C4395" s="140"/>
      <c r="D4395" s="141" t="s">
        <v>11457</v>
      </c>
      <c r="E4395" s="140"/>
      <c r="F4395" s="140"/>
      <c r="G4395" s="140"/>
    </row>
    <row r="4396" spans="2:7" hidden="1">
      <c r="B4396" s="141" t="s">
        <v>11458</v>
      </c>
      <c r="C4396" s="140"/>
      <c r="D4396" s="141" t="s">
        <v>11459</v>
      </c>
      <c r="E4396" s="140"/>
      <c r="F4396" s="140"/>
      <c r="G4396" s="140"/>
    </row>
    <row r="4397" spans="2:7" hidden="1">
      <c r="B4397" s="141" t="s">
        <v>11460</v>
      </c>
      <c r="C4397" s="140"/>
      <c r="D4397" s="141" t="s">
        <v>5175</v>
      </c>
      <c r="E4397" s="140"/>
      <c r="F4397" s="140"/>
      <c r="G4397" s="140"/>
    </row>
    <row r="4398" spans="2:7" hidden="1">
      <c r="B4398" s="141" t="s">
        <v>21831</v>
      </c>
      <c r="C4398" s="140"/>
      <c r="D4398" s="141" t="s">
        <v>11461</v>
      </c>
      <c r="E4398" s="140"/>
      <c r="F4398" s="140"/>
      <c r="G4398" s="140"/>
    </row>
    <row r="4399" spans="2:7" hidden="1">
      <c r="B4399" s="140" t="s">
        <v>11462</v>
      </c>
      <c r="C4399" s="140"/>
      <c r="D4399" s="140" t="s">
        <v>6812</v>
      </c>
      <c r="E4399" s="142"/>
      <c r="F4399" s="142"/>
      <c r="G4399" s="140"/>
    </row>
    <row r="4400" spans="2:7" hidden="1">
      <c r="B4400" s="141" t="s">
        <v>11463</v>
      </c>
      <c r="C4400" s="140"/>
      <c r="D4400" s="141" t="s">
        <v>11464</v>
      </c>
      <c r="E4400" s="140"/>
      <c r="F4400" s="140"/>
      <c r="G4400" s="140"/>
    </row>
    <row r="4401" spans="2:7" hidden="1">
      <c r="B4401" s="141" t="s">
        <v>11465</v>
      </c>
      <c r="C4401" s="140"/>
      <c r="D4401" s="141" t="s">
        <v>11466</v>
      </c>
      <c r="E4401" s="140"/>
      <c r="F4401" s="140"/>
      <c r="G4401" s="140"/>
    </row>
    <row r="4402" spans="2:7" hidden="1">
      <c r="B4402" s="141" t="s">
        <v>21832</v>
      </c>
      <c r="C4402" s="140"/>
      <c r="D4402" s="141" t="s">
        <v>11467</v>
      </c>
      <c r="E4402" s="140"/>
      <c r="F4402" s="140"/>
      <c r="G4402" s="140"/>
    </row>
    <row r="4403" spans="2:7" hidden="1">
      <c r="B4403" s="140" t="s">
        <v>11468</v>
      </c>
      <c r="C4403" s="140"/>
      <c r="D4403" s="140" t="s">
        <v>11469</v>
      </c>
      <c r="E4403" s="142"/>
      <c r="F4403" s="142"/>
      <c r="G4403" s="140"/>
    </row>
    <row r="4404" spans="2:7" hidden="1">
      <c r="B4404" s="141" t="s">
        <v>11470</v>
      </c>
      <c r="C4404" s="140"/>
      <c r="D4404" s="141" t="s">
        <v>4230</v>
      </c>
      <c r="E4404" s="140"/>
      <c r="F4404" s="140"/>
      <c r="G4404" s="140"/>
    </row>
    <row r="4405" spans="2:7" hidden="1">
      <c r="B4405" s="141" t="s">
        <v>11471</v>
      </c>
      <c r="C4405" s="140"/>
      <c r="D4405" s="141" t="s">
        <v>3377</v>
      </c>
      <c r="E4405" s="140"/>
      <c r="F4405" s="140"/>
      <c r="G4405" s="140"/>
    </row>
    <row r="4406" spans="2:7" hidden="1">
      <c r="B4406" s="141" t="s">
        <v>11472</v>
      </c>
      <c r="C4406" s="140"/>
      <c r="D4406" s="141" t="s">
        <v>11473</v>
      </c>
      <c r="E4406" s="140"/>
      <c r="F4406" s="140"/>
      <c r="G4406" s="140"/>
    </row>
    <row r="4407" spans="2:7" hidden="1">
      <c r="B4407" s="140" t="s">
        <v>21833</v>
      </c>
      <c r="C4407" s="140" t="s">
        <v>11474</v>
      </c>
      <c r="D4407" s="140" t="s">
        <v>11475</v>
      </c>
      <c r="E4407" s="142" t="s">
        <v>11476</v>
      </c>
      <c r="F4407" s="142" t="s">
        <v>11477</v>
      </c>
      <c r="G4407" s="140" t="s">
        <v>11478</v>
      </c>
    </row>
    <row r="4408" spans="2:7" hidden="1">
      <c r="B4408" s="141" t="s">
        <v>21834</v>
      </c>
      <c r="C4408" s="140" t="s">
        <v>11479</v>
      </c>
      <c r="D4408" s="141" t="s">
        <v>11480</v>
      </c>
      <c r="E4408" s="140"/>
      <c r="F4408" s="140"/>
      <c r="G4408" s="140"/>
    </row>
    <row r="4409" spans="2:7" hidden="1">
      <c r="B4409" s="140" t="s">
        <v>11481</v>
      </c>
      <c r="C4409" s="140"/>
      <c r="D4409" s="140" t="s">
        <v>11482</v>
      </c>
      <c r="E4409" s="142"/>
      <c r="F4409" s="142"/>
      <c r="G4409" s="140"/>
    </row>
    <row r="4410" spans="2:7" hidden="1">
      <c r="B4410" s="141" t="s">
        <v>11483</v>
      </c>
      <c r="C4410" s="141" t="s">
        <v>11484</v>
      </c>
      <c r="D4410" s="141" t="s">
        <v>11485</v>
      </c>
      <c r="E4410" s="141" t="s">
        <v>11486</v>
      </c>
      <c r="F4410" s="141" t="s">
        <v>11487</v>
      </c>
      <c r="G4410" s="140"/>
    </row>
    <row r="4411" spans="2:7" hidden="1">
      <c r="B4411" s="140" t="s">
        <v>11488</v>
      </c>
      <c r="C4411" s="140" t="s">
        <v>11489</v>
      </c>
      <c r="D4411" s="140" t="s">
        <v>11490</v>
      </c>
      <c r="E4411" s="142"/>
      <c r="F4411" s="142"/>
      <c r="G4411" s="140"/>
    </row>
    <row r="4412" spans="2:7" hidden="1">
      <c r="B4412" s="141" t="s">
        <v>11491</v>
      </c>
      <c r="C4412" s="140"/>
      <c r="D4412" s="141" t="s">
        <v>5116</v>
      </c>
      <c r="E4412" s="140"/>
      <c r="F4412" s="140"/>
      <c r="G4412" s="140"/>
    </row>
    <row r="4413" spans="2:7" hidden="1">
      <c r="B4413" s="141" t="s">
        <v>11492</v>
      </c>
      <c r="C4413" s="140"/>
      <c r="D4413" s="141" t="s">
        <v>4070</v>
      </c>
      <c r="E4413" s="140"/>
      <c r="F4413" s="140"/>
      <c r="G4413" s="140"/>
    </row>
    <row r="4414" spans="2:7" hidden="1">
      <c r="B4414" s="141" t="s">
        <v>11493</v>
      </c>
      <c r="C4414" s="140"/>
      <c r="D4414" s="141" t="s">
        <v>11494</v>
      </c>
      <c r="E4414" s="140"/>
      <c r="F4414" s="140"/>
      <c r="G4414" s="140"/>
    </row>
    <row r="4415" spans="2:7" hidden="1">
      <c r="B4415" s="141" t="s">
        <v>21835</v>
      </c>
      <c r="C4415" s="140" t="s">
        <v>11495</v>
      </c>
      <c r="D4415" s="141" t="s">
        <v>11496</v>
      </c>
      <c r="E4415" s="140" t="s">
        <v>11497</v>
      </c>
      <c r="F4415" s="140" t="s">
        <v>11498</v>
      </c>
      <c r="G4415" s="140"/>
    </row>
    <row r="4416" spans="2:7" hidden="1">
      <c r="B4416" s="141" t="s">
        <v>11499</v>
      </c>
      <c r="C4416" s="140" t="s">
        <v>11500</v>
      </c>
      <c r="D4416" s="141" t="s">
        <v>11501</v>
      </c>
      <c r="E4416" s="140"/>
      <c r="F4416" s="140"/>
      <c r="G4416" s="140"/>
    </row>
    <row r="4417" spans="2:7" hidden="1">
      <c r="B4417" s="140" t="s">
        <v>11502</v>
      </c>
      <c r="C4417" s="140"/>
      <c r="D4417" s="140" t="s">
        <v>3943</v>
      </c>
      <c r="E4417" s="142"/>
      <c r="F4417" s="142"/>
      <c r="G4417" s="140"/>
    </row>
    <row r="4418" spans="2:7" hidden="1">
      <c r="B4418" s="141" t="s">
        <v>11503</v>
      </c>
      <c r="C4418" s="140"/>
      <c r="D4418" s="141" t="s">
        <v>11504</v>
      </c>
      <c r="E4418" s="140"/>
      <c r="F4418" s="140"/>
      <c r="G4418" s="140"/>
    </row>
    <row r="4419" spans="2:7" hidden="1">
      <c r="B4419" s="141" t="s">
        <v>11505</v>
      </c>
      <c r="C4419" s="140"/>
      <c r="D4419" s="141" t="s">
        <v>5374</v>
      </c>
      <c r="E4419" s="140"/>
      <c r="F4419" s="140"/>
      <c r="G4419" s="140"/>
    </row>
    <row r="4420" spans="2:7" hidden="1">
      <c r="B4420" s="141" t="s">
        <v>11506</v>
      </c>
      <c r="C4420" s="141"/>
      <c r="D4420" s="141" t="s">
        <v>11507</v>
      </c>
      <c r="E4420" s="141"/>
      <c r="F4420" s="140"/>
      <c r="G4420" s="140"/>
    </row>
    <row r="4421" spans="2:7" hidden="1">
      <c r="B4421" s="141" t="s">
        <v>11508</v>
      </c>
      <c r="C4421" s="140" t="s">
        <v>11509</v>
      </c>
      <c r="D4421" s="141" t="s">
        <v>11510</v>
      </c>
      <c r="E4421" s="140" t="s">
        <v>11511</v>
      </c>
      <c r="F4421" s="140" t="s">
        <v>11512</v>
      </c>
      <c r="G4421" s="140"/>
    </row>
    <row r="4422" spans="2:7" hidden="1">
      <c r="B4422" s="141" t="s">
        <v>11513</v>
      </c>
      <c r="C4422" s="140"/>
      <c r="D4422" s="141" t="s">
        <v>11514</v>
      </c>
      <c r="E4422" s="140"/>
      <c r="F4422" s="140"/>
      <c r="G4422" s="140"/>
    </row>
    <row r="4423" spans="2:7" hidden="1">
      <c r="B4423" s="141" t="s">
        <v>11515</v>
      </c>
      <c r="C4423" s="140"/>
      <c r="D4423" s="141" t="s">
        <v>11260</v>
      </c>
      <c r="E4423" s="140"/>
      <c r="F4423" s="140"/>
      <c r="G4423" s="140"/>
    </row>
    <row r="4424" spans="2:7" hidden="1">
      <c r="B4424" s="141" t="s">
        <v>11516</v>
      </c>
      <c r="C4424" s="140"/>
      <c r="D4424" s="141" t="s">
        <v>11517</v>
      </c>
      <c r="E4424" s="140"/>
      <c r="F4424" s="140"/>
      <c r="G4424" s="140"/>
    </row>
    <row r="4425" spans="2:7" hidden="1">
      <c r="B4425" s="141" t="s">
        <v>11518</v>
      </c>
      <c r="C4425" s="140"/>
      <c r="D4425" s="141" t="s">
        <v>985</v>
      </c>
      <c r="E4425" s="140"/>
      <c r="F4425" s="140"/>
      <c r="G4425" s="140"/>
    </row>
    <row r="4426" spans="2:7" hidden="1">
      <c r="B4426" s="141" t="s">
        <v>11519</v>
      </c>
      <c r="C4426" s="140"/>
      <c r="D4426" s="141" t="s">
        <v>5085</v>
      </c>
      <c r="E4426" s="140"/>
      <c r="F4426" s="140"/>
      <c r="G4426" s="140"/>
    </row>
    <row r="4427" spans="2:7" hidden="1">
      <c r="B4427" s="141" t="s">
        <v>11520</v>
      </c>
      <c r="C4427" s="140"/>
      <c r="D4427" s="141" t="s">
        <v>11521</v>
      </c>
      <c r="E4427" s="140"/>
      <c r="F4427" s="140"/>
      <c r="G4427" s="140"/>
    </row>
    <row r="4428" spans="2:7" hidden="1">
      <c r="B4428" s="141" t="s">
        <v>11522</v>
      </c>
      <c r="C4428" s="140" t="s">
        <v>11523</v>
      </c>
      <c r="D4428" s="141" t="s">
        <v>11524</v>
      </c>
      <c r="E4428" s="140" t="s">
        <v>11525</v>
      </c>
      <c r="F4428" s="140" t="s">
        <v>11526</v>
      </c>
      <c r="G4428" s="140" t="s">
        <v>11527</v>
      </c>
    </row>
    <row r="4429" spans="2:7" hidden="1">
      <c r="B4429" s="140" t="s">
        <v>11528</v>
      </c>
      <c r="C4429" s="140" t="s">
        <v>11529</v>
      </c>
      <c r="D4429" s="140" t="s">
        <v>11530</v>
      </c>
      <c r="E4429" s="142"/>
      <c r="F4429" s="142"/>
      <c r="G4429" s="140"/>
    </row>
    <row r="4430" spans="2:7" hidden="1">
      <c r="B4430" s="141" t="s">
        <v>11531</v>
      </c>
      <c r="C4430" s="141" t="s">
        <v>11532</v>
      </c>
      <c r="D4430" s="141" t="s">
        <v>11533</v>
      </c>
      <c r="E4430" s="141"/>
      <c r="F4430" s="141"/>
      <c r="G4430" s="140"/>
    </row>
    <row r="4431" spans="2:7" hidden="1">
      <c r="B4431" s="141" t="s">
        <v>11534</v>
      </c>
      <c r="C4431" s="140" t="s">
        <v>11535</v>
      </c>
      <c r="D4431" s="141" t="s">
        <v>1022</v>
      </c>
      <c r="E4431" s="140" t="s">
        <v>11536</v>
      </c>
      <c r="F4431" s="140" t="s">
        <v>11537</v>
      </c>
      <c r="G4431" s="140"/>
    </row>
    <row r="4432" spans="2:7" hidden="1">
      <c r="B4432" s="141" t="s">
        <v>21836</v>
      </c>
      <c r="C4432" s="140" t="s">
        <v>11538</v>
      </c>
      <c r="D4432" s="141" t="s">
        <v>11539</v>
      </c>
      <c r="E4432" s="140" t="s">
        <v>11540</v>
      </c>
      <c r="F4432" s="140" t="s">
        <v>11541</v>
      </c>
      <c r="G4432" s="140"/>
    </row>
    <row r="4433" spans="2:7" hidden="1">
      <c r="B4433" s="141" t="s">
        <v>11542</v>
      </c>
      <c r="C4433" s="140" t="s">
        <v>11543</v>
      </c>
      <c r="D4433" s="141" t="s">
        <v>11544</v>
      </c>
      <c r="E4433" s="140" t="s">
        <v>11545</v>
      </c>
      <c r="F4433" s="140" t="s">
        <v>11546</v>
      </c>
      <c r="G4433" s="140"/>
    </row>
    <row r="4434" spans="2:7" hidden="1">
      <c r="B4434" s="141" t="s">
        <v>11547</v>
      </c>
      <c r="C4434" s="140" t="s">
        <v>11548</v>
      </c>
      <c r="D4434" s="141" t="s">
        <v>11549</v>
      </c>
      <c r="E4434" s="140" t="s">
        <v>11550</v>
      </c>
      <c r="F4434" s="140" t="s">
        <v>11551</v>
      </c>
      <c r="G4434" s="140"/>
    </row>
    <row r="4435" spans="2:7" hidden="1">
      <c r="B4435" s="141" t="s">
        <v>11552</v>
      </c>
      <c r="C4435" s="140" t="s">
        <v>11553</v>
      </c>
      <c r="D4435" s="141" t="s">
        <v>4313</v>
      </c>
      <c r="E4435" s="140"/>
      <c r="F4435" s="140"/>
      <c r="G4435" s="140"/>
    </row>
    <row r="4436" spans="2:7" hidden="1">
      <c r="B4436" s="141" t="s">
        <v>11554</v>
      </c>
      <c r="C4436" s="140"/>
      <c r="D4436" s="141" t="s">
        <v>11555</v>
      </c>
      <c r="E4436" s="140"/>
      <c r="F4436" s="140"/>
      <c r="G4436" s="140"/>
    </row>
    <row r="4437" spans="2:7" hidden="1">
      <c r="B4437" s="141" t="s">
        <v>11556</v>
      </c>
      <c r="C4437" s="140" t="s">
        <v>11557</v>
      </c>
      <c r="D4437" s="141" t="s">
        <v>11558</v>
      </c>
      <c r="E4437" s="140" t="s">
        <v>11559</v>
      </c>
      <c r="F4437" s="140" t="s">
        <v>11560</v>
      </c>
      <c r="G4437" s="140"/>
    </row>
    <row r="4438" spans="2:7" hidden="1">
      <c r="B4438" s="141" t="s">
        <v>11561</v>
      </c>
      <c r="C4438" s="140"/>
      <c r="D4438" s="141" t="s">
        <v>4625</v>
      </c>
      <c r="E4438" s="140"/>
      <c r="F4438" s="140"/>
      <c r="G4438" s="140"/>
    </row>
    <row r="4439" spans="2:7" hidden="1">
      <c r="B4439" s="141" t="s">
        <v>11562</v>
      </c>
      <c r="C4439" s="140"/>
      <c r="D4439" s="141" t="s">
        <v>5747</v>
      </c>
      <c r="E4439" s="140"/>
      <c r="F4439" s="140"/>
      <c r="G4439" s="140"/>
    </row>
    <row r="4440" spans="2:7" hidden="1">
      <c r="B4440" s="141" t="s">
        <v>11563</v>
      </c>
      <c r="C4440" s="141"/>
      <c r="D4440" s="141" t="s">
        <v>11564</v>
      </c>
      <c r="E4440" s="141"/>
      <c r="F4440" s="141"/>
      <c r="G4440" s="140"/>
    </row>
    <row r="4441" spans="2:7" hidden="1">
      <c r="B4441" s="141" t="s">
        <v>11565</v>
      </c>
      <c r="C4441" s="140"/>
      <c r="D4441" s="141" t="s">
        <v>4174</v>
      </c>
      <c r="E4441" s="140"/>
      <c r="F4441" s="140"/>
      <c r="G4441" s="140"/>
    </row>
    <row r="4442" spans="2:7" hidden="1">
      <c r="B4442" s="141" t="s">
        <v>11566</v>
      </c>
      <c r="C4442" s="140" t="s">
        <v>11567</v>
      </c>
      <c r="D4442" s="141" t="s">
        <v>11568</v>
      </c>
      <c r="E4442" s="140" t="s">
        <v>11569</v>
      </c>
      <c r="F4442" s="140"/>
      <c r="G4442" s="140"/>
    </row>
    <row r="4443" spans="2:7" hidden="1">
      <c r="B4443" s="141" t="s">
        <v>11570</v>
      </c>
      <c r="C4443" s="140" t="s">
        <v>11571</v>
      </c>
      <c r="D4443" s="141" t="s">
        <v>11572</v>
      </c>
      <c r="E4443" s="140" t="s">
        <v>11573</v>
      </c>
      <c r="F4443" s="140" t="s">
        <v>11574</v>
      </c>
      <c r="G4443" s="140"/>
    </row>
    <row r="4444" spans="2:7" hidden="1">
      <c r="B4444" s="141" t="s">
        <v>11575</v>
      </c>
      <c r="C4444" s="140"/>
      <c r="D4444" s="141" t="s">
        <v>9584</v>
      </c>
      <c r="E4444" s="140"/>
      <c r="F4444" s="140"/>
      <c r="G4444" s="140"/>
    </row>
    <row r="4445" spans="2:7" hidden="1">
      <c r="B4445" s="140" t="s">
        <v>11576</v>
      </c>
      <c r="C4445" s="140" t="s">
        <v>11577</v>
      </c>
      <c r="D4445" s="140" t="s">
        <v>11578</v>
      </c>
      <c r="E4445" s="142" t="s">
        <v>11579</v>
      </c>
      <c r="F4445" s="142"/>
      <c r="G4445" s="140"/>
    </row>
    <row r="4446" spans="2:7" hidden="1">
      <c r="B4446" s="141" t="s">
        <v>11580</v>
      </c>
      <c r="C4446" s="140"/>
      <c r="D4446" s="141" t="s">
        <v>11581</v>
      </c>
      <c r="E4446" s="140"/>
      <c r="F4446" s="140"/>
      <c r="G4446" s="140"/>
    </row>
    <row r="4447" spans="2:7" hidden="1">
      <c r="B4447" s="141" t="s">
        <v>21837</v>
      </c>
      <c r="C4447" s="140"/>
      <c r="D4447" s="141" t="s">
        <v>3989</v>
      </c>
      <c r="E4447" s="140"/>
      <c r="F4447" s="140"/>
      <c r="G4447" s="140"/>
    </row>
    <row r="4448" spans="2:7" hidden="1">
      <c r="B4448" s="141" t="s">
        <v>21838</v>
      </c>
      <c r="C4448" s="140"/>
      <c r="D4448" s="141" t="s">
        <v>5391</v>
      </c>
      <c r="E4448" s="140"/>
      <c r="F4448" s="140"/>
      <c r="G4448" s="140"/>
    </row>
    <row r="4449" spans="2:7" hidden="1">
      <c r="B4449" s="141" t="s">
        <v>11582</v>
      </c>
      <c r="C4449" s="140"/>
      <c r="D4449" s="141" t="s">
        <v>1213</v>
      </c>
      <c r="E4449" s="140"/>
      <c r="F4449" s="140"/>
      <c r="G4449" s="140"/>
    </row>
    <row r="4450" spans="2:7" hidden="1">
      <c r="B4450" s="141" t="s">
        <v>11583</v>
      </c>
      <c r="C4450" s="140"/>
      <c r="D4450" s="141" t="s">
        <v>11584</v>
      </c>
      <c r="E4450" s="140"/>
      <c r="F4450" s="140"/>
      <c r="G4450" s="140"/>
    </row>
    <row r="4451" spans="2:7" hidden="1">
      <c r="B4451" s="141" t="s">
        <v>11585</v>
      </c>
      <c r="C4451" s="140"/>
      <c r="D4451" s="141" t="s">
        <v>11586</v>
      </c>
      <c r="E4451" s="140"/>
      <c r="F4451" s="140"/>
      <c r="G4451" s="140"/>
    </row>
    <row r="4452" spans="2:7" hidden="1">
      <c r="B4452" s="141" t="s">
        <v>11587</v>
      </c>
      <c r="C4452" s="140" t="s">
        <v>11588</v>
      </c>
      <c r="D4452" s="141" t="s">
        <v>1765</v>
      </c>
      <c r="E4452" s="140" t="s">
        <v>11589</v>
      </c>
      <c r="F4452" s="140" t="s">
        <v>11590</v>
      </c>
      <c r="G4452" s="140"/>
    </row>
    <row r="4453" spans="2:7" hidden="1">
      <c r="B4453" s="141" t="s">
        <v>11591</v>
      </c>
      <c r="C4453" s="140"/>
      <c r="D4453" s="141" t="s">
        <v>11592</v>
      </c>
      <c r="E4453" s="140"/>
      <c r="F4453" s="140"/>
      <c r="G4453" s="140"/>
    </row>
    <row r="4454" spans="2:7" hidden="1">
      <c r="B4454" s="141" t="s">
        <v>11593</v>
      </c>
      <c r="C4454" s="140" t="s">
        <v>11594</v>
      </c>
      <c r="D4454" s="141" t="s">
        <v>11595</v>
      </c>
      <c r="E4454" s="140" t="s">
        <v>11596</v>
      </c>
      <c r="F4454" s="140" t="s">
        <v>11597</v>
      </c>
      <c r="G4454" s="140"/>
    </row>
    <row r="4455" spans="2:7" hidden="1">
      <c r="B4455" s="141" t="s">
        <v>11598</v>
      </c>
      <c r="C4455" s="140"/>
      <c r="D4455" s="141" t="s">
        <v>985</v>
      </c>
      <c r="E4455" s="140"/>
      <c r="F4455" s="140"/>
      <c r="G4455" s="140"/>
    </row>
    <row r="4456" spans="2:7" hidden="1">
      <c r="B4456" s="141" t="s">
        <v>11599</v>
      </c>
      <c r="C4456" s="140" t="s">
        <v>11600</v>
      </c>
      <c r="D4456" s="141" t="s">
        <v>3905</v>
      </c>
      <c r="E4456" s="140" t="s">
        <v>11601</v>
      </c>
      <c r="F4456" s="140" t="s">
        <v>11602</v>
      </c>
      <c r="G4456" s="140"/>
    </row>
    <row r="4457" spans="2:7" hidden="1">
      <c r="B4457" s="141" t="s">
        <v>11603</v>
      </c>
      <c r="C4457" s="140" t="s">
        <v>11604</v>
      </c>
      <c r="D4457" s="141" t="s">
        <v>11605</v>
      </c>
      <c r="E4457" s="140" t="s">
        <v>11606</v>
      </c>
      <c r="F4457" s="140" t="s">
        <v>11607</v>
      </c>
      <c r="G4457" s="140"/>
    </row>
    <row r="4458" spans="2:7" hidden="1">
      <c r="B4458" s="140" t="s">
        <v>11608</v>
      </c>
      <c r="C4458" s="140" t="s">
        <v>11609</v>
      </c>
      <c r="D4458" s="140" t="s">
        <v>11610</v>
      </c>
      <c r="E4458" s="142" t="s">
        <v>11611</v>
      </c>
      <c r="F4458" s="142" t="s">
        <v>11611</v>
      </c>
      <c r="G4458" s="140"/>
    </row>
    <row r="4459" spans="2:7" hidden="1">
      <c r="B4459" s="141" t="s">
        <v>11612</v>
      </c>
      <c r="C4459" s="140"/>
      <c r="D4459" s="141" t="s">
        <v>11613</v>
      </c>
      <c r="E4459" s="140"/>
      <c r="F4459" s="140"/>
      <c r="G4459" s="140"/>
    </row>
    <row r="4460" spans="2:7" hidden="1">
      <c r="B4460" s="141" t="s">
        <v>11614</v>
      </c>
      <c r="C4460" s="140"/>
      <c r="D4460" s="141" t="s">
        <v>11615</v>
      </c>
      <c r="E4460" s="140"/>
      <c r="F4460" s="140"/>
      <c r="G4460" s="140"/>
    </row>
    <row r="4461" spans="2:7" hidden="1">
      <c r="B4461" s="140" t="s">
        <v>21839</v>
      </c>
      <c r="C4461" s="140" t="s">
        <v>11616</v>
      </c>
      <c r="D4461" s="140" t="s">
        <v>11617</v>
      </c>
      <c r="E4461" s="142" t="s">
        <v>11618</v>
      </c>
      <c r="F4461" s="142"/>
      <c r="G4461" s="140"/>
    </row>
    <row r="4462" spans="2:7" hidden="1">
      <c r="B4462" s="141" t="s">
        <v>11619</v>
      </c>
      <c r="C4462" s="140" t="s">
        <v>11620</v>
      </c>
      <c r="D4462" s="141" t="s">
        <v>11621</v>
      </c>
      <c r="E4462" s="140" t="s">
        <v>11622</v>
      </c>
      <c r="F4462" s="140"/>
      <c r="G4462" s="140"/>
    </row>
    <row r="4463" spans="2:7" hidden="1">
      <c r="B4463" s="140" t="s">
        <v>11623</v>
      </c>
      <c r="C4463" s="140"/>
      <c r="D4463" s="140" t="s">
        <v>11624</v>
      </c>
      <c r="E4463" s="140" t="s">
        <v>11625</v>
      </c>
      <c r="F4463" s="140"/>
      <c r="G4463" s="140"/>
    </row>
    <row r="4464" spans="2:7" hidden="1">
      <c r="B4464" s="141" t="s">
        <v>22124</v>
      </c>
      <c r="C4464" s="140"/>
      <c r="D4464" s="141" t="s">
        <v>5364</v>
      </c>
      <c r="E4464" s="140"/>
      <c r="F4464" s="140"/>
      <c r="G4464" s="140"/>
    </row>
    <row r="4465" spans="2:7" hidden="1">
      <c r="B4465" s="141" t="s">
        <v>11626</v>
      </c>
      <c r="C4465" s="140"/>
      <c r="D4465" s="141" t="s">
        <v>9251</v>
      </c>
      <c r="E4465" s="140"/>
      <c r="F4465" s="140"/>
      <c r="G4465" s="140"/>
    </row>
    <row r="4466" spans="2:7" hidden="1">
      <c r="B4466" s="141" t="s">
        <v>11627</v>
      </c>
      <c r="C4466" s="140"/>
      <c r="D4466" s="141" t="s">
        <v>11628</v>
      </c>
      <c r="E4466" s="140"/>
      <c r="F4466" s="140"/>
      <c r="G4466" s="140"/>
    </row>
    <row r="4467" spans="2:7" hidden="1">
      <c r="B4467" s="140" t="s">
        <v>11629</v>
      </c>
      <c r="C4467" s="140" t="s">
        <v>11630</v>
      </c>
      <c r="D4467" s="140" t="s">
        <v>11631</v>
      </c>
      <c r="E4467" s="142" t="s">
        <v>11632</v>
      </c>
      <c r="F4467" s="142" t="s">
        <v>11633</v>
      </c>
      <c r="G4467" s="140"/>
    </row>
    <row r="4468" spans="2:7" hidden="1">
      <c r="B4468" s="141" t="s">
        <v>11634</v>
      </c>
      <c r="C4468" s="140"/>
      <c r="D4468" s="141" t="s">
        <v>11635</v>
      </c>
      <c r="E4468" s="140"/>
      <c r="F4468" s="140"/>
      <c r="G4468" s="140"/>
    </row>
    <row r="4469" spans="2:7" hidden="1">
      <c r="B4469" s="140" t="s">
        <v>21301</v>
      </c>
      <c r="C4469" s="140" t="s">
        <v>21303</v>
      </c>
      <c r="D4469" s="140" t="s">
        <v>21304</v>
      </c>
      <c r="E4469" s="142" t="s">
        <v>21302</v>
      </c>
      <c r="F4469" s="142"/>
      <c r="G4469" s="140"/>
    </row>
    <row r="4470" spans="2:7" hidden="1">
      <c r="B4470" s="141" t="s">
        <v>11636</v>
      </c>
      <c r="C4470" s="140"/>
      <c r="D4470" s="141" t="s">
        <v>11637</v>
      </c>
      <c r="E4470" s="140"/>
      <c r="F4470" s="140"/>
      <c r="G4470" s="140"/>
    </row>
    <row r="4471" spans="2:7" hidden="1">
      <c r="B4471" s="141" t="s">
        <v>11638</v>
      </c>
      <c r="C4471" s="140"/>
      <c r="D4471" s="141" t="s">
        <v>11639</v>
      </c>
      <c r="E4471" s="140"/>
      <c r="F4471" s="140"/>
      <c r="G4471" s="140"/>
    </row>
    <row r="4472" spans="2:7" hidden="1">
      <c r="B4472" s="140" t="s">
        <v>11640</v>
      </c>
      <c r="C4472" s="140"/>
      <c r="D4472" s="140" t="s">
        <v>11641</v>
      </c>
      <c r="E4472" s="142"/>
      <c r="F4472" s="142"/>
      <c r="G4472" s="140"/>
    </row>
    <row r="4473" spans="2:7" hidden="1">
      <c r="B4473" s="140" t="s">
        <v>11642</v>
      </c>
      <c r="C4473" s="140" t="s">
        <v>11643</v>
      </c>
      <c r="D4473" s="140" t="s">
        <v>11644</v>
      </c>
      <c r="E4473" s="142"/>
      <c r="F4473" s="142"/>
      <c r="G4473" s="140" t="s">
        <v>11645</v>
      </c>
    </row>
    <row r="4474" spans="2:7" hidden="1">
      <c r="B4474" s="140" t="s">
        <v>11646</v>
      </c>
      <c r="C4474" s="140"/>
      <c r="D4474" s="140" t="s">
        <v>11647</v>
      </c>
      <c r="E4474" s="142"/>
      <c r="F4474" s="142"/>
      <c r="G4474" s="140"/>
    </row>
    <row r="4475" spans="2:7" hidden="1">
      <c r="B4475" s="141" t="s">
        <v>11648</v>
      </c>
      <c r="C4475" s="141"/>
      <c r="D4475" s="141" t="s">
        <v>3106</v>
      </c>
      <c r="E4475" s="141"/>
      <c r="F4475" s="141"/>
      <c r="G4475" s="140"/>
    </row>
    <row r="4476" spans="2:7" hidden="1">
      <c r="B4476" s="141" t="s">
        <v>11649</v>
      </c>
      <c r="C4476" s="140"/>
      <c r="D4476" s="141" t="s">
        <v>11650</v>
      </c>
      <c r="E4476" s="140"/>
      <c r="F4476" s="140"/>
      <c r="G4476" s="140"/>
    </row>
    <row r="4477" spans="2:7" hidden="1">
      <c r="B4477" s="141" t="s">
        <v>21840</v>
      </c>
      <c r="C4477" s="140"/>
      <c r="D4477" s="141" t="s">
        <v>11651</v>
      </c>
      <c r="E4477" s="140"/>
      <c r="F4477" s="140"/>
      <c r="G4477" s="140"/>
    </row>
    <row r="4478" spans="2:7" hidden="1">
      <c r="B4478" s="141" t="s">
        <v>11652</v>
      </c>
      <c r="C4478" s="141"/>
      <c r="D4478" s="141" t="s">
        <v>11653</v>
      </c>
      <c r="E4478" s="141"/>
      <c r="F4478" s="140"/>
      <c r="G4478" s="140"/>
    </row>
    <row r="4479" spans="2:7" hidden="1">
      <c r="B4479" s="141" t="s">
        <v>11654</v>
      </c>
      <c r="C4479" s="140" t="s">
        <v>11655</v>
      </c>
      <c r="D4479" s="141" t="s">
        <v>11656</v>
      </c>
      <c r="E4479" s="140"/>
      <c r="F4479" s="140"/>
      <c r="G4479" s="140"/>
    </row>
    <row r="4480" spans="2:7" hidden="1">
      <c r="B4480" s="141" t="s">
        <v>11657</v>
      </c>
      <c r="C4480" s="140"/>
      <c r="D4480" s="141" t="s">
        <v>11658</v>
      </c>
      <c r="E4480" s="140"/>
      <c r="F4480" s="140"/>
      <c r="G4480" s="140"/>
    </row>
    <row r="4481" spans="2:7" hidden="1">
      <c r="B4481" s="141" t="s">
        <v>11659</v>
      </c>
      <c r="C4481" s="140"/>
      <c r="D4481" s="141" t="s">
        <v>3106</v>
      </c>
      <c r="E4481" s="140"/>
      <c r="F4481" s="140"/>
      <c r="G4481" s="140"/>
    </row>
    <row r="4482" spans="2:7" hidden="1">
      <c r="B4482" s="141" t="s">
        <v>11660</v>
      </c>
      <c r="C4482" s="140"/>
      <c r="D4482" s="141" t="s">
        <v>11661</v>
      </c>
      <c r="E4482" s="140"/>
      <c r="F4482" s="140"/>
      <c r="G4482" s="140"/>
    </row>
    <row r="4483" spans="2:7" hidden="1">
      <c r="B4483" s="141" t="s">
        <v>11662</v>
      </c>
      <c r="C4483" s="140"/>
      <c r="D4483" s="141" t="s">
        <v>3106</v>
      </c>
      <c r="E4483" s="140"/>
      <c r="F4483" s="140"/>
      <c r="G4483" s="140"/>
    </row>
    <row r="4484" spans="2:7" hidden="1">
      <c r="B4484" s="141" t="s">
        <v>11663</v>
      </c>
      <c r="C4484" s="140"/>
      <c r="D4484" s="141" t="s">
        <v>11664</v>
      </c>
      <c r="E4484" s="140"/>
      <c r="F4484" s="140"/>
      <c r="G4484" s="140"/>
    </row>
    <row r="4485" spans="2:7" hidden="1">
      <c r="B4485" s="140" t="s">
        <v>11665</v>
      </c>
      <c r="C4485" s="140"/>
      <c r="D4485" s="140" t="s">
        <v>11666</v>
      </c>
      <c r="E4485" s="142"/>
      <c r="F4485" s="142"/>
      <c r="G4485" s="140"/>
    </row>
    <row r="4486" spans="2:7" hidden="1">
      <c r="B4486" s="140" t="s">
        <v>22227</v>
      </c>
      <c r="C4486" s="140" t="s">
        <v>22229</v>
      </c>
      <c r="D4486" s="140" t="s">
        <v>22228</v>
      </c>
      <c r="E4486" s="142"/>
      <c r="F4486" s="142"/>
      <c r="G4486" s="140"/>
    </row>
    <row r="4487" spans="2:7" hidden="1">
      <c r="B4487" s="141" t="s">
        <v>11667</v>
      </c>
      <c r="C4487" s="140"/>
      <c r="D4487" s="141" t="s">
        <v>11668</v>
      </c>
      <c r="E4487" s="140"/>
      <c r="F4487" s="140"/>
      <c r="G4487" s="140"/>
    </row>
    <row r="4488" spans="2:7" hidden="1">
      <c r="B4488" s="140" t="s">
        <v>20516</v>
      </c>
      <c r="C4488" s="140" t="s">
        <v>20517</v>
      </c>
      <c r="D4488" s="140" t="s">
        <v>20518</v>
      </c>
      <c r="E4488" s="142" t="s">
        <v>20519</v>
      </c>
      <c r="F4488" s="142"/>
      <c r="G4488" s="140"/>
    </row>
    <row r="4489" spans="2:7" hidden="1">
      <c r="B4489" s="141" t="s">
        <v>11669</v>
      </c>
      <c r="C4489" s="141" t="s">
        <v>11670</v>
      </c>
      <c r="D4489" s="141" t="s">
        <v>11671</v>
      </c>
      <c r="E4489" s="141"/>
      <c r="F4489" s="140"/>
      <c r="G4489" s="140"/>
    </row>
    <row r="4490" spans="2:7" hidden="1">
      <c r="B4490" s="141" t="s">
        <v>11672</v>
      </c>
      <c r="C4490" s="140"/>
      <c r="D4490" s="141" t="s">
        <v>11673</v>
      </c>
      <c r="E4490" s="140"/>
      <c r="F4490" s="140"/>
      <c r="G4490" s="140"/>
    </row>
    <row r="4491" spans="2:7" hidden="1">
      <c r="B4491" s="141" t="s">
        <v>11674</v>
      </c>
      <c r="C4491" s="140" t="s">
        <v>11675</v>
      </c>
      <c r="D4491" s="141" t="s">
        <v>11676</v>
      </c>
      <c r="E4491" s="140" t="s">
        <v>11677</v>
      </c>
      <c r="F4491" s="140" t="s">
        <v>11678</v>
      </c>
      <c r="G4491" s="140"/>
    </row>
    <row r="4492" spans="2:7" hidden="1">
      <c r="B4492" s="140" t="s">
        <v>11679</v>
      </c>
      <c r="C4492" s="140"/>
      <c r="D4492" s="140" t="s">
        <v>11666</v>
      </c>
      <c r="E4492" s="142"/>
      <c r="F4492" s="142"/>
      <c r="G4492" s="140"/>
    </row>
    <row r="4493" spans="2:7" hidden="1">
      <c r="B4493" s="141" t="s">
        <v>11680</v>
      </c>
      <c r="C4493" s="140"/>
      <c r="D4493" s="141" t="s">
        <v>11681</v>
      </c>
      <c r="E4493" s="140"/>
      <c r="F4493" s="140"/>
      <c r="G4493" s="140"/>
    </row>
    <row r="4494" spans="2:7" hidden="1">
      <c r="B4494" s="141" t="s">
        <v>11682</v>
      </c>
      <c r="C4494" s="140"/>
      <c r="D4494" s="141" t="s">
        <v>11683</v>
      </c>
      <c r="E4494" s="140"/>
      <c r="F4494" s="140"/>
      <c r="G4494" s="140"/>
    </row>
    <row r="4495" spans="2:7" hidden="1">
      <c r="B4495" s="141" t="s">
        <v>11684</v>
      </c>
      <c r="C4495" s="140"/>
      <c r="D4495" s="141" t="s">
        <v>2606</v>
      </c>
      <c r="E4495" s="140"/>
      <c r="F4495" s="140"/>
      <c r="G4495" s="140"/>
    </row>
    <row r="4496" spans="2:7" hidden="1">
      <c r="B4496" s="140" t="s">
        <v>11685</v>
      </c>
      <c r="C4496" s="140"/>
      <c r="D4496" s="140" t="s">
        <v>11686</v>
      </c>
      <c r="E4496" s="140"/>
      <c r="F4496" s="140"/>
      <c r="G4496" s="140"/>
    </row>
    <row r="4497" spans="2:7" hidden="1">
      <c r="B4497" s="140" t="s">
        <v>11687</v>
      </c>
      <c r="C4497" s="140"/>
      <c r="D4497" s="140" t="s">
        <v>2590</v>
      </c>
      <c r="E4497" s="142"/>
      <c r="F4497" s="142"/>
      <c r="G4497" s="140"/>
    </row>
    <row r="4498" spans="2:7" hidden="1">
      <c r="B4498" s="141" t="s">
        <v>11688</v>
      </c>
      <c r="C4498" s="140"/>
      <c r="D4498" s="141" t="s">
        <v>11689</v>
      </c>
      <c r="E4498" s="140"/>
      <c r="F4498" s="140"/>
      <c r="G4498" s="140"/>
    </row>
    <row r="4499" spans="2:7" hidden="1">
      <c r="B4499" s="141" t="s">
        <v>11690</v>
      </c>
      <c r="C4499" s="140" t="s">
        <v>11691</v>
      </c>
      <c r="D4499" s="141" t="s">
        <v>11692</v>
      </c>
      <c r="E4499" s="140"/>
      <c r="F4499" s="140"/>
      <c r="G4499" s="140"/>
    </row>
    <row r="4500" spans="2:7" hidden="1">
      <c r="B4500" s="140" t="s">
        <v>11693</v>
      </c>
      <c r="C4500" s="140"/>
      <c r="D4500" s="140" t="s">
        <v>11694</v>
      </c>
      <c r="E4500" s="142"/>
      <c r="F4500" s="142"/>
      <c r="G4500" s="140"/>
    </row>
    <row r="4501" spans="2:7" hidden="1">
      <c r="B4501" s="141" t="s">
        <v>11695</v>
      </c>
      <c r="C4501" s="141"/>
      <c r="D4501" s="141" t="s">
        <v>11696</v>
      </c>
      <c r="E4501" s="141"/>
      <c r="F4501" s="141"/>
      <c r="G4501" s="140"/>
    </row>
    <row r="4502" spans="2:7" hidden="1">
      <c r="B4502" s="141" t="s">
        <v>11697</v>
      </c>
      <c r="C4502" s="141"/>
      <c r="D4502" s="141" t="s">
        <v>11698</v>
      </c>
      <c r="E4502" s="141"/>
      <c r="F4502" s="140"/>
      <c r="G4502" s="140"/>
    </row>
    <row r="4503" spans="2:7" hidden="1">
      <c r="B4503" s="141" t="s">
        <v>11699</v>
      </c>
      <c r="C4503" s="140" t="s">
        <v>11700</v>
      </c>
      <c r="D4503" s="141" t="s">
        <v>11701</v>
      </c>
      <c r="E4503" s="140" t="s">
        <v>11702</v>
      </c>
      <c r="F4503" s="140" t="s">
        <v>6800</v>
      </c>
      <c r="G4503" s="140"/>
    </row>
    <row r="4504" spans="2:7" hidden="1">
      <c r="B4504" s="141" t="s">
        <v>11703</v>
      </c>
      <c r="C4504" s="140" t="s">
        <v>11704</v>
      </c>
      <c r="D4504" s="141" t="s">
        <v>11705</v>
      </c>
      <c r="E4504" s="140"/>
      <c r="F4504" s="140"/>
      <c r="G4504" s="140"/>
    </row>
    <row r="4505" spans="2:7" hidden="1">
      <c r="B4505" s="141" t="s">
        <v>21841</v>
      </c>
      <c r="C4505" s="140"/>
      <c r="D4505" s="141" t="s">
        <v>6133</v>
      </c>
      <c r="E4505" s="140"/>
      <c r="F4505" s="140"/>
      <c r="G4505" s="140"/>
    </row>
    <row r="4506" spans="2:7" hidden="1">
      <c r="B4506" s="141" t="s">
        <v>11706</v>
      </c>
      <c r="C4506" s="140"/>
      <c r="D4506" s="141" t="s">
        <v>11707</v>
      </c>
      <c r="E4506" s="140"/>
      <c r="F4506" s="140"/>
      <c r="G4506" s="140"/>
    </row>
    <row r="4507" spans="2:7" hidden="1">
      <c r="B4507" s="141" t="s">
        <v>11708</v>
      </c>
      <c r="C4507" s="140" t="s">
        <v>11709</v>
      </c>
      <c r="D4507" s="141" t="s">
        <v>2168</v>
      </c>
      <c r="E4507" s="140" t="s">
        <v>11710</v>
      </c>
      <c r="F4507" s="140">
        <v>5527424</v>
      </c>
      <c r="G4507" s="140"/>
    </row>
    <row r="4508" spans="2:7" hidden="1">
      <c r="B4508" s="140" t="s">
        <v>11711</v>
      </c>
      <c r="C4508" s="140"/>
      <c r="D4508" s="140" t="s">
        <v>3345</v>
      </c>
      <c r="E4508" s="142"/>
      <c r="F4508" s="142"/>
      <c r="G4508" s="140"/>
    </row>
    <row r="4509" spans="2:7" hidden="1">
      <c r="B4509" s="141" t="s">
        <v>11712</v>
      </c>
      <c r="C4509" s="140" t="s">
        <v>11713</v>
      </c>
      <c r="D4509" s="141" t="s">
        <v>11714</v>
      </c>
      <c r="E4509" s="140"/>
      <c r="F4509" s="140"/>
      <c r="G4509" s="140"/>
    </row>
    <row r="4510" spans="2:7" hidden="1">
      <c r="B4510" s="141" t="s">
        <v>20531</v>
      </c>
      <c r="C4510" s="140" t="s">
        <v>20532</v>
      </c>
      <c r="D4510" s="141" t="s">
        <v>16302</v>
      </c>
      <c r="E4510" s="140" t="s">
        <v>4994</v>
      </c>
      <c r="F4510" s="140"/>
      <c r="G4510" s="140" t="s">
        <v>20533</v>
      </c>
    </row>
    <row r="4511" spans="2:7" hidden="1">
      <c r="B4511" s="141" t="s">
        <v>11715</v>
      </c>
      <c r="C4511" s="140" t="s">
        <v>11716</v>
      </c>
      <c r="D4511" s="141" t="s">
        <v>11717</v>
      </c>
      <c r="E4511" s="140" t="s">
        <v>11718</v>
      </c>
      <c r="F4511" s="140"/>
      <c r="G4511" s="140"/>
    </row>
    <row r="4512" spans="2:7" hidden="1">
      <c r="B4512" s="141" t="s">
        <v>11719</v>
      </c>
      <c r="C4512" s="140"/>
      <c r="D4512" s="141" t="s">
        <v>11720</v>
      </c>
      <c r="E4512" s="140"/>
      <c r="F4512" s="140"/>
      <c r="G4512" s="140"/>
    </row>
    <row r="4513" spans="2:7" hidden="1">
      <c r="B4513" s="140" t="s">
        <v>11721</v>
      </c>
      <c r="C4513" s="140"/>
      <c r="D4513" s="140" t="s">
        <v>11722</v>
      </c>
      <c r="E4513" s="142"/>
      <c r="F4513" s="142"/>
      <c r="G4513" s="140"/>
    </row>
    <row r="4514" spans="2:7" hidden="1">
      <c r="B4514" s="141" t="s">
        <v>21842</v>
      </c>
      <c r="C4514" s="140"/>
      <c r="D4514" s="141" t="s">
        <v>11723</v>
      </c>
      <c r="E4514" s="140"/>
      <c r="F4514" s="140"/>
      <c r="G4514" s="140"/>
    </row>
    <row r="4515" spans="2:7" hidden="1">
      <c r="B4515" s="141" t="s">
        <v>21843</v>
      </c>
      <c r="C4515" s="140"/>
      <c r="D4515" s="141" t="s">
        <v>7359</v>
      </c>
      <c r="E4515" s="140"/>
      <c r="F4515" s="140"/>
      <c r="G4515" s="140"/>
    </row>
    <row r="4516" spans="2:7" hidden="1">
      <c r="B4516" s="141" t="s">
        <v>11724</v>
      </c>
      <c r="C4516" s="141"/>
      <c r="D4516" s="141" t="s">
        <v>11725</v>
      </c>
      <c r="E4516" s="141"/>
      <c r="F4516" s="141"/>
      <c r="G4516" s="140"/>
    </row>
    <row r="4517" spans="2:7" hidden="1">
      <c r="B4517" s="141" t="s">
        <v>11726</v>
      </c>
      <c r="C4517" s="140"/>
      <c r="D4517" s="141" t="s">
        <v>4280</v>
      </c>
      <c r="E4517" s="140"/>
      <c r="F4517" s="140"/>
      <c r="G4517" s="140"/>
    </row>
    <row r="4518" spans="2:7" hidden="1">
      <c r="B4518" s="141" t="s">
        <v>11727</v>
      </c>
      <c r="C4518" s="140"/>
      <c r="D4518" s="141"/>
      <c r="E4518" s="140" t="s">
        <v>11728</v>
      </c>
      <c r="F4518" s="140"/>
      <c r="G4518" s="140"/>
    </row>
    <row r="4519" spans="2:7" hidden="1">
      <c r="B4519" s="141" t="s">
        <v>11729</v>
      </c>
      <c r="C4519" s="140"/>
      <c r="D4519" s="141" t="s">
        <v>10672</v>
      </c>
      <c r="E4519" s="140"/>
      <c r="F4519" s="140"/>
      <c r="G4519" s="140"/>
    </row>
    <row r="4520" spans="2:7" hidden="1">
      <c r="B4520" s="140" t="s">
        <v>11730</v>
      </c>
      <c r="C4520" s="140"/>
      <c r="D4520" s="140" t="s">
        <v>11731</v>
      </c>
      <c r="E4520" s="142"/>
      <c r="F4520" s="142"/>
      <c r="G4520" s="140"/>
    </row>
    <row r="4521" spans="2:7" hidden="1">
      <c r="B4521" s="141" t="s">
        <v>11732</v>
      </c>
      <c r="C4521" s="140"/>
      <c r="D4521" s="141" t="s">
        <v>11733</v>
      </c>
      <c r="E4521" s="140"/>
      <c r="F4521" s="140"/>
      <c r="G4521" s="140"/>
    </row>
    <row r="4522" spans="2:7" hidden="1">
      <c r="B4522" s="140" t="s">
        <v>21844</v>
      </c>
      <c r="C4522" s="140"/>
      <c r="D4522" s="140" t="s">
        <v>11734</v>
      </c>
      <c r="E4522" s="142"/>
      <c r="F4522" s="142"/>
      <c r="G4522" s="140"/>
    </row>
    <row r="4523" spans="2:7" hidden="1">
      <c r="B4523" s="141" t="s">
        <v>21845</v>
      </c>
      <c r="C4523" s="140"/>
      <c r="D4523" s="141" t="s">
        <v>11735</v>
      </c>
      <c r="E4523" s="140"/>
      <c r="F4523" s="140"/>
      <c r="G4523" s="140"/>
    </row>
    <row r="4524" spans="2:7" hidden="1">
      <c r="B4524" s="141" t="s">
        <v>11736</v>
      </c>
      <c r="C4524" s="140"/>
      <c r="D4524" s="141" t="s">
        <v>11737</v>
      </c>
      <c r="E4524" s="140"/>
      <c r="F4524" s="140"/>
      <c r="G4524" s="140"/>
    </row>
    <row r="4525" spans="2:7" hidden="1">
      <c r="B4525" s="141" t="s">
        <v>21846</v>
      </c>
      <c r="C4525" s="140"/>
      <c r="D4525" s="141" t="s">
        <v>11722</v>
      </c>
      <c r="E4525" s="140"/>
      <c r="F4525" s="140"/>
      <c r="G4525" s="140"/>
    </row>
    <row r="4526" spans="2:7" hidden="1">
      <c r="B4526" s="141" t="s">
        <v>11738</v>
      </c>
      <c r="C4526" s="140"/>
      <c r="D4526" s="141" t="s">
        <v>11739</v>
      </c>
      <c r="E4526" s="140"/>
      <c r="F4526" s="140"/>
      <c r="G4526" s="140"/>
    </row>
    <row r="4527" spans="2:7" hidden="1">
      <c r="B4527" s="141" t="s">
        <v>11740</v>
      </c>
      <c r="C4527" s="140"/>
      <c r="D4527" s="141" t="s">
        <v>3524</v>
      </c>
      <c r="E4527" s="140"/>
      <c r="F4527" s="140"/>
      <c r="G4527" s="140"/>
    </row>
    <row r="4528" spans="2:7" hidden="1">
      <c r="B4528" s="140" t="s">
        <v>11741</v>
      </c>
      <c r="C4528" s="141"/>
      <c r="D4528" s="141" t="s">
        <v>3643</v>
      </c>
      <c r="E4528" s="141"/>
      <c r="F4528" s="141"/>
      <c r="G4528" s="140"/>
    </row>
    <row r="4529" spans="2:7" hidden="1">
      <c r="B4529" s="141" t="s">
        <v>11742</v>
      </c>
      <c r="C4529" s="140"/>
      <c r="D4529" s="141" t="s">
        <v>10424</v>
      </c>
      <c r="E4529" s="140"/>
      <c r="F4529" s="140"/>
      <c r="G4529" s="140"/>
    </row>
    <row r="4530" spans="2:7" hidden="1">
      <c r="B4530" s="141" t="s">
        <v>11743</v>
      </c>
      <c r="C4530" s="141"/>
      <c r="D4530" s="141" t="s">
        <v>11744</v>
      </c>
      <c r="E4530" s="141"/>
      <c r="F4530" s="140"/>
      <c r="G4530" s="140"/>
    </row>
    <row r="4531" spans="2:7" hidden="1">
      <c r="B4531" s="141" t="s">
        <v>11745</v>
      </c>
      <c r="C4531" s="140"/>
      <c r="D4531" s="141" t="s">
        <v>11746</v>
      </c>
      <c r="E4531" s="140"/>
      <c r="F4531" s="140"/>
      <c r="G4531" s="140"/>
    </row>
    <row r="4532" spans="2:7" hidden="1">
      <c r="B4532" s="141" t="s">
        <v>11747</v>
      </c>
      <c r="C4532" s="141"/>
      <c r="D4532" s="141" t="s">
        <v>11748</v>
      </c>
      <c r="E4532" s="141"/>
      <c r="F4532" s="140"/>
      <c r="G4532" s="140"/>
    </row>
    <row r="4533" spans="2:7" hidden="1">
      <c r="B4533" s="141" t="s">
        <v>11749</v>
      </c>
      <c r="C4533" s="140"/>
      <c r="D4533" s="141" t="s">
        <v>2138</v>
      </c>
      <c r="E4533" s="140"/>
      <c r="F4533" s="140"/>
      <c r="G4533" s="140"/>
    </row>
    <row r="4534" spans="2:7" hidden="1">
      <c r="B4534" s="141" t="s">
        <v>11750</v>
      </c>
      <c r="C4534" s="141"/>
      <c r="D4534" s="141" t="s">
        <v>2045</v>
      </c>
      <c r="E4534" s="141"/>
      <c r="F4534" s="140"/>
      <c r="G4534" s="140"/>
    </row>
    <row r="4535" spans="2:7" hidden="1">
      <c r="B4535" s="141" t="s">
        <v>11751</v>
      </c>
      <c r="C4535" s="140"/>
      <c r="D4535" s="141" t="s">
        <v>11752</v>
      </c>
      <c r="E4535" s="140"/>
      <c r="F4535" s="140"/>
      <c r="G4535" s="140"/>
    </row>
    <row r="4536" spans="2:7" hidden="1">
      <c r="B4536" s="140" t="s">
        <v>22129</v>
      </c>
      <c r="C4536" s="140" t="s">
        <v>11753</v>
      </c>
      <c r="D4536" s="140" t="s">
        <v>11754</v>
      </c>
      <c r="E4536" s="142"/>
      <c r="F4536" s="142"/>
      <c r="G4536" s="140"/>
    </row>
    <row r="4537" spans="2:7" hidden="1">
      <c r="B4537" s="141" t="s">
        <v>11755</v>
      </c>
      <c r="C4537" s="140"/>
      <c r="D4537" s="141" t="s">
        <v>11756</v>
      </c>
      <c r="E4537" s="140"/>
      <c r="F4537" s="140"/>
      <c r="G4537" s="140"/>
    </row>
    <row r="4538" spans="2:7" hidden="1">
      <c r="B4538" s="141" t="s">
        <v>21847</v>
      </c>
      <c r="C4538" s="140"/>
      <c r="D4538" s="141" t="s">
        <v>4933</v>
      </c>
      <c r="E4538" s="140"/>
      <c r="F4538" s="140"/>
      <c r="G4538" s="140"/>
    </row>
    <row r="4539" spans="2:7" hidden="1">
      <c r="B4539" s="141" t="s">
        <v>11757</v>
      </c>
      <c r="C4539" s="140"/>
      <c r="D4539" s="141" t="s">
        <v>11758</v>
      </c>
      <c r="E4539" s="140"/>
      <c r="F4539" s="140"/>
      <c r="G4539" s="140"/>
    </row>
    <row r="4540" spans="2:7" hidden="1">
      <c r="B4540" s="141" t="s">
        <v>11759</v>
      </c>
      <c r="C4540" s="141"/>
      <c r="D4540" s="141" t="s">
        <v>11760</v>
      </c>
      <c r="E4540" s="141"/>
      <c r="F4540" s="141" t="s">
        <v>11287</v>
      </c>
      <c r="G4540" s="140"/>
    </row>
    <row r="4541" spans="2:7" hidden="1">
      <c r="B4541" s="140" t="s">
        <v>11761</v>
      </c>
      <c r="C4541" s="140" t="s">
        <v>11762</v>
      </c>
      <c r="D4541" s="140" t="s">
        <v>11763</v>
      </c>
      <c r="E4541" s="140"/>
      <c r="F4541" s="140"/>
      <c r="G4541" s="140" t="s">
        <v>11764</v>
      </c>
    </row>
    <row r="4542" spans="2:7" hidden="1">
      <c r="B4542" s="140" t="s">
        <v>11765</v>
      </c>
      <c r="C4542" s="140"/>
      <c r="D4542" s="140" t="s">
        <v>11766</v>
      </c>
      <c r="E4542" s="142"/>
      <c r="F4542" s="142"/>
      <c r="G4542" s="140"/>
    </row>
    <row r="4543" spans="2:7" hidden="1">
      <c r="B4543" s="140" t="s">
        <v>11767</v>
      </c>
      <c r="C4543" s="140"/>
      <c r="D4543" s="140" t="s">
        <v>5015</v>
      </c>
      <c r="E4543" s="142"/>
      <c r="F4543" s="142"/>
      <c r="G4543" s="140"/>
    </row>
    <row r="4544" spans="2:7" hidden="1">
      <c r="B4544" s="140" t="s">
        <v>11768</v>
      </c>
      <c r="C4544" s="372" t="s">
        <v>11769</v>
      </c>
      <c r="D4544" s="140" t="s">
        <v>3055</v>
      </c>
      <c r="E4544" s="372" t="s">
        <v>11770</v>
      </c>
      <c r="F4544" s="372" t="s">
        <v>11771</v>
      </c>
      <c r="G4544" s="372" t="s">
        <v>11772</v>
      </c>
    </row>
    <row r="4545" spans="2:7" hidden="1">
      <c r="B4545" s="140" t="s">
        <v>11773</v>
      </c>
      <c r="C4545" s="372"/>
      <c r="D4545" s="140" t="s">
        <v>11774</v>
      </c>
      <c r="E4545" s="372"/>
      <c r="F4545" s="372"/>
      <c r="G4545" s="372"/>
    </row>
    <row r="4546" spans="2:7" hidden="1">
      <c r="B4546" s="140" t="s">
        <v>11775</v>
      </c>
      <c r="C4546" s="372"/>
      <c r="D4546" s="140" t="s">
        <v>11776</v>
      </c>
      <c r="E4546" s="372"/>
      <c r="F4546" s="372"/>
      <c r="G4546" s="372"/>
    </row>
    <row r="4547" spans="2:7" hidden="1">
      <c r="B4547" s="140" t="s">
        <v>11777</v>
      </c>
      <c r="C4547" s="372"/>
      <c r="D4547" s="140" t="s">
        <v>11778</v>
      </c>
      <c r="E4547" s="372"/>
      <c r="F4547" s="372"/>
      <c r="G4547" s="372"/>
    </row>
    <row r="4548" spans="2:7" hidden="1">
      <c r="B4548" s="140" t="s">
        <v>11779</v>
      </c>
      <c r="C4548" s="372"/>
      <c r="D4548" s="140" t="s">
        <v>11780</v>
      </c>
      <c r="E4548" s="372"/>
      <c r="F4548" s="372"/>
      <c r="G4548" s="372"/>
    </row>
    <row r="4549" spans="2:7" hidden="1">
      <c r="B4549" s="140" t="s">
        <v>11781</v>
      </c>
      <c r="C4549" s="372"/>
      <c r="D4549" s="140" t="s">
        <v>11782</v>
      </c>
      <c r="E4549" s="372"/>
      <c r="F4549" s="372"/>
      <c r="G4549" s="372"/>
    </row>
    <row r="4550" spans="2:7" hidden="1">
      <c r="B4550" s="140" t="s">
        <v>11783</v>
      </c>
      <c r="C4550" s="372"/>
      <c r="D4550" s="140" t="s">
        <v>9931</v>
      </c>
      <c r="E4550" s="372"/>
      <c r="F4550" s="372"/>
      <c r="G4550" s="372"/>
    </row>
    <row r="4551" spans="2:7" hidden="1">
      <c r="B4551" s="141" t="s">
        <v>11784</v>
      </c>
      <c r="C4551" s="140"/>
      <c r="D4551" s="141" t="s">
        <v>11785</v>
      </c>
      <c r="E4551" s="140"/>
      <c r="F4551" s="140"/>
      <c r="G4551" s="140"/>
    </row>
    <row r="4552" spans="2:7" hidden="1">
      <c r="B4552" s="140" t="s">
        <v>11786</v>
      </c>
      <c r="C4552" s="372"/>
      <c r="D4552" s="140" t="s">
        <v>11787</v>
      </c>
      <c r="E4552" s="372" t="s">
        <v>11788</v>
      </c>
      <c r="F4552" s="372" t="s">
        <v>11789</v>
      </c>
      <c r="G4552" s="372" t="s">
        <v>1472</v>
      </c>
    </row>
    <row r="4553" spans="2:7" hidden="1">
      <c r="B4553" s="140" t="s">
        <v>11790</v>
      </c>
      <c r="C4553" s="372"/>
      <c r="D4553" s="140" t="s">
        <v>3884</v>
      </c>
      <c r="E4553" s="372"/>
      <c r="F4553" s="372"/>
      <c r="G4553" s="372"/>
    </row>
    <row r="4554" spans="2:7" hidden="1">
      <c r="B4554" s="140" t="s">
        <v>11791</v>
      </c>
      <c r="C4554" s="372"/>
      <c r="D4554" s="140" t="s">
        <v>11792</v>
      </c>
      <c r="E4554" s="372"/>
      <c r="F4554" s="372"/>
      <c r="G4554" s="372"/>
    </row>
    <row r="4555" spans="2:7" hidden="1">
      <c r="B4555" s="140" t="s">
        <v>11793</v>
      </c>
      <c r="C4555" s="372"/>
      <c r="D4555" s="140" t="s">
        <v>11794</v>
      </c>
      <c r="E4555" s="372"/>
      <c r="F4555" s="372"/>
      <c r="G4555" s="372"/>
    </row>
    <row r="4556" spans="2:7" hidden="1">
      <c r="B4556" s="140" t="s">
        <v>11795</v>
      </c>
      <c r="C4556" s="372" t="s">
        <v>11796</v>
      </c>
      <c r="D4556" s="140" t="s">
        <v>11797</v>
      </c>
      <c r="E4556" s="372" t="s">
        <v>11798</v>
      </c>
      <c r="F4556" s="372"/>
      <c r="G4556" s="372"/>
    </row>
    <row r="4557" spans="2:7" hidden="1">
      <c r="B4557" s="140" t="s">
        <v>11799</v>
      </c>
      <c r="C4557" s="372"/>
      <c r="D4557" s="140" t="s">
        <v>7965</v>
      </c>
      <c r="E4557" s="372"/>
      <c r="F4557" s="372"/>
      <c r="G4557" s="372"/>
    </row>
    <row r="4558" spans="2:7" hidden="1">
      <c r="B4558" s="140" t="s">
        <v>11800</v>
      </c>
      <c r="C4558" s="372"/>
      <c r="D4558" s="140" t="s">
        <v>11801</v>
      </c>
      <c r="E4558" s="372"/>
      <c r="F4558" s="372"/>
      <c r="G4558" s="372"/>
    </row>
    <row r="4559" spans="2:7" hidden="1">
      <c r="B4559" s="140" t="s">
        <v>11802</v>
      </c>
      <c r="C4559" s="372"/>
      <c r="D4559" s="140" t="s">
        <v>11803</v>
      </c>
      <c r="E4559" s="372"/>
      <c r="F4559" s="372"/>
      <c r="G4559" s="372"/>
    </row>
    <row r="4560" spans="2:7" hidden="1">
      <c r="B4560" s="140" t="s">
        <v>11804</v>
      </c>
      <c r="C4560" s="372"/>
      <c r="D4560" s="140" t="s">
        <v>11805</v>
      </c>
      <c r="E4560" s="372"/>
      <c r="F4560" s="372"/>
      <c r="G4560" s="372"/>
    </row>
    <row r="4561" spans="2:7" hidden="1">
      <c r="B4561" s="140" t="s">
        <v>11806</v>
      </c>
      <c r="C4561" s="372"/>
      <c r="D4561" s="140" t="s">
        <v>11807</v>
      </c>
      <c r="E4561" s="372"/>
      <c r="F4561" s="372"/>
      <c r="G4561" s="372"/>
    </row>
    <row r="4562" spans="2:7" hidden="1">
      <c r="B4562" s="140" t="s">
        <v>11808</v>
      </c>
      <c r="C4562" s="372"/>
      <c r="D4562" s="140" t="s">
        <v>11809</v>
      </c>
      <c r="E4562" s="372"/>
      <c r="F4562" s="372"/>
      <c r="G4562" s="372"/>
    </row>
    <row r="4563" spans="2:7" hidden="1">
      <c r="B4563" s="140" t="s">
        <v>11810</v>
      </c>
      <c r="C4563" s="372"/>
      <c r="D4563" s="140" t="s">
        <v>11811</v>
      </c>
      <c r="E4563" s="372"/>
      <c r="F4563" s="372"/>
      <c r="G4563" s="372"/>
    </row>
    <row r="4564" spans="2:7" hidden="1">
      <c r="B4564" s="140" t="s">
        <v>11812</v>
      </c>
      <c r="C4564" s="372"/>
      <c r="D4564" s="140" t="s">
        <v>8652</v>
      </c>
      <c r="E4564" s="372"/>
      <c r="F4564" s="372"/>
      <c r="G4564" s="372"/>
    </row>
    <row r="4565" spans="2:7" hidden="1">
      <c r="B4565" s="140" t="s">
        <v>11813</v>
      </c>
      <c r="C4565" s="372" t="s">
        <v>11814</v>
      </c>
      <c r="D4565" s="140" t="s">
        <v>11815</v>
      </c>
      <c r="E4565" s="372"/>
      <c r="F4565" s="372"/>
      <c r="G4565" s="372" t="s">
        <v>11816</v>
      </c>
    </row>
    <row r="4566" spans="2:7" hidden="1">
      <c r="B4566" s="140" t="s">
        <v>11817</v>
      </c>
      <c r="C4566" s="372"/>
      <c r="D4566" s="140" t="s">
        <v>11818</v>
      </c>
      <c r="E4566" s="372"/>
      <c r="F4566" s="372"/>
      <c r="G4566" s="372"/>
    </row>
    <row r="4567" spans="2:7" hidden="1">
      <c r="B4567" s="140" t="s">
        <v>11819</v>
      </c>
      <c r="C4567" s="372"/>
      <c r="D4567" s="140" t="s">
        <v>11820</v>
      </c>
      <c r="E4567" s="372"/>
      <c r="F4567" s="372"/>
      <c r="G4567" s="372"/>
    </row>
    <row r="4568" spans="2:7" hidden="1">
      <c r="B4568" s="140" t="s">
        <v>11821</v>
      </c>
      <c r="C4568" s="140"/>
      <c r="D4568" s="140" t="s">
        <v>11822</v>
      </c>
      <c r="E4568" s="142"/>
      <c r="F4568" s="142"/>
      <c r="G4568" s="140"/>
    </row>
    <row r="4569" spans="2:7" hidden="1">
      <c r="B4569" s="140" t="s">
        <v>11823</v>
      </c>
      <c r="C4569" s="372"/>
      <c r="D4569" s="140" t="s">
        <v>11824</v>
      </c>
      <c r="E4569" s="372"/>
      <c r="F4569" s="372"/>
      <c r="G4569" s="372"/>
    </row>
    <row r="4570" spans="2:7" hidden="1">
      <c r="B4570" s="140" t="s">
        <v>11825</v>
      </c>
      <c r="C4570" s="372"/>
      <c r="D4570" s="140" t="s">
        <v>7486</v>
      </c>
      <c r="E4570" s="372"/>
      <c r="F4570" s="372"/>
      <c r="G4570" s="372"/>
    </row>
    <row r="4571" spans="2:7" hidden="1">
      <c r="B4571" s="140" t="s">
        <v>21848</v>
      </c>
      <c r="C4571" s="372"/>
      <c r="D4571" s="140" t="s">
        <v>11826</v>
      </c>
      <c r="E4571" s="372"/>
      <c r="F4571" s="372"/>
      <c r="G4571" s="372"/>
    </row>
    <row r="4572" spans="2:7" hidden="1">
      <c r="B4572" s="140" t="s">
        <v>11827</v>
      </c>
      <c r="C4572" s="372"/>
      <c r="D4572" s="140" t="s">
        <v>4426</v>
      </c>
      <c r="E4572" s="372"/>
      <c r="F4572" s="372"/>
      <c r="G4572" s="372"/>
    </row>
    <row r="4573" spans="2:7" hidden="1">
      <c r="B4573" s="140" t="s">
        <v>11828</v>
      </c>
      <c r="C4573" s="372"/>
      <c r="D4573" s="140" t="s">
        <v>11829</v>
      </c>
      <c r="E4573" s="372"/>
      <c r="F4573" s="372"/>
      <c r="G4573" s="372"/>
    </row>
    <row r="4574" spans="2:7" hidden="1">
      <c r="B4574" s="140" t="s">
        <v>11830</v>
      </c>
      <c r="C4574" s="372" t="s">
        <v>11831</v>
      </c>
      <c r="D4574" s="140" t="s">
        <v>11832</v>
      </c>
      <c r="E4574" s="372" t="s">
        <v>11833</v>
      </c>
      <c r="F4574" s="372" t="s">
        <v>11834</v>
      </c>
      <c r="G4574" s="372"/>
    </row>
    <row r="4575" spans="2:7" hidden="1">
      <c r="B4575" s="140" t="s">
        <v>11835</v>
      </c>
      <c r="C4575" s="372"/>
      <c r="D4575" s="140" t="s">
        <v>11681</v>
      </c>
      <c r="E4575" s="372"/>
      <c r="F4575" s="372"/>
      <c r="G4575" s="372"/>
    </row>
    <row r="4576" spans="2:7" hidden="1">
      <c r="B4576" s="140" t="s">
        <v>11836</v>
      </c>
      <c r="C4576" s="372"/>
      <c r="D4576" s="140" t="s">
        <v>2661</v>
      </c>
      <c r="E4576" s="372"/>
      <c r="F4576" s="372"/>
      <c r="G4576" s="372"/>
    </row>
    <row r="4577" spans="2:7" hidden="1">
      <c r="B4577" s="140" t="s">
        <v>11837</v>
      </c>
      <c r="C4577" s="372"/>
      <c r="D4577" s="140" t="s">
        <v>11838</v>
      </c>
      <c r="E4577" s="372"/>
      <c r="F4577" s="372"/>
      <c r="G4577" s="372"/>
    </row>
    <row r="4578" spans="2:7" hidden="1">
      <c r="B4578" s="140" t="s">
        <v>11839</v>
      </c>
      <c r="C4578" s="372"/>
      <c r="D4578" s="140" t="s">
        <v>11840</v>
      </c>
      <c r="E4578" s="372"/>
      <c r="F4578" s="372"/>
      <c r="G4578" s="372"/>
    </row>
    <row r="4579" spans="2:7" hidden="1">
      <c r="B4579" s="140" t="s">
        <v>11841</v>
      </c>
      <c r="C4579" s="372"/>
      <c r="D4579" s="140" t="s">
        <v>11842</v>
      </c>
      <c r="E4579" s="372"/>
      <c r="F4579" s="372"/>
      <c r="G4579" s="372"/>
    </row>
    <row r="4580" spans="2:7" hidden="1">
      <c r="B4580" s="140" t="s">
        <v>11843</v>
      </c>
      <c r="C4580" s="372" t="s">
        <v>11844</v>
      </c>
      <c r="D4580" s="140" t="s">
        <v>11845</v>
      </c>
      <c r="E4580" s="372"/>
      <c r="F4580" s="372"/>
      <c r="G4580" s="372" t="s">
        <v>11846</v>
      </c>
    </row>
    <row r="4581" spans="2:7" hidden="1">
      <c r="B4581" s="140" t="s">
        <v>11847</v>
      </c>
      <c r="C4581" s="372"/>
      <c r="D4581" s="140" t="s">
        <v>11848</v>
      </c>
      <c r="E4581" s="372"/>
      <c r="F4581" s="372"/>
      <c r="G4581" s="372"/>
    </row>
    <row r="4582" spans="2:7" hidden="1">
      <c r="B4582" s="140" t="s">
        <v>11849</v>
      </c>
      <c r="C4582" s="372" t="s">
        <v>11850</v>
      </c>
      <c r="D4582" s="140" t="s">
        <v>11851</v>
      </c>
      <c r="E4582" s="372" t="s">
        <v>11852</v>
      </c>
      <c r="F4582" s="372" t="s">
        <v>11853</v>
      </c>
      <c r="G4582" s="372"/>
    </row>
    <row r="4583" spans="2:7" hidden="1">
      <c r="B4583" s="140" t="s">
        <v>11854</v>
      </c>
      <c r="C4583" s="372"/>
      <c r="D4583" s="140" t="s">
        <v>11855</v>
      </c>
      <c r="E4583" s="372"/>
      <c r="F4583" s="372"/>
      <c r="G4583" s="372"/>
    </row>
    <row r="4584" spans="2:7" hidden="1">
      <c r="B4584" s="140" t="s">
        <v>11856</v>
      </c>
      <c r="C4584" s="372" t="s">
        <v>11857</v>
      </c>
      <c r="D4584" s="140" t="s">
        <v>2361</v>
      </c>
      <c r="E4584" s="372" t="s">
        <v>11858</v>
      </c>
      <c r="F4584" s="372"/>
      <c r="G4584" s="372"/>
    </row>
    <row r="4585" spans="2:7" hidden="1">
      <c r="B4585" s="140" t="s">
        <v>11859</v>
      </c>
      <c r="C4585" s="372"/>
      <c r="D4585" s="140" t="s">
        <v>2924</v>
      </c>
      <c r="E4585" s="372"/>
      <c r="F4585" s="372"/>
      <c r="G4585" s="372"/>
    </row>
    <row r="4586" spans="2:7" hidden="1">
      <c r="B4586" s="140" t="s">
        <v>11860</v>
      </c>
      <c r="C4586" s="372" t="s">
        <v>11861</v>
      </c>
      <c r="D4586" s="140" t="s">
        <v>11862</v>
      </c>
      <c r="E4586" s="372" t="s">
        <v>11863</v>
      </c>
      <c r="F4586" s="372" t="s">
        <v>11864</v>
      </c>
      <c r="G4586" s="372"/>
    </row>
    <row r="4587" spans="2:7" hidden="1">
      <c r="B4587" s="140" t="s">
        <v>20539</v>
      </c>
      <c r="C4587" s="372" t="s">
        <v>11869</v>
      </c>
      <c r="D4587" s="140" t="s">
        <v>11870</v>
      </c>
      <c r="E4587" s="372" t="s">
        <v>11871</v>
      </c>
      <c r="F4587" s="372" t="s">
        <v>11872</v>
      </c>
      <c r="G4587" s="372" t="s">
        <v>11873</v>
      </c>
    </row>
    <row r="4588" spans="2:7" hidden="1">
      <c r="B4588" s="140" t="s">
        <v>20540</v>
      </c>
      <c r="C4588" s="372" t="s">
        <v>11874</v>
      </c>
      <c r="D4588" s="140" t="s">
        <v>11875</v>
      </c>
      <c r="E4588" s="372" t="s">
        <v>11876</v>
      </c>
      <c r="F4588" s="372" t="s">
        <v>11877</v>
      </c>
      <c r="G4588" s="372" t="s">
        <v>11878</v>
      </c>
    </row>
    <row r="4589" spans="2:7" hidden="1">
      <c r="B4589" s="140" t="s">
        <v>20541</v>
      </c>
      <c r="C4589" s="372" t="s">
        <v>11879</v>
      </c>
      <c r="D4589" s="140" t="s">
        <v>11880</v>
      </c>
      <c r="E4589" s="372" t="s">
        <v>11881</v>
      </c>
      <c r="F4589" s="372" t="s">
        <v>11882</v>
      </c>
      <c r="G4589" s="372" t="s">
        <v>11883</v>
      </c>
    </row>
    <row r="4590" spans="2:7" hidden="1">
      <c r="B4590" s="140" t="s">
        <v>20538</v>
      </c>
      <c r="C4590" s="372" t="s">
        <v>11865</v>
      </c>
      <c r="D4590" s="140" t="s">
        <v>11866</v>
      </c>
      <c r="E4590" s="372" t="s">
        <v>11867</v>
      </c>
      <c r="F4590" s="372" t="s">
        <v>11868</v>
      </c>
      <c r="G4590" s="372"/>
    </row>
    <row r="4591" spans="2:7" hidden="1">
      <c r="B4591" s="140" t="s">
        <v>20542</v>
      </c>
      <c r="C4591" s="372" t="s">
        <v>11884</v>
      </c>
      <c r="D4591" s="140" t="s">
        <v>3058</v>
      </c>
      <c r="E4591" s="372" t="s">
        <v>11885</v>
      </c>
      <c r="F4591" s="372" t="s">
        <v>11886</v>
      </c>
      <c r="G4591" s="372" t="s">
        <v>11887</v>
      </c>
    </row>
    <row r="4592" spans="2:7" hidden="1">
      <c r="B4592" s="140" t="s">
        <v>20543</v>
      </c>
      <c r="C4592" s="372" t="s">
        <v>11888</v>
      </c>
      <c r="D4592" s="140" t="s">
        <v>7009</v>
      </c>
      <c r="E4592" s="372" t="s">
        <v>11889</v>
      </c>
      <c r="F4592" s="372" t="s">
        <v>11890</v>
      </c>
      <c r="G4592" s="372" t="s">
        <v>11891</v>
      </c>
    </row>
    <row r="4593" spans="2:7" hidden="1">
      <c r="B4593" s="140" t="s">
        <v>20544</v>
      </c>
      <c r="C4593" s="372" t="s">
        <v>11892</v>
      </c>
      <c r="D4593" s="140" t="s">
        <v>4400</v>
      </c>
      <c r="E4593" s="372" t="s">
        <v>11893</v>
      </c>
      <c r="F4593" s="372" t="s">
        <v>11894</v>
      </c>
      <c r="G4593" s="372" t="s">
        <v>11895</v>
      </c>
    </row>
    <row r="4594" spans="2:7" hidden="1">
      <c r="B4594" s="140" t="s">
        <v>20545</v>
      </c>
      <c r="C4594" s="372" t="s">
        <v>11896</v>
      </c>
      <c r="D4594" s="140" t="s">
        <v>1701</v>
      </c>
      <c r="E4594" s="372" t="s">
        <v>11897</v>
      </c>
      <c r="F4594" s="372" t="s">
        <v>11898</v>
      </c>
      <c r="G4594" s="372" t="s">
        <v>11899</v>
      </c>
    </row>
    <row r="4595" spans="2:7" hidden="1">
      <c r="B4595" s="140" t="s">
        <v>20546</v>
      </c>
      <c r="C4595" s="372" t="s">
        <v>11900</v>
      </c>
      <c r="D4595" s="140" t="s">
        <v>11901</v>
      </c>
      <c r="E4595" s="372" t="s">
        <v>11902</v>
      </c>
      <c r="F4595" s="372" t="s">
        <v>11903</v>
      </c>
      <c r="G4595" s="372" t="s">
        <v>11904</v>
      </c>
    </row>
    <row r="4596" spans="2:7" hidden="1">
      <c r="B4596" s="140" t="s">
        <v>20547</v>
      </c>
      <c r="C4596" s="372" t="s">
        <v>11905</v>
      </c>
      <c r="D4596" s="140" t="s">
        <v>3293</v>
      </c>
      <c r="E4596" s="372" t="s">
        <v>11906</v>
      </c>
      <c r="F4596" s="372" t="s">
        <v>11907</v>
      </c>
      <c r="G4596" s="372" t="s">
        <v>11908</v>
      </c>
    </row>
    <row r="4597" spans="2:7" hidden="1">
      <c r="B4597" s="140" t="s">
        <v>20548</v>
      </c>
      <c r="C4597" s="372" t="s">
        <v>11909</v>
      </c>
      <c r="D4597" s="140" t="s">
        <v>11910</v>
      </c>
      <c r="E4597" s="372" t="s">
        <v>11911</v>
      </c>
      <c r="F4597" s="372" t="s">
        <v>11912</v>
      </c>
      <c r="G4597" s="372" t="s">
        <v>11913</v>
      </c>
    </row>
    <row r="4598" spans="2:7" hidden="1">
      <c r="B4598" s="140" t="s">
        <v>20549</v>
      </c>
      <c r="C4598" s="372" t="s">
        <v>11914</v>
      </c>
      <c r="D4598" s="140" t="s">
        <v>11915</v>
      </c>
      <c r="E4598" s="372" t="s">
        <v>11916</v>
      </c>
      <c r="F4598" s="372" t="s">
        <v>11917</v>
      </c>
      <c r="G4598" s="372" t="s">
        <v>11918</v>
      </c>
    </row>
    <row r="4599" spans="2:7" hidden="1">
      <c r="B4599" s="140" t="s">
        <v>20550</v>
      </c>
      <c r="C4599" s="372" t="s">
        <v>11919</v>
      </c>
      <c r="D4599" s="140" t="s">
        <v>11920</v>
      </c>
      <c r="E4599" s="372" t="s">
        <v>11921</v>
      </c>
      <c r="F4599" s="372" t="s">
        <v>11922</v>
      </c>
      <c r="G4599" s="372" t="s">
        <v>11923</v>
      </c>
    </row>
    <row r="4600" spans="2:7" hidden="1">
      <c r="B4600" s="140" t="s">
        <v>20551</v>
      </c>
      <c r="C4600" s="140" t="s">
        <v>11924</v>
      </c>
      <c r="D4600" s="140" t="s">
        <v>11925</v>
      </c>
      <c r="E4600" s="142" t="s">
        <v>11926</v>
      </c>
      <c r="F4600" s="142" t="s">
        <v>11927</v>
      </c>
      <c r="G4600" s="140" t="s">
        <v>11928</v>
      </c>
    </row>
    <row r="4601" spans="2:7" hidden="1">
      <c r="B4601" s="140" t="s">
        <v>20552</v>
      </c>
      <c r="C4601" s="372" t="s">
        <v>11929</v>
      </c>
      <c r="D4601" s="140" t="s">
        <v>2612</v>
      </c>
      <c r="E4601" s="372" t="s">
        <v>11930</v>
      </c>
      <c r="F4601" s="372" t="s">
        <v>11931</v>
      </c>
      <c r="G4601" s="372"/>
    </row>
    <row r="4602" spans="2:7" hidden="1">
      <c r="B4602" s="140" t="s">
        <v>20553</v>
      </c>
      <c r="C4602" s="372" t="s">
        <v>11932</v>
      </c>
      <c r="D4602" s="140" t="s">
        <v>11933</v>
      </c>
      <c r="E4602" s="372" t="s">
        <v>11934</v>
      </c>
      <c r="F4602" s="372" t="s">
        <v>11935</v>
      </c>
      <c r="G4602" s="372" t="s">
        <v>11936</v>
      </c>
    </row>
    <row r="4603" spans="2:7" hidden="1">
      <c r="B4603" s="140" t="s">
        <v>20554</v>
      </c>
      <c r="C4603" s="372" t="s">
        <v>11937</v>
      </c>
      <c r="D4603" s="140" t="s">
        <v>11938</v>
      </c>
      <c r="E4603" s="372" t="s">
        <v>11939</v>
      </c>
      <c r="F4603" s="372" t="s">
        <v>11940</v>
      </c>
      <c r="G4603" s="372" t="s">
        <v>11941</v>
      </c>
    </row>
    <row r="4604" spans="2:7" hidden="1">
      <c r="B4604" s="140" t="s">
        <v>20555</v>
      </c>
      <c r="C4604" s="372" t="s">
        <v>11942</v>
      </c>
      <c r="D4604" s="140" t="s">
        <v>3058</v>
      </c>
      <c r="E4604" s="372" t="s">
        <v>11943</v>
      </c>
      <c r="F4604" s="372" t="s">
        <v>11944</v>
      </c>
      <c r="G4604" s="372" t="s">
        <v>11945</v>
      </c>
    </row>
    <row r="4605" spans="2:7" hidden="1">
      <c r="B4605" s="140" t="s">
        <v>20556</v>
      </c>
      <c r="C4605" s="372" t="s">
        <v>11946</v>
      </c>
      <c r="D4605" s="140" t="s">
        <v>7311</v>
      </c>
      <c r="E4605" s="372" t="s">
        <v>11947</v>
      </c>
      <c r="F4605" s="372" t="s">
        <v>11948</v>
      </c>
      <c r="G4605" s="372" t="s">
        <v>11949</v>
      </c>
    </row>
    <row r="4606" spans="2:7" hidden="1">
      <c r="B4606" s="140" t="s">
        <v>20557</v>
      </c>
      <c r="C4606" s="372" t="s">
        <v>11950</v>
      </c>
      <c r="D4606" s="140" t="s">
        <v>11951</v>
      </c>
      <c r="E4606" s="372" t="s">
        <v>11952</v>
      </c>
      <c r="F4606" s="372" t="s">
        <v>11953</v>
      </c>
      <c r="G4606" s="372" t="s">
        <v>11954</v>
      </c>
    </row>
    <row r="4607" spans="2:7" hidden="1">
      <c r="B4607" s="140" t="s">
        <v>20558</v>
      </c>
      <c r="C4607" s="372" t="s">
        <v>11955</v>
      </c>
      <c r="D4607" s="140" t="s">
        <v>11956</v>
      </c>
      <c r="E4607" s="372" t="s">
        <v>11957</v>
      </c>
      <c r="F4607" s="372" t="s">
        <v>11958</v>
      </c>
      <c r="G4607" s="372" t="s">
        <v>11959</v>
      </c>
    </row>
    <row r="4608" spans="2:7" hidden="1">
      <c r="B4608" s="140" t="s">
        <v>20559</v>
      </c>
      <c r="C4608" s="372" t="s">
        <v>11960</v>
      </c>
      <c r="D4608" s="140" t="s">
        <v>11961</v>
      </c>
      <c r="E4608" s="372" t="s">
        <v>11962</v>
      </c>
      <c r="F4608" s="372" t="s">
        <v>11963</v>
      </c>
      <c r="G4608" s="372" t="s">
        <v>11964</v>
      </c>
    </row>
    <row r="4609" spans="2:7" hidden="1">
      <c r="B4609" s="140" t="s">
        <v>20560</v>
      </c>
      <c r="C4609" s="372" t="s">
        <v>11965</v>
      </c>
      <c r="D4609" s="140" t="s">
        <v>6552</v>
      </c>
      <c r="E4609" s="372" t="s">
        <v>11966</v>
      </c>
      <c r="F4609" s="372" t="s">
        <v>11967</v>
      </c>
      <c r="G4609" s="372" t="s">
        <v>11968</v>
      </c>
    </row>
    <row r="4610" spans="2:7" hidden="1">
      <c r="B4610" s="140" t="s">
        <v>20561</v>
      </c>
      <c r="C4610" s="372" t="s">
        <v>11969</v>
      </c>
      <c r="D4610" s="140" t="s">
        <v>11970</v>
      </c>
      <c r="E4610" s="372" t="s">
        <v>11971</v>
      </c>
      <c r="F4610" s="372" t="s">
        <v>11972</v>
      </c>
      <c r="G4610" s="372" t="s">
        <v>11973</v>
      </c>
    </row>
    <row r="4611" spans="2:7" hidden="1">
      <c r="B4611" s="140" t="s">
        <v>20562</v>
      </c>
      <c r="C4611" s="372" t="s">
        <v>11974</v>
      </c>
      <c r="D4611" s="140" t="s">
        <v>11975</v>
      </c>
      <c r="E4611" s="372" t="s">
        <v>11976</v>
      </c>
      <c r="F4611" s="372" t="s">
        <v>11977</v>
      </c>
      <c r="G4611" s="372" t="s">
        <v>11978</v>
      </c>
    </row>
    <row r="4612" spans="2:7" hidden="1">
      <c r="B4612" s="140" t="s">
        <v>20563</v>
      </c>
      <c r="C4612" s="372" t="s">
        <v>11979</v>
      </c>
      <c r="D4612" s="140" t="s">
        <v>11980</v>
      </c>
      <c r="E4612" s="372" t="s">
        <v>11981</v>
      </c>
      <c r="F4612" s="372" t="s">
        <v>11982</v>
      </c>
      <c r="G4612" s="372" t="s">
        <v>11983</v>
      </c>
    </row>
    <row r="4613" spans="2:7" hidden="1">
      <c r="B4613" s="140" t="s">
        <v>20564</v>
      </c>
      <c r="C4613" s="372" t="s">
        <v>11984</v>
      </c>
      <c r="D4613" s="140" t="s">
        <v>11985</v>
      </c>
      <c r="E4613" s="372" t="s">
        <v>11986</v>
      </c>
      <c r="F4613" s="372" t="s">
        <v>11987</v>
      </c>
      <c r="G4613" s="372" t="s">
        <v>11988</v>
      </c>
    </row>
    <row r="4614" spans="2:7" hidden="1">
      <c r="B4614" s="140" t="s">
        <v>20565</v>
      </c>
      <c r="C4614" s="372" t="s">
        <v>11989</v>
      </c>
      <c r="D4614" s="140" t="s">
        <v>11990</v>
      </c>
      <c r="E4614" s="372" t="s">
        <v>11991</v>
      </c>
      <c r="F4614" s="372" t="s">
        <v>11992</v>
      </c>
      <c r="G4614" s="372" t="s">
        <v>11993</v>
      </c>
    </row>
    <row r="4615" spans="2:7" hidden="1">
      <c r="B4615" s="140" t="s">
        <v>20566</v>
      </c>
      <c r="C4615" s="372" t="s">
        <v>11994</v>
      </c>
      <c r="D4615" s="140" t="s">
        <v>11995</v>
      </c>
      <c r="E4615" s="372" t="s">
        <v>11996</v>
      </c>
      <c r="F4615" s="372" t="s">
        <v>11997</v>
      </c>
      <c r="G4615" s="372" t="s">
        <v>11998</v>
      </c>
    </row>
    <row r="4616" spans="2:7" hidden="1">
      <c r="B4616" s="140" t="s">
        <v>20567</v>
      </c>
      <c r="C4616" s="372" t="s">
        <v>11999</v>
      </c>
      <c r="D4616" s="140" t="s">
        <v>12000</v>
      </c>
      <c r="E4616" s="372" t="s">
        <v>12001</v>
      </c>
      <c r="F4616" s="372" t="s">
        <v>12002</v>
      </c>
      <c r="G4616" s="372" t="s">
        <v>11873</v>
      </c>
    </row>
    <row r="4617" spans="2:7" hidden="1">
      <c r="B4617" s="140" t="s">
        <v>20568</v>
      </c>
      <c r="C4617" s="372" t="s">
        <v>12003</v>
      </c>
      <c r="D4617" s="140" t="s">
        <v>12004</v>
      </c>
      <c r="E4617" s="372" t="s">
        <v>12005</v>
      </c>
      <c r="F4617" s="372" t="s">
        <v>12006</v>
      </c>
      <c r="G4617" s="372" t="s">
        <v>12007</v>
      </c>
    </row>
    <row r="4618" spans="2:7" hidden="1">
      <c r="B4618" s="140" t="s">
        <v>20569</v>
      </c>
      <c r="C4618" s="372" t="s">
        <v>12008</v>
      </c>
      <c r="D4618" s="140" t="s">
        <v>12009</v>
      </c>
      <c r="E4618" s="372" t="s">
        <v>12010</v>
      </c>
      <c r="F4618" s="372" t="s">
        <v>12011</v>
      </c>
      <c r="G4618" s="372" t="s">
        <v>12012</v>
      </c>
    </row>
    <row r="4619" spans="2:7" hidden="1">
      <c r="B4619" s="140" t="s">
        <v>20570</v>
      </c>
      <c r="C4619" s="372" t="s">
        <v>12013</v>
      </c>
      <c r="D4619" s="140" t="s">
        <v>12014</v>
      </c>
      <c r="E4619" s="372" t="s">
        <v>12015</v>
      </c>
      <c r="F4619" s="372" t="s">
        <v>12016</v>
      </c>
      <c r="G4619" s="372" t="s">
        <v>12017</v>
      </c>
    </row>
    <row r="4620" spans="2:7" hidden="1">
      <c r="B4620" s="140" t="s">
        <v>20571</v>
      </c>
      <c r="C4620" s="372" t="s">
        <v>12018</v>
      </c>
      <c r="D4620" s="140" t="s">
        <v>12019</v>
      </c>
      <c r="E4620" s="372" t="s">
        <v>12020</v>
      </c>
      <c r="F4620" s="372" t="s">
        <v>12021</v>
      </c>
      <c r="G4620" s="372" t="s">
        <v>12022</v>
      </c>
    </row>
    <row r="4621" spans="2:7" hidden="1">
      <c r="B4621" s="140" t="s">
        <v>20572</v>
      </c>
      <c r="C4621" s="372" t="s">
        <v>12023</v>
      </c>
      <c r="D4621" s="140" t="s">
        <v>12024</v>
      </c>
      <c r="E4621" s="372" t="s">
        <v>12025</v>
      </c>
      <c r="F4621" s="372" t="s">
        <v>12026</v>
      </c>
      <c r="G4621" s="372" t="s">
        <v>12027</v>
      </c>
    </row>
    <row r="4622" spans="2:7" hidden="1">
      <c r="B4622" s="140" t="s">
        <v>20573</v>
      </c>
      <c r="C4622" s="372" t="s">
        <v>12028</v>
      </c>
      <c r="D4622" s="140" t="s">
        <v>12029</v>
      </c>
      <c r="E4622" s="372" t="s">
        <v>12030</v>
      </c>
      <c r="F4622" s="372" t="s">
        <v>12031</v>
      </c>
      <c r="G4622" s="372" t="s">
        <v>12032</v>
      </c>
    </row>
    <row r="4623" spans="2:7" hidden="1">
      <c r="B4623" s="140" t="s">
        <v>20574</v>
      </c>
      <c r="C4623" s="372" t="s">
        <v>12033</v>
      </c>
      <c r="D4623" s="140" t="s">
        <v>12034</v>
      </c>
      <c r="E4623" s="372" t="s">
        <v>12035</v>
      </c>
      <c r="F4623" s="372" t="s">
        <v>12036</v>
      </c>
      <c r="G4623" s="372" t="s">
        <v>12037</v>
      </c>
    </row>
    <row r="4624" spans="2:7" hidden="1">
      <c r="B4624" s="140" t="s">
        <v>20575</v>
      </c>
      <c r="C4624" s="372" t="s">
        <v>12038</v>
      </c>
      <c r="D4624" s="140" t="s">
        <v>12039</v>
      </c>
      <c r="E4624" s="372" t="s">
        <v>12040</v>
      </c>
      <c r="F4624" s="372" t="s">
        <v>12041</v>
      </c>
      <c r="G4624" s="372" t="s">
        <v>12042</v>
      </c>
    </row>
    <row r="4625" spans="2:7" hidden="1">
      <c r="B4625" s="140" t="s">
        <v>20576</v>
      </c>
      <c r="C4625" s="140" t="s">
        <v>12043</v>
      </c>
      <c r="D4625" s="140" t="s">
        <v>12044</v>
      </c>
      <c r="E4625" s="142" t="s">
        <v>12045</v>
      </c>
      <c r="F4625" s="142" t="s">
        <v>12046</v>
      </c>
      <c r="G4625" s="140" t="s">
        <v>12047</v>
      </c>
    </row>
    <row r="4626" spans="2:7" hidden="1">
      <c r="B4626" s="140" t="s">
        <v>20577</v>
      </c>
      <c r="C4626" s="372" t="s">
        <v>12048</v>
      </c>
      <c r="D4626" s="140" t="s">
        <v>12049</v>
      </c>
      <c r="E4626" s="372" t="s">
        <v>12050</v>
      </c>
      <c r="F4626" s="372" t="s">
        <v>12051</v>
      </c>
      <c r="G4626" s="372" t="s">
        <v>12052</v>
      </c>
    </row>
    <row r="4627" spans="2:7" hidden="1">
      <c r="B4627" s="140" t="s">
        <v>20578</v>
      </c>
      <c r="C4627" s="372" t="s">
        <v>12053</v>
      </c>
      <c r="D4627" s="140" t="s">
        <v>12054</v>
      </c>
      <c r="E4627" s="372" t="s">
        <v>12055</v>
      </c>
      <c r="F4627" s="372" t="s">
        <v>12056</v>
      </c>
      <c r="G4627" s="372" t="s">
        <v>12057</v>
      </c>
    </row>
    <row r="4628" spans="2:7" hidden="1">
      <c r="B4628" s="140" t="s">
        <v>20579</v>
      </c>
      <c r="C4628" s="372" t="s">
        <v>12058</v>
      </c>
      <c r="D4628" s="140" t="s">
        <v>12059</v>
      </c>
      <c r="E4628" s="372" t="s">
        <v>12060</v>
      </c>
      <c r="F4628" s="372" t="s">
        <v>12061</v>
      </c>
      <c r="G4628" s="372" t="s">
        <v>12062</v>
      </c>
    </row>
    <row r="4629" spans="2:7" hidden="1">
      <c r="B4629" s="140" t="s">
        <v>20580</v>
      </c>
      <c r="C4629" s="372" t="s">
        <v>12063</v>
      </c>
      <c r="D4629" s="140" t="s">
        <v>12064</v>
      </c>
      <c r="E4629" s="372" t="s">
        <v>12065</v>
      </c>
      <c r="F4629" s="372" t="s">
        <v>12066</v>
      </c>
      <c r="G4629" s="372" t="s">
        <v>12067</v>
      </c>
    </row>
    <row r="4630" spans="2:7" hidden="1">
      <c r="B4630" s="140" t="s">
        <v>20581</v>
      </c>
      <c r="C4630" s="372" t="s">
        <v>12068</v>
      </c>
      <c r="D4630" s="140" t="s">
        <v>12069</v>
      </c>
      <c r="E4630" s="372" t="s">
        <v>12070</v>
      </c>
      <c r="F4630" s="372" t="s">
        <v>12071</v>
      </c>
      <c r="G4630" s="372" t="s">
        <v>12072</v>
      </c>
    </row>
    <row r="4631" spans="2:7" hidden="1">
      <c r="B4631" s="140" t="s">
        <v>20582</v>
      </c>
      <c r="C4631" s="372" t="s">
        <v>12073</v>
      </c>
      <c r="D4631" s="140" t="s">
        <v>12074</v>
      </c>
      <c r="E4631" s="372" t="s">
        <v>12075</v>
      </c>
      <c r="F4631" s="372" t="s">
        <v>12076</v>
      </c>
      <c r="G4631" s="372" t="s">
        <v>12077</v>
      </c>
    </row>
    <row r="4632" spans="2:7" hidden="1">
      <c r="B4632" s="140" t="s">
        <v>20583</v>
      </c>
      <c r="C4632" s="372" t="s">
        <v>12078</v>
      </c>
      <c r="D4632" s="140" t="s">
        <v>12079</v>
      </c>
      <c r="E4632" s="372" t="s">
        <v>12080</v>
      </c>
      <c r="F4632" s="372" t="s">
        <v>12081</v>
      </c>
      <c r="G4632" s="372" t="s">
        <v>12072</v>
      </c>
    </row>
    <row r="4633" spans="2:7" hidden="1">
      <c r="B4633" s="140" t="s">
        <v>20584</v>
      </c>
      <c r="C4633" s="372" t="s">
        <v>12082</v>
      </c>
      <c r="D4633" s="140" t="s">
        <v>12083</v>
      </c>
      <c r="E4633" s="372" t="s">
        <v>12084</v>
      </c>
      <c r="F4633" s="372" t="s">
        <v>12085</v>
      </c>
      <c r="G4633" s="372" t="s">
        <v>12086</v>
      </c>
    </row>
    <row r="4634" spans="2:7" hidden="1">
      <c r="B4634" s="140" t="s">
        <v>20585</v>
      </c>
      <c r="C4634" s="372" t="s">
        <v>12087</v>
      </c>
      <c r="D4634" s="140" t="s">
        <v>12088</v>
      </c>
      <c r="E4634" s="372" t="s">
        <v>12089</v>
      </c>
      <c r="F4634" s="372" t="s">
        <v>12090</v>
      </c>
      <c r="G4634" s="372" t="s">
        <v>12091</v>
      </c>
    </row>
    <row r="4635" spans="2:7" hidden="1">
      <c r="B4635" s="140" t="s">
        <v>20586</v>
      </c>
      <c r="C4635" s="372" t="s">
        <v>12092</v>
      </c>
      <c r="D4635" s="140" t="s">
        <v>12093</v>
      </c>
      <c r="E4635" s="372" t="s">
        <v>12094</v>
      </c>
      <c r="F4635" s="372" t="s">
        <v>12095</v>
      </c>
      <c r="G4635" s="372" t="s">
        <v>12096</v>
      </c>
    </row>
    <row r="4636" spans="2:7" hidden="1">
      <c r="B4636" s="140" t="s">
        <v>20587</v>
      </c>
      <c r="C4636" s="372" t="s">
        <v>12097</v>
      </c>
      <c r="D4636" s="140" t="s">
        <v>12098</v>
      </c>
      <c r="E4636" s="372" t="s">
        <v>12099</v>
      </c>
      <c r="F4636" s="372" t="s">
        <v>12100</v>
      </c>
      <c r="G4636" s="372" t="s">
        <v>12101</v>
      </c>
    </row>
    <row r="4637" spans="2:7" hidden="1">
      <c r="B4637" s="140" t="s">
        <v>20588</v>
      </c>
      <c r="C4637" s="372" t="s">
        <v>12102</v>
      </c>
      <c r="D4637" s="140" t="s">
        <v>12103</v>
      </c>
      <c r="E4637" s="372" t="s">
        <v>12104</v>
      </c>
      <c r="F4637" s="372" t="s">
        <v>12105</v>
      </c>
      <c r="G4637" s="372" t="s">
        <v>12106</v>
      </c>
    </row>
    <row r="4638" spans="2:7" hidden="1">
      <c r="B4638" s="140" t="s">
        <v>20589</v>
      </c>
      <c r="C4638" s="372" t="s">
        <v>12107</v>
      </c>
      <c r="D4638" s="140" t="s">
        <v>12108</v>
      </c>
      <c r="E4638" s="372" t="s">
        <v>12109</v>
      </c>
      <c r="F4638" s="372" t="s">
        <v>12110</v>
      </c>
      <c r="G4638" s="372" t="s">
        <v>12111</v>
      </c>
    </row>
    <row r="4639" spans="2:7" hidden="1">
      <c r="B4639" s="140" t="s">
        <v>20590</v>
      </c>
      <c r="C4639" s="372" t="s">
        <v>12112</v>
      </c>
      <c r="D4639" s="140" t="s">
        <v>12113</v>
      </c>
      <c r="E4639" s="372" t="s">
        <v>12114</v>
      </c>
      <c r="F4639" s="372" t="s">
        <v>12115</v>
      </c>
      <c r="G4639" s="372" t="s">
        <v>12116</v>
      </c>
    </row>
    <row r="4640" spans="2:7" hidden="1">
      <c r="B4640" s="140" t="s">
        <v>20591</v>
      </c>
      <c r="C4640" s="372" t="s">
        <v>12117</v>
      </c>
      <c r="D4640" s="140" t="s">
        <v>12118</v>
      </c>
      <c r="E4640" s="372" t="s">
        <v>12119</v>
      </c>
      <c r="F4640" s="372" t="s">
        <v>12120</v>
      </c>
      <c r="G4640" s="372" t="s">
        <v>12012</v>
      </c>
    </row>
    <row r="4641" spans="2:7" hidden="1">
      <c r="B4641" s="140" t="s">
        <v>20592</v>
      </c>
      <c r="C4641" s="372" t="s">
        <v>12121</v>
      </c>
      <c r="D4641" s="140" t="s">
        <v>5592</v>
      </c>
      <c r="E4641" s="372" t="s">
        <v>12122</v>
      </c>
      <c r="F4641" s="372" t="s">
        <v>12123</v>
      </c>
      <c r="G4641" s="372" t="s">
        <v>12124</v>
      </c>
    </row>
    <row r="4642" spans="2:7" hidden="1">
      <c r="B4642" s="140" t="s">
        <v>20593</v>
      </c>
      <c r="C4642" s="372" t="s">
        <v>12125</v>
      </c>
      <c r="D4642" s="140" t="s">
        <v>12126</v>
      </c>
      <c r="E4642" s="372" t="s">
        <v>12127</v>
      </c>
      <c r="F4642" s="372" t="s">
        <v>12128</v>
      </c>
      <c r="G4642" s="372" t="s">
        <v>12129</v>
      </c>
    </row>
    <row r="4643" spans="2:7" hidden="1">
      <c r="B4643" s="140" t="s">
        <v>20594</v>
      </c>
      <c r="C4643" s="372" t="s">
        <v>12130</v>
      </c>
      <c r="D4643" s="140" t="s">
        <v>5592</v>
      </c>
      <c r="E4643" s="372" t="s">
        <v>5593</v>
      </c>
      <c r="F4643" s="372" t="s">
        <v>5594</v>
      </c>
      <c r="G4643" s="372"/>
    </row>
    <row r="4644" spans="2:7" hidden="1">
      <c r="B4644" s="140" t="s">
        <v>20529</v>
      </c>
      <c r="C4644" s="140" t="s">
        <v>16280</v>
      </c>
      <c r="D4644" s="140" t="s">
        <v>16281</v>
      </c>
      <c r="E4644" s="142" t="s">
        <v>16282</v>
      </c>
      <c r="F4644" s="142" t="s">
        <v>16283</v>
      </c>
      <c r="G4644" s="140"/>
    </row>
    <row r="4645" spans="2:7" hidden="1">
      <c r="B4645" s="140" t="s">
        <v>20595</v>
      </c>
      <c r="C4645" s="372" t="s">
        <v>12131</v>
      </c>
      <c r="D4645" s="140" t="s">
        <v>12132</v>
      </c>
      <c r="E4645" s="372" t="s">
        <v>12133</v>
      </c>
      <c r="F4645" s="372" t="s">
        <v>12134</v>
      </c>
      <c r="G4645" s="372" t="s">
        <v>12135</v>
      </c>
    </row>
    <row r="4646" spans="2:7" hidden="1">
      <c r="B4646" s="140" t="s">
        <v>20596</v>
      </c>
      <c r="C4646" s="372" t="s">
        <v>12136</v>
      </c>
      <c r="D4646" s="140" t="s">
        <v>12137</v>
      </c>
      <c r="E4646" s="372" t="s">
        <v>12138</v>
      </c>
      <c r="F4646" s="372" t="s">
        <v>12139</v>
      </c>
      <c r="G4646" s="372" t="s">
        <v>12140</v>
      </c>
    </row>
    <row r="4647" spans="2:7" hidden="1">
      <c r="B4647" s="140" t="s">
        <v>20597</v>
      </c>
      <c r="C4647" s="372" t="s">
        <v>12141</v>
      </c>
      <c r="D4647" s="140" t="s">
        <v>12142</v>
      </c>
      <c r="E4647" s="372" t="s">
        <v>12143</v>
      </c>
      <c r="F4647" s="372" t="s">
        <v>12144</v>
      </c>
      <c r="G4647" s="372" t="s">
        <v>12145</v>
      </c>
    </row>
    <row r="4648" spans="2:7" hidden="1">
      <c r="B4648" s="140" t="s">
        <v>20598</v>
      </c>
      <c r="C4648" s="372" t="s">
        <v>12146</v>
      </c>
      <c r="D4648" s="140" t="s">
        <v>12147</v>
      </c>
      <c r="E4648" s="372" t="s">
        <v>12148</v>
      </c>
      <c r="F4648" s="372" t="s">
        <v>12149</v>
      </c>
      <c r="G4648" s="372" t="s">
        <v>12150</v>
      </c>
    </row>
    <row r="4649" spans="2:7" hidden="1">
      <c r="B4649" s="140" t="s">
        <v>20599</v>
      </c>
      <c r="C4649" s="372" t="s">
        <v>12151</v>
      </c>
      <c r="D4649" s="140" t="s">
        <v>12152</v>
      </c>
      <c r="E4649" s="372" t="s">
        <v>12153</v>
      </c>
      <c r="F4649" s="372" t="s">
        <v>12154</v>
      </c>
      <c r="G4649" s="372" t="s">
        <v>12155</v>
      </c>
    </row>
    <row r="4650" spans="2:7" hidden="1">
      <c r="B4650" s="140" t="s">
        <v>20600</v>
      </c>
      <c r="C4650" s="372" t="s">
        <v>12156</v>
      </c>
      <c r="D4650" s="140" t="s">
        <v>12157</v>
      </c>
      <c r="E4650" s="372" t="s">
        <v>12158</v>
      </c>
      <c r="F4650" s="372" t="s">
        <v>12159</v>
      </c>
      <c r="G4650" s="372" t="s">
        <v>12160</v>
      </c>
    </row>
    <row r="4651" spans="2:7" hidden="1">
      <c r="B4651" s="140" t="s">
        <v>20601</v>
      </c>
      <c r="C4651" s="372" t="s">
        <v>12161</v>
      </c>
      <c r="D4651" s="140" t="s">
        <v>12162</v>
      </c>
      <c r="E4651" s="372" t="s">
        <v>12163</v>
      </c>
      <c r="F4651" s="372" t="s">
        <v>12164</v>
      </c>
      <c r="G4651" s="372" t="s">
        <v>12165</v>
      </c>
    </row>
    <row r="4652" spans="2:7" hidden="1">
      <c r="B4652" s="140" t="s">
        <v>20602</v>
      </c>
      <c r="C4652" s="372" t="s">
        <v>12166</v>
      </c>
      <c r="D4652" s="140" t="s">
        <v>12167</v>
      </c>
      <c r="E4652" s="372" t="s">
        <v>12168</v>
      </c>
      <c r="F4652" s="372" t="s">
        <v>12169</v>
      </c>
      <c r="G4652" s="372" t="s">
        <v>12170</v>
      </c>
    </row>
    <row r="4653" spans="2:7" hidden="1">
      <c r="B4653" s="140" t="s">
        <v>20603</v>
      </c>
      <c r="C4653" s="372" t="s">
        <v>12146</v>
      </c>
      <c r="D4653" s="140" t="s">
        <v>12171</v>
      </c>
      <c r="E4653" s="372" t="s">
        <v>12172</v>
      </c>
      <c r="F4653" s="372" t="s">
        <v>12173</v>
      </c>
      <c r="G4653" s="372"/>
    </row>
    <row r="4654" spans="2:7" hidden="1">
      <c r="B4654" s="140" t="s">
        <v>20604</v>
      </c>
      <c r="C4654" s="372" t="s">
        <v>12174</v>
      </c>
      <c r="D4654" s="140" t="s">
        <v>12175</v>
      </c>
      <c r="E4654" s="372" t="s">
        <v>12176</v>
      </c>
      <c r="F4654" s="372" t="s">
        <v>12177</v>
      </c>
      <c r="G4654" s="372" t="s">
        <v>12150</v>
      </c>
    </row>
    <row r="4655" spans="2:7" hidden="1">
      <c r="B4655" s="140" t="s">
        <v>20605</v>
      </c>
      <c r="C4655" s="372" t="s">
        <v>12178</v>
      </c>
      <c r="D4655" s="140" t="s">
        <v>12179</v>
      </c>
      <c r="E4655" s="372" t="s">
        <v>12180</v>
      </c>
      <c r="F4655" s="372" t="s">
        <v>12181</v>
      </c>
      <c r="G4655" s="372" t="s">
        <v>12145</v>
      </c>
    </row>
    <row r="4656" spans="2:7" hidden="1">
      <c r="B4656" s="140" t="s">
        <v>20606</v>
      </c>
      <c r="C4656" s="372" t="s">
        <v>12182</v>
      </c>
      <c r="D4656" s="140" t="s">
        <v>12183</v>
      </c>
      <c r="E4656" s="372" t="s">
        <v>12184</v>
      </c>
      <c r="F4656" s="372" t="s">
        <v>12185</v>
      </c>
      <c r="G4656" s="372" t="s">
        <v>12186</v>
      </c>
    </row>
    <row r="4657" spans="2:7" hidden="1">
      <c r="B4657" s="140" t="s">
        <v>20607</v>
      </c>
      <c r="C4657" s="372" t="s">
        <v>12187</v>
      </c>
      <c r="D4657" s="140" t="s">
        <v>12188</v>
      </c>
      <c r="E4657" s="372" t="s">
        <v>12189</v>
      </c>
      <c r="F4657" s="372" t="s">
        <v>12190</v>
      </c>
      <c r="G4657" s="372" t="s">
        <v>12191</v>
      </c>
    </row>
    <row r="4658" spans="2:7" hidden="1">
      <c r="B4658" s="140" t="s">
        <v>20608</v>
      </c>
      <c r="C4658" s="372" t="s">
        <v>12192</v>
      </c>
      <c r="D4658" s="140" t="s">
        <v>12193</v>
      </c>
      <c r="E4658" s="372" t="s">
        <v>12194</v>
      </c>
      <c r="F4658" s="372" t="s">
        <v>12195</v>
      </c>
      <c r="G4658" s="372" t="s">
        <v>12196</v>
      </c>
    </row>
    <row r="4659" spans="2:7" hidden="1">
      <c r="B4659" s="140" t="s">
        <v>20609</v>
      </c>
      <c r="C4659" s="372" t="s">
        <v>12197</v>
      </c>
      <c r="D4659" s="140" t="s">
        <v>12198</v>
      </c>
      <c r="E4659" s="372" t="s">
        <v>12199</v>
      </c>
      <c r="F4659" s="372" t="s">
        <v>12200</v>
      </c>
      <c r="G4659" s="372" t="s">
        <v>12201</v>
      </c>
    </row>
    <row r="4660" spans="2:7" hidden="1">
      <c r="B4660" s="140" t="s">
        <v>20610</v>
      </c>
      <c r="C4660" s="372" t="s">
        <v>12202</v>
      </c>
      <c r="D4660" s="140" t="s">
        <v>12203</v>
      </c>
      <c r="E4660" s="372" t="s">
        <v>12204</v>
      </c>
      <c r="F4660" s="372" t="s">
        <v>12205</v>
      </c>
      <c r="G4660" s="372" t="s">
        <v>12206</v>
      </c>
    </row>
    <row r="4661" spans="2:7" hidden="1">
      <c r="B4661" s="140" t="s">
        <v>20611</v>
      </c>
      <c r="C4661" s="372" t="s">
        <v>12207</v>
      </c>
      <c r="D4661" s="140" t="s">
        <v>2357</v>
      </c>
      <c r="E4661" s="372" t="s">
        <v>12208</v>
      </c>
      <c r="F4661" s="372" t="s">
        <v>12209</v>
      </c>
      <c r="G4661" s="372" t="s">
        <v>12210</v>
      </c>
    </row>
    <row r="4662" spans="2:7" hidden="1">
      <c r="B4662" s="140" t="s">
        <v>20612</v>
      </c>
      <c r="C4662" s="372" t="s">
        <v>12211</v>
      </c>
      <c r="D4662" s="140" t="s">
        <v>12212</v>
      </c>
      <c r="E4662" s="372" t="s">
        <v>12213</v>
      </c>
      <c r="F4662" s="372" t="s">
        <v>12214</v>
      </c>
      <c r="G4662" s="372" t="s">
        <v>12215</v>
      </c>
    </row>
    <row r="4663" spans="2:7" hidden="1">
      <c r="B4663" s="140" t="s">
        <v>20613</v>
      </c>
      <c r="C4663" s="372" t="s">
        <v>12216</v>
      </c>
      <c r="D4663" s="140" t="s">
        <v>6647</v>
      </c>
      <c r="E4663" s="372" t="s">
        <v>12217</v>
      </c>
      <c r="F4663" s="372" t="s">
        <v>12218</v>
      </c>
      <c r="G4663" s="372" t="s">
        <v>12219</v>
      </c>
    </row>
    <row r="4664" spans="2:7" hidden="1">
      <c r="B4664" s="140" t="s">
        <v>20614</v>
      </c>
      <c r="C4664" s="372" t="s">
        <v>12220</v>
      </c>
      <c r="D4664" s="140" t="s">
        <v>12221</v>
      </c>
      <c r="E4664" s="372" t="s">
        <v>12222</v>
      </c>
      <c r="F4664" s="372" t="s">
        <v>12223</v>
      </c>
      <c r="G4664" s="372" t="s">
        <v>12224</v>
      </c>
    </row>
    <row r="4665" spans="2:7" hidden="1">
      <c r="B4665" s="140" t="s">
        <v>20615</v>
      </c>
      <c r="C4665" s="372" t="s">
        <v>12225</v>
      </c>
      <c r="D4665" s="140" t="s">
        <v>4977</v>
      </c>
      <c r="E4665" s="372" t="s">
        <v>12226</v>
      </c>
      <c r="F4665" s="372" t="s">
        <v>12227</v>
      </c>
      <c r="G4665" s="372" t="s">
        <v>12228</v>
      </c>
    </row>
    <row r="4666" spans="2:7" hidden="1">
      <c r="B4666" s="140" t="s">
        <v>20616</v>
      </c>
      <c r="C4666" s="372" t="s">
        <v>12229</v>
      </c>
      <c r="D4666" s="140" t="s">
        <v>12230</v>
      </c>
      <c r="E4666" s="372" t="s">
        <v>12231</v>
      </c>
      <c r="F4666" s="372" t="s">
        <v>12232</v>
      </c>
      <c r="G4666" s="372" t="s">
        <v>12233</v>
      </c>
    </row>
    <row r="4667" spans="2:7" hidden="1">
      <c r="B4667" s="140" t="s">
        <v>20617</v>
      </c>
      <c r="C4667" s="372" t="s">
        <v>12234</v>
      </c>
      <c r="D4667" s="140" t="s">
        <v>12235</v>
      </c>
      <c r="E4667" s="372" t="s">
        <v>12236</v>
      </c>
      <c r="F4667" s="372" t="s">
        <v>12237</v>
      </c>
      <c r="G4667" s="372" t="s">
        <v>12238</v>
      </c>
    </row>
    <row r="4668" spans="2:7" hidden="1">
      <c r="B4668" s="140" t="s">
        <v>20618</v>
      </c>
      <c r="C4668" s="372" t="s">
        <v>12239</v>
      </c>
      <c r="D4668" s="140" t="s">
        <v>12240</v>
      </c>
      <c r="E4668" s="372" t="s">
        <v>12241</v>
      </c>
      <c r="F4668" s="372" t="s">
        <v>12242</v>
      </c>
      <c r="G4668" s="372" t="s">
        <v>12243</v>
      </c>
    </row>
    <row r="4669" spans="2:7" hidden="1">
      <c r="B4669" s="140" t="s">
        <v>20619</v>
      </c>
      <c r="C4669" s="372" t="s">
        <v>12244</v>
      </c>
      <c r="D4669" s="140" t="s">
        <v>12245</v>
      </c>
      <c r="E4669" s="372" t="s">
        <v>12246</v>
      </c>
      <c r="F4669" s="372" t="s">
        <v>12247</v>
      </c>
      <c r="G4669" s="372" t="s">
        <v>12248</v>
      </c>
    </row>
    <row r="4670" spans="2:7" hidden="1">
      <c r="B4670" s="140" t="s">
        <v>20620</v>
      </c>
      <c r="C4670" s="372" t="s">
        <v>12249</v>
      </c>
      <c r="D4670" s="140" t="s">
        <v>12250</v>
      </c>
      <c r="E4670" s="372" t="s">
        <v>12251</v>
      </c>
      <c r="F4670" s="372" t="s">
        <v>12252</v>
      </c>
      <c r="G4670" s="372" t="s">
        <v>12253</v>
      </c>
    </row>
    <row r="4671" spans="2:7" hidden="1">
      <c r="B4671" s="140" t="s">
        <v>20621</v>
      </c>
      <c r="C4671" s="372" t="s">
        <v>12254</v>
      </c>
      <c r="D4671" s="140" t="s">
        <v>12255</v>
      </c>
      <c r="E4671" s="372" t="s">
        <v>12256</v>
      </c>
      <c r="F4671" s="372" t="s">
        <v>12257</v>
      </c>
      <c r="G4671" s="372" t="s">
        <v>12258</v>
      </c>
    </row>
    <row r="4672" spans="2:7" hidden="1">
      <c r="B4672" s="140" t="s">
        <v>20622</v>
      </c>
      <c r="C4672" s="372" t="s">
        <v>12259</v>
      </c>
      <c r="D4672" s="140" t="s">
        <v>12260</v>
      </c>
      <c r="E4672" s="372" t="s">
        <v>12261</v>
      </c>
      <c r="F4672" s="372" t="s">
        <v>12262</v>
      </c>
      <c r="G4672" s="372" t="s">
        <v>12263</v>
      </c>
    </row>
    <row r="4673" spans="2:7" hidden="1">
      <c r="B4673" s="140" t="s">
        <v>20623</v>
      </c>
      <c r="C4673" s="372" t="s">
        <v>12264</v>
      </c>
      <c r="D4673" s="140" t="s">
        <v>12265</v>
      </c>
      <c r="E4673" s="372" t="s">
        <v>12266</v>
      </c>
      <c r="F4673" s="372" t="s">
        <v>12267</v>
      </c>
      <c r="G4673" s="372" t="s">
        <v>12233</v>
      </c>
    </row>
    <row r="4674" spans="2:7" hidden="1">
      <c r="B4674" s="140" t="s">
        <v>20624</v>
      </c>
      <c r="C4674" s="372" t="s">
        <v>12268</v>
      </c>
      <c r="D4674" s="140" t="s">
        <v>2265</v>
      </c>
      <c r="E4674" s="372" t="s">
        <v>12269</v>
      </c>
      <c r="F4674" s="372" t="s">
        <v>12270</v>
      </c>
      <c r="G4674" s="372" t="s">
        <v>12271</v>
      </c>
    </row>
    <row r="4675" spans="2:7" hidden="1">
      <c r="B4675" s="140" t="s">
        <v>20625</v>
      </c>
      <c r="C4675" s="372" t="s">
        <v>12272</v>
      </c>
      <c r="D4675" s="140" t="s">
        <v>12273</v>
      </c>
      <c r="E4675" s="372" t="s">
        <v>12274</v>
      </c>
      <c r="F4675" s="372" t="s">
        <v>12275</v>
      </c>
      <c r="G4675" s="372" t="s">
        <v>12276</v>
      </c>
    </row>
    <row r="4676" spans="2:7" hidden="1">
      <c r="B4676" s="140" t="s">
        <v>20626</v>
      </c>
      <c r="C4676" s="372" t="s">
        <v>12277</v>
      </c>
      <c r="D4676" s="140" t="s">
        <v>12278</v>
      </c>
      <c r="E4676" s="372" t="s">
        <v>12279</v>
      </c>
      <c r="F4676" s="372" t="s">
        <v>12280</v>
      </c>
      <c r="G4676" s="372" t="s">
        <v>12281</v>
      </c>
    </row>
    <row r="4677" spans="2:7" hidden="1">
      <c r="B4677" s="140" t="s">
        <v>20627</v>
      </c>
      <c r="C4677" s="372" t="s">
        <v>12282</v>
      </c>
      <c r="D4677" s="140" t="s">
        <v>12283</v>
      </c>
      <c r="E4677" s="372" t="s">
        <v>12284</v>
      </c>
      <c r="F4677" s="372" t="s">
        <v>12285</v>
      </c>
      <c r="G4677" s="372" t="s">
        <v>12286</v>
      </c>
    </row>
    <row r="4678" spans="2:7" hidden="1">
      <c r="B4678" s="140" t="s">
        <v>20628</v>
      </c>
      <c r="C4678" s="372" t="s">
        <v>12287</v>
      </c>
      <c r="D4678" s="140" t="s">
        <v>12288</v>
      </c>
      <c r="E4678" s="372" t="s">
        <v>12289</v>
      </c>
      <c r="F4678" s="372" t="s">
        <v>12290</v>
      </c>
      <c r="G4678" s="372" t="s">
        <v>12291</v>
      </c>
    </row>
    <row r="4679" spans="2:7" hidden="1">
      <c r="B4679" s="140" t="s">
        <v>20629</v>
      </c>
      <c r="C4679" s="372" t="s">
        <v>12292</v>
      </c>
      <c r="D4679" s="140" t="s">
        <v>12293</v>
      </c>
      <c r="E4679" s="372" t="s">
        <v>12294</v>
      </c>
      <c r="F4679" s="372" t="s">
        <v>12295</v>
      </c>
      <c r="G4679" s="372" t="s">
        <v>12296</v>
      </c>
    </row>
    <row r="4680" spans="2:7" hidden="1">
      <c r="B4680" s="140" t="s">
        <v>20630</v>
      </c>
      <c r="C4680" s="372" t="s">
        <v>12297</v>
      </c>
      <c r="D4680" s="140" t="s">
        <v>12298</v>
      </c>
      <c r="E4680" s="372" t="s">
        <v>12299</v>
      </c>
      <c r="F4680" s="372" t="s">
        <v>12300</v>
      </c>
      <c r="G4680" s="372" t="s">
        <v>12301</v>
      </c>
    </row>
    <row r="4681" spans="2:7" hidden="1">
      <c r="B4681" s="140" t="s">
        <v>20631</v>
      </c>
      <c r="C4681" s="372" t="s">
        <v>12302</v>
      </c>
      <c r="D4681" s="140" t="s">
        <v>12303</v>
      </c>
      <c r="E4681" s="372" t="s">
        <v>12304</v>
      </c>
      <c r="F4681" s="372" t="s">
        <v>12305</v>
      </c>
      <c r="G4681" s="372" t="s">
        <v>12306</v>
      </c>
    </row>
    <row r="4682" spans="2:7" hidden="1">
      <c r="B4682" s="140" t="s">
        <v>20632</v>
      </c>
      <c r="C4682" s="372" t="s">
        <v>12307</v>
      </c>
      <c r="D4682" s="140" t="s">
        <v>12308</v>
      </c>
      <c r="E4682" s="372" t="s">
        <v>12309</v>
      </c>
      <c r="F4682" s="372" t="s">
        <v>12310</v>
      </c>
      <c r="G4682" s="372" t="s">
        <v>12311</v>
      </c>
    </row>
    <row r="4683" spans="2:7" hidden="1">
      <c r="B4683" s="140" t="s">
        <v>20633</v>
      </c>
      <c r="C4683" s="372" t="s">
        <v>12312</v>
      </c>
      <c r="D4683" s="140" t="s">
        <v>12313</v>
      </c>
      <c r="E4683" s="372" t="s">
        <v>12314</v>
      </c>
      <c r="F4683" s="372" t="s">
        <v>12315</v>
      </c>
      <c r="G4683" s="372" t="s">
        <v>12316</v>
      </c>
    </row>
    <row r="4684" spans="2:7" hidden="1">
      <c r="B4684" s="140" t="s">
        <v>20634</v>
      </c>
      <c r="C4684" s="372" t="s">
        <v>12317</v>
      </c>
      <c r="D4684" s="140" t="s">
        <v>12318</v>
      </c>
      <c r="E4684" s="372" t="s">
        <v>12319</v>
      </c>
      <c r="F4684" s="372" t="s">
        <v>12320</v>
      </c>
      <c r="G4684" s="372" t="s">
        <v>12321</v>
      </c>
    </row>
    <row r="4685" spans="2:7" hidden="1">
      <c r="B4685" s="140" t="s">
        <v>20635</v>
      </c>
      <c r="C4685" s="372" t="s">
        <v>12322</v>
      </c>
      <c r="D4685" s="140" t="s">
        <v>12323</v>
      </c>
      <c r="E4685" s="372" t="s">
        <v>12324</v>
      </c>
      <c r="F4685" s="372" t="s">
        <v>12325</v>
      </c>
      <c r="G4685" s="372" t="s">
        <v>12326</v>
      </c>
    </row>
    <row r="4686" spans="2:7" hidden="1">
      <c r="B4686" s="140" t="s">
        <v>20636</v>
      </c>
      <c r="C4686" s="372" t="s">
        <v>12327</v>
      </c>
      <c r="D4686" s="140" t="s">
        <v>12328</v>
      </c>
      <c r="E4686" s="372" t="s">
        <v>12329</v>
      </c>
      <c r="F4686" s="372" t="s">
        <v>12330</v>
      </c>
      <c r="G4686" s="372" t="s">
        <v>12331</v>
      </c>
    </row>
    <row r="4687" spans="2:7" hidden="1">
      <c r="B4687" s="140" t="s">
        <v>20637</v>
      </c>
      <c r="C4687" s="372" t="s">
        <v>12332</v>
      </c>
      <c r="D4687" s="140" t="s">
        <v>12333</v>
      </c>
      <c r="E4687" s="372" t="s">
        <v>12334</v>
      </c>
      <c r="F4687" s="372" t="s">
        <v>12335</v>
      </c>
      <c r="G4687" s="372" t="s">
        <v>12336</v>
      </c>
    </row>
    <row r="4688" spans="2:7" hidden="1">
      <c r="B4688" s="140" t="s">
        <v>20638</v>
      </c>
      <c r="C4688" s="372" t="s">
        <v>12337</v>
      </c>
      <c r="D4688" s="140" t="s">
        <v>12338</v>
      </c>
      <c r="E4688" s="372" t="s">
        <v>12339</v>
      </c>
      <c r="F4688" s="372" t="s">
        <v>12340</v>
      </c>
      <c r="G4688" s="372" t="s">
        <v>12341</v>
      </c>
    </row>
    <row r="4689" spans="2:7" hidden="1">
      <c r="B4689" s="140" t="s">
        <v>20639</v>
      </c>
      <c r="C4689" s="372" t="s">
        <v>12342</v>
      </c>
      <c r="D4689" s="140" t="s">
        <v>12343</v>
      </c>
      <c r="E4689" s="372" t="s">
        <v>12344</v>
      </c>
      <c r="F4689" s="372" t="s">
        <v>12345</v>
      </c>
      <c r="G4689" s="372" t="s">
        <v>12346</v>
      </c>
    </row>
    <row r="4690" spans="2:7" hidden="1">
      <c r="B4690" s="140" t="s">
        <v>20640</v>
      </c>
      <c r="C4690" s="372" t="s">
        <v>12347</v>
      </c>
      <c r="D4690" s="140" t="s">
        <v>12348</v>
      </c>
      <c r="E4690" s="372" t="s">
        <v>12349</v>
      </c>
      <c r="F4690" s="372" t="s">
        <v>12350</v>
      </c>
      <c r="G4690" s="372" t="s">
        <v>12351</v>
      </c>
    </row>
    <row r="4691" spans="2:7" hidden="1">
      <c r="B4691" s="140" t="s">
        <v>20641</v>
      </c>
      <c r="C4691" s="372" t="s">
        <v>12352</v>
      </c>
      <c r="D4691" s="140" t="s">
        <v>12353</v>
      </c>
      <c r="E4691" s="372" t="s">
        <v>12354</v>
      </c>
      <c r="F4691" s="372" t="s">
        <v>12355</v>
      </c>
      <c r="G4691" s="372" t="s">
        <v>12356</v>
      </c>
    </row>
    <row r="4692" spans="2:7" hidden="1">
      <c r="B4692" s="140" t="s">
        <v>20642</v>
      </c>
      <c r="C4692" s="372" t="s">
        <v>12357</v>
      </c>
      <c r="D4692" s="140" t="s">
        <v>12358</v>
      </c>
      <c r="E4692" s="372" t="s">
        <v>12359</v>
      </c>
      <c r="F4692" s="372" t="s">
        <v>12360</v>
      </c>
      <c r="G4692" s="372" t="s">
        <v>12361</v>
      </c>
    </row>
    <row r="4693" spans="2:7" hidden="1">
      <c r="B4693" s="140" t="s">
        <v>20643</v>
      </c>
      <c r="C4693" s="372" t="s">
        <v>12362</v>
      </c>
      <c r="D4693" s="140" t="s">
        <v>12363</v>
      </c>
      <c r="E4693" s="372" t="s">
        <v>12364</v>
      </c>
      <c r="F4693" s="372" t="s">
        <v>12365</v>
      </c>
      <c r="G4693" s="372" t="s">
        <v>12366</v>
      </c>
    </row>
    <row r="4694" spans="2:7" hidden="1">
      <c r="B4694" s="140" t="s">
        <v>20644</v>
      </c>
      <c r="C4694" s="372" t="s">
        <v>12367</v>
      </c>
      <c r="D4694" s="140" t="s">
        <v>12368</v>
      </c>
      <c r="E4694" s="372" t="s">
        <v>12369</v>
      </c>
      <c r="F4694" s="372" t="s">
        <v>12370</v>
      </c>
      <c r="G4694" s="372" t="s">
        <v>12371</v>
      </c>
    </row>
    <row r="4695" spans="2:7" hidden="1">
      <c r="B4695" s="140" t="s">
        <v>20645</v>
      </c>
      <c r="C4695" s="372" t="s">
        <v>12372</v>
      </c>
      <c r="D4695" s="140" t="s">
        <v>12373</v>
      </c>
      <c r="E4695" s="372" t="s">
        <v>12374</v>
      </c>
      <c r="F4695" s="372" t="s">
        <v>12375</v>
      </c>
      <c r="G4695" s="372" t="s">
        <v>12376</v>
      </c>
    </row>
    <row r="4696" spans="2:7" hidden="1">
      <c r="B4696" s="140" t="s">
        <v>20646</v>
      </c>
      <c r="C4696" s="372" t="s">
        <v>12377</v>
      </c>
      <c r="D4696" s="140" t="s">
        <v>12378</v>
      </c>
      <c r="E4696" s="372" t="s">
        <v>12379</v>
      </c>
      <c r="F4696" s="372" t="s">
        <v>12380</v>
      </c>
      <c r="G4696" s="372" t="s">
        <v>12381</v>
      </c>
    </row>
    <row r="4697" spans="2:7" hidden="1">
      <c r="B4697" s="140" t="s">
        <v>20647</v>
      </c>
      <c r="C4697" s="372" t="s">
        <v>12382</v>
      </c>
      <c r="D4697" s="140" t="s">
        <v>12383</v>
      </c>
      <c r="E4697" s="372" t="s">
        <v>12384</v>
      </c>
      <c r="F4697" s="372" t="s">
        <v>12385</v>
      </c>
      <c r="G4697" s="372" t="s">
        <v>12386</v>
      </c>
    </row>
    <row r="4698" spans="2:7" hidden="1">
      <c r="B4698" s="140" t="s">
        <v>20648</v>
      </c>
      <c r="C4698" s="372" t="s">
        <v>12387</v>
      </c>
      <c r="D4698" s="140" t="s">
        <v>12388</v>
      </c>
      <c r="E4698" s="372" t="s">
        <v>12389</v>
      </c>
      <c r="F4698" s="372" t="s">
        <v>12390</v>
      </c>
      <c r="G4698" s="372" t="s">
        <v>12391</v>
      </c>
    </row>
    <row r="4699" spans="2:7" hidden="1">
      <c r="B4699" s="140" t="s">
        <v>20649</v>
      </c>
      <c r="C4699" s="372" t="s">
        <v>12392</v>
      </c>
      <c r="D4699" s="140" t="s">
        <v>12393</v>
      </c>
      <c r="E4699" s="372" t="s">
        <v>12394</v>
      </c>
      <c r="F4699" s="372" t="s">
        <v>12395</v>
      </c>
      <c r="G4699" s="372" t="s">
        <v>12396</v>
      </c>
    </row>
    <row r="4700" spans="2:7" hidden="1">
      <c r="B4700" s="140" t="s">
        <v>20650</v>
      </c>
      <c r="C4700" s="372" t="s">
        <v>12397</v>
      </c>
      <c r="D4700" s="140" t="s">
        <v>12398</v>
      </c>
      <c r="E4700" s="372" t="s">
        <v>12399</v>
      </c>
      <c r="F4700" s="372" t="s">
        <v>12400</v>
      </c>
      <c r="G4700" s="372" t="s">
        <v>12401</v>
      </c>
    </row>
    <row r="4701" spans="2:7" hidden="1">
      <c r="B4701" s="140" t="s">
        <v>20651</v>
      </c>
      <c r="C4701" s="372" t="s">
        <v>12402</v>
      </c>
      <c r="D4701" s="140" t="s">
        <v>12403</v>
      </c>
      <c r="E4701" s="372" t="s">
        <v>12404</v>
      </c>
      <c r="F4701" s="372" t="s">
        <v>12405</v>
      </c>
      <c r="G4701" s="372" t="s">
        <v>12406</v>
      </c>
    </row>
    <row r="4702" spans="2:7" hidden="1">
      <c r="B4702" s="140" t="s">
        <v>20652</v>
      </c>
      <c r="C4702" s="140" t="s">
        <v>12407</v>
      </c>
      <c r="D4702" s="140" t="s">
        <v>12408</v>
      </c>
      <c r="E4702" s="142" t="s">
        <v>12409</v>
      </c>
      <c r="F4702" s="142" t="s">
        <v>12410</v>
      </c>
      <c r="G4702" s="140" t="s">
        <v>12411</v>
      </c>
    </row>
    <row r="4703" spans="2:7" hidden="1">
      <c r="B4703" s="140" t="s">
        <v>20653</v>
      </c>
      <c r="C4703" s="372" t="s">
        <v>12412</v>
      </c>
      <c r="D4703" s="140" t="s">
        <v>12413</v>
      </c>
      <c r="E4703" s="372" t="s">
        <v>12414</v>
      </c>
      <c r="F4703" s="372" t="s">
        <v>12415</v>
      </c>
      <c r="G4703" s="372" t="s">
        <v>12416</v>
      </c>
    </row>
    <row r="4704" spans="2:7" hidden="1">
      <c r="B4704" s="140" t="s">
        <v>20654</v>
      </c>
      <c r="C4704" s="372" t="s">
        <v>12417</v>
      </c>
      <c r="D4704" s="140" t="s">
        <v>12418</v>
      </c>
      <c r="E4704" s="372" t="s">
        <v>12419</v>
      </c>
      <c r="F4704" s="372" t="s">
        <v>12420</v>
      </c>
      <c r="G4704" s="372" t="s">
        <v>12421</v>
      </c>
    </row>
    <row r="4705" spans="2:7" hidden="1">
      <c r="B4705" s="140" t="s">
        <v>20655</v>
      </c>
      <c r="C4705" s="372" t="s">
        <v>12422</v>
      </c>
      <c r="D4705" s="140" t="s">
        <v>12423</v>
      </c>
      <c r="E4705" s="372" t="s">
        <v>12424</v>
      </c>
      <c r="F4705" s="372" t="s">
        <v>12425</v>
      </c>
      <c r="G4705" s="372" t="s">
        <v>12426</v>
      </c>
    </row>
    <row r="4706" spans="2:7" hidden="1">
      <c r="B4706" s="140" t="s">
        <v>20656</v>
      </c>
      <c r="C4706" s="372" t="s">
        <v>12427</v>
      </c>
      <c r="D4706" s="140" t="s">
        <v>12428</v>
      </c>
      <c r="E4706" s="372" t="s">
        <v>12429</v>
      </c>
      <c r="F4706" s="372" t="s">
        <v>12430</v>
      </c>
      <c r="G4706" s="372" t="s">
        <v>12431</v>
      </c>
    </row>
    <row r="4707" spans="2:7" hidden="1">
      <c r="B4707" s="140" t="s">
        <v>20657</v>
      </c>
      <c r="C4707" s="372" t="s">
        <v>12432</v>
      </c>
      <c r="D4707" s="140" t="s">
        <v>12433</v>
      </c>
      <c r="E4707" s="372" t="s">
        <v>12434</v>
      </c>
      <c r="F4707" s="372" t="s">
        <v>12435</v>
      </c>
      <c r="G4707" s="372" t="s">
        <v>12436</v>
      </c>
    </row>
    <row r="4708" spans="2:7" hidden="1">
      <c r="B4708" s="140" t="s">
        <v>20658</v>
      </c>
      <c r="C4708" s="372" t="s">
        <v>12437</v>
      </c>
      <c r="D4708" s="140" t="s">
        <v>12438</v>
      </c>
      <c r="E4708" s="372" t="s">
        <v>12439</v>
      </c>
      <c r="F4708" s="372" t="s">
        <v>12440</v>
      </c>
      <c r="G4708" s="372" t="s">
        <v>12441</v>
      </c>
    </row>
    <row r="4709" spans="2:7" hidden="1">
      <c r="B4709" s="140" t="s">
        <v>20659</v>
      </c>
      <c r="C4709" s="372" t="s">
        <v>12442</v>
      </c>
      <c r="D4709" s="140" t="s">
        <v>12443</v>
      </c>
      <c r="E4709" s="372" t="s">
        <v>12444</v>
      </c>
      <c r="F4709" s="372" t="s">
        <v>12445</v>
      </c>
      <c r="G4709" s="372" t="s">
        <v>12446</v>
      </c>
    </row>
    <row r="4710" spans="2:7" hidden="1">
      <c r="B4710" s="140" t="s">
        <v>20660</v>
      </c>
      <c r="C4710" s="372" t="s">
        <v>12447</v>
      </c>
      <c r="D4710" s="140" t="s">
        <v>12448</v>
      </c>
      <c r="E4710" s="372" t="s">
        <v>12449</v>
      </c>
      <c r="F4710" s="372" t="s">
        <v>12450</v>
      </c>
      <c r="G4710" s="372" t="s">
        <v>12451</v>
      </c>
    </row>
    <row r="4711" spans="2:7" hidden="1">
      <c r="B4711" s="140" t="s">
        <v>20661</v>
      </c>
      <c r="C4711" s="372" t="s">
        <v>12452</v>
      </c>
      <c r="D4711" s="140" t="s">
        <v>12453</v>
      </c>
      <c r="E4711" s="372" t="s">
        <v>12454</v>
      </c>
      <c r="F4711" s="372" t="s">
        <v>12455</v>
      </c>
      <c r="G4711" s="372" t="s">
        <v>12456</v>
      </c>
    </row>
    <row r="4712" spans="2:7" hidden="1">
      <c r="B4712" s="140" t="s">
        <v>20662</v>
      </c>
      <c r="C4712" s="372" t="s">
        <v>12457</v>
      </c>
      <c r="D4712" s="140" t="s">
        <v>12458</v>
      </c>
      <c r="E4712" s="372" t="s">
        <v>12459</v>
      </c>
      <c r="F4712" s="372" t="s">
        <v>12460</v>
      </c>
      <c r="G4712" s="372" t="s">
        <v>12461</v>
      </c>
    </row>
    <row r="4713" spans="2:7" hidden="1">
      <c r="B4713" s="140" t="s">
        <v>20663</v>
      </c>
      <c r="C4713" s="372" t="s">
        <v>12462</v>
      </c>
      <c r="D4713" s="140" t="s">
        <v>12463</v>
      </c>
      <c r="E4713" s="372" t="s">
        <v>12464</v>
      </c>
      <c r="F4713" s="372" t="s">
        <v>12465</v>
      </c>
      <c r="G4713" s="372" t="s">
        <v>12466</v>
      </c>
    </row>
    <row r="4714" spans="2:7" hidden="1">
      <c r="B4714" s="140" t="s">
        <v>20664</v>
      </c>
      <c r="C4714" s="372" t="s">
        <v>12467</v>
      </c>
      <c r="D4714" s="140" t="s">
        <v>12468</v>
      </c>
      <c r="E4714" s="372" t="s">
        <v>12469</v>
      </c>
      <c r="F4714" s="372" t="s">
        <v>12470</v>
      </c>
      <c r="G4714" s="372" t="s">
        <v>12471</v>
      </c>
    </row>
    <row r="4715" spans="2:7" hidden="1">
      <c r="B4715" s="140" t="s">
        <v>20665</v>
      </c>
      <c r="C4715" s="372" t="s">
        <v>12472</v>
      </c>
      <c r="D4715" s="140" t="s">
        <v>12473</v>
      </c>
      <c r="E4715" s="372" t="s">
        <v>12474</v>
      </c>
      <c r="F4715" s="372" t="s">
        <v>12475</v>
      </c>
      <c r="G4715" s="372" t="s">
        <v>12476</v>
      </c>
    </row>
    <row r="4716" spans="2:7" hidden="1">
      <c r="B4716" s="140" t="s">
        <v>20666</v>
      </c>
      <c r="C4716" s="372" t="s">
        <v>12477</v>
      </c>
      <c r="D4716" s="140" t="s">
        <v>12478</v>
      </c>
      <c r="E4716" s="372" t="s">
        <v>12479</v>
      </c>
      <c r="F4716" s="372" t="s">
        <v>12480</v>
      </c>
      <c r="G4716" s="372" t="s">
        <v>12481</v>
      </c>
    </row>
    <row r="4717" spans="2:7" hidden="1">
      <c r="B4717" s="140" t="s">
        <v>20667</v>
      </c>
      <c r="C4717" s="372" t="s">
        <v>12482</v>
      </c>
      <c r="D4717" s="140" t="s">
        <v>12483</v>
      </c>
      <c r="E4717" s="372" t="s">
        <v>12484</v>
      </c>
      <c r="F4717" s="372" t="s">
        <v>12485</v>
      </c>
      <c r="G4717" s="372" t="s">
        <v>12486</v>
      </c>
    </row>
    <row r="4718" spans="2:7" hidden="1">
      <c r="B4718" s="140" t="s">
        <v>20668</v>
      </c>
      <c r="C4718" s="372" t="s">
        <v>12487</v>
      </c>
      <c r="D4718" s="140" t="s">
        <v>12488</v>
      </c>
      <c r="E4718" s="372" t="s">
        <v>12489</v>
      </c>
      <c r="F4718" s="372" t="s">
        <v>12490</v>
      </c>
      <c r="G4718" s="372" t="s">
        <v>12491</v>
      </c>
    </row>
    <row r="4719" spans="2:7" hidden="1">
      <c r="B4719" s="140" t="s">
        <v>20669</v>
      </c>
      <c r="C4719" s="372" t="s">
        <v>12492</v>
      </c>
      <c r="D4719" s="140" t="s">
        <v>12493</v>
      </c>
      <c r="E4719" s="372" t="s">
        <v>12494</v>
      </c>
      <c r="F4719" s="372" t="s">
        <v>12495</v>
      </c>
      <c r="G4719" s="372" t="s">
        <v>12496</v>
      </c>
    </row>
    <row r="4720" spans="2:7" hidden="1">
      <c r="B4720" s="140" t="s">
        <v>20670</v>
      </c>
      <c r="C4720" s="372" t="s">
        <v>12497</v>
      </c>
      <c r="D4720" s="140" t="s">
        <v>12498</v>
      </c>
      <c r="E4720" s="372" t="s">
        <v>12499</v>
      </c>
      <c r="F4720" s="372" t="s">
        <v>12500</v>
      </c>
      <c r="G4720" s="372" t="s">
        <v>12501</v>
      </c>
    </row>
    <row r="4721" spans="2:7" hidden="1">
      <c r="B4721" s="140" t="s">
        <v>20671</v>
      </c>
      <c r="C4721" s="372" t="s">
        <v>12502</v>
      </c>
      <c r="D4721" s="140" t="s">
        <v>12503</v>
      </c>
      <c r="E4721" s="372" t="s">
        <v>12504</v>
      </c>
      <c r="F4721" s="372" t="s">
        <v>12505</v>
      </c>
      <c r="G4721" s="372" t="s">
        <v>12506</v>
      </c>
    </row>
    <row r="4722" spans="2:7" hidden="1">
      <c r="B4722" s="140" t="s">
        <v>20672</v>
      </c>
      <c r="C4722" s="372" t="s">
        <v>12507</v>
      </c>
      <c r="D4722" s="140" t="s">
        <v>12508</v>
      </c>
      <c r="E4722" s="372" t="s">
        <v>12509</v>
      </c>
      <c r="F4722" s="372" t="s">
        <v>12510</v>
      </c>
      <c r="G4722" s="372" t="s">
        <v>12511</v>
      </c>
    </row>
    <row r="4723" spans="2:7" hidden="1">
      <c r="B4723" s="140" t="s">
        <v>20673</v>
      </c>
      <c r="C4723" s="372" t="s">
        <v>12512</v>
      </c>
      <c r="D4723" s="140" t="s">
        <v>12513</v>
      </c>
      <c r="E4723" s="372" t="s">
        <v>12514</v>
      </c>
      <c r="F4723" s="372" t="s">
        <v>12515</v>
      </c>
      <c r="G4723" s="372" t="s">
        <v>12516</v>
      </c>
    </row>
    <row r="4724" spans="2:7" hidden="1">
      <c r="B4724" s="140" t="s">
        <v>20674</v>
      </c>
      <c r="C4724" s="372" t="s">
        <v>12517</v>
      </c>
      <c r="D4724" s="140" t="s">
        <v>12518</v>
      </c>
      <c r="E4724" s="372" t="s">
        <v>12519</v>
      </c>
      <c r="F4724" s="372" t="s">
        <v>12520</v>
      </c>
      <c r="G4724" s="372" t="s">
        <v>12521</v>
      </c>
    </row>
    <row r="4725" spans="2:7" hidden="1">
      <c r="B4725" s="140" t="s">
        <v>20675</v>
      </c>
      <c r="C4725" s="372" t="s">
        <v>12522</v>
      </c>
      <c r="D4725" s="140" t="s">
        <v>7929</v>
      </c>
      <c r="E4725" s="372" t="s">
        <v>12523</v>
      </c>
      <c r="F4725" s="372" t="s">
        <v>12524</v>
      </c>
      <c r="G4725" s="372" t="s">
        <v>12525</v>
      </c>
    </row>
    <row r="4726" spans="2:7" hidden="1">
      <c r="B4726" s="140" t="s">
        <v>20676</v>
      </c>
      <c r="C4726" s="372" t="s">
        <v>12526</v>
      </c>
      <c r="D4726" s="140" t="s">
        <v>12527</v>
      </c>
      <c r="E4726" s="372" t="s">
        <v>12528</v>
      </c>
      <c r="F4726" s="372" t="s">
        <v>12529</v>
      </c>
      <c r="G4726" s="372" t="s">
        <v>12511</v>
      </c>
    </row>
    <row r="4727" spans="2:7" hidden="1">
      <c r="B4727" s="140" t="s">
        <v>20677</v>
      </c>
      <c r="C4727" s="372" t="s">
        <v>12530</v>
      </c>
      <c r="D4727" s="140" t="s">
        <v>12531</v>
      </c>
      <c r="E4727" s="372" t="s">
        <v>12532</v>
      </c>
      <c r="F4727" s="372" t="s">
        <v>12533</v>
      </c>
      <c r="G4727" s="372" t="s">
        <v>12534</v>
      </c>
    </row>
    <row r="4728" spans="2:7" hidden="1">
      <c r="B4728" s="140" t="s">
        <v>20678</v>
      </c>
      <c r="C4728" s="372" t="s">
        <v>12535</v>
      </c>
      <c r="D4728" s="140" t="s">
        <v>12536</v>
      </c>
      <c r="E4728" s="372" t="s">
        <v>12537</v>
      </c>
      <c r="F4728" s="372" t="s">
        <v>12538</v>
      </c>
      <c r="G4728" s="372" t="s">
        <v>12539</v>
      </c>
    </row>
    <row r="4729" spans="2:7" hidden="1">
      <c r="B4729" s="140" t="s">
        <v>20679</v>
      </c>
      <c r="C4729" s="372" t="s">
        <v>12540</v>
      </c>
      <c r="D4729" s="140" t="s">
        <v>12541</v>
      </c>
      <c r="E4729" s="372" t="s">
        <v>12542</v>
      </c>
      <c r="F4729" s="372" t="s">
        <v>12543</v>
      </c>
      <c r="G4729" s="372" t="s">
        <v>12544</v>
      </c>
    </row>
    <row r="4730" spans="2:7" hidden="1">
      <c r="B4730" s="140" t="s">
        <v>20680</v>
      </c>
      <c r="C4730" s="372" t="s">
        <v>12545</v>
      </c>
      <c r="D4730" s="140" t="s">
        <v>12546</v>
      </c>
      <c r="E4730" s="372" t="s">
        <v>12547</v>
      </c>
      <c r="F4730" s="372" t="s">
        <v>12548</v>
      </c>
      <c r="G4730" s="372" t="s">
        <v>12549</v>
      </c>
    </row>
    <row r="4731" spans="2:7" hidden="1">
      <c r="B4731" s="140" t="s">
        <v>20681</v>
      </c>
      <c r="C4731" s="372" t="s">
        <v>12550</v>
      </c>
      <c r="D4731" s="140" t="s">
        <v>12551</v>
      </c>
      <c r="E4731" s="372" t="s">
        <v>12552</v>
      </c>
      <c r="F4731" s="372" t="s">
        <v>12553</v>
      </c>
      <c r="G4731" s="372" t="s">
        <v>12554</v>
      </c>
    </row>
    <row r="4732" spans="2:7" hidden="1">
      <c r="B4732" s="140" t="s">
        <v>20682</v>
      </c>
      <c r="C4732" s="372" t="s">
        <v>12555</v>
      </c>
      <c r="D4732" s="140" t="s">
        <v>12556</v>
      </c>
      <c r="E4732" s="372" t="s">
        <v>12557</v>
      </c>
      <c r="F4732" s="372" t="s">
        <v>12558</v>
      </c>
      <c r="G4732" s="372" t="s">
        <v>12559</v>
      </c>
    </row>
    <row r="4733" spans="2:7" hidden="1">
      <c r="B4733" s="140" t="s">
        <v>20683</v>
      </c>
      <c r="C4733" s="372" t="s">
        <v>12560</v>
      </c>
      <c r="D4733" s="140" t="s">
        <v>12561</v>
      </c>
      <c r="E4733" s="372" t="s">
        <v>12562</v>
      </c>
      <c r="F4733" s="372" t="s">
        <v>12563</v>
      </c>
      <c r="G4733" s="372" t="s">
        <v>12564</v>
      </c>
    </row>
    <row r="4734" spans="2:7" hidden="1">
      <c r="B4734" s="140" t="s">
        <v>20684</v>
      </c>
      <c r="C4734" s="372" t="s">
        <v>12565</v>
      </c>
      <c r="D4734" s="140" t="s">
        <v>12566</v>
      </c>
      <c r="E4734" s="372" t="s">
        <v>12567</v>
      </c>
      <c r="F4734" s="372" t="s">
        <v>12568</v>
      </c>
      <c r="G4734" s="372" t="s">
        <v>12569</v>
      </c>
    </row>
    <row r="4735" spans="2:7" hidden="1">
      <c r="B4735" s="140" t="s">
        <v>20685</v>
      </c>
      <c r="C4735" s="372" t="s">
        <v>12570</v>
      </c>
      <c r="D4735" s="140" t="s">
        <v>12571</v>
      </c>
      <c r="E4735" s="372" t="s">
        <v>12572</v>
      </c>
      <c r="F4735" s="372" t="s">
        <v>12573</v>
      </c>
      <c r="G4735" s="372" t="s">
        <v>12574</v>
      </c>
    </row>
    <row r="4736" spans="2:7" hidden="1">
      <c r="B4736" s="140" t="s">
        <v>20686</v>
      </c>
      <c r="C4736" s="372" t="s">
        <v>12575</v>
      </c>
      <c r="D4736" s="140" t="s">
        <v>12576</v>
      </c>
      <c r="E4736" s="372" t="s">
        <v>12577</v>
      </c>
      <c r="F4736" s="372" t="s">
        <v>12578</v>
      </c>
      <c r="G4736" s="372" t="s">
        <v>12579</v>
      </c>
    </row>
    <row r="4737" spans="2:7" hidden="1">
      <c r="B4737" s="140" t="s">
        <v>20687</v>
      </c>
      <c r="C4737" s="372" t="s">
        <v>12580</v>
      </c>
      <c r="D4737" s="140" t="s">
        <v>12581</v>
      </c>
      <c r="E4737" s="372" t="s">
        <v>12582</v>
      </c>
      <c r="F4737" s="372" t="s">
        <v>12583</v>
      </c>
      <c r="G4737" s="372" t="s">
        <v>12584</v>
      </c>
    </row>
    <row r="4738" spans="2:7" hidden="1">
      <c r="B4738" s="140" t="s">
        <v>20688</v>
      </c>
      <c r="C4738" s="372" t="s">
        <v>12585</v>
      </c>
      <c r="D4738" s="140" t="s">
        <v>12586</v>
      </c>
      <c r="E4738" s="372" t="s">
        <v>12587</v>
      </c>
      <c r="F4738" s="372" t="s">
        <v>12588</v>
      </c>
      <c r="G4738" s="372" t="s">
        <v>12589</v>
      </c>
    </row>
    <row r="4739" spans="2:7" hidden="1">
      <c r="B4739" s="140" t="s">
        <v>20689</v>
      </c>
      <c r="C4739" s="372" t="s">
        <v>12590</v>
      </c>
      <c r="D4739" s="140" t="s">
        <v>12591</v>
      </c>
      <c r="E4739" s="372" t="s">
        <v>12592</v>
      </c>
      <c r="F4739" s="372" t="s">
        <v>12593</v>
      </c>
      <c r="G4739" s="372" t="s">
        <v>12594</v>
      </c>
    </row>
    <row r="4740" spans="2:7" hidden="1">
      <c r="B4740" s="140" t="s">
        <v>20690</v>
      </c>
      <c r="C4740" s="372" t="s">
        <v>12595</v>
      </c>
      <c r="D4740" s="140" t="s">
        <v>12596</v>
      </c>
      <c r="E4740" s="372" t="s">
        <v>12597</v>
      </c>
      <c r="F4740" s="372" t="s">
        <v>12598</v>
      </c>
      <c r="G4740" s="372" t="s">
        <v>12599</v>
      </c>
    </row>
    <row r="4741" spans="2:7" hidden="1">
      <c r="B4741" s="140" t="s">
        <v>20691</v>
      </c>
      <c r="C4741" s="372" t="s">
        <v>12600</v>
      </c>
      <c r="D4741" s="140" t="s">
        <v>12601</v>
      </c>
      <c r="E4741" s="372" t="s">
        <v>12602</v>
      </c>
      <c r="F4741" s="372" t="s">
        <v>12603</v>
      </c>
      <c r="G4741" s="372" t="s">
        <v>12604</v>
      </c>
    </row>
    <row r="4742" spans="2:7" hidden="1">
      <c r="B4742" s="140" t="s">
        <v>20692</v>
      </c>
      <c r="C4742" s="372" t="s">
        <v>12605</v>
      </c>
      <c r="D4742" s="140" t="s">
        <v>12606</v>
      </c>
      <c r="E4742" s="372" t="s">
        <v>12607</v>
      </c>
      <c r="F4742" s="372" t="s">
        <v>12608</v>
      </c>
      <c r="G4742" s="372" t="s">
        <v>12609</v>
      </c>
    </row>
    <row r="4743" spans="2:7" hidden="1">
      <c r="B4743" s="140" t="s">
        <v>20693</v>
      </c>
      <c r="C4743" s="372" t="s">
        <v>12610</v>
      </c>
      <c r="D4743" s="140" t="s">
        <v>6954</v>
      </c>
      <c r="E4743" s="372" t="s">
        <v>5302</v>
      </c>
      <c r="F4743" s="372" t="s">
        <v>12611</v>
      </c>
      <c r="G4743" s="372" t="s">
        <v>12612</v>
      </c>
    </row>
    <row r="4744" spans="2:7" hidden="1">
      <c r="B4744" s="140" t="s">
        <v>20694</v>
      </c>
      <c r="C4744" s="372" t="s">
        <v>12613</v>
      </c>
      <c r="D4744" s="140" t="s">
        <v>12614</v>
      </c>
      <c r="E4744" s="372" t="s">
        <v>12615</v>
      </c>
      <c r="F4744" s="372" t="s">
        <v>12616</v>
      </c>
      <c r="G4744" s="372" t="s">
        <v>12617</v>
      </c>
    </row>
    <row r="4745" spans="2:7" hidden="1">
      <c r="B4745" s="140" t="s">
        <v>20695</v>
      </c>
      <c r="C4745" s="372" t="s">
        <v>8556</v>
      </c>
      <c r="D4745" s="140" t="s">
        <v>5120</v>
      </c>
      <c r="E4745" s="372"/>
      <c r="F4745" s="372"/>
      <c r="G4745" s="372"/>
    </row>
    <row r="4746" spans="2:7" hidden="1">
      <c r="B4746" s="140" t="s">
        <v>20696</v>
      </c>
      <c r="C4746" s="372" t="s">
        <v>12618</v>
      </c>
      <c r="D4746" s="140" t="s">
        <v>7703</v>
      </c>
      <c r="E4746" s="372" t="s">
        <v>12619</v>
      </c>
      <c r="F4746" s="372" t="s">
        <v>12620</v>
      </c>
      <c r="G4746" s="372" t="s">
        <v>12621</v>
      </c>
    </row>
    <row r="4747" spans="2:7" hidden="1">
      <c r="B4747" s="140" t="s">
        <v>20697</v>
      </c>
      <c r="C4747" s="372" t="s">
        <v>12622</v>
      </c>
      <c r="D4747" s="140" t="s">
        <v>12623</v>
      </c>
      <c r="E4747" s="372" t="s">
        <v>12624</v>
      </c>
      <c r="F4747" s="372" t="s">
        <v>12625</v>
      </c>
      <c r="G4747" s="372" t="s">
        <v>12626</v>
      </c>
    </row>
    <row r="4748" spans="2:7" hidden="1">
      <c r="B4748" s="140" t="s">
        <v>20698</v>
      </c>
      <c r="C4748" s="372" t="s">
        <v>12627</v>
      </c>
      <c r="D4748" s="140" t="s">
        <v>12628</v>
      </c>
      <c r="E4748" s="372" t="s">
        <v>12629</v>
      </c>
      <c r="F4748" s="372" t="s">
        <v>12630</v>
      </c>
      <c r="G4748" s="372" t="s">
        <v>12631</v>
      </c>
    </row>
    <row r="4749" spans="2:7" hidden="1">
      <c r="B4749" s="140" t="s">
        <v>20699</v>
      </c>
      <c r="C4749" s="372" t="s">
        <v>12632</v>
      </c>
      <c r="D4749" s="140" t="s">
        <v>12633</v>
      </c>
      <c r="E4749" s="372" t="s">
        <v>12634</v>
      </c>
      <c r="F4749" s="372" t="s">
        <v>12635</v>
      </c>
      <c r="G4749" s="372" t="s">
        <v>12636</v>
      </c>
    </row>
    <row r="4750" spans="2:7" hidden="1">
      <c r="B4750" s="140" t="s">
        <v>20700</v>
      </c>
      <c r="C4750" s="372" t="s">
        <v>12637</v>
      </c>
      <c r="D4750" s="140" t="s">
        <v>7703</v>
      </c>
      <c r="E4750" s="372" t="s">
        <v>12638</v>
      </c>
      <c r="F4750" s="372" t="s">
        <v>12639</v>
      </c>
      <c r="G4750" s="372" t="s">
        <v>12640</v>
      </c>
    </row>
    <row r="4751" spans="2:7" hidden="1">
      <c r="B4751" s="140" t="s">
        <v>20701</v>
      </c>
      <c r="C4751" s="372" t="s">
        <v>12641</v>
      </c>
      <c r="D4751" s="140" t="s">
        <v>12642</v>
      </c>
      <c r="E4751" s="372" t="s">
        <v>12643</v>
      </c>
      <c r="F4751" s="372" t="s">
        <v>12644</v>
      </c>
      <c r="G4751" s="372" t="s">
        <v>12645</v>
      </c>
    </row>
    <row r="4752" spans="2:7" hidden="1">
      <c r="B4752" s="140" t="s">
        <v>20702</v>
      </c>
      <c r="C4752" s="372" t="s">
        <v>12646</v>
      </c>
      <c r="D4752" s="140" t="s">
        <v>12647</v>
      </c>
      <c r="E4752" s="372" t="s">
        <v>12648</v>
      </c>
      <c r="F4752" s="372" t="s">
        <v>12649</v>
      </c>
      <c r="G4752" s="372" t="s">
        <v>12650</v>
      </c>
    </row>
    <row r="4753" spans="2:7" hidden="1">
      <c r="B4753" s="140" t="s">
        <v>20703</v>
      </c>
      <c r="C4753" s="372" t="s">
        <v>12651</v>
      </c>
      <c r="D4753" s="140" t="s">
        <v>12652</v>
      </c>
      <c r="E4753" s="372" t="s">
        <v>12653</v>
      </c>
      <c r="F4753" s="372" t="s">
        <v>12654</v>
      </c>
      <c r="G4753" s="372" t="s">
        <v>12655</v>
      </c>
    </row>
    <row r="4754" spans="2:7" hidden="1">
      <c r="B4754" s="140" t="s">
        <v>20704</v>
      </c>
      <c r="C4754" s="372" t="s">
        <v>12656</v>
      </c>
      <c r="D4754" s="140" t="s">
        <v>12657</v>
      </c>
      <c r="E4754" s="372" t="s">
        <v>12658</v>
      </c>
      <c r="F4754" s="372" t="s">
        <v>12659</v>
      </c>
      <c r="G4754" s="372" t="s">
        <v>12660</v>
      </c>
    </row>
    <row r="4755" spans="2:7" hidden="1">
      <c r="B4755" s="141" t="s">
        <v>22127</v>
      </c>
      <c r="C4755" s="140" t="s">
        <v>16266</v>
      </c>
      <c r="D4755" s="141" t="s">
        <v>5111</v>
      </c>
      <c r="E4755" s="140" t="s">
        <v>16267</v>
      </c>
      <c r="F4755" s="140" t="s">
        <v>16268</v>
      </c>
      <c r="G4755" s="140"/>
    </row>
    <row r="4756" spans="2:7" hidden="1">
      <c r="B4756" s="141" t="s">
        <v>22128</v>
      </c>
      <c r="C4756" s="140" t="s">
        <v>16269</v>
      </c>
      <c r="D4756" s="141" t="s">
        <v>16270</v>
      </c>
      <c r="E4756" s="140" t="s">
        <v>16271</v>
      </c>
      <c r="F4756" s="140" t="s">
        <v>16272</v>
      </c>
      <c r="G4756" s="140"/>
    </row>
    <row r="4757" spans="2:7" hidden="1">
      <c r="B4757" s="140" t="s">
        <v>20705</v>
      </c>
      <c r="C4757" s="372" t="s">
        <v>12661</v>
      </c>
      <c r="D4757" s="140" t="s">
        <v>12606</v>
      </c>
      <c r="E4757" s="372" t="s">
        <v>12607</v>
      </c>
      <c r="F4757" s="372" t="s">
        <v>12662</v>
      </c>
      <c r="G4757" s="372" t="s">
        <v>12663</v>
      </c>
    </row>
    <row r="4758" spans="2:7" hidden="1">
      <c r="B4758" s="140" t="s">
        <v>20706</v>
      </c>
      <c r="C4758" s="372" t="s">
        <v>12664</v>
      </c>
      <c r="D4758" s="140" t="s">
        <v>12665</v>
      </c>
      <c r="E4758" s="372" t="s">
        <v>12666</v>
      </c>
      <c r="F4758" s="372" t="s">
        <v>12667</v>
      </c>
      <c r="G4758" s="372" t="s">
        <v>12668</v>
      </c>
    </row>
    <row r="4759" spans="2:7" hidden="1">
      <c r="B4759" s="140" t="s">
        <v>20707</v>
      </c>
      <c r="C4759" s="372" t="s">
        <v>12669</v>
      </c>
      <c r="D4759" s="140" t="s">
        <v>12670</v>
      </c>
      <c r="E4759" s="372" t="s">
        <v>12671</v>
      </c>
      <c r="F4759" s="372" t="s">
        <v>12672</v>
      </c>
      <c r="G4759" s="372" t="s">
        <v>12673</v>
      </c>
    </row>
    <row r="4760" spans="2:7" hidden="1">
      <c r="B4760" s="140" t="s">
        <v>20708</v>
      </c>
      <c r="C4760" s="372" t="s">
        <v>12674</v>
      </c>
      <c r="D4760" s="140" t="s">
        <v>5120</v>
      </c>
      <c r="E4760" s="372" t="s">
        <v>12675</v>
      </c>
      <c r="F4760" s="372" t="s">
        <v>12676</v>
      </c>
      <c r="G4760" s="372" t="s">
        <v>12677</v>
      </c>
    </row>
    <row r="4761" spans="2:7" hidden="1">
      <c r="B4761" s="140" t="s">
        <v>20709</v>
      </c>
      <c r="C4761" s="372" t="s">
        <v>12678</v>
      </c>
      <c r="D4761" s="140" t="s">
        <v>12679</v>
      </c>
      <c r="E4761" s="372" t="s">
        <v>12680</v>
      </c>
      <c r="F4761" s="372" t="s">
        <v>12681</v>
      </c>
      <c r="G4761" s="372" t="s">
        <v>12682</v>
      </c>
    </row>
    <row r="4762" spans="2:7" hidden="1">
      <c r="B4762" s="140" t="s">
        <v>20710</v>
      </c>
      <c r="C4762" s="372" t="s">
        <v>12683</v>
      </c>
      <c r="D4762" s="140" t="s">
        <v>12623</v>
      </c>
      <c r="E4762" s="372" t="s">
        <v>12684</v>
      </c>
      <c r="F4762" s="372" t="s">
        <v>12685</v>
      </c>
      <c r="G4762" s="372" t="s">
        <v>12686</v>
      </c>
    </row>
    <row r="4763" spans="2:7" hidden="1">
      <c r="B4763" s="140" t="s">
        <v>20711</v>
      </c>
      <c r="C4763" s="372" t="s">
        <v>12687</v>
      </c>
      <c r="D4763" s="140" t="s">
        <v>12688</v>
      </c>
      <c r="E4763" s="372" t="s">
        <v>12689</v>
      </c>
      <c r="F4763" s="372" t="s">
        <v>12690</v>
      </c>
      <c r="G4763" s="372" t="s">
        <v>12691</v>
      </c>
    </row>
    <row r="4764" spans="2:7" hidden="1">
      <c r="B4764" s="140" t="s">
        <v>20712</v>
      </c>
      <c r="C4764" s="372" t="s">
        <v>12692</v>
      </c>
      <c r="D4764" s="140" t="s">
        <v>12693</v>
      </c>
      <c r="E4764" s="372" t="s">
        <v>12694</v>
      </c>
      <c r="F4764" s="372" t="s">
        <v>12695</v>
      </c>
      <c r="G4764" s="372" t="s">
        <v>12696</v>
      </c>
    </row>
    <row r="4765" spans="2:7" hidden="1">
      <c r="B4765" s="140" t="s">
        <v>20713</v>
      </c>
      <c r="C4765" s="372" t="s">
        <v>12697</v>
      </c>
      <c r="D4765" s="140" t="s">
        <v>12698</v>
      </c>
      <c r="E4765" s="372" t="s">
        <v>12699</v>
      </c>
      <c r="F4765" s="372" t="s">
        <v>12700</v>
      </c>
      <c r="G4765" s="372" t="s">
        <v>12701</v>
      </c>
    </row>
    <row r="4766" spans="2:7" hidden="1">
      <c r="B4766" s="140" t="s">
        <v>20714</v>
      </c>
      <c r="C4766" s="372" t="s">
        <v>12702</v>
      </c>
      <c r="D4766" s="140" t="s">
        <v>12703</v>
      </c>
      <c r="E4766" s="372" t="s">
        <v>12704</v>
      </c>
      <c r="F4766" s="372" t="s">
        <v>12705</v>
      </c>
      <c r="G4766" s="372" t="s">
        <v>12706</v>
      </c>
    </row>
    <row r="4767" spans="2:7" hidden="1">
      <c r="B4767" s="140" t="s">
        <v>20715</v>
      </c>
      <c r="C4767" s="372" t="s">
        <v>12707</v>
      </c>
      <c r="D4767" s="140" t="s">
        <v>12708</v>
      </c>
      <c r="E4767" s="372" t="s">
        <v>12709</v>
      </c>
      <c r="F4767" s="372" t="s">
        <v>12710</v>
      </c>
      <c r="G4767" s="372" t="s">
        <v>12711</v>
      </c>
    </row>
    <row r="4768" spans="2:7" hidden="1">
      <c r="B4768" s="140" t="s">
        <v>20716</v>
      </c>
      <c r="C4768" s="372" t="s">
        <v>12712</v>
      </c>
      <c r="D4768" s="140" t="s">
        <v>12713</v>
      </c>
      <c r="E4768" s="372" t="s">
        <v>12714</v>
      </c>
      <c r="F4768" s="372" t="s">
        <v>12715</v>
      </c>
      <c r="G4768" s="372" t="s">
        <v>12716</v>
      </c>
    </row>
    <row r="4769" spans="2:7" hidden="1">
      <c r="B4769" s="140" t="s">
        <v>20717</v>
      </c>
      <c r="C4769" s="372" t="s">
        <v>12717</v>
      </c>
      <c r="D4769" s="140" t="s">
        <v>12718</v>
      </c>
      <c r="E4769" s="372" t="s">
        <v>12719</v>
      </c>
      <c r="F4769" s="372" t="s">
        <v>12720</v>
      </c>
      <c r="G4769" s="372" t="s">
        <v>12721</v>
      </c>
    </row>
    <row r="4770" spans="2:7" hidden="1">
      <c r="B4770" s="141" t="s">
        <v>20527</v>
      </c>
      <c r="C4770" s="140" t="s">
        <v>16273</v>
      </c>
      <c r="D4770" s="141" t="s">
        <v>16274</v>
      </c>
      <c r="E4770" s="140" t="s">
        <v>16275</v>
      </c>
      <c r="F4770" s="140" t="s">
        <v>16276</v>
      </c>
      <c r="G4770" s="140"/>
    </row>
    <row r="4771" spans="2:7" hidden="1">
      <c r="B4771" s="140" t="s">
        <v>20718</v>
      </c>
      <c r="C4771" s="372" t="s">
        <v>12722</v>
      </c>
      <c r="D4771" s="140" t="s">
        <v>12723</v>
      </c>
      <c r="E4771" s="372" t="s">
        <v>12724</v>
      </c>
      <c r="F4771" s="372" t="s">
        <v>12725</v>
      </c>
      <c r="G4771" s="372" t="s">
        <v>12726</v>
      </c>
    </row>
    <row r="4772" spans="2:7" hidden="1">
      <c r="B4772" s="140" t="s">
        <v>20719</v>
      </c>
      <c r="C4772" s="372" t="s">
        <v>12727</v>
      </c>
      <c r="D4772" s="140" t="s">
        <v>12728</v>
      </c>
      <c r="E4772" s="372" t="s">
        <v>12729</v>
      </c>
      <c r="F4772" s="372" t="s">
        <v>12730</v>
      </c>
      <c r="G4772" s="372" t="s">
        <v>12731</v>
      </c>
    </row>
    <row r="4773" spans="2:7" hidden="1">
      <c r="B4773" s="140" t="s">
        <v>20720</v>
      </c>
      <c r="C4773" s="372" t="s">
        <v>12732</v>
      </c>
      <c r="D4773" s="140" t="s">
        <v>12733</v>
      </c>
      <c r="E4773" s="372" t="s">
        <v>12734</v>
      </c>
      <c r="F4773" s="372" t="s">
        <v>12735</v>
      </c>
      <c r="G4773" s="372" t="s">
        <v>12736</v>
      </c>
    </row>
    <row r="4774" spans="2:7" hidden="1">
      <c r="B4774" s="140" t="s">
        <v>20721</v>
      </c>
      <c r="C4774" s="372" t="s">
        <v>12737</v>
      </c>
      <c r="D4774" s="140" t="s">
        <v>12738</v>
      </c>
      <c r="E4774" s="372" t="s">
        <v>12739</v>
      </c>
      <c r="F4774" s="372" t="s">
        <v>12740</v>
      </c>
      <c r="G4774" s="372" t="s">
        <v>12741</v>
      </c>
    </row>
    <row r="4775" spans="2:7" hidden="1">
      <c r="B4775" s="140" t="s">
        <v>20722</v>
      </c>
      <c r="C4775" s="372" t="s">
        <v>12742</v>
      </c>
      <c r="D4775" s="140" t="s">
        <v>12743</v>
      </c>
      <c r="E4775" s="372" t="s">
        <v>12744</v>
      </c>
      <c r="F4775" s="372" t="s">
        <v>12745</v>
      </c>
      <c r="G4775" s="372" t="s">
        <v>12746</v>
      </c>
    </row>
    <row r="4776" spans="2:7" hidden="1">
      <c r="B4776" s="140" t="s">
        <v>20723</v>
      </c>
      <c r="C4776" s="372" t="s">
        <v>12747</v>
      </c>
      <c r="D4776" s="140" t="s">
        <v>12748</v>
      </c>
      <c r="E4776" s="372" t="s">
        <v>12749</v>
      </c>
      <c r="F4776" s="372" t="s">
        <v>12750</v>
      </c>
      <c r="G4776" s="372" t="s">
        <v>12751</v>
      </c>
    </row>
    <row r="4777" spans="2:7" hidden="1">
      <c r="B4777" s="140" t="s">
        <v>20724</v>
      </c>
      <c r="C4777" s="372" t="s">
        <v>12752</v>
      </c>
      <c r="D4777" s="140" t="s">
        <v>12753</v>
      </c>
      <c r="E4777" s="372" t="s">
        <v>12754</v>
      </c>
      <c r="F4777" s="372" t="s">
        <v>12755</v>
      </c>
      <c r="G4777" s="372" t="s">
        <v>12756</v>
      </c>
    </row>
    <row r="4778" spans="2:7" hidden="1">
      <c r="B4778" s="140" t="s">
        <v>20725</v>
      </c>
      <c r="C4778" s="372" t="s">
        <v>12757</v>
      </c>
      <c r="D4778" s="140" t="s">
        <v>12758</v>
      </c>
      <c r="E4778" s="372" t="s">
        <v>12759</v>
      </c>
      <c r="F4778" s="372" t="s">
        <v>12760</v>
      </c>
      <c r="G4778" s="372" t="s">
        <v>12761</v>
      </c>
    </row>
    <row r="4779" spans="2:7" hidden="1">
      <c r="B4779" s="140" t="s">
        <v>20726</v>
      </c>
      <c r="C4779" s="372" t="s">
        <v>12762</v>
      </c>
      <c r="D4779" s="140" t="s">
        <v>12763</v>
      </c>
      <c r="E4779" s="372" t="s">
        <v>12764</v>
      </c>
      <c r="F4779" s="372" t="s">
        <v>12765</v>
      </c>
      <c r="G4779" s="372" t="s">
        <v>12766</v>
      </c>
    </row>
    <row r="4780" spans="2:7" hidden="1">
      <c r="B4780" s="140" t="s">
        <v>20727</v>
      </c>
      <c r="C4780" s="372" t="s">
        <v>12767</v>
      </c>
      <c r="D4780" s="140" t="s">
        <v>12768</v>
      </c>
      <c r="E4780" s="372" t="s">
        <v>12769</v>
      </c>
      <c r="F4780" s="372" t="s">
        <v>12770</v>
      </c>
      <c r="G4780" s="372" t="s">
        <v>12771</v>
      </c>
    </row>
    <row r="4781" spans="2:7" hidden="1">
      <c r="B4781" s="140" t="s">
        <v>20728</v>
      </c>
      <c r="C4781" s="372" t="s">
        <v>12772</v>
      </c>
      <c r="D4781" s="140" t="s">
        <v>12773</v>
      </c>
      <c r="E4781" s="372" t="s">
        <v>12774</v>
      </c>
      <c r="F4781" s="372" t="s">
        <v>12775</v>
      </c>
      <c r="G4781" s="372" t="s">
        <v>12776</v>
      </c>
    </row>
    <row r="4782" spans="2:7" hidden="1">
      <c r="B4782" s="140" t="s">
        <v>20729</v>
      </c>
      <c r="C4782" s="372" t="s">
        <v>12777</v>
      </c>
      <c r="D4782" s="140" t="s">
        <v>12778</v>
      </c>
      <c r="E4782" s="372" t="s">
        <v>12779</v>
      </c>
      <c r="F4782" s="372" t="s">
        <v>12780</v>
      </c>
      <c r="G4782" s="372" t="s">
        <v>12781</v>
      </c>
    </row>
    <row r="4783" spans="2:7" hidden="1">
      <c r="B4783" s="140" t="s">
        <v>20730</v>
      </c>
      <c r="C4783" s="372" t="s">
        <v>12782</v>
      </c>
      <c r="D4783" s="140" t="s">
        <v>12783</v>
      </c>
      <c r="E4783" s="372" t="s">
        <v>12784</v>
      </c>
      <c r="F4783" s="372" t="s">
        <v>12785</v>
      </c>
      <c r="G4783" s="372" t="s">
        <v>12786</v>
      </c>
    </row>
    <row r="4784" spans="2:7" hidden="1">
      <c r="B4784" s="140" t="s">
        <v>20731</v>
      </c>
      <c r="C4784" s="372" t="s">
        <v>12787</v>
      </c>
      <c r="D4784" s="140" t="s">
        <v>12788</v>
      </c>
      <c r="E4784" s="372" t="s">
        <v>12789</v>
      </c>
      <c r="F4784" s="372" t="s">
        <v>12790</v>
      </c>
      <c r="G4784" s="372" t="s">
        <v>12791</v>
      </c>
    </row>
    <row r="4785" spans="2:7" hidden="1">
      <c r="B4785" s="140" t="s">
        <v>20732</v>
      </c>
      <c r="C4785" s="372" t="s">
        <v>12792</v>
      </c>
      <c r="D4785" s="140" t="s">
        <v>12793</v>
      </c>
      <c r="E4785" s="372" t="s">
        <v>12794</v>
      </c>
      <c r="F4785" s="372" t="s">
        <v>12795</v>
      </c>
      <c r="G4785" s="372" t="s">
        <v>12796</v>
      </c>
    </row>
    <row r="4786" spans="2:7" hidden="1">
      <c r="B4786" s="140" t="s">
        <v>20733</v>
      </c>
      <c r="C4786" s="372" t="s">
        <v>12797</v>
      </c>
      <c r="D4786" s="140" t="s">
        <v>12798</v>
      </c>
      <c r="E4786" s="372" t="s">
        <v>12799</v>
      </c>
      <c r="F4786" s="372" t="s">
        <v>12800</v>
      </c>
      <c r="G4786" s="372" t="s">
        <v>12801</v>
      </c>
    </row>
    <row r="4787" spans="2:7" hidden="1">
      <c r="B4787" s="140" t="s">
        <v>20734</v>
      </c>
      <c r="C4787" s="372" t="s">
        <v>12802</v>
      </c>
      <c r="D4787" s="140" t="s">
        <v>12803</v>
      </c>
      <c r="E4787" s="372" t="s">
        <v>12804</v>
      </c>
      <c r="F4787" s="372" t="s">
        <v>12805</v>
      </c>
      <c r="G4787" s="372" t="s">
        <v>12806</v>
      </c>
    </row>
    <row r="4788" spans="2:7" hidden="1">
      <c r="B4788" s="140" t="s">
        <v>20735</v>
      </c>
      <c r="C4788" s="372" t="s">
        <v>12807</v>
      </c>
      <c r="D4788" s="140" t="s">
        <v>12808</v>
      </c>
      <c r="E4788" s="372" t="s">
        <v>12809</v>
      </c>
      <c r="F4788" s="372" t="s">
        <v>12810</v>
      </c>
      <c r="G4788" s="372" t="s">
        <v>12811</v>
      </c>
    </row>
    <row r="4789" spans="2:7" hidden="1">
      <c r="B4789" s="140" t="s">
        <v>20736</v>
      </c>
      <c r="C4789" s="372" t="s">
        <v>12812</v>
      </c>
      <c r="D4789" s="140" t="s">
        <v>12813</v>
      </c>
      <c r="E4789" s="372" t="s">
        <v>12814</v>
      </c>
      <c r="F4789" s="372" t="s">
        <v>12815</v>
      </c>
      <c r="G4789" s="372" t="s">
        <v>12816</v>
      </c>
    </row>
    <row r="4790" spans="2:7" hidden="1">
      <c r="B4790" s="140" t="s">
        <v>20737</v>
      </c>
      <c r="C4790" s="372" t="s">
        <v>12817</v>
      </c>
      <c r="D4790" s="140" t="s">
        <v>12818</v>
      </c>
      <c r="E4790" s="372" t="s">
        <v>12819</v>
      </c>
      <c r="F4790" s="372" t="s">
        <v>12820</v>
      </c>
      <c r="G4790" s="372" t="s">
        <v>12821</v>
      </c>
    </row>
    <row r="4791" spans="2:7" hidden="1">
      <c r="B4791" s="140" t="s">
        <v>20738</v>
      </c>
      <c r="C4791" s="372" t="s">
        <v>12822</v>
      </c>
      <c r="D4791" s="140" t="s">
        <v>12823</v>
      </c>
      <c r="E4791" s="372" t="s">
        <v>12824</v>
      </c>
      <c r="F4791" s="372" t="s">
        <v>12825</v>
      </c>
      <c r="G4791" s="372" t="s">
        <v>12826</v>
      </c>
    </row>
    <row r="4792" spans="2:7" hidden="1">
      <c r="B4792" s="140" t="s">
        <v>20739</v>
      </c>
      <c r="C4792" s="372" t="s">
        <v>12827</v>
      </c>
      <c r="D4792" s="140" t="s">
        <v>12828</v>
      </c>
      <c r="E4792" s="372" t="s">
        <v>12829</v>
      </c>
      <c r="F4792" s="372" t="s">
        <v>12830</v>
      </c>
      <c r="G4792" s="372" t="s">
        <v>12831</v>
      </c>
    </row>
    <row r="4793" spans="2:7" hidden="1">
      <c r="B4793" s="140" t="s">
        <v>20740</v>
      </c>
      <c r="C4793" s="372" t="s">
        <v>12832</v>
      </c>
      <c r="D4793" s="140" t="s">
        <v>12833</v>
      </c>
      <c r="E4793" s="372" t="s">
        <v>12834</v>
      </c>
      <c r="F4793" s="372" t="s">
        <v>12835</v>
      </c>
      <c r="G4793" s="372" t="s">
        <v>12836</v>
      </c>
    </row>
    <row r="4794" spans="2:7" hidden="1">
      <c r="B4794" s="140" t="s">
        <v>20741</v>
      </c>
      <c r="C4794" s="372" t="s">
        <v>12837</v>
      </c>
      <c r="D4794" s="140" t="s">
        <v>12838</v>
      </c>
      <c r="E4794" s="372" t="s">
        <v>12839</v>
      </c>
      <c r="F4794" s="372" t="s">
        <v>12840</v>
      </c>
      <c r="G4794" s="372" t="s">
        <v>12801</v>
      </c>
    </row>
    <row r="4795" spans="2:7" hidden="1">
      <c r="B4795" s="140" t="s">
        <v>20742</v>
      </c>
      <c r="C4795" s="372" t="s">
        <v>12841</v>
      </c>
      <c r="D4795" s="140" t="s">
        <v>12842</v>
      </c>
      <c r="E4795" s="372" t="s">
        <v>12843</v>
      </c>
      <c r="F4795" s="372" t="s">
        <v>12844</v>
      </c>
      <c r="G4795" s="372" t="s">
        <v>12845</v>
      </c>
    </row>
    <row r="4796" spans="2:7" hidden="1">
      <c r="B4796" s="140" t="s">
        <v>20743</v>
      </c>
      <c r="C4796" s="372" t="s">
        <v>12846</v>
      </c>
      <c r="D4796" s="140" t="s">
        <v>12847</v>
      </c>
      <c r="E4796" s="372" t="s">
        <v>12848</v>
      </c>
      <c r="F4796" s="372" t="s">
        <v>12849</v>
      </c>
      <c r="G4796" s="372" t="s">
        <v>12850</v>
      </c>
    </row>
    <row r="4797" spans="2:7" hidden="1">
      <c r="B4797" s="140" t="s">
        <v>20744</v>
      </c>
      <c r="C4797" s="372" t="s">
        <v>12851</v>
      </c>
      <c r="D4797" s="140" t="s">
        <v>12852</v>
      </c>
      <c r="E4797" s="372" t="s">
        <v>12853</v>
      </c>
      <c r="F4797" s="372" t="s">
        <v>12854</v>
      </c>
      <c r="G4797" s="372" t="s">
        <v>12855</v>
      </c>
    </row>
    <row r="4798" spans="2:7" hidden="1">
      <c r="B4798" s="140" t="s">
        <v>20745</v>
      </c>
      <c r="C4798" s="372" t="s">
        <v>12856</v>
      </c>
      <c r="D4798" s="140" t="s">
        <v>12857</v>
      </c>
      <c r="E4798" s="372" t="s">
        <v>12858</v>
      </c>
      <c r="F4798" s="372" t="s">
        <v>12859</v>
      </c>
      <c r="G4798" s="372" t="s">
        <v>12860</v>
      </c>
    </row>
    <row r="4799" spans="2:7" hidden="1">
      <c r="B4799" s="140" t="s">
        <v>20746</v>
      </c>
      <c r="C4799" s="372" t="s">
        <v>12861</v>
      </c>
      <c r="D4799" s="140" t="s">
        <v>12862</v>
      </c>
      <c r="E4799" s="372" t="s">
        <v>12863</v>
      </c>
      <c r="F4799" s="372" t="s">
        <v>12864</v>
      </c>
      <c r="G4799" s="372" t="s">
        <v>12865</v>
      </c>
    </row>
    <row r="4800" spans="2:7" hidden="1">
      <c r="B4800" s="140" t="s">
        <v>20747</v>
      </c>
      <c r="C4800" s="372" t="s">
        <v>12866</v>
      </c>
      <c r="D4800" s="140" t="s">
        <v>12867</v>
      </c>
      <c r="E4800" s="372" t="s">
        <v>12868</v>
      </c>
      <c r="F4800" s="372" t="s">
        <v>12869</v>
      </c>
      <c r="G4800" s="372" t="s">
        <v>12870</v>
      </c>
    </row>
    <row r="4801" spans="2:7" hidden="1">
      <c r="B4801" s="140" t="s">
        <v>20748</v>
      </c>
      <c r="C4801" s="372" t="s">
        <v>12871</v>
      </c>
      <c r="D4801" s="140" t="s">
        <v>12872</v>
      </c>
      <c r="E4801" s="372" t="s">
        <v>12873</v>
      </c>
      <c r="F4801" s="372" t="s">
        <v>12874</v>
      </c>
      <c r="G4801" s="372" t="s">
        <v>12875</v>
      </c>
    </row>
    <row r="4802" spans="2:7" hidden="1">
      <c r="B4802" s="140" t="s">
        <v>20749</v>
      </c>
      <c r="C4802" s="372" t="s">
        <v>12876</v>
      </c>
      <c r="D4802" s="140" t="s">
        <v>12877</v>
      </c>
      <c r="E4802" s="372" t="s">
        <v>12878</v>
      </c>
      <c r="F4802" s="372" t="s">
        <v>12879</v>
      </c>
      <c r="G4802" s="372" t="s">
        <v>12880</v>
      </c>
    </row>
    <row r="4803" spans="2:7" hidden="1">
      <c r="B4803" s="140" t="s">
        <v>20750</v>
      </c>
      <c r="C4803" s="372" t="s">
        <v>12881</v>
      </c>
      <c r="D4803" s="140" t="s">
        <v>8931</v>
      </c>
      <c r="E4803" s="372" t="s">
        <v>12882</v>
      </c>
      <c r="F4803" s="372" t="s">
        <v>12883</v>
      </c>
      <c r="G4803" s="372" t="s">
        <v>12884</v>
      </c>
    </row>
    <row r="4804" spans="2:7" hidden="1">
      <c r="B4804" s="140" t="s">
        <v>20751</v>
      </c>
      <c r="C4804" s="372" t="s">
        <v>12885</v>
      </c>
      <c r="D4804" s="140" t="s">
        <v>12886</v>
      </c>
      <c r="E4804" s="372" t="s">
        <v>12887</v>
      </c>
      <c r="F4804" s="372" t="s">
        <v>12888</v>
      </c>
      <c r="G4804" s="372" t="s">
        <v>12889</v>
      </c>
    </row>
    <row r="4805" spans="2:7" hidden="1">
      <c r="B4805" s="140" t="s">
        <v>20752</v>
      </c>
      <c r="C4805" s="372" t="s">
        <v>12890</v>
      </c>
      <c r="D4805" s="140" t="s">
        <v>12891</v>
      </c>
      <c r="E4805" s="372" t="s">
        <v>12892</v>
      </c>
      <c r="F4805" s="372" t="s">
        <v>12893</v>
      </c>
      <c r="G4805" s="372" t="s">
        <v>12894</v>
      </c>
    </row>
    <row r="4806" spans="2:7" hidden="1">
      <c r="B4806" s="140" t="s">
        <v>20753</v>
      </c>
      <c r="C4806" s="372" t="s">
        <v>12895</v>
      </c>
      <c r="D4806" s="140" t="s">
        <v>12896</v>
      </c>
      <c r="E4806" s="372" t="s">
        <v>12897</v>
      </c>
      <c r="F4806" s="372" t="s">
        <v>12898</v>
      </c>
      <c r="G4806" s="372" t="s">
        <v>12899</v>
      </c>
    </row>
    <row r="4807" spans="2:7" hidden="1">
      <c r="B4807" s="140" t="s">
        <v>20754</v>
      </c>
      <c r="C4807" s="372" t="s">
        <v>12900</v>
      </c>
      <c r="D4807" s="140" t="s">
        <v>12901</v>
      </c>
      <c r="E4807" s="372" t="s">
        <v>12902</v>
      </c>
      <c r="F4807" s="372" t="s">
        <v>12903</v>
      </c>
      <c r="G4807" s="372" t="s">
        <v>12904</v>
      </c>
    </row>
    <row r="4808" spans="2:7" hidden="1">
      <c r="B4808" s="140" t="s">
        <v>20755</v>
      </c>
      <c r="C4808" s="372" t="s">
        <v>12905</v>
      </c>
      <c r="D4808" s="140" t="s">
        <v>12906</v>
      </c>
      <c r="E4808" s="372" t="s">
        <v>12907</v>
      </c>
      <c r="F4808" s="372" t="s">
        <v>12908</v>
      </c>
      <c r="G4808" s="372" t="s">
        <v>12909</v>
      </c>
    </row>
    <row r="4809" spans="2:7" hidden="1">
      <c r="B4809" s="140" t="s">
        <v>22185</v>
      </c>
      <c r="C4809" s="140" t="s">
        <v>22186</v>
      </c>
      <c r="D4809" s="140" t="s">
        <v>22187</v>
      </c>
      <c r="E4809" s="142" t="s">
        <v>16275</v>
      </c>
      <c r="F4809" s="142" t="s">
        <v>16276</v>
      </c>
      <c r="G4809" s="140"/>
    </row>
    <row r="4810" spans="2:7" hidden="1">
      <c r="B4810" s="140" t="s">
        <v>20756</v>
      </c>
      <c r="C4810" s="372" t="s">
        <v>12910</v>
      </c>
      <c r="D4810" s="140" t="s">
        <v>12911</v>
      </c>
      <c r="E4810" s="372" t="s">
        <v>12912</v>
      </c>
      <c r="F4810" s="372" t="s">
        <v>12913</v>
      </c>
      <c r="G4810" s="372" t="s">
        <v>12914</v>
      </c>
    </row>
    <row r="4811" spans="2:7" hidden="1">
      <c r="B4811" s="140" t="s">
        <v>20757</v>
      </c>
      <c r="C4811" s="372" t="s">
        <v>12915</v>
      </c>
      <c r="D4811" s="140" t="s">
        <v>12916</v>
      </c>
      <c r="E4811" s="372" t="s">
        <v>12917</v>
      </c>
      <c r="F4811" s="372" t="s">
        <v>12918</v>
      </c>
      <c r="G4811" s="372" t="s">
        <v>12919</v>
      </c>
    </row>
    <row r="4812" spans="2:7" hidden="1">
      <c r="B4812" s="140" t="s">
        <v>20758</v>
      </c>
      <c r="C4812" s="372" t="s">
        <v>12920</v>
      </c>
      <c r="D4812" s="140" t="s">
        <v>12921</v>
      </c>
      <c r="E4812" s="372" t="s">
        <v>12922</v>
      </c>
      <c r="F4812" s="372" t="s">
        <v>12923</v>
      </c>
      <c r="G4812" s="372" t="s">
        <v>12924</v>
      </c>
    </row>
    <row r="4813" spans="2:7" hidden="1">
      <c r="B4813" s="140" t="s">
        <v>20759</v>
      </c>
      <c r="C4813" s="372" t="s">
        <v>12925</v>
      </c>
      <c r="D4813" s="140" t="s">
        <v>12926</v>
      </c>
      <c r="E4813" s="372" t="s">
        <v>12927</v>
      </c>
      <c r="F4813" s="372" t="s">
        <v>12928</v>
      </c>
      <c r="G4813" s="372" t="s">
        <v>12929</v>
      </c>
    </row>
    <row r="4814" spans="2:7" hidden="1">
      <c r="B4814" s="140" t="s">
        <v>20760</v>
      </c>
      <c r="C4814" s="372" t="s">
        <v>12930</v>
      </c>
      <c r="D4814" s="140" t="s">
        <v>12931</v>
      </c>
      <c r="E4814" s="372" t="s">
        <v>12932</v>
      </c>
      <c r="F4814" s="372" t="s">
        <v>12933</v>
      </c>
      <c r="G4814" s="372" t="s">
        <v>12934</v>
      </c>
    </row>
    <row r="4815" spans="2:7" hidden="1">
      <c r="B4815" s="140" t="s">
        <v>20761</v>
      </c>
      <c r="C4815" s="372" t="s">
        <v>12935</v>
      </c>
      <c r="D4815" s="140" t="s">
        <v>12936</v>
      </c>
      <c r="E4815" s="372" t="s">
        <v>12937</v>
      </c>
      <c r="F4815" s="372" t="s">
        <v>12938</v>
      </c>
      <c r="G4815" s="372" t="s">
        <v>12939</v>
      </c>
    </row>
    <row r="4816" spans="2:7" hidden="1">
      <c r="B4816" s="140" t="s">
        <v>20762</v>
      </c>
      <c r="C4816" s="372" t="s">
        <v>12940</v>
      </c>
      <c r="D4816" s="140" t="s">
        <v>12941</v>
      </c>
      <c r="E4816" s="372" t="s">
        <v>12942</v>
      </c>
      <c r="F4816" s="372" t="s">
        <v>12943</v>
      </c>
      <c r="G4816" s="372" t="s">
        <v>12944</v>
      </c>
    </row>
    <row r="4817" spans="2:7" hidden="1">
      <c r="B4817" s="140" t="s">
        <v>20763</v>
      </c>
      <c r="C4817" s="372" t="s">
        <v>12945</v>
      </c>
      <c r="D4817" s="140" t="s">
        <v>12946</v>
      </c>
      <c r="E4817" s="372" t="s">
        <v>12947</v>
      </c>
      <c r="F4817" s="372" t="s">
        <v>12948</v>
      </c>
      <c r="G4817" s="372" t="s">
        <v>12949</v>
      </c>
    </row>
    <row r="4818" spans="2:7" hidden="1">
      <c r="B4818" s="140" t="s">
        <v>20764</v>
      </c>
      <c r="C4818" s="372" t="s">
        <v>12950</v>
      </c>
      <c r="D4818" s="140" t="s">
        <v>12951</v>
      </c>
      <c r="E4818" s="372" t="s">
        <v>12952</v>
      </c>
      <c r="F4818" s="372" t="s">
        <v>12953</v>
      </c>
      <c r="G4818" s="372" t="s">
        <v>12954</v>
      </c>
    </row>
    <row r="4819" spans="2:7" hidden="1">
      <c r="B4819" s="140" t="s">
        <v>20765</v>
      </c>
      <c r="C4819" s="372" t="s">
        <v>12955</v>
      </c>
      <c r="D4819" s="140" t="s">
        <v>12956</v>
      </c>
      <c r="E4819" s="372" t="s">
        <v>12957</v>
      </c>
      <c r="F4819" s="372" t="s">
        <v>12958</v>
      </c>
      <c r="G4819" s="372" t="s">
        <v>12959</v>
      </c>
    </row>
    <row r="4820" spans="2:7" hidden="1">
      <c r="B4820" s="140" t="s">
        <v>20766</v>
      </c>
      <c r="C4820" s="372" t="s">
        <v>12960</v>
      </c>
      <c r="D4820" s="140" t="s">
        <v>12961</v>
      </c>
      <c r="E4820" s="372" t="s">
        <v>12962</v>
      </c>
      <c r="F4820" s="372" t="s">
        <v>12963</v>
      </c>
      <c r="G4820" s="372" t="s">
        <v>12964</v>
      </c>
    </row>
    <row r="4821" spans="2:7" hidden="1">
      <c r="B4821" s="140" t="s">
        <v>20767</v>
      </c>
      <c r="C4821" s="372" t="s">
        <v>12965</v>
      </c>
      <c r="D4821" s="140" t="s">
        <v>12966</v>
      </c>
      <c r="E4821" s="372" t="s">
        <v>12967</v>
      </c>
      <c r="F4821" s="372" t="s">
        <v>12968</v>
      </c>
      <c r="G4821" s="372" t="s">
        <v>12969</v>
      </c>
    </row>
    <row r="4822" spans="2:7" hidden="1">
      <c r="B4822" s="140" t="s">
        <v>20768</v>
      </c>
      <c r="C4822" s="372" t="s">
        <v>12970</v>
      </c>
      <c r="D4822" s="140" t="s">
        <v>5558</v>
      </c>
      <c r="E4822" s="372" t="s">
        <v>12971</v>
      </c>
      <c r="F4822" s="372" t="s">
        <v>12972</v>
      </c>
      <c r="G4822" s="372" t="s">
        <v>12973</v>
      </c>
    </row>
    <row r="4823" spans="2:7" hidden="1">
      <c r="B4823" s="140" t="s">
        <v>20769</v>
      </c>
      <c r="C4823" s="372" t="s">
        <v>12974</v>
      </c>
      <c r="D4823" s="140" t="s">
        <v>12975</v>
      </c>
      <c r="E4823" s="372" t="s">
        <v>12976</v>
      </c>
      <c r="F4823" s="372" t="s">
        <v>12977</v>
      </c>
      <c r="G4823" s="372" t="s">
        <v>12978</v>
      </c>
    </row>
    <row r="4824" spans="2:7" hidden="1">
      <c r="B4824" s="140" t="s">
        <v>20770</v>
      </c>
      <c r="C4824" s="372" t="s">
        <v>12979</v>
      </c>
      <c r="D4824" s="140" t="s">
        <v>12980</v>
      </c>
      <c r="E4824" s="372" t="s">
        <v>12981</v>
      </c>
      <c r="F4824" s="372" t="s">
        <v>12982</v>
      </c>
      <c r="G4824" s="372" t="s">
        <v>12983</v>
      </c>
    </row>
    <row r="4825" spans="2:7" hidden="1">
      <c r="B4825" s="140" t="s">
        <v>20771</v>
      </c>
      <c r="C4825" s="372" t="s">
        <v>12984</v>
      </c>
      <c r="D4825" s="140" t="s">
        <v>12985</v>
      </c>
      <c r="E4825" s="372" t="s">
        <v>12986</v>
      </c>
      <c r="F4825" s="372" t="s">
        <v>12987</v>
      </c>
      <c r="G4825" s="372" t="s">
        <v>12988</v>
      </c>
    </row>
    <row r="4826" spans="2:7" hidden="1">
      <c r="B4826" s="140" t="s">
        <v>20772</v>
      </c>
      <c r="C4826" s="372" t="s">
        <v>12989</v>
      </c>
      <c r="D4826" s="140" t="s">
        <v>12990</v>
      </c>
      <c r="E4826" s="372" t="s">
        <v>12991</v>
      </c>
      <c r="F4826" s="372" t="s">
        <v>12992</v>
      </c>
      <c r="G4826" s="372" t="s">
        <v>12993</v>
      </c>
    </row>
    <row r="4827" spans="2:7" hidden="1">
      <c r="B4827" s="140" t="s">
        <v>20773</v>
      </c>
      <c r="C4827" s="372" t="s">
        <v>12994</v>
      </c>
      <c r="D4827" s="140" t="s">
        <v>12995</v>
      </c>
      <c r="E4827" s="372" t="s">
        <v>12996</v>
      </c>
      <c r="F4827" s="372" t="s">
        <v>12997</v>
      </c>
      <c r="G4827" s="372" t="s">
        <v>12998</v>
      </c>
    </row>
    <row r="4828" spans="2:7" hidden="1">
      <c r="B4828" s="140" t="s">
        <v>20774</v>
      </c>
      <c r="C4828" s="372" t="s">
        <v>12999</v>
      </c>
      <c r="D4828" s="140" t="s">
        <v>13000</v>
      </c>
      <c r="E4828" s="372" t="s">
        <v>13001</v>
      </c>
      <c r="F4828" s="372" t="s">
        <v>13002</v>
      </c>
      <c r="G4828" s="372" t="s">
        <v>13003</v>
      </c>
    </row>
    <row r="4829" spans="2:7" hidden="1">
      <c r="B4829" s="140" t="s">
        <v>20775</v>
      </c>
      <c r="C4829" s="372" t="s">
        <v>13004</v>
      </c>
      <c r="D4829" s="140" t="s">
        <v>13005</v>
      </c>
      <c r="E4829" s="372" t="s">
        <v>13006</v>
      </c>
      <c r="F4829" s="372" t="s">
        <v>13007</v>
      </c>
      <c r="G4829" s="372" t="s">
        <v>13008</v>
      </c>
    </row>
    <row r="4830" spans="2:7" hidden="1">
      <c r="B4830" s="140" t="s">
        <v>20776</v>
      </c>
      <c r="C4830" s="372" t="s">
        <v>13009</v>
      </c>
      <c r="D4830" s="140" t="s">
        <v>13010</v>
      </c>
      <c r="E4830" s="372" t="s">
        <v>13011</v>
      </c>
      <c r="F4830" s="372" t="s">
        <v>13012</v>
      </c>
      <c r="G4830" s="372" t="s">
        <v>13013</v>
      </c>
    </row>
    <row r="4831" spans="2:7" hidden="1">
      <c r="B4831" s="140" t="s">
        <v>20777</v>
      </c>
      <c r="C4831" s="372" t="s">
        <v>13014</v>
      </c>
      <c r="D4831" s="140" t="s">
        <v>13015</v>
      </c>
      <c r="E4831" s="372" t="s">
        <v>13016</v>
      </c>
      <c r="F4831" s="372" t="s">
        <v>13017</v>
      </c>
      <c r="G4831" s="372" t="s">
        <v>13018</v>
      </c>
    </row>
    <row r="4832" spans="2:7" hidden="1">
      <c r="B4832" s="140" t="s">
        <v>20778</v>
      </c>
      <c r="C4832" s="372" t="s">
        <v>13019</v>
      </c>
      <c r="D4832" s="140" t="s">
        <v>13020</v>
      </c>
      <c r="E4832" s="372" t="s">
        <v>13021</v>
      </c>
      <c r="F4832" s="372" t="s">
        <v>13022</v>
      </c>
      <c r="G4832" s="372" t="s">
        <v>13023</v>
      </c>
    </row>
    <row r="4833" spans="2:7" hidden="1">
      <c r="B4833" s="140" t="s">
        <v>20779</v>
      </c>
      <c r="C4833" s="372" t="s">
        <v>13024</v>
      </c>
      <c r="D4833" s="140" t="s">
        <v>13025</v>
      </c>
      <c r="E4833" s="372" t="s">
        <v>13026</v>
      </c>
      <c r="F4833" s="372" t="s">
        <v>13027</v>
      </c>
      <c r="G4833" s="372" t="s">
        <v>13028</v>
      </c>
    </row>
    <row r="4834" spans="2:7" hidden="1">
      <c r="B4834" s="140" t="s">
        <v>20780</v>
      </c>
      <c r="C4834" s="372" t="s">
        <v>13029</v>
      </c>
      <c r="D4834" s="140" t="s">
        <v>13030</v>
      </c>
      <c r="E4834" s="372" t="s">
        <v>13031</v>
      </c>
      <c r="F4834" s="372" t="s">
        <v>13032</v>
      </c>
      <c r="G4834" s="372" t="s">
        <v>13033</v>
      </c>
    </row>
    <row r="4835" spans="2:7" hidden="1">
      <c r="B4835" s="140" t="s">
        <v>20781</v>
      </c>
      <c r="C4835" s="372" t="s">
        <v>13034</v>
      </c>
      <c r="D4835" s="140" t="s">
        <v>13035</v>
      </c>
      <c r="E4835" s="372" t="s">
        <v>13036</v>
      </c>
      <c r="F4835" s="372" t="s">
        <v>13037</v>
      </c>
      <c r="G4835" s="372" t="s">
        <v>13038</v>
      </c>
    </row>
    <row r="4836" spans="2:7" hidden="1">
      <c r="B4836" s="140" t="s">
        <v>20782</v>
      </c>
      <c r="C4836" s="372" t="s">
        <v>13039</v>
      </c>
      <c r="D4836" s="140" t="s">
        <v>13040</v>
      </c>
      <c r="E4836" s="372" t="s">
        <v>13041</v>
      </c>
      <c r="F4836" s="372" t="s">
        <v>13042</v>
      </c>
      <c r="G4836" s="372" t="s">
        <v>13038</v>
      </c>
    </row>
    <row r="4837" spans="2:7" hidden="1">
      <c r="B4837" s="140" t="s">
        <v>20783</v>
      </c>
      <c r="C4837" s="372" t="s">
        <v>13043</v>
      </c>
      <c r="D4837" s="140" t="s">
        <v>13044</v>
      </c>
      <c r="E4837" s="372" t="s">
        <v>13045</v>
      </c>
      <c r="F4837" s="372" t="s">
        <v>13046</v>
      </c>
      <c r="G4837" s="372" t="s">
        <v>13047</v>
      </c>
    </row>
    <row r="4838" spans="2:7" hidden="1">
      <c r="B4838" s="140" t="s">
        <v>20784</v>
      </c>
      <c r="C4838" s="372" t="s">
        <v>13048</v>
      </c>
      <c r="D4838" s="140" t="s">
        <v>13049</v>
      </c>
      <c r="E4838" s="372" t="s">
        <v>13050</v>
      </c>
      <c r="F4838" s="372" t="s">
        <v>13051</v>
      </c>
      <c r="G4838" s="372" t="s">
        <v>13052</v>
      </c>
    </row>
    <row r="4839" spans="2:7" hidden="1">
      <c r="B4839" s="140" t="s">
        <v>20785</v>
      </c>
      <c r="C4839" s="372" t="s">
        <v>13053</v>
      </c>
      <c r="D4839" s="140" t="s">
        <v>13054</v>
      </c>
      <c r="E4839" s="372" t="s">
        <v>13055</v>
      </c>
      <c r="F4839" s="372" t="s">
        <v>13056</v>
      </c>
      <c r="G4839" s="372" t="s">
        <v>13057</v>
      </c>
    </row>
    <row r="4840" spans="2:7" hidden="1">
      <c r="B4840" s="140" t="s">
        <v>20786</v>
      </c>
      <c r="C4840" s="372" t="s">
        <v>13058</v>
      </c>
      <c r="D4840" s="140" t="s">
        <v>13059</v>
      </c>
      <c r="E4840" s="372" t="s">
        <v>13060</v>
      </c>
      <c r="F4840" s="372" t="s">
        <v>13061</v>
      </c>
      <c r="G4840" s="372" t="s">
        <v>13062</v>
      </c>
    </row>
    <row r="4841" spans="2:7" hidden="1">
      <c r="B4841" s="140" t="s">
        <v>20787</v>
      </c>
      <c r="C4841" s="372" t="s">
        <v>13063</v>
      </c>
      <c r="D4841" s="140" t="s">
        <v>13064</v>
      </c>
      <c r="E4841" s="372" t="s">
        <v>13065</v>
      </c>
      <c r="F4841" s="372" t="s">
        <v>13066</v>
      </c>
      <c r="G4841" s="372" t="s">
        <v>13067</v>
      </c>
    </row>
    <row r="4842" spans="2:7" hidden="1">
      <c r="B4842" s="140" t="s">
        <v>20788</v>
      </c>
      <c r="C4842" s="372" t="s">
        <v>13068</v>
      </c>
      <c r="D4842" s="140" t="s">
        <v>13069</v>
      </c>
      <c r="E4842" s="372" t="s">
        <v>13070</v>
      </c>
      <c r="F4842" s="372" t="s">
        <v>13071</v>
      </c>
      <c r="G4842" s="372" t="s">
        <v>13072</v>
      </c>
    </row>
    <row r="4843" spans="2:7" hidden="1">
      <c r="B4843" s="140" t="s">
        <v>20789</v>
      </c>
      <c r="C4843" s="372" t="s">
        <v>13073</v>
      </c>
      <c r="D4843" s="140" t="s">
        <v>13074</v>
      </c>
      <c r="E4843" s="372" t="s">
        <v>13075</v>
      </c>
      <c r="F4843" s="372" t="s">
        <v>13076</v>
      </c>
      <c r="G4843" s="372" t="s">
        <v>13077</v>
      </c>
    </row>
    <row r="4844" spans="2:7" hidden="1">
      <c r="B4844" s="140" t="s">
        <v>20790</v>
      </c>
      <c r="C4844" s="372" t="s">
        <v>13078</v>
      </c>
      <c r="D4844" s="140" t="s">
        <v>13079</v>
      </c>
      <c r="E4844" s="372" t="s">
        <v>13080</v>
      </c>
      <c r="F4844" s="372" t="s">
        <v>13081</v>
      </c>
      <c r="G4844" s="372" t="s">
        <v>13082</v>
      </c>
    </row>
    <row r="4845" spans="2:7" hidden="1">
      <c r="B4845" s="140" t="s">
        <v>20791</v>
      </c>
      <c r="C4845" s="372" t="s">
        <v>13083</v>
      </c>
      <c r="D4845" s="140" t="s">
        <v>13084</v>
      </c>
      <c r="E4845" s="372" t="s">
        <v>13085</v>
      </c>
      <c r="F4845" s="372" t="s">
        <v>13086</v>
      </c>
      <c r="G4845" s="372" t="s">
        <v>13087</v>
      </c>
    </row>
    <row r="4846" spans="2:7" hidden="1">
      <c r="B4846" s="140" t="s">
        <v>20792</v>
      </c>
      <c r="C4846" s="372" t="s">
        <v>13088</v>
      </c>
      <c r="D4846" s="140" t="s">
        <v>13089</v>
      </c>
      <c r="E4846" s="372" t="s">
        <v>13090</v>
      </c>
      <c r="F4846" s="372" t="s">
        <v>13091</v>
      </c>
      <c r="G4846" s="372" t="s">
        <v>13092</v>
      </c>
    </row>
    <row r="4847" spans="2:7" hidden="1">
      <c r="B4847" s="140" t="s">
        <v>20793</v>
      </c>
      <c r="C4847" s="372" t="s">
        <v>13093</v>
      </c>
      <c r="D4847" s="140" t="s">
        <v>13094</v>
      </c>
      <c r="E4847" s="372" t="s">
        <v>13095</v>
      </c>
      <c r="F4847" s="372" t="s">
        <v>13096</v>
      </c>
      <c r="G4847" s="372" t="s">
        <v>13097</v>
      </c>
    </row>
    <row r="4848" spans="2:7" hidden="1">
      <c r="B4848" s="140" t="s">
        <v>20794</v>
      </c>
      <c r="C4848" s="372" t="s">
        <v>13098</v>
      </c>
      <c r="D4848" s="140" t="s">
        <v>13099</v>
      </c>
      <c r="E4848" s="372" t="s">
        <v>13100</v>
      </c>
      <c r="F4848" s="372" t="s">
        <v>13101</v>
      </c>
      <c r="G4848" s="372" t="s">
        <v>13102</v>
      </c>
    </row>
    <row r="4849" spans="2:7" hidden="1">
      <c r="B4849" s="140" t="s">
        <v>20795</v>
      </c>
      <c r="C4849" s="372" t="s">
        <v>13103</v>
      </c>
      <c r="D4849" s="140" t="s">
        <v>13104</v>
      </c>
      <c r="E4849" s="372" t="s">
        <v>13105</v>
      </c>
      <c r="F4849" s="372" t="s">
        <v>13106</v>
      </c>
      <c r="G4849" s="372" t="s">
        <v>13107</v>
      </c>
    </row>
    <row r="4850" spans="2:7" hidden="1">
      <c r="B4850" s="140" t="s">
        <v>20796</v>
      </c>
      <c r="C4850" s="372" t="s">
        <v>13108</v>
      </c>
      <c r="D4850" s="140" t="s">
        <v>13109</v>
      </c>
      <c r="E4850" s="372" t="s">
        <v>13110</v>
      </c>
      <c r="F4850" s="372" t="s">
        <v>13111</v>
      </c>
      <c r="G4850" s="372" t="s">
        <v>13112</v>
      </c>
    </row>
    <row r="4851" spans="2:7" hidden="1">
      <c r="B4851" s="140" t="s">
        <v>20797</v>
      </c>
      <c r="C4851" s="372" t="s">
        <v>13113</v>
      </c>
      <c r="D4851" s="140" t="s">
        <v>13114</v>
      </c>
      <c r="E4851" s="372" t="s">
        <v>13115</v>
      </c>
      <c r="F4851" s="372" t="s">
        <v>13116</v>
      </c>
      <c r="G4851" s="372" t="s">
        <v>13117</v>
      </c>
    </row>
    <row r="4852" spans="2:7" hidden="1">
      <c r="B4852" s="140" t="s">
        <v>20798</v>
      </c>
      <c r="C4852" s="372" t="s">
        <v>13118</v>
      </c>
      <c r="D4852" s="140" t="s">
        <v>13119</v>
      </c>
      <c r="E4852" s="372" t="s">
        <v>13120</v>
      </c>
      <c r="F4852" s="372" t="s">
        <v>13121</v>
      </c>
      <c r="G4852" s="372" t="s">
        <v>13122</v>
      </c>
    </row>
    <row r="4853" spans="2:7" hidden="1">
      <c r="B4853" s="140" t="s">
        <v>20799</v>
      </c>
      <c r="C4853" s="372" t="s">
        <v>13123</v>
      </c>
      <c r="D4853" s="140" t="s">
        <v>13124</v>
      </c>
      <c r="E4853" s="372" t="s">
        <v>13125</v>
      </c>
      <c r="F4853" s="372" t="s">
        <v>13126</v>
      </c>
      <c r="G4853" s="372" t="s">
        <v>13127</v>
      </c>
    </row>
    <row r="4854" spans="2:7" hidden="1">
      <c r="B4854" s="140" t="s">
        <v>20800</v>
      </c>
      <c r="C4854" s="372" t="s">
        <v>13128</v>
      </c>
      <c r="D4854" s="140" t="s">
        <v>13129</v>
      </c>
      <c r="E4854" s="372" t="s">
        <v>13130</v>
      </c>
      <c r="F4854" s="372" t="s">
        <v>13131</v>
      </c>
      <c r="G4854" s="372" t="s">
        <v>13132</v>
      </c>
    </row>
    <row r="4855" spans="2:7" hidden="1">
      <c r="B4855" s="140" t="s">
        <v>20801</v>
      </c>
      <c r="C4855" s="372" t="s">
        <v>13133</v>
      </c>
      <c r="D4855" s="140" t="s">
        <v>13134</v>
      </c>
      <c r="E4855" s="372" t="s">
        <v>13135</v>
      </c>
      <c r="F4855" s="372" t="s">
        <v>13136</v>
      </c>
      <c r="G4855" s="372" t="s">
        <v>13137</v>
      </c>
    </row>
    <row r="4856" spans="2:7" hidden="1">
      <c r="B4856" s="140" t="s">
        <v>20802</v>
      </c>
      <c r="C4856" s="372" t="s">
        <v>13138</v>
      </c>
      <c r="D4856" s="140" t="s">
        <v>13139</v>
      </c>
      <c r="E4856" s="372" t="s">
        <v>13140</v>
      </c>
      <c r="F4856" s="372" t="s">
        <v>13141</v>
      </c>
      <c r="G4856" s="372" t="s">
        <v>13142</v>
      </c>
    </row>
    <row r="4857" spans="2:7" hidden="1">
      <c r="B4857" s="140" t="s">
        <v>20803</v>
      </c>
      <c r="C4857" s="372" t="s">
        <v>13143</v>
      </c>
      <c r="D4857" s="140" t="s">
        <v>13144</v>
      </c>
      <c r="E4857" s="372" t="s">
        <v>13145</v>
      </c>
      <c r="F4857" s="372" t="s">
        <v>13146</v>
      </c>
      <c r="G4857" s="372" t="s">
        <v>13147</v>
      </c>
    </row>
    <row r="4858" spans="2:7" hidden="1">
      <c r="B4858" s="140" t="s">
        <v>20804</v>
      </c>
      <c r="C4858" s="372" t="s">
        <v>13148</v>
      </c>
      <c r="D4858" s="140" t="s">
        <v>13149</v>
      </c>
      <c r="E4858" s="372" t="s">
        <v>13150</v>
      </c>
      <c r="F4858" s="372" t="s">
        <v>13151</v>
      </c>
      <c r="G4858" s="372" t="s">
        <v>13152</v>
      </c>
    </row>
    <row r="4859" spans="2:7" hidden="1">
      <c r="B4859" s="140" t="s">
        <v>20805</v>
      </c>
      <c r="C4859" s="372" t="s">
        <v>13153</v>
      </c>
      <c r="D4859" s="140" t="s">
        <v>13154</v>
      </c>
      <c r="E4859" s="372" t="s">
        <v>13155</v>
      </c>
      <c r="F4859" s="372" t="s">
        <v>13156</v>
      </c>
      <c r="G4859" s="372" t="s">
        <v>13157</v>
      </c>
    </row>
    <row r="4860" spans="2:7" hidden="1">
      <c r="B4860" s="140" t="s">
        <v>20806</v>
      </c>
      <c r="C4860" s="372" t="s">
        <v>13158</v>
      </c>
      <c r="D4860" s="140" t="s">
        <v>13159</v>
      </c>
      <c r="E4860" s="372" t="s">
        <v>13160</v>
      </c>
      <c r="F4860" s="372" t="s">
        <v>13161</v>
      </c>
      <c r="G4860" s="372" t="s">
        <v>13162</v>
      </c>
    </row>
    <row r="4861" spans="2:7" hidden="1">
      <c r="B4861" s="140" t="s">
        <v>20807</v>
      </c>
      <c r="C4861" s="372" t="s">
        <v>13163</v>
      </c>
      <c r="D4861" s="140" t="s">
        <v>13164</v>
      </c>
      <c r="E4861" s="372" t="s">
        <v>13165</v>
      </c>
      <c r="F4861" s="372" t="s">
        <v>13166</v>
      </c>
      <c r="G4861" s="372" t="s">
        <v>13167</v>
      </c>
    </row>
    <row r="4862" spans="2:7" hidden="1">
      <c r="B4862" s="140" t="s">
        <v>20808</v>
      </c>
      <c r="C4862" s="372" t="s">
        <v>13168</v>
      </c>
      <c r="D4862" s="140" t="s">
        <v>13169</v>
      </c>
      <c r="E4862" s="372" t="s">
        <v>13170</v>
      </c>
      <c r="F4862" s="372" t="s">
        <v>13171</v>
      </c>
      <c r="G4862" s="372" t="s">
        <v>13172</v>
      </c>
    </row>
    <row r="4863" spans="2:7" hidden="1">
      <c r="B4863" s="140" t="s">
        <v>20809</v>
      </c>
      <c r="C4863" s="372" t="s">
        <v>13173</v>
      </c>
      <c r="D4863" s="140" t="s">
        <v>13174</v>
      </c>
      <c r="E4863" s="372" t="s">
        <v>13175</v>
      </c>
      <c r="F4863" s="372" t="s">
        <v>13176</v>
      </c>
      <c r="G4863" s="372" t="s">
        <v>13162</v>
      </c>
    </row>
    <row r="4864" spans="2:7" hidden="1">
      <c r="B4864" s="140" t="s">
        <v>20810</v>
      </c>
      <c r="C4864" s="372" t="s">
        <v>13177</v>
      </c>
      <c r="D4864" s="140" t="s">
        <v>13178</v>
      </c>
      <c r="E4864" s="372" t="s">
        <v>13179</v>
      </c>
      <c r="F4864" s="372" t="s">
        <v>13180</v>
      </c>
      <c r="G4864" s="372" t="s">
        <v>13181</v>
      </c>
    </row>
    <row r="4865" spans="2:7" hidden="1">
      <c r="B4865" s="140" t="s">
        <v>20811</v>
      </c>
      <c r="C4865" s="372" t="s">
        <v>13182</v>
      </c>
      <c r="D4865" s="140" t="s">
        <v>13183</v>
      </c>
      <c r="E4865" s="372" t="s">
        <v>13184</v>
      </c>
      <c r="F4865" s="372" t="s">
        <v>13185</v>
      </c>
      <c r="G4865" s="372" t="s">
        <v>13186</v>
      </c>
    </row>
    <row r="4866" spans="2:7" hidden="1">
      <c r="B4866" s="140" t="s">
        <v>20812</v>
      </c>
      <c r="C4866" s="372" t="s">
        <v>13187</v>
      </c>
      <c r="D4866" s="140" t="s">
        <v>13188</v>
      </c>
      <c r="E4866" s="372" t="s">
        <v>13189</v>
      </c>
      <c r="F4866" s="372" t="s">
        <v>13190</v>
      </c>
      <c r="G4866" s="372" t="s">
        <v>13191</v>
      </c>
    </row>
    <row r="4867" spans="2:7" hidden="1">
      <c r="B4867" s="140" t="s">
        <v>20813</v>
      </c>
      <c r="C4867" s="372" t="s">
        <v>13192</v>
      </c>
      <c r="D4867" s="140" t="s">
        <v>13193</v>
      </c>
      <c r="E4867" s="372" t="s">
        <v>13194</v>
      </c>
      <c r="F4867" s="372" t="s">
        <v>13195</v>
      </c>
      <c r="G4867" s="372" t="s">
        <v>13196</v>
      </c>
    </row>
    <row r="4868" spans="2:7" hidden="1">
      <c r="B4868" s="140" t="s">
        <v>20814</v>
      </c>
      <c r="C4868" s="372" t="s">
        <v>13197</v>
      </c>
      <c r="D4868" s="140" t="s">
        <v>13198</v>
      </c>
      <c r="E4868" s="372" t="s">
        <v>13199</v>
      </c>
      <c r="F4868" s="372" t="s">
        <v>13200</v>
      </c>
      <c r="G4868" s="372" t="s">
        <v>13201</v>
      </c>
    </row>
    <row r="4869" spans="2:7" hidden="1">
      <c r="B4869" s="140" t="s">
        <v>20815</v>
      </c>
      <c r="C4869" s="372" t="s">
        <v>13202</v>
      </c>
      <c r="D4869" s="140" t="s">
        <v>13203</v>
      </c>
      <c r="E4869" s="372" t="s">
        <v>13204</v>
      </c>
      <c r="F4869" s="372" t="s">
        <v>13205</v>
      </c>
      <c r="G4869" s="372" t="s">
        <v>13206</v>
      </c>
    </row>
    <row r="4870" spans="2:7" hidden="1">
      <c r="B4870" s="140" t="s">
        <v>20816</v>
      </c>
      <c r="C4870" s="372" t="s">
        <v>13207</v>
      </c>
      <c r="D4870" s="140" t="s">
        <v>13208</v>
      </c>
      <c r="E4870" s="372" t="s">
        <v>13209</v>
      </c>
      <c r="F4870" s="372" t="s">
        <v>13210</v>
      </c>
      <c r="G4870" s="372" t="s">
        <v>13211</v>
      </c>
    </row>
    <row r="4871" spans="2:7" hidden="1">
      <c r="B4871" s="140" t="s">
        <v>20817</v>
      </c>
      <c r="C4871" s="372" t="s">
        <v>13212</v>
      </c>
      <c r="D4871" s="140" t="s">
        <v>13213</v>
      </c>
      <c r="E4871" s="372" t="s">
        <v>13214</v>
      </c>
      <c r="F4871" s="372" t="s">
        <v>13215</v>
      </c>
      <c r="G4871" s="372" t="s">
        <v>13216</v>
      </c>
    </row>
    <row r="4872" spans="2:7" hidden="1">
      <c r="B4872" s="140" t="s">
        <v>20818</v>
      </c>
      <c r="C4872" s="372" t="s">
        <v>13217</v>
      </c>
      <c r="D4872" s="140" t="s">
        <v>13218</v>
      </c>
      <c r="E4872" s="372" t="s">
        <v>13219</v>
      </c>
      <c r="F4872" s="372" t="s">
        <v>13220</v>
      </c>
      <c r="G4872" s="372" t="s">
        <v>13216</v>
      </c>
    </row>
    <row r="4873" spans="2:7" hidden="1">
      <c r="B4873" s="140" t="s">
        <v>20819</v>
      </c>
      <c r="C4873" s="372" t="s">
        <v>13221</v>
      </c>
      <c r="D4873" s="140" t="s">
        <v>13222</v>
      </c>
      <c r="E4873" s="372" t="s">
        <v>13223</v>
      </c>
      <c r="F4873" s="372" t="s">
        <v>13224</v>
      </c>
      <c r="G4873" s="372" t="s">
        <v>13211</v>
      </c>
    </row>
    <row r="4874" spans="2:7" hidden="1">
      <c r="B4874" s="140" t="s">
        <v>20820</v>
      </c>
      <c r="C4874" s="372" t="s">
        <v>13225</v>
      </c>
      <c r="D4874" s="140" t="s">
        <v>13226</v>
      </c>
      <c r="E4874" s="372"/>
      <c r="F4874" s="372"/>
      <c r="G4874" s="372"/>
    </row>
    <row r="4875" spans="2:7" hidden="1">
      <c r="B4875" s="140" t="s">
        <v>20821</v>
      </c>
      <c r="C4875" s="372" t="s">
        <v>13227</v>
      </c>
      <c r="D4875" s="140" t="s">
        <v>13228</v>
      </c>
      <c r="E4875" s="372" t="s">
        <v>13229</v>
      </c>
      <c r="F4875" s="372" t="s">
        <v>13230</v>
      </c>
      <c r="G4875" s="372" t="s">
        <v>13231</v>
      </c>
    </row>
    <row r="4876" spans="2:7" hidden="1">
      <c r="B4876" s="140" t="s">
        <v>20822</v>
      </c>
      <c r="C4876" s="372" t="s">
        <v>13232</v>
      </c>
      <c r="D4876" s="140" t="s">
        <v>13233</v>
      </c>
      <c r="E4876" s="372" t="s">
        <v>13234</v>
      </c>
      <c r="F4876" s="372" t="s">
        <v>13235</v>
      </c>
      <c r="G4876" s="372" t="s">
        <v>13236</v>
      </c>
    </row>
    <row r="4877" spans="2:7" hidden="1">
      <c r="B4877" s="140" t="s">
        <v>20823</v>
      </c>
      <c r="C4877" s="372" t="s">
        <v>13237</v>
      </c>
      <c r="D4877" s="140" t="s">
        <v>13238</v>
      </c>
      <c r="E4877" s="372" t="s">
        <v>13239</v>
      </c>
      <c r="F4877" s="372" t="s">
        <v>13240</v>
      </c>
      <c r="G4877" s="372" t="s">
        <v>13241</v>
      </c>
    </row>
    <row r="4878" spans="2:7" hidden="1">
      <c r="B4878" s="140" t="s">
        <v>20824</v>
      </c>
      <c r="C4878" s="372" t="s">
        <v>13242</v>
      </c>
      <c r="D4878" s="140" t="s">
        <v>13243</v>
      </c>
      <c r="E4878" s="372" t="s">
        <v>13244</v>
      </c>
      <c r="F4878" s="372" t="s">
        <v>13245</v>
      </c>
      <c r="G4878" s="372" t="s">
        <v>13246</v>
      </c>
    </row>
    <row r="4879" spans="2:7" hidden="1">
      <c r="B4879" s="140" t="s">
        <v>20825</v>
      </c>
      <c r="C4879" s="372" t="s">
        <v>13247</v>
      </c>
      <c r="D4879" s="140" t="s">
        <v>13248</v>
      </c>
      <c r="E4879" s="372" t="s">
        <v>13249</v>
      </c>
      <c r="F4879" s="372" t="s">
        <v>13250</v>
      </c>
      <c r="G4879" s="372" t="s">
        <v>13251</v>
      </c>
    </row>
    <row r="4880" spans="2:7" hidden="1">
      <c r="B4880" s="140" t="s">
        <v>20826</v>
      </c>
      <c r="C4880" s="372" t="s">
        <v>13252</v>
      </c>
      <c r="D4880" s="140" t="s">
        <v>13253</v>
      </c>
      <c r="E4880" s="372" t="s">
        <v>13254</v>
      </c>
      <c r="F4880" s="372" t="s">
        <v>13255</v>
      </c>
      <c r="G4880" s="372" t="s">
        <v>13256</v>
      </c>
    </row>
    <row r="4881" spans="2:7" hidden="1">
      <c r="B4881" s="140" t="s">
        <v>20827</v>
      </c>
      <c r="C4881" s="372" t="s">
        <v>13257</v>
      </c>
      <c r="D4881" s="140" t="s">
        <v>13258</v>
      </c>
      <c r="E4881" s="372" t="s">
        <v>13259</v>
      </c>
      <c r="F4881" s="372" t="s">
        <v>13260</v>
      </c>
      <c r="G4881" s="372" t="s">
        <v>13261</v>
      </c>
    </row>
    <row r="4882" spans="2:7" hidden="1">
      <c r="B4882" s="140" t="s">
        <v>20828</v>
      </c>
      <c r="C4882" s="372" t="s">
        <v>13262</v>
      </c>
      <c r="D4882" s="140" t="s">
        <v>13263</v>
      </c>
      <c r="E4882" s="372" t="s">
        <v>13264</v>
      </c>
      <c r="F4882" s="372" t="s">
        <v>13265</v>
      </c>
      <c r="G4882" s="372" t="s">
        <v>13266</v>
      </c>
    </row>
    <row r="4883" spans="2:7" hidden="1">
      <c r="B4883" s="140" t="s">
        <v>20829</v>
      </c>
      <c r="C4883" s="372" t="s">
        <v>13267</v>
      </c>
      <c r="D4883" s="140" t="s">
        <v>13268</v>
      </c>
      <c r="E4883" s="372" t="s">
        <v>13269</v>
      </c>
      <c r="F4883" s="372" t="s">
        <v>13270</v>
      </c>
      <c r="G4883" s="372" t="s">
        <v>13271</v>
      </c>
    </row>
    <row r="4884" spans="2:7" hidden="1">
      <c r="B4884" s="140" t="s">
        <v>20830</v>
      </c>
      <c r="C4884" s="372" t="s">
        <v>13272</v>
      </c>
      <c r="D4884" s="140" t="s">
        <v>13273</v>
      </c>
      <c r="E4884" s="372" t="s">
        <v>13274</v>
      </c>
      <c r="F4884" s="372" t="s">
        <v>13275</v>
      </c>
      <c r="G4884" s="372" t="s">
        <v>13276</v>
      </c>
    </row>
    <row r="4885" spans="2:7" hidden="1">
      <c r="B4885" s="140" t="s">
        <v>20831</v>
      </c>
      <c r="C4885" s="372" t="s">
        <v>13277</v>
      </c>
      <c r="D4885" s="140" t="s">
        <v>13278</v>
      </c>
      <c r="E4885" s="372" t="s">
        <v>13279</v>
      </c>
      <c r="F4885" s="372" t="s">
        <v>13280</v>
      </c>
      <c r="G4885" s="372" t="s">
        <v>13281</v>
      </c>
    </row>
    <row r="4886" spans="2:7" hidden="1">
      <c r="B4886" s="140" t="s">
        <v>20832</v>
      </c>
      <c r="C4886" s="372" t="s">
        <v>13282</v>
      </c>
      <c r="D4886" s="140" t="s">
        <v>13283</v>
      </c>
      <c r="E4886" s="372" t="s">
        <v>13284</v>
      </c>
      <c r="F4886" s="372" t="s">
        <v>13285</v>
      </c>
      <c r="G4886" s="372" t="s">
        <v>13286</v>
      </c>
    </row>
    <row r="4887" spans="2:7" hidden="1">
      <c r="B4887" s="140" t="s">
        <v>20833</v>
      </c>
      <c r="C4887" s="372" t="s">
        <v>13287</v>
      </c>
      <c r="D4887" s="140" t="s">
        <v>13288</v>
      </c>
      <c r="E4887" s="372" t="s">
        <v>13289</v>
      </c>
      <c r="F4887" s="372" t="s">
        <v>13290</v>
      </c>
      <c r="G4887" s="372" t="s">
        <v>13291</v>
      </c>
    </row>
    <row r="4888" spans="2:7" hidden="1">
      <c r="B4888" s="140" t="s">
        <v>20834</v>
      </c>
      <c r="C4888" s="372" t="s">
        <v>13292</v>
      </c>
      <c r="D4888" s="140" t="s">
        <v>13293</v>
      </c>
      <c r="E4888" s="372" t="s">
        <v>13294</v>
      </c>
      <c r="F4888" s="372" t="s">
        <v>13295</v>
      </c>
      <c r="G4888" s="372" t="s">
        <v>13296</v>
      </c>
    </row>
    <row r="4889" spans="2:7" hidden="1">
      <c r="B4889" s="140" t="s">
        <v>20835</v>
      </c>
      <c r="C4889" s="372" t="s">
        <v>13297</v>
      </c>
      <c r="D4889" s="140" t="s">
        <v>13298</v>
      </c>
      <c r="E4889" s="372" t="s">
        <v>13299</v>
      </c>
      <c r="F4889" s="372" t="s">
        <v>13300</v>
      </c>
      <c r="G4889" s="372" t="s">
        <v>13296</v>
      </c>
    </row>
    <row r="4890" spans="2:7" hidden="1">
      <c r="B4890" s="140" t="s">
        <v>20836</v>
      </c>
      <c r="C4890" s="372" t="s">
        <v>13301</v>
      </c>
      <c r="D4890" s="140" t="s">
        <v>13302</v>
      </c>
      <c r="E4890" s="372" t="s">
        <v>13303</v>
      </c>
      <c r="F4890" s="372" t="s">
        <v>13304</v>
      </c>
      <c r="G4890" s="372" t="s">
        <v>13305</v>
      </c>
    </row>
    <row r="4891" spans="2:7" hidden="1">
      <c r="B4891" s="140" t="s">
        <v>20837</v>
      </c>
      <c r="C4891" s="372" t="s">
        <v>13306</v>
      </c>
      <c r="D4891" s="140" t="s">
        <v>13307</v>
      </c>
      <c r="E4891" s="372" t="s">
        <v>13308</v>
      </c>
      <c r="F4891" s="372" t="s">
        <v>13309</v>
      </c>
      <c r="G4891" s="372" t="s">
        <v>13310</v>
      </c>
    </row>
    <row r="4892" spans="2:7" hidden="1">
      <c r="B4892" s="140" t="s">
        <v>20838</v>
      </c>
      <c r="C4892" s="372" t="s">
        <v>13311</v>
      </c>
      <c r="D4892" s="140" t="s">
        <v>13312</v>
      </c>
      <c r="E4892" s="372" t="s">
        <v>13313</v>
      </c>
      <c r="F4892" s="372" t="s">
        <v>13314</v>
      </c>
      <c r="G4892" s="372" t="s">
        <v>13315</v>
      </c>
    </row>
    <row r="4893" spans="2:7" hidden="1">
      <c r="B4893" s="140" t="s">
        <v>20839</v>
      </c>
      <c r="C4893" s="372" t="s">
        <v>13316</v>
      </c>
      <c r="D4893" s="140" t="s">
        <v>13317</v>
      </c>
      <c r="E4893" s="372" t="s">
        <v>13318</v>
      </c>
      <c r="F4893" s="372" t="s">
        <v>13319</v>
      </c>
      <c r="G4893" s="372" t="s">
        <v>13320</v>
      </c>
    </row>
    <row r="4894" spans="2:7" hidden="1">
      <c r="B4894" s="140" t="s">
        <v>20840</v>
      </c>
      <c r="C4894" s="372" t="s">
        <v>13321</v>
      </c>
      <c r="D4894" s="140" t="s">
        <v>13322</v>
      </c>
      <c r="E4894" s="372" t="s">
        <v>13323</v>
      </c>
      <c r="F4894" s="372" t="s">
        <v>13324</v>
      </c>
      <c r="G4894" s="372" t="s">
        <v>13325</v>
      </c>
    </row>
    <row r="4895" spans="2:7" hidden="1">
      <c r="B4895" s="140" t="s">
        <v>20841</v>
      </c>
      <c r="C4895" s="372" t="s">
        <v>13326</v>
      </c>
      <c r="D4895" s="140" t="s">
        <v>13327</v>
      </c>
      <c r="E4895" s="372" t="s">
        <v>13328</v>
      </c>
      <c r="F4895" s="372" t="s">
        <v>13329</v>
      </c>
      <c r="G4895" s="372" t="s">
        <v>13330</v>
      </c>
    </row>
    <row r="4896" spans="2:7" hidden="1">
      <c r="B4896" s="140" t="s">
        <v>20842</v>
      </c>
      <c r="C4896" s="372" t="s">
        <v>13331</v>
      </c>
      <c r="D4896" s="140" t="s">
        <v>13332</v>
      </c>
      <c r="E4896" s="372" t="s">
        <v>13333</v>
      </c>
      <c r="F4896" s="372" t="s">
        <v>13334</v>
      </c>
      <c r="G4896" s="372" t="s">
        <v>13335</v>
      </c>
    </row>
    <row r="4897" spans="2:7" hidden="1">
      <c r="B4897" s="140" t="s">
        <v>20843</v>
      </c>
      <c r="C4897" s="372" t="s">
        <v>13336</v>
      </c>
      <c r="D4897" s="140" t="s">
        <v>13337</v>
      </c>
      <c r="E4897" s="372" t="s">
        <v>13338</v>
      </c>
      <c r="F4897" s="372" t="s">
        <v>13339</v>
      </c>
      <c r="G4897" s="372" t="s">
        <v>13340</v>
      </c>
    </row>
    <row r="4898" spans="2:7" hidden="1">
      <c r="B4898" s="140" t="s">
        <v>20844</v>
      </c>
      <c r="C4898" s="372" t="s">
        <v>13341</v>
      </c>
      <c r="D4898" s="140" t="s">
        <v>13342</v>
      </c>
      <c r="E4898" s="372" t="s">
        <v>13343</v>
      </c>
      <c r="F4898" s="372" t="s">
        <v>13344</v>
      </c>
      <c r="G4898" s="372" t="s">
        <v>13345</v>
      </c>
    </row>
    <row r="4899" spans="2:7" hidden="1">
      <c r="B4899" s="140" t="s">
        <v>20845</v>
      </c>
      <c r="C4899" s="372" t="s">
        <v>13346</v>
      </c>
      <c r="D4899" s="140" t="s">
        <v>13347</v>
      </c>
      <c r="E4899" s="372" t="s">
        <v>13348</v>
      </c>
      <c r="F4899" s="372" t="s">
        <v>13349</v>
      </c>
      <c r="G4899" s="372" t="s">
        <v>13350</v>
      </c>
    </row>
    <row r="4900" spans="2:7" hidden="1">
      <c r="B4900" s="140" t="s">
        <v>20846</v>
      </c>
      <c r="C4900" s="372" t="s">
        <v>13351</v>
      </c>
      <c r="D4900" s="140" t="s">
        <v>13352</v>
      </c>
      <c r="E4900" s="372" t="s">
        <v>13353</v>
      </c>
      <c r="F4900" s="372" t="s">
        <v>13354</v>
      </c>
      <c r="G4900" s="372" t="s">
        <v>13355</v>
      </c>
    </row>
    <row r="4901" spans="2:7" hidden="1">
      <c r="B4901" s="140" t="s">
        <v>20847</v>
      </c>
      <c r="C4901" s="372" t="s">
        <v>13356</v>
      </c>
      <c r="D4901" s="140" t="s">
        <v>13357</v>
      </c>
      <c r="E4901" s="372" t="s">
        <v>13358</v>
      </c>
      <c r="F4901" s="372" t="s">
        <v>13359</v>
      </c>
      <c r="G4901" s="372" t="s">
        <v>13360</v>
      </c>
    </row>
    <row r="4902" spans="2:7" hidden="1">
      <c r="B4902" s="140" t="s">
        <v>20848</v>
      </c>
      <c r="C4902" s="372" t="s">
        <v>13361</v>
      </c>
      <c r="D4902" s="140" t="s">
        <v>13362</v>
      </c>
      <c r="E4902" s="372" t="s">
        <v>13363</v>
      </c>
      <c r="F4902" s="372" t="s">
        <v>13364</v>
      </c>
      <c r="G4902" s="372" t="s">
        <v>13365</v>
      </c>
    </row>
    <row r="4903" spans="2:7" hidden="1">
      <c r="B4903" s="140" t="s">
        <v>20849</v>
      </c>
      <c r="C4903" s="372" t="s">
        <v>13366</v>
      </c>
      <c r="D4903" s="140" t="s">
        <v>13367</v>
      </c>
      <c r="E4903" s="372" t="s">
        <v>13368</v>
      </c>
      <c r="F4903" s="372" t="s">
        <v>13369</v>
      </c>
      <c r="G4903" s="372" t="s">
        <v>13370</v>
      </c>
    </row>
    <row r="4904" spans="2:7" hidden="1">
      <c r="B4904" s="140" t="s">
        <v>20850</v>
      </c>
      <c r="C4904" s="372" t="s">
        <v>13371</v>
      </c>
      <c r="D4904" s="140" t="s">
        <v>13372</v>
      </c>
      <c r="E4904" s="372" t="s">
        <v>13373</v>
      </c>
      <c r="F4904" s="372" t="s">
        <v>13374</v>
      </c>
      <c r="G4904" s="372" t="s">
        <v>13375</v>
      </c>
    </row>
    <row r="4905" spans="2:7" hidden="1">
      <c r="B4905" s="140" t="s">
        <v>20851</v>
      </c>
      <c r="C4905" s="372" t="s">
        <v>13376</v>
      </c>
      <c r="D4905" s="140" t="s">
        <v>13377</v>
      </c>
      <c r="E4905" s="372" t="s">
        <v>13378</v>
      </c>
      <c r="F4905" s="372" t="s">
        <v>13379</v>
      </c>
      <c r="G4905" s="372" t="s">
        <v>12736</v>
      </c>
    </row>
    <row r="4906" spans="2:7" hidden="1">
      <c r="B4906" s="140" t="s">
        <v>20528</v>
      </c>
      <c r="C4906" s="140" t="s">
        <v>16277</v>
      </c>
      <c r="D4906" s="140" t="s">
        <v>1915</v>
      </c>
      <c r="E4906" s="142" t="s">
        <v>16278</v>
      </c>
      <c r="F4906" s="142" t="s">
        <v>16279</v>
      </c>
      <c r="G4906" s="140"/>
    </row>
    <row r="4907" spans="2:7" hidden="1">
      <c r="B4907" s="140" t="s">
        <v>20852</v>
      </c>
      <c r="C4907" s="372" t="s">
        <v>13380</v>
      </c>
      <c r="D4907" s="140" t="s">
        <v>13381</v>
      </c>
      <c r="E4907" s="372" t="s">
        <v>13382</v>
      </c>
      <c r="F4907" s="372" t="s">
        <v>13383</v>
      </c>
      <c r="G4907" s="372" t="s">
        <v>13384</v>
      </c>
    </row>
    <row r="4908" spans="2:7" hidden="1">
      <c r="B4908" s="140" t="s">
        <v>20853</v>
      </c>
      <c r="C4908" s="372" t="s">
        <v>13385</v>
      </c>
      <c r="D4908" s="140" t="s">
        <v>13386</v>
      </c>
      <c r="E4908" s="372" t="s">
        <v>13387</v>
      </c>
      <c r="F4908" s="372" t="s">
        <v>13388</v>
      </c>
      <c r="G4908" s="372" t="s">
        <v>13389</v>
      </c>
    </row>
    <row r="4909" spans="2:7" hidden="1">
      <c r="B4909" s="140" t="s">
        <v>20854</v>
      </c>
      <c r="C4909" s="372" t="s">
        <v>13390</v>
      </c>
      <c r="D4909" s="140" t="s">
        <v>13391</v>
      </c>
      <c r="E4909" s="372" t="s">
        <v>13392</v>
      </c>
      <c r="F4909" s="372" t="s">
        <v>13393</v>
      </c>
      <c r="G4909" s="372" t="s">
        <v>13394</v>
      </c>
    </row>
    <row r="4910" spans="2:7" hidden="1">
      <c r="B4910" s="140" t="s">
        <v>20855</v>
      </c>
      <c r="C4910" s="372" t="s">
        <v>13395</v>
      </c>
      <c r="D4910" s="140" t="s">
        <v>13396</v>
      </c>
      <c r="E4910" s="372" t="s">
        <v>13397</v>
      </c>
      <c r="F4910" s="372" t="s">
        <v>13398</v>
      </c>
      <c r="G4910" s="372" t="s">
        <v>13399</v>
      </c>
    </row>
    <row r="4911" spans="2:7" hidden="1">
      <c r="B4911" s="140" t="s">
        <v>20856</v>
      </c>
      <c r="C4911" s="372" t="s">
        <v>13400</v>
      </c>
      <c r="D4911" s="140" t="s">
        <v>13401</v>
      </c>
      <c r="E4911" s="372" t="s">
        <v>13402</v>
      </c>
      <c r="F4911" s="372" t="s">
        <v>13403</v>
      </c>
      <c r="G4911" s="372" t="s">
        <v>13404</v>
      </c>
    </row>
    <row r="4912" spans="2:7" hidden="1">
      <c r="B4912" s="140" t="s">
        <v>20857</v>
      </c>
      <c r="C4912" s="372" t="s">
        <v>13405</v>
      </c>
      <c r="D4912" s="140" t="s">
        <v>13406</v>
      </c>
      <c r="E4912" s="372" t="s">
        <v>13407</v>
      </c>
      <c r="F4912" s="372" t="s">
        <v>13408</v>
      </c>
      <c r="G4912" s="372" t="s">
        <v>13409</v>
      </c>
    </row>
    <row r="4913" spans="2:7" hidden="1">
      <c r="B4913" s="140" t="s">
        <v>20858</v>
      </c>
      <c r="C4913" s="372" t="s">
        <v>13410</v>
      </c>
      <c r="D4913" s="140" t="s">
        <v>13411</v>
      </c>
      <c r="E4913" s="372" t="s">
        <v>13412</v>
      </c>
      <c r="F4913" s="372" t="s">
        <v>13413</v>
      </c>
      <c r="G4913" s="372" t="s">
        <v>13414</v>
      </c>
    </row>
    <row r="4914" spans="2:7" hidden="1">
      <c r="B4914" s="140" t="s">
        <v>20859</v>
      </c>
      <c r="C4914" s="372" t="s">
        <v>13415</v>
      </c>
      <c r="D4914" s="140" t="s">
        <v>13416</v>
      </c>
      <c r="E4914" s="372" t="s">
        <v>13417</v>
      </c>
      <c r="F4914" s="372" t="s">
        <v>13418</v>
      </c>
      <c r="G4914" s="372" t="s">
        <v>13419</v>
      </c>
    </row>
    <row r="4915" spans="2:7" hidden="1">
      <c r="B4915" s="140" t="s">
        <v>20860</v>
      </c>
      <c r="C4915" s="372" t="s">
        <v>13420</v>
      </c>
      <c r="D4915" s="140" t="s">
        <v>13386</v>
      </c>
      <c r="E4915" s="372" t="s">
        <v>13421</v>
      </c>
      <c r="F4915" s="372" t="s">
        <v>13422</v>
      </c>
      <c r="G4915" s="372" t="s">
        <v>13423</v>
      </c>
    </row>
    <row r="4916" spans="2:7" hidden="1">
      <c r="B4916" s="140" t="s">
        <v>20861</v>
      </c>
      <c r="C4916" s="140" t="s">
        <v>13424</v>
      </c>
      <c r="D4916" s="140" t="s">
        <v>13425</v>
      </c>
      <c r="E4916" s="142" t="s">
        <v>13426</v>
      </c>
      <c r="F4916" s="142" t="s">
        <v>13427</v>
      </c>
      <c r="G4916" s="140" t="s">
        <v>13428</v>
      </c>
    </row>
    <row r="4917" spans="2:7" hidden="1">
      <c r="B4917" s="140" t="s">
        <v>20862</v>
      </c>
      <c r="C4917" s="372" t="s">
        <v>13429</v>
      </c>
      <c r="D4917" s="140" t="s">
        <v>13430</v>
      </c>
      <c r="E4917" s="372" t="s">
        <v>13431</v>
      </c>
      <c r="F4917" s="372" t="s">
        <v>13432</v>
      </c>
      <c r="G4917" s="372" t="s">
        <v>13433</v>
      </c>
    </row>
    <row r="4918" spans="2:7" hidden="1">
      <c r="B4918" s="140" t="s">
        <v>20863</v>
      </c>
      <c r="C4918" s="372" t="s">
        <v>13434</v>
      </c>
      <c r="D4918" s="140" t="s">
        <v>13435</v>
      </c>
      <c r="E4918" s="372" t="s">
        <v>13436</v>
      </c>
      <c r="F4918" s="372" t="s">
        <v>13437</v>
      </c>
      <c r="G4918" s="372" t="s">
        <v>13438</v>
      </c>
    </row>
    <row r="4919" spans="2:7" hidden="1">
      <c r="B4919" s="140" t="s">
        <v>20864</v>
      </c>
      <c r="C4919" s="372" t="s">
        <v>13439</v>
      </c>
      <c r="D4919" s="140" t="s">
        <v>13440</v>
      </c>
      <c r="E4919" s="372" t="s">
        <v>13441</v>
      </c>
      <c r="F4919" s="372" t="s">
        <v>13442</v>
      </c>
      <c r="G4919" s="372" t="s">
        <v>13443</v>
      </c>
    </row>
    <row r="4920" spans="2:7" hidden="1">
      <c r="B4920" s="140" t="s">
        <v>20865</v>
      </c>
      <c r="C4920" s="372" t="s">
        <v>13444</v>
      </c>
      <c r="D4920" s="140" t="s">
        <v>13445</v>
      </c>
      <c r="E4920" s="372" t="s">
        <v>13446</v>
      </c>
      <c r="F4920" s="372" t="s">
        <v>13447</v>
      </c>
      <c r="G4920" s="372" t="s">
        <v>13448</v>
      </c>
    </row>
    <row r="4921" spans="2:7" hidden="1">
      <c r="B4921" s="140" t="s">
        <v>20866</v>
      </c>
      <c r="C4921" s="372" t="s">
        <v>13449</v>
      </c>
      <c r="D4921" s="140" t="s">
        <v>13450</v>
      </c>
      <c r="E4921" s="372" t="s">
        <v>13451</v>
      </c>
      <c r="F4921" s="372" t="s">
        <v>13452</v>
      </c>
      <c r="G4921" s="372" t="s">
        <v>13453</v>
      </c>
    </row>
    <row r="4922" spans="2:7" hidden="1">
      <c r="B4922" s="140" t="s">
        <v>20867</v>
      </c>
      <c r="C4922" s="372" t="s">
        <v>13454</v>
      </c>
      <c r="D4922" s="140" t="s">
        <v>13455</v>
      </c>
      <c r="E4922" s="372" t="s">
        <v>13456</v>
      </c>
      <c r="F4922" s="372" t="s">
        <v>13457</v>
      </c>
      <c r="G4922" s="372" t="s">
        <v>13458</v>
      </c>
    </row>
    <row r="4923" spans="2:7" hidden="1">
      <c r="B4923" s="140" t="s">
        <v>20868</v>
      </c>
      <c r="C4923" s="372" t="s">
        <v>13459</v>
      </c>
      <c r="D4923" s="140" t="s">
        <v>13460</v>
      </c>
      <c r="E4923" s="372" t="s">
        <v>13461</v>
      </c>
      <c r="F4923" s="372" t="s">
        <v>13462</v>
      </c>
      <c r="G4923" s="372" t="s">
        <v>13463</v>
      </c>
    </row>
    <row r="4924" spans="2:7" hidden="1">
      <c r="B4924" s="140" t="s">
        <v>20869</v>
      </c>
      <c r="C4924" s="372" t="s">
        <v>13464</v>
      </c>
      <c r="D4924" s="140" t="s">
        <v>13465</v>
      </c>
      <c r="E4924" s="372" t="s">
        <v>13466</v>
      </c>
      <c r="F4924" s="372" t="s">
        <v>13467</v>
      </c>
      <c r="G4924" s="372" t="s">
        <v>13468</v>
      </c>
    </row>
    <row r="4925" spans="2:7" hidden="1">
      <c r="B4925" s="140" t="s">
        <v>20870</v>
      </c>
      <c r="C4925" s="372" t="s">
        <v>13469</v>
      </c>
      <c r="D4925" s="140" t="s">
        <v>13470</v>
      </c>
      <c r="E4925" s="372" t="s">
        <v>13471</v>
      </c>
      <c r="F4925" s="372" t="s">
        <v>13472</v>
      </c>
      <c r="G4925" s="372" t="s">
        <v>12135</v>
      </c>
    </row>
    <row r="4926" spans="2:7" hidden="1">
      <c r="B4926" s="140" t="s">
        <v>20871</v>
      </c>
      <c r="C4926" s="372" t="s">
        <v>13473</v>
      </c>
      <c r="D4926" s="140" t="s">
        <v>13474</v>
      </c>
      <c r="E4926" s="372" t="s">
        <v>13475</v>
      </c>
      <c r="F4926" s="372" t="s">
        <v>13476</v>
      </c>
      <c r="G4926" s="372" t="s">
        <v>13477</v>
      </c>
    </row>
    <row r="4927" spans="2:7" hidden="1">
      <c r="B4927" s="140" t="s">
        <v>20872</v>
      </c>
      <c r="C4927" s="372" t="s">
        <v>13478</v>
      </c>
      <c r="D4927" s="140" t="s">
        <v>13479</v>
      </c>
      <c r="E4927" s="372" t="s">
        <v>13480</v>
      </c>
      <c r="F4927" s="372" t="s">
        <v>13481</v>
      </c>
      <c r="G4927" s="372" t="s">
        <v>13482</v>
      </c>
    </row>
    <row r="4928" spans="2:7" hidden="1">
      <c r="B4928" s="140" t="s">
        <v>20873</v>
      </c>
      <c r="C4928" s="372" t="s">
        <v>13483</v>
      </c>
      <c r="D4928" s="140" t="s">
        <v>13484</v>
      </c>
      <c r="E4928" s="372" t="s">
        <v>13485</v>
      </c>
      <c r="F4928" s="372" t="s">
        <v>13486</v>
      </c>
      <c r="G4928" s="372" t="s">
        <v>13487</v>
      </c>
    </row>
    <row r="4929" spans="2:7" hidden="1">
      <c r="B4929" s="140" t="s">
        <v>20874</v>
      </c>
      <c r="C4929" s="372" t="s">
        <v>13488</v>
      </c>
      <c r="D4929" s="140" t="s">
        <v>13489</v>
      </c>
      <c r="E4929" s="372" t="s">
        <v>13490</v>
      </c>
      <c r="F4929" s="372" t="s">
        <v>13491</v>
      </c>
      <c r="G4929" s="372" t="s">
        <v>13492</v>
      </c>
    </row>
    <row r="4930" spans="2:7" hidden="1">
      <c r="B4930" s="140" t="s">
        <v>20875</v>
      </c>
      <c r="C4930" s="372" t="s">
        <v>13493</v>
      </c>
      <c r="D4930" s="140" t="s">
        <v>2425</v>
      </c>
      <c r="E4930" s="372" t="s">
        <v>13494</v>
      </c>
      <c r="F4930" s="372" t="s">
        <v>13495</v>
      </c>
      <c r="G4930" s="372" t="s">
        <v>13496</v>
      </c>
    </row>
    <row r="4931" spans="2:7" hidden="1">
      <c r="B4931" s="140" t="s">
        <v>20876</v>
      </c>
      <c r="C4931" s="372" t="s">
        <v>13497</v>
      </c>
      <c r="D4931" s="140" t="s">
        <v>13498</v>
      </c>
      <c r="E4931" s="372" t="s">
        <v>13499</v>
      </c>
      <c r="F4931" s="372" t="s">
        <v>13500</v>
      </c>
      <c r="G4931" s="372" t="s">
        <v>13501</v>
      </c>
    </row>
    <row r="4932" spans="2:7" hidden="1">
      <c r="B4932" s="140" t="s">
        <v>20877</v>
      </c>
      <c r="C4932" s="372" t="s">
        <v>13502</v>
      </c>
      <c r="D4932" s="140" t="s">
        <v>13503</v>
      </c>
      <c r="E4932" s="372" t="s">
        <v>13504</v>
      </c>
      <c r="F4932" s="372" t="s">
        <v>13505</v>
      </c>
      <c r="G4932" s="372" t="s">
        <v>12850</v>
      </c>
    </row>
    <row r="4933" spans="2:7" hidden="1">
      <c r="B4933" s="140" t="s">
        <v>20878</v>
      </c>
      <c r="C4933" s="372" t="s">
        <v>13506</v>
      </c>
      <c r="D4933" s="140" t="s">
        <v>13507</v>
      </c>
      <c r="E4933" s="372" t="s">
        <v>13508</v>
      </c>
      <c r="F4933" s="372" t="s">
        <v>13509</v>
      </c>
      <c r="G4933" s="372" t="s">
        <v>13510</v>
      </c>
    </row>
    <row r="4934" spans="2:7" hidden="1">
      <c r="B4934" s="140" t="s">
        <v>20879</v>
      </c>
      <c r="C4934" s="372" t="s">
        <v>13511</v>
      </c>
      <c r="D4934" s="140" t="s">
        <v>13512</v>
      </c>
      <c r="E4934" s="372" t="s">
        <v>13513</v>
      </c>
      <c r="F4934" s="372" t="s">
        <v>13514</v>
      </c>
      <c r="G4934" s="372" t="s">
        <v>13515</v>
      </c>
    </row>
    <row r="4935" spans="2:7" hidden="1">
      <c r="B4935" s="140" t="s">
        <v>20880</v>
      </c>
      <c r="C4935" s="372" t="s">
        <v>13516</v>
      </c>
      <c r="D4935" s="140" t="s">
        <v>13517</v>
      </c>
      <c r="E4935" s="372" t="s">
        <v>13518</v>
      </c>
      <c r="F4935" s="372" t="s">
        <v>13519</v>
      </c>
      <c r="G4935" s="372" t="s">
        <v>13520</v>
      </c>
    </row>
    <row r="4936" spans="2:7" hidden="1">
      <c r="B4936" s="140" t="s">
        <v>20881</v>
      </c>
      <c r="C4936" s="372" t="s">
        <v>13521</v>
      </c>
      <c r="D4936" s="140" t="s">
        <v>13522</v>
      </c>
      <c r="E4936" s="372" t="s">
        <v>13523</v>
      </c>
      <c r="F4936" s="372" t="s">
        <v>13524</v>
      </c>
      <c r="G4936" s="372" t="s">
        <v>13525</v>
      </c>
    </row>
    <row r="4937" spans="2:7" hidden="1">
      <c r="B4937" s="140" t="s">
        <v>20882</v>
      </c>
      <c r="C4937" s="372" t="s">
        <v>13526</v>
      </c>
      <c r="D4937" s="140" t="s">
        <v>13527</v>
      </c>
      <c r="E4937" s="372" t="s">
        <v>13528</v>
      </c>
      <c r="F4937" s="372" t="s">
        <v>13529</v>
      </c>
      <c r="G4937" s="372" t="s">
        <v>13530</v>
      </c>
    </row>
    <row r="4938" spans="2:7" hidden="1">
      <c r="B4938" s="140" t="s">
        <v>20883</v>
      </c>
      <c r="C4938" s="372" t="s">
        <v>13531</v>
      </c>
      <c r="D4938" s="140" t="s">
        <v>13532</v>
      </c>
      <c r="E4938" s="372" t="s">
        <v>13533</v>
      </c>
      <c r="F4938" s="372" t="s">
        <v>13534</v>
      </c>
      <c r="G4938" s="372" t="s">
        <v>13535</v>
      </c>
    </row>
    <row r="4939" spans="2:7" hidden="1">
      <c r="B4939" s="140" t="s">
        <v>20884</v>
      </c>
      <c r="C4939" s="372" t="s">
        <v>13536</v>
      </c>
      <c r="D4939" s="140" t="s">
        <v>13537</v>
      </c>
      <c r="E4939" s="372" t="s">
        <v>13538</v>
      </c>
      <c r="F4939" s="372" t="s">
        <v>13539</v>
      </c>
      <c r="G4939" s="372" t="s">
        <v>13540</v>
      </c>
    </row>
    <row r="4940" spans="2:7" hidden="1">
      <c r="B4940" s="140" t="s">
        <v>20885</v>
      </c>
      <c r="C4940" s="372" t="s">
        <v>13541</v>
      </c>
      <c r="D4940" s="140" t="s">
        <v>13542</v>
      </c>
      <c r="E4940" s="372" t="s">
        <v>13543</v>
      </c>
      <c r="F4940" s="372" t="s">
        <v>13544</v>
      </c>
      <c r="G4940" s="372" t="s">
        <v>13545</v>
      </c>
    </row>
    <row r="4941" spans="2:7" hidden="1">
      <c r="B4941" s="140" t="s">
        <v>20886</v>
      </c>
      <c r="C4941" s="372" t="s">
        <v>21002</v>
      </c>
      <c r="D4941" s="140" t="s">
        <v>21009</v>
      </c>
      <c r="E4941" s="372" t="s">
        <v>13546</v>
      </c>
      <c r="F4941" s="372" t="s">
        <v>13547</v>
      </c>
      <c r="G4941" s="372" t="s">
        <v>13548</v>
      </c>
    </row>
    <row r="4942" spans="2:7" hidden="1">
      <c r="B4942" s="140" t="s">
        <v>20887</v>
      </c>
      <c r="C4942" s="372" t="s">
        <v>13549</v>
      </c>
      <c r="D4942" s="140" t="s">
        <v>13550</v>
      </c>
      <c r="E4942" s="372" t="s">
        <v>13551</v>
      </c>
      <c r="F4942" s="372" t="s">
        <v>13552</v>
      </c>
      <c r="G4942" s="372" t="s">
        <v>13553</v>
      </c>
    </row>
    <row r="4943" spans="2:7" hidden="1">
      <c r="B4943" s="140" t="s">
        <v>20888</v>
      </c>
      <c r="C4943" s="372" t="s">
        <v>13554</v>
      </c>
      <c r="D4943" s="140" t="s">
        <v>13555</v>
      </c>
      <c r="E4943" s="372" t="s">
        <v>13556</v>
      </c>
      <c r="F4943" s="372" t="s">
        <v>13557</v>
      </c>
      <c r="G4943" s="372" t="s">
        <v>13558</v>
      </c>
    </row>
    <row r="4944" spans="2:7" hidden="1">
      <c r="B4944" s="140" t="s">
        <v>20889</v>
      </c>
      <c r="C4944" s="372" t="s">
        <v>13559</v>
      </c>
      <c r="D4944" s="140" t="s">
        <v>13560</v>
      </c>
      <c r="E4944" s="372" t="s">
        <v>13561</v>
      </c>
      <c r="F4944" s="372" t="s">
        <v>13562</v>
      </c>
      <c r="G4944" s="372" t="s">
        <v>13563</v>
      </c>
    </row>
    <row r="4945" spans="2:7" hidden="1">
      <c r="B4945" s="140" t="s">
        <v>20890</v>
      </c>
      <c r="C4945" s="372" t="s">
        <v>13564</v>
      </c>
      <c r="D4945" s="140" t="s">
        <v>13565</v>
      </c>
      <c r="E4945" s="372" t="s">
        <v>13566</v>
      </c>
      <c r="F4945" s="372" t="s">
        <v>13567</v>
      </c>
      <c r="G4945" s="372" t="s">
        <v>13520</v>
      </c>
    </row>
    <row r="4946" spans="2:7" hidden="1">
      <c r="B4946" s="140" t="s">
        <v>20891</v>
      </c>
      <c r="C4946" s="372" t="s">
        <v>13568</v>
      </c>
      <c r="D4946" s="140" t="s">
        <v>13569</v>
      </c>
      <c r="E4946" s="372" t="s">
        <v>13570</v>
      </c>
      <c r="F4946" s="372" t="s">
        <v>13571</v>
      </c>
      <c r="G4946" s="372" t="s">
        <v>13572</v>
      </c>
    </row>
    <row r="4947" spans="2:7" hidden="1">
      <c r="B4947" s="140" t="s">
        <v>20892</v>
      </c>
      <c r="C4947" s="372" t="s">
        <v>13573</v>
      </c>
      <c r="D4947" s="140" t="s">
        <v>13574</v>
      </c>
      <c r="E4947" s="372" t="s">
        <v>13575</v>
      </c>
      <c r="F4947" s="372" t="s">
        <v>13576</v>
      </c>
      <c r="G4947" s="372" t="s">
        <v>13577</v>
      </c>
    </row>
    <row r="4948" spans="2:7" hidden="1">
      <c r="B4948" s="140" t="s">
        <v>20893</v>
      </c>
      <c r="C4948" s="372" t="s">
        <v>13578</v>
      </c>
      <c r="D4948" s="140" t="s">
        <v>13579</v>
      </c>
      <c r="E4948" s="372" t="s">
        <v>13580</v>
      </c>
      <c r="F4948" s="372" t="s">
        <v>13581</v>
      </c>
      <c r="G4948" s="372" t="s">
        <v>13582</v>
      </c>
    </row>
    <row r="4949" spans="2:7" hidden="1">
      <c r="B4949" s="140" t="s">
        <v>20894</v>
      </c>
      <c r="C4949" s="372" t="s">
        <v>13583</v>
      </c>
      <c r="D4949" s="140" t="s">
        <v>13584</v>
      </c>
      <c r="E4949" s="372" t="s">
        <v>13585</v>
      </c>
      <c r="F4949" s="372" t="s">
        <v>13586</v>
      </c>
      <c r="G4949" s="372" t="s">
        <v>13587</v>
      </c>
    </row>
    <row r="4950" spans="2:7" hidden="1">
      <c r="B4950" s="140" t="s">
        <v>20895</v>
      </c>
      <c r="C4950" s="372" t="s">
        <v>13588</v>
      </c>
      <c r="D4950" s="140" t="s">
        <v>13589</v>
      </c>
      <c r="E4950" s="372" t="s">
        <v>13590</v>
      </c>
      <c r="F4950" s="372" t="s">
        <v>13591</v>
      </c>
      <c r="G4950" s="372" t="s">
        <v>13582</v>
      </c>
    </row>
    <row r="4951" spans="2:7" hidden="1">
      <c r="B4951" s="140" t="s">
        <v>20896</v>
      </c>
      <c r="C4951" s="372" t="s">
        <v>13592</v>
      </c>
      <c r="D4951" s="140" t="s">
        <v>13593</v>
      </c>
      <c r="E4951" s="372" t="s">
        <v>13594</v>
      </c>
      <c r="F4951" s="372" t="s">
        <v>13595</v>
      </c>
      <c r="G4951" s="372" t="s">
        <v>13596</v>
      </c>
    </row>
    <row r="4952" spans="2:7" hidden="1">
      <c r="B4952" s="140" t="s">
        <v>20897</v>
      </c>
      <c r="C4952" s="372" t="s">
        <v>13597</v>
      </c>
      <c r="D4952" s="140" t="s">
        <v>13598</v>
      </c>
      <c r="E4952" s="372" t="s">
        <v>13599</v>
      </c>
      <c r="F4952" s="372" t="s">
        <v>13600</v>
      </c>
      <c r="G4952" s="372" t="s">
        <v>13246</v>
      </c>
    </row>
    <row r="4953" spans="2:7" hidden="1">
      <c r="B4953" s="140" t="s">
        <v>20898</v>
      </c>
      <c r="C4953" s="372" t="s">
        <v>13601</v>
      </c>
      <c r="D4953" s="140" t="s">
        <v>13602</v>
      </c>
      <c r="E4953" s="372" t="s">
        <v>13603</v>
      </c>
      <c r="F4953" s="372" t="s">
        <v>13604</v>
      </c>
      <c r="G4953" s="372" t="s">
        <v>13605</v>
      </c>
    </row>
    <row r="4954" spans="2:7" hidden="1">
      <c r="B4954" s="140" t="s">
        <v>20899</v>
      </c>
      <c r="C4954" s="372" t="s">
        <v>13606</v>
      </c>
      <c r="D4954" s="140" t="s">
        <v>13607</v>
      </c>
      <c r="E4954" s="372" t="s">
        <v>13608</v>
      </c>
      <c r="F4954" s="372" t="s">
        <v>13609</v>
      </c>
      <c r="G4954" s="372" t="s">
        <v>13610</v>
      </c>
    </row>
    <row r="4955" spans="2:7" hidden="1">
      <c r="B4955" s="140" t="s">
        <v>20900</v>
      </c>
      <c r="C4955" s="372" t="s">
        <v>13611</v>
      </c>
      <c r="D4955" s="140" t="s">
        <v>5701</v>
      </c>
      <c r="E4955" s="372" t="s">
        <v>13612</v>
      </c>
      <c r="F4955" s="372" t="s">
        <v>13613</v>
      </c>
      <c r="G4955" s="372" t="s">
        <v>13614</v>
      </c>
    </row>
    <row r="4956" spans="2:7" hidden="1">
      <c r="B4956" s="140" t="s">
        <v>20901</v>
      </c>
      <c r="C4956" s="372" t="s">
        <v>13615</v>
      </c>
      <c r="D4956" s="140" t="s">
        <v>13616</v>
      </c>
      <c r="E4956" s="372" t="s">
        <v>13617</v>
      </c>
      <c r="F4956" s="372" t="s">
        <v>13618</v>
      </c>
      <c r="G4956" s="372" t="s">
        <v>13619</v>
      </c>
    </row>
    <row r="4957" spans="2:7" hidden="1">
      <c r="B4957" s="140" t="s">
        <v>20902</v>
      </c>
      <c r="C4957" s="372" t="s">
        <v>13620</v>
      </c>
      <c r="D4957" s="140" t="s">
        <v>13621</v>
      </c>
      <c r="E4957" s="372" t="s">
        <v>13622</v>
      </c>
      <c r="F4957" s="372" t="s">
        <v>13623</v>
      </c>
      <c r="G4957" s="372" t="s">
        <v>13624</v>
      </c>
    </row>
    <row r="4958" spans="2:7" hidden="1">
      <c r="B4958" s="140" t="s">
        <v>20903</v>
      </c>
      <c r="C4958" s="372" t="s">
        <v>13625</v>
      </c>
      <c r="D4958" s="140" t="s">
        <v>13626</v>
      </c>
      <c r="E4958" s="372" t="s">
        <v>13627</v>
      </c>
      <c r="F4958" s="372" t="s">
        <v>13628</v>
      </c>
      <c r="G4958" s="372" t="s">
        <v>13629</v>
      </c>
    </row>
    <row r="4959" spans="2:7" hidden="1">
      <c r="B4959" s="140" t="s">
        <v>20904</v>
      </c>
      <c r="C4959" s="372" t="s">
        <v>13630</v>
      </c>
      <c r="D4959" s="140" t="s">
        <v>13631</v>
      </c>
      <c r="E4959" s="372" t="s">
        <v>13632</v>
      </c>
      <c r="F4959" s="372" t="s">
        <v>13633</v>
      </c>
      <c r="G4959" s="372" t="s">
        <v>13634</v>
      </c>
    </row>
    <row r="4960" spans="2:7" hidden="1">
      <c r="B4960" s="140" t="s">
        <v>20905</v>
      </c>
      <c r="C4960" s="372" t="s">
        <v>13635</v>
      </c>
      <c r="D4960" s="140" t="s">
        <v>13636</v>
      </c>
      <c r="E4960" s="372"/>
      <c r="F4960" s="372"/>
      <c r="G4960" s="372"/>
    </row>
    <row r="4961" spans="2:7" hidden="1">
      <c r="B4961" s="140" t="s">
        <v>20906</v>
      </c>
      <c r="C4961" s="372" t="s">
        <v>13637</v>
      </c>
      <c r="D4961" s="140" t="s">
        <v>13638</v>
      </c>
      <c r="E4961" s="372" t="s">
        <v>13639</v>
      </c>
      <c r="F4961" s="372" t="s">
        <v>13640</v>
      </c>
      <c r="G4961" s="372" t="s">
        <v>13641</v>
      </c>
    </row>
    <row r="4962" spans="2:7" hidden="1">
      <c r="B4962" s="140" t="s">
        <v>20907</v>
      </c>
      <c r="C4962" s="372" t="s">
        <v>13642</v>
      </c>
      <c r="D4962" s="140" t="s">
        <v>13643</v>
      </c>
      <c r="E4962" s="372" t="s">
        <v>13644</v>
      </c>
      <c r="F4962" s="372" t="s">
        <v>13645</v>
      </c>
      <c r="G4962" s="372" t="s">
        <v>13646</v>
      </c>
    </row>
    <row r="4963" spans="2:7" hidden="1">
      <c r="B4963" s="140" t="s">
        <v>20908</v>
      </c>
      <c r="C4963" s="372" t="s">
        <v>13647</v>
      </c>
      <c r="D4963" s="140" t="s">
        <v>13648</v>
      </c>
      <c r="E4963" s="372" t="s">
        <v>13649</v>
      </c>
      <c r="F4963" s="372" t="s">
        <v>13650</v>
      </c>
      <c r="G4963" s="372" t="s">
        <v>13651</v>
      </c>
    </row>
    <row r="4964" spans="2:7" hidden="1">
      <c r="B4964" s="140" t="s">
        <v>20909</v>
      </c>
      <c r="C4964" s="372" t="s">
        <v>13652</v>
      </c>
      <c r="D4964" s="140" t="s">
        <v>13653</v>
      </c>
      <c r="E4964" s="372" t="s">
        <v>13654</v>
      </c>
      <c r="F4964" s="372" t="s">
        <v>13655</v>
      </c>
      <c r="G4964" s="372" t="s">
        <v>13656</v>
      </c>
    </row>
    <row r="4965" spans="2:7" hidden="1">
      <c r="B4965" s="140" t="s">
        <v>20910</v>
      </c>
      <c r="C4965" s="372" t="s">
        <v>13657</v>
      </c>
      <c r="D4965" s="140" t="s">
        <v>13658</v>
      </c>
      <c r="E4965" s="372" t="s">
        <v>13659</v>
      </c>
      <c r="F4965" s="372" t="s">
        <v>13660</v>
      </c>
      <c r="G4965" s="372" t="s">
        <v>13661</v>
      </c>
    </row>
    <row r="4966" spans="2:7" hidden="1">
      <c r="B4966" s="140" t="s">
        <v>20911</v>
      </c>
      <c r="C4966" s="372" t="s">
        <v>13662</v>
      </c>
      <c r="D4966" s="140" t="s">
        <v>13663</v>
      </c>
      <c r="E4966" s="372" t="s">
        <v>13664</v>
      </c>
      <c r="F4966" s="372" t="s">
        <v>13665</v>
      </c>
      <c r="G4966" s="372" t="s">
        <v>13666</v>
      </c>
    </row>
    <row r="4967" spans="2:7" hidden="1">
      <c r="B4967" s="140" t="s">
        <v>20912</v>
      </c>
      <c r="C4967" s="372" t="s">
        <v>13667</v>
      </c>
      <c r="D4967" s="140" t="s">
        <v>13668</v>
      </c>
      <c r="E4967" s="372" t="s">
        <v>13669</v>
      </c>
      <c r="F4967" s="372" t="s">
        <v>13670</v>
      </c>
      <c r="G4967" s="372" t="s">
        <v>13671</v>
      </c>
    </row>
    <row r="4968" spans="2:7" hidden="1">
      <c r="B4968" s="140" t="s">
        <v>20913</v>
      </c>
      <c r="C4968" s="372" t="s">
        <v>13672</v>
      </c>
      <c r="D4968" s="140" t="s">
        <v>13673</v>
      </c>
      <c r="E4968" s="372" t="s">
        <v>13674</v>
      </c>
      <c r="F4968" s="372" t="s">
        <v>13675</v>
      </c>
      <c r="G4968" s="372" t="s">
        <v>13676</v>
      </c>
    </row>
    <row r="4969" spans="2:7" hidden="1">
      <c r="B4969" s="140" t="s">
        <v>20914</v>
      </c>
      <c r="C4969" s="372" t="s">
        <v>13677</v>
      </c>
      <c r="D4969" s="140" t="s">
        <v>13668</v>
      </c>
      <c r="E4969" s="372" t="s">
        <v>13678</v>
      </c>
      <c r="F4969" s="372" t="s">
        <v>13679</v>
      </c>
      <c r="G4969" s="372" t="s">
        <v>13671</v>
      </c>
    </row>
    <row r="4970" spans="2:7" hidden="1">
      <c r="B4970" s="140" t="s">
        <v>20915</v>
      </c>
      <c r="C4970" s="372" t="s">
        <v>13680</v>
      </c>
      <c r="D4970" s="140" t="s">
        <v>13681</v>
      </c>
      <c r="E4970" s="372" t="s">
        <v>13682</v>
      </c>
      <c r="F4970" s="372" t="s">
        <v>13683</v>
      </c>
      <c r="G4970" s="372" t="s">
        <v>13684</v>
      </c>
    </row>
    <row r="4971" spans="2:7" hidden="1">
      <c r="B4971" s="140" t="s">
        <v>20916</v>
      </c>
      <c r="C4971" s="140" t="s">
        <v>13685</v>
      </c>
      <c r="D4971" s="140" t="s">
        <v>13686</v>
      </c>
      <c r="E4971" s="142" t="s">
        <v>13687</v>
      </c>
      <c r="F4971" s="142" t="s">
        <v>13688</v>
      </c>
      <c r="G4971" s="140" t="s">
        <v>13689</v>
      </c>
    </row>
    <row r="4972" spans="2:7" hidden="1">
      <c r="B4972" s="140" t="s">
        <v>20917</v>
      </c>
      <c r="C4972" s="140" t="s">
        <v>13690</v>
      </c>
      <c r="D4972" s="140" t="s">
        <v>13691</v>
      </c>
      <c r="E4972" s="142" t="s">
        <v>13692</v>
      </c>
      <c r="F4972" s="142" t="s">
        <v>13693</v>
      </c>
      <c r="G4972" s="140" t="s">
        <v>13694</v>
      </c>
    </row>
    <row r="4973" spans="2:7" hidden="1">
      <c r="B4973" s="140" t="s">
        <v>20918</v>
      </c>
      <c r="C4973" s="140" t="s">
        <v>13695</v>
      </c>
      <c r="D4973" s="140" t="s">
        <v>13696</v>
      </c>
      <c r="E4973" s="142" t="s">
        <v>13697</v>
      </c>
      <c r="F4973" s="142" t="s">
        <v>13698</v>
      </c>
      <c r="G4973" s="140" t="s">
        <v>13699</v>
      </c>
    </row>
    <row r="4974" spans="2:7" hidden="1">
      <c r="B4974" s="140" t="s">
        <v>20919</v>
      </c>
      <c r="C4974" s="140" t="s">
        <v>13700</v>
      </c>
      <c r="D4974" s="140" t="s">
        <v>13701</v>
      </c>
      <c r="E4974" s="142" t="s">
        <v>13702</v>
      </c>
      <c r="F4974" s="142" t="s">
        <v>13703</v>
      </c>
      <c r="G4974" s="140" t="s">
        <v>13704</v>
      </c>
    </row>
    <row r="4975" spans="2:7" hidden="1">
      <c r="B4975" s="141" t="s">
        <v>20920</v>
      </c>
      <c r="C4975" s="141" t="s">
        <v>13705</v>
      </c>
      <c r="D4975" s="141" t="s">
        <v>13706</v>
      </c>
      <c r="E4975" s="141" t="s">
        <v>13707</v>
      </c>
      <c r="F4975" s="140" t="s">
        <v>13708</v>
      </c>
      <c r="G4975" s="140" t="s">
        <v>13709</v>
      </c>
    </row>
    <row r="4976" spans="2:7" hidden="1">
      <c r="B4976" s="140" t="s">
        <v>20921</v>
      </c>
      <c r="C4976" s="140" t="s">
        <v>13710</v>
      </c>
      <c r="D4976" s="140" t="s">
        <v>13711</v>
      </c>
      <c r="E4976" s="140" t="s">
        <v>13712</v>
      </c>
      <c r="F4976" s="140" t="s">
        <v>13713</v>
      </c>
      <c r="G4976" s="140" t="s">
        <v>13714</v>
      </c>
    </row>
    <row r="4977" spans="2:7" hidden="1">
      <c r="B4977" s="141" t="s">
        <v>20922</v>
      </c>
      <c r="C4977" s="140" t="s">
        <v>13715</v>
      </c>
      <c r="D4977" s="141" t="s">
        <v>13716</v>
      </c>
      <c r="E4977" s="140" t="s">
        <v>13717</v>
      </c>
      <c r="F4977" s="140" t="s">
        <v>13718</v>
      </c>
      <c r="G4977" s="140" t="s">
        <v>13719</v>
      </c>
    </row>
    <row r="4978" spans="2:7" hidden="1">
      <c r="B4978" s="141" t="s">
        <v>20923</v>
      </c>
      <c r="C4978" s="140" t="s">
        <v>13720</v>
      </c>
      <c r="D4978" s="141" t="s">
        <v>13721</v>
      </c>
      <c r="E4978" s="140" t="s">
        <v>13722</v>
      </c>
      <c r="F4978" s="140" t="s">
        <v>13723</v>
      </c>
      <c r="G4978" s="140" t="s">
        <v>13724</v>
      </c>
    </row>
    <row r="4979" spans="2:7" hidden="1">
      <c r="B4979" s="141" t="s">
        <v>20924</v>
      </c>
      <c r="C4979" s="140" t="s">
        <v>13725</v>
      </c>
      <c r="D4979" s="141" t="s">
        <v>13726</v>
      </c>
      <c r="E4979" s="140" t="s">
        <v>13727</v>
      </c>
      <c r="F4979" s="140" t="s">
        <v>13728</v>
      </c>
      <c r="G4979" s="140" t="s">
        <v>13729</v>
      </c>
    </row>
    <row r="4980" spans="2:7" hidden="1">
      <c r="B4980" s="141" t="s">
        <v>20925</v>
      </c>
      <c r="C4980" s="140" t="s">
        <v>13730</v>
      </c>
      <c r="D4980" s="141" t="s">
        <v>13731</v>
      </c>
      <c r="E4980" s="140" t="s">
        <v>13732</v>
      </c>
      <c r="F4980" s="140" t="s">
        <v>13733</v>
      </c>
      <c r="G4980" s="140" t="s">
        <v>13734</v>
      </c>
    </row>
    <row r="4981" spans="2:7" hidden="1">
      <c r="B4981" s="140" t="s">
        <v>20926</v>
      </c>
      <c r="C4981" s="141" t="s">
        <v>13735</v>
      </c>
      <c r="D4981" s="141" t="s">
        <v>13736</v>
      </c>
      <c r="E4981" s="141" t="s">
        <v>13737</v>
      </c>
      <c r="F4981" s="141" t="s">
        <v>13738</v>
      </c>
      <c r="G4981" s="140" t="s">
        <v>13739</v>
      </c>
    </row>
    <row r="4982" spans="2:7" hidden="1">
      <c r="B4982" s="141" t="s">
        <v>20927</v>
      </c>
      <c r="C4982" s="140" t="s">
        <v>13740</v>
      </c>
      <c r="D4982" s="141" t="s">
        <v>13741</v>
      </c>
      <c r="E4982" s="140" t="s">
        <v>13742</v>
      </c>
      <c r="F4982" s="140" t="s">
        <v>13743</v>
      </c>
      <c r="G4982" s="140" t="s">
        <v>13744</v>
      </c>
    </row>
    <row r="4983" spans="2:7" hidden="1">
      <c r="B4983" s="141" t="s">
        <v>20928</v>
      </c>
      <c r="C4983" s="140" t="s">
        <v>13745</v>
      </c>
      <c r="D4983" s="141" t="s">
        <v>13746</v>
      </c>
      <c r="E4983" s="140" t="s">
        <v>13747</v>
      </c>
      <c r="F4983" s="140" t="s">
        <v>13748</v>
      </c>
      <c r="G4983" s="140" t="s">
        <v>13749</v>
      </c>
    </row>
    <row r="4984" spans="2:7" hidden="1">
      <c r="B4984" s="140" t="s">
        <v>20929</v>
      </c>
      <c r="C4984" s="140" t="s">
        <v>13750</v>
      </c>
      <c r="D4984" s="140" t="s">
        <v>13751</v>
      </c>
      <c r="E4984" s="142" t="s">
        <v>13752</v>
      </c>
      <c r="F4984" s="142" t="s">
        <v>13753</v>
      </c>
      <c r="G4984" s="140" t="s">
        <v>13754</v>
      </c>
    </row>
    <row r="4985" spans="2:7" hidden="1">
      <c r="B4985" s="141" t="s">
        <v>20930</v>
      </c>
      <c r="C4985" s="140" t="s">
        <v>13755</v>
      </c>
      <c r="D4985" s="141" t="s">
        <v>13756</v>
      </c>
      <c r="E4985" s="140" t="s">
        <v>13757</v>
      </c>
      <c r="F4985" s="140" t="s">
        <v>13758</v>
      </c>
      <c r="G4985" s="140" t="s">
        <v>13749</v>
      </c>
    </row>
    <row r="4986" spans="2:7" hidden="1">
      <c r="B4986" s="141" t="s">
        <v>20931</v>
      </c>
      <c r="C4986" s="141" t="s">
        <v>13759</v>
      </c>
      <c r="D4986" s="141" t="s">
        <v>13760</v>
      </c>
      <c r="E4986" s="141" t="s">
        <v>13761</v>
      </c>
      <c r="F4986" s="141" t="s">
        <v>13762</v>
      </c>
      <c r="G4986" s="140" t="s">
        <v>13763</v>
      </c>
    </row>
    <row r="4987" spans="2:7" hidden="1">
      <c r="B4987" s="141" t="s">
        <v>20932</v>
      </c>
      <c r="C4987" s="140" t="s">
        <v>13764</v>
      </c>
      <c r="D4987" s="141" t="s">
        <v>4059</v>
      </c>
      <c r="E4987" s="140" t="s">
        <v>13765</v>
      </c>
      <c r="F4987" s="140" t="s">
        <v>13766</v>
      </c>
      <c r="G4987" s="140" t="s">
        <v>13767</v>
      </c>
    </row>
    <row r="4988" spans="2:7" hidden="1">
      <c r="B4988" s="141" t="s">
        <v>20933</v>
      </c>
      <c r="C4988" s="140" t="s">
        <v>13768</v>
      </c>
      <c r="D4988" s="141" t="s">
        <v>13769</v>
      </c>
      <c r="E4988" s="140" t="s">
        <v>13770</v>
      </c>
      <c r="F4988" s="140" t="s">
        <v>13771</v>
      </c>
      <c r="G4988" s="140" t="s">
        <v>13772</v>
      </c>
    </row>
    <row r="4989" spans="2:7" hidden="1">
      <c r="B4989" s="141" t="s">
        <v>20934</v>
      </c>
      <c r="C4989" s="141" t="s">
        <v>13773</v>
      </c>
      <c r="D4989" s="141" t="s">
        <v>13774</v>
      </c>
      <c r="E4989" s="141" t="s">
        <v>13775</v>
      </c>
      <c r="F4989" s="141" t="s">
        <v>13776</v>
      </c>
      <c r="G4989" s="140" t="s">
        <v>13777</v>
      </c>
    </row>
    <row r="4990" spans="2:7" hidden="1">
      <c r="B4990" s="141" t="s">
        <v>20935</v>
      </c>
      <c r="C4990" s="140" t="s">
        <v>13778</v>
      </c>
      <c r="D4990" s="141" t="s">
        <v>13779</v>
      </c>
      <c r="E4990" s="140" t="s">
        <v>13780</v>
      </c>
      <c r="F4990" s="140" t="s">
        <v>13781</v>
      </c>
      <c r="G4990" s="140" t="s">
        <v>13782</v>
      </c>
    </row>
    <row r="4991" spans="2:7" hidden="1">
      <c r="B4991" s="141" t="s">
        <v>20936</v>
      </c>
      <c r="C4991" s="140" t="s">
        <v>13783</v>
      </c>
      <c r="D4991" s="141" t="s">
        <v>13784</v>
      </c>
      <c r="E4991" s="140" t="s">
        <v>13785</v>
      </c>
      <c r="F4991" s="140" t="s">
        <v>13786</v>
      </c>
      <c r="G4991" s="140" t="s">
        <v>13787</v>
      </c>
    </row>
    <row r="4992" spans="2:7" hidden="1">
      <c r="B4992" s="140" t="s">
        <v>20937</v>
      </c>
      <c r="C4992" s="140" t="s">
        <v>13788</v>
      </c>
      <c r="D4992" s="140" t="s">
        <v>13789</v>
      </c>
      <c r="E4992" s="140" t="s">
        <v>13790</v>
      </c>
      <c r="F4992" s="140" t="s">
        <v>13791</v>
      </c>
      <c r="G4992" s="140" t="s">
        <v>13792</v>
      </c>
    </row>
    <row r="4993" spans="2:7" hidden="1">
      <c r="B4993" s="141" t="s">
        <v>20938</v>
      </c>
      <c r="C4993" s="140" t="s">
        <v>13793</v>
      </c>
      <c r="D4993" s="141" t="s">
        <v>13794</v>
      </c>
      <c r="E4993" s="140" t="s">
        <v>13795</v>
      </c>
      <c r="F4993" s="140" t="s">
        <v>13796</v>
      </c>
      <c r="G4993" s="140" t="s">
        <v>13797</v>
      </c>
    </row>
    <row r="4994" spans="2:7" hidden="1">
      <c r="B4994" s="141" t="s">
        <v>20939</v>
      </c>
      <c r="C4994" s="141" t="s">
        <v>13798</v>
      </c>
      <c r="D4994" s="141" t="s">
        <v>13799</v>
      </c>
      <c r="E4994" s="141" t="s">
        <v>13800</v>
      </c>
      <c r="F4994" s="141" t="s">
        <v>13801</v>
      </c>
      <c r="G4994" s="140" t="s">
        <v>13802</v>
      </c>
    </row>
    <row r="4995" spans="2:7" hidden="1">
      <c r="B4995" s="141" t="s">
        <v>20940</v>
      </c>
      <c r="C4995" s="140" t="s">
        <v>13803</v>
      </c>
      <c r="D4995" s="141" t="s">
        <v>13804</v>
      </c>
      <c r="E4995" s="140" t="s">
        <v>13805</v>
      </c>
      <c r="F4995" s="140" t="s">
        <v>13806</v>
      </c>
      <c r="G4995" s="140" t="s">
        <v>13807</v>
      </c>
    </row>
    <row r="4996" spans="2:7" hidden="1">
      <c r="B4996" s="141" t="s">
        <v>20941</v>
      </c>
      <c r="C4996" s="140" t="s">
        <v>13808</v>
      </c>
      <c r="D4996" s="141" t="s">
        <v>13809</v>
      </c>
      <c r="E4996" s="140" t="s">
        <v>13810</v>
      </c>
      <c r="F4996" s="140" t="s">
        <v>13811</v>
      </c>
      <c r="G4996" s="140" t="s">
        <v>13812</v>
      </c>
    </row>
    <row r="4997" spans="2:7" hidden="1">
      <c r="B4997" s="141" t="s">
        <v>20942</v>
      </c>
      <c r="C4997" s="140" t="s">
        <v>13813</v>
      </c>
      <c r="D4997" s="141" t="s">
        <v>13814</v>
      </c>
      <c r="E4997" s="140" t="s">
        <v>13815</v>
      </c>
      <c r="F4997" s="140" t="s">
        <v>13816</v>
      </c>
      <c r="G4997" s="140" t="s">
        <v>13817</v>
      </c>
    </row>
    <row r="4998" spans="2:7" hidden="1">
      <c r="B4998" s="141" t="s">
        <v>20943</v>
      </c>
      <c r="C4998" s="140" t="s">
        <v>13818</v>
      </c>
      <c r="D4998" s="141" t="s">
        <v>13819</v>
      </c>
      <c r="E4998" s="140" t="s">
        <v>13820</v>
      </c>
      <c r="F4998" s="140" t="s">
        <v>13821</v>
      </c>
      <c r="G4998" s="140" t="s">
        <v>13822</v>
      </c>
    </row>
    <row r="4999" spans="2:7" hidden="1">
      <c r="B4999" s="141" t="s">
        <v>20944</v>
      </c>
      <c r="C4999" s="140" t="s">
        <v>13823</v>
      </c>
      <c r="D4999" s="141" t="s">
        <v>13824</v>
      </c>
      <c r="E4999" s="140" t="s">
        <v>13825</v>
      </c>
      <c r="F4999" s="140" t="s">
        <v>13826</v>
      </c>
      <c r="G4999" s="140" t="s">
        <v>13827</v>
      </c>
    </row>
    <row r="5000" spans="2:7" hidden="1">
      <c r="B5000" s="141" t="s">
        <v>20945</v>
      </c>
      <c r="C5000" s="140" t="s">
        <v>13828</v>
      </c>
      <c r="D5000" s="141" t="s">
        <v>13829</v>
      </c>
      <c r="E5000" s="140" t="s">
        <v>13830</v>
      </c>
      <c r="F5000" s="140" t="s">
        <v>13831</v>
      </c>
      <c r="G5000" s="140" t="s">
        <v>13807</v>
      </c>
    </row>
    <row r="5001" spans="2:7" hidden="1">
      <c r="B5001" s="141" t="s">
        <v>20946</v>
      </c>
      <c r="C5001" s="140" t="s">
        <v>13832</v>
      </c>
      <c r="D5001" s="141" t="s">
        <v>13833</v>
      </c>
      <c r="E5001" s="140" t="s">
        <v>13834</v>
      </c>
      <c r="F5001" s="140" t="s">
        <v>13835</v>
      </c>
      <c r="G5001" s="140" t="s">
        <v>13836</v>
      </c>
    </row>
    <row r="5002" spans="2:7" hidden="1">
      <c r="B5002" s="140" t="s">
        <v>20947</v>
      </c>
      <c r="C5002" s="140" t="s">
        <v>13837</v>
      </c>
      <c r="D5002" s="140" t="s">
        <v>13838</v>
      </c>
      <c r="E5002" s="140" t="s">
        <v>13839</v>
      </c>
      <c r="F5002" s="140" t="s">
        <v>13840</v>
      </c>
      <c r="G5002" s="140" t="s">
        <v>13841</v>
      </c>
    </row>
    <row r="5003" spans="2:7" hidden="1">
      <c r="B5003" s="141" t="s">
        <v>20948</v>
      </c>
      <c r="C5003" s="141" t="s">
        <v>13842</v>
      </c>
      <c r="D5003" s="141" t="s">
        <v>13843</v>
      </c>
      <c r="E5003" s="141" t="s">
        <v>13844</v>
      </c>
      <c r="F5003" s="140" t="s">
        <v>13845</v>
      </c>
      <c r="G5003" s="140" t="s">
        <v>13836</v>
      </c>
    </row>
    <row r="5004" spans="2:7" hidden="1">
      <c r="B5004" s="141" t="s">
        <v>20949</v>
      </c>
      <c r="C5004" s="140" t="s">
        <v>13846</v>
      </c>
      <c r="D5004" s="141" t="s">
        <v>13847</v>
      </c>
      <c r="E5004" s="140" t="s">
        <v>13848</v>
      </c>
      <c r="F5004" s="140" t="s">
        <v>13849</v>
      </c>
      <c r="G5004" s="140" t="s">
        <v>13850</v>
      </c>
    </row>
    <row r="5005" spans="2:7" hidden="1">
      <c r="B5005" s="141" t="s">
        <v>20950</v>
      </c>
      <c r="C5005" s="140" t="s">
        <v>13851</v>
      </c>
      <c r="D5005" s="141" t="s">
        <v>13852</v>
      </c>
      <c r="E5005" s="140" t="s">
        <v>13853</v>
      </c>
      <c r="F5005" s="140" t="s">
        <v>13854</v>
      </c>
      <c r="G5005" s="140" t="s">
        <v>13855</v>
      </c>
    </row>
    <row r="5006" spans="2:7" hidden="1">
      <c r="B5006" s="141" t="s">
        <v>20951</v>
      </c>
      <c r="C5006" s="140" t="s">
        <v>13856</v>
      </c>
      <c r="D5006" s="141" t="s">
        <v>13857</v>
      </c>
      <c r="E5006" s="140" t="s">
        <v>13858</v>
      </c>
      <c r="F5006" s="140" t="s">
        <v>13859</v>
      </c>
      <c r="G5006" s="140" t="s">
        <v>13860</v>
      </c>
    </row>
    <row r="5007" spans="2:7" hidden="1">
      <c r="B5007" s="141" t="s">
        <v>20952</v>
      </c>
      <c r="C5007" s="140" t="s">
        <v>13861</v>
      </c>
      <c r="D5007" s="141" t="s">
        <v>13862</v>
      </c>
      <c r="E5007" s="140" t="s">
        <v>13863</v>
      </c>
      <c r="F5007" s="140" t="s">
        <v>13864</v>
      </c>
      <c r="G5007" s="140" t="s">
        <v>13865</v>
      </c>
    </row>
    <row r="5008" spans="2:7" hidden="1">
      <c r="B5008" s="141" t="s">
        <v>20953</v>
      </c>
      <c r="C5008" s="140" t="s">
        <v>13866</v>
      </c>
      <c r="D5008" s="141" t="s">
        <v>13867</v>
      </c>
      <c r="E5008" s="140" t="s">
        <v>13868</v>
      </c>
      <c r="F5008" s="140" t="s">
        <v>13869</v>
      </c>
      <c r="G5008" s="140" t="s">
        <v>13870</v>
      </c>
    </row>
    <row r="5009" spans="2:7" hidden="1">
      <c r="B5009" s="141" t="s">
        <v>20954</v>
      </c>
      <c r="C5009" s="140" t="s">
        <v>13871</v>
      </c>
      <c r="D5009" s="141" t="s">
        <v>13872</v>
      </c>
      <c r="E5009" s="141" t="s">
        <v>13873</v>
      </c>
      <c r="F5009" s="141" t="s">
        <v>13874</v>
      </c>
      <c r="G5009" s="140" t="s">
        <v>13875</v>
      </c>
    </row>
    <row r="5010" spans="2:7" hidden="1">
      <c r="B5010" s="141" t="s">
        <v>20955</v>
      </c>
      <c r="C5010" s="140" t="s">
        <v>13876</v>
      </c>
      <c r="D5010" s="141" t="s">
        <v>13877</v>
      </c>
      <c r="E5010" s="140" t="s">
        <v>13878</v>
      </c>
      <c r="F5010" s="140" t="s">
        <v>13879</v>
      </c>
      <c r="G5010" s="140" t="s">
        <v>13880</v>
      </c>
    </row>
    <row r="5011" spans="2:7" hidden="1">
      <c r="B5011" s="141" t="s">
        <v>20956</v>
      </c>
      <c r="C5011" s="140" t="s">
        <v>13881</v>
      </c>
      <c r="D5011" s="141" t="s">
        <v>13882</v>
      </c>
      <c r="E5011" s="140" t="s">
        <v>13883</v>
      </c>
      <c r="F5011" s="140" t="s">
        <v>13884</v>
      </c>
      <c r="G5011" s="140" t="s">
        <v>13885</v>
      </c>
    </row>
    <row r="5012" spans="2:7" hidden="1">
      <c r="B5012" s="141" t="s">
        <v>20957</v>
      </c>
      <c r="C5012" s="140" t="s">
        <v>13886</v>
      </c>
      <c r="D5012" s="141" t="s">
        <v>13887</v>
      </c>
      <c r="E5012" s="140" t="s">
        <v>13888</v>
      </c>
      <c r="F5012" s="140" t="s">
        <v>13889</v>
      </c>
      <c r="G5012" s="140" t="s">
        <v>13890</v>
      </c>
    </row>
    <row r="5013" spans="2:7" hidden="1">
      <c r="B5013" s="141" t="s">
        <v>20958</v>
      </c>
      <c r="C5013" s="140" t="s">
        <v>13891</v>
      </c>
      <c r="D5013" s="141" t="s">
        <v>13892</v>
      </c>
      <c r="E5013" s="140" t="s">
        <v>13893</v>
      </c>
      <c r="F5013" s="140" t="s">
        <v>13894</v>
      </c>
      <c r="G5013" s="140" t="s">
        <v>13895</v>
      </c>
    </row>
    <row r="5014" spans="2:7" hidden="1">
      <c r="B5014" s="141" t="s">
        <v>20959</v>
      </c>
      <c r="C5014" s="140" t="s">
        <v>13896</v>
      </c>
      <c r="D5014" s="141" t="s">
        <v>13897</v>
      </c>
      <c r="E5014" s="140" t="s">
        <v>13898</v>
      </c>
      <c r="F5014" s="140" t="s">
        <v>13899</v>
      </c>
      <c r="G5014" s="140" t="s">
        <v>13900</v>
      </c>
    </row>
    <row r="5015" spans="2:7" hidden="1">
      <c r="B5015" s="141" t="s">
        <v>13901</v>
      </c>
      <c r="C5015" s="140"/>
      <c r="D5015" s="141" t="s">
        <v>4459</v>
      </c>
      <c r="E5015" s="140"/>
      <c r="F5015" s="140"/>
      <c r="G5015" s="140"/>
    </row>
    <row r="5016" spans="2:7" hidden="1">
      <c r="B5016" s="141" t="s">
        <v>13902</v>
      </c>
      <c r="C5016" s="140"/>
      <c r="D5016" s="141" t="s">
        <v>13903</v>
      </c>
      <c r="E5016" s="140"/>
      <c r="F5016" s="140"/>
      <c r="G5016" s="140"/>
    </row>
    <row r="5017" spans="2:7" hidden="1">
      <c r="B5017" s="141" t="s">
        <v>13904</v>
      </c>
      <c r="C5017" s="140"/>
      <c r="D5017" s="141" t="s">
        <v>13905</v>
      </c>
      <c r="E5017" s="140"/>
      <c r="F5017" s="140"/>
      <c r="G5017" s="140"/>
    </row>
    <row r="5018" spans="2:7" hidden="1">
      <c r="B5018" s="141" t="s">
        <v>13906</v>
      </c>
      <c r="C5018" s="140"/>
      <c r="D5018" s="141" t="s">
        <v>13907</v>
      </c>
      <c r="E5018" s="140"/>
      <c r="F5018" s="140"/>
      <c r="G5018" s="140"/>
    </row>
    <row r="5019" spans="2:7" hidden="1">
      <c r="B5019" s="141" t="s">
        <v>13908</v>
      </c>
      <c r="C5019" s="140" t="s">
        <v>13909</v>
      </c>
      <c r="D5019" s="141" t="s">
        <v>13910</v>
      </c>
      <c r="E5019" s="140" t="s">
        <v>13911</v>
      </c>
      <c r="F5019" s="140"/>
      <c r="G5019" s="140"/>
    </row>
    <row r="5020" spans="2:7" hidden="1">
      <c r="B5020" s="141" t="s">
        <v>13912</v>
      </c>
      <c r="C5020" s="140"/>
      <c r="D5020" s="141" t="s">
        <v>13913</v>
      </c>
      <c r="E5020" s="140"/>
      <c r="F5020" s="140"/>
      <c r="G5020" s="140"/>
    </row>
    <row r="5021" spans="2:7" hidden="1">
      <c r="B5021" s="141" t="s">
        <v>13914</v>
      </c>
      <c r="C5021" s="140"/>
      <c r="D5021" s="141" t="s">
        <v>10913</v>
      </c>
      <c r="E5021" s="140"/>
      <c r="F5021" s="140"/>
      <c r="G5021" s="140"/>
    </row>
    <row r="5022" spans="2:7" hidden="1">
      <c r="B5022" s="141" t="s">
        <v>13915</v>
      </c>
      <c r="C5022" s="140" t="s">
        <v>13916</v>
      </c>
      <c r="D5022" s="141" t="s">
        <v>13917</v>
      </c>
      <c r="E5022" s="140"/>
      <c r="F5022" s="140"/>
      <c r="G5022" s="140"/>
    </row>
    <row r="5023" spans="2:7" hidden="1">
      <c r="B5023" s="141" t="s">
        <v>13918</v>
      </c>
      <c r="C5023" s="140"/>
      <c r="D5023" s="141" t="s">
        <v>9304</v>
      </c>
      <c r="E5023" s="140"/>
      <c r="F5023" s="140"/>
      <c r="G5023" s="140"/>
    </row>
    <row r="5024" spans="2:7" hidden="1">
      <c r="B5024" s="141" t="s">
        <v>13919</v>
      </c>
      <c r="C5024" s="141"/>
      <c r="D5024" s="141" t="s">
        <v>10518</v>
      </c>
      <c r="E5024" s="141"/>
      <c r="F5024" s="141"/>
      <c r="G5024" s="140"/>
    </row>
    <row r="5025" spans="2:7" hidden="1">
      <c r="B5025" s="141" t="s">
        <v>13920</v>
      </c>
      <c r="C5025" s="141" t="s">
        <v>11713</v>
      </c>
      <c r="D5025" s="141" t="s">
        <v>13921</v>
      </c>
      <c r="E5025" s="141"/>
      <c r="F5025" s="140"/>
      <c r="G5025" s="140"/>
    </row>
    <row r="5026" spans="2:7" hidden="1">
      <c r="B5026" s="140" t="s">
        <v>13922</v>
      </c>
      <c r="C5026" s="140"/>
      <c r="D5026" s="140" t="s">
        <v>13923</v>
      </c>
      <c r="E5026" s="142"/>
      <c r="F5026" s="142"/>
      <c r="G5026" s="140"/>
    </row>
    <row r="5027" spans="2:7" hidden="1">
      <c r="B5027" s="141" t="s">
        <v>20161</v>
      </c>
      <c r="C5027" s="140" t="s">
        <v>13924</v>
      </c>
      <c r="D5027" s="141" t="s">
        <v>13925</v>
      </c>
      <c r="E5027" s="140"/>
      <c r="F5027" s="140"/>
      <c r="G5027" s="140"/>
    </row>
    <row r="5028" spans="2:7" hidden="1">
      <c r="B5028" s="140" t="s">
        <v>13926</v>
      </c>
      <c r="C5028" s="140" t="s">
        <v>13927</v>
      </c>
      <c r="D5028" s="140" t="s">
        <v>2274</v>
      </c>
      <c r="E5028" s="142" t="s">
        <v>13928</v>
      </c>
      <c r="F5028" s="142" t="s">
        <v>13929</v>
      </c>
      <c r="G5028" s="140"/>
    </row>
    <row r="5029" spans="2:7" hidden="1">
      <c r="B5029" s="141" t="s">
        <v>13930</v>
      </c>
      <c r="C5029" s="140" t="s">
        <v>13931</v>
      </c>
      <c r="D5029" s="141" t="s">
        <v>13932</v>
      </c>
      <c r="E5029" s="140"/>
      <c r="F5029" s="140"/>
      <c r="G5029" s="140"/>
    </row>
    <row r="5030" spans="2:7" hidden="1">
      <c r="B5030" s="141" t="s">
        <v>13933</v>
      </c>
      <c r="C5030" s="140"/>
      <c r="D5030" s="141" t="s">
        <v>13934</v>
      </c>
      <c r="E5030" s="140"/>
      <c r="F5030" s="140"/>
      <c r="G5030" s="140"/>
    </row>
    <row r="5031" spans="2:7" hidden="1">
      <c r="B5031" s="140" t="s">
        <v>20392</v>
      </c>
      <c r="C5031" s="140" t="s">
        <v>20393</v>
      </c>
      <c r="D5031" s="140" t="s">
        <v>12921</v>
      </c>
      <c r="E5031" s="142" t="s">
        <v>20394</v>
      </c>
      <c r="F5031" s="142"/>
      <c r="G5031" s="140" t="s">
        <v>20395</v>
      </c>
    </row>
    <row r="5032" spans="2:7" hidden="1">
      <c r="B5032" s="140" t="s">
        <v>22113</v>
      </c>
      <c r="C5032" s="140" t="s">
        <v>22114</v>
      </c>
      <c r="D5032" s="140" t="s">
        <v>22115</v>
      </c>
      <c r="E5032" s="142">
        <v>6783096161</v>
      </c>
      <c r="F5032" s="142"/>
      <c r="G5032" s="140"/>
    </row>
    <row r="5033" spans="2:7" hidden="1">
      <c r="B5033" s="141" t="s">
        <v>13937</v>
      </c>
      <c r="C5033" s="140"/>
      <c r="D5033" s="141" t="s">
        <v>13938</v>
      </c>
      <c r="E5033" s="140"/>
      <c r="F5033" s="140"/>
      <c r="G5033" s="140"/>
    </row>
    <row r="5034" spans="2:7" hidden="1">
      <c r="B5034" s="141" t="s">
        <v>13939</v>
      </c>
      <c r="C5034" s="140"/>
      <c r="D5034" s="141" t="s">
        <v>4698</v>
      </c>
      <c r="E5034" s="140"/>
      <c r="F5034" s="140"/>
      <c r="G5034" s="140"/>
    </row>
    <row r="5035" spans="2:7" hidden="1">
      <c r="B5035" s="141" t="s">
        <v>13940</v>
      </c>
      <c r="C5035" s="140"/>
      <c r="D5035" s="141" t="s">
        <v>1674</v>
      </c>
      <c r="E5035" s="140"/>
      <c r="F5035" s="140"/>
      <c r="G5035" s="140"/>
    </row>
    <row r="5036" spans="2:7" hidden="1">
      <c r="B5036" s="141" t="s">
        <v>13941</v>
      </c>
      <c r="C5036" s="140"/>
      <c r="D5036" s="141" t="s">
        <v>10789</v>
      </c>
      <c r="E5036" s="140"/>
      <c r="F5036" s="140"/>
      <c r="G5036" s="140"/>
    </row>
    <row r="5037" spans="2:7" hidden="1">
      <c r="B5037" s="141" t="s">
        <v>13942</v>
      </c>
      <c r="C5037" s="140"/>
      <c r="D5037" s="141" t="s">
        <v>13943</v>
      </c>
      <c r="E5037" s="140"/>
      <c r="F5037" s="140"/>
      <c r="G5037" s="140"/>
    </row>
    <row r="5038" spans="2:7" hidden="1">
      <c r="B5038" s="141" t="s">
        <v>20162</v>
      </c>
      <c r="C5038" s="140" t="s">
        <v>20163</v>
      </c>
      <c r="D5038" s="141" t="s">
        <v>20164</v>
      </c>
      <c r="E5038" s="140"/>
      <c r="F5038" s="140"/>
      <c r="G5038" s="140"/>
    </row>
    <row r="5039" spans="2:7" hidden="1">
      <c r="B5039" s="141" t="s">
        <v>13944</v>
      </c>
      <c r="C5039" s="140" t="s">
        <v>13945</v>
      </c>
      <c r="D5039" s="141" t="s">
        <v>13946</v>
      </c>
      <c r="E5039" s="140" t="s">
        <v>13947</v>
      </c>
      <c r="F5039" s="140"/>
      <c r="G5039" s="140"/>
    </row>
    <row r="5040" spans="2:7" hidden="1">
      <c r="B5040" s="140" t="s">
        <v>20351</v>
      </c>
      <c r="C5040" s="140" t="s">
        <v>20353</v>
      </c>
      <c r="D5040" s="140" t="s">
        <v>20352</v>
      </c>
      <c r="E5040" s="142" t="s">
        <v>20354</v>
      </c>
      <c r="F5040" s="142"/>
      <c r="G5040" s="140"/>
    </row>
    <row r="5041" spans="2:7" hidden="1">
      <c r="B5041" s="141" t="s">
        <v>13948</v>
      </c>
      <c r="C5041" s="141"/>
      <c r="D5041" s="141" t="s">
        <v>13949</v>
      </c>
      <c r="E5041" s="140"/>
      <c r="F5041" s="140"/>
      <c r="G5041" s="140"/>
    </row>
    <row r="5042" spans="2:7" hidden="1">
      <c r="B5042" s="140" t="s">
        <v>13950</v>
      </c>
      <c r="C5042" s="140"/>
      <c r="D5042" s="140" t="s">
        <v>13951</v>
      </c>
      <c r="E5042" s="142"/>
      <c r="F5042" s="142"/>
      <c r="G5042" s="140"/>
    </row>
    <row r="5043" spans="2:7" hidden="1">
      <c r="B5043" s="140" t="s">
        <v>13952</v>
      </c>
      <c r="C5043" s="140" t="s">
        <v>13953</v>
      </c>
      <c r="D5043" s="140" t="s">
        <v>13954</v>
      </c>
      <c r="E5043" s="142"/>
      <c r="F5043" s="142"/>
      <c r="G5043" s="140"/>
    </row>
    <row r="5044" spans="2:7" hidden="1">
      <c r="B5044" s="141" t="s">
        <v>13955</v>
      </c>
      <c r="C5044" s="141" t="s">
        <v>13956</v>
      </c>
      <c r="D5044" s="141" t="s">
        <v>13957</v>
      </c>
      <c r="E5044" s="141"/>
      <c r="F5044" s="140"/>
      <c r="G5044" s="140"/>
    </row>
    <row r="5045" spans="2:7" hidden="1">
      <c r="B5045" s="141" t="s">
        <v>13958</v>
      </c>
      <c r="C5045" s="140" t="s">
        <v>13959</v>
      </c>
      <c r="D5045" s="141" t="s">
        <v>13960</v>
      </c>
      <c r="E5045" s="140" t="s">
        <v>13961</v>
      </c>
      <c r="F5045" s="140" t="s">
        <v>13962</v>
      </c>
      <c r="G5045" s="140"/>
    </row>
    <row r="5046" spans="2:7" hidden="1">
      <c r="B5046" s="141" t="s">
        <v>13963</v>
      </c>
      <c r="C5046" s="140" t="s">
        <v>13964</v>
      </c>
      <c r="D5046" s="141" t="s">
        <v>13965</v>
      </c>
      <c r="E5046" s="140" t="s">
        <v>13966</v>
      </c>
      <c r="F5046" s="140" t="s">
        <v>13967</v>
      </c>
      <c r="G5046" s="140"/>
    </row>
    <row r="5047" spans="2:7" hidden="1">
      <c r="B5047" s="141" t="s">
        <v>13968</v>
      </c>
      <c r="C5047" s="140"/>
      <c r="D5047" s="141" t="s">
        <v>13969</v>
      </c>
      <c r="E5047" s="140"/>
      <c r="F5047" s="140"/>
      <c r="G5047" s="140"/>
    </row>
    <row r="5048" spans="2:7" hidden="1">
      <c r="B5048" s="141" t="s">
        <v>13970</v>
      </c>
      <c r="C5048" s="140"/>
      <c r="D5048" s="140" t="s">
        <v>13971</v>
      </c>
      <c r="E5048" s="140"/>
      <c r="F5048" s="140"/>
      <c r="G5048" s="140"/>
    </row>
    <row r="5049" spans="2:7" hidden="1">
      <c r="B5049" s="141" t="s">
        <v>13972</v>
      </c>
      <c r="C5049" s="140"/>
      <c r="D5049" s="141" t="s">
        <v>5011</v>
      </c>
      <c r="E5049" s="140"/>
      <c r="F5049" s="140"/>
      <c r="G5049" s="140"/>
    </row>
    <row r="5050" spans="2:7" hidden="1">
      <c r="B5050" s="141" t="s">
        <v>21849</v>
      </c>
      <c r="C5050" s="140"/>
      <c r="D5050" s="141" t="s">
        <v>2781</v>
      </c>
      <c r="E5050" s="140"/>
      <c r="F5050" s="140"/>
      <c r="G5050" s="140"/>
    </row>
    <row r="5051" spans="2:7" hidden="1">
      <c r="B5051" s="141" t="s">
        <v>21850</v>
      </c>
      <c r="C5051" s="140"/>
      <c r="D5051" s="141" t="s">
        <v>1213</v>
      </c>
      <c r="E5051" s="140"/>
      <c r="F5051" s="140"/>
      <c r="G5051" s="140"/>
    </row>
    <row r="5052" spans="2:7" hidden="1">
      <c r="B5052" s="141" t="s">
        <v>21851</v>
      </c>
      <c r="C5052" s="140"/>
      <c r="D5052" s="141" t="s">
        <v>13973</v>
      </c>
      <c r="E5052" s="140"/>
      <c r="F5052" s="140"/>
      <c r="G5052" s="140"/>
    </row>
    <row r="5053" spans="2:7" hidden="1">
      <c r="B5053" s="141" t="s">
        <v>13974</v>
      </c>
      <c r="C5053" s="140"/>
      <c r="D5053" s="141" t="s">
        <v>13975</v>
      </c>
      <c r="E5053" s="140"/>
      <c r="F5053" s="140"/>
      <c r="G5053" s="140"/>
    </row>
    <row r="5054" spans="2:7" hidden="1">
      <c r="B5054" s="141" t="s">
        <v>13976</v>
      </c>
      <c r="C5054" s="140"/>
      <c r="D5054" s="141" t="s">
        <v>13977</v>
      </c>
      <c r="E5054" s="140"/>
      <c r="F5054" s="140"/>
      <c r="G5054" s="140"/>
    </row>
    <row r="5055" spans="2:7" hidden="1">
      <c r="B5055" s="141" t="s">
        <v>13978</v>
      </c>
      <c r="C5055" s="140"/>
      <c r="D5055" s="141" t="s">
        <v>13979</v>
      </c>
      <c r="E5055" s="140"/>
      <c r="F5055" s="140"/>
      <c r="G5055" s="140"/>
    </row>
    <row r="5056" spans="2:7" hidden="1">
      <c r="B5056" s="141" t="s">
        <v>13980</v>
      </c>
      <c r="C5056" s="140"/>
      <c r="D5056" s="141" t="s">
        <v>13981</v>
      </c>
      <c r="E5056" s="140"/>
      <c r="F5056" s="140"/>
      <c r="G5056" s="140"/>
    </row>
    <row r="5057" spans="2:7" hidden="1">
      <c r="B5057" s="141" t="s">
        <v>21852</v>
      </c>
      <c r="C5057" s="140" t="s">
        <v>13982</v>
      </c>
      <c r="D5057" s="141" t="s">
        <v>13983</v>
      </c>
      <c r="E5057" s="140">
        <v>9545275505</v>
      </c>
      <c r="F5057" s="140">
        <v>9545275504</v>
      </c>
      <c r="G5057" s="140"/>
    </row>
    <row r="5058" spans="2:7" hidden="1">
      <c r="B5058" s="141" t="s">
        <v>21853</v>
      </c>
      <c r="C5058" s="141" t="s">
        <v>13984</v>
      </c>
      <c r="D5058" s="141" t="s">
        <v>13985</v>
      </c>
      <c r="E5058" s="141"/>
      <c r="F5058" s="140"/>
      <c r="G5058" s="140"/>
    </row>
    <row r="5059" spans="2:7" hidden="1">
      <c r="B5059" s="141" t="s">
        <v>13986</v>
      </c>
      <c r="C5059" s="140"/>
      <c r="D5059" s="141" t="s">
        <v>13987</v>
      </c>
      <c r="E5059" s="140"/>
      <c r="F5059" s="140"/>
      <c r="G5059" s="140"/>
    </row>
    <row r="5060" spans="2:7" hidden="1">
      <c r="B5060" s="141" t="s">
        <v>13988</v>
      </c>
      <c r="C5060" s="140"/>
      <c r="D5060" s="141" t="s">
        <v>13989</v>
      </c>
      <c r="E5060" s="140"/>
      <c r="F5060" s="140"/>
      <c r="G5060" s="140"/>
    </row>
    <row r="5061" spans="2:7" hidden="1">
      <c r="B5061" s="140" t="s">
        <v>13990</v>
      </c>
      <c r="C5061" s="140"/>
      <c r="D5061" s="140" t="s">
        <v>13991</v>
      </c>
      <c r="E5061" s="142"/>
      <c r="F5061" s="142"/>
      <c r="G5061" s="140"/>
    </row>
    <row r="5062" spans="2:7" hidden="1">
      <c r="B5062" s="140" t="s">
        <v>13992</v>
      </c>
      <c r="C5062" s="140" t="s">
        <v>13993</v>
      </c>
      <c r="D5062" s="140" t="s">
        <v>3345</v>
      </c>
      <c r="E5062" s="142"/>
      <c r="F5062" s="142"/>
      <c r="G5062" s="140"/>
    </row>
    <row r="5063" spans="2:7" hidden="1">
      <c r="B5063" s="141" t="s">
        <v>13994</v>
      </c>
      <c r="C5063" s="140"/>
      <c r="D5063" s="141" t="s">
        <v>13995</v>
      </c>
      <c r="E5063" s="140"/>
      <c r="F5063" s="140"/>
      <c r="G5063" s="140"/>
    </row>
    <row r="5064" spans="2:7" hidden="1">
      <c r="B5064" s="141" t="s">
        <v>21854</v>
      </c>
      <c r="C5064" s="140" t="s">
        <v>13996</v>
      </c>
      <c r="D5064" s="141" t="s">
        <v>5417</v>
      </c>
      <c r="E5064" s="140" t="s">
        <v>13997</v>
      </c>
      <c r="F5064" s="140" t="s">
        <v>13998</v>
      </c>
      <c r="G5064" s="140"/>
    </row>
    <row r="5065" spans="2:7" hidden="1">
      <c r="B5065" s="140" t="s">
        <v>13999</v>
      </c>
      <c r="C5065" s="140"/>
      <c r="D5065" s="140" t="s">
        <v>5651</v>
      </c>
      <c r="E5065" s="142"/>
      <c r="F5065" s="142"/>
      <c r="G5065" s="140"/>
    </row>
    <row r="5066" spans="2:7" hidden="1">
      <c r="B5066" s="140" t="s">
        <v>20165</v>
      </c>
      <c r="C5066" s="140"/>
      <c r="D5066" s="140" t="s">
        <v>13995</v>
      </c>
      <c r="E5066" s="142"/>
      <c r="F5066" s="142"/>
      <c r="G5066" s="140"/>
    </row>
    <row r="5067" spans="2:7" hidden="1">
      <c r="B5067" s="140" t="s">
        <v>20166</v>
      </c>
      <c r="C5067" s="140" t="s">
        <v>20167</v>
      </c>
      <c r="D5067" s="140" t="s">
        <v>20168</v>
      </c>
      <c r="E5067" s="142" t="s">
        <v>20169</v>
      </c>
      <c r="F5067" s="142"/>
      <c r="G5067" s="140"/>
    </row>
    <row r="5068" spans="2:7" hidden="1">
      <c r="B5068" s="141" t="s">
        <v>20170</v>
      </c>
      <c r="C5068" s="140"/>
      <c r="D5068" s="141" t="s">
        <v>20171</v>
      </c>
      <c r="E5068" s="140"/>
      <c r="F5068" s="140"/>
      <c r="G5068" s="140"/>
    </row>
    <row r="5069" spans="2:7" hidden="1">
      <c r="B5069" s="141" t="s">
        <v>14000</v>
      </c>
      <c r="C5069" s="140" t="s">
        <v>14001</v>
      </c>
      <c r="D5069" s="141" t="s">
        <v>14002</v>
      </c>
      <c r="E5069" s="140"/>
      <c r="F5069" s="140"/>
      <c r="G5069" s="140"/>
    </row>
    <row r="5070" spans="2:7" hidden="1">
      <c r="B5070" s="141" t="s">
        <v>14003</v>
      </c>
      <c r="C5070" s="140"/>
      <c r="D5070" s="141" t="s">
        <v>14004</v>
      </c>
      <c r="E5070" s="140"/>
      <c r="F5070" s="140"/>
      <c r="G5070" s="140"/>
    </row>
    <row r="5071" spans="2:7" hidden="1">
      <c r="B5071" s="141" t="s">
        <v>14005</v>
      </c>
      <c r="C5071" s="140"/>
      <c r="D5071" s="141" t="s">
        <v>10413</v>
      </c>
      <c r="E5071" s="140"/>
      <c r="F5071" s="140"/>
      <c r="G5071" s="140"/>
    </row>
    <row r="5072" spans="2:7" hidden="1">
      <c r="B5072" s="141" t="s">
        <v>14006</v>
      </c>
      <c r="C5072" s="140"/>
      <c r="D5072" s="141" t="s">
        <v>3686</v>
      </c>
      <c r="E5072" s="140"/>
      <c r="F5072" s="140"/>
      <c r="G5072" s="140"/>
    </row>
    <row r="5073" spans="2:7" hidden="1">
      <c r="B5073" s="141" t="s">
        <v>14007</v>
      </c>
      <c r="C5073" s="140"/>
      <c r="D5073" s="141" t="s">
        <v>9671</v>
      </c>
      <c r="E5073" s="140"/>
      <c r="F5073" s="140"/>
      <c r="G5073" s="140"/>
    </row>
    <row r="5074" spans="2:7" hidden="1">
      <c r="B5074" s="141" t="s">
        <v>14008</v>
      </c>
      <c r="C5074" s="140" t="s">
        <v>14009</v>
      </c>
      <c r="D5074" s="141" t="s">
        <v>14010</v>
      </c>
      <c r="E5074" s="140" t="s">
        <v>14011</v>
      </c>
      <c r="F5074" s="140" t="s">
        <v>14012</v>
      </c>
      <c r="G5074" s="140"/>
    </row>
    <row r="5075" spans="2:7" hidden="1">
      <c r="B5075" s="141" t="s">
        <v>14013</v>
      </c>
      <c r="C5075" s="140"/>
      <c r="D5075" s="141" t="s">
        <v>7802</v>
      </c>
      <c r="E5075" s="140"/>
      <c r="F5075" s="140"/>
      <c r="G5075" s="140"/>
    </row>
    <row r="5076" spans="2:7" hidden="1">
      <c r="B5076" s="141" t="s">
        <v>14014</v>
      </c>
      <c r="C5076" s="140" t="s">
        <v>14015</v>
      </c>
      <c r="D5076" s="141" t="s">
        <v>14016</v>
      </c>
      <c r="E5076" s="140" t="s">
        <v>14017</v>
      </c>
      <c r="F5076" s="140"/>
      <c r="G5076" s="140"/>
    </row>
    <row r="5077" spans="2:7" hidden="1">
      <c r="B5077" s="140" t="s">
        <v>14018</v>
      </c>
      <c r="C5077" s="140"/>
      <c r="D5077" s="140" t="s">
        <v>14019</v>
      </c>
      <c r="E5077" s="142"/>
      <c r="F5077" s="142"/>
      <c r="G5077" s="140"/>
    </row>
    <row r="5078" spans="2:7" hidden="1">
      <c r="B5078" s="141" t="s">
        <v>14020</v>
      </c>
      <c r="C5078" s="140" t="s">
        <v>14021</v>
      </c>
      <c r="D5078" s="141" t="s">
        <v>14022</v>
      </c>
      <c r="E5078" s="140" t="s">
        <v>14023</v>
      </c>
      <c r="F5078" s="140" t="s">
        <v>14024</v>
      </c>
      <c r="G5078" s="140"/>
    </row>
    <row r="5079" spans="2:7" hidden="1">
      <c r="B5079" s="141" t="s">
        <v>14025</v>
      </c>
      <c r="C5079" s="140" t="s">
        <v>14026</v>
      </c>
      <c r="D5079" s="141" t="s">
        <v>14027</v>
      </c>
      <c r="E5079" s="140" t="s">
        <v>14028</v>
      </c>
      <c r="F5079" s="140"/>
      <c r="G5079" s="140"/>
    </row>
    <row r="5080" spans="2:7" hidden="1">
      <c r="B5080" s="141" t="s">
        <v>14029</v>
      </c>
      <c r="C5080" s="140"/>
      <c r="D5080" s="141" t="s">
        <v>14030</v>
      </c>
      <c r="E5080" s="140"/>
      <c r="F5080" s="140"/>
      <c r="G5080" s="140"/>
    </row>
    <row r="5081" spans="2:7" hidden="1">
      <c r="B5081" s="141" t="s">
        <v>14031</v>
      </c>
      <c r="C5081" s="141" t="s">
        <v>14032</v>
      </c>
      <c r="D5081" s="141" t="s">
        <v>14033</v>
      </c>
      <c r="E5081" s="141"/>
      <c r="F5081" s="141"/>
      <c r="G5081" s="140"/>
    </row>
    <row r="5082" spans="2:7" hidden="1">
      <c r="B5082" s="141" t="s">
        <v>14034</v>
      </c>
      <c r="C5082" s="140" t="s">
        <v>14035</v>
      </c>
      <c r="D5082" s="141" t="s">
        <v>14036</v>
      </c>
      <c r="E5082" s="140"/>
      <c r="F5082" s="140"/>
      <c r="G5082" s="140"/>
    </row>
    <row r="5083" spans="2:7" hidden="1">
      <c r="B5083" s="141" t="s">
        <v>14037</v>
      </c>
      <c r="C5083" s="140"/>
      <c r="D5083" s="141" t="s">
        <v>14038</v>
      </c>
      <c r="E5083" s="140"/>
      <c r="F5083" s="140"/>
      <c r="G5083" s="140"/>
    </row>
    <row r="5084" spans="2:7" hidden="1">
      <c r="B5084" s="141" t="s">
        <v>14039</v>
      </c>
      <c r="C5084" s="140"/>
      <c r="D5084" s="141" t="s">
        <v>14040</v>
      </c>
      <c r="E5084" s="140"/>
      <c r="F5084" s="140"/>
      <c r="G5084" s="140"/>
    </row>
    <row r="5085" spans="2:7" hidden="1">
      <c r="B5085" s="141" t="s">
        <v>14041</v>
      </c>
      <c r="C5085" s="140"/>
      <c r="D5085" s="141" t="s">
        <v>14042</v>
      </c>
      <c r="E5085" s="140"/>
      <c r="F5085" s="140"/>
      <c r="G5085" s="140"/>
    </row>
    <row r="5086" spans="2:7" hidden="1">
      <c r="B5086" s="141" t="s">
        <v>21855</v>
      </c>
      <c r="C5086" s="140" t="s">
        <v>14043</v>
      </c>
      <c r="D5086" s="141" t="s">
        <v>14044</v>
      </c>
      <c r="E5086" s="140" t="s">
        <v>14045</v>
      </c>
      <c r="F5086" s="140"/>
      <c r="G5086" s="140"/>
    </row>
    <row r="5087" spans="2:7" hidden="1">
      <c r="B5087" s="141" t="s">
        <v>14046</v>
      </c>
      <c r="C5087" s="140" t="s">
        <v>14047</v>
      </c>
      <c r="D5087" s="141" t="s">
        <v>14044</v>
      </c>
      <c r="E5087" s="140" t="s">
        <v>14048</v>
      </c>
      <c r="F5087" s="140" t="s">
        <v>14049</v>
      </c>
      <c r="G5087" s="140"/>
    </row>
    <row r="5088" spans="2:7" hidden="1">
      <c r="B5088" s="141" t="s">
        <v>14050</v>
      </c>
      <c r="C5088" s="140"/>
      <c r="D5088" s="141" t="s">
        <v>14051</v>
      </c>
      <c r="E5088" s="140"/>
      <c r="F5088" s="140"/>
      <c r="G5088" s="140"/>
    </row>
    <row r="5089" spans="2:7" hidden="1">
      <c r="B5089" s="141" t="s">
        <v>14052</v>
      </c>
      <c r="C5089" s="140" t="s">
        <v>7553</v>
      </c>
      <c r="D5089" s="141" t="s">
        <v>14053</v>
      </c>
      <c r="E5089" s="140"/>
      <c r="F5089" s="140"/>
      <c r="G5089" s="140"/>
    </row>
    <row r="5090" spans="2:7" hidden="1">
      <c r="B5090" s="141" t="s">
        <v>14054</v>
      </c>
      <c r="C5090" s="141"/>
      <c r="D5090" s="141" t="s">
        <v>1937</v>
      </c>
      <c r="E5090" s="141"/>
      <c r="F5090" s="141"/>
      <c r="G5090" s="140"/>
    </row>
    <row r="5091" spans="2:7" hidden="1">
      <c r="B5091" s="141" t="s">
        <v>14055</v>
      </c>
      <c r="C5091" s="140" t="s">
        <v>14056</v>
      </c>
      <c r="D5091" s="141" t="s">
        <v>14057</v>
      </c>
      <c r="E5091" s="140" t="s">
        <v>14058</v>
      </c>
      <c r="F5091" s="140" t="s">
        <v>14059</v>
      </c>
      <c r="G5091" s="140"/>
    </row>
    <row r="5092" spans="2:7" hidden="1">
      <c r="B5092" s="141" t="s">
        <v>14060</v>
      </c>
      <c r="C5092" s="140"/>
      <c r="D5092" s="141" t="s">
        <v>14061</v>
      </c>
      <c r="E5092" s="140"/>
      <c r="F5092" s="140"/>
      <c r="G5092" s="140"/>
    </row>
    <row r="5093" spans="2:7" hidden="1">
      <c r="B5093" s="141" t="s">
        <v>14062</v>
      </c>
      <c r="C5093" s="140"/>
      <c r="D5093" s="141" t="s">
        <v>14063</v>
      </c>
      <c r="E5093" s="140"/>
      <c r="F5093" s="140"/>
      <c r="G5093" s="140"/>
    </row>
    <row r="5094" spans="2:7" hidden="1">
      <c r="B5094" s="141" t="s">
        <v>14064</v>
      </c>
      <c r="C5094" s="140"/>
      <c r="D5094" s="141" t="s">
        <v>14065</v>
      </c>
      <c r="E5094" s="140"/>
      <c r="F5094" s="140"/>
      <c r="G5094" s="140"/>
    </row>
    <row r="5095" spans="2:7" hidden="1">
      <c r="B5095" s="141" t="s">
        <v>14066</v>
      </c>
      <c r="C5095" s="140" t="s">
        <v>14067</v>
      </c>
      <c r="D5095" s="141" t="s">
        <v>14068</v>
      </c>
      <c r="E5095" s="140"/>
      <c r="F5095" s="140"/>
      <c r="G5095" s="140"/>
    </row>
    <row r="5096" spans="2:7" hidden="1">
      <c r="B5096" s="141" t="s">
        <v>14069</v>
      </c>
      <c r="C5096" s="140" t="s">
        <v>14070</v>
      </c>
      <c r="D5096" s="141" t="s">
        <v>14071</v>
      </c>
      <c r="E5096" s="140" t="s">
        <v>14072</v>
      </c>
      <c r="F5096" s="140" t="s">
        <v>14073</v>
      </c>
      <c r="G5096" s="140"/>
    </row>
    <row r="5097" spans="2:7" hidden="1">
      <c r="B5097" s="141" t="s">
        <v>14074</v>
      </c>
      <c r="C5097" s="140"/>
      <c r="D5097" s="141" t="s">
        <v>14075</v>
      </c>
      <c r="E5097" s="140"/>
      <c r="F5097" s="140"/>
      <c r="G5097" s="140"/>
    </row>
    <row r="5098" spans="2:7" hidden="1">
      <c r="B5098" s="140" t="s">
        <v>20963</v>
      </c>
      <c r="C5098" s="140" t="s">
        <v>20964</v>
      </c>
      <c r="D5098" s="140" t="s">
        <v>8163</v>
      </c>
      <c r="E5098" s="142" t="s">
        <v>20965</v>
      </c>
      <c r="F5098" s="142"/>
      <c r="G5098" s="140"/>
    </row>
    <row r="5099" spans="2:7" hidden="1">
      <c r="B5099" s="141" t="s">
        <v>14076</v>
      </c>
      <c r="C5099" s="140"/>
      <c r="D5099" s="141" t="s">
        <v>3520</v>
      </c>
      <c r="E5099" s="140"/>
      <c r="F5099" s="140"/>
      <c r="G5099" s="140"/>
    </row>
    <row r="5100" spans="2:7" hidden="1">
      <c r="B5100" s="141" t="s">
        <v>14077</v>
      </c>
      <c r="C5100" s="140"/>
      <c r="D5100" s="141" t="s">
        <v>14078</v>
      </c>
      <c r="E5100" s="140"/>
      <c r="F5100" s="140"/>
      <c r="G5100" s="140"/>
    </row>
    <row r="5101" spans="2:7" hidden="1">
      <c r="B5101" s="140" t="s">
        <v>14079</v>
      </c>
      <c r="C5101" s="140" t="s">
        <v>14080</v>
      </c>
      <c r="D5101" s="140" t="s">
        <v>1395</v>
      </c>
      <c r="E5101" s="142" t="s">
        <v>14081</v>
      </c>
      <c r="F5101" s="142" t="s">
        <v>14082</v>
      </c>
      <c r="G5101" s="140"/>
    </row>
    <row r="5102" spans="2:7" hidden="1">
      <c r="B5102" s="140" t="s">
        <v>14083</v>
      </c>
      <c r="C5102" s="140"/>
      <c r="D5102" s="140" t="s">
        <v>4164</v>
      </c>
      <c r="E5102" s="142"/>
      <c r="F5102" s="142"/>
      <c r="G5102" s="140"/>
    </row>
    <row r="5103" spans="2:7" hidden="1">
      <c r="B5103" s="141" t="s">
        <v>14084</v>
      </c>
      <c r="C5103" s="140"/>
      <c r="D5103" s="141" t="s">
        <v>2133</v>
      </c>
      <c r="E5103" s="140"/>
      <c r="F5103" s="140"/>
      <c r="G5103" s="140"/>
    </row>
    <row r="5104" spans="2:7" hidden="1">
      <c r="B5104" s="141" t="s">
        <v>14085</v>
      </c>
      <c r="C5104" s="141"/>
      <c r="D5104" s="141" t="s">
        <v>14086</v>
      </c>
      <c r="E5104" s="141"/>
      <c r="F5104" s="141"/>
      <c r="G5104" s="140"/>
    </row>
    <row r="5105" spans="2:7" hidden="1">
      <c r="B5105" s="141" t="s">
        <v>14087</v>
      </c>
      <c r="C5105" s="140"/>
      <c r="D5105" s="141" t="s">
        <v>14088</v>
      </c>
      <c r="E5105" s="140"/>
      <c r="F5105" s="140"/>
      <c r="G5105" s="140"/>
    </row>
    <row r="5106" spans="2:7" hidden="1">
      <c r="B5106" s="140" t="s">
        <v>14089</v>
      </c>
      <c r="C5106" s="140" t="s">
        <v>14090</v>
      </c>
      <c r="D5106" s="140" t="s">
        <v>14091</v>
      </c>
      <c r="E5106" s="142" t="s">
        <v>14092</v>
      </c>
      <c r="F5106" s="142"/>
      <c r="G5106" s="140"/>
    </row>
    <row r="5107" spans="2:7" hidden="1">
      <c r="B5107" s="140" t="s">
        <v>14093</v>
      </c>
      <c r="C5107" s="140"/>
      <c r="D5107" s="140" t="s">
        <v>14094</v>
      </c>
      <c r="E5107" s="140"/>
      <c r="F5107" s="140"/>
      <c r="G5107" s="140"/>
    </row>
    <row r="5108" spans="2:7" hidden="1">
      <c r="B5108" s="140" t="s">
        <v>14095</v>
      </c>
      <c r="C5108" s="141"/>
      <c r="D5108" s="141" t="s">
        <v>14096</v>
      </c>
      <c r="E5108" s="141"/>
      <c r="F5108" s="141"/>
      <c r="G5108" s="140"/>
    </row>
    <row r="5109" spans="2:7" hidden="1">
      <c r="B5109" s="141" t="s">
        <v>14097</v>
      </c>
      <c r="C5109" s="140" t="s">
        <v>14098</v>
      </c>
      <c r="D5109" s="141" t="s">
        <v>14099</v>
      </c>
      <c r="E5109" s="140" t="s">
        <v>14100</v>
      </c>
      <c r="F5109" s="140"/>
      <c r="G5109" s="140" t="s">
        <v>14101</v>
      </c>
    </row>
    <row r="5110" spans="2:7" hidden="1">
      <c r="B5110" s="141" t="s">
        <v>20172</v>
      </c>
      <c r="C5110" s="140" t="s">
        <v>20173</v>
      </c>
      <c r="D5110" s="141" t="s">
        <v>20174</v>
      </c>
      <c r="E5110" s="140" t="s">
        <v>20175</v>
      </c>
      <c r="F5110" s="140"/>
      <c r="G5110" s="140"/>
    </row>
    <row r="5111" spans="2:7" hidden="1">
      <c r="B5111" s="141" t="s">
        <v>14102</v>
      </c>
      <c r="C5111" s="140"/>
      <c r="D5111" s="141" t="s">
        <v>7544</v>
      </c>
      <c r="E5111" s="140"/>
      <c r="F5111" s="140"/>
      <c r="G5111" s="140"/>
    </row>
    <row r="5112" spans="2:7" hidden="1">
      <c r="B5112" s="141" t="s">
        <v>14103</v>
      </c>
      <c r="C5112" s="140"/>
      <c r="D5112" s="141" t="s">
        <v>13995</v>
      </c>
      <c r="E5112" s="140"/>
      <c r="F5112" s="140"/>
      <c r="G5112" s="140"/>
    </row>
    <row r="5113" spans="2:7" hidden="1">
      <c r="B5113" s="141" t="s">
        <v>14104</v>
      </c>
      <c r="C5113" s="140" t="s">
        <v>14105</v>
      </c>
      <c r="D5113" s="141" t="s">
        <v>1031</v>
      </c>
      <c r="E5113" s="140" t="s">
        <v>14106</v>
      </c>
      <c r="F5113" s="140"/>
      <c r="G5113" s="140"/>
    </row>
    <row r="5114" spans="2:7" hidden="1">
      <c r="B5114" s="141" t="s">
        <v>14107</v>
      </c>
      <c r="C5114" s="141"/>
      <c r="D5114" s="141" t="s">
        <v>8131</v>
      </c>
      <c r="E5114" s="141"/>
      <c r="F5114" s="141"/>
      <c r="G5114" s="140"/>
    </row>
    <row r="5115" spans="2:7" hidden="1">
      <c r="B5115" s="141" t="s">
        <v>14108</v>
      </c>
      <c r="C5115" s="140"/>
      <c r="D5115" s="141" t="s">
        <v>10938</v>
      </c>
      <c r="E5115" s="140"/>
      <c r="F5115" s="140"/>
      <c r="G5115" s="140"/>
    </row>
    <row r="5116" spans="2:7" hidden="1">
      <c r="B5116" s="141" t="s">
        <v>14109</v>
      </c>
      <c r="C5116" s="141"/>
      <c r="D5116" s="141" t="s">
        <v>14110</v>
      </c>
      <c r="E5116" s="141"/>
      <c r="F5116" s="141"/>
      <c r="G5116" s="140"/>
    </row>
    <row r="5117" spans="2:7" hidden="1">
      <c r="B5117" s="140" t="s">
        <v>14111</v>
      </c>
      <c r="C5117" s="141"/>
      <c r="D5117" s="141" t="s">
        <v>14112</v>
      </c>
      <c r="E5117" s="141"/>
      <c r="F5117" s="141"/>
      <c r="G5117" s="140"/>
    </row>
    <row r="5118" spans="2:7" hidden="1">
      <c r="B5118" s="141" t="s">
        <v>14113</v>
      </c>
      <c r="C5118" s="140"/>
      <c r="D5118" s="141" t="s">
        <v>7563</v>
      </c>
      <c r="E5118" s="140"/>
      <c r="F5118" s="140"/>
      <c r="G5118" s="140"/>
    </row>
    <row r="5119" spans="2:7" hidden="1">
      <c r="B5119" s="140" t="s">
        <v>14114</v>
      </c>
      <c r="C5119" s="140"/>
      <c r="D5119" s="140" t="s">
        <v>7471</v>
      </c>
      <c r="E5119" s="142"/>
      <c r="F5119" s="142"/>
      <c r="G5119" s="140"/>
    </row>
    <row r="5120" spans="2:7" hidden="1">
      <c r="B5120" s="141" t="s">
        <v>20176</v>
      </c>
      <c r="C5120" s="141"/>
      <c r="D5120" s="141" t="s">
        <v>20177</v>
      </c>
      <c r="E5120" s="141"/>
      <c r="F5120" s="141"/>
      <c r="G5120" s="140"/>
    </row>
    <row r="5121" spans="2:7" hidden="1">
      <c r="B5121" s="141" t="s">
        <v>14115</v>
      </c>
      <c r="C5121" s="140"/>
      <c r="D5121" s="141" t="s">
        <v>14116</v>
      </c>
      <c r="E5121" s="140"/>
      <c r="F5121" s="140"/>
      <c r="G5121" s="140"/>
    </row>
    <row r="5122" spans="2:7" hidden="1">
      <c r="B5122" s="141" t="s">
        <v>14117</v>
      </c>
      <c r="C5122" s="140" t="s">
        <v>14118</v>
      </c>
      <c r="D5122" s="141" t="s">
        <v>14119</v>
      </c>
      <c r="E5122" s="140" t="s">
        <v>14120</v>
      </c>
      <c r="F5122" s="140" t="s">
        <v>14121</v>
      </c>
      <c r="G5122" s="140"/>
    </row>
    <row r="5123" spans="2:7" hidden="1">
      <c r="B5123" s="141" t="s">
        <v>14122</v>
      </c>
      <c r="C5123" s="140" t="s">
        <v>14123</v>
      </c>
      <c r="D5123" s="141" t="s">
        <v>14124</v>
      </c>
      <c r="E5123" s="140" t="s">
        <v>14125</v>
      </c>
      <c r="F5123" s="140" t="s">
        <v>14126</v>
      </c>
      <c r="G5123" s="140"/>
    </row>
    <row r="5124" spans="2:7" hidden="1">
      <c r="B5124" s="141" t="s">
        <v>14127</v>
      </c>
      <c r="C5124" s="140"/>
      <c r="D5124" s="141" t="s">
        <v>14119</v>
      </c>
      <c r="E5124" s="140"/>
      <c r="F5124" s="140"/>
      <c r="G5124" s="140"/>
    </row>
    <row r="5125" spans="2:7" hidden="1">
      <c r="B5125" s="141" t="s">
        <v>14128</v>
      </c>
      <c r="C5125" s="140"/>
      <c r="D5125" s="141" t="s">
        <v>14129</v>
      </c>
      <c r="E5125" s="140"/>
      <c r="F5125" s="140"/>
      <c r="G5125" s="140"/>
    </row>
    <row r="5126" spans="2:7" hidden="1">
      <c r="B5126" s="141" t="s">
        <v>14130</v>
      </c>
      <c r="C5126" s="140"/>
      <c r="D5126" s="141" t="s">
        <v>14131</v>
      </c>
      <c r="E5126" s="140"/>
      <c r="F5126" s="140"/>
      <c r="G5126" s="140"/>
    </row>
    <row r="5127" spans="2:7" hidden="1">
      <c r="B5127" s="141" t="s">
        <v>14132</v>
      </c>
      <c r="C5127" s="140"/>
      <c r="D5127" s="141" t="s">
        <v>5184</v>
      </c>
      <c r="E5127" s="140"/>
      <c r="F5127" s="140"/>
      <c r="G5127" s="140"/>
    </row>
    <row r="5128" spans="2:7" hidden="1">
      <c r="B5128" s="141" t="s">
        <v>14133</v>
      </c>
      <c r="C5128" s="140"/>
      <c r="D5128" s="141" t="s">
        <v>13938</v>
      </c>
      <c r="E5128" s="140"/>
      <c r="F5128" s="140"/>
      <c r="G5128" s="140"/>
    </row>
    <row r="5129" spans="2:7" hidden="1">
      <c r="B5129" s="141" t="s">
        <v>14134</v>
      </c>
      <c r="C5129" s="140"/>
      <c r="D5129" s="141" t="s">
        <v>14135</v>
      </c>
      <c r="E5129" s="140"/>
      <c r="F5129" s="140"/>
      <c r="G5129" s="140"/>
    </row>
    <row r="5130" spans="2:7" hidden="1">
      <c r="B5130" s="141" t="s">
        <v>14136</v>
      </c>
      <c r="C5130" s="140"/>
      <c r="D5130" s="141" t="s">
        <v>14137</v>
      </c>
      <c r="E5130" s="140"/>
      <c r="F5130" s="140"/>
      <c r="G5130" s="140"/>
    </row>
    <row r="5131" spans="2:7" hidden="1">
      <c r="B5131" s="141" t="s">
        <v>14138</v>
      </c>
      <c r="C5131" s="140"/>
      <c r="D5131" s="141" t="s">
        <v>5520</v>
      </c>
      <c r="E5131" s="140"/>
      <c r="F5131" s="140"/>
      <c r="G5131" s="140"/>
    </row>
    <row r="5132" spans="2:7" hidden="1">
      <c r="B5132" s="141" t="s">
        <v>14139</v>
      </c>
      <c r="C5132" s="140"/>
      <c r="D5132" s="141" t="s">
        <v>14140</v>
      </c>
      <c r="E5132" s="140"/>
      <c r="F5132" s="140"/>
      <c r="G5132" s="140"/>
    </row>
    <row r="5133" spans="2:7" hidden="1">
      <c r="B5133" s="141" t="s">
        <v>14141</v>
      </c>
      <c r="C5133" s="140" t="s">
        <v>14142</v>
      </c>
      <c r="D5133" s="141" t="s">
        <v>14143</v>
      </c>
      <c r="E5133" s="140" t="s">
        <v>14144</v>
      </c>
      <c r="F5133" s="140"/>
      <c r="G5133" s="140"/>
    </row>
    <row r="5134" spans="2:7" hidden="1">
      <c r="B5134" s="140" t="s">
        <v>14145</v>
      </c>
      <c r="C5134" s="140"/>
      <c r="D5134" s="140" t="s">
        <v>14146</v>
      </c>
      <c r="E5134" s="142"/>
      <c r="F5134" s="142"/>
      <c r="G5134" s="140"/>
    </row>
    <row r="5135" spans="2:7" hidden="1">
      <c r="B5135" s="140" t="s">
        <v>14147</v>
      </c>
      <c r="C5135" s="140"/>
      <c r="D5135" s="140" t="s">
        <v>9525</v>
      </c>
      <c r="E5135" s="142"/>
      <c r="F5135" s="142"/>
      <c r="G5135" s="140"/>
    </row>
    <row r="5136" spans="2:7" hidden="1">
      <c r="B5136" s="141" t="s">
        <v>14148</v>
      </c>
      <c r="C5136" s="140"/>
      <c r="D5136" s="141" t="s">
        <v>1780</v>
      </c>
      <c r="E5136" s="140"/>
      <c r="F5136" s="140"/>
      <c r="G5136" s="140"/>
    </row>
    <row r="5137" spans="2:7" hidden="1">
      <c r="B5137" s="140" t="s">
        <v>14149</v>
      </c>
      <c r="C5137" s="141"/>
      <c r="D5137" s="141" t="s">
        <v>14150</v>
      </c>
      <c r="E5137" s="141"/>
      <c r="F5137" s="140"/>
      <c r="G5137" s="140"/>
    </row>
    <row r="5138" spans="2:7" hidden="1">
      <c r="B5138" s="141" t="s">
        <v>14151</v>
      </c>
      <c r="C5138" s="140"/>
      <c r="D5138" s="141" t="s">
        <v>5208</v>
      </c>
      <c r="E5138" s="140"/>
      <c r="F5138" s="140"/>
      <c r="G5138" s="140"/>
    </row>
    <row r="5139" spans="2:7" hidden="1">
      <c r="B5139" s="141" t="s">
        <v>14152</v>
      </c>
      <c r="C5139" s="140" t="s">
        <v>14153</v>
      </c>
      <c r="D5139" s="141" t="s">
        <v>14154</v>
      </c>
      <c r="E5139" s="140" t="s">
        <v>14155</v>
      </c>
      <c r="F5139" s="140" t="s">
        <v>14155</v>
      </c>
      <c r="G5139" s="140"/>
    </row>
    <row r="5140" spans="2:7" hidden="1">
      <c r="B5140" s="141" t="s">
        <v>14156</v>
      </c>
      <c r="C5140" s="141"/>
      <c r="D5140" s="141" t="s">
        <v>14157</v>
      </c>
      <c r="E5140" s="141"/>
      <c r="F5140" s="141"/>
      <c r="G5140" s="140"/>
    </row>
    <row r="5141" spans="2:7" hidden="1">
      <c r="B5141" s="140" t="s">
        <v>14158</v>
      </c>
      <c r="C5141" s="140"/>
      <c r="D5141" s="141" t="s">
        <v>2880</v>
      </c>
      <c r="E5141" s="140"/>
      <c r="F5141" s="140"/>
      <c r="G5141" s="140"/>
    </row>
    <row r="5142" spans="2:7" hidden="1">
      <c r="B5142" s="141" t="s">
        <v>14159</v>
      </c>
      <c r="C5142" s="141"/>
      <c r="D5142" s="141" t="s">
        <v>14160</v>
      </c>
      <c r="E5142" s="141"/>
      <c r="F5142" s="140"/>
      <c r="G5142" s="140"/>
    </row>
    <row r="5143" spans="2:7" hidden="1">
      <c r="B5143" s="141" t="s">
        <v>14161</v>
      </c>
      <c r="C5143" s="140"/>
      <c r="D5143" s="141" t="s">
        <v>14162</v>
      </c>
      <c r="E5143" s="140"/>
      <c r="F5143" s="140"/>
      <c r="G5143" s="140"/>
    </row>
    <row r="5144" spans="2:7" hidden="1">
      <c r="B5144" s="141" t="s">
        <v>14163</v>
      </c>
      <c r="C5144" s="140"/>
      <c r="D5144" s="141" t="s">
        <v>14164</v>
      </c>
      <c r="E5144" s="140"/>
      <c r="F5144" s="140"/>
      <c r="G5144" s="140"/>
    </row>
    <row r="5145" spans="2:7" hidden="1">
      <c r="B5145" s="141" t="s">
        <v>14165</v>
      </c>
      <c r="C5145" s="140"/>
      <c r="D5145" s="141" t="s">
        <v>14166</v>
      </c>
      <c r="E5145" s="140"/>
      <c r="F5145" s="140"/>
      <c r="G5145" s="140"/>
    </row>
    <row r="5146" spans="2:7" hidden="1">
      <c r="B5146" s="141" t="s">
        <v>21856</v>
      </c>
      <c r="C5146" s="140"/>
      <c r="D5146" s="141" t="s">
        <v>14167</v>
      </c>
      <c r="E5146" s="140"/>
      <c r="F5146" s="140"/>
      <c r="G5146" s="140"/>
    </row>
    <row r="5147" spans="2:7" hidden="1">
      <c r="B5147" s="140" t="s">
        <v>14168</v>
      </c>
      <c r="C5147" s="140"/>
      <c r="D5147" s="140" t="s">
        <v>14169</v>
      </c>
      <c r="E5147" s="142"/>
      <c r="F5147" s="142"/>
      <c r="G5147" s="140"/>
    </row>
    <row r="5148" spans="2:7" hidden="1">
      <c r="B5148" s="140" t="s">
        <v>14170</v>
      </c>
      <c r="C5148" s="140"/>
      <c r="D5148" s="140" t="s">
        <v>6203</v>
      </c>
      <c r="E5148" s="142"/>
      <c r="F5148" s="142"/>
      <c r="G5148" s="140"/>
    </row>
    <row r="5149" spans="2:7" hidden="1">
      <c r="B5149" s="141" t="s">
        <v>14171</v>
      </c>
      <c r="C5149" s="140"/>
      <c r="D5149" s="141" t="s">
        <v>14172</v>
      </c>
      <c r="E5149" s="140"/>
      <c r="F5149" s="140"/>
      <c r="G5149" s="140"/>
    </row>
    <row r="5150" spans="2:7" hidden="1">
      <c r="B5150" s="141" t="s">
        <v>14173</v>
      </c>
      <c r="C5150" s="140"/>
      <c r="D5150" s="141" t="s">
        <v>2528</v>
      </c>
      <c r="E5150" s="140"/>
      <c r="F5150" s="140"/>
      <c r="G5150" s="140"/>
    </row>
    <row r="5151" spans="2:7" hidden="1">
      <c r="B5151" s="141" t="s">
        <v>14174</v>
      </c>
      <c r="C5151" s="140" t="s">
        <v>14175</v>
      </c>
      <c r="D5151" s="141" t="s">
        <v>14176</v>
      </c>
      <c r="E5151" s="140"/>
      <c r="F5151" s="140"/>
      <c r="G5151" s="140"/>
    </row>
    <row r="5152" spans="2:7" hidden="1">
      <c r="B5152" s="141" t="s">
        <v>21857</v>
      </c>
      <c r="C5152" s="140" t="s">
        <v>14177</v>
      </c>
      <c r="D5152" s="141" t="s">
        <v>14178</v>
      </c>
      <c r="E5152" s="140"/>
      <c r="F5152" s="140"/>
      <c r="G5152" s="140"/>
    </row>
    <row r="5153" spans="2:7" hidden="1">
      <c r="B5153" s="141" t="s">
        <v>14179</v>
      </c>
      <c r="C5153" s="140"/>
      <c r="D5153" s="141" t="s">
        <v>11482</v>
      </c>
      <c r="E5153" s="140"/>
      <c r="F5153" s="140"/>
      <c r="G5153" s="140"/>
    </row>
    <row r="5154" spans="2:7" hidden="1">
      <c r="B5154" s="141" t="s">
        <v>14180</v>
      </c>
      <c r="C5154" s="140"/>
      <c r="D5154" s="141" t="s">
        <v>11206</v>
      </c>
      <c r="E5154" s="140"/>
      <c r="F5154" s="140"/>
      <c r="G5154" s="140"/>
    </row>
    <row r="5155" spans="2:7" hidden="1">
      <c r="B5155" s="141" t="s">
        <v>14181</v>
      </c>
      <c r="C5155" s="140"/>
      <c r="D5155" s="141" t="s">
        <v>6417</v>
      </c>
      <c r="E5155" s="140"/>
      <c r="F5155" s="140"/>
      <c r="G5155" s="140"/>
    </row>
    <row r="5156" spans="2:7" hidden="1">
      <c r="B5156" s="141" t="s">
        <v>21858</v>
      </c>
      <c r="C5156" s="140"/>
      <c r="D5156" s="141" t="s">
        <v>14182</v>
      </c>
      <c r="E5156" s="140"/>
      <c r="F5156" s="140"/>
      <c r="G5156" s="140"/>
    </row>
    <row r="5157" spans="2:7" hidden="1">
      <c r="B5157" s="140" t="s">
        <v>14183</v>
      </c>
      <c r="C5157" s="140"/>
      <c r="D5157" s="140" t="s">
        <v>6276</v>
      </c>
      <c r="E5157" s="140"/>
      <c r="F5157" s="140"/>
      <c r="G5157" s="140"/>
    </row>
    <row r="5158" spans="2:7" hidden="1">
      <c r="B5158" s="141" t="s">
        <v>14184</v>
      </c>
      <c r="C5158" s="141"/>
      <c r="D5158" s="141" t="s">
        <v>14185</v>
      </c>
      <c r="E5158" s="141"/>
      <c r="F5158" s="141"/>
      <c r="G5158" s="140"/>
    </row>
    <row r="5159" spans="2:7" hidden="1">
      <c r="B5159" s="141" t="s">
        <v>14186</v>
      </c>
      <c r="C5159" s="140" t="s">
        <v>14187</v>
      </c>
      <c r="D5159" s="141" t="s">
        <v>10697</v>
      </c>
      <c r="E5159" s="140" t="s">
        <v>14188</v>
      </c>
      <c r="F5159" s="140"/>
      <c r="G5159" s="140"/>
    </row>
    <row r="5160" spans="2:7" hidden="1">
      <c r="B5160" s="141" t="s">
        <v>14189</v>
      </c>
      <c r="C5160" s="140"/>
      <c r="D5160" s="141" t="s">
        <v>1912</v>
      </c>
      <c r="E5160" s="140"/>
      <c r="F5160" s="140"/>
      <c r="G5160" s="140"/>
    </row>
    <row r="5161" spans="2:7" hidden="1">
      <c r="B5161" s="141" t="s">
        <v>14190</v>
      </c>
      <c r="C5161" s="140"/>
      <c r="D5161" s="141" t="s">
        <v>14191</v>
      </c>
      <c r="E5161" s="140"/>
      <c r="F5161" s="140"/>
      <c r="G5161" s="140"/>
    </row>
    <row r="5162" spans="2:7" hidden="1">
      <c r="B5162" s="140" t="s">
        <v>14192</v>
      </c>
      <c r="C5162" s="140"/>
      <c r="D5162" s="140" t="s">
        <v>14193</v>
      </c>
      <c r="E5162" s="142"/>
      <c r="F5162" s="142"/>
      <c r="G5162" s="140"/>
    </row>
    <row r="5163" spans="2:7" hidden="1">
      <c r="B5163" s="140" t="s">
        <v>14194</v>
      </c>
      <c r="C5163" s="140" t="s">
        <v>14195</v>
      </c>
      <c r="D5163" s="140" t="s">
        <v>12758</v>
      </c>
      <c r="E5163" s="140"/>
      <c r="F5163" s="140"/>
      <c r="G5163" s="140"/>
    </row>
    <row r="5164" spans="2:7" hidden="1">
      <c r="B5164" s="141" t="s">
        <v>14196</v>
      </c>
      <c r="C5164" s="140"/>
      <c r="D5164" s="141" t="s">
        <v>14197</v>
      </c>
      <c r="E5164" s="140"/>
      <c r="F5164" s="140"/>
      <c r="G5164" s="140"/>
    </row>
    <row r="5165" spans="2:7" hidden="1">
      <c r="B5165" s="141" t="s">
        <v>14198</v>
      </c>
      <c r="C5165" s="140" t="s">
        <v>14199</v>
      </c>
      <c r="D5165" s="141" t="s">
        <v>14200</v>
      </c>
      <c r="E5165" s="140" t="s">
        <v>14201</v>
      </c>
      <c r="F5165" s="140"/>
      <c r="G5165" s="140"/>
    </row>
    <row r="5166" spans="2:7" hidden="1">
      <c r="B5166" s="141" t="s">
        <v>14202</v>
      </c>
      <c r="C5166" s="140"/>
      <c r="D5166" s="141" t="s">
        <v>14203</v>
      </c>
      <c r="E5166" s="140"/>
      <c r="F5166" s="140"/>
      <c r="G5166" s="140"/>
    </row>
    <row r="5167" spans="2:7" hidden="1">
      <c r="B5167" s="141" t="s">
        <v>14204</v>
      </c>
      <c r="C5167" s="140"/>
      <c r="D5167" s="141" t="s">
        <v>14205</v>
      </c>
      <c r="E5167" s="140"/>
      <c r="F5167" s="140"/>
      <c r="G5167" s="140"/>
    </row>
    <row r="5168" spans="2:7" hidden="1">
      <c r="B5168" s="140" t="s">
        <v>14206</v>
      </c>
      <c r="C5168" s="140"/>
      <c r="D5168" s="140" t="s">
        <v>14207</v>
      </c>
      <c r="E5168" s="142"/>
      <c r="F5168" s="142"/>
      <c r="G5168" s="140"/>
    </row>
    <row r="5169" spans="2:7" hidden="1">
      <c r="B5169" s="141" t="s">
        <v>14208</v>
      </c>
      <c r="C5169" s="140"/>
      <c r="D5169" s="141" t="s">
        <v>10913</v>
      </c>
      <c r="E5169" s="140"/>
      <c r="F5169" s="140"/>
      <c r="G5169" s="140"/>
    </row>
    <row r="5170" spans="2:7" hidden="1">
      <c r="B5170" s="141" t="s">
        <v>14209</v>
      </c>
      <c r="C5170" s="140" t="s">
        <v>14210</v>
      </c>
      <c r="D5170" s="141" t="s">
        <v>5833</v>
      </c>
      <c r="E5170" s="140" t="s">
        <v>14211</v>
      </c>
      <c r="F5170" s="140" t="s">
        <v>14212</v>
      </c>
      <c r="G5170" s="140"/>
    </row>
    <row r="5171" spans="2:7" hidden="1">
      <c r="B5171" s="141" t="s">
        <v>14213</v>
      </c>
      <c r="C5171" s="140"/>
      <c r="D5171" s="141" t="s">
        <v>14214</v>
      </c>
      <c r="E5171" s="140"/>
      <c r="F5171" s="140"/>
      <c r="G5171" s="140"/>
    </row>
    <row r="5172" spans="2:7" hidden="1">
      <c r="B5172" s="141" t="s">
        <v>14215</v>
      </c>
      <c r="C5172" s="140" t="s">
        <v>14216</v>
      </c>
      <c r="D5172" s="141" t="s">
        <v>14217</v>
      </c>
      <c r="E5172" s="140"/>
      <c r="F5172" s="140"/>
      <c r="G5172" s="140" t="s">
        <v>14218</v>
      </c>
    </row>
    <row r="5173" spans="2:7" hidden="1">
      <c r="B5173" s="141" t="s">
        <v>14219</v>
      </c>
      <c r="C5173" s="140"/>
      <c r="D5173" s="141" t="s">
        <v>4073</v>
      </c>
      <c r="E5173" s="140"/>
      <c r="F5173" s="140"/>
      <c r="G5173" s="140"/>
    </row>
    <row r="5174" spans="2:7" hidden="1">
      <c r="B5174" s="141" t="s">
        <v>14220</v>
      </c>
      <c r="C5174" s="141"/>
      <c r="D5174" s="141" t="s">
        <v>6106</v>
      </c>
      <c r="E5174" s="141"/>
      <c r="F5174" s="141"/>
      <c r="G5174" s="140"/>
    </row>
    <row r="5175" spans="2:7" hidden="1">
      <c r="B5175" s="140" t="s">
        <v>14221</v>
      </c>
      <c r="C5175" s="140"/>
      <c r="D5175" s="140" t="s">
        <v>14222</v>
      </c>
      <c r="E5175" s="142"/>
      <c r="F5175" s="142"/>
      <c r="G5175" s="140"/>
    </row>
    <row r="5176" spans="2:7" hidden="1">
      <c r="B5176" s="141" t="s">
        <v>14223</v>
      </c>
      <c r="C5176" s="140"/>
      <c r="D5176" s="141" t="s">
        <v>2511</v>
      </c>
      <c r="E5176" s="140"/>
      <c r="F5176" s="140"/>
      <c r="G5176" s="140"/>
    </row>
    <row r="5177" spans="2:7" hidden="1">
      <c r="B5177" s="141" t="s">
        <v>14224</v>
      </c>
      <c r="C5177" s="140"/>
      <c r="D5177" s="141" t="s">
        <v>14225</v>
      </c>
      <c r="E5177" s="140"/>
      <c r="F5177" s="140"/>
      <c r="G5177" s="140"/>
    </row>
    <row r="5178" spans="2:7" hidden="1">
      <c r="B5178" s="140" t="s">
        <v>14226</v>
      </c>
      <c r="C5178" s="140"/>
      <c r="D5178" s="140" t="s">
        <v>14227</v>
      </c>
      <c r="E5178" s="142"/>
      <c r="F5178" s="142"/>
      <c r="G5178" s="140"/>
    </row>
    <row r="5179" spans="2:7" hidden="1">
      <c r="B5179" s="140" t="s">
        <v>21859</v>
      </c>
      <c r="C5179" s="140"/>
      <c r="D5179" s="140" t="s">
        <v>14228</v>
      </c>
      <c r="E5179" s="142"/>
      <c r="F5179" s="142"/>
      <c r="G5179" s="140"/>
    </row>
    <row r="5180" spans="2:7" hidden="1">
      <c r="B5180" s="141" t="s">
        <v>14229</v>
      </c>
      <c r="C5180" s="140" t="s">
        <v>14230</v>
      </c>
      <c r="D5180" s="141" t="s">
        <v>14033</v>
      </c>
      <c r="E5180" s="140"/>
      <c r="F5180" s="140"/>
      <c r="G5180" s="140"/>
    </row>
    <row r="5181" spans="2:7" hidden="1">
      <c r="B5181" s="141" t="s">
        <v>14231</v>
      </c>
      <c r="C5181" s="141" t="s">
        <v>14232</v>
      </c>
      <c r="D5181" s="141" t="s">
        <v>14233</v>
      </c>
      <c r="E5181" s="141" t="s">
        <v>14234</v>
      </c>
      <c r="F5181" s="140"/>
      <c r="G5181" s="140"/>
    </row>
    <row r="5182" spans="2:7" hidden="1">
      <c r="B5182" s="141" t="s">
        <v>14235</v>
      </c>
      <c r="C5182" s="140"/>
      <c r="D5182" s="141" t="s">
        <v>4084</v>
      </c>
      <c r="E5182" s="140"/>
      <c r="F5182" s="140"/>
      <c r="G5182" s="140"/>
    </row>
    <row r="5183" spans="2:7" hidden="1">
      <c r="B5183" s="141" t="s">
        <v>14236</v>
      </c>
      <c r="C5183" s="140" t="s">
        <v>14237</v>
      </c>
      <c r="D5183" s="141" t="s">
        <v>14238</v>
      </c>
      <c r="E5183" s="140" t="s">
        <v>14239</v>
      </c>
      <c r="F5183" s="140" t="s">
        <v>14240</v>
      </c>
      <c r="G5183" s="140"/>
    </row>
    <row r="5184" spans="2:7" hidden="1">
      <c r="B5184" s="141" t="s">
        <v>14241</v>
      </c>
      <c r="C5184" s="140" t="s">
        <v>14242</v>
      </c>
      <c r="D5184" s="141" t="s">
        <v>14243</v>
      </c>
      <c r="E5184" s="140" t="s">
        <v>14244</v>
      </c>
      <c r="F5184" s="140" t="s">
        <v>14245</v>
      </c>
      <c r="G5184" s="140"/>
    </row>
    <row r="5185" spans="2:7" hidden="1">
      <c r="B5185" s="141" t="s">
        <v>14246</v>
      </c>
      <c r="C5185" s="140" t="s">
        <v>14247</v>
      </c>
      <c r="D5185" s="141" t="s">
        <v>8131</v>
      </c>
      <c r="E5185" s="140" t="s">
        <v>14248</v>
      </c>
      <c r="F5185" s="140" t="s">
        <v>14249</v>
      </c>
      <c r="G5185" s="140"/>
    </row>
    <row r="5186" spans="2:7" hidden="1">
      <c r="B5186" s="141" t="s">
        <v>14250</v>
      </c>
      <c r="C5186" s="140"/>
      <c r="D5186" s="141" t="s">
        <v>14251</v>
      </c>
      <c r="E5186" s="140"/>
      <c r="F5186" s="140"/>
      <c r="G5186" s="140"/>
    </row>
    <row r="5187" spans="2:7" hidden="1">
      <c r="B5187" s="141" t="s">
        <v>14252</v>
      </c>
      <c r="C5187" s="140" t="s">
        <v>14253</v>
      </c>
      <c r="D5187" s="141" t="s">
        <v>3839</v>
      </c>
      <c r="E5187" s="140" t="s">
        <v>14254</v>
      </c>
      <c r="F5187" s="140" t="s">
        <v>14255</v>
      </c>
      <c r="G5187" s="140"/>
    </row>
    <row r="5188" spans="2:7" hidden="1">
      <c r="B5188" s="141" t="s">
        <v>14256</v>
      </c>
      <c r="C5188" s="140" t="s">
        <v>14257</v>
      </c>
      <c r="D5188" s="141" t="s">
        <v>5570</v>
      </c>
      <c r="E5188" s="140" t="s">
        <v>14258</v>
      </c>
      <c r="F5188" s="140" t="s">
        <v>14259</v>
      </c>
      <c r="G5188" s="140"/>
    </row>
    <row r="5189" spans="2:7" hidden="1">
      <c r="B5189" s="141" t="s">
        <v>21860</v>
      </c>
      <c r="C5189" s="141"/>
      <c r="D5189" s="141" t="s">
        <v>14260</v>
      </c>
      <c r="E5189" s="141"/>
      <c r="F5189" s="140"/>
      <c r="G5189" s="140"/>
    </row>
    <row r="5190" spans="2:7" hidden="1">
      <c r="B5190" s="141" t="s">
        <v>14261</v>
      </c>
      <c r="C5190" s="140" t="s">
        <v>14262</v>
      </c>
      <c r="D5190" s="141" t="s">
        <v>14263</v>
      </c>
      <c r="E5190" s="140" t="s">
        <v>14264</v>
      </c>
      <c r="F5190" s="140" t="s">
        <v>14264</v>
      </c>
      <c r="G5190" s="140"/>
    </row>
    <row r="5191" spans="2:7" hidden="1">
      <c r="B5191" s="141" t="s">
        <v>14267</v>
      </c>
      <c r="C5191" s="140" t="s">
        <v>14268</v>
      </c>
      <c r="D5191" s="141" t="s">
        <v>14269</v>
      </c>
      <c r="E5191" s="140" t="s">
        <v>14270</v>
      </c>
      <c r="F5191" s="140"/>
      <c r="G5191" s="140"/>
    </row>
    <row r="5192" spans="2:7" hidden="1">
      <c r="B5192" s="141" t="s">
        <v>14271</v>
      </c>
      <c r="C5192" s="140" t="s">
        <v>14272</v>
      </c>
      <c r="D5192" s="141" t="s">
        <v>14205</v>
      </c>
      <c r="E5192" s="140"/>
      <c r="F5192" s="140"/>
      <c r="G5192" s="140"/>
    </row>
    <row r="5193" spans="2:7" hidden="1">
      <c r="B5193" s="141" t="s">
        <v>21861</v>
      </c>
      <c r="C5193" s="140"/>
      <c r="D5193" s="141" t="s">
        <v>14265</v>
      </c>
      <c r="E5193" s="140"/>
      <c r="F5193" s="140"/>
      <c r="G5193" s="140"/>
    </row>
    <row r="5194" spans="2:7" hidden="1">
      <c r="B5194" s="141" t="s">
        <v>21862</v>
      </c>
      <c r="C5194" s="140"/>
      <c r="D5194" s="141" t="s">
        <v>14266</v>
      </c>
      <c r="E5194" s="140"/>
      <c r="F5194" s="140"/>
      <c r="G5194" s="140"/>
    </row>
    <row r="5195" spans="2:7" hidden="1">
      <c r="B5195" s="141" t="s">
        <v>14273</v>
      </c>
      <c r="C5195" s="140" t="s">
        <v>14274</v>
      </c>
      <c r="D5195" s="141" t="s">
        <v>5091</v>
      </c>
      <c r="E5195" s="140" t="s">
        <v>14275</v>
      </c>
      <c r="F5195" s="140" t="s">
        <v>14276</v>
      </c>
      <c r="G5195" s="140"/>
    </row>
    <row r="5196" spans="2:7" hidden="1">
      <c r="B5196" s="141" t="s">
        <v>14277</v>
      </c>
      <c r="C5196" s="140" t="s">
        <v>14278</v>
      </c>
      <c r="D5196" s="141" t="s">
        <v>6812</v>
      </c>
      <c r="E5196" s="140" t="s">
        <v>14279</v>
      </c>
      <c r="F5196" s="140" t="s">
        <v>14280</v>
      </c>
      <c r="G5196" s="140"/>
    </row>
    <row r="5197" spans="2:7" hidden="1">
      <c r="B5197" s="140" t="s">
        <v>14281</v>
      </c>
      <c r="C5197" s="140"/>
      <c r="D5197" s="140" t="s">
        <v>14282</v>
      </c>
      <c r="E5197" s="142"/>
      <c r="F5197" s="142"/>
      <c r="G5197" s="140"/>
    </row>
    <row r="5198" spans="2:7" hidden="1">
      <c r="B5198" s="140" t="s">
        <v>14283</v>
      </c>
      <c r="C5198" s="140" t="s">
        <v>14284</v>
      </c>
      <c r="D5198" s="140" t="s">
        <v>14285</v>
      </c>
      <c r="E5198" s="142" t="s">
        <v>14286</v>
      </c>
      <c r="F5198" s="142" t="s">
        <v>14287</v>
      </c>
      <c r="G5198" s="140"/>
    </row>
    <row r="5199" spans="2:7" hidden="1">
      <c r="B5199" s="141" t="s">
        <v>14288</v>
      </c>
      <c r="C5199" s="140" t="s">
        <v>14289</v>
      </c>
      <c r="D5199" s="141" t="s">
        <v>14290</v>
      </c>
      <c r="E5199" s="140"/>
      <c r="F5199" s="140"/>
      <c r="G5199" s="140"/>
    </row>
    <row r="5200" spans="2:7" hidden="1">
      <c r="B5200" s="141" t="s">
        <v>14291</v>
      </c>
      <c r="C5200" s="141" t="s">
        <v>14292</v>
      </c>
      <c r="D5200" s="141" t="s">
        <v>14293</v>
      </c>
      <c r="E5200" s="141" t="s">
        <v>14294</v>
      </c>
      <c r="F5200" s="141" t="s">
        <v>14295</v>
      </c>
      <c r="G5200" s="140"/>
    </row>
    <row r="5201" spans="2:7" hidden="1">
      <c r="B5201" s="141" t="s">
        <v>14296</v>
      </c>
      <c r="C5201" s="140"/>
      <c r="D5201" s="141" t="s">
        <v>14297</v>
      </c>
      <c r="E5201" s="140"/>
      <c r="F5201" s="140"/>
      <c r="G5201" s="140"/>
    </row>
    <row r="5202" spans="2:7" hidden="1">
      <c r="B5202" s="141" t="s">
        <v>14298</v>
      </c>
      <c r="C5202" s="140"/>
      <c r="D5202" s="141" t="s">
        <v>14299</v>
      </c>
      <c r="E5202" s="140"/>
      <c r="F5202" s="140"/>
      <c r="G5202" s="140"/>
    </row>
    <row r="5203" spans="2:7" hidden="1">
      <c r="B5203" s="143" t="s">
        <v>14300</v>
      </c>
      <c r="D5203" s="143" t="s">
        <v>14301</v>
      </c>
    </row>
    <row r="5204" spans="2:7" hidden="1">
      <c r="B5204" s="141" t="s">
        <v>14302</v>
      </c>
      <c r="C5204" s="140"/>
      <c r="D5204" s="141" t="s">
        <v>14303</v>
      </c>
      <c r="E5204" s="140"/>
      <c r="F5204" s="140"/>
      <c r="G5204" s="140"/>
    </row>
    <row r="5205" spans="2:7" hidden="1">
      <c r="B5205" s="140" t="s">
        <v>14304</v>
      </c>
      <c r="C5205" s="140" t="s">
        <v>14305</v>
      </c>
      <c r="D5205" s="140" t="s">
        <v>14306</v>
      </c>
      <c r="E5205" s="142"/>
      <c r="F5205" s="142"/>
      <c r="G5205" s="140" t="s">
        <v>14307</v>
      </c>
    </row>
    <row r="5206" spans="2:7" hidden="1">
      <c r="B5206" s="141" t="s">
        <v>14308</v>
      </c>
      <c r="C5206" s="140" t="s">
        <v>14309</v>
      </c>
      <c r="D5206" s="141" t="s">
        <v>14310</v>
      </c>
      <c r="E5206" s="140" t="s">
        <v>14311</v>
      </c>
      <c r="F5206" s="140"/>
      <c r="G5206" s="140"/>
    </row>
    <row r="5207" spans="2:7" hidden="1">
      <c r="B5207" s="141" t="s">
        <v>14312</v>
      </c>
      <c r="C5207" s="140"/>
      <c r="D5207" s="141" t="s">
        <v>14313</v>
      </c>
      <c r="E5207" s="140"/>
      <c r="F5207" s="140"/>
      <c r="G5207" s="140"/>
    </row>
    <row r="5208" spans="2:7" hidden="1">
      <c r="B5208" s="141" t="s">
        <v>14314</v>
      </c>
      <c r="C5208" s="140"/>
      <c r="D5208" s="141" t="s">
        <v>6976</v>
      </c>
      <c r="E5208" s="140"/>
      <c r="F5208" s="140"/>
      <c r="G5208" s="140"/>
    </row>
    <row r="5209" spans="2:7" hidden="1">
      <c r="B5209" s="141" t="s">
        <v>14315</v>
      </c>
      <c r="C5209" s="140"/>
      <c r="D5209" s="141" t="s">
        <v>5175</v>
      </c>
      <c r="E5209" s="140"/>
      <c r="F5209" s="140"/>
      <c r="G5209" s="140"/>
    </row>
    <row r="5210" spans="2:7" hidden="1">
      <c r="B5210" s="141" t="s">
        <v>14316</v>
      </c>
      <c r="C5210" s="140" t="s">
        <v>14317</v>
      </c>
      <c r="D5210" s="141" t="s">
        <v>14318</v>
      </c>
      <c r="E5210" s="140" t="s">
        <v>14319</v>
      </c>
      <c r="F5210" s="140" t="s">
        <v>14320</v>
      </c>
      <c r="G5210" s="140"/>
    </row>
    <row r="5211" spans="2:7" hidden="1">
      <c r="B5211" s="141" t="s">
        <v>14321</v>
      </c>
      <c r="C5211" s="141"/>
      <c r="D5211" s="141" t="s">
        <v>14322</v>
      </c>
      <c r="E5211" s="141"/>
      <c r="F5211" s="140"/>
      <c r="G5211" s="140"/>
    </row>
    <row r="5212" spans="2:7" hidden="1">
      <c r="B5212" s="141" t="s">
        <v>14323</v>
      </c>
      <c r="C5212" s="140"/>
      <c r="D5212" s="141" t="s">
        <v>14324</v>
      </c>
      <c r="E5212" s="140"/>
      <c r="F5212" s="140"/>
      <c r="G5212" s="140"/>
    </row>
    <row r="5213" spans="2:7" hidden="1">
      <c r="B5213" s="140" t="s">
        <v>21863</v>
      </c>
      <c r="C5213" s="140"/>
      <c r="D5213" s="140" t="s">
        <v>7835</v>
      </c>
      <c r="E5213" s="140"/>
      <c r="F5213" s="140"/>
      <c r="G5213" s="140"/>
    </row>
    <row r="5214" spans="2:7" hidden="1">
      <c r="B5214" s="141" t="s">
        <v>14325</v>
      </c>
      <c r="C5214" s="140"/>
      <c r="D5214" s="141" t="s">
        <v>14326</v>
      </c>
      <c r="E5214" s="140"/>
      <c r="F5214" s="140"/>
      <c r="G5214" s="140"/>
    </row>
    <row r="5215" spans="2:7" hidden="1">
      <c r="B5215" s="140" t="s">
        <v>14327</v>
      </c>
      <c r="C5215" s="140"/>
      <c r="D5215" s="141" t="s">
        <v>14328</v>
      </c>
      <c r="E5215" s="140"/>
      <c r="F5215" s="140"/>
      <c r="G5215" s="140"/>
    </row>
    <row r="5216" spans="2:7" hidden="1">
      <c r="B5216" s="141" t="s">
        <v>14329</v>
      </c>
      <c r="C5216" s="141"/>
      <c r="D5216" s="141" t="s">
        <v>10861</v>
      </c>
      <c r="E5216" s="141"/>
      <c r="F5216" s="140"/>
      <c r="G5216" s="140"/>
    </row>
    <row r="5217" spans="2:7" hidden="1">
      <c r="B5217" s="141" t="s">
        <v>14330</v>
      </c>
      <c r="C5217" s="140" t="s">
        <v>14331</v>
      </c>
      <c r="D5217" s="141" t="s">
        <v>1363</v>
      </c>
      <c r="E5217" s="140" t="s">
        <v>14332</v>
      </c>
      <c r="F5217" s="140" t="s">
        <v>14333</v>
      </c>
      <c r="G5217" s="140"/>
    </row>
    <row r="5218" spans="2:7" hidden="1">
      <c r="B5218" s="141" t="s">
        <v>14334</v>
      </c>
      <c r="C5218" s="140"/>
      <c r="D5218" s="141" t="s">
        <v>7041</v>
      </c>
      <c r="E5218" s="140"/>
      <c r="F5218" s="140"/>
      <c r="G5218" s="140"/>
    </row>
    <row r="5219" spans="2:7" hidden="1">
      <c r="B5219" s="140" t="s">
        <v>14335</v>
      </c>
      <c r="C5219" s="140"/>
      <c r="D5219" s="140" t="s">
        <v>14336</v>
      </c>
      <c r="E5219" s="142"/>
      <c r="F5219" s="142"/>
      <c r="G5219" s="140"/>
    </row>
    <row r="5220" spans="2:7" hidden="1">
      <c r="B5220" s="141" t="s">
        <v>14337</v>
      </c>
      <c r="C5220" s="140"/>
      <c r="D5220" s="141" t="s">
        <v>14338</v>
      </c>
      <c r="E5220" s="140"/>
      <c r="F5220" s="140"/>
      <c r="G5220" s="140"/>
    </row>
    <row r="5221" spans="2:7" hidden="1">
      <c r="B5221" s="141" t="s">
        <v>14339</v>
      </c>
      <c r="C5221" s="140"/>
      <c r="D5221" s="141" t="s">
        <v>10413</v>
      </c>
      <c r="E5221" s="140"/>
      <c r="F5221" s="140"/>
      <c r="G5221" s="140"/>
    </row>
    <row r="5222" spans="2:7" hidden="1">
      <c r="B5222" s="141" t="s">
        <v>14340</v>
      </c>
      <c r="C5222" s="140" t="s">
        <v>14341</v>
      </c>
      <c r="D5222" s="141" t="s">
        <v>14342</v>
      </c>
      <c r="E5222" s="140"/>
      <c r="F5222" s="140"/>
      <c r="G5222" s="140"/>
    </row>
    <row r="5223" spans="2:7" hidden="1">
      <c r="B5223" s="141" t="s">
        <v>14343</v>
      </c>
      <c r="C5223" s="140"/>
      <c r="D5223" s="141" t="s">
        <v>7563</v>
      </c>
      <c r="E5223" s="140"/>
      <c r="F5223" s="140"/>
      <c r="G5223" s="140"/>
    </row>
    <row r="5224" spans="2:7" hidden="1">
      <c r="B5224" s="141" t="s">
        <v>14344</v>
      </c>
      <c r="C5224" s="140"/>
      <c r="D5224" s="141" t="s">
        <v>14345</v>
      </c>
      <c r="E5224" s="140"/>
      <c r="F5224" s="140"/>
      <c r="G5224" s="140"/>
    </row>
    <row r="5225" spans="2:7" hidden="1">
      <c r="B5225" s="141" t="s">
        <v>14346</v>
      </c>
      <c r="C5225" s="140"/>
      <c r="D5225" s="140" t="s">
        <v>14347</v>
      </c>
      <c r="E5225" s="140"/>
      <c r="F5225" s="140"/>
      <c r="G5225" s="140"/>
    </row>
    <row r="5226" spans="2:7" hidden="1">
      <c r="B5226" s="140" t="s">
        <v>14348</v>
      </c>
      <c r="C5226" s="140"/>
      <c r="D5226" s="140" t="s">
        <v>14349</v>
      </c>
      <c r="E5226" s="140"/>
      <c r="F5226" s="140"/>
      <c r="G5226" s="140"/>
    </row>
    <row r="5227" spans="2:7" hidden="1">
      <c r="B5227" s="141" t="s">
        <v>14350</v>
      </c>
      <c r="C5227" s="140"/>
      <c r="D5227" s="141" t="s">
        <v>14351</v>
      </c>
      <c r="E5227" s="140"/>
      <c r="F5227" s="140"/>
      <c r="G5227" s="140"/>
    </row>
    <row r="5228" spans="2:7" hidden="1">
      <c r="B5228" s="141" t="s">
        <v>14352</v>
      </c>
      <c r="C5228" s="140"/>
      <c r="D5228" s="141" t="s">
        <v>14353</v>
      </c>
      <c r="E5228" s="140"/>
      <c r="F5228" s="140"/>
      <c r="G5228" s="140"/>
    </row>
    <row r="5229" spans="2:7" hidden="1">
      <c r="B5229" s="141" t="s">
        <v>14354</v>
      </c>
      <c r="C5229" s="140"/>
      <c r="D5229" s="141" t="s">
        <v>2100</v>
      </c>
      <c r="E5229" s="140"/>
      <c r="F5229" s="140"/>
      <c r="G5229" s="140"/>
    </row>
    <row r="5230" spans="2:7" hidden="1">
      <c r="B5230" s="140" t="s">
        <v>14355</v>
      </c>
      <c r="C5230" s="140"/>
      <c r="D5230" s="140" t="s">
        <v>14356</v>
      </c>
      <c r="E5230" s="142"/>
      <c r="F5230" s="142"/>
      <c r="G5230" s="140"/>
    </row>
    <row r="5231" spans="2:7" hidden="1">
      <c r="B5231" s="141" t="s">
        <v>14357</v>
      </c>
      <c r="C5231" s="140"/>
      <c r="D5231" s="141" t="s">
        <v>7794</v>
      </c>
      <c r="E5231" s="140"/>
      <c r="F5231" s="140"/>
      <c r="G5231" s="140"/>
    </row>
    <row r="5232" spans="2:7" hidden="1">
      <c r="B5232" s="141" t="s">
        <v>14358</v>
      </c>
      <c r="C5232" s="140"/>
      <c r="D5232" s="141" t="s">
        <v>1213</v>
      </c>
      <c r="E5232" s="141"/>
      <c r="F5232" s="141"/>
      <c r="G5232" s="140"/>
    </row>
    <row r="5233" spans="2:7" hidden="1">
      <c r="B5233" s="141" t="s">
        <v>14359</v>
      </c>
      <c r="C5233" s="140"/>
      <c r="D5233" s="141" t="s">
        <v>10456</v>
      </c>
      <c r="E5233" s="140"/>
      <c r="F5233" s="140"/>
      <c r="G5233" s="140"/>
    </row>
    <row r="5234" spans="2:7" hidden="1">
      <c r="B5234" s="141" t="s">
        <v>14360</v>
      </c>
      <c r="C5234" s="141"/>
      <c r="D5234" s="141" t="s">
        <v>14361</v>
      </c>
      <c r="E5234" s="141"/>
      <c r="F5234" s="141"/>
      <c r="G5234" s="140"/>
    </row>
    <row r="5235" spans="2:7" hidden="1">
      <c r="B5235" s="140" t="s">
        <v>14362</v>
      </c>
      <c r="C5235" s="140"/>
      <c r="D5235" s="140" t="s">
        <v>14363</v>
      </c>
      <c r="E5235" s="142"/>
      <c r="F5235" s="142"/>
      <c r="G5235" s="140"/>
    </row>
    <row r="5236" spans="2:7" hidden="1">
      <c r="B5236" s="141" t="s">
        <v>14364</v>
      </c>
      <c r="C5236" s="140"/>
      <c r="D5236" s="141" t="s">
        <v>14365</v>
      </c>
      <c r="E5236" s="140"/>
      <c r="F5236" s="140"/>
      <c r="G5236" s="140"/>
    </row>
    <row r="5237" spans="2:7" hidden="1">
      <c r="B5237" s="141" t="s">
        <v>14366</v>
      </c>
      <c r="C5237" s="140"/>
      <c r="D5237" s="141" t="s">
        <v>14367</v>
      </c>
      <c r="E5237" s="140"/>
      <c r="F5237" s="140"/>
      <c r="G5237" s="140"/>
    </row>
    <row r="5238" spans="2:7" hidden="1">
      <c r="B5238" s="141" t="s">
        <v>14368</v>
      </c>
      <c r="C5238" s="140"/>
      <c r="D5238" s="141" t="s">
        <v>14369</v>
      </c>
      <c r="E5238" s="140"/>
      <c r="F5238" s="140"/>
      <c r="G5238" s="140"/>
    </row>
    <row r="5239" spans="2:7" hidden="1">
      <c r="B5239" s="141" t="s">
        <v>14370</v>
      </c>
      <c r="C5239" s="140" t="s">
        <v>14371</v>
      </c>
      <c r="D5239" s="141" t="s">
        <v>5592</v>
      </c>
      <c r="E5239" s="140"/>
      <c r="F5239" s="140"/>
      <c r="G5239" s="140"/>
    </row>
    <row r="5240" spans="2:7" hidden="1">
      <c r="B5240" s="141" t="s">
        <v>14372</v>
      </c>
      <c r="C5240" s="140" t="s">
        <v>14373</v>
      </c>
      <c r="D5240" s="141" t="s">
        <v>14374</v>
      </c>
      <c r="E5240" s="140" t="s">
        <v>14375</v>
      </c>
      <c r="F5240" s="140"/>
      <c r="G5240" s="140"/>
    </row>
    <row r="5241" spans="2:7" hidden="1">
      <c r="B5241" s="141" t="s">
        <v>14376</v>
      </c>
      <c r="C5241" s="140"/>
      <c r="D5241" s="141" t="s">
        <v>14377</v>
      </c>
      <c r="E5241" s="140"/>
      <c r="F5241" s="140"/>
      <c r="G5241" s="140"/>
    </row>
    <row r="5242" spans="2:7" hidden="1">
      <c r="B5242" s="141" t="s">
        <v>14378</v>
      </c>
      <c r="C5242" s="140"/>
      <c r="D5242" s="141" t="s">
        <v>14379</v>
      </c>
      <c r="E5242" s="140"/>
      <c r="F5242" s="140"/>
      <c r="G5242" s="140"/>
    </row>
    <row r="5243" spans="2:7" hidden="1">
      <c r="B5243" s="141" t="s">
        <v>14380</v>
      </c>
      <c r="C5243" s="140"/>
      <c r="D5243" s="141" t="s">
        <v>14381</v>
      </c>
      <c r="E5243" s="140"/>
      <c r="F5243" s="140"/>
      <c r="G5243" s="140"/>
    </row>
    <row r="5244" spans="2:7" hidden="1">
      <c r="B5244" s="141" t="s">
        <v>21864</v>
      </c>
      <c r="C5244" s="141"/>
      <c r="D5244" s="141" t="s">
        <v>14382</v>
      </c>
      <c r="E5244" s="141"/>
      <c r="F5244" s="140"/>
      <c r="G5244" s="140"/>
    </row>
    <row r="5245" spans="2:7" hidden="1">
      <c r="B5245" s="141" t="s">
        <v>14383</v>
      </c>
      <c r="C5245" s="140"/>
      <c r="D5245" s="141" t="s">
        <v>14384</v>
      </c>
      <c r="E5245" s="140"/>
      <c r="F5245" s="140"/>
      <c r="G5245" s="140"/>
    </row>
    <row r="5246" spans="2:7" hidden="1">
      <c r="B5246" s="140" t="s">
        <v>14385</v>
      </c>
      <c r="C5246" s="140"/>
      <c r="D5246" s="140" t="s">
        <v>3706</v>
      </c>
      <c r="E5246" s="142"/>
      <c r="F5246" s="142"/>
      <c r="G5246" s="140"/>
    </row>
    <row r="5247" spans="2:7" hidden="1">
      <c r="B5247" s="141" t="s">
        <v>14386</v>
      </c>
      <c r="C5247" s="140"/>
      <c r="D5247" s="141" t="s">
        <v>14387</v>
      </c>
      <c r="E5247" s="140"/>
      <c r="F5247" s="140"/>
      <c r="G5247" s="140"/>
    </row>
    <row r="5248" spans="2:7" hidden="1">
      <c r="B5248" s="141" t="s">
        <v>14388</v>
      </c>
      <c r="C5248" s="140"/>
      <c r="D5248" s="141" t="s">
        <v>14389</v>
      </c>
      <c r="E5248" s="140"/>
      <c r="F5248" s="140"/>
      <c r="G5248" s="140"/>
    </row>
    <row r="5249" spans="2:7" hidden="1">
      <c r="B5249" s="141" t="s">
        <v>14390</v>
      </c>
      <c r="C5249" s="140"/>
      <c r="D5249" s="141" t="s">
        <v>14391</v>
      </c>
      <c r="E5249" s="140"/>
      <c r="F5249" s="140"/>
      <c r="G5249" s="140"/>
    </row>
    <row r="5250" spans="2:7" hidden="1">
      <c r="B5250" s="141" t="s">
        <v>14392</v>
      </c>
      <c r="C5250" s="140"/>
      <c r="D5250" s="141" t="s">
        <v>14393</v>
      </c>
      <c r="E5250" s="140"/>
      <c r="F5250" s="140"/>
      <c r="G5250" s="140"/>
    </row>
    <row r="5251" spans="2:7" hidden="1">
      <c r="B5251" s="140" t="s">
        <v>14394</v>
      </c>
      <c r="C5251" s="140"/>
      <c r="D5251" s="140" t="s">
        <v>14395</v>
      </c>
      <c r="E5251" s="142"/>
      <c r="F5251" s="142"/>
      <c r="G5251" s="140"/>
    </row>
    <row r="5252" spans="2:7" hidden="1">
      <c r="B5252" s="140" t="s">
        <v>14396</v>
      </c>
      <c r="C5252" s="140"/>
      <c r="D5252" s="140" t="s">
        <v>14397</v>
      </c>
      <c r="E5252" s="140"/>
      <c r="F5252" s="140"/>
      <c r="G5252" s="140"/>
    </row>
    <row r="5253" spans="2:7" hidden="1">
      <c r="B5253" s="141" t="s">
        <v>14398</v>
      </c>
      <c r="C5253" s="140" t="s">
        <v>14399</v>
      </c>
      <c r="D5253" s="141" t="s">
        <v>4390</v>
      </c>
      <c r="E5253" s="140" t="s">
        <v>14400</v>
      </c>
      <c r="F5253" s="140" t="s">
        <v>14401</v>
      </c>
      <c r="G5253" s="140"/>
    </row>
    <row r="5254" spans="2:7" hidden="1">
      <c r="B5254" s="141" t="s">
        <v>14402</v>
      </c>
      <c r="C5254" s="140" t="s">
        <v>14403</v>
      </c>
      <c r="D5254" s="141" t="s">
        <v>14404</v>
      </c>
      <c r="E5254" s="140" t="s">
        <v>14405</v>
      </c>
      <c r="F5254" s="140">
        <v>2055621379</v>
      </c>
      <c r="G5254" s="140"/>
    </row>
    <row r="5255" spans="2:7" hidden="1">
      <c r="B5255" s="141" t="s">
        <v>14406</v>
      </c>
      <c r="C5255" s="141" t="s">
        <v>14407</v>
      </c>
      <c r="D5255" s="141" t="s">
        <v>10469</v>
      </c>
      <c r="E5255" s="141" t="s">
        <v>6921</v>
      </c>
      <c r="F5255" s="140" t="s">
        <v>6922</v>
      </c>
      <c r="G5255" s="140"/>
    </row>
    <row r="5256" spans="2:7" hidden="1">
      <c r="B5256" s="141" t="s">
        <v>14408</v>
      </c>
      <c r="C5256" s="140" t="s">
        <v>14409</v>
      </c>
      <c r="D5256" s="141" t="s">
        <v>14410</v>
      </c>
      <c r="E5256" s="140"/>
      <c r="F5256" s="140"/>
      <c r="G5256" s="140" t="s">
        <v>6000</v>
      </c>
    </row>
    <row r="5257" spans="2:7" hidden="1">
      <c r="B5257" s="141" t="s">
        <v>14411</v>
      </c>
      <c r="C5257" s="140" t="s">
        <v>14412</v>
      </c>
      <c r="D5257" s="141" t="s">
        <v>2168</v>
      </c>
      <c r="E5257" s="140" t="s">
        <v>14413</v>
      </c>
      <c r="F5257" s="140" t="s">
        <v>14414</v>
      </c>
      <c r="G5257" s="140"/>
    </row>
    <row r="5258" spans="2:7" hidden="1">
      <c r="B5258" s="141" t="s">
        <v>14415</v>
      </c>
      <c r="C5258" s="140" t="s">
        <v>14416</v>
      </c>
      <c r="D5258" s="140" t="s">
        <v>14417</v>
      </c>
      <c r="E5258" s="140"/>
      <c r="F5258" s="140"/>
      <c r="G5258" s="140"/>
    </row>
    <row r="5259" spans="2:7" hidden="1">
      <c r="B5259" s="141" t="s">
        <v>14418</v>
      </c>
      <c r="C5259" s="140" t="s">
        <v>14419</v>
      </c>
      <c r="D5259" s="141" t="s">
        <v>2957</v>
      </c>
      <c r="E5259" s="140"/>
      <c r="F5259" s="140"/>
      <c r="G5259" s="140"/>
    </row>
    <row r="5260" spans="2:7" hidden="1">
      <c r="B5260" s="141" t="s">
        <v>14420</v>
      </c>
      <c r="C5260" s="140" t="s">
        <v>14421</v>
      </c>
      <c r="D5260" s="141" t="s">
        <v>2168</v>
      </c>
      <c r="E5260" s="140"/>
      <c r="F5260" s="140"/>
      <c r="G5260" s="140"/>
    </row>
    <row r="5261" spans="2:7" hidden="1">
      <c r="B5261" s="140" t="s">
        <v>14422</v>
      </c>
      <c r="C5261" s="140" t="s">
        <v>14423</v>
      </c>
      <c r="D5261" s="140" t="s">
        <v>14424</v>
      </c>
      <c r="E5261" s="142"/>
      <c r="F5261" s="142"/>
      <c r="G5261" s="140"/>
    </row>
    <row r="5262" spans="2:7" hidden="1">
      <c r="B5262" s="140" t="s">
        <v>14425</v>
      </c>
      <c r="C5262" s="140"/>
      <c r="D5262" s="140" t="s">
        <v>14426</v>
      </c>
      <c r="E5262" s="140"/>
      <c r="F5262" s="140"/>
      <c r="G5262" s="140"/>
    </row>
    <row r="5263" spans="2:7" hidden="1">
      <c r="B5263" s="141" t="s">
        <v>14427</v>
      </c>
      <c r="C5263" s="140" t="s">
        <v>14428</v>
      </c>
      <c r="D5263" s="141" t="s">
        <v>14429</v>
      </c>
      <c r="E5263" s="140" t="s">
        <v>8453</v>
      </c>
      <c r="F5263" s="140" t="s">
        <v>14430</v>
      </c>
      <c r="G5263" s="140" t="s">
        <v>14431</v>
      </c>
    </row>
    <row r="5264" spans="2:7" hidden="1">
      <c r="B5264" s="141" t="s">
        <v>14432</v>
      </c>
      <c r="C5264" s="140" t="s">
        <v>14433</v>
      </c>
      <c r="D5264" s="141" t="s">
        <v>4350</v>
      </c>
      <c r="E5264" s="140" t="s">
        <v>6921</v>
      </c>
      <c r="F5264" s="140" t="s">
        <v>6922</v>
      </c>
      <c r="G5264" s="140"/>
    </row>
    <row r="5265" spans="2:7" hidden="1">
      <c r="B5265" s="141" t="s">
        <v>14434</v>
      </c>
      <c r="C5265" s="140"/>
      <c r="D5265" s="141" t="s">
        <v>14435</v>
      </c>
      <c r="E5265" s="140"/>
      <c r="F5265" s="140"/>
      <c r="G5265" s="140"/>
    </row>
    <row r="5266" spans="2:7" hidden="1">
      <c r="B5266" s="141" t="s">
        <v>14436</v>
      </c>
      <c r="C5266" s="141"/>
      <c r="D5266" s="141" t="s">
        <v>14437</v>
      </c>
      <c r="E5266" s="141" t="s">
        <v>14438</v>
      </c>
      <c r="F5266" s="141" t="s">
        <v>14439</v>
      </c>
      <c r="G5266" s="140"/>
    </row>
    <row r="5267" spans="2:7" hidden="1">
      <c r="B5267" s="141" t="s">
        <v>14440</v>
      </c>
      <c r="C5267" s="140" t="s">
        <v>14441</v>
      </c>
      <c r="D5267" s="141" t="s">
        <v>2098</v>
      </c>
      <c r="E5267" s="140" t="s">
        <v>14442</v>
      </c>
      <c r="F5267" s="140" t="s">
        <v>14443</v>
      </c>
      <c r="G5267" s="140"/>
    </row>
    <row r="5268" spans="2:7" hidden="1">
      <c r="B5268" s="141" t="s">
        <v>14444</v>
      </c>
      <c r="C5268" s="140"/>
      <c r="D5268" s="141" t="s">
        <v>1883</v>
      </c>
      <c r="E5268" s="140"/>
      <c r="F5268" s="140"/>
      <c r="G5268" s="140"/>
    </row>
    <row r="5269" spans="2:7" hidden="1">
      <c r="B5269" s="140" t="s">
        <v>14445</v>
      </c>
      <c r="C5269" s="140" t="s">
        <v>14446</v>
      </c>
      <c r="D5269" s="140" t="s">
        <v>3780</v>
      </c>
      <c r="E5269" s="142"/>
      <c r="F5269" s="142"/>
      <c r="G5269" s="140"/>
    </row>
    <row r="5270" spans="2:7" hidden="1">
      <c r="B5270" s="141" t="s">
        <v>14447</v>
      </c>
      <c r="C5270" s="140" t="s">
        <v>14448</v>
      </c>
      <c r="D5270" s="141" t="s">
        <v>14449</v>
      </c>
      <c r="E5270" s="140" t="s">
        <v>14450</v>
      </c>
      <c r="F5270" s="140" t="s">
        <v>14451</v>
      </c>
      <c r="G5270" s="140"/>
    </row>
    <row r="5271" spans="2:7" hidden="1">
      <c r="B5271" s="141" t="s">
        <v>14452</v>
      </c>
      <c r="C5271" s="140" t="s">
        <v>14453</v>
      </c>
      <c r="D5271" s="141" t="s">
        <v>14454</v>
      </c>
      <c r="E5271" s="140"/>
      <c r="F5271" s="140"/>
      <c r="G5271" s="140"/>
    </row>
    <row r="5272" spans="2:7" hidden="1">
      <c r="B5272" s="141" t="s">
        <v>14455</v>
      </c>
      <c r="C5272" s="140"/>
      <c r="D5272" s="141" t="s">
        <v>14456</v>
      </c>
      <c r="E5272" s="140"/>
      <c r="F5272" s="140"/>
      <c r="G5272" s="140"/>
    </row>
    <row r="5273" spans="2:7" hidden="1">
      <c r="B5273" s="141" t="s">
        <v>14457</v>
      </c>
      <c r="C5273" s="140"/>
      <c r="D5273" s="141" t="s">
        <v>14437</v>
      </c>
      <c r="E5273" s="140" t="s">
        <v>14438</v>
      </c>
      <c r="F5273" s="140" t="s">
        <v>14439</v>
      </c>
      <c r="G5273" s="140"/>
    </row>
    <row r="5274" spans="2:7" hidden="1">
      <c r="B5274" s="141" t="s">
        <v>14458</v>
      </c>
      <c r="C5274" s="140"/>
      <c r="D5274" s="141" t="s">
        <v>14397</v>
      </c>
      <c r="E5274" s="140"/>
      <c r="F5274" s="140"/>
      <c r="G5274" s="140"/>
    </row>
    <row r="5275" spans="2:7" hidden="1">
      <c r="B5275" s="141" t="s">
        <v>14459</v>
      </c>
      <c r="C5275" s="140"/>
      <c r="D5275" s="141" t="s">
        <v>10631</v>
      </c>
      <c r="E5275" s="140"/>
      <c r="F5275" s="140"/>
      <c r="G5275" s="140"/>
    </row>
    <row r="5276" spans="2:7" hidden="1">
      <c r="B5276" s="141" t="s">
        <v>14460</v>
      </c>
      <c r="C5276" s="140" t="s">
        <v>14461</v>
      </c>
      <c r="D5276" s="141" t="s">
        <v>14462</v>
      </c>
      <c r="E5276" s="140" t="s">
        <v>14463</v>
      </c>
      <c r="F5276" s="140"/>
      <c r="G5276" s="140"/>
    </row>
    <row r="5277" spans="2:7" hidden="1">
      <c r="B5277" s="141" t="s">
        <v>14464</v>
      </c>
      <c r="C5277" s="140"/>
      <c r="D5277" s="141" t="s">
        <v>14465</v>
      </c>
      <c r="E5277" s="140"/>
      <c r="F5277" s="140"/>
      <c r="G5277" s="140"/>
    </row>
    <row r="5278" spans="2:7" hidden="1">
      <c r="B5278" s="141" t="s">
        <v>14466</v>
      </c>
      <c r="C5278" s="140"/>
      <c r="D5278" s="141" t="s">
        <v>14467</v>
      </c>
      <c r="E5278" s="140"/>
      <c r="F5278" s="140"/>
      <c r="G5278" s="140"/>
    </row>
    <row r="5279" spans="2:7" hidden="1">
      <c r="B5279" s="141" t="s">
        <v>14468</v>
      </c>
      <c r="C5279" s="140"/>
      <c r="D5279" s="141" t="s">
        <v>14469</v>
      </c>
      <c r="E5279" s="140"/>
      <c r="F5279" s="140"/>
      <c r="G5279" s="140"/>
    </row>
    <row r="5280" spans="2:7" hidden="1">
      <c r="B5280" s="141" t="s">
        <v>14470</v>
      </c>
      <c r="C5280" s="140"/>
      <c r="D5280" s="141" t="s">
        <v>14471</v>
      </c>
      <c r="E5280" s="140"/>
      <c r="F5280" s="140"/>
      <c r="G5280" s="140"/>
    </row>
    <row r="5281" spans="2:7" hidden="1">
      <c r="B5281" s="141" t="s">
        <v>14472</v>
      </c>
      <c r="C5281" s="140" t="s">
        <v>14473</v>
      </c>
      <c r="D5281" s="141" t="s">
        <v>14474</v>
      </c>
      <c r="E5281" s="140" t="s">
        <v>14475</v>
      </c>
      <c r="F5281" s="140" t="s">
        <v>14476</v>
      </c>
      <c r="G5281" s="140"/>
    </row>
    <row r="5282" spans="2:7" hidden="1">
      <c r="B5282" s="141" t="s">
        <v>14477</v>
      </c>
      <c r="C5282" s="141"/>
      <c r="D5282" s="141" t="s">
        <v>14478</v>
      </c>
      <c r="E5282" s="141"/>
      <c r="F5282" s="141"/>
      <c r="G5282" s="140"/>
    </row>
    <row r="5283" spans="2:7" hidden="1">
      <c r="B5283" s="141" t="s">
        <v>14479</v>
      </c>
      <c r="C5283" s="140"/>
      <c r="D5283" s="141" t="s">
        <v>14480</v>
      </c>
      <c r="E5283" s="140"/>
      <c r="F5283" s="140"/>
      <c r="G5283" s="140"/>
    </row>
    <row r="5284" spans="2:7" hidden="1">
      <c r="B5284" s="141" t="s">
        <v>14481</v>
      </c>
      <c r="C5284" s="140" t="s">
        <v>14482</v>
      </c>
      <c r="D5284" s="141" t="s">
        <v>1510</v>
      </c>
      <c r="E5284" s="140" t="s">
        <v>14483</v>
      </c>
      <c r="F5284" s="140" t="s">
        <v>14484</v>
      </c>
      <c r="G5284" s="140"/>
    </row>
    <row r="5285" spans="2:7" hidden="1">
      <c r="B5285" s="141" t="s">
        <v>14485</v>
      </c>
      <c r="C5285" s="140"/>
      <c r="D5285" s="141" t="s">
        <v>14486</v>
      </c>
      <c r="E5285" s="140"/>
      <c r="F5285" s="140"/>
      <c r="G5285" s="140"/>
    </row>
    <row r="5286" spans="2:7" hidden="1">
      <c r="B5286" s="141" t="s">
        <v>14487</v>
      </c>
      <c r="C5286" s="140"/>
      <c r="D5286" s="141" t="s">
        <v>3951</v>
      </c>
      <c r="E5286" s="140"/>
      <c r="F5286" s="140"/>
      <c r="G5286" s="140"/>
    </row>
    <row r="5287" spans="2:7" hidden="1">
      <c r="B5287" s="141" t="s">
        <v>14488</v>
      </c>
      <c r="C5287" s="140"/>
      <c r="D5287" s="141" t="s">
        <v>14489</v>
      </c>
      <c r="E5287" s="140"/>
      <c r="F5287" s="140"/>
      <c r="G5287" s="140"/>
    </row>
    <row r="5288" spans="2:7" hidden="1">
      <c r="B5288" s="141" t="s">
        <v>14490</v>
      </c>
      <c r="C5288" s="140"/>
      <c r="D5288" s="141" t="s">
        <v>4904</v>
      </c>
      <c r="E5288" s="140"/>
      <c r="F5288" s="140"/>
      <c r="G5288" s="140"/>
    </row>
    <row r="5289" spans="2:7" hidden="1">
      <c r="B5289" s="141" t="s">
        <v>14491</v>
      </c>
      <c r="C5289" s="140"/>
      <c r="D5289" s="141" t="s">
        <v>14492</v>
      </c>
      <c r="E5289" s="140"/>
      <c r="F5289" s="140"/>
      <c r="G5289" s="140"/>
    </row>
    <row r="5290" spans="2:7" hidden="1">
      <c r="B5290" s="141" t="s">
        <v>21865</v>
      </c>
      <c r="C5290" s="140"/>
      <c r="D5290" s="141" t="s">
        <v>14493</v>
      </c>
      <c r="E5290" s="140"/>
      <c r="F5290" s="140"/>
      <c r="G5290" s="140"/>
    </row>
    <row r="5291" spans="2:7" hidden="1">
      <c r="B5291" s="141" t="s">
        <v>14494</v>
      </c>
      <c r="C5291" s="140" t="s">
        <v>14495</v>
      </c>
      <c r="D5291" s="141" t="s">
        <v>14496</v>
      </c>
      <c r="E5291" s="140" t="s">
        <v>14497</v>
      </c>
      <c r="F5291" s="140"/>
      <c r="G5291" s="140"/>
    </row>
    <row r="5292" spans="2:7" hidden="1">
      <c r="B5292" s="141" t="s">
        <v>14498</v>
      </c>
      <c r="C5292" s="140" t="s">
        <v>14499</v>
      </c>
      <c r="D5292" s="141" t="s">
        <v>14500</v>
      </c>
      <c r="E5292" s="140" t="s">
        <v>14501</v>
      </c>
      <c r="F5292" s="140" t="s">
        <v>14502</v>
      </c>
      <c r="G5292" s="140"/>
    </row>
    <row r="5293" spans="2:7" hidden="1">
      <c r="B5293" s="140" t="s">
        <v>21866</v>
      </c>
      <c r="C5293" s="140" t="s">
        <v>14503</v>
      </c>
      <c r="D5293" s="140" t="s">
        <v>14504</v>
      </c>
      <c r="E5293" s="142"/>
      <c r="F5293" s="142"/>
      <c r="G5293" s="140"/>
    </row>
    <row r="5294" spans="2:7" hidden="1">
      <c r="B5294" s="140" t="s">
        <v>14505</v>
      </c>
      <c r="C5294" s="140" t="s">
        <v>14506</v>
      </c>
      <c r="D5294" s="140" t="s">
        <v>2727</v>
      </c>
      <c r="E5294" s="142"/>
      <c r="F5294" s="142"/>
      <c r="G5294" s="140"/>
    </row>
    <row r="5295" spans="2:7" hidden="1">
      <c r="B5295" s="141" t="s">
        <v>14507</v>
      </c>
      <c r="C5295" s="141" t="s">
        <v>14508</v>
      </c>
      <c r="D5295" s="141" t="s">
        <v>14509</v>
      </c>
      <c r="E5295" s="140" t="s">
        <v>14510</v>
      </c>
      <c r="F5295" s="140" t="s">
        <v>14511</v>
      </c>
      <c r="G5295" s="140"/>
    </row>
    <row r="5296" spans="2:7" hidden="1">
      <c r="B5296" s="141" t="s">
        <v>14512</v>
      </c>
      <c r="C5296" s="140"/>
      <c r="D5296" s="141" t="s">
        <v>3814</v>
      </c>
      <c r="E5296" s="140"/>
      <c r="F5296" s="140"/>
      <c r="G5296" s="140"/>
    </row>
    <row r="5297" spans="2:7" hidden="1">
      <c r="B5297" s="141" t="s">
        <v>14513</v>
      </c>
      <c r="C5297" s="140"/>
      <c r="D5297" s="141" t="s">
        <v>6286</v>
      </c>
      <c r="E5297" s="140"/>
      <c r="F5297" s="140"/>
      <c r="G5297" s="140"/>
    </row>
    <row r="5298" spans="2:7" hidden="1">
      <c r="B5298" s="141" t="s">
        <v>14514</v>
      </c>
      <c r="C5298" s="140"/>
      <c r="D5298" s="141" t="s">
        <v>14515</v>
      </c>
      <c r="E5298" s="140"/>
      <c r="F5298" s="140"/>
      <c r="G5298" s="140"/>
    </row>
    <row r="5299" spans="2:7" hidden="1">
      <c r="B5299" s="141" t="s">
        <v>14516</v>
      </c>
      <c r="C5299" s="140"/>
      <c r="D5299" s="141" t="s">
        <v>14517</v>
      </c>
      <c r="E5299" s="140"/>
      <c r="F5299" s="140"/>
      <c r="G5299" s="140"/>
    </row>
    <row r="5300" spans="2:7" hidden="1">
      <c r="B5300" s="141" t="s">
        <v>14518</v>
      </c>
      <c r="C5300" s="140"/>
      <c r="D5300" s="141" t="s">
        <v>11353</v>
      </c>
      <c r="E5300" s="140"/>
      <c r="F5300" s="140"/>
      <c r="G5300" s="140"/>
    </row>
    <row r="5301" spans="2:7" hidden="1">
      <c r="B5301" s="141" t="s">
        <v>14519</v>
      </c>
      <c r="C5301" s="140"/>
      <c r="D5301" s="141" t="s">
        <v>2793</v>
      </c>
      <c r="E5301" s="140"/>
      <c r="F5301" s="140"/>
      <c r="G5301" s="140"/>
    </row>
    <row r="5302" spans="2:7" hidden="1">
      <c r="B5302" s="141" t="s">
        <v>14520</v>
      </c>
      <c r="C5302" s="140" t="s">
        <v>14521</v>
      </c>
      <c r="D5302" s="141" t="s">
        <v>14522</v>
      </c>
      <c r="E5302" s="140"/>
      <c r="F5302" s="140"/>
      <c r="G5302" s="140"/>
    </row>
    <row r="5303" spans="2:7" hidden="1">
      <c r="B5303" s="141" t="s">
        <v>14523</v>
      </c>
      <c r="C5303" s="141" t="s">
        <v>14524</v>
      </c>
      <c r="D5303" s="141" t="s">
        <v>5958</v>
      </c>
      <c r="E5303" s="141" t="s">
        <v>14525</v>
      </c>
      <c r="F5303" s="141" t="s">
        <v>14526</v>
      </c>
      <c r="G5303" s="140"/>
    </row>
    <row r="5304" spans="2:7" hidden="1">
      <c r="B5304" s="141" t="s">
        <v>21867</v>
      </c>
      <c r="C5304" s="140"/>
      <c r="D5304" s="141" t="s">
        <v>14527</v>
      </c>
      <c r="E5304" s="140"/>
      <c r="F5304" s="140"/>
      <c r="G5304" s="140"/>
    </row>
    <row r="5305" spans="2:7" hidden="1">
      <c r="B5305" s="141" t="s">
        <v>14528</v>
      </c>
      <c r="C5305" s="140"/>
      <c r="D5305" s="141" t="s">
        <v>14529</v>
      </c>
      <c r="E5305" s="140"/>
      <c r="F5305" s="140"/>
      <c r="G5305" s="140"/>
    </row>
    <row r="5306" spans="2:7" hidden="1">
      <c r="B5306" s="141" t="s">
        <v>21868</v>
      </c>
      <c r="C5306" s="140"/>
      <c r="D5306" s="141" t="s">
        <v>14530</v>
      </c>
      <c r="E5306" s="140"/>
      <c r="F5306" s="140"/>
      <c r="G5306" s="140"/>
    </row>
    <row r="5307" spans="2:7" hidden="1">
      <c r="B5307" s="141" t="s">
        <v>14531</v>
      </c>
      <c r="C5307" s="141"/>
      <c r="D5307" s="141" t="s">
        <v>14532</v>
      </c>
      <c r="E5307" s="141"/>
      <c r="F5307" s="141"/>
      <c r="G5307" s="140"/>
    </row>
    <row r="5308" spans="2:7" hidden="1">
      <c r="B5308" s="141" t="s">
        <v>14536</v>
      </c>
      <c r="C5308" s="141" t="s">
        <v>14537</v>
      </c>
      <c r="D5308" s="141" t="s">
        <v>14538</v>
      </c>
      <c r="E5308" s="141"/>
      <c r="F5308" s="141"/>
      <c r="G5308" s="140" t="s">
        <v>14539</v>
      </c>
    </row>
    <row r="5309" spans="2:7" hidden="1">
      <c r="B5309" s="141" t="s">
        <v>21869</v>
      </c>
      <c r="C5309" s="141" t="s">
        <v>14533</v>
      </c>
      <c r="D5309" s="141" t="s">
        <v>14534</v>
      </c>
      <c r="E5309" s="141" t="s">
        <v>14535</v>
      </c>
      <c r="F5309" s="141"/>
      <c r="G5309" s="140"/>
    </row>
    <row r="5310" spans="2:7" hidden="1">
      <c r="B5310" s="141" t="s">
        <v>14540</v>
      </c>
      <c r="C5310" s="140" t="s">
        <v>14541</v>
      </c>
      <c r="D5310" s="141" t="s">
        <v>10629</v>
      </c>
      <c r="E5310" s="140" t="s">
        <v>14542</v>
      </c>
      <c r="F5310" s="140" t="s">
        <v>14543</v>
      </c>
      <c r="G5310" s="140"/>
    </row>
    <row r="5311" spans="2:7" hidden="1">
      <c r="B5311" s="141" t="s">
        <v>14544</v>
      </c>
      <c r="C5311" s="140" t="s">
        <v>14545</v>
      </c>
      <c r="D5311" s="141" t="s">
        <v>3334</v>
      </c>
      <c r="E5311" s="140" t="s">
        <v>14546</v>
      </c>
      <c r="F5311" s="140" t="s">
        <v>14547</v>
      </c>
      <c r="G5311" s="140"/>
    </row>
    <row r="5312" spans="2:7" hidden="1">
      <c r="B5312" s="141" t="s">
        <v>14548</v>
      </c>
      <c r="C5312" s="141" t="s">
        <v>14549</v>
      </c>
      <c r="D5312" s="141" t="s">
        <v>14550</v>
      </c>
      <c r="E5312" s="141" t="s">
        <v>14551</v>
      </c>
      <c r="F5312" s="141" t="s">
        <v>14552</v>
      </c>
      <c r="G5312" s="140"/>
    </row>
    <row r="5313" spans="2:7" hidden="1">
      <c r="B5313" s="141" t="s">
        <v>14553</v>
      </c>
      <c r="C5313" s="141" t="s">
        <v>14554</v>
      </c>
      <c r="D5313" s="141" t="s">
        <v>14555</v>
      </c>
      <c r="E5313" s="141" t="s">
        <v>14556</v>
      </c>
      <c r="F5313" s="140" t="s">
        <v>14557</v>
      </c>
      <c r="G5313" s="140"/>
    </row>
    <row r="5314" spans="2:7" hidden="1">
      <c r="B5314" s="141" t="s">
        <v>14558</v>
      </c>
      <c r="C5314" s="140" t="s">
        <v>14559</v>
      </c>
      <c r="D5314" s="141" t="s">
        <v>3085</v>
      </c>
      <c r="E5314" s="140" t="s">
        <v>14560</v>
      </c>
      <c r="F5314" s="140" t="s">
        <v>14561</v>
      </c>
      <c r="G5314" s="140"/>
    </row>
    <row r="5315" spans="2:7" hidden="1">
      <c r="B5315" s="141" t="s">
        <v>14562</v>
      </c>
      <c r="C5315" s="141"/>
      <c r="D5315" s="141" t="s">
        <v>14563</v>
      </c>
      <c r="E5315" s="141"/>
      <c r="F5315" s="141"/>
      <c r="G5315" s="140"/>
    </row>
    <row r="5316" spans="2:7" hidden="1">
      <c r="B5316" s="141" t="s">
        <v>21870</v>
      </c>
      <c r="C5316" s="140"/>
      <c r="D5316" s="141" t="s">
        <v>14564</v>
      </c>
      <c r="E5316" s="140"/>
      <c r="F5316" s="140"/>
      <c r="G5316" s="140"/>
    </row>
    <row r="5317" spans="2:7" hidden="1">
      <c r="B5317" s="141" t="s">
        <v>14565</v>
      </c>
      <c r="C5317" s="140"/>
      <c r="D5317" s="141" t="s">
        <v>14566</v>
      </c>
      <c r="E5317" s="140"/>
      <c r="F5317" s="140"/>
      <c r="G5317" s="140"/>
    </row>
    <row r="5318" spans="2:7" hidden="1">
      <c r="B5318" s="141" t="s">
        <v>14567</v>
      </c>
      <c r="C5318" s="140"/>
      <c r="D5318" s="141" t="s">
        <v>14568</v>
      </c>
      <c r="E5318" s="140"/>
      <c r="F5318" s="140"/>
      <c r="G5318" s="140"/>
    </row>
    <row r="5319" spans="2:7" hidden="1">
      <c r="B5319" s="141" t="s">
        <v>14569</v>
      </c>
      <c r="C5319" s="140"/>
      <c r="D5319" s="141" t="s">
        <v>5582</v>
      </c>
      <c r="E5319" s="140"/>
      <c r="F5319" s="140"/>
      <c r="G5319" s="140"/>
    </row>
    <row r="5320" spans="2:7" hidden="1">
      <c r="B5320" s="140" t="s">
        <v>14570</v>
      </c>
      <c r="C5320" s="140"/>
      <c r="D5320" s="140" t="s">
        <v>14571</v>
      </c>
      <c r="E5320" s="142"/>
      <c r="F5320" s="142"/>
      <c r="G5320" s="140"/>
    </row>
    <row r="5321" spans="2:7" hidden="1">
      <c r="B5321" s="141" t="s">
        <v>14572</v>
      </c>
      <c r="C5321" s="141" t="s">
        <v>14573</v>
      </c>
      <c r="D5321" s="141" t="s">
        <v>14574</v>
      </c>
      <c r="E5321" s="141"/>
      <c r="F5321" s="140"/>
      <c r="G5321" s="140"/>
    </row>
    <row r="5322" spans="2:7" hidden="1">
      <c r="B5322" s="141" t="s">
        <v>14575</v>
      </c>
      <c r="C5322" s="140"/>
      <c r="D5322" s="141" t="s">
        <v>6153</v>
      </c>
      <c r="E5322" s="140"/>
      <c r="F5322" s="140"/>
      <c r="G5322" s="140"/>
    </row>
    <row r="5323" spans="2:7" hidden="1">
      <c r="B5323" s="141" t="s">
        <v>14576</v>
      </c>
      <c r="C5323" s="140"/>
      <c r="D5323" s="141" t="s">
        <v>14486</v>
      </c>
      <c r="E5323" s="140"/>
      <c r="F5323" s="140"/>
      <c r="G5323" s="140"/>
    </row>
    <row r="5324" spans="2:7" hidden="1">
      <c r="B5324" s="141" t="s">
        <v>14577</v>
      </c>
      <c r="C5324" s="140"/>
      <c r="D5324" s="141" t="s">
        <v>14578</v>
      </c>
      <c r="E5324" s="140"/>
      <c r="F5324" s="140"/>
      <c r="G5324" s="140"/>
    </row>
    <row r="5325" spans="2:7" hidden="1">
      <c r="B5325" s="141" t="s">
        <v>14579</v>
      </c>
      <c r="C5325" s="140"/>
      <c r="D5325" s="141" t="s">
        <v>1791</v>
      </c>
      <c r="E5325" s="142"/>
      <c r="F5325" s="142"/>
      <c r="G5325" s="140"/>
    </row>
    <row r="5326" spans="2:7" hidden="1">
      <c r="B5326" s="141" t="s">
        <v>14580</v>
      </c>
      <c r="C5326" s="140"/>
      <c r="D5326" s="141" t="s">
        <v>14581</v>
      </c>
      <c r="E5326" s="142"/>
      <c r="F5326" s="142"/>
      <c r="G5326" s="140"/>
    </row>
    <row r="5327" spans="2:7" hidden="1">
      <c r="B5327" s="141" t="s">
        <v>14582</v>
      </c>
      <c r="C5327" s="140"/>
      <c r="D5327" s="141" t="s">
        <v>14583</v>
      </c>
      <c r="E5327" s="142"/>
      <c r="F5327" s="142"/>
      <c r="G5327" s="140"/>
    </row>
    <row r="5328" spans="2:7" hidden="1">
      <c r="B5328" s="140" t="s">
        <v>14584</v>
      </c>
      <c r="C5328" s="140"/>
      <c r="D5328" s="140" t="s">
        <v>14585</v>
      </c>
      <c r="E5328" s="142"/>
      <c r="F5328" s="142"/>
      <c r="G5328" s="140"/>
    </row>
    <row r="5329" spans="2:7" hidden="1">
      <c r="B5329" s="141" t="s">
        <v>14586</v>
      </c>
      <c r="C5329" s="140"/>
      <c r="D5329" s="141" t="s">
        <v>14587</v>
      </c>
      <c r="E5329" s="142"/>
      <c r="F5329" s="142"/>
      <c r="G5329" s="140"/>
    </row>
    <row r="5330" spans="2:7" hidden="1">
      <c r="B5330" s="141" t="s">
        <v>14588</v>
      </c>
      <c r="C5330" s="140"/>
      <c r="D5330" s="141" t="s">
        <v>1232</v>
      </c>
      <c r="E5330" s="142"/>
      <c r="F5330" s="142"/>
      <c r="G5330" s="140"/>
    </row>
    <row r="5331" spans="2:7" hidden="1">
      <c r="B5331" s="141" t="s">
        <v>14589</v>
      </c>
      <c r="C5331" s="141"/>
      <c r="D5331" s="141" t="s">
        <v>14590</v>
      </c>
      <c r="E5331" s="149"/>
      <c r="F5331" s="149"/>
      <c r="G5331" s="140"/>
    </row>
    <row r="5332" spans="2:7" hidden="1">
      <c r="B5332" s="141" t="s">
        <v>14591</v>
      </c>
      <c r="C5332" s="140"/>
      <c r="D5332" s="141" t="s">
        <v>1626</v>
      </c>
      <c r="E5332" s="142"/>
      <c r="F5332" s="142"/>
      <c r="G5332" s="140"/>
    </row>
    <row r="5333" spans="2:7" hidden="1">
      <c r="B5333" s="140" t="s">
        <v>21309</v>
      </c>
      <c r="C5333" s="140" t="s">
        <v>21311</v>
      </c>
      <c r="D5333" s="140" t="s">
        <v>12798</v>
      </c>
      <c r="E5333" s="142" t="s">
        <v>21310</v>
      </c>
      <c r="F5333" s="142"/>
      <c r="G5333" s="140"/>
    </row>
    <row r="5334" spans="2:7" hidden="1">
      <c r="B5334" s="141" t="s">
        <v>14592</v>
      </c>
      <c r="C5334" s="140"/>
      <c r="D5334" s="141" t="s">
        <v>8967</v>
      </c>
      <c r="E5334" s="142"/>
      <c r="F5334" s="142"/>
      <c r="G5334" s="140"/>
    </row>
    <row r="5335" spans="2:7" hidden="1">
      <c r="B5335" s="141" t="s">
        <v>14593</v>
      </c>
      <c r="C5335" s="140"/>
      <c r="D5335" s="141" t="s">
        <v>14594</v>
      </c>
      <c r="E5335" s="142"/>
      <c r="F5335" s="142"/>
      <c r="G5335" s="140"/>
    </row>
    <row r="5336" spans="2:7" hidden="1">
      <c r="B5336" s="141" t="s">
        <v>14595</v>
      </c>
      <c r="C5336" s="140"/>
      <c r="D5336" s="141" t="s">
        <v>14596</v>
      </c>
      <c r="E5336" s="142"/>
      <c r="F5336" s="142"/>
      <c r="G5336" s="140"/>
    </row>
    <row r="5337" spans="2:7" hidden="1">
      <c r="B5337" s="141" t="s">
        <v>14597</v>
      </c>
      <c r="C5337" s="140" t="s">
        <v>14598</v>
      </c>
      <c r="D5337" s="141" t="s">
        <v>14599</v>
      </c>
      <c r="E5337" s="142" t="s">
        <v>14600</v>
      </c>
      <c r="F5337" s="142" t="s">
        <v>14601</v>
      </c>
      <c r="G5337" s="140"/>
    </row>
    <row r="5338" spans="2:7" hidden="1">
      <c r="B5338" s="140" t="s">
        <v>14602</v>
      </c>
      <c r="C5338" s="140"/>
      <c r="D5338" s="140" t="s">
        <v>14603</v>
      </c>
      <c r="E5338" s="142"/>
      <c r="F5338" s="142"/>
      <c r="G5338" s="140"/>
    </row>
    <row r="5339" spans="2:7" hidden="1">
      <c r="B5339" s="373" t="s">
        <v>14604</v>
      </c>
      <c r="C5339" s="373"/>
      <c r="D5339" s="373" t="s">
        <v>14605</v>
      </c>
      <c r="E5339" s="373"/>
      <c r="F5339" s="140"/>
      <c r="G5339" s="140"/>
    </row>
    <row r="5340" spans="2:7" hidden="1">
      <c r="B5340" s="373" t="s">
        <v>14606</v>
      </c>
      <c r="C5340" s="373"/>
      <c r="D5340" s="373" t="s">
        <v>14607</v>
      </c>
      <c r="E5340" s="373"/>
      <c r="F5340" s="140"/>
      <c r="G5340" s="140"/>
    </row>
    <row r="5341" spans="2:7" hidden="1">
      <c r="B5341" s="140" t="s">
        <v>14608</v>
      </c>
      <c r="C5341" s="140"/>
      <c r="D5341" s="140" t="s">
        <v>14609</v>
      </c>
      <c r="E5341" s="142"/>
      <c r="F5341" s="142"/>
      <c r="G5341" s="140"/>
    </row>
    <row r="5342" spans="2:7" hidden="1">
      <c r="B5342" s="140" t="s">
        <v>14610</v>
      </c>
      <c r="C5342" s="140"/>
      <c r="D5342" s="140" t="s">
        <v>14611</v>
      </c>
      <c r="E5342" s="142"/>
      <c r="F5342" s="142"/>
      <c r="G5342" s="140"/>
    </row>
    <row r="5343" spans="2:7" hidden="1">
      <c r="B5343" s="140" t="s">
        <v>14612</v>
      </c>
      <c r="C5343" s="140" t="s">
        <v>14613</v>
      </c>
      <c r="D5343" s="140" t="s">
        <v>14614</v>
      </c>
      <c r="E5343" s="142" t="s">
        <v>14615</v>
      </c>
      <c r="F5343" s="142" t="s">
        <v>14616</v>
      </c>
      <c r="G5343" s="140"/>
    </row>
    <row r="5344" spans="2:7" hidden="1">
      <c r="B5344" s="140" t="s">
        <v>14617</v>
      </c>
      <c r="C5344" s="140" t="s">
        <v>14618</v>
      </c>
      <c r="D5344" s="140" t="s">
        <v>1218</v>
      </c>
      <c r="E5344" s="142" t="s">
        <v>14619</v>
      </c>
      <c r="F5344" s="142" t="s">
        <v>1220</v>
      </c>
      <c r="G5344" s="140"/>
    </row>
    <row r="5345" spans="2:7" hidden="1">
      <c r="B5345" s="140" t="s">
        <v>14620</v>
      </c>
      <c r="C5345" s="140" t="s">
        <v>14621</v>
      </c>
      <c r="D5345" s="140" t="s">
        <v>14622</v>
      </c>
      <c r="E5345" s="142" t="s">
        <v>14623</v>
      </c>
      <c r="F5345" s="142" t="s">
        <v>14624</v>
      </c>
      <c r="G5345" s="140"/>
    </row>
    <row r="5346" spans="2:7" hidden="1">
      <c r="B5346" s="140" t="s">
        <v>14625</v>
      </c>
      <c r="C5346" s="140"/>
      <c r="D5346" s="140" t="s">
        <v>14626</v>
      </c>
      <c r="E5346" s="142"/>
      <c r="F5346" s="142"/>
      <c r="G5346" s="140"/>
    </row>
    <row r="5347" spans="2:7" hidden="1">
      <c r="B5347" s="140" t="s">
        <v>14627</v>
      </c>
      <c r="C5347" s="140" t="s">
        <v>14628</v>
      </c>
      <c r="D5347" s="140" t="s">
        <v>14603</v>
      </c>
      <c r="E5347" s="142" t="s">
        <v>14629</v>
      </c>
      <c r="F5347" s="142" t="s">
        <v>14630</v>
      </c>
      <c r="G5347" s="140"/>
    </row>
    <row r="5348" spans="2:7" hidden="1">
      <c r="B5348" s="140" t="s">
        <v>14631</v>
      </c>
      <c r="C5348" s="140"/>
      <c r="D5348" s="140" t="s">
        <v>14632</v>
      </c>
      <c r="E5348" s="142"/>
      <c r="F5348" s="142"/>
      <c r="G5348" s="140"/>
    </row>
    <row r="5349" spans="2:7" hidden="1">
      <c r="B5349" s="373" t="s">
        <v>14633</v>
      </c>
      <c r="C5349" s="373"/>
      <c r="D5349" s="373" t="s">
        <v>14634</v>
      </c>
      <c r="E5349" s="371"/>
      <c r="F5349" s="140"/>
      <c r="G5349" s="140"/>
    </row>
    <row r="5350" spans="2:7" hidden="1">
      <c r="B5350" s="140" t="s">
        <v>14635</v>
      </c>
      <c r="C5350" s="140"/>
      <c r="D5350" s="140" t="s">
        <v>4999</v>
      </c>
      <c r="E5350" s="142"/>
      <c r="F5350" s="142"/>
      <c r="G5350" s="140"/>
    </row>
    <row r="5351" spans="2:7" hidden="1">
      <c r="B5351" s="371" t="s">
        <v>14636</v>
      </c>
      <c r="C5351" s="140"/>
      <c r="D5351" s="140" t="s">
        <v>2045</v>
      </c>
      <c r="E5351" s="142"/>
      <c r="F5351" s="142"/>
      <c r="G5351" s="140"/>
    </row>
    <row r="5352" spans="2:7" hidden="1">
      <c r="B5352" s="140" t="s">
        <v>14637</v>
      </c>
      <c r="C5352" s="140"/>
      <c r="D5352" s="140" t="s">
        <v>4682</v>
      </c>
      <c r="E5352" s="142"/>
      <c r="F5352" s="142"/>
      <c r="G5352" s="140"/>
    </row>
    <row r="5353" spans="2:7" hidden="1">
      <c r="B5353" s="373" t="s">
        <v>14638</v>
      </c>
      <c r="C5353" s="373"/>
      <c r="D5353" s="373" t="s">
        <v>7973</v>
      </c>
      <c r="E5353" s="373"/>
      <c r="F5353" s="140"/>
      <c r="G5353" s="140"/>
    </row>
    <row r="5354" spans="2:7" hidden="1">
      <c r="B5354" s="141" t="s">
        <v>14639</v>
      </c>
      <c r="C5354" s="140"/>
      <c r="D5354" s="141" t="s">
        <v>7055</v>
      </c>
      <c r="E5354" s="142"/>
      <c r="F5354" s="142"/>
      <c r="G5354" s="140"/>
    </row>
    <row r="5355" spans="2:7" hidden="1">
      <c r="B5355" s="140" t="s">
        <v>14640</v>
      </c>
      <c r="C5355" s="140"/>
      <c r="D5355" s="140" t="s">
        <v>14641</v>
      </c>
      <c r="E5355" s="142"/>
      <c r="F5355" s="142"/>
      <c r="G5355" s="140"/>
    </row>
    <row r="5356" spans="2:7" hidden="1">
      <c r="B5356" s="140" t="s">
        <v>14642</v>
      </c>
      <c r="C5356" s="140"/>
      <c r="D5356" s="140" t="s">
        <v>14643</v>
      </c>
      <c r="E5356" s="142"/>
      <c r="F5356" s="142"/>
      <c r="G5356" s="140"/>
    </row>
    <row r="5357" spans="2:7" hidden="1">
      <c r="B5357" s="140" t="s">
        <v>14644</v>
      </c>
      <c r="C5357" s="140" t="s">
        <v>14645</v>
      </c>
      <c r="D5357" s="140" t="s">
        <v>14646</v>
      </c>
      <c r="E5357" s="142"/>
      <c r="F5357" s="142"/>
      <c r="G5357" s="140"/>
    </row>
    <row r="5358" spans="2:7" hidden="1">
      <c r="B5358" s="140" t="s">
        <v>21871</v>
      </c>
      <c r="C5358" s="140" t="s">
        <v>14647</v>
      </c>
      <c r="D5358" s="140" t="s">
        <v>14648</v>
      </c>
      <c r="E5358" s="142" t="s">
        <v>14649</v>
      </c>
      <c r="F5358" s="142" t="s">
        <v>14650</v>
      </c>
      <c r="G5358" s="140"/>
    </row>
    <row r="5359" spans="2:7" hidden="1">
      <c r="B5359" s="141" t="s">
        <v>14651</v>
      </c>
      <c r="C5359" s="140"/>
      <c r="D5359" s="141" t="s">
        <v>14652</v>
      </c>
      <c r="E5359" s="142"/>
      <c r="F5359" s="142"/>
      <c r="G5359" s="140"/>
    </row>
    <row r="5360" spans="2:7" hidden="1">
      <c r="B5360" s="140" t="s">
        <v>14653</v>
      </c>
      <c r="C5360" s="140"/>
      <c r="D5360" s="140" t="s">
        <v>14654</v>
      </c>
      <c r="E5360" s="142"/>
      <c r="F5360" s="142"/>
      <c r="G5360" s="140"/>
    </row>
    <row r="5361" spans="2:7" hidden="1">
      <c r="B5361" s="373" t="s">
        <v>14655</v>
      </c>
      <c r="C5361" s="373"/>
      <c r="D5361" s="373" t="s">
        <v>14656</v>
      </c>
      <c r="E5361" s="373"/>
      <c r="F5361" s="140"/>
      <c r="G5361" s="140"/>
    </row>
    <row r="5362" spans="2:7" hidden="1">
      <c r="B5362" s="140" t="s">
        <v>14657</v>
      </c>
      <c r="C5362" s="140"/>
      <c r="D5362" s="140" t="s">
        <v>14658</v>
      </c>
      <c r="E5362" s="142"/>
      <c r="F5362" s="142"/>
      <c r="G5362" s="140"/>
    </row>
    <row r="5363" spans="2:7" hidden="1">
      <c r="B5363" s="373" t="s">
        <v>14659</v>
      </c>
      <c r="C5363" s="373"/>
      <c r="D5363" s="373" t="s">
        <v>14660</v>
      </c>
      <c r="E5363" s="373"/>
      <c r="F5363" s="140"/>
      <c r="G5363" s="140"/>
    </row>
    <row r="5364" spans="2:7" hidden="1">
      <c r="B5364" s="140" t="s">
        <v>14661</v>
      </c>
      <c r="C5364" s="140"/>
      <c r="D5364" s="140" t="s">
        <v>14662</v>
      </c>
      <c r="E5364" s="142"/>
      <c r="F5364" s="142"/>
      <c r="G5364" s="140"/>
    </row>
    <row r="5365" spans="2:7" hidden="1">
      <c r="B5365" s="140" t="s">
        <v>14663</v>
      </c>
      <c r="C5365" s="140"/>
      <c r="D5365" s="140" t="s">
        <v>14664</v>
      </c>
      <c r="E5365" s="142"/>
      <c r="F5365" s="142"/>
      <c r="G5365" s="140"/>
    </row>
    <row r="5366" spans="2:7" hidden="1">
      <c r="B5366" s="373" t="s">
        <v>14665</v>
      </c>
      <c r="C5366" s="140"/>
      <c r="D5366" s="140" t="s">
        <v>14666</v>
      </c>
      <c r="E5366" s="142"/>
      <c r="F5366" s="142"/>
      <c r="G5366" s="140"/>
    </row>
    <row r="5367" spans="2:7" hidden="1">
      <c r="B5367" s="140" t="s">
        <v>14667</v>
      </c>
      <c r="C5367" s="140"/>
      <c r="D5367" s="140" t="s">
        <v>3336</v>
      </c>
      <c r="E5367" s="142"/>
      <c r="F5367" s="142"/>
      <c r="G5367" s="140"/>
    </row>
    <row r="5368" spans="2:7" hidden="1">
      <c r="B5368" s="140" t="s">
        <v>14668</v>
      </c>
      <c r="C5368" s="140"/>
      <c r="D5368" s="140" t="s">
        <v>2650</v>
      </c>
      <c r="E5368" s="142"/>
      <c r="F5368" s="142"/>
      <c r="G5368" s="140"/>
    </row>
    <row r="5369" spans="2:7" hidden="1">
      <c r="B5369" s="140" t="s">
        <v>21872</v>
      </c>
      <c r="C5369" s="140" t="s">
        <v>14669</v>
      </c>
      <c r="D5369" s="140" t="s">
        <v>14670</v>
      </c>
      <c r="E5369" s="142" t="s">
        <v>14671</v>
      </c>
      <c r="F5369" s="142" t="s">
        <v>14672</v>
      </c>
      <c r="G5369" s="140"/>
    </row>
    <row r="5370" spans="2:7" hidden="1">
      <c r="B5370" s="140" t="s">
        <v>14673</v>
      </c>
      <c r="C5370" s="140"/>
      <c r="D5370" s="140" t="s">
        <v>14674</v>
      </c>
      <c r="E5370" s="142"/>
      <c r="F5370" s="142"/>
      <c r="G5370" s="140"/>
    </row>
    <row r="5371" spans="2:7" hidden="1">
      <c r="B5371" s="140" t="s">
        <v>14675</v>
      </c>
      <c r="C5371" s="140"/>
      <c r="D5371" s="140" t="s">
        <v>7185</v>
      </c>
      <c r="E5371" s="142"/>
      <c r="F5371" s="142"/>
      <c r="G5371" s="140"/>
    </row>
    <row r="5372" spans="2:7" hidden="1">
      <c r="B5372" s="140" t="s">
        <v>14676</v>
      </c>
      <c r="C5372" s="140"/>
      <c r="D5372" s="140" t="s">
        <v>14677</v>
      </c>
      <c r="E5372" s="142"/>
      <c r="F5372" s="142"/>
      <c r="G5372" s="140"/>
    </row>
    <row r="5373" spans="2:7" hidden="1">
      <c r="B5373" s="140" t="s">
        <v>14678</v>
      </c>
      <c r="C5373" s="140"/>
      <c r="D5373" s="140" t="s">
        <v>14679</v>
      </c>
      <c r="E5373" s="142"/>
      <c r="F5373" s="142"/>
      <c r="G5373" s="140"/>
    </row>
    <row r="5374" spans="2:7" hidden="1">
      <c r="B5374" s="140" t="s">
        <v>14680</v>
      </c>
      <c r="C5374" s="140"/>
      <c r="D5374" s="140" t="s">
        <v>14681</v>
      </c>
      <c r="E5374" s="142"/>
      <c r="F5374" s="142"/>
      <c r="G5374" s="140"/>
    </row>
    <row r="5375" spans="2:7" hidden="1">
      <c r="B5375" s="373" t="s">
        <v>14682</v>
      </c>
      <c r="C5375" s="373"/>
      <c r="D5375" s="373" t="s">
        <v>3064</v>
      </c>
      <c r="E5375" s="373"/>
      <c r="F5375" s="140"/>
      <c r="G5375" s="140"/>
    </row>
    <row r="5376" spans="2:7" hidden="1">
      <c r="B5376" s="140" t="s">
        <v>14683</v>
      </c>
      <c r="C5376" s="140" t="s">
        <v>14684</v>
      </c>
      <c r="D5376" s="141" t="s">
        <v>14685</v>
      </c>
      <c r="E5376" s="140" t="s">
        <v>14686</v>
      </c>
      <c r="F5376" s="140"/>
      <c r="G5376" s="140"/>
    </row>
    <row r="5377" spans="2:7" hidden="1">
      <c r="B5377" s="140" t="s">
        <v>14687</v>
      </c>
      <c r="C5377" s="140"/>
      <c r="D5377" s="140" t="s">
        <v>9384</v>
      </c>
      <c r="E5377" s="142"/>
      <c r="F5377" s="142"/>
      <c r="G5377" s="140"/>
    </row>
    <row r="5378" spans="2:7" hidden="1">
      <c r="B5378" s="140" t="s">
        <v>14688</v>
      </c>
      <c r="C5378" s="140" t="s">
        <v>14689</v>
      </c>
      <c r="D5378" s="140" t="s">
        <v>14690</v>
      </c>
      <c r="E5378" s="142"/>
      <c r="F5378" s="142"/>
      <c r="G5378" s="140" t="s">
        <v>14691</v>
      </c>
    </row>
    <row r="5379" spans="2:7" hidden="1">
      <c r="B5379" s="140" t="s">
        <v>14692</v>
      </c>
      <c r="C5379" s="140"/>
      <c r="D5379" s="140" t="s">
        <v>5685</v>
      </c>
      <c r="E5379" s="142"/>
      <c r="F5379" s="142"/>
      <c r="G5379" s="140"/>
    </row>
    <row r="5380" spans="2:7" hidden="1">
      <c r="B5380" s="140" t="s">
        <v>14693</v>
      </c>
      <c r="C5380" s="140" t="s">
        <v>14694</v>
      </c>
      <c r="D5380" s="140" t="s">
        <v>3271</v>
      </c>
      <c r="E5380" s="142" t="s">
        <v>14695</v>
      </c>
      <c r="F5380" s="142" t="s">
        <v>14696</v>
      </c>
      <c r="G5380" s="140"/>
    </row>
    <row r="5381" spans="2:7" hidden="1">
      <c r="B5381" s="141" t="s">
        <v>14697</v>
      </c>
      <c r="C5381" s="140"/>
      <c r="D5381" s="141" t="s">
        <v>14698</v>
      </c>
      <c r="E5381" s="140"/>
      <c r="F5381" s="140"/>
      <c r="G5381" s="140"/>
    </row>
    <row r="5382" spans="2:7" hidden="1">
      <c r="B5382" s="140" t="s">
        <v>14699</v>
      </c>
      <c r="C5382" s="140"/>
      <c r="D5382" s="140" t="s">
        <v>14700</v>
      </c>
      <c r="E5382" s="142"/>
      <c r="F5382" s="142"/>
      <c r="G5382" s="140"/>
    </row>
    <row r="5383" spans="2:7" hidden="1">
      <c r="B5383" s="141" t="s">
        <v>14701</v>
      </c>
      <c r="C5383" s="140"/>
      <c r="D5383" s="141" t="s">
        <v>14702</v>
      </c>
      <c r="E5383" s="142"/>
      <c r="F5383" s="142"/>
      <c r="G5383" s="140"/>
    </row>
    <row r="5384" spans="2:7" hidden="1">
      <c r="B5384" s="141" t="s">
        <v>14703</v>
      </c>
      <c r="C5384" s="140" t="s">
        <v>14704</v>
      </c>
      <c r="D5384" s="141" t="s">
        <v>14705</v>
      </c>
      <c r="E5384" s="142"/>
      <c r="F5384" s="142"/>
      <c r="G5384" s="140"/>
    </row>
    <row r="5385" spans="2:7" hidden="1">
      <c r="B5385" s="141" t="s">
        <v>14706</v>
      </c>
      <c r="C5385" s="141"/>
      <c r="D5385" s="141" t="s">
        <v>14707</v>
      </c>
      <c r="E5385" s="142"/>
      <c r="F5385" s="142"/>
      <c r="G5385" s="140"/>
    </row>
    <row r="5386" spans="2:7" hidden="1">
      <c r="B5386" s="141" t="s">
        <v>14708</v>
      </c>
      <c r="C5386" s="140"/>
      <c r="D5386" s="141" t="s">
        <v>14709</v>
      </c>
      <c r="E5386" s="142"/>
      <c r="F5386" s="142"/>
      <c r="G5386" s="140"/>
    </row>
    <row r="5387" spans="2:7" hidden="1">
      <c r="B5387" s="140" t="s">
        <v>14710</v>
      </c>
      <c r="C5387" s="140"/>
      <c r="D5387" s="140" t="s">
        <v>6536</v>
      </c>
      <c r="E5387" s="140"/>
      <c r="F5387" s="140"/>
      <c r="G5387" s="140"/>
    </row>
    <row r="5388" spans="2:7" hidden="1">
      <c r="B5388" s="141" t="s">
        <v>14711</v>
      </c>
      <c r="C5388" s="140"/>
      <c r="D5388" s="141" t="s">
        <v>5718</v>
      </c>
      <c r="E5388" s="142"/>
      <c r="F5388" s="142"/>
      <c r="G5388" s="140"/>
    </row>
    <row r="5389" spans="2:7" hidden="1">
      <c r="B5389" s="141" t="s">
        <v>14712</v>
      </c>
      <c r="C5389" s="140"/>
      <c r="D5389" s="141" t="s">
        <v>14713</v>
      </c>
      <c r="E5389" s="142"/>
      <c r="F5389" s="142"/>
      <c r="G5389" s="140"/>
    </row>
    <row r="5390" spans="2:7" hidden="1">
      <c r="B5390" s="141" t="s">
        <v>14714</v>
      </c>
      <c r="C5390" s="140" t="s">
        <v>14715</v>
      </c>
      <c r="D5390" s="141" t="s">
        <v>14716</v>
      </c>
      <c r="E5390" s="142" t="s">
        <v>14717</v>
      </c>
      <c r="F5390" s="142"/>
      <c r="G5390" s="140"/>
    </row>
    <row r="5391" spans="2:7" hidden="1">
      <c r="B5391" s="140" t="s">
        <v>14718</v>
      </c>
      <c r="C5391" s="140" t="s">
        <v>14719</v>
      </c>
      <c r="D5391" s="140" t="s">
        <v>14071</v>
      </c>
      <c r="E5391" s="142" t="s">
        <v>14720</v>
      </c>
      <c r="F5391" s="142"/>
      <c r="G5391" s="140"/>
    </row>
    <row r="5392" spans="2:7" hidden="1">
      <c r="B5392" s="141" t="s">
        <v>14721</v>
      </c>
      <c r="C5392" s="140" t="s">
        <v>14722</v>
      </c>
      <c r="D5392" s="141" t="s">
        <v>14723</v>
      </c>
      <c r="E5392" s="140" t="s">
        <v>14724</v>
      </c>
      <c r="F5392" s="140"/>
      <c r="G5392" s="140"/>
    </row>
    <row r="5393" spans="2:7" hidden="1">
      <c r="B5393" s="141" t="s">
        <v>14725</v>
      </c>
      <c r="C5393" s="140" t="s">
        <v>14726</v>
      </c>
      <c r="D5393" s="141" t="s">
        <v>9824</v>
      </c>
      <c r="E5393" s="140" t="s">
        <v>14727</v>
      </c>
      <c r="F5393" s="140"/>
      <c r="G5393" s="140"/>
    </row>
    <row r="5394" spans="2:7" hidden="1">
      <c r="B5394" s="141" t="s">
        <v>14728</v>
      </c>
      <c r="C5394" s="140" t="s">
        <v>14729</v>
      </c>
      <c r="D5394" s="141" t="s">
        <v>14730</v>
      </c>
      <c r="E5394" s="140" t="s">
        <v>14731</v>
      </c>
      <c r="F5394" s="140"/>
      <c r="G5394" s="140"/>
    </row>
    <row r="5395" spans="2:7" hidden="1">
      <c r="B5395" s="141" t="s">
        <v>14732</v>
      </c>
      <c r="C5395" s="140" t="s">
        <v>14733</v>
      </c>
      <c r="D5395" s="141" t="s">
        <v>11615</v>
      </c>
      <c r="E5395" s="140" t="s">
        <v>14734</v>
      </c>
      <c r="F5395" s="140"/>
      <c r="G5395" s="140"/>
    </row>
    <row r="5396" spans="2:7" hidden="1">
      <c r="B5396" s="141" t="s">
        <v>14735</v>
      </c>
      <c r="C5396" s="140" t="s">
        <v>14736</v>
      </c>
      <c r="D5396" s="141" t="s">
        <v>14737</v>
      </c>
      <c r="E5396" s="140" t="s">
        <v>14738</v>
      </c>
      <c r="F5396" s="140"/>
      <c r="G5396" s="140"/>
    </row>
    <row r="5397" spans="2:7" hidden="1">
      <c r="B5397" s="141" t="s">
        <v>21873</v>
      </c>
      <c r="C5397" s="140"/>
      <c r="D5397" s="141" t="s">
        <v>11070</v>
      </c>
      <c r="E5397" s="140"/>
      <c r="F5397" s="140"/>
      <c r="G5397" s="140"/>
    </row>
    <row r="5398" spans="2:7" hidden="1">
      <c r="B5398" s="141" t="s">
        <v>14739</v>
      </c>
      <c r="C5398" s="140"/>
      <c r="D5398" s="141" t="s">
        <v>6102</v>
      </c>
      <c r="E5398" s="140"/>
      <c r="F5398" s="140"/>
      <c r="G5398" s="140"/>
    </row>
    <row r="5399" spans="2:7" hidden="1">
      <c r="B5399" s="141" t="s">
        <v>14740</v>
      </c>
      <c r="C5399" s="140"/>
      <c r="D5399" s="141" t="s">
        <v>14741</v>
      </c>
      <c r="E5399" s="140"/>
      <c r="F5399" s="140"/>
      <c r="G5399" s="140"/>
    </row>
    <row r="5400" spans="2:7" hidden="1">
      <c r="B5400" s="141" t="s">
        <v>14742</v>
      </c>
      <c r="C5400" s="140"/>
      <c r="D5400" s="141" t="s">
        <v>9002</v>
      </c>
      <c r="E5400" s="140"/>
      <c r="F5400" s="140"/>
      <c r="G5400" s="140"/>
    </row>
    <row r="5401" spans="2:7" hidden="1">
      <c r="B5401" s="141" t="s">
        <v>14743</v>
      </c>
      <c r="C5401" s="140"/>
      <c r="D5401" s="141" t="s">
        <v>14744</v>
      </c>
      <c r="E5401" s="140"/>
      <c r="F5401" s="140"/>
      <c r="G5401" s="140"/>
    </row>
    <row r="5402" spans="2:7" hidden="1">
      <c r="B5402" s="140" t="s">
        <v>14745</v>
      </c>
      <c r="C5402" s="140"/>
      <c r="D5402" s="140" t="s">
        <v>6420</v>
      </c>
      <c r="E5402" s="142"/>
      <c r="F5402" s="142"/>
      <c r="G5402" s="140"/>
    </row>
    <row r="5403" spans="2:7" hidden="1">
      <c r="B5403" s="140" t="s">
        <v>14746</v>
      </c>
      <c r="C5403" s="140"/>
      <c r="D5403" s="140" t="s">
        <v>1031</v>
      </c>
      <c r="E5403" s="142"/>
      <c r="F5403" s="142"/>
      <c r="G5403" s="140"/>
    </row>
    <row r="5404" spans="2:7" hidden="1">
      <c r="B5404" s="141" t="s">
        <v>14747</v>
      </c>
      <c r="C5404" s="140"/>
      <c r="D5404" s="141" t="s">
        <v>14748</v>
      </c>
      <c r="E5404" s="140"/>
      <c r="F5404" s="140"/>
      <c r="G5404" s="140"/>
    </row>
    <row r="5405" spans="2:7" hidden="1">
      <c r="B5405" s="141" t="s">
        <v>14749</v>
      </c>
      <c r="C5405" s="140"/>
      <c r="D5405" s="141" t="s">
        <v>14750</v>
      </c>
      <c r="E5405" s="140"/>
      <c r="F5405" s="140"/>
      <c r="G5405" s="140"/>
    </row>
    <row r="5406" spans="2:7" hidden="1">
      <c r="B5406" s="141" t="s">
        <v>14751</v>
      </c>
      <c r="C5406" s="140" t="s">
        <v>14752</v>
      </c>
      <c r="D5406" s="141" t="s">
        <v>10211</v>
      </c>
      <c r="E5406" s="140" t="s">
        <v>14753</v>
      </c>
      <c r="F5406" s="140" t="s">
        <v>14754</v>
      </c>
      <c r="G5406" s="140"/>
    </row>
    <row r="5407" spans="2:7" hidden="1">
      <c r="B5407" s="140" t="s">
        <v>14755</v>
      </c>
      <c r="C5407" s="140" t="s">
        <v>14756</v>
      </c>
      <c r="D5407" s="140" t="s">
        <v>14757</v>
      </c>
      <c r="E5407" s="142"/>
      <c r="F5407" s="142"/>
      <c r="G5407" s="140"/>
    </row>
    <row r="5408" spans="2:7" hidden="1">
      <c r="B5408" s="141" t="s">
        <v>14758</v>
      </c>
      <c r="C5408" s="141" t="s">
        <v>14759</v>
      </c>
      <c r="D5408" s="141" t="s">
        <v>2796</v>
      </c>
      <c r="E5408" s="141" t="s">
        <v>2797</v>
      </c>
      <c r="F5408" s="141" t="s">
        <v>14760</v>
      </c>
      <c r="G5408" s="140"/>
    </row>
    <row r="5409" spans="2:7" hidden="1">
      <c r="B5409" s="141" t="s">
        <v>14761</v>
      </c>
      <c r="C5409" s="140"/>
      <c r="D5409" s="141" t="s">
        <v>14762</v>
      </c>
      <c r="E5409" s="140"/>
      <c r="F5409" s="140"/>
      <c r="G5409" s="140"/>
    </row>
    <row r="5410" spans="2:7" hidden="1">
      <c r="B5410" s="141" t="s">
        <v>21874</v>
      </c>
      <c r="C5410" s="140"/>
      <c r="D5410" s="141" t="s">
        <v>2104</v>
      </c>
      <c r="E5410" s="140"/>
      <c r="F5410" s="140"/>
      <c r="G5410" s="140"/>
    </row>
    <row r="5411" spans="2:7" hidden="1">
      <c r="B5411" s="141" t="s">
        <v>14763</v>
      </c>
      <c r="C5411" s="140"/>
      <c r="D5411" s="141" t="s">
        <v>14764</v>
      </c>
      <c r="E5411" s="140"/>
      <c r="F5411" s="140"/>
      <c r="G5411" s="140"/>
    </row>
    <row r="5412" spans="2:7" hidden="1">
      <c r="B5412" s="141" t="s">
        <v>21875</v>
      </c>
      <c r="C5412" s="140"/>
      <c r="D5412" s="141" t="s">
        <v>14765</v>
      </c>
      <c r="E5412" s="140"/>
      <c r="F5412" s="140"/>
      <c r="G5412" s="140"/>
    </row>
    <row r="5413" spans="2:7" hidden="1">
      <c r="B5413" s="141" t="s">
        <v>14766</v>
      </c>
      <c r="C5413" s="140"/>
      <c r="D5413" s="140" t="s">
        <v>4938</v>
      </c>
      <c r="E5413" s="141"/>
      <c r="F5413" s="140"/>
      <c r="G5413" s="140"/>
    </row>
    <row r="5414" spans="2:7" hidden="1">
      <c r="B5414" s="141" t="s">
        <v>14767</v>
      </c>
      <c r="C5414" s="141" t="s">
        <v>14768</v>
      </c>
      <c r="D5414" s="141" t="s">
        <v>14769</v>
      </c>
      <c r="E5414" s="141" t="s">
        <v>14770</v>
      </c>
      <c r="F5414" s="141" t="s">
        <v>14771</v>
      </c>
      <c r="G5414" s="140" t="s">
        <v>14772</v>
      </c>
    </row>
    <row r="5415" spans="2:7" hidden="1">
      <c r="B5415" s="141" t="s">
        <v>14773</v>
      </c>
      <c r="C5415" s="140"/>
      <c r="D5415" s="141" t="s">
        <v>1213</v>
      </c>
      <c r="E5415" s="140"/>
      <c r="F5415" s="140"/>
      <c r="G5415" s="140"/>
    </row>
    <row r="5416" spans="2:7" hidden="1">
      <c r="B5416" s="141" t="s">
        <v>14774</v>
      </c>
      <c r="C5416" s="140"/>
      <c r="D5416" s="141" t="s">
        <v>14775</v>
      </c>
      <c r="E5416" s="140"/>
      <c r="F5416" s="140"/>
      <c r="G5416" s="140"/>
    </row>
    <row r="5417" spans="2:7" hidden="1">
      <c r="B5417" s="141" t="s">
        <v>14776</v>
      </c>
      <c r="C5417" s="140"/>
      <c r="D5417" s="141" t="s">
        <v>10159</v>
      </c>
      <c r="E5417" s="140"/>
      <c r="F5417" s="140"/>
      <c r="G5417" s="140"/>
    </row>
    <row r="5418" spans="2:7" hidden="1">
      <c r="B5418" s="141" t="s">
        <v>14777</v>
      </c>
      <c r="C5418" s="140"/>
      <c r="D5418" s="141" t="s">
        <v>14778</v>
      </c>
      <c r="E5418" s="140"/>
      <c r="F5418" s="140"/>
      <c r="G5418" s="140"/>
    </row>
    <row r="5419" spans="2:7" hidden="1">
      <c r="B5419" s="141" t="s">
        <v>14779</v>
      </c>
      <c r="C5419" s="140" t="s">
        <v>14780</v>
      </c>
      <c r="D5419" s="141" t="s">
        <v>14781</v>
      </c>
      <c r="E5419" s="140"/>
      <c r="F5419" s="140"/>
      <c r="G5419" s="140"/>
    </row>
    <row r="5420" spans="2:7" hidden="1">
      <c r="B5420" s="140" t="s">
        <v>14782</v>
      </c>
      <c r="C5420" s="140"/>
      <c r="D5420" s="140" t="s">
        <v>14783</v>
      </c>
      <c r="E5420" s="142"/>
      <c r="F5420" s="142"/>
      <c r="G5420" s="140"/>
    </row>
    <row r="5421" spans="2:7" hidden="1">
      <c r="B5421" s="141" t="s">
        <v>14784</v>
      </c>
      <c r="C5421" s="140" t="s">
        <v>14785</v>
      </c>
      <c r="D5421" s="141" t="s">
        <v>14786</v>
      </c>
      <c r="E5421" s="140" t="s">
        <v>14787</v>
      </c>
      <c r="F5421" s="140" t="s">
        <v>14788</v>
      </c>
      <c r="G5421" s="140"/>
    </row>
    <row r="5422" spans="2:7" hidden="1">
      <c r="B5422" s="141" t="s">
        <v>14789</v>
      </c>
      <c r="C5422" s="140"/>
      <c r="D5422" s="141" t="s">
        <v>14790</v>
      </c>
      <c r="E5422" s="140"/>
      <c r="F5422" s="140"/>
      <c r="G5422" s="140"/>
    </row>
    <row r="5423" spans="2:7" hidden="1">
      <c r="B5423" s="141" t="s">
        <v>14791</v>
      </c>
      <c r="C5423" s="140"/>
      <c r="D5423" s="141" t="s">
        <v>8165</v>
      </c>
      <c r="E5423" s="140"/>
      <c r="F5423" s="140"/>
      <c r="G5423" s="140"/>
    </row>
    <row r="5424" spans="2:7" hidden="1">
      <c r="B5424" s="141" t="s">
        <v>14792</v>
      </c>
      <c r="C5424" s="140" t="s">
        <v>14793</v>
      </c>
      <c r="D5424" s="141" t="s">
        <v>8628</v>
      </c>
      <c r="E5424" s="140"/>
      <c r="F5424" s="140"/>
      <c r="G5424" s="140"/>
    </row>
    <row r="5425" spans="2:7" hidden="1">
      <c r="B5425" s="140" t="s">
        <v>14794</v>
      </c>
      <c r="C5425" s="140"/>
      <c r="D5425" s="140" t="s">
        <v>14795</v>
      </c>
      <c r="E5425" s="142"/>
      <c r="F5425" s="142"/>
      <c r="G5425" s="140"/>
    </row>
    <row r="5426" spans="2:7" hidden="1">
      <c r="B5426" s="141" t="s">
        <v>14796</v>
      </c>
      <c r="C5426" s="140"/>
      <c r="D5426" s="141" t="s">
        <v>14797</v>
      </c>
      <c r="E5426" s="140"/>
      <c r="F5426" s="140"/>
      <c r="G5426" s="140"/>
    </row>
    <row r="5427" spans="2:7" hidden="1">
      <c r="B5427" s="141" t="s">
        <v>21876</v>
      </c>
      <c r="C5427" s="140" t="s">
        <v>14798</v>
      </c>
      <c r="D5427" s="141" t="s">
        <v>14799</v>
      </c>
      <c r="E5427" s="140" t="s">
        <v>6685</v>
      </c>
      <c r="F5427" s="140" t="s">
        <v>6686</v>
      </c>
      <c r="G5427" s="140" t="s">
        <v>22125</v>
      </c>
    </row>
    <row r="5428" spans="2:7" hidden="1">
      <c r="B5428" s="141" t="s">
        <v>14800</v>
      </c>
      <c r="C5428" s="140"/>
      <c r="D5428" s="141" t="s">
        <v>14801</v>
      </c>
      <c r="E5428" s="140"/>
      <c r="F5428" s="140"/>
      <c r="G5428" s="140"/>
    </row>
    <row r="5429" spans="2:7" hidden="1">
      <c r="B5429" s="141" t="s">
        <v>14802</v>
      </c>
      <c r="C5429" s="140"/>
      <c r="D5429" s="141" t="s">
        <v>14803</v>
      </c>
      <c r="E5429" s="140"/>
      <c r="F5429" s="140"/>
      <c r="G5429" s="140"/>
    </row>
    <row r="5430" spans="2:7" hidden="1">
      <c r="B5430" s="141" t="s">
        <v>14804</v>
      </c>
      <c r="C5430" s="140"/>
      <c r="D5430" s="141" t="s">
        <v>14805</v>
      </c>
      <c r="E5430" s="140"/>
      <c r="F5430" s="140"/>
      <c r="G5430" s="140"/>
    </row>
    <row r="5431" spans="2:7" hidden="1">
      <c r="B5431" s="141" t="s">
        <v>14806</v>
      </c>
      <c r="C5431" s="140"/>
      <c r="D5431" s="141" t="s">
        <v>14807</v>
      </c>
      <c r="E5431" s="140"/>
      <c r="F5431" s="140"/>
      <c r="G5431" s="140"/>
    </row>
    <row r="5432" spans="2:7" hidden="1">
      <c r="B5432" s="141" t="s">
        <v>14808</v>
      </c>
      <c r="C5432" s="140"/>
      <c r="D5432" s="141" t="s">
        <v>3006</v>
      </c>
      <c r="E5432" s="140"/>
      <c r="F5432" s="140"/>
      <c r="G5432" s="140"/>
    </row>
    <row r="5433" spans="2:7" hidden="1">
      <c r="B5433" s="140" t="s">
        <v>20292</v>
      </c>
      <c r="C5433" s="140" t="s">
        <v>20293</v>
      </c>
      <c r="D5433" s="140" t="s">
        <v>16302</v>
      </c>
      <c r="E5433" s="142" t="s">
        <v>20294</v>
      </c>
      <c r="F5433" s="142"/>
      <c r="G5433" s="140" t="s">
        <v>20295</v>
      </c>
    </row>
    <row r="5434" spans="2:7" hidden="1">
      <c r="B5434" s="141" t="s">
        <v>14809</v>
      </c>
      <c r="C5434" s="141"/>
      <c r="D5434" s="141" t="s">
        <v>14810</v>
      </c>
      <c r="E5434" s="140"/>
      <c r="F5434" s="140"/>
      <c r="G5434" s="140"/>
    </row>
    <row r="5435" spans="2:7" hidden="1">
      <c r="B5435" s="141" t="s">
        <v>14811</v>
      </c>
      <c r="C5435" s="140"/>
      <c r="D5435" s="141" t="s">
        <v>14812</v>
      </c>
      <c r="E5435" s="140"/>
      <c r="F5435" s="140"/>
      <c r="G5435" s="140"/>
    </row>
    <row r="5436" spans="2:7" hidden="1">
      <c r="B5436" s="140" t="s">
        <v>14813</v>
      </c>
      <c r="C5436" s="140"/>
      <c r="D5436" s="140" t="s">
        <v>14814</v>
      </c>
      <c r="E5436" s="142"/>
      <c r="F5436" s="142"/>
      <c r="G5436" s="140"/>
    </row>
    <row r="5437" spans="2:7" hidden="1">
      <c r="B5437" s="141" t="s">
        <v>14815</v>
      </c>
      <c r="C5437" s="140"/>
      <c r="D5437" s="141" t="s">
        <v>14816</v>
      </c>
      <c r="E5437" s="140"/>
      <c r="F5437" s="140"/>
      <c r="G5437" s="140"/>
    </row>
    <row r="5438" spans="2:7" hidden="1">
      <c r="B5438" s="141" t="s">
        <v>14817</v>
      </c>
      <c r="C5438" s="140"/>
      <c r="D5438" s="141" t="s">
        <v>14818</v>
      </c>
      <c r="E5438" s="140"/>
      <c r="F5438" s="140"/>
      <c r="G5438" s="140"/>
    </row>
    <row r="5439" spans="2:7" hidden="1">
      <c r="B5439" s="141" t="s">
        <v>14819</v>
      </c>
      <c r="C5439" s="140" t="s">
        <v>14820</v>
      </c>
      <c r="D5439" s="141" t="s">
        <v>14821</v>
      </c>
      <c r="E5439" s="140"/>
      <c r="F5439" s="140"/>
      <c r="G5439" s="140"/>
    </row>
    <row r="5440" spans="2:7" hidden="1">
      <c r="B5440" s="141" t="s">
        <v>14822</v>
      </c>
      <c r="C5440" s="141"/>
      <c r="D5440" s="141" t="s">
        <v>5364</v>
      </c>
      <c r="E5440" s="141"/>
      <c r="F5440" s="141"/>
      <c r="G5440" s="140"/>
    </row>
    <row r="5441" spans="2:7" hidden="1">
      <c r="B5441" s="141" t="s">
        <v>14823</v>
      </c>
      <c r="C5441" s="141" t="s">
        <v>14824</v>
      </c>
      <c r="D5441" s="141" t="s">
        <v>2168</v>
      </c>
      <c r="E5441" s="140" t="s">
        <v>14825</v>
      </c>
      <c r="F5441" s="140"/>
      <c r="G5441" s="140"/>
    </row>
    <row r="5442" spans="2:7" hidden="1">
      <c r="B5442" s="141" t="s">
        <v>14826</v>
      </c>
      <c r="C5442" s="140"/>
      <c r="D5442" s="141" t="s">
        <v>14827</v>
      </c>
      <c r="E5442" s="140"/>
      <c r="F5442" s="140"/>
      <c r="G5442" s="140"/>
    </row>
    <row r="5443" spans="2:7" hidden="1">
      <c r="B5443" s="141" t="s">
        <v>14828</v>
      </c>
      <c r="C5443" s="140" t="s">
        <v>14829</v>
      </c>
      <c r="D5443" s="141" t="s">
        <v>14830</v>
      </c>
      <c r="E5443" s="140"/>
      <c r="F5443" s="140"/>
      <c r="G5443" s="140"/>
    </row>
    <row r="5444" spans="2:7" hidden="1">
      <c r="B5444" s="141" t="s">
        <v>14831</v>
      </c>
      <c r="C5444" s="141" t="s">
        <v>14832</v>
      </c>
      <c r="D5444" s="141" t="s">
        <v>14833</v>
      </c>
      <c r="E5444" s="141"/>
      <c r="F5444" s="140"/>
      <c r="G5444" s="140" t="s">
        <v>14834</v>
      </c>
    </row>
    <row r="5445" spans="2:7" hidden="1">
      <c r="B5445" s="141" t="s">
        <v>14835</v>
      </c>
      <c r="C5445" s="140"/>
      <c r="D5445" s="141" t="s">
        <v>14836</v>
      </c>
      <c r="E5445" s="140"/>
      <c r="F5445" s="140"/>
      <c r="G5445" s="140"/>
    </row>
    <row r="5446" spans="2:7" hidden="1">
      <c r="B5446" s="141" t="s">
        <v>14837</v>
      </c>
      <c r="C5446" s="141"/>
      <c r="D5446" s="141" t="s">
        <v>14838</v>
      </c>
      <c r="E5446" s="141"/>
      <c r="F5446" s="140"/>
      <c r="G5446" s="140"/>
    </row>
    <row r="5447" spans="2:7" hidden="1">
      <c r="B5447" s="141" t="s">
        <v>14839</v>
      </c>
      <c r="C5447" s="141"/>
      <c r="D5447" s="141" t="s">
        <v>14840</v>
      </c>
      <c r="E5447" s="141"/>
      <c r="F5447" s="140"/>
      <c r="G5447" s="140"/>
    </row>
    <row r="5448" spans="2:7" hidden="1">
      <c r="B5448" s="141" t="s">
        <v>14841</v>
      </c>
      <c r="C5448" s="141" t="s">
        <v>14842</v>
      </c>
      <c r="D5448" s="141" t="s">
        <v>14843</v>
      </c>
      <c r="E5448" s="141"/>
      <c r="F5448" s="141"/>
      <c r="G5448" s="140" t="s">
        <v>14844</v>
      </c>
    </row>
    <row r="5449" spans="2:7" hidden="1">
      <c r="B5449" s="141" t="s">
        <v>14845</v>
      </c>
      <c r="C5449" s="141" t="s">
        <v>14846</v>
      </c>
      <c r="D5449" s="141" t="s">
        <v>10186</v>
      </c>
      <c r="E5449" s="140" t="s">
        <v>14847</v>
      </c>
      <c r="F5449" s="140"/>
      <c r="G5449" s="140"/>
    </row>
    <row r="5450" spans="2:7" hidden="1">
      <c r="B5450" s="141" t="s">
        <v>14848</v>
      </c>
      <c r="C5450" s="140" t="s">
        <v>14849</v>
      </c>
      <c r="D5450" s="141" t="s">
        <v>14850</v>
      </c>
      <c r="E5450" s="140" t="s">
        <v>14851</v>
      </c>
      <c r="F5450" s="140"/>
      <c r="G5450" s="140"/>
    </row>
    <row r="5451" spans="2:7" hidden="1">
      <c r="B5451" s="141" t="s">
        <v>14852</v>
      </c>
      <c r="C5451" s="140" t="s">
        <v>14853</v>
      </c>
      <c r="D5451" s="141" t="s">
        <v>1190</v>
      </c>
      <c r="E5451" s="140" t="s">
        <v>14854</v>
      </c>
      <c r="F5451" s="140"/>
      <c r="G5451" s="140"/>
    </row>
    <row r="5452" spans="2:7" hidden="1">
      <c r="B5452" s="141" t="s">
        <v>14855</v>
      </c>
      <c r="C5452" s="140"/>
      <c r="D5452" s="141" t="s">
        <v>4710</v>
      </c>
      <c r="E5452" s="140"/>
      <c r="F5452" s="140"/>
      <c r="G5452" s="140"/>
    </row>
    <row r="5453" spans="2:7" hidden="1">
      <c r="B5453" s="141" t="s">
        <v>14856</v>
      </c>
      <c r="C5453" s="140"/>
      <c r="D5453" s="141" t="s">
        <v>2560</v>
      </c>
      <c r="E5453" s="140"/>
      <c r="F5453" s="140"/>
      <c r="G5453" s="140"/>
    </row>
    <row r="5454" spans="2:7" hidden="1">
      <c r="B5454" s="141" t="s">
        <v>14857</v>
      </c>
      <c r="C5454" s="140"/>
      <c r="D5454" s="141" t="s">
        <v>14858</v>
      </c>
      <c r="E5454" s="140"/>
      <c r="F5454" s="140"/>
      <c r="G5454" s="140"/>
    </row>
    <row r="5455" spans="2:7" hidden="1">
      <c r="B5455" s="141" t="s">
        <v>14859</v>
      </c>
      <c r="C5455" s="140"/>
      <c r="D5455" s="141" t="s">
        <v>14860</v>
      </c>
      <c r="E5455" s="140"/>
      <c r="F5455" s="140"/>
      <c r="G5455" s="140"/>
    </row>
    <row r="5456" spans="2:7" hidden="1">
      <c r="B5456" s="141" t="s">
        <v>14861</v>
      </c>
      <c r="C5456" s="140"/>
      <c r="D5456" s="141" t="s">
        <v>998</v>
      </c>
      <c r="E5456" s="140"/>
      <c r="F5456" s="140"/>
      <c r="G5456" s="140"/>
    </row>
    <row r="5457" spans="2:7" hidden="1">
      <c r="B5457" s="141" t="s">
        <v>14862</v>
      </c>
      <c r="C5457" s="140"/>
      <c r="D5457" s="141" t="s">
        <v>14863</v>
      </c>
      <c r="E5457" s="140" t="s">
        <v>14864</v>
      </c>
      <c r="F5457" s="140" t="s">
        <v>14865</v>
      </c>
      <c r="G5457" s="140"/>
    </row>
    <row r="5458" spans="2:7" hidden="1">
      <c r="B5458" s="141" t="s">
        <v>14866</v>
      </c>
      <c r="C5458" s="140"/>
      <c r="D5458" s="141" t="s">
        <v>4192</v>
      </c>
      <c r="E5458" s="140"/>
      <c r="F5458" s="140"/>
      <c r="G5458" s="140"/>
    </row>
    <row r="5459" spans="2:7" hidden="1">
      <c r="B5459" s="141" t="s">
        <v>21877</v>
      </c>
      <c r="C5459" s="140"/>
      <c r="D5459" s="141" t="s">
        <v>1164</v>
      </c>
      <c r="E5459" s="140"/>
      <c r="F5459" s="140"/>
      <c r="G5459" s="140"/>
    </row>
    <row r="5460" spans="2:7" hidden="1">
      <c r="B5460" s="141" t="s">
        <v>14867</v>
      </c>
      <c r="C5460" s="140"/>
      <c r="D5460" s="141" t="s">
        <v>14868</v>
      </c>
      <c r="E5460" s="140"/>
      <c r="F5460" s="140"/>
      <c r="G5460" s="140"/>
    </row>
    <row r="5461" spans="2:7" hidden="1">
      <c r="B5461" s="141" t="s">
        <v>14869</v>
      </c>
      <c r="C5461" s="140" t="s">
        <v>14870</v>
      </c>
      <c r="D5461" s="141" t="s">
        <v>14871</v>
      </c>
      <c r="E5461" s="140"/>
      <c r="F5461" s="140"/>
      <c r="G5461" s="140"/>
    </row>
    <row r="5462" spans="2:7" hidden="1">
      <c r="B5462" s="141" t="s">
        <v>14872</v>
      </c>
      <c r="C5462" s="140"/>
      <c r="D5462" s="141" t="s">
        <v>14873</v>
      </c>
      <c r="E5462" s="140"/>
      <c r="F5462" s="140"/>
      <c r="G5462" s="140"/>
    </row>
    <row r="5463" spans="2:7" hidden="1">
      <c r="B5463" s="140" t="s">
        <v>14874</v>
      </c>
      <c r="C5463" s="140" t="s">
        <v>14875</v>
      </c>
      <c r="D5463" s="141" t="s">
        <v>4131</v>
      </c>
      <c r="E5463" s="140"/>
      <c r="F5463" s="140"/>
      <c r="G5463" s="140"/>
    </row>
    <row r="5464" spans="2:7" hidden="1">
      <c r="B5464" s="141" t="s">
        <v>14876</v>
      </c>
      <c r="C5464" s="140"/>
      <c r="D5464" s="141" t="s">
        <v>10963</v>
      </c>
      <c r="E5464" s="140"/>
      <c r="F5464" s="140"/>
      <c r="G5464" s="140"/>
    </row>
    <row r="5465" spans="2:7" hidden="1">
      <c r="B5465" s="141" t="s">
        <v>14877</v>
      </c>
      <c r="C5465" s="141"/>
      <c r="D5465" s="141" t="s">
        <v>14878</v>
      </c>
      <c r="E5465" s="141"/>
      <c r="F5465" s="141"/>
      <c r="G5465" s="140"/>
    </row>
    <row r="5466" spans="2:7" hidden="1">
      <c r="B5466" s="141" t="s">
        <v>14879</v>
      </c>
      <c r="C5466" s="141"/>
      <c r="D5466" s="141" t="s">
        <v>6495</v>
      </c>
      <c r="E5466" s="141"/>
      <c r="F5466" s="141"/>
      <c r="G5466" s="140"/>
    </row>
    <row r="5467" spans="2:7" hidden="1">
      <c r="B5467" s="141" t="s">
        <v>14880</v>
      </c>
      <c r="C5467" s="140"/>
      <c r="D5467" s="141" t="s">
        <v>14881</v>
      </c>
      <c r="E5467" s="140"/>
      <c r="F5467" s="140"/>
      <c r="G5467" s="140"/>
    </row>
    <row r="5468" spans="2:7" hidden="1">
      <c r="B5468" s="140" t="s">
        <v>14882</v>
      </c>
      <c r="C5468" s="140" t="s">
        <v>14883</v>
      </c>
      <c r="D5468" s="140" t="s">
        <v>14884</v>
      </c>
      <c r="E5468" s="142" t="s">
        <v>14885</v>
      </c>
      <c r="F5468" s="142" t="s">
        <v>14885</v>
      </c>
      <c r="G5468" s="140"/>
    </row>
    <row r="5469" spans="2:7" hidden="1">
      <c r="B5469" s="140" t="s">
        <v>14886</v>
      </c>
      <c r="C5469" s="140"/>
      <c r="D5469" s="140" t="s">
        <v>14887</v>
      </c>
      <c r="E5469" s="142"/>
      <c r="F5469" s="142"/>
      <c r="G5469" s="140"/>
    </row>
    <row r="5470" spans="2:7" hidden="1">
      <c r="B5470" s="140" t="s">
        <v>14888</v>
      </c>
      <c r="C5470" s="140"/>
      <c r="D5470" s="140" t="s">
        <v>5657</v>
      </c>
      <c r="E5470" s="142"/>
      <c r="F5470" s="142"/>
      <c r="G5470" s="140"/>
    </row>
    <row r="5471" spans="2:7" hidden="1">
      <c r="B5471" s="140" t="s">
        <v>21878</v>
      </c>
      <c r="C5471" s="140"/>
      <c r="D5471" s="140" t="s">
        <v>8370</v>
      </c>
      <c r="E5471" s="142"/>
      <c r="F5471" s="142"/>
      <c r="G5471" s="140"/>
    </row>
    <row r="5472" spans="2:7" hidden="1">
      <c r="B5472" s="141" t="s">
        <v>14889</v>
      </c>
      <c r="C5472" s="140"/>
      <c r="D5472" s="141" t="s">
        <v>14016</v>
      </c>
      <c r="E5472" s="140"/>
      <c r="F5472" s="140"/>
      <c r="G5472" s="140"/>
    </row>
    <row r="5473" spans="2:7" hidden="1">
      <c r="B5473" s="141" t="s">
        <v>14890</v>
      </c>
      <c r="C5473" s="140"/>
      <c r="D5473" s="141" t="s">
        <v>14891</v>
      </c>
      <c r="E5473" s="140"/>
      <c r="F5473" s="140"/>
      <c r="G5473" s="140"/>
    </row>
    <row r="5474" spans="2:7" hidden="1">
      <c r="B5474" s="141" t="s">
        <v>14892</v>
      </c>
      <c r="C5474" s="140"/>
      <c r="D5474" s="141" t="s">
        <v>14893</v>
      </c>
      <c r="E5474" s="140"/>
      <c r="F5474" s="140"/>
      <c r="G5474" s="140"/>
    </row>
    <row r="5475" spans="2:7" hidden="1">
      <c r="B5475" s="141" t="s">
        <v>14894</v>
      </c>
      <c r="C5475" s="140" t="s">
        <v>14895</v>
      </c>
      <c r="D5475" s="141" t="s">
        <v>14896</v>
      </c>
      <c r="E5475" s="140"/>
      <c r="F5475" s="140"/>
      <c r="G5475" s="140"/>
    </row>
    <row r="5476" spans="2:7" hidden="1">
      <c r="B5476" s="141" t="s">
        <v>14897</v>
      </c>
      <c r="C5476" s="140" t="s">
        <v>14898</v>
      </c>
      <c r="D5476" s="141" t="s">
        <v>14899</v>
      </c>
      <c r="E5476" s="140" t="s">
        <v>14900</v>
      </c>
      <c r="F5476" s="140" t="s">
        <v>14901</v>
      </c>
      <c r="G5476" s="140"/>
    </row>
    <row r="5477" spans="2:7" hidden="1">
      <c r="B5477" s="140" t="s">
        <v>21879</v>
      </c>
      <c r="C5477" s="140"/>
      <c r="D5477" s="140" t="s">
        <v>14902</v>
      </c>
      <c r="E5477" s="142"/>
      <c r="F5477" s="142"/>
      <c r="G5477" s="140"/>
    </row>
    <row r="5478" spans="2:7" hidden="1">
      <c r="B5478" s="141" t="s">
        <v>14903</v>
      </c>
      <c r="C5478" s="140"/>
      <c r="D5478" s="141" t="s">
        <v>1081</v>
      </c>
      <c r="E5478" s="140"/>
      <c r="F5478" s="140"/>
      <c r="G5478" s="140"/>
    </row>
    <row r="5479" spans="2:7" hidden="1">
      <c r="B5479" s="141" t="s">
        <v>14904</v>
      </c>
      <c r="C5479" s="140"/>
      <c r="D5479" s="141" t="s">
        <v>14061</v>
      </c>
      <c r="E5479" s="140"/>
      <c r="F5479" s="140"/>
      <c r="G5479" s="140"/>
    </row>
    <row r="5480" spans="2:7" hidden="1">
      <c r="B5480" s="140" t="s">
        <v>14905</v>
      </c>
      <c r="C5480" s="140"/>
      <c r="D5480" s="140" t="s">
        <v>14906</v>
      </c>
      <c r="E5480" s="140"/>
      <c r="F5480" s="140"/>
      <c r="G5480" s="140"/>
    </row>
    <row r="5481" spans="2:7" hidden="1">
      <c r="B5481" s="141" t="s">
        <v>14907</v>
      </c>
      <c r="C5481" s="140"/>
      <c r="D5481" s="141" t="s">
        <v>14908</v>
      </c>
      <c r="E5481" s="140"/>
      <c r="F5481" s="140"/>
      <c r="G5481" s="140"/>
    </row>
    <row r="5482" spans="2:7" hidden="1">
      <c r="B5482" s="140" t="s">
        <v>14909</v>
      </c>
      <c r="C5482" s="140"/>
      <c r="D5482" s="140" t="s">
        <v>14910</v>
      </c>
      <c r="E5482" s="142"/>
      <c r="F5482" s="142"/>
      <c r="G5482" s="140"/>
    </row>
    <row r="5483" spans="2:7" hidden="1">
      <c r="B5483" s="141" t="s">
        <v>14911</v>
      </c>
      <c r="C5483" s="140"/>
      <c r="D5483" s="141" t="s">
        <v>6930</v>
      </c>
      <c r="E5483" s="140"/>
      <c r="F5483" s="140"/>
      <c r="G5483" s="140"/>
    </row>
    <row r="5484" spans="2:7" hidden="1">
      <c r="B5484" s="141" t="s">
        <v>14912</v>
      </c>
      <c r="C5484" s="140"/>
      <c r="D5484" s="141" t="s">
        <v>7176</v>
      </c>
      <c r="E5484" s="140"/>
      <c r="F5484" s="140"/>
      <c r="G5484" s="140"/>
    </row>
    <row r="5485" spans="2:7" hidden="1">
      <c r="B5485" s="141" t="s">
        <v>14913</v>
      </c>
      <c r="C5485" s="140"/>
      <c r="D5485" s="141" t="s">
        <v>1421</v>
      </c>
      <c r="E5485" s="140"/>
      <c r="F5485" s="140"/>
      <c r="G5485" s="140"/>
    </row>
    <row r="5486" spans="2:7" hidden="1">
      <c r="B5486" s="141" t="s">
        <v>14914</v>
      </c>
      <c r="C5486" s="140"/>
      <c r="D5486" s="141" t="s">
        <v>14915</v>
      </c>
      <c r="E5486" s="140"/>
      <c r="F5486" s="140"/>
      <c r="G5486" s="140"/>
    </row>
    <row r="5487" spans="2:7" hidden="1">
      <c r="B5487" s="141" t="s">
        <v>14916</v>
      </c>
      <c r="C5487" s="140"/>
      <c r="D5487" s="141" t="s">
        <v>14917</v>
      </c>
      <c r="E5487" s="140"/>
      <c r="F5487" s="140"/>
      <c r="G5487" s="140"/>
    </row>
    <row r="5488" spans="2:7" hidden="1">
      <c r="B5488" s="141" t="s">
        <v>14918</v>
      </c>
      <c r="C5488" s="140"/>
      <c r="D5488" s="141" t="s">
        <v>14919</v>
      </c>
      <c r="E5488" s="140"/>
      <c r="F5488" s="140"/>
      <c r="G5488" s="140"/>
    </row>
    <row r="5489" spans="2:7" hidden="1">
      <c r="B5489" s="141" t="s">
        <v>14920</v>
      </c>
      <c r="C5489" s="140"/>
      <c r="D5489" s="141" t="s">
        <v>14921</v>
      </c>
      <c r="E5489" s="140"/>
      <c r="F5489" s="140"/>
      <c r="G5489" s="140"/>
    </row>
    <row r="5490" spans="2:7" hidden="1">
      <c r="B5490" s="141" t="s">
        <v>14922</v>
      </c>
      <c r="C5490" s="140"/>
      <c r="D5490" s="141" t="s">
        <v>14923</v>
      </c>
      <c r="E5490" s="140"/>
      <c r="F5490" s="140"/>
      <c r="G5490" s="140"/>
    </row>
    <row r="5491" spans="2:7" hidden="1">
      <c r="B5491" s="141" t="s">
        <v>14924</v>
      </c>
      <c r="C5491" s="140"/>
      <c r="D5491" s="141" t="s">
        <v>14925</v>
      </c>
      <c r="E5491" s="140"/>
      <c r="F5491" s="140"/>
      <c r="G5491" s="140"/>
    </row>
    <row r="5492" spans="2:7" hidden="1">
      <c r="B5492" s="141" t="s">
        <v>14926</v>
      </c>
      <c r="C5492" s="140"/>
      <c r="D5492" s="141" t="s">
        <v>2304</v>
      </c>
      <c r="E5492" s="140"/>
      <c r="F5492" s="140"/>
      <c r="G5492" s="140"/>
    </row>
    <row r="5493" spans="2:7" hidden="1">
      <c r="B5493" s="141" t="s">
        <v>14927</v>
      </c>
      <c r="C5493" s="140"/>
      <c r="D5493" s="141" t="s">
        <v>14928</v>
      </c>
      <c r="E5493" s="140"/>
      <c r="F5493" s="140"/>
      <c r="G5493" s="140"/>
    </row>
    <row r="5494" spans="2:7" hidden="1">
      <c r="B5494" s="141" t="s">
        <v>14929</v>
      </c>
      <c r="C5494" s="140" t="s">
        <v>14930</v>
      </c>
      <c r="D5494" s="141" t="s">
        <v>2168</v>
      </c>
      <c r="E5494" s="140" t="s">
        <v>14931</v>
      </c>
      <c r="F5494" s="140" t="s">
        <v>14932</v>
      </c>
      <c r="G5494" s="140"/>
    </row>
    <row r="5495" spans="2:7" hidden="1">
      <c r="B5495" s="141" t="s">
        <v>14933</v>
      </c>
      <c r="C5495" s="140"/>
      <c r="D5495" s="141" t="s">
        <v>14934</v>
      </c>
      <c r="E5495" s="140"/>
      <c r="F5495" s="140"/>
      <c r="G5495" s="140"/>
    </row>
    <row r="5496" spans="2:7" hidden="1">
      <c r="B5496" s="141" t="s">
        <v>14935</v>
      </c>
      <c r="C5496" s="140"/>
      <c r="D5496" s="141" t="s">
        <v>14936</v>
      </c>
      <c r="E5496" s="140"/>
      <c r="F5496" s="140"/>
      <c r="G5496" s="140"/>
    </row>
    <row r="5497" spans="2:7" hidden="1">
      <c r="B5497" s="141" t="s">
        <v>14937</v>
      </c>
      <c r="C5497" s="140"/>
      <c r="D5497" s="141" t="s">
        <v>4942</v>
      </c>
      <c r="E5497" s="140"/>
      <c r="F5497" s="140"/>
      <c r="G5497" s="140"/>
    </row>
    <row r="5498" spans="2:7" hidden="1">
      <c r="B5498" s="141" t="s">
        <v>14938</v>
      </c>
      <c r="C5498" s="140"/>
      <c r="D5498" s="141" t="s">
        <v>14609</v>
      </c>
      <c r="E5498" s="140"/>
      <c r="F5498" s="140"/>
      <c r="G5498" s="140"/>
    </row>
    <row r="5499" spans="2:7" hidden="1">
      <c r="B5499" s="141" t="s">
        <v>14939</v>
      </c>
      <c r="C5499" s="140"/>
      <c r="D5499" s="141" t="s">
        <v>14940</v>
      </c>
      <c r="E5499" s="140"/>
      <c r="F5499" s="140"/>
      <c r="G5499" s="140"/>
    </row>
    <row r="5500" spans="2:7" hidden="1">
      <c r="B5500" s="141" t="s">
        <v>14941</v>
      </c>
      <c r="C5500" s="140"/>
      <c r="D5500" s="141" t="s">
        <v>14942</v>
      </c>
      <c r="E5500" s="140"/>
      <c r="F5500" s="140"/>
      <c r="G5500" s="140"/>
    </row>
    <row r="5501" spans="2:7" hidden="1">
      <c r="B5501" s="141" t="s">
        <v>14943</v>
      </c>
      <c r="C5501" s="140" t="s">
        <v>14944</v>
      </c>
      <c r="D5501" s="141" t="s">
        <v>7289</v>
      </c>
      <c r="E5501" s="140"/>
      <c r="F5501" s="140"/>
      <c r="G5501" s="140"/>
    </row>
    <row r="5502" spans="2:7" hidden="1">
      <c r="B5502" s="141" t="s">
        <v>14945</v>
      </c>
      <c r="C5502" s="140"/>
      <c r="D5502" s="141" t="s">
        <v>11628</v>
      </c>
      <c r="E5502" s="140"/>
      <c r="F5502" s="140"/>
      <c r="G5502" s="140"/>
    </row>
    <row r="5503" spans="2:7" hidden="1">
      <c r="B5503" s="141" t="s">
        <v>14946</v>
      </c>
      <c r="C5503" s="141"/>
      <c r="D5503" s="141" t="s">
        <v>4565</v>
      </c>
      <c r="E5503" s="141"/>
      <c r="F5503" s="141"/>
      <c r="G5503" s="140"/>
    </row>
    <row r="5504" spans="2:7" hidden="1">
      <c r="B5504" s="141" t="s">
        <v>14947</v>
      </c>
      <c r="C5504" s="140" t="s">
        <v>14948</v>
      </c>
      <c r="D5504" s="140" t="s">
        <v>6096</v>
      </c>
      <c r="E5504" s="140"/>
      <c r="F5504" s="140"/>
      <c r="G5504" s="140"/>
    </row>
    <row r="5505" spans="2:7" hidden="1">
      <c r="B5505" s="141" t="s">
        <v>14949</v>
      </c>
      <c r="C5505" s="140" t="s">
        <v>14950</v>
      </c>
      <c r="D5505" s="141" t="s">
        <v>14951</v>
      </c>
      <c r="E5505" s="140" t="s">
        <v>14952</v>
      </c>
      <c r="F5505" s="140" t="s">
        <v>14953</v>
      </c>
      <c r="G5505" s="140"/>
    </row>
    <row r="5506" spans="2:7" hidden="1">
      <c r="B5506" s="141" t="s">
        <v>14954</v>
      </c>
      <c r="C5506" s="140"/>
      <c r="D5506" s="141" t="s">
        <v>4997</v>
      </c>
      <c r="E5506" s="140"/>
      <c r="F5506" s="140"/>
      <c r="G5506" s="140"/>
    </row>
    <row r="5507" spans="2:7" hidden="1">
      <c r="B5507" s="141" t="s">
        <v>14955</v>
      </c>
      <c r="C5507" s="140"/>
      <c r="D5507" s="141" t="s">
        <v>14956</v>
      </c>
      <c r="E5507" s="140"/>
      <c r="F5507" s="140"/>
      <c r="G5507" s="140"/>
    </row>
    <row r="5508" spans="2:7" hidden="1">
      <c r="B5508" s="141" t="s">
        <v>14957</v>
      </c>
      <c r="C5508" s="141"/>
      <c r="D5508" s="141" t="s">
        <v>14958</v>
      </c>
      <c r="E5508" s="141"/>
      <c r="F5508" s="141"/>
      <c r="G5508" s="140"/>
    </row>
    <row r="5509" spans="2:7" hidden="1">
      <c r="B5509" s="141" t="s">
        <v>14959</v>
      </c>
      <c r="C5509" s="140"/>
      <c r="D5509" s="141" t="s">
        <v>14960</v>
      </c>
      <c r="E5509" s="140" t="s">
        <v>14961</v>
      </c>
      <c r="F5509" s="140"/>
      <c r="G5509" s="140"/>
    </row>
    <row r="5510" spans="2:7" hidden="1">
      <c r="B5510" s="140" t="s">
        <v>14962</v>
      </c>
      <c r="C5510" s="140"/>
      <c r="D5510" s="140" t="s">
        <v>2313</v>
      </c>
      <c r="E5510" s="142"/>
      <c r="F5510" s="142"/>
      <c r="G5510" s="140"/>
    </row>
    <row r="5511" spans="2:7" hidden="1">
      <c r="B5511" s="140" t="s">
        <v>21880</v>
      </c>
      <c r="C5511" s="140"/>
      <c r="D5511" s="140" t="s">
        <v>2313</v>
      </c>
      <c r="E5511" s="142"/>
      <c r="F5511" s="142"/>
      <c r="G5511" s="140"/>
    </row>
    <row r="5512" spans="2:7" hidden="1">
      <c r="B5512" s="141" t="s">
        <v>14963</v>
      </c>
      <c r="C5512" s="140" t="s">
        <v>14964</v>
      </c>
      <c r="D5512" s="141" t="s">
        <v>14965</v>
      </c>
      <c r="E5512" s="140" t="s">
        <v>14966</v>
      </c>
      <c r="F5512" s="140" t="s">
        <v>14967</v>
      </c>
      <c r="G5512" s="140"/>
    </row>
    <row r="5513" spans="2:7" hidden="1">
      <c r="B5513" s="140" t="s">
        <v>21329</v>
      </c>
      <c r="C5513" s="140" t="s">
        <v>21328</v>
      </c>
      <c r="D5513" s="140" t="s">
        <v>21327</v>
      </c>
      <c r="E5513" s="142" t="s">
        <v>21326</v>
      </c>
      <c r="F5513" s="142"/>
      <c r="G5513" s="140"/>
    </row>
    <row r="5514" spans="2:7" hidden="1">
      <c r="B5514" s="141" t="s">
        <v>14968</v>
      </c>
      <c r="C5514" s="140"/>
      <c r="D5514" s="141" t="s">
        <v>14969</v>
      </c>
      <c r="E5514" s="140"/>
      <c r="F5514" s="140"/>
      <c r="G5514" s="140"/>
    </row>
    <row r="5515" spans="2:7" hidden="1">
      <c r="B5515" s="141" t="s">
        <v>14970</v>
      </c>
      <c r="C5515" s="140"/>
      <c r="D5515" s="141" t="s">
        <v>14971</v>
      </c>
      <c r="E5515" s="140"/>
      <c r="F5515" s="140"/>
      <c r="G5515" s="140"/>
    </row>
    <row r="5516" spans="2:7" hidden="1">
      <c r="B5516" s="140" t="s">
        <v>14972</v>
      </c>
      <c r="C5516" s="140"/>
      <c r="D5516" s="140" t="s">
        <v>14973</v>
      </c>
      <c r="E5516" s="140"/>
      <c r="F5516" s="140"/>
      <c r="G5516" s="140"/>
    </row>
    <row r="5517" spans="2:7" hidden="1">
      <c r="B5517" s="141" t="s">
        <v>14974</v>
      </c>
      <c r="C5517" s="141"/>
      <c r="D5517" s="141" t="s">
        <v>11029</v>
      </c>
      <c r="E5517" s="141"/>
      <c r="F5517" s="141"/>
      <c r="G5517" s="140"/>
    </row>
    <row r="5518" spans="2:7" hidden="1">
      <c r="B5518" s="141" t="s">
        <v>21881</v>
      </c>
      <c r="C5518" s="140" t="s">
        <v>14975</v>
      </c>
      <c r="D5518" s="141" t="s">
        <v>1354</v>
      </c>
      <c r="E5518" s="140" t="s">
        <v>14976</v>
      </c>
      <c r="F5518" s="140" t="s">
        <v>14977</v>
      </c>
      <c r="G5518" s="140"/>
    </row>
    <row r="5519" spans="2:7" hidden="1">
      <c r="B5519" s="140" t="s">
        <v>14978</v>
      </c>
      <c r="C5519" s="140"/>
      <c r="D5519" s="140"/>
      <c r="E5519" s="142" t="s">
        <v>14979</v>
      </c>
      <c r="F5519" s="142" t="s">
        <v>14980</v>
      </c>
      <c r="G5519" s="140" t="s">
        <v>14981</v>
      </c>
    </row>
    <row r="5520" spans="2:7" hidden="1">
      <c r="B5520" s="140" t="s">
        <v>14982</v>
      </c>
      <c r="C5520" s="140"/>
      <c r="D5520" s="140" t="s">
        <v>14713</v>
      </c>
      <c r="E5520" s="142"/>
      <c r="F5520" s="142"/>
      <c r="G5520" s="140"/>
    </row>
    <row r="5521" spans="2:7" hidden="1">
      <c r="B5521" s="140" t="s">
        <v>14983</v>
      </c>
      <c r="C5521" s="140" t="s">
        <v>14984</v>
      </c>
      <c r="D5521" s="140" t="s">
        <v>14985</v>
      </c>
      <c r="E5521" s="142"/>
      <c r="F5521" s="142"/>
      <c r="G5521" s="140"/>
    </row>
    <row r="5522" spans="2:7" hidden="1">
      <c r="B5522" s="141" t="s">
        <v>14986</v>
      </c>
      <c r="C5522" s="140" t="s">
        <v>14987</v>
      </c>
      <c r="D5522" s="141" t="s">
        <v>14988</v>
      </c>
      <c r="E5522" s="140"/>
      <c r="F5522" s="140"/>
      <c r="G5522" s="140"/>
    </row>
    <row r="5523" spans="2:7" hidden="1">
      <c r="B5523" s="141" t="s">
        <v>14989</v>
      </c>
      <c r="C5523" s="140"/>
      <c r="D5523" s="141" t="s">
        <v>2793</v>
      </c>
      <c r="E5523" s="140"/>
      <c r="F5523" s="140"/>
      <c r="G5523" s="140"/>
    </row>
    <row r="5524" spans="2:7" hidden="1">
      <c r="B5524" s="141" t="s">
        <v>21882</v>
      </c>
      <c r="C5524" s="140" t="s">
        <v>14990</v>
      </c>
      <c r="D5524" s="141" t="s">
        <v>4695</v>
      </c>
      <c r="E5524" s="140"/>
      <c r="F5524" s="140"/>
      <c r="G5524" s="140"/>
    </row>
    <row r="5525" spans="2:7" hidden="1">
      <c r="B5525" s="141" t="s">
        <v>14991</v>
      </c>
      <c r="C5525" s="140"/>
      <c r="D5525" s="141" t="s">
        <v>14992</v>
      </c>
      <c r="E5525" s="140"/>
      <c r="F5525" s="140"/>
      <c r="G5525" s="140"/>
    </row>
    <row r="5526" spans="2:7" hidden="1">
      <c r="B5526" s="141" t="s">
        <v>14993</v>
      </c>
      <c r="C5526" s="140" t="s">
        <v>14994</v>
      </c>
      <c r="D5526" s="141" t="s">
        <v>8266</v>
      </c>
      <c r="E5526" s="140" t="s">
        <v>14995</v>
      </c>
      <c r="F5526" s="140" t="s">
        <v>14996</v>
      </c>
      <c r="G5526" s="140"/>
    </row>
    <row r="5527" spans="2:7" hidden="1">
      <c r="B5527" s="141" t="s">
        <v>14997</v>
      </c>
      <c r="C5527" s="140" t="s">
        <v>14998</v>
      </c>
      <c r="D5527" s="141" t="s">
        <v>4131</v>
      </c>
      <c r="E5527" s="141"/>
      <c r="F5527" s="140"/>
      <c r="G5527" s="140"/>
    </row>
    <row r="5528" spans="2:7" hidden="1">
      <c r="B5528" s="141" t="s">
        <v>14999</v>
      </c>
      <c r="C5528" s="141"/>
      <c r="D5528" s="141" t="s">
        <v>15000</v>
      </c>
      <c r="E5528" s="141"/>
      <c r="F5528" s="140"/>
      <c r="G5528" s="140"/>
    </row>
    <row r="5529" spans="2:7" hidden="1">
      <c r="B5529" s="141" t="s">
        <v>15001</v>
      </c>
      <c r="C5529" s="140"/>
      <c r="D5529" s="141" t="s">
        <v>15002</v>
      </c>
      <c r="E5529" s="140"/>
      <c r="F5529" s="140"/>
      <c r="G5529" s="140"/>
    </row>
    <row r="5530" spans="2:7" hidden="1">
      <c r="B5530" s="140" t="s">
        <v>15003</v>
      </c>
      <c r="C5530" s="140"/>
      <c r="D5530" s="140" t="s">
        <v>15004</v>
      </c>
      <c r="E5530" s="140"/>
      <c r="F5530" s="140"/>
      <c r="G5530" s="140"/>
    </row>
    <row r="5531" spans="2:7" hidden="1">
      <c r="B5531" s="141" t="s">
        <v>15005</v>
      </c>
      <c r="C5531" s="141"/>
      <c r="D5531" s="141" t="s">
        <v>15006</v>
      </c>
      <c r="E5531" s="141"/>
      <c r="F5531" s="140"/>
      <c r="G5531" s="140"/>
    </row>
    <row r="5532" spans="2:7" hidden="1">
      <c r="B5532" s="141" t="s">
        <v>15007</v>
      </c>
      <c r="C5532" s="140" t="s">
        <v>15008</v>
      </c>
      <c r="D5532" s="141" t="s">
        <v>1213</v>
      </c>
      <c r="E5532" s="140" t="s">
        <v>15009</v>
      </c>
      <c r="F5532" s="140" t="s">
        <v>15010</v>
      </c>
      <c r="G5532" s="140"/>
    </row>
    <row r="5533" spans="2:7" hidden="1">
      <c r="B5533" s="141" t="s">
        <v>15011</v>
      </c>
      <c r="C5533" s="140"/>
      <c r="D5533" s="141" t="s">
        <v>15012</v>
      </c>
      <c r="E5533" s="140"/>
      <c r="F5533" s="140"/>
      <c r="G5533" s="140"/>
    </row>
    <row r="5534" spans="2:7" hidden="1">
      <c r="B5534" s="141" t="s">
        <v>15013</v>
      </c>
      <c r="C5534" s="140"/>
      <c r="D5534" s="141" t="s">
        <v>15014</v>
      </c>
      <c r="E5534" s="140"/>
      <c r="F5534" s="140"/>
      <c r="G5534" s="140"/>
    </row>
    <row r="5535" spans="2:7" hidden="1">
      <c r="B5535" s="141" t="s">
        <v>15015</v>
      </c>
      <c r="C5535" s="140"/>
      <c r="D5535" s="141" t="s">
        <v>1187</v>
      </c>
      <c r="E5535" s="140"/>
      <c r="F5535" s="140"/>
      <c r="G5535" s="140"/>
    </row>
    <row r="5536" spans="2:7" hidden="1">
      <c r="B5536" s="141" t="s">
        <v>15016</v>
      </c>
      <c r="C5536" s="140"/>
      <c r="D5536" s="141" t="s">
        <v>15017</v>
      </c>
      <c r="E5536" s="140"/>
      <c r="F5536" s="140"/>
      <c r="G5536" s="140"/>
    </row>
    <row r="5537" spans="2:7" hidden="1">
      <c r="B5537" s="141" t="s">
        <v>15018</v>
      </c>
      <c r="C5537" s="140"/>
      <c r="D5537" s="141" t="s">
        <v>15019</v>
      </c>
      <c r="E5537" s="140"/>
      <c r="F5537" s="140"/>
      <c r="G5537" s="140"/>
    </row>
    <row r="5538" spans="2:7" hidden="1">
      <c r="B5538" s="141" t="s">
        <v>15020</v>
      </c>
      <c r="C5538" s="140"/>
      <c r="D5538" s="141" t="s">
        <v>15021</v>
      </c>
      <c r="E5538" s="140"/>
      <c r="F5538" s="140"/>
      <c r="G5538" s="140"/>
    </row>
    <row r="5539" spans="2:7" hidden="1">
      <c r="B5539" s="141" t="s">
        <v>15022</v>
      </c>
      <c r="C5539" s="140" t="s">
        <v>15023</v>
      </c>
      <c r="D5539" s="141" t="s">
        <v>15024</v>
      </c>
      <c r="E5539" s="140" t="s">
        <v>15025</v>
      </c>
      <c r="F5539" s="140" t="s">
        <v>15026</v>
      </c>
      <c r="G5539" s="140"/>
    </row>
    <row r="5540" spans="2:7" hidden="1">
      <c r="B5540" s="141" t="s">
        <v>15027</v>
      </c>
      <c r="C5540" s="140" t="s">
        <v>15028</v>
      </c>
      <c r="D5540" s="141" t="s">
        <v>5116</v>
      </c>
      <c r="E5540" s="140"/>
      <c r="F5540" s="140"/>
      <c r="G5540" s="140"/>
    </row>
    <row r="5541" spans="2:7" hidden="1">
      <c r="B5541" s="141" t="s">
        <v>15029</v>
      </c>
      <c r="C5541" s="140"/>
      <c r="D5541" s="141" t="s">
        <v>15030</v>
      </c>
      <c r="E5541" s="140"/>
      <c r="F5541" s="140"/>
      <c r="G5541" s="140"/>
    </row>
    <row r="5542" spans="2:7" hidden="1">
      <c r="B5542" s="141" t="s">
        <v>15031</v>
      </c>
      <c r="C5542" s="140"/>
      <c r="D5542" s="141" t="s">
        <v>15032</v>
      </c>
      <c r="E5542" s="140"/>
      <c r="F5542" s="140"/>
      <c r="G5542" s="140"/>
    </row>
    <row r="5543" spans="2:7" hidden="1">
      <c r="B5543" s="141" t="s">
        <v>15033</v>
      </c>
      <c r="C5543" s="140"/>
      <c r="D5543" s="141" t="s">
        <v>15034</v>
      </c>
      <c r="E5543" s="140"/>
      <c r="F5543" s="140"/>
      <c r="G5543" s="140"/>
    </row>
    <row r="5544" spans="2:7" hidden="1">
      <c r="B5544" s="140" t="s">
        <v>15035</v>
      </c>
      <c r="C5544" s="140" t="s">
        <v>15036</v>
      </c>
      <c r="D5544" s="140" t="s">
        <v>15037</v>
      </c>
      <c r="E5544" s="142" t="s">
        <v>15038</v>
      </c>
      <c r="F5544" s="142" t="s">
        <v>15039</v>
      </c>
      <c r="G5544" s="140"/>
    </row>
    <row r="5545" spans="2:7" hidden="1">
      <c r="B5545" s="141" t="s">
        <v>15040</v>
      </c>
      <c r="C5545" s="140"/>
      <c r="D5545" s="141" t="s">
        <v>5709</v>
      </c>
      <c r="E5545" s="140"/>
      <c r="F5545" s="140"/>
      <c r="G5545" s="140"/>
    </row>
    <row r="5546" spans="2:7" hidden="1">
      <c r="B5546" s="141" t="s">
        <v>15041</v>
      </c>
      <c r="C5546" s="140" t="s">
        <v>15042</v>
      </c>
      <c r="D5546" s="141" t="s">
        <v>2518</v>
      </c>
      <c r="E5546" s="140" t="s">
        <v>15043</v>
      </c>
      <c r="F5546" s="140" t="s">
        <v>15044</v>
      </c>
      <c r="G5546" s="140"/>
    </row>
    <row r="5547" spans="2:7" hidden="1">
      <c r="B5547" s="141" t="s">
        <v>15045</v>
      </c>
      <c r="C5547" s="140"/>
      <c r="D5547" s="141" t="s">
        <v>15046</v>
      </c>
      <c r="E5547" s="140"/>
      <c r="F5547" s="140"/>
      <c r="G5547" s="140"/>
    </row>
    <row r="5548" spans="2:7" hidden="1">
      <c r="B5548" s="141" t="s">
        <v>15047</v>
      </c>
      <c r="C5548" s="140"/>
      <c r="D5548" s="141" t="s">
        <v>7965</v>
      </c>
      <c r="E5548" s="140"/>
      <c r="F5548" s="140"/>
      <c r="G5548" s="140"/>
    </row>
    <row r="5549" spans="2:7" hidden="1">
      <c r="B5549" s="141" t="s">
        <v>15048</v>
      </c>
      <c r="C5549" s="140"/>
      <c r="D5549" s="141" t="s">
        <v>15049</v>
      </c>
      <c r="E5549" s="140"/>
      <c r="F5549" s="140"/>
      <c r="G5549" s="140"/>
    </row>
    <row r="5550" spans="2:7" hidden="1">
      <c r="B5550" s="141" t="s">
        <v>15050</v>
      </c>
      <c r="C5550" s="140"/>
      <c r="D5550" s="141" t="s">
        <v>15051</v>
      </c>
      <c r="E5550" s="140"/>
      <c r="F5550" s="140"/>
      <c r="G5550" s="140"/>
    </row>
    <row r="5551" spans="2:7" hidden="1">
      <c r="B5551" s="141" t="s">
        <v>15052</v>
      </c>
      <c r="C5551" s="140"/>
      <c r="D5551" s="141" t="s">
        <v>15053</v>
      </c>
      <c r="E5551" s="140"/>
      <c r="F5551" s="140"/>
      <c r="G5551" s="140"/>
    </row>
    <row r="5552" spans="2:7" hidden="1">
      <c r="B5552" s="141" t="s">
        <v>15054</v>
      </c>
      <c r="C5552" s="141"/>
      <c r="D5552" s="141" t="s">
        <v>15055</v>
      </c>
      <c r="E5552" s="141"/>
      <c r="F5552" s="141"/>
      <c r="G5552" s="140"/>
    </row>
    <row r="5553" spans="2:7" hidden="1">
      <c r="B5553" s="141" t="s">
        <v>21883</v>
      </c>
      <c r="C5553" s="140"/>
      <c r="D5553" s="141" t="s">
        <v>15056</v>
      </c>
      <c r="E5553" s="140"/>
      <c r="F5553" s="140"/>
      <c r="G5553" s="140"/>
    </row>
    <row r="5554" spans="2:7" hidden="1">
      <c r="B5554" s="140" t="s">
        <v>15057</v>
      </c>
      <c r="C5554" s="140"/>
      <c r="D5554" s="140" t="s">
        <v>15058</v>
      </c>
      <c r="E5554" s="142"/>
      <c r="F5554" s="142"/>
      <c r="G5554" s="140"/>
    </row>
    <row r="5555" spans="2:7" hidden="1">
      <c r="B5555" s="140" t="s">
        <v>15059</v>
      </c>
      <c r="C5555" s="140"/>
      <c r="D5555" s="140" t="s">
        <v>15060</v>
      </c>
      <c r="E5555" s="140"/>
      <c r="F5555" s="140"/>
      <c r="G5555" s="140"/>
    </row>
    <row r="5556" spans="2:7" hidden="1">
      <c r="B5556" s="141" t="s">
        <v>15061</v>
      </c>
      <c r="C5556" s="140"/>
      <c r="D5556" s="141" t="s">
        <v>15062</v>
      </c>
      <c r="E5556" s="140"/>
      <c r="F5556" s="140"/>
      <c r="G5556" s="140"/>
    </row>
    <row r="5557" spans="2:7" hidden="1">
      <c r="B5557" s="141" t="s">
        <v>15063</v>
      </c>
      <c r="C5557" s="140" t="s">
        <v>15064</v>
      </c>
      <c r="D5557" s="141" t="s">
        <v>15065</v>
      </c>
      <c r="E5557" s="140" t="s">
        <v>15066</v>
      </c>
      <c r="F5557" s="140" t="s">
        <v>15067</v>
      </c>
      <c r="G5557" s="140"/>
    </row>
    <row r="5558" spans="2:7" hidden="1">
      <c r="B5558" s="141" t="s">
        <v>15068</v>
      </c>
      <c r="C5558" s="140"/>
      <c r="D5558" s="141" t="s">
        <v>8131</v>
      </c>
      <c r="E5558" s="140"/>
      <c r="F5558" s="140"/>
      <c r="G5558" s="140"/>
    </row>
    <row r="5559" spans="2:7" hidden="1">
      <c r="B5559" s="141" t="s">
        <v>15069</v>
      </c>
      <c r="C5559" s="140" t="s">
        <v>15070</v>
      </c>
      <c r="D5559" s="141" t="s">
        <v>8523</v>
      </c>
      <c r="E5559" s="140"/>
      <c r="F5559" s="140"/>
      <c r="G5559" s="140"/>
    </row>
    <row r="5560" spans="2:7" hidden="1">
      <c r="B5560" s="141" t="s">
        <v>15071</v>
      </c>
      <c r="C5560" s="140"/>
      <c r="D5560" s="141" t="s">
        <v>14365</v>
      </c>
      <c r="E5560" s="140"/>
      <c r="F5560" s="140"/>
      <c r="G5560" s="140"/>
    </row>
    <row r="5561" spans="2:7" hidden="1">
      <c r="B5561" s="141" t="s">
        <v>15072</v>
      </c>
      <c r="C5561" s="140" t="s">
        <v>15073</v>
      </c>
      <c r="D5561" s="141" t="s">
        <v>15074</v>
      </c>
      <c r="E5561" s="140"/>
      <c r="F5561" s="140"/>
      <c r="G5561" s="140"/>
    </row>
    <row r="5562" spans="2:7" hidden="1">
      <c r="B5562" s="141" t="s">
        <v>15075</v>
      </c>
      <c r="C5562" s="141"/>
      <c r="D5562" s="141" t="s">
        <v>8796</v>
      </c>
      <c r="E5562" s="141"/>
      <c r="F5562" s="141"/>
      <c r="G5562" s="140"/>
    </row>
    <row r="5563" spans="2:7" hidden="1">
      <c r="B5563" s="141" t="s">
        <v>15076</v>
      </c>
      <c r="C5563" s="140"/>
      <c r="D5563" s="141" t="s">
        <v>15077</v>
      </c>
      <c r="E5563" s="140"/>
      <c r="F5563" s="140"/>
      <c r="G5563" s="140"/>
    </row>
    <row r="5564" spans="2:7" hidden="1">
      <c r="B5564" s="141" t="s">
        <v>15078</v>
      </c>
      <c r="C5564" s="140"/>
      <c r="D5564" s="141" t="s">
        <v>15079</v>
      </c>
      <c r="E5564" s="140"/>
      <c r="F5564" s="140"/>
      <c r="G5564" s="140"/>
    </row>
    <row r="5565" spans="2:7" hidden="1">
      <c r="B5565" s="141" t="s">
        <v>15080</v>
      </c>
      <c r="C5565" s="140"/>
      <c r="D5565" s="141" t="s">
        <v>9488</v>
      </c>
      <c r="E5565" s="140"/>
      <c r="F5565" s="140"/>
      <c r="G5565" s="140"/>
    </row>
    <row r="5566" spans="2:7" hidden="1">
      <c r="B5566" s="140" t="s">
        <v>15081</v>
      </c>
      <c r="C5566" s="140"/>
      <c r="D5566" s="140" t="s">
        <v>15082</v>
      </c>
      <c r="E5566" s="142"/>
      <c r="F5566" s="142"/>
      <c r="G5566" s="140"/>
    </row>
    <row r="5567" spans="2:7" hidden="1">
      <c r="B5567" s="141" t="s">
        <v>15083</v>
      </c>
      <c r="C5567" s="141"/>
      <c r="D5567" s="141" t="s">
        <v>2962</v>
      </c>
      <c r="E5567" s="141"/>
      <c r="F5567" s="141"/>
      <c r="G5567" s="140"/>
    </row>
    <row r="5568" spans="2:7" hidden="1">
      <c r="B5568" s="141" t="s">
        <v>15084</v>
      </c>
      <c r="C5568" s="140"/>
      <c r="D5568" s="141" t="s">
        <v>15085</v>
      </c>
      <c r="E5568" s="140"/>
      <c r="F5568" s="140"/>
      <c r="G5568" s="140"/>
    </row>
    <row r="5569" spans="2:7" hidden="1">
      <c r="B5569" s="141" t="s">
        <v>15086</v>
      </c>
      <c r="C5569" s="140"/>
      <c r="D5569" s="141" t="s">
        <v>15087</v>
      </c>
      <c r="E5569" s="140"/>
      <c r="F5569" s="140"/>
      <c r="G5569" s="140"/>
    </row>
    <row r="5570" spans="2:7" hidden="1">
      <c r="B5570" s="141" t="s">
        <v>15088</v>
      </c>
      <c r="C5570" s="140"/>
      <c r="D5570" s="141" t="s">
        <v>9324</v>
      </c>
      <c r="E5570" s="140"/>
      <c r="F5570" s="140"/>
      <c r="G5570" s="140"/>
    </row>
    <row r="5571" spans="2:7" hidden="1">
      <c r="B5571" s="141" t="s">
        <v>15089</v>
      </c>
      <c r="C5571" s="140" t="s">
        <v>15090</v>
      </c>
      <c r="D5571" s="141" t="s">
        <v>15091</v>
      </c>
      <c r="E5571" s="140" t="s">
        <v>15092</v>
      </c>
      <c r="F5571" s="140" t="s">
        <v>15093</v>
      </c>
      <c r="G5571" s="140"/>
    </row>
    <row r="5572" spans="2:7" hidden="1">
      <c r="B5572" s="141" t="s">
        <v>15094</v>
      </c>
      <c r="C5572" s="140"/>
      <c r="D5572" s="141" t="s">
        <v>15095</v>
      </c>
      <c r="E5572" s="140"/>
      <c r="F5572" s="140"/>
      <c r="G5572" s="140"/>
    </row>
    <row r="5573" spans="2:7" hidden="1">
      <c r="B5573" s="140" t="s">
        <v>15096</v>
      </c>
      <c r="C5573" s="140" t="s">
        <v>15097</v>
      </c>
      <c r="D5573" s="140" t="s">
        <v>3905</v>
      </c>
      <c r="E5573" s="142" t="s">
        <v>15098</v>
      </c>
      <c r="F5573" s="142" t="s">
        <v>15099</v>
      </c>
      <c r="G5573" s="140"/>
    </row>
    <row r="5574" spans="2:7" hidden="1">
      <c r="B5574" s="141" t="s">
        <v>15100</v>
      </c>
      <c r="C5574" s="140"/>
      <c r="D5574" s="141" t="s">
        <v>15101</v>
      </c>
      <c r="E5574" s="140"/>
      <c r="F5574" s="140"/>
      <c r="G5574" s="140"/>
    </row>
    <row r="5575" spans="2:7" hidden="1">
      <c r="B5575" s="140" t="s">
        <v>15102</v>
      </c>
      <c r="C5575" s="140"/>
      <c r="D5575" s="140" t="s">
        <v>15103</v>
      </c>
      <c r="E5575" s="142"/>
      <c r="F5575" s="142"/>
      <c r="G5575" s="140"/>
    </row>
    <row r="5576" spans="2:7" hidden="1">
      <c r="B5576" s="141" t="s">
        <v>15104</v>
      </c>
      <c r="C5576" s="140"/>
      <c r="D5576" s="141" t="s">
        <v>9377</v>
      </c>
      <c r="E5576" s="140"/>
      <c r="F5576" s="140"/>
      <c r="G5576" s="140"/>
    </row>
    <row r="5577" spans="2:7" hidden="1">
      <c r="B5577" s="141" t="s">
        <v>15105</v>
      </c>
      <c r="C5577" s="140" t="s">
        <v>15106</v>
      </c>
      <c r="D5577" s="141" t="s">
        <v>15107</v>
      </c>
      <c r="E5577" s="140" t="s">
        <v>15108</v>
      </c>
      <c r="F5577" s="140" t="s">
        <v>15109</v>
      </c>
      <c r="G5577" s="140"/>
    </row>
    <row r="5578" spans="2:7" hidden="1">
      <c r="B5578" s="141" t="s">
        <v>15110</v>
      </c>
      <c r="C5578" s="140"/>
      <c r="D5578" s="141" t="s">
        <v>15111</v>
      </c>
      <c r="E5578" s="140"/>
      <c r="F5578" s="140"/>
      <c r="G5578" s="140"/>
    </row>
    <row r="5579" spans="2:7" hidden="1">
      <c r="B5579" s="141" t="s">
        <v>15112</v>
      </c>
      <c r="C5579" s="140"/>
      <c r="D5579" s="141" t="s">
        <v>15021</v>
      </c>
      <c r="E5579" s="140"/>
      <c r="F5579" s="140"/>
      <c r="G5579" s="140"/>
    </row>
    <row r="5580" spans="2:7" hidden="1">
      <c r="B5580" s="141" t="s">
        <v>15113</v>
      </c>
      <c r="C5580" s="141" t="s">
        <v>15114</v>
      </c>
      <c r="D5580" s="141" t="s">
        <v>13913</v>
      </c>
      <c r="E5580" s="141"/>
      <c r="F5580" s="141"/>
      <c r="G5580" s="140"/>
    </row>
    <row r="5581" spans="2:7" hidden="1">
      <c r="B5581" s="140" t="s">
        <v>15115</v>
      </c>
      <c r="C5581" s="140" t="s">
        <v>15116</v>
      </c>
      <c r="D5581" s="140" t="s">
        <v>15117</v>
      </c>
      <c r="E5581" s="142" t="s">
        <v>15118</v>
      </c>
      <c r="F5581" s="142" t="s">
        <v>15119</v>
      </c>
      <c r="G5581" s="140"/>
    </row>
    <row r="5582" spans="2:7" hidden="1">
      <c r="B5582" s="141" t="s">
        <v>15120</v>
      </c>
      <c r="C5582" s="140"/>
      <c r="D5582" s="141" t="s">
        <v>5421</v>
      </c>
      <c r="E5582" s="140"/>
      <c r="F5582" s="140"/>
      <c r="G5582" s="140"/>
    </row>
    <row r="5583" spans="2:7" hidden="1">
      <c r="B5583" s="141" t="s">
        <v>15121</v>
      </c>
      <c r="C5583" s="140"/>
      <c r="D5583" s="141" t="s">
        <v>2098</v>
      </c>
      <c r="E5583" s="140"/>
      <c r="F5583" s="140"/>
      <c r="G5583" s="140"/>
    </row>
    <row r="5584" spans="2:7" hidden="1">
      <c r="B5584" s="141" t="s">
        <v>15122</v>
      </c>
      <c r="C5584" s="140"/>
      <c r="D5584" s="141" t="s">
        <v>4548</v>
      </c>
      <c r="E5584" s="140"/>
      <c r="F5584" s="140"/>
      <c r="G5584" s="140"/>
    </row>
    <row r="5585" spans="2:7" hidden="1">
      <c r="B5585" s="141" t="s">
        <v>15123</v>
      </c>
      <c r="C5585" s="140" t="s">
        <v>15124</v>
      </c>
      <c r="D5585" s="141" t="s">
        <v>15125</v>
      </c>
      <c r="E5585" s="140" t="s">
        <v>15126</v>
      </c>
      <c r="F5585" s="140" t="s">
        <v>15127</v>
      </c>
      <c r="G5585" s="140"/>
    </row>
    <row r="5586" spans="2:7" hidden="1">
      <c r="B5586" s="141" t="s">
        <v>15128</v>
      </c>
      <c r="C5586" s="140" t="s">
        <v>15129</v>
      </c>
      <c r="D5586" s="141" t="s">
        <v>15130</v>
      </c>
      <c r="E5586" s="140" t="s">
        <v>15131</v>
      </c>
      <c r="F5586" s="140" t="s">
        <v>15132</v>
      </c>
      <c r="G5586" s="140"/>
    </row>
    <row r="5587" spans="2:7" hidden="1">
      <c r="B5587" s="141" t="s">
        <v>21884</v>
      </c>
      <c r="C5587" s="140"/>
      <c r="D5587" s="141" t="s">
        <v>1378</v>
      </c>
      <c r="E5587" s="140"/>
      <c r="F5587" s="140"/>
      <c r="G5587" s="140"/>
    </row>
    <row r="5588" spans="2:7" hidden="1">
      <c r="B5588" s="141" t="s">
        <v>21885</v>
      </c>
      <c r="C5588" s="140"/>
      <c r="D5588" s="141" t="s">
        <v>8032</v>
      </c>
      <c r="E5588" s="140"/>
      <c r="F5588" s="140"/>
      <c r="G5588" s="140"/>
    </row>
    <row r="5589" spans="2:7" hidden="1">
      <c r="B5589" s="141" t="s">
        <v>21886</v>
      </c>
      <c r="C5589" s="140"/>
      <c r="D5589" s="141" t="s">
        <v>14681</v>
      </c>
      <c r="E5589" s="140"/>
      <c r="F5589" s="140"/>
      <c r="G5589" s="140"/>
    </row>
    <row r="5590" spans="2:7" hidden="1">
      <c r="B5590" s="141" t="s">
        <v>15133</v>
      </c>
      <c r="C5590" s="141"/>
      <c r="D5590" s="141" t="s">
        <v>15134</v>
      </c>
      <c r="E5590" s="141"/>
      <c r="F5590" s="140"/>
      <c r="G5590" s="140"/>
    </row>
    <row r="5591" spans="2:7" hidden="1">
      <c r="B5591" s="141" t="s">
        <v>15135</v>
      </c>
      <c r="C5591" s="140"/>
      <c r="D5591" s="141" t="s">
        <v>15136</v>
      </c>
      <c r="E5591" s="140"/>
      <c r="F5591" s="140"/>
      <c r="G5591" s="140"/>
    </row>
    <row r="5592" spans="2:7" hidden="1">
      <c r="B5592" s="141" t="s">
        <v>21887</v>
      </c>
      <c r="C5592" s="141"/>
      <c r="D5592" s="141" t="s">
        <v>15137</v>
      </c>
      <c r="E5592" s="141"/>
      <c r="F5592" s="141"/>
      <c r="G5592" s="140"/>
    </row>
    <row r="5593" spans="2:7" hidden="1">
      <c r="B5593" s="140" t="s">
        <v>15138</v>
      </c>
      <c r="C5593" s="140"/>
      <c r="D5593" s="140" t="s">
        <v>15139</v>
      </c>
      <c r="E5593" s="142"/>
      <c r="F5593" s="142"/>
      <c r="G5593" s="140"/>
    </row>
    <row r="5594" spans="2:7" hidden="1">
      <c r="B5594" s="141" t="s">
        <v>15140</v>
      </c>
      <c r="C5594" s="141"/>
      <c r="D5594" s="141" t="s">
        <v>15141</v>
      </c>
      <c r="E5594" s="140"/>
      <c r="F5594" s="140"/>
      <c r="G5594" s="140"/>
    </row>
    <row r="5595" spans="2:7" hidden="1">
      <c r="B5595" s="140" t="s">
        <v>15142</v>
      </c>
      <c r="C5595" s="140"/>
      <c r="D5595" s="140" t="s">
        <v>14351</v>
      </c>
      <c r="E5595" s="140"/>
      <c r="F5595" s="140"/>
      <c r="G5595" s="140"/>
    </row>
    <row r="5596" spans="2:7" hidden="1">
      <c r="B5596" s="141" t="s">
        <v>15143</v>
      </c>
      <c r="C5596" s="141" t="s">
        <v>15144</v>
      </c>
      <c r="D5596" s="141" t="s">
        <v>15145</v>
      </c>
      <c r="E5596" s="141"/>
      <c r="F5596" s="140"/>
      <c r="G5596" s="140"/>
    </row>
    <row r="5597" spans="2:7" hidden="1">
      <c r="B5597" s="140" t="s">
        <v>15146</v>
      </c>
      <c r="C5597" s="140"/>
      <c r="D5597" s="140" t="s">
        <v>15147</v>
      </c>
      <c r="E5597" s="140"/>
      <c r="F5597" s="140"/>
      <c r="G5597" s="140"/>
    </row>
    <row r="5598" spans="2:7" hidden="1">
      <c r="B5598" s="141" t="s">
        <v>15148</v>
      </c>
      <c r="C5598" s="140"/>
      <c r="D5598" s="141" t="s">
        <v>7873</v>
      </c>
      <c r="E5598" s="140"/>
      <c r="F5598" s="140"/>
      <c r="G5598" s="140"/>
    </row>
    <row r="5599" spans="2:7" hidden="1">
      <c r="B5599" s="141" t="s">
        <v>15149</v>
      </c>
      <c r="C5599" s="140" t="s">
        <v>15150</v>
      </c>
      <c r="D5599" s="141" t="s">
        <v>15151</v>
      </c>
      <c r="E5599" s="140"/>
      <c r="F5599" s="140"/>
      <c r="G5599" s="140"/>
    </row>
    <row r="5600" spans="2:7" hidden="1">
      <c r="B5600" s="141" t="s">
        <v>15152</v>
      </c>
      <c r="C5600" s="140"/>
      <c r="D5600" s="141" t="s">
        <v>15153</v>
      </c>
      <c r="E5600" s="140"/>
      <c r="F5600" s="140"/>
      <c r="G5600" s="140"/>
    </row>
    <row r="5601" spans="2:7" hidden="1">
      <c r="B5601" s="141" t="s">
        <v>15154</v>
      </c>
      <c r="C5601" s="141" t="s">
        <v>15155</v>
      </c>
      <c r="D5601" s="141" t="s">
        <v>15156</v>
      </c>
      <c r="E5601" s="141"/>
      <c r="F5601" s="140"/>
      <c r="G5601" s="140"/>
    </row>
    <row r="5602" spans="2:7" hidden="1">
      <c r="B5602" s="141" t="s">
        <v>15157</v>
      </c>
      <c r="C5602" s="140" t="s">
        <v>15158</v>
      </c>
      <c r="D5602" s="141" t="s">
        <v>6405</v>
      </c>
      <c r="E5602" s="140"/>
      <c r="F5602" s="140"/>
      <c r="G5602" s="140"/>
    </row>
    <row r="5603" spans="2:7" hidden="1">
      <c r="B5603" s="141" t="s">
        <v>15159</v>
      </c>
      <c r="C5603" s="140" t="s">
        <v>15160</v>
      </c>
      <c r="D5603" s="141" t="s">
        <v>15161</v>
      </c>
      <c r="E5603" s="140" t="s">
        <v>15162</v>
      </c>
      <c r="F5603" s="140"/>
      <c r="G5603" s="140"/>
    </row>
    <row r="5604" spans="2:7" hidden="1">
      <c r="B5604" s="141" t="s">
        <v>15163</v>
      </c>
      <c r="C5604" s="141" t="s">
        <v>15164</v>
      </c>
      <c r="D5604" s="141" t="s">
        <v>15165</v>
      </c>
      <c r="E5604" s="141" t="s">
        <v>15166</v>
      </c>
      <c r="F5604" s="140"/>
      <c r="G5604" s="140"/>
    </row>
    <row r="5605" spans="2:7" hidden="1">
      <c r="B5605" s="141" t="s">
        <v>15167</v>
      </c>
      <c r="C5605" s="140"/>
      <c r="D5605" s="141" t="s">
        <v>15168</v>
      </c>
      <c r="E5605" s="140"/>
      <c r="F5605" s="140"/>
      <c r="G5605" s="140"/>
    </row>
    <row r="5606" spans="2:7" hidden="1">
      <c r="B5606" s="141" t="s">
        <v>15169</v>
      </c>
      <c r="C5606" s="141"/>
      <c r="D5606" s="141" t="s">
        <v>15170</v>
      </c>
      <c r="E5606" s="141"/>
      <c r="F5606" s="140"/>
      <c r="G5606" s="140"/>
    </row>
    <row r="5607" spans="2:7" hidden="1">
      <c r="B5607" s="141" t="s">
        <v>15171</v>
      </c>
      <c r="C5607" s="140"/>
      <c r="D5607" s="141" t="s">
        <v>15172</v>
      </c>
      <c r="E5607" s="140"/>
      <c r="F5607" s="140"/>
      <c r="G5607" s="140"/>
    </row>
    <row r="5608" spans="2:7" hidden="1">
      <c r="B5608" s="141" t="s">
        <v>15173</v>
      </c>
      <c r="C5608" s="141"/>
      <c r="D5608" s="141" t="s">
        <v>15174</v>
      </c>
      <c r="E5608" s="140"/>
      <c r="F5608" s="140"/>
      <c r="G5608" s="140"/>
    </row>
    <row r="5609" spans="2:7" hidden="1">
      <c r="B5609" s="141" t="s">
        <v>15175</v>
      </c>
      <c r="C5609" s="140"/>
      <c r="D5609" s="141" t="s">
        <v>15176</v>
      </c>
      <c r="E5609" s="140"/>
      <c r="F5609" s="140"/>
      <c r="G5609" s="140"/>
    </row>
    <row r="5610" spans="2:7" hidden="1">
      <c r="B5610" s="141" t="s">
        <v>15177</v>
      </c>
      <c r="C5610" s="141"/>
      <c r="D5610" s="141" t="s">
        <v>15178</v>
      </c>
      <c r="E5610" s="140"/>
      <c r="F5610" s="140"/>
      <c r="G5610" s="140"/>
    </row>
    <row r="5611" spans="2:7" hidden="1">
      <c r="B5611" s="141" t="s">
        <v>15179</v>
      </c>
      <c r="C5611" s="140"/>
      <c r="D5611" s="141" t="s">
        <v>15180</v>
      </c>
      <c r="E5611" s="140"/>
      <c r="F5611" s="140"/>
      <c r="G5611" s="140"/>
    </row>
    <row r="5612" spans="2:7" hidden="1">
      <c r="B5612" s="141" t="s">
        <v>15181</v>
      </c>
      <c r="C5612" s="140"/>
      <c r="D5612" s="141" t="s">
        <v>15182</v>
      </c>
      <c r="E5612" s="140"/>
      <c r="F5612" s="140"/>
      <c r="G5612" s="140"/>
    </row>
    <row r="5613" spans="2:7" hidden="1">
      <c r="B5613" s="141" t="s">
        <v>15183</v>
      </c>
      <c r="C5613" s="140"/>
      <c r="D5613" s="141" t="s">
        <v>15184</v>
      </c>
      <c r="E5613" s="140"/>
      <c r="F5613" s="140"/>
      <c r="G5613" s="140"/>
    </row>
    <row r="5614" spans="2:7" hidden="1">
      <c r="B5614" s="140" t="s">
        <v>15185</v>
      </c>
      <c r="C5614" s="140"/>
      <c r="D5614" s="140" t="s">
        <v>15186</v>
      </c>
      <c r="E5614" s="142"/>
      <c r="F5614" s="142"/>
      <c r="G5614" s="140"/>
    </row>
    <row r="5615" spans="2:7" hidden="1">
      <c r="B5615" s="141" t="s">
        <v>15187</v>
      </c>
      <c r="C5615" s="140"/>
      <c r="D5615" s="141" t="s">
        <v>15188</v>
      </c>
      <c r="E5615" s="140"/>
      <c r="F5615" s="140"/>
      <c r="G5615" s="140"/>
    </row>
    <row r="5616" spans="2:7" hidden="1">
      <c r="B5616" s="141" t="s">
        <v>21888</v>
      </c>
      <c r="C5616" s="140"/>
      <c r="D5616" s="141" t="s">
        <v>11289</v>
      </c>
      <c r="E5616" s="140"/>
      <c r="F5616" s="140"/>
      <c r="G5616" s="140"/>
    </row>
    <row r="5617" spans="2:7" hidden="1">
      <c r="B5617" s="141" t="s">
        <v>15189</v>
      </c>
      <c r="C5617" s="140"/>
      <c r="D5617" s="141" t="s">
        <v>15190</v>
      </c>
      <c r="E5617" s="140"/>
      <c r="F5617" s="140"/>
      <c r="G5617" s="140"/>
    </row>
    <row r="5618" spans="2:7" hidden="1">
      <c r="B5618" s="141" t="s">
        <v>15191</v>
      </c>
      <c r="C5618" s="140"/>
      <c r="D5618" s="141" t="s">
        <v>4675</v>
      </c>
      <c r="E5618" s="140"/>
      <c r="F5618" s="140"/>
      <c r="G5618" s="140"/>
    </row>
    <row r="5619" spans="2:7" hidden="1">
      <c r="B5619" s="141" t="s">
        <v>15192</v>
      </c>
      <c r="C5619" s="140"/>
      <c r="D5619" s="141" t="s">
        <v>15193</v>
      </c>
      <c r="E5619" s="140"/>
      <c r="F5619" s="140"/>
      <c r="G5619" s="140"/>
    </row>
    <row r="5620" spans="2:7" hidden="1">
      <c r="B5620" s="141" t="s">
        <v>15194</v>
      </c>
      <c r="C5620" s="141"/>
      <c r="D5620" s="141" t="s">
        <v>4675</v>
      </c>
      <c r="E5620" s="141"/>
      <c r="F5620" s="141"/>
      <c r="G5620" s="140"/>
    </row>
    <row r="5621" spans="2:7" hidden="1">
      <c r="B5621" s="141" t="s">
        <v>15195</v>
      </c>
      <c r="C5621" s="140"/>
      <c r="D5621" s="141" t="s">
        <v>15196</v>
      </c>
      <c r="E5621" s="140"/>
      <c r="F5621" s="140"/>
      <c r="G5621" s="140"/>
    </row>
    <row r="5622" spans="2:7" hidden="1">
      <c r="B5622" s="141" t="s">
        <v>15197</v>
      </c>
      <c r="C5622" s="140"/>
      <c r="D5622" s="141" t="s">
        <v>15198</v>
      </c>
      <c r="E5622" s="141"/>
      <c r="F5622" s="141"/>
      <c r="G5622" s="140"/>
    </row>
    <row r="5623" spans="2:7" hidden="1">
      <c r="B5623" s="141" t="s">
        <v>15199</v>
      </c>
      <c r="C5623" s="140"/>
      <c r="D5623" s="141" t="s">
        <v>15196</v>
      </c>
      <c r="E5623" s="140"/>
      <c r="F5623" s="140"/>
      <c r="G5623" s="140"/>
    </row>
    <row r="5624" spans="2:7" hidden="1">
      <c r="B5624" s="141" t="s">
        <v>15200</v>
      </c>
      <c r="C5624" s="140"/>
      <c r="D5624" s="141" t="s">
        <v>15201</v>
      </c>
      <c r="E5624" s="140"/>
      <c r="F5624" s="140"/>
      <c r="G5624" s="140"/>
    </row>
    <row r="5625" spans="2:7" hidden="1">
      <c r="B5625" s="141" t="s">
        <v>15202</v>
      </c>
      <c r="C5625" s="140"/>
      <c r="D5625" s="141" t="s">
        <v>15203</v>
      </c>
      <c r="E5625" s="140"/>
      <c r="F5625" s="140"/>
      <c r="G5625" s="140"/>
    </row>
    <row r="5626" spans="2:7" hidden="1">
      <c r="B5626" s="141" t="s">
        <v>15204</v>
      </c>
      <c r="C5626" s="140"/>
      <c r="D5626" s="141" t="s">
        <v>4675</v>
      </c>
      <c r="E5626" s="140"/>
      <c r="F5626" s="140"/>
      <c r="G5626" s="140"/>
    </row>
    <row r="5627" spans="2:7" hidden="1">
      <c r="B5627" s="141" t="s">
        <v>15205</v>
      </c>
      <c r="C5627" s="140"/>
      <c r="D5627" s="141" t="s">
        <v>15206</v>
      </c>
      <c r="E5627" s="140"/>
      <c r="F5627" s="140"/>
      <c r="G5627" s="140"/>
    </row>
    <row r="5628" spans="2:7" hidden="1">
      <c r="B5628" s="141" t="s">
        <v>15207</v>
      </c>
      <c r="C5628" s="140"/>
      <c r="D5628" s="141" t="s">
        <v>2045</v>
      </c>
      <c r="E5628" s="140"/>
      <c r="F5628" s="140"/>
      <c r="G5628" s="140"/>
    </row>
    <row r="5629" spans="2:7" hidden="1">
      <c r="B5629" s="141" t="s">
        <v>15208</v>
      </c>
      <c r="C5629" s="140"/>
      <c r="D5629" s="141" t="s">
        <v>7965</v>
      </c>
      <c r="E5629" s="140"/>
      <c r="F5629" s="140"/>
      <c r="G5629" s="140"/>
    </row>
    <row r="5630" spans="2:7" hidden="1">
      <c r="B5630" s="141" t="s">
        <v>15209</v>
      </c>
      <c r="C5630" s="141"/>
      <c r="D5630" s="141" t="s">
        <v>15210</v>
      </c>
      <c r="E5630" s="141"/>
      <c r="F5630" s="141"/>
      <c r="G5630" s="140"/>
    </row>
    <row r="5631" spans="2:7" hidden="1">
      <c r="B5631" s="140" t="s">
        <v>15211</v>
      </c>
      <c r="C5631" s="140"/>
      <c r="D5631" s="140" t="s">
        <v>4138</v>
      </c>
      <c r="E5631" s="142"/>
      <c r="F5631" s="142"/>
      <c r="G5631" s="140"/>
    </row>
    <row r="5632" spans="2:7" hidden="1">
      <c r="B5632" s="140" t="s">
        <v>20981</v>
      </c>
      <c r="C5632" s="140" t="s">
        <v>20980</v>
      </c>
      <c r="D5632" s="140" t="s">
        <v>20389</v>
      </c>
      <c r="E5632" s="142"/>
      <c r="F5632" s="142"/>
      <c r="G5632" s="140"/>
    </row>
    <row r="5633" spans="2:7" hidden="1">
      <c r="B5633" s="140" t="s">
        <v>20274</v>
      </c>
      <c r="C5633" s="140" t="s">
        <v>20275</v>
      </c>
      <c r="D5633" s="140" t="s">
        <v>18717</v>
      </c>
      <c r="E5633" s="142" t="s">
        <v>20276</v>
      </c>
      <c r="F5633" s="142"/>
      <c r="G5633" s="140" t="s">
        <v>20277</v>
      </c>
    </row>
    <row r="5634" spans="2:7" hidden="1">
      <c r="B5634" s="140" t="s">
        <v>21889</v>
      </c>
      <c r="C5634" s="140" t="s">
        <v>15212</v>
      </c>
      <c r="D5634" s="140" t="s">
        <v>15213</v>
      </c>
      <c r="E5634" s="142" t="s">
        <v>15214</v>
      </c>
      <c r="F5634" s="142" t="s">
        <v>15215</v>
      </c>
      <c r="G5634" s="140"/>
    </row>
    <row r="5635" spans="2:7" hidden="1">
      <c r="B5635" s="141" t="s">
        <v>21890</v>
      </c>
      <c r="C5635" s="140" t="s">
        <v>15216</v>
      </c>
      <c r="D5635" s="141" t="s">
        <v>15217</v>
      </c>
      <c r="E5635" s="140" t="s">
        <v>15218</v>
      </c>
      <c r="F5635" s="140" t="s">
        <v>15219</v>
      </c>
      <c r="G5635" s="140"/>
    </row>
    <row r="5636" spans="2:7" hidden="1">
      <c r="B5636" s="141" t="s">
        <v>21891</v>
      </c>
      <c r="C5636" s="141" t="s">
        <v>20388</v>
      </c>
      <c r="D5636" s="141" t="s">
        <v>20389</v>
      </c>
      <c r="E5636" s="141" t="s">
        <v>20390</v>
      </c>
      <c r="F5636" s="141" t="s">
        <v>20391</v>
      </c>
      <c r="G5636" s="140"/>
    </row>
    <row r="5637" spans="2:7" hidden="1">
      <c r="B5637" s="141" t="s">
        <v>15220</v>
      </c>
      <c r="C5637" s="140" t="s">
        <v>15221</v>
      </c>
      <c r="D5637" s="141" t="s">
        <v>3621</v>
      </c>
      <c r="E5637" s="140" t="s">
        <v>15222</v>
      </c>
      <c r="F5637" s="140" t="s">
        <v>15223</v>
      </c>
      <c r="G5637" s="140"/>
    </row>
    <row r="5638" spans="2:7" hidden="1">
      <c r="B5638" s="141" t="s">
        <v>15227</v>
      </c>
      <c r="C5638" s="141" t="s">
        <v>15228</v>
      </c>
      <c r="D5638" s="141" t="s">
        <v>14594</v>
      </c>
      <c r="E5638" s="141" t="s">
        <v>15229</v>
      </c>
      <c r="F5638" s="141" t="s">
        <v>15230</v>
      </c>
      <c r="G5638" s="140"/>
    </row>
    <row r="5639" spans="2:7" hidden="1">
      <c r="B5639" s="140" t="s">
        <v>21892</v>
      </c>
      <c r="C5639" s="140" t="s">
        <v>20355</v>
      </c>
      <c r="D5639" s="140" t="s">
        <v>15224</v>
      </c>
      <c r="E5639" s="142" t="s">
        <v>15225</v>
      </c>
      <c r="F5639" s="142" t="s">
        <v>15226</v>
      </c>
      <c r="G5639" s="140"/>
    </row>
    <row r="5640" spans="2:7" hidden="1">
      <c r="B5640" s="141" t="s">
        <v>21893</v>
      </c>
      <c r="C5640" s="140" t="s">
        <v>15231</v>
      </c>
      <c r="D5640" s="141" t="s">
        <v>12688</v>
      </c>
      <c r="E5640" s="140" t="s">
        <v>15232</v>
      </c>
      <c r="F5640" s="140" t="s">
        <v>15233</v>
      </c>
      <c r="G5640" s="140"/>
    </row>
    <row r="5641" spans="2:7" hidden="1">
      <c r="B5641" s="140" t="s">
        <v>21894</v>
      </c>
      <c r="C5641" s="140" t="s">
        <v>20980</v>
      </c>
      <c r="D5641" s="140" t="s">
        <v>20389</v>
      </c>
      <c r="E5641" s="142" t="s">
        <v>20982</v>
      </c>
      <c r="F5641" s="142"/>
      <c r="G5641" s="140"/>
    </row>
    <row r="5642" spans="2:7" hidden="1">
      <c r="B5642" s="141" t="s">
        <v>15234</v>
      </c>
      <c r="C5642" s="140"/>
      <c r="D5642" s="141" t="s">
        <v>15235</v>
      </c>
      <c r="E5642" s="140"/>
      <c r="F5642" s="140"/>
      <c r="G5642" s="140"/>
    </row>
    <row r="5643" spans="2:7" hidden="1">
      <c r="B5643" s="140" t="s">
        <v>15236</v>
      </c>
      <c r="C5643" s="140"/>
      <c r="D5643" s="140" t="s">
        <v>3989</v>
      </c>
      <c r="E5643" s="142"/>
      <c r="F5643" s="142"/>
      <c r="G5643" s="140"/>
    </row>
    <row r="5644" spans="2:7" hidden="1">
      <c r="B5644" s="140" t="s">
        <v>15237</v>
      </c>
      <c r="C5644" s="140"/>
      <c r="D5644" s="140" t="s">
        <v>15238</v>
      </c>
      <c r="E5644" s="140"/>
      <c r="F5644" s="140"/>
      <c r="G5644" s="140"/>
    </row>
    <row r="5645" spans="2:7" hidden="1">
      <c r="B5645" s="141" t="s">
        <v>15239</v>
      </c>
      <c r="C5645" s="140"/>
      <c r="D5645" s="141" t="s">
        <v>15240</v>
      </c>
      <c r="E5645" s="140"/>
      <c r="F5645" s="140"/>
      <c r="G5645" s="140"/>
    </row>
    <row r="5646" spans="2:7" hidden="1">
      <c r="B5646" s="141" t="s">
        <v>15241</v>
      </c>
      <c r="C5646" s="141"/>
      <c r="D5646" s="141" t="s">
        <v>3989</v>
      </c>
      <c r="E5646" s="141"/>
      <c r="F5646" s="140"/>
      <c r="G5646" s="140"/>
    </row>
    <row r="5647" spans="2:7" hidden="1">
      <c r="B5647" s="141" t="s">
        <v>15242</v>
      </c>
      <c r="C5647" s="140"/>
      <c r="D5647" s="141" t="s">
        <v>2487</v>
      </c>
      <c r="E5647" s="140"/>
      <c r="F5647" s="140"/>
      <c r="G5647" s="140"/>
    </row>
    <row r="5648" spans="2:7" hidden="1">
      <c r="B5648" s="140" t="s">
        <v>21162</v>
      </c>
      <c r="C5648" s="140" t="s">
        <v>21164</v>
      </c>
      <c r="D5648" s="140" t="s">
        <v>21163</v>
      </c>
      <c r="E5648" s="142"/>
      <c r="F5648" s="142"/>
      <c r="G5648" s="140"/>
    </row>
    <row r="5649" spans="2:7" hidden="1">
      <c r="B5649" s="141" t="s">
        <v>15243</v>
      </c>
      <c r="C5649" s="140"/>
      <c r="D5649" s="141" t="s">
        <v>9911</v>
      </c>
      <c r="E5649" s="140"/>
      <c r="F5649" s="140"/>
      <c r="G5649" s="140"/>
    </row>
    <row r="5650" spans="2:7" hidden="1">
      <c r="B5650" s="140" t="s">
        <v>21230</v>
      </c>
      <c r="C5650" s="140" t="s">
        <v>21232</v>
      </c>
      <c r="D5650" s="140" t="s">
        <v>21231</v>
      </c>
      <c r="E5650" s="142" t="s">
        <v>21233</v>
      </c>
      <c r="F5650" s="142"/>
      <c r="G5650" s="140"/>
    </row>
    <row r="5651" spans="2:7" hidden="1">
      <c r="B5651" s="141" t="s">
        <v>15244</v>
      </c>
      <c r="C5651" s="141"/>
      <c r="D5651" s="141" t="s">
        <v>3727</v>
      </c>
      <c r="E5651" s="141"/>
      <c r="F5651" s="141"/>
      <c r="G5651" s="140"/>
    </row>
    <row r="5652" spans="2:7" hidden="1">
      <c r="B5652" s="141" t="s">
        <v>15245</v>
      </c>
      <c r="C5652" s="140" t="s">
        <v>15246</v>
      </c>
      <c r="D5652" s="141" t="s">
        <v>4997</v>
      </c>
      <c r="E5652" s="140" t="s">
        <v>15247</v>
      </c>
      <c r="F5652" s="140" t="s">
        <v>15248</v>
      </c>
      <c r="G5652" s="140"/>
    </row>
    <row r="5653" spans="2:7" hidden="1">
      <c r="B5653" s="141" t="s">
        <v>15249</v>
      </c>
      <c r="C5653" s="140"/>
      <c r="D5653" s="141" t="s">
        <v>15250</v>
      </c>
      <c r="E5653" s="140"/>
      <c r="F5653" s="140"/>
      <c r="G5653" s="140"/>
    </row>
    <row r="5654" spans="2:7" hidden="1">
      <c r="B5654" s="141" t="s">
        <v>15251</v>
      </c>
      <c r="C5654" s="140"/>
      <c r="D5654" s="141" t="s">
        <v>15252</v>
      </c>
      <c r="E5654" s="140"/>
      <c r="F5654" s="140"/>
      <c r="G5654" s="140"/>
    </row>
    <row r="5655" spans="2:7" hidden="1">
      <c r="B5655" s="141" t="s">
        <v>15253</v>
      </c>
      <c r="C5655" s="141"/>
      <c r="D5655" s="141" t="s">
        <v>15254</v>
      </c>
      <c r="E5655" s="140"/>
      <c r="F5655" s="140"/>
      <c r="G5655" s="140"/>
    </row>
    <row r="5656" spans="2:7" hidden="1">
      <c r="B5656" s="140" t="s">
        <v>15255</v>
      </c>
      <c r="C5656" s="140"/>
      <c r="D5656" s="140" t="s">
        <v>15256</v>
      </c>
      <c r="E5656" s="142"/>
      <c r="F5656" s="142"/>
      <c r="G5656" s="140"/>
    </row>
    <row r="5657" spans="2:7" hidden="1">
      <c r="B5657" s="141" t="s">
        <v>15257</v>
      </c>
      <c r="C5657" s="141"/>
      <c r="D5657" s="141" t="s">
        <v>15258</v>
      </c>
      <c r="E5657" s="141"/>
      <c r="F5657" s="140"/>
      <c r="G5657" s="140"/>
    </row>
    <row r="5658" spans="2:7" hidden="1">
      <c r="B5658" s="141" t="s">
        <v>15259</v>
      </c>
      <c r="C5658" s="140"/>
      <c r="D5658" s="141" t="s">
        <v>15260</v>
      </c>
      <c r="E5658" s="140"/>
      <c r="F5658" s="140"/>
      <c r="G5658" s="140"/>
    </row>
    <row r="5659" spans="2:7" hidden="1">
      <c r="B5659" s="141" t="s">
        <v>15261</v>
      </c>
      <c r="C5659" s="140" t="s">
        <v>15262</v>
      </c>
      <c r="D5659" s="141" t="s">
        <v>15263</v>
      </c>
      <c r="E5659" s="140" t="s">
        <v>5112</v>
      </c>
      <c r="F5659" s="140" t="s">
        <v>5113</v>
      </c>
      <c r="G5659" s="140"/>
    </row>
    <row r="5660" spans="2:7" hidden="1">
      <c r="B5660" s="141" t="s">
        <v>21895</v>
      </c>
      <c r="C5660" s="140"/>
      <c r="D5660" s="141" t="s">
        <v>15264</v>
      </c>
      <c r="E5660" s="140"/>
      <c r="F5660" s="140"/>
      <c r="G5660" s="140"/>
    </row>
    <row r="5661" spans="2:7" hidden="1">
      <c r="B5661" s="141" t="s">
        <v>15265</v>
      </c>
      <c r="C5661" s="140" t="s">
        <v>15266</v>
      </c>
      <c r="D5661" s="141" t="s">
        <v>15267</v>
      </c>
      <c r="E5661" s="140"/>
      <c r="F5661" s="140"/>
      <c r="G5661" s="140" t="s">
        <v>15268</v>
      </c>
    </row>
    <row r="5662" spans="2:7" hidden="1">
      <c r="B5662" s="140" t="s">
        <v>15269</v>
      </c>
      <c r="C5662" s="140"/>
      <c r="D5662" s="140" t="s">
        <v>15270</v>
      </c>
      <c r="E5662" s="142"/>
      <c r="F5662" s="142"/>
      <c r="G5662" s="140"/>
    </row>
    <row r="5663" spans="2:7" hidden="1">
      <c r="B5663" s="141" t="s">
        <v>15271</v>
      </c>
      <c r="C5663" s="140"/>
      <c r="D5663" s="141" t="s">
        <v>4710</v>
      </c>
      <c r="E5663" s="140"/>
      <c r="F5663" s="140"/>
      <c r="G5663" s="140"/>
    </row>
    <row r="5664" spans="2:7" hidden="1">
      <c r="B5664" s="141" t="s">
        <v>15272</v>
      </c>
      <c r="C5664" s="141"/>
      <c r="D5664" s="141" t="s">
        <v>15273</v>
      </c>
      <c r="E5664" s="141"/>
      <c r="F5664" s="141"/>
      <c r="G5664" s="140"/>
    </row>
    <row r="5665" spans="2:7" hidden="1">
      <c r="B5665" s="141" t="s">
        <v>15274</v>
      </c>
      <c r="C5665" s="140"/>
      <c r="D5665" s="141" t="s">
        <v>15275</v>
      </c>
      <c r="E5665" s="140"/>
      <c r="F5665" s="140"/>
      <c r="G5665" s="140"/>
    </row>
    <row r="5666" spans="2:7" hidden="1">
      <c r="B5666" s="141" t="s">
        <v>15276</v>
      </c>
      <c r="C5666" s="141"/>
      <c r="D5666" s="141" t="s">
        <v>15275</v>
      </c>
      <c r="E5666" s="140"/>
      <c r="F5666" s="140"/>
      <c r="G5666" s="140"/>
    </row>
    <row r="5667" spans="2:7" hidden="1">
      <c r="B5667" s="141" t="s">
        <v>15277</v>
      </c>
      <c r="C5667" s="140"/>
      <c r="D5667" s="141" t="s">
        <v>15278</v>
      </c>
      <c r="E5667" s="140"/>
      <c r="F5667" s="140"/>
      <c r="G5667" s="140"/>
    </row>
    <row r="5668" spans="2:7" hidden="1">
      <c r="B5668" s="141" t="s">
        <v>15279</v>
      </c>
      <c r="C5668" s="140" t="s">
        <v>15280</v>
      </c>
      <c r="D5668" s="141" t="s">
        <v>15281</v>
      </c>
      <c r="E5668" s="140" t="s">
        <v>15282</v>
      </c>
      <c r="F5668" s="140"/>
      <c r="G5668" s="140"/>
    </row>
    <row r="5669" spans="2:7" hidden="1">
      <c r="B5669" s="140" t="s">
        <v>15283</v>
      </c>
      <c r="C5669" s="140"/>
      <c r="D5669" s="140" t="s">
        <v>2154</v>
      </c>
      <c r="E5669" s="142"/>
      <c r="F5669" s="142"/>
      <c r="G5669" s="140"/>
    </row>
    <row r="5670" spans="2:7" hidden="1">
      <c r="B5670" s="141" t="s">
        <v>21896</v>
      </c>
      <c r="C5670" s="140"/>
      <c r="D5670" s="141" t="s">
        <v>8598</v>
      </c>
      <c r="E5670" s="140"/>
      <c r="F5670" s="140"/>
      <c r="G5670" s="140"/>
    </row>
    <row r="5671" spans="2:7" hidden="1">
      <c r="B5671" s="141" t="s">
        <v>15284</v>
      </c>
      <c r="C5671" s="140" t="s">
        <v>15285</v>
      </c>
      <c r="D5671" s="141" t="s">
        <v>15286</v>
      </c>
      <c r="E5671" s="140" t="s">
        <v>15287</v>
      </c>
      <c r="F5671" s="140"/>
      <c r="G5671" s="140"/>
    </row>
    <row r="5672" spans="2:7" hidden="1">
      <c r="B5672" s="140" t="s">
        <v>15288</v>
      </c>
      <c r="C5672" s="140"/>
      <c r="D5672" s="140" t="s">
        <v>15289</v>
      </c>
      <c r="E5672" s="142"/>
      <c r="F5672" s="142"/>
      <c r="G5672" s="140"/>
    </row>
    <row r="5673" spans="2:7" hidden="1">
      <c r="B5673" s="141" t="s">
        <v>15290</v>
      </c>
      <c r="C5673" s="140"/>
      <c r="D5673" s="141" t="s">
        <v>15291</v>
      </c>
      <c r="E5673" s="140"/>
      <c r="F5673" s="140"/>
      <c r="G5673" s="140"/>
    </row>
    <row r="5674" spans="2:7" hidden="1">
      <c r="B5674" s="141" t="s">
        <v>15292</v>
      </c>
      <c r="C5674" s="140"/>
      <c r="D5674" s="141" t="s">
        <v>15293</v>
      </c>
      <c r="E5674" s="140"/>
      <c r="F5674" s="140"/>
      <c r="G5674" s="140"/>
    </row>
    <row r="5675" spans="2:7" hidden="1">
      <c r="B5675" s="140" t="s">
        <v>15294</v>
      </c>
      <c r="C5675" s="140"/>
      <c r="D5675" s="140" t="s">
        <v>15295</v>
      </c>
      <c r="E5675" s="142"/>
      <c r="F5675" s="142"/>
      <c r="G5675" s="140"/>
    </row>
    <row r="5676" spans="2:7" hidden="1">
      <c r="B5676" s="141" t="s">
        <v>15296</v>
      </c>
      <c r="C5676" s="141"/>
      <c r="D5676" s="141" t="s">
        <v>15297</v>
      </c>
      <c r="E5676" s="141"/>
      <c r="F5676" s="140"/>
      <c r="G5676" s="140"/>
    </row>
    <row r="5677" spans="2:7" hidden="1">
      <c r="B5677" s="141" t="s">
        <v>15298</v>
      </c>
      <c r="C5677" s="140"/>
      <c r="D5677" s="141" t="s">
        <v>15299</v>
      </c>
      <c r="E5677" s="140"/>
      <c r="F5677" s="140"/>
      <c r="G5677" s="140"/>
    </row>
    <row r="5678" spans="2:7" hidden="1">
      <c r="B5678" s="141" t="s">
        <v>15300</v>
      </c>
      <c r="C5678" s="140" t="s">
        <v>15301</v>
      </c>
      <c r="D5678" s="141" t="s">
        <v>15302</v>
      </c>
      <c r="E5678" s="140" t="s">
        <v>15303</v>
      </c>
      <c r="F5678" s="140" t="s">
        <v>15304</v>
      </c>
      <c r="G5678" s="140"/>
    </row>
    <row r="5679" spans="2:7" hidden="1">
      <c r="B5679" s="141" t="s">
        <v>15305</v>
      </c>
      <c r="C5679" s="140" t="s">
        <v>15306</v>
      </c>
      <c r="D5679" s="141" t="s">
        <v>15307</v>
      </c>
      <c r="E5679" s="140"/>
      <c r="F5679" s="140" t="s">
        <v>15304</v>
      </c>
      <c r="G5679" s="140"/>
    </row>
    <row r="5680" spans="2:7" hidden="1">
      <c r="B5680" s="141" t="s">
        <v>15308</v>
      </c>
      <c r="C5680" s="140" t="s">
        <v>15309</v>
      </c>
      <c r="D5680" s="141" t="s">
        <v>3980</v>
      </c>
      <c r="E5680" s="140" t="s">
        <v>15310</v>
      </c>
      <c r="F5680" s="140" t="s">
        <v>15311</v>
      </c>
      <c r="G5680" s="140"/>
    </row>
    <row r="5681" spans="2:7" hidden="1">
      <c r="B5681" s="141" t="s">
        <v>21312</v>
      </c>
      <c r="C5681" s="140" t="s">
        <v>21313</v>
      </c>
      <c r="D5681" s="141" t="s">
        <v>21314</v>
      </c>
      <c r="E5681" s="140" t="s">
        <v>21315</v>
      </c>
      <c r="F5681" s="140"/>
      <c r="G5681" s="140"/>
    </row>
    <row r="5682" spans="2:7" hidden="1">
      <c r="B5682" s="140" t="s">
        <v>15312</v>
      </c>
      <c r="C5682" s="140"/>
      <c r="D5682" s="140" t="s">
        <v>15313</v>
      </c>
      <c r="E5682" s="142"/>
      <c r="F5682" s="142"/>
      <c r="G5682" s="140"/>
    </row>
    <row r="5683" spans="2:7" hidden="1">
      <c r="B5683" s="141" t="s">
        <v>15314</v>
      </c>
      <c r="C5683" s="140"/>
      <c r="D5683" s="141" t="s">
        <v>15315</v>
      </c>
      <c r="E5683" s="140"/>
      <c r="F5683" s="140"/>
      <c r="G5683" s="140"/>
    </row>
    <row r="5684" spans="2:7" hidden="1">
      <c r="B5684" s="140" t="s">
        <v>21897</v>
      </c>
      <c r="C5684" s="140" t="s">
        <v>20332</v>
      </c>
      <c r="D5684" s="140" t="s">
        <v>20329</v>
      </c>
      <c r="E5684" s="142" t="s">
        <v>20330</v>
      </c>
      <c r="F5684" s="142" t="s">
        <v>20331</v>
      </c>
      <c r="G5684" s="140"/>
    </row>
    <row r="5685" spans="2:7" hidden="1">
      <c r="B5685" s="140" t="s">
        <v>15316</v>
      </c>
      <c r="C5685" s="140"/>
      <c r="D5685" s="140" t="s">
        <v>15317</v>
      </c>
      <c r="E5685" s="142"/>
      <c r="F5685" s="142"/>
      <c r="G5685" s="140"/>
    </row>
    <row r="5686" spans="2:7" hidden="1">
      <c r="B5686" s="141" t="s">
        <v>15318</v>
      </c>
      <c r="C5686" s="140" t="s">
        <v>15319</v>
      </c>
      <c r="D5686" s="141" t="s">
        <v>15320</v>
      </c>
      <c r="E5686" s="140" t="s">
        <v>15321</v>
      </c>
      <c r="F5686" s="140" t="s">
        <v>15322</v>
      </c>
      <c r="G5686" s="140"/>
    </row>
    <row r="5687" spans="2:7" hidden="1">
      <c r="B5687" s="141" t="s">
        <v>15323</v>
      </c>
      <c r="C5687" s="140" t="s">
        <v>15324</v>
      </c>
      <c r="D5687" s="141" t="s">
        <v>15325</v>
      </c>
      <c r="E5687" s="140" t="s">
        <v>15326</v>
      </c>
      <c r="F5687" s="140" t="s">
        <v>15327</v>
      </c>
      <c r="G5687" s="140"/>
    </row>
    <row r="5688" spans="2:7" hidden="1">
      <c r="B5688" s="141" t="s">
        <v>15328</v>
      </c>
      <c r="C5688" s="140" t="s">
        <v>15329</v>
      </c>
      <c r="D5688" s="141" t="s">
        <v>15330</v>
      </c>
      <c r="E5688" s="140"/>
      <c r="F5688" s="140"/>
      <c r="G5688" s="140"/>
    </row>
    <row r="5689" spans="2:7" hidden="1">
      <c r="B5689" s="141" t="s">
        <v>15331</v>
      </c>
      <c r="C5689" s="141" t="s">
        <v>15332</v>
      </c>
      <c r="D5689" s="141" t="s">
        <v>8939</v>
      </c>
      <c r="E5689" s="140" t="s">
        <v>8940</v>
      </c>
      <c r="F5689" s="140" t="s">
        <v>8941</v>
      </c>
      <c r="G5689" s="140"/>
    </row>
    <row r="5690" spans="2:7" hidden="1">
      <c r="B5690" s="141" t="s">
        <v>15333</v>
      </c>
      <c r="C5690" s="140" t="s">
        <v>15334</v>
      </c>
      <c r="D5690" s="141" t="s">
        <v>15335</v>
      </c>
      <c r="E5690" s="140" t="s">
        <v>8835</v>
      </c>
      <c r="F5690" s="140" t="s">
        <v>8836</v>
      </c>
      <c r="G5690" s="140"/>
    </row>
    <row r="5691" spans="2:7" hidden="1">
      <c r="B5691" s="141" t="s">
        <v>21317</v>
      </c>
      <c r="C5691" s="141" t="s">
        <v>15338</v>
      </c>
      <c r="D5691" s="141" t="s">
        <v>8871</v>
      </c>
      <c r="E5691" s="140" t="s">
        <v>15339</v>
      </c>
      <c r="F5691" s="140" t="s">
        <v>15340</v>
      </c>
      <c r="G5691" s="140"/>
    </row>
    <row r="5692" spans="2:7" hidden="1">
      <c r="B5692" s="141" t="s">
        <v>21316</v>
      </c>
      <c r="C5692" s="140" t="s">
        <v>8947</v>
      </c>
      <c r="D5692" s="141" t="s">
        <v>15336</v>
      </c>
      <c r="E5692" s="140" t="s">
        <v>8949</v>
      </c>
      <c r="F5692" s="140" t="s">
        <v>15337</v>
      </c>
      <c r="G5692" s="140"/>
    </row>
    <row r="5693" spans="2:7" hidden="1">
      <c r="B5693" s="141" t="s">
        <v>15341</v>
      </c>
      <c r="C5693" s="140" t="s">
        <v>15342</v>
      </c>
      <c r="D5693" s="141" t="s">
        <v>5137</v>
      </c>
      <c r="E5693" s="140" t="s">
        <v>15343</v>
      </c>
      <c r="F5693" s="140" t="s">
        <v>15344</v>
      </c>
      <c r="G5693" s="140"/>
    </row>
    <row r="5694" spans="2:7" hidden="1">
      <c r="B5694" s="141" t="s">
        <v>15345</v>
      </c>
      <c r="C5694" s="141" t="s">
        <v>15346</v>
      </c>
      <c r="D5694" s="141" t="s">
        <v>4667</v>
      </c>
      <c r="E5694" s="140" t="s">
        <v>15347</v>
      </c>
      <c r="F5694" s="140" t="s">
        <v>15348</v>
      </c>
      <c r="G5694" s="140"/>
    </row>
    <row r="5695" spans="2:7" hidden="1">
      <c r="B5695" s="140" t="s">
        <v>15349</v>
      </c>
      <c r="C5695" s="140"/>
      <c r="D5695" s="140" t="s">
        <v>15350</v>
      </c>
      <c r="E5695" s="140"/>
      <c r="F5695" s="140"/>
      <c r="G5695" s="140"/>
    </row>
    <row r="5696" spans="2:7" hidden="1">
      <c r="B5696" s="141" t="s">
        <v>15351</v>
      </c>
      <c r="C5696" s="140"/>
      <c r="D5696" s="141" t="s">
        <v>6467</v>
      </c>
      <c r="E5696" s="140"/>
      <c r="F5696" s="140"/>
      <c r="G5696" s="140"/>
    </row>
    <row r="5697" spans="2:7" hidden="1">
      <c r="B5697" s="141" t="s">
        <v>15352</v>
      </c>
      <c r="C5697" s="140" t="s">
        <v>15353</v>
      </c>
      <c r="D5697" s="141" t="s">
        <v>15354</v>
      </c>
      <c r="E5697" s="140"/>
      <c r="F5697" s="140"/>
      <c r="G5697" s="140"/>
    </row>
    <row r="5698" spans="2:7" hidden="1">
      <c r="B5698" s="141" t="s">
        <v>15355</v>
      </c>
      <c r="C5698" s="140"/>
      <c r="D5698" s="141" t="s">
        <v>15356</v>
      </c>
      <c r="E5698" s="140"/>
      <c r="F5698" s="140"/>
      <c r="G5698" s="140"/>
    </row>
    <row r="5699" spans="2:7" hidden="1">
      <c r="B5699" s="140" t="s">
        <v>20314</v>
      </c>
      <c r="C5699" s="140" t="s">
        <v>20315</v>
      </c>
      <c r="D5699" s="140" t="s">
        <v>20317</v>
      </c>
      <c r="E5699" s="142" t="s">
        <v>20316</v>
      </c>
      <c r="F5699" s="142"/>
      <c r="G5699" s="140"/>
    </row>
    <row r="5700" spans="2:7" hidden="1">
      <c r="B5700" s="141" t="s">
        <v>21898</v>
      </c>
      <c r="C5700" s="140"/>
      <c r="D5700" s="141" t="s">
        <v>15357</v>
      </c>
      <c r="E5700" s="140"/>
      <c r="F5700" s="140"/>
      <c r="G5700" s="140"/>
    </row>
    <row r="5701" spans="2:7" hidden="1">
      <c r="B5701" s="141" t="s">
        <v>15358</v>
      </c>
      <c r="C5701" s="140"/>
      <c r="D5701" s="141" t="s">
        <v>14818</v>
      </c>
      <c r="E5701" s="140"/>
      <c r="F5701" s="140"/>
      <c r="G5701" s="140"/>
    </row>
    <row r="5702" spans="2:7" hidden="1">
      <c r="B5702" s="140" t="s">
        <v>15359</v>
      </c>
      <c r="C5702" s="140" t="s">
        <v>15360</v>
      </c>
      <c r="D5702" s="140" t="s">
        <v>15361</v>
      </c>
      <c r="E5702" s="140" t="s">
        <v>15362</v>
      </c>
      <c r="F5702" s="140" t="s">
        <v>15363</v>
      </c>
      <c r="G5702" s="140"/>
    </row>
    <row r="5703" spans="2:7" hidden="1">
      <c r="B5703" s="140" t="s">
        <v>15364</v>
      </c>
      <c r="C5703" s="140"/>
      <c r="D5703" s="140" t="s">
        <v>15365</v>
      </c>
      <c r="E5703" s="142"/>
      <c r="F5703" s="142"/>
      <c r="G5703" s="140"/>
    </row>
    <row r="5704" spans="2:7" hidden="1">
      <c r="B5704" s="141" t="s">
        <v>15366</v>
      </c>
      <c r="C5704" s="140" t="s">
        <v>15367</v>
      </c>
      <c r="D5704" s="141" t="s">
        <v>15368</v>
      </c>
      <c r="E5704" s="140" t="s">
        <v>15369</v>
      </c>
      <c r="F5704" s="140"/>
      <c r="G5704" s="140"/>
    </row>
    <row r="5705" spans="2:7" hidden="1">
      <c r="B5705" s="141" t="s">
        <v>15370</v>
      </c>
      <c r="C5705" s="140"/>
      <c r="D5705" s="141" t="s">
        <v>15371</v>
      </c>
      <c r="E5705" s="140"/>
      <c r="F5705" s="140"/>
      <c r="G5705" s="140"/>
    </row>
    <row r="5706" spans="2:7" hidden="1">
      <c r="B5706" s="141" t="s">
        <v>15372</v>
      </c>
      <c r="C5706" s="140"/>
      <c r="D5706" s="141" t="s">
        <v>10321</v>
      </c>
      <c r="E5706" s="140"/>
      <c r="F5706" s="140"/>
      <c r="G5706" s="140"/>
    </row>
    <row r="5707" spans="2:7" hidden="1">
      <c r="B5707" s="141" t="s">
        <v>15373</v>
      </c>
      <c r="C5707" s="140"/>
      <c r="D5707" s="141" t="s">
        <v>15374</v>
      </c>
      <c r="E5707" s="140"/>
      <c r="F5707" s="140"/>
      <c r="G5707" s="140"/>
    </row>
    <row r="5708" spans="2:7" hidden="1">
      <c r="B5708" s="141" t="s">
        <v>15375</v>
      </c>
      <c r="C5708" s="140"/>
      <c r="D5708" s="141" t="s">
        <v>14762</v>
      </c>
      <c r="E5708" s="140"/>
      <c r="F5708" s="140"/>
      <c r="G5708" s="140"/>
    </row>
    <row r="5709" spans="2:7" hidden="1">
      <c r="B5709" s="140" t="s">
        <v>15376</v>
      </c>
      <c r="C5709" s="140"/>
      <c r="D5709" s="140" t="s">
        <v>9911</v>
      </c>
      <c r="E5709" s="142"/>
      <c r="F5709" s="142"/>
      <c r="G5709" s="140"/>
    </row>
    <row r="5710" spans="2:7" hidden="1">
      <c r="B5710" s="140" t="s">
        <v>21899</v>
      </c>
      <c r="C5710" s="140" t="s">
        <v>15377</v>
      </c>
      <c r="D5710" s="140" t="s">
        <v>15378</v>
      </c>
      <c r="E5710" s="142"/>
      <c r="F5710" s="142"/>
      <c r="G5710" s="140"/>
    </row>
    <row r="5711" spans="2:7" hidden="1">
      <c r="B5711" s="141" t="s">
        <v>15379</v>
      </c>
      <c r="C5711" s="140"/>
      <c r="D5711" s="141" t="s">
        <v>1249</v>
      </c>
      <c r="E5711" s="140"/>
      <c r="F5711" s="140"/>
      <c r="G5711" s="140"/>
    </row>
    <row r="5712" spans="2:7" hidden="1">
      <c r="B5712" s="141" t="s">
        <v>15380</v>
      </c>
      <c r="C5712" s="140"/>
      <c r="D5712" s="141" t="s">
        <v>4935</v>
      </c>
      <c r="E5712" s="140"/>
      <c r="F5712" s="140"/>
      <c r="G5712" s="140"/>
    </row>
    <row r="5713" spans="2:7" hidden="1">
      <c r="B5713" s="140" t="s">
        <v>21900</v>
      </c>
      <c r="C5713" s="140"/>
      <c r="D5713" s="140" t="s">
        <v>14858</v>
      </c>
      <c r="E5713" s="142"/>
      <c r="F5713" s="142"/>
      <c r="G5713" s="140"/>
    </row>
    <row r="5714" spans="2:7" hidden="1">
      <c r="B5714" s="140" t="s">
        <v>22214</v>
      </c>
      <c r="C5714" s="140" t="s">
        <v>22215</v>
      </c>
      <c r="D5714" s="140" t="s">
        <v>22216</v>
      </c>
      <c r="E5714" s="142"/>
      <c r="F5714" s="142"/>
      <c r="G5714" s="140"/>
    </row>
    <row r="5715" spans="2:7" hidden="1">
      <c r="B5715" s="141" t="s">
        <v>15381</v>
      </c>
      <c r="C5715" s="140"/>
      <c r="D5715" s="141" t="s">
        <v>10324</v>
      </c>
      <c r="E5715" s="140"/>
      <c r="F5715" s="140"/>
      <c r="G5715" s="140"/>
    </row>
    <row r="5716" spans="2:7" hidden="1">
      <c r="B5716" s="141" t="s">
        <v>15382</v>
      </c>
      <c r="C5716" s="140" t="s">
        <v>15383</v>
      </c>
      <c r="D5716" s="141" t="s">
        <v>13040</v>
      </c>
      <c r="E5716" s="140"/>
      <c r="F5716" s="140"/>
      <c r="G5716" s="140"/>
    </row>
    <row r="5717" spans="2:7" hidden="1">
      <c r="B5717" s="140" t="s">
        <v>15384</v>
      </c>
      <c r="C5717" s="140"/>
      <c r="D5717" s="140" t="s">
        <v>6137</v>
      </c>
      <c r="E5717" s="142"/>
      <c r="F5717" s="142"/>
      <c r="G5717" s="140"/>
    </row>
    <row r="5718" spans="2:7" hidden="1">
      <c r="B5718" s="140" t="s">
        <v>15385</v>
      </c>
      <c r="C5718" s="140" t="s">
        <v>15386</v>
      </c>
      <c r="D5718" s="140" t="s">
        <v>15387</v>
      </c>
      <c r="E5718" s="140" t="s">
        <v>5926</v>
      </c>
      <c r="F5718" s="140" t="s">
        <v>5927</v>
      </c>
      <c r="G5718" s="140"/>
    </row>
    <row r="5719" spans="2:7" hidden="1">
      <c r="B5719" s="141" t="s">
        <v>15388</v>
      </c>
      <c r="C5719" s="141"/>
      <c r="D5719" s="141" t="s">
        <v>15389</v>
      </c>
      <c r="E5719" s="141"/>
      <c r="F5719" s="141"/>
      <c r="G5719" s="140"/>
    </row>
    <row r="5720" spans="2:7" hidden="1">
      <c r="B5720" s="141" t="s">
        <v>15390</v>
      </c>
      <c r="C5720" s="141"/>
      <c r="D5720" s="141" t="s">
        <v>15391</v>
      </c>
      <c r="E5720" s="140"/>
      <c r="F5720" s="140"/>
      <c r="G5720" s="140"/>
    </row>
    <row r="5721" spans="2:7" hidden="1">
      <c r="B5721" s="141" t="s">
        <v>15392</v>
      </c>
      <c r="C5721" s="140"/>
      <c r="D5721" s="141" t="s">
        <v>10618</v>
      </c>
      <c r="E5721" s="140"/>
      <c r="F5721" s="140"/>
      <c r="G5721" s="140"/>
    </row>
    <row r="5722" spans="2:7" hidden="1">
      <c r="B5722" s="140" t="s">
        <v>15393</v>
      </c>
      <c r="C5722" s="140"/>
      <c r="D5722" s="140" t="s">
        <v>8628</v>
      </c>
      <c r="E5722" s="142"/>
      <c r="F5722" s="142"/>
      <c r="G5722" s="140"/>
    </row>
    <row r="5723" spans="2:7" hidden="1">
      <c r="B5723" s="141" t="s">
        <v>15394</v>
      </c>
      <c r="C5723" s="140"/>
      <c r="D5723" s="141" t="s">
        <v>9860</v>
      </c>
      <c r="E5723" s="140"/>
      <c r="F5723" s="140"/>
      <c r="G5723" s="140"/>
    </row>
    <row r="5724" spans="2:7" hidden="1">
      <c r="B5724" s="141" t="s">
        <v>15395</v>
      </c>
      <c r="C5724" s="140"/>
      <c r="D5724" s="141" t="s">
        <v>15396</v>
      </c>
      <c r="E5724" s="140"/>
      <c r="F5724" s="140"/>
      <c r="G5724" s="140"/>
    </row>
    <row r="5725" spans="2:7" hidden="1">
      <c r="B5725" s="140" t="s">
        <v>21901</v>
      </c>
      <c r="C5725" s="140" t="s">
        <v>15397</v>
      </c>
      <c r="D5725" s="140" t="s">
        <v>15398</v>
      </c>
      <c r="E5725" s="142" t="s">
        <v>15399</v>
      </c>
      <c r="F5725" s="142"/>
      <c r="G5725" s="140"/>
    </row>
    <row r="5726" spans="2:7" hidden="1">
      <c r="B5726" s="140" t="s">
        <v>15400</v>
      </c>
      <c r="C5726" s="140"/>
      <c r="D5726" s="140" t="s">
        <v>15401</v>
      </c>
      <c r="E5726" s="142"/>
      <c r="F5726" s="142"/>
      <c r="G5726" s="140"/>
    </row>
    <row r="5727" spans="2:7" hidden="1">
      <c r="B5727" s="141" t="s">
        <v>15402</v>
      </c>
      <c r="C5727" s="140" t="s">
        <v>15403</v>
      </c>
      <c r="D5727" s="141" t="s">
        <v>15404</v>
      </c>
      <c r="E5727" s="140"/>
      <c r="F5727" s="140"/>
      <c r="G5727" s="140"/>
    </row>
    <row r="5728" spans="2:7" hidden="1">
      <c r="B5728" s="141" t="s">
        <v>15405</v>
      </c>
      <c r="C5728" s="140"/>
      <c r="D5728" s="141" t="s">
        <v>15406</v>
      </c>
      <c r="E5728" s="140"/>
      <c r="F5728" s="140"/>
      <c r="G5728" s="140"/>
    </row>
    <row r="5729" spans="2:7" hidden="1">
      <c r="B5729" s="141" t="s">
        <v>21902</v>
      </c>
      <c r="C5729" s="140"/>
      <c r="D5729" s="141" t="s">
        <v>8393</v>
      </c>
      <c r="E5729" s="140"/>
      <c r="F5729" s="140"/>
      <c r="G5729" s="140"/>
    </row>
    <row r="5730" spans="2:7" hidden="1">
      <c r="B5730" s="141" t="s">
        <v>21903</v>
      </c>
      <c r="C5730" s="140"/>
      <c r="D5730" s="141" t="s">
        <v>3943</v>
      </c>
      <c r="E5730" s="140"/>
      <c r="F5730" s="140"/>
      <c r="G5730" s="140"/>
    </row>
    <row r="5731" spans="2:7" hidden="1">
      <c r="B5731" s="140" t="s">
        <v>15407</v>
      </c>
      <c r="C5731" s="140"/>
      <c r="D5731" s="140" t="s">
        <v>5551</v>
      </c>
      <c r="E5731" s="142"/>
      <c r="F5731" s="142"/>
      <c r="G5731" s="140"/>
    </row>
    <row r="5732" spans="2:7" hidden="1">
      <c r="B5732" s="141" t="s">
        <v>15408</v>
      </c>
      <c r="C5732" s="141"/>
      <c r="D5732" s="141" t="s">
        <v>8126</v>
      </c>
      <c r="E5732" s="141"/>
      <c r="F5732" s="141"/>
      <c r="G5732" s="140"/>
    </row>
    <row r="5733" spans="2:7" hidden="1">
      <c r="B5733" s="140" t="s">
        <v>22140</v>
      </c>
      <c r="C5733" s="140" t="s">
        <v>22141</v>
      </c>
      <c r="D5733" s="140" t="s">
        <v>22142</v>
      </c>
      <c r="E5733" s="142"/>
      <c r="F5733" s="142"/>
      <c r="G5733" s="140"/>
    </row>
    <row r="5734" spans="2:7" hidden="1">
      <c r="B5734" s="141" t="s">
        <v>15409</v>
      </c>
      <c r="C5734" s="140"/>
      <c r="D5734" s="141" t="s">
        <v>4524</v>
      </c>
      <c r="E5734" s="140"/>
      <c r="F5734" s="140"/>
      <c r="G5734" s="140"/>
    </row>
    <row r="5735" spans="2:7" hidden="1">
      <c r="B5735" s="141" t="s">
        <v>15410</v>
      </c>
      <c r="C5735" s="140"/>
      <c r="D5735" s="141" t="s">
        <v>13960</v>
      </c>
      <c r="E5735" s="140"/>
      <c r="F5735" s="140"/>
      <c r="G5735" s="140"/>
    </row>
    <row r="5736" spans="2:7" hidden="1">
      <c r="B5736" s="141" t="s">
        <v>15411</v>
      </c>
      <c r="C5736" s="140"/>
      <c r="D5736" s="141" t="s">
        <v>15412</v>
      </c>
      <c r="E5736" s="140"/>
      <c r="F5736" s="140"/>
      <c r="G5736" s="140"/>
    </row>
    <row r="5737" spans="2:7" hidden="1">
      <c r="B5737" s="141" t="s">
        <v>15413</v>
      </c>
      <c r="C5737" s="140"/>
      <c r="D5737" s="141" t="s">
        <v>15414</v>
      </c>
      <c r="E5737" s="140"/>
      <c r="F5737" s="140"/>
      <c r="G5737" s="140"/>
    </row>
    <row r="5738" spans="2:7" hidden="1">
      <c r="B5738" s="141" t="s">
        <v>15415</v>
      </c>
      <c r="C5738" s="140"/>
      <c r="D5738" s="141" t="s">
        <v>15416</v>
      </c>
      <c r="E5738" s="140"/>
      <c r="F5738" s="140"/>
      <c r="G5738" s="140"/>
    </row>
    <row r="5739" spans="2:7" hidden="1">
      <c r="B5739" s="141" t="s">
        <v>15417</v>
      </c>
      <c r="C5739" s="140" t="s">
        <v>15418</v>
      </c>
      <c r="D5739" s="141" t="s">
        <v>15419</v>
      </c>
      <c r="E5739" s="140"/>
      <c r="F5739" s="140"/>
      <c r="G5739" s="140" t="s">
        <v>21395</v>
      </c>
    </row>
    <row r="5740" spans="2:7" hidden="1">
      <c r="B5740" s="141" t="s">
        <v>21904</v>
      </c>
      <c r="C5740" s="140" t="s">
        <v>15420</v>
      </c>
      <c r="D5740" s="141" t="s">
        <v>15421</v>
      </c>
      <c r="E5740" s="140" t="s">
        <v>15422</v>
      </c>
      <c r="F5740" s="140"/>
      <c r="G5740" s="140"/>
    </row>
    <row r="5741" spans="2:7" hidden="1">
      <c r="B5741" s="141" t="s">
        <v>15423</v>
      </c>
      <c r="C5741" s="141"/>
      <c r="D5741" s="141" t="s">
        <v>15424</v>
      </c>
      <c r="E5741" s="141"/>
      <c r="F5741" s="141"/>
      <c r="G5741" s="140"/>
    </row>
    <row r="5742" spans="2:7" hidden="1">
      <c r="B5742" s="141" t="s">
        <v>15425</v>
      </c>
      <c r="C5742" s="140"/>
      <c r="D5742" s="141" t="s">
        <v>15426</v>
      </c>
      <c r="E5742" s="140"/>
      <c r="F5742" s="140"/>
      <c r="G5742" s="140"/>
    </row>
    <row r="5743" spans="2:7" hidden="1">
      <c r="B5743" s="141" t="s">
        <v>15427</v>
      </c>
      <c r="C5743" s="140"/>
      <c r="D5743" s="141" t="s">
        <v>15428</v>
      </c>
      <c r="E5743" s="140"/>
      <c r="F5743" s="140"/>
      <c r="G5743" s="140"/>
    </row>
    <row r="5744" spans="2:7" hidden="1">
      <c r="B5744" s="141" t="s">
        <v>15429</v>
      </c>
      <c r="C5744" s="140"/>
      <c r="D5744" s="141" t="s">
        <v>6963</v>
      </c>
      <c r="E5744" s="140"/>
      <c r="F5744" s="140"/>
      <c r="G5744" s="140"/>
    </row>
    <row r="5745" spans="2:7" hidden="1">
      <c r="B5745" s="141" t="s">
        <v>15430</v>
      </c>
      <c r="C5745" s="140" t="s">
        <v>15431</v>
      </c>
      <c r="D5745" s="141" t="s">
        <v>15432</v>
      </c>
      <c r="E5745" s="140" t="s">
        <v>15433</v>
      </c>
      <c r="F5745" s="140" t="s">
        <v>15434</v>
      </c>
      <c r="G5745" s="140"/>
    </row>
    <row r="5746" spans="2:7" hidden="1">
      <c r="B5746" s="141" t="s">
        <v>15435</v>
      </c>
      <c r="C5746" s="140" t="s">
        <v>15436</v>
      </c>
      <c r="D5746" s="141" t="s">
        <v>15437</v>
      </c>
      <c r="E5746" s="140"/>
      <c r="F5746" s="140"/>
      <c r="G5746" s="140"/>
    </row>
    <row r="5747" spans="2:7" hidden="1">
      <c r="B5747" s="141" t="s">
        <v>15438</v>
      </c>
      <c r="C5747" s="140" t="s">
        <v>15439</v>
      </c>
      <c r="D5747" s="141" t="s">
        <v>4073</v>
      </c>
      <c r="E5747" s="140" t="s">
        <v>15440</v>
      </c>
      <c r="F5747" s="140"/>
      <c r="G5747" s="140"/>
    </row>
    <row r="5748" spans="2:7" hidden="1">
      <c r="B5748" s="141" t="s">
        <v>15441</v>
      </c>
      <c r="C5748" s="140"/>
      <c r="D5748" s="141" t="s">
        <v>15442</v>
      </c>
      <c r="E5748" s="140"/>
      <c r="F5748" s="140"/>
      <c r="G5748" s="140"/>
    </row>
    <row r="5749" spans="2:7" hidden="1">
      <c r="B5749" s="141" t="s">
        <v>15443</v>
      </c>
      <c r="C5749" s="140"/>
      <c r="D5749" s="141" t="s">
        <v>10229</v>
      </c>
      <c r="E5749" s="140"/>
      <c r="F5749" s="140"/>
      <c r="G5749" s="140"/>
    </row>
    <row r="5750" spans="2:7" hidden="1">
      <c r="B5750" s="141" t="s">
        <v>15444</v>
      </c>
      <c r="C5750" s="140"/>
      <c r="D5750" s="141" t="s">
        <v>15445</v>
      </c>
      <c r="E5750" s="140"/>
      <c r="F5750" s="140"/>
      <c r="G5750" s="140"/>
    </row>
    <row r="5751" spans="2:7" hidden="1">
      <c r="B5751" s="141" t="s">
        <v>15446</v>
      </c>
      <c r="C5751" s="140" t="s">
        <v>15447</v>
      </c>
      <c r="D5751" s="140" t="s">
        <v>15448</v>
      </c>
      <c r="E5751" s="140" t="s">
        <v>15449</v>
      </c>
      <c r="F5751" s="140"/>
      <c r="G5751" s="140"/>
    </row>
    <row r="5752" spans="2:7" hidden="1">
      <c r="B5752" s="141" t="s">
        <v>15457</v>
      </c>
      <c r="C5752" s="141"/>
      <c r="D5752" s="141"/>
      <c r="E5752" s="141"/>
      <c r="F5752" s="140"/>
      <c r="G5752" s="140"/>
    </row>
    <row r="5753" spans="2:7" hidden="1">
      <c r="B5753" s="141" t="s">
        <v>15458</v>
      </c>
      <c r="C5753" s="140"/>
      <c r="D5753" s="141" t="s">
        <v>15459</v>
      </c>
      <c r="E5753" s="140"/>
      <c r="F5753" s="140"/>
      <c r="G5753" s="140"/>
    </row>
    <row r="5754" spans="2:7" hidden="1">
      <c r="B5754" s="141" t="s">
        <v>15460</v>
      </c>
      <c r="C5754" s="140"/>
      <c r="D5754" s="141" t="s">
        <v>15461</v>
      </c>
      <c r="E5754" s="140"/>
      <c r="F5754" s="140"/>
      <c r="G5754" s="140"/>
    </row>
    <row r="5755" spans="2:7" hidden="1">
      <c r="B5755" s="141" t="s">
        <v>15462</v>
      </c>
      <c r="C5755" s="140" t="s">
        <v>15463</v>
      </c>
      <c r="D5755" s="141" t="s">
        <v>15464</v>
      </c>
      <c r="E5755" s="140" t="s">
        <v>15465</v>
      </c>
      <c r="F5755" s="140" t="s">
        <v>15466</v>
      </c>
      <c r="G5755" s="140"/>
    </row>
    <row r="5756" spans="2:7" hidden="1">
      <c r="B5756" s="140" t="s">
        <v>15467</v>
      </c>
      <c r="C5756" s="140"/>
      <c r="D5756" s="140" t="s">
        <v>15468</v>
      </c>
      <c r="E5756" s="142" t="s">
        <v>15469</v>
      </c>
      <c r="F5756" s="142"/>
      <c r="G5756" s="140"/>
    </row>
    <row r="5757" spans="2:7" hidden="1">
      <c r="B5757" s="140" t="s">
        <v>15470</v>
      </c>
      <c r="C5757" s="140"/>
      <c r="D5757" s="140" t="s">
        <v>7873</v>
      </c>
      <c r="E5757" s="142"/>
      <c r="F5757" s="142"/>
      <c r="G5757" s="140"/>
    </row>
    <row r="5758" spans="2:7" hidden="1">
      <c r="B5758" s="140" t="s">
        <v>15471</v>
      </c>
      <c r="C5758" s="140" t="s">
        <v>15472</v>
      </c>
      <c r="D5758" s="140" t="s">
        <v>15473</v>
      </c>
      <c r="E5758" s="142"/>
      <c r="F5758" s="142"/>
      <c r="G5758" s="140"/>
    </row>
    <row r="5759" spans="2:7" hidden="1">
      <c r="B5759" s="141" t="s">
        <v>15474</v>
      </c>
      <c r="C5759" s="140"/>
      <c r="D5759" s="141" t="s">
        <v>3012</v>
      </c>
      <c r="E5759" s="140"/>
      <c r="F5759" s="140"/>
      <c r="G5759" s="140"/>
    </row>
    <row r="5760" spans="2:7" hidden="1">
      <c r="B5760" s="141" t="s">
        <v>15475</v>
      </c>
      <c r="C5760" s="140" t="s">
        <v>15476</v>
      </c>
      <c r="D5760" s="141" t="s">
        <v>3747</v>
      </c>
      <c r="E5760" s="140" t="s">
        <v>15477</v>
      </c>
      <c r="F5760" s="140"/>
      <c r="G5760" s="140"/>
    </row>
    <row r="5761" spans="2:7" hidden="1">
      <c r="B5761" s="140" t="s">
        <v>15478</v>
      </c>
      <c r="C5761" s="140"/>
      <c r="D5761" s="140" t="s">
        <v>4365</v>
      </c>
      <c r="E5761" s="142"/>
      <c r="F5761" s="142"/>
      <c r="G5761" s="140"/>
    </row>
    <row r="5762" spans="2:7" hidden="1">
      <c r="B5762" s="140" t="s">
        <v>15479</v>
      </c>
      <c r="C5762" s="140" t="s">
        <v>15480</v>
      </c>
      <c r="D5762" s="140" t="s">
        <v>15481</v>
      </c>
      <c r="E5762" s="142" t="s">
        <v>15482</v>
      </c>
      <c r="F5762" s="142"/>
      <c r="G5762" s="140"/>
    </row>
    <row r="5763" spans="2:7" hidden="1">
      <c r="B5763" s="141" t="s">
        <v>15483</v>
      </c>
      <c r="C5763" s="140"/>
      <c r="D5763" s="141" t="s">
        <v>3355</v>
      </c>
      <c r="E5763" s="140"/>
      <c r="F5763" s="140"/>
      <c r="G5763" s="140"/>
    </row>
    <row r="5764" spans="2:7" hidden="1">
      <c r="B5764" s="141" t="s">
        <v>15484</v>
      </c>
      <c r="C5764" s="140"/>
      <c r="D5764" s="141" t="s">
        <v>15485</v>
      </c>
      <c r="E5764" s="140"/>
      <c r="F5764" s="140"/>
      <c r="G5764" s="140"/>
    </row>
    <row r="5765" spans="2:7" hidden="1">
      <c r="B5765" s="141" t="s">
        <v>15486</v>
      </c>
      <c r="C5765" s="140"/>
      <c r="D5765" s="141" t="s">
        <v>15060</v>
      </c>
      <c r="E5765" s="140"/>
      <c r="F5765" s="140"/>
      <c r="G5765" s="140"/>
    </row>
    <row r="5766" spans="2:7" hidden="1">
      <c r="B5766" s="141" t="s">
        <v>21905</v>
      </c>
      <c r="C5766" s="140" t="s">
        <v>15487</v>
      </c>
      <c r="D5766" s="141" t="s">
        <v>9584</v>
      </c>
      <c r="E5766" s="140" t="s">
        <v>15488</v>
      </c>
      <c r="F5766" s="140"/>
      <c r="G5766" s="140"/>
    </row>
    <row r="5767" spans="2:7" hidden="1">
      <c r="B5767" s="141" t="s">
        <v>15489</v>
      </c>
      <c r="C5767" s="140"/>
      <c r="D5767" s="141" t="s">
        <v>15490</v>
      </c>
      <c r="E5767" s="140"/>
      <c r="F5767" s="140"/>
      <c r="G5767" s="140"/>
    </row>
    <row r="5768" spans="2:7" hidden="1">
      <c r="B5768" s="141" t="s">
        <v>15491</v>
      </c>
      <c r="C5768" s="140"/>
      <c r="D5768" s="141" t="s">
        <v>15492</v>
      </c>
      <c r="E5768" s="140"/>
      <c r="F5768" s="140"/>
      <c r="G5768" s="140"/>
    </row>
    <row r="5769" spans="2:7" hidden="1">
      <c r="B5769" s="141" t="s">
        <v>15493</v>
      </c>
      <c r="C5769" s="140"/>
      <c r="D5769" s="141" t="s">
        <v>7922</v>
      </c>
      <c r="E5769" s="140"/>
      <c r="F5769" s="140"/>
      <c r="G5769" s="140"/>
    </row>
    <row r="5770" spans="2:7" hidden="1">
      <c r="B5770" s="141" t="s">
        <v>15494</v>
      </c>
      <c r="C5770" s="140"/>
      <c r="D5770" s="141" t="s">
        <v>15495</v>
      </c>
      <c r="E5770" s="140"/>
      <c r="F5770" s="140"/>
      <c r="G5770" s="140"/>
    </row>
    <row r="5771" spans="2:7" hidden="1">
      <c r="B5771" s="141" t="s">
        <v>21906</v>
      </c>
      <c r="C5771" s="140"/>
      <c r="D5771" s="141" t="s">
        <v>15496</v>
      </c>
      <c r="E5771" s="140"/>
      <c r="F5771" s="140"/>
      <c r="G5771" s="140"/>
    </row>
    <row r="5772" spans="2:7" hidden="1">
      <c r="B5772" s="141" t="s">
        <v>21907</v>
      </c>
      <c r="C5772" s="140" t="s">
        <v>15497</v>
      </c>
      <c r="D5772" s="141" t="s">
        <v>11439</v>
      </c>
      <c r="E5772" s="140" t="s">
        <v>15498</v>
      </c>
      <c r="F5772" s="140"/>
      <c r="G5772" s="140"/>
    </row>
    <row r="5773" spans="2:7" hidden="1">
      <c r="B5773" s="140" t="s">
        <v>15499</v>
      </c>
      <c r="C5773" s="140"/>
      <c r="D5773" s="140" t="s">
        <v>15500</v>
      </c>
      <c r="E5773" s="142"/>
      <c r="F5773" s="142"/>
      <c r="G5773" s="140"/>
    </row>
    <row r="5774" spans="2:7" hidden="1">
      <c r="B5774" s="141" t="s">
        <v>21908</v>
      </c>
      <c r="C5774" s="140"/>
      <c r="D5774" s="141" t="s">
        <v>10374</v>
      </c>
      <c r="E5774" s="140"/>
      <c r="F5774" s="140"/>
      <c r="G5774" s="140"/>
    </row>
    <row r="5775" spans="2:7" hidden="1">
      <c r="B5775" s="141" t="s">
        <v>15501</v>
      </c>
      <c r="C5775" s="140"/>
      <c r="D5775" s="141" t="s">
        <v>4731</v>
      </c>
      <c r="E5775" s="140"/>
      <c r="F5775" s="140"/>
      <c r="G5775" s="140"/>
    </row>
    <row r="5776" spans="2:7" hidden="1">
      <c r="B5776" s="141" t="s">
        <v>15502</v>
      </c>
      <c r="C5776" s="141"/>
      <c r="D5776" s="141" t="s">
        <v>15503</v>
      </c>
      <c r="E5776" s="141"/>
      <c r="F5776" s="140"/>
      <c r="G5776" s="140"/>
    </row>
    <row r="5777" spans="2:7" hidden="1">
      <c r="B5777" s="141" t="s">
        <v>15504</v>
      </c>
      <c r="C5777" s="141"/>
      <c r="D5777" s="141" t="s">
        <v>15505</v>
      </c>
      <c r="E5777" s="140"/>
      <c r="F5777" s="140"/>
      <c r="G5777" s="140"/>
    </row>
    <row r="5778" spans="2:7" hidden="1">
      <c r="B5778" s="141" t="s">
        <v>15506</v>
      </c>
      <c r="C5778" s="140"/>
      <c r="D5778" s="141" t="s">
        <v>15507</v>
      </c>
      <c r="E5778" s="140"/>
      <c r="F5778" s="140"/>
      <c r="G5778" s="140"/>
    </row>
    <row r="5779" spans="2:7" hidden="1">
      <c r="B5779" s="141" t="s">
        <v>21909</v>
      </c>
      <c r="C5779" s="140"/>
      <c r="D5779" s="141" t="s">
        <v>15508</v>
      </c>
      <c r="E5779" s="140"/>
      <c r="F5779" s="140"/>
      <c r="G5779" s="140"/>
    </row>
    <row r="5780" spans="2:7" hidden="1">
      <c r="B5780" s="141" t="s">
        <v>15509</v>
      </c>
      <c r="C5780" s="140"/>
      <c r="D5780" s="141" t="s">
        <v>6536</v>
      </c>
      <c r="E5780" s="140"/>
      <c r="F5780" s="140"/>
      <c r="G5780" s="140"/>
    </row>
    <row r="5781" spans="2:7" hidden="1">
      <c r="B5781" s="141" t="s">
        <v>15510</v>
      </c>
      <c r="C5781" s="140" t="s">
        <v>15511</v>
      </c>
      <c r="D5781" s="141" t="s">
        <v>3884</v>
      </c>
      <c r="E5781" s="140" t="s">
        <v>15512</v>
      </c>
      <c r="F5781" s="140" t="s">
        <v>15513</v>
      </c>
      <c r="G5781" s="140"/>
    </row>
    <row r="5782" spans="2:7" hidden="1">
      <c r="B5782" s="141" t="s">
        <v>15514</v>
      </c>
      <c r="C5782" s="140"/>
      <c r="D5782" s="141" t="s">
        <v>15515</v>
      </c>
      <c r="E5782" s="140"/>
      <c r="F5782" s="140"/>
      <c r="G5782" s="140"/>
    </row>
    <row r="5783" spans="2:7" hidden="1">
      <c r="B5783" s="141" t="s">
        <v>15516</v>
      </c>
      <c r="C5783" s="140"/>
      <c r="D5783" s="141" t="s">
        <v>15517</v>
      </c>
      <c r="E5783" s="140"/>
      <c r="F5783" s="140"/>
      <c r="G5783" s="140"/>
    </row>
    <row r="5784" spans="2:7" hidden="1">
      <c r="B5784" s="141" t="s">
        <v>15518</v>
      </c>
      <c r="C5784" s="140"/>
      <c r="D5784" s="141" t="s">
        <v>15519</v>
      </c>
      <c r="E5784" s="140"/>
      <c r="F5784" s="140"/>
      <c r="G5784" s="140"/>
    </row>
    <row r="5785" spans="2:7" hidden="1">
      <c r="B5785" s="141" t="s">
        <v>15520</v>
      </c>
      <c r="C5785" s="140"/>
      <c r="D5785" s="141" t="s">
        <v>2018</v>
      </c>
      <c r="E5785" s="140"/>
      <c r="F5785" s="140"/>
      <c r="G5785" s="140"/>
    </row>
    <row r="5786" spans="2:7" hidden="1">
      <c r="B5786" s="141" t="s">
        <v>15521</v>
      </c>
      <c r="C5786" s="140"/>
      <c r="D5786" s="141" t="s">
        <v>15522</v>
      </c>
      <c r="E5786" s="140"/>
      <c r="F5786" s="140"/>
      <c r="G5786" s="140"/>
    </row>
    <row r="5787" spans="2:7" hidden="1">
      <c r="B5787" s="140" t="s">
        <v>15523</v>
      </c>
      <c r="C5787" s="140"/>
      <c r="D5787" s="140" t="s">
        <v>15524</v>
      </c>
      <c r="E5787" s="140"/>
      <c r="F5787" s="140"/>
      <c r="G5787" s="140"/>
    </row>
    <row r="5788" spans="2:7" hidden="1">
      <c r="B5788" s="141" t="s">
        <v>15525</v>
      </c>
      <c r="C5788" s="140"/>
      <c r="D5788" s="141" t="s">
        <v>6153</v>
      </c>
      <c r="E5788" s="140"/>
      <c r="F5788" s="140"/>
      <c r="G5788" s="140"/>
    </row>
    <row r="5789" spans="2:7" hidden="1">
      <c r="B5789" s="141" t="s">
        <v>15526</v>
      </c>
      <c r="C5789" s="140"/>
      <c r="D5789" s="141" t="s">
        <v>10305</v>
      </c>
      <c r="E5789" s="140"/>
      <c r="F5789" s="140"/>
      <c r="G5789" s="140"/>
    </row>
    <row r="5790" spans="2:7" hidden="1">
      <c r="B5790" s="140" t="s">
        <v>15527</v>
      </c>
      <c r="C5790" s="140" t="s">
        <v>15528</v>
      </c>
      <c r="D5790" s="140" t="s">
        <v>15529</v>
      </c>
      <c r="E5790" s="142" t="s">
        <v>15530</v>
      </c>
      <c r="F5790" s="142" t="s">
        <v>15531</v>
      </c>
      <c r="G5790" s="140"/>
    </row>
    <row r="5791" spans="2:7" hidden="1">
      <c r="B5791" s="140" t="s">
        <v>15532</v>
      </c>
      <c r="C5791" s="141"/>
      <c r="D5791" s="141" t="s">
        <v>3500</v>
      </c>
      <c r="E5791" s="141" t="s">
        <v>15533</v>
      </c>
      <c r="F5791" s="141" t="s">
        <v>15534</v>
      </c>
      <c r="G5791" s="140"/>
    </row>
    <row r="5792" spans="2:7" hidden="1">
      <c r="B5792" s="141" t="s">
        <v>15535</v>
      </c>
      <c r="C5792" s="140"/>
      <c r="D5792" s="141" t="s">
        <v>14700</v>
      </c>
      <c r="E5792" s="140"/>
      <c r="F5792" s="140"/>
      <c r="G5792" s="140"/>
    </row>
    <row r="5793" spans="2:7" hidden="1">
      <c r="B5793" s="141" t="s">
        <v>15536</v>
      </c>
      <c r="C5793" s="141"/>
      <c r="D5793" s="141" t="s">
        <v>7289</v>
      </c>
      <c r="E5793" s="141"/>
      <c r="F5793" s="140"/>
      <c r="G5793" s="140"/>
    </row>
    <row r="5794" spans="2:7" hidden="1">
      <c r="B5794" s="141" t="s">
        <v>15537</v>
      </c>
      <c r="C5794" s="140"/>
      <c r="D5794" s="141" t="s">
        <v>4821</v>
      </c>
      <c r="E5794" s="140"/>
      <c r="F5794" s="140"/>
      <c r="G5794" s="140"/>
    </row>
    <row r="5795" spans="2:7" hidden="1">
      <c r="B5795" s="140" t="s">
        <v>15538</v>
      </c>
      <c r="C5795" s="140"/>
      <c r="D5795" s="140" t="s">
        <v>15060</v>
      </c>
      <c r="E5795" s="140"/>
      <c r="F5795" s="140"/>
      <c r="G5795" s="140"/>
    </row>
    <row r="5796" spans="2:7" hidden="1">
      <c r="B5796" s="141" t="s">
        <v>15539</v>
      </c>
      <c r="C5796" s="140" t="s">
        <v>15540</v>
      </c>
      <c r="D5796" s="141" t="s">
        <v>15541</v>
      </c>
      <c r="E5796" s="140"/>
      <c r="F5796" s="140"/>
      <c r="G5796" s="140"/>
    </row>
    <row r="5797" spans="2:7" hidden="1">
      <c r="B5797" s="141" t="s">
        <v>15542</v>
      </c>
      <c r="C5797" s="141"/>
      <c r="D5797" s="141" t="s">
        <v>3822</v>
      </c>
      <c r="E5797" s="141"/>
      <c r="F5797" s="140"/>
      <c r="G5797" s="140"/>
    </row>
    <row r="5798" spans="2:7" hidden="1">
      <c r="B5798" s="141" t="s">
        <v>15543</v>
      </c>
      <c r="C5798" s="140"/>
      <c r="D5798" s="141" t="s">
        <v>15544</v>
      </c>
      <c r="E5798" s="140"/>
      <c r="F5798" s="140"/>
      <c r="G5798" s="140"/>
    </row>
    <row r="5799" spans="2:7" hidden="1">
      <c r="B5799" s="141" t="s">
        <v>15545</v>
      </c>
      <c r="C5799" s="141" t="s">
        <v>15546</v>
      </c>
      <c r="D5799" s="141" t="s">
        <v>2334</v>
      </c>
      <c r="E5799" s="140" t="s">
        <v>15547</v>
      </c>
      <c r="F5799" s="140"/>
      <c r="G5799" s="140"/>
    </row>
    <row r="5800" spans="2:7" hidden="1">
      <c r="B5800" s="140" t="s">
        <v>15548</v>
      </c>
      <c r="C5800" s="140" t="s">
        <v>15549</v>
      </c>
      <c r="D5800" s="140" t="s">
        <v>15550</v>
      </c>
      <c r="E5800" s="140" t="s">
        <v>15551</v>
      </c>
      <c r="F5800" s="140"/>
      <c r="G5800" s="140"/>
    </row>
    <row r="5801" spans="2:7" hidden="1">
      <c r="B5801" s="141" t="s">
        <v>15552</v>
      </c>
      <c r="C5801" s="140" t="s">
        <v>15553</v>
      </c>
      <c r="D5801" s="141" t="s">
        <v>15554</v>
      </c>
      <c r="E5801" s="140" t="s">
        <v>6235</v>
      </c>
      <c r="F5801" s="140" t="s">
        <v>6236</v>
      </c>
      <c r="G5801" s="140" t="s">
        <v>15555</v>
      </c>
    </row>
    <row r="5802" spans="2:7" hidden="1">
      <c r="B5802" s="141" t="s">
        <v>15556</v>
      </c>
      <c r="C5802" s="140"/>
      <c r="D5802" s="141" t="s">
        <v>15557</v>
      </c>
      <c r="E5802" s="140"/>
      <c r="F5802" s="140"/>
      <c r="G5802" s="140"/>
    </row>
    <row r="5803" spans="2:7" hidden="1">
      <c r="B5803" s="141" t="s">
        <v>15558</v>
      </c>
      <c r="C5803" s="140"/>
      <c r="D5803" s="141" t="s">
        <v>2570</v>
      </c>
      <c r="E5803" s="140" t="s">
        <v>15559</v>
      </c>
      <c r="F5803" s="140" t="s">
        <v>15560</v>
      </c>
      <c r="G5803" s="140" t="s">
        <v>15561</v>
      </c>
    </row>
    <row r="5804" spans="2:7" hidden="1">
      <c r="B5804" s="140" t="s">
        <v>21281</v>
      </c>
      <c r="C5804" s="140" t="s">
        <v>21282</v>
      </c>
      <c r="D5804" s="140" t="s">
        <v>13555</v>
      </c>
      <c r="E5804" s="142" t="s">
        <v>21283</v>
      </c>
      <c r="F5804" s="142"/>
      <c r="G5804" s="140"/>
    </row>
    <row r="5805" spans="2:7" hidden="1">
      <c r="B5805" s="140" t="s">
        <v>15562</v>
      </c>
      <c r="C5805" s="140"/>
      <c r="D5805" s="141" t="s">
        <v>15563</v>
      </c>
      <c r="E5805" s="140"/>
      <c r="F5805" s="140"/>
      <c r="G5805" s="140"/>
    </row>
    <row r="5806" spans="2:7" hidden="1">
      <c r="B5806" s="141" t="s">
        <v>15564</v>
      </c>
      <c r="C5806" s="140"/>
      <c r="D5806" s="141" t="s">
        <v>8384</v>
      </c>
      <c r="E5806" s="140"/>
      <c r="F5806" s="140"/>
      <c r="G5806" s="140"/>
    </row>
    <row r="5807" spans="2:7" hidden="1">
      <c r="B5807" s="140" t="s">
        <v>15565</v>
      </c>
      <c r="C5807" s="140" t="s">
        <v>15566</v>
      </c>
      <c r="D5807" s="140" t="s">
        <v>15567</v>
      </c>
      <c r="E5807" s="142" t="s">
        <v>15568</v>
      </c>
      <c r="F5807" s="142" t="s">
        <v>15569</v>
      </c>
      <c r="G5807" s="140"/>
    </row>
    <row r="5808" spans="2:7" hidden="1">
      <c r="B5808" s="141" t="s">
        <v>15570</v>
      </c>
      <c r="C5808" s="140" t="s">
        <v>15571</v>
      </c>
      <c r="D5808" s="141" t="s">
        <v>15572</v>
      </c>
      <c r="E5808" s="140">
        <v>3183254351</v>
      </c>
      <c r="F5808" s="140"/>
      <c r="G5808" s="140"/>
    </row>
    <row r="5809" spans="2:7" hidden="1">
      <c r="B5809" s="141" t="s">
        <v>21910</v>
      </c>
      <c r="C5809" s="140"/>
      <c r="D5809" s="141" t="s">
        <v>15573</v>
      </c>
      <c r="E5809" s="140"/>
      <c r="F5809" s="140"/>
      <c r="G5809" s="140"/>
    </row>
    <row r="5810" spans="2:7" hidden="1">
      <c r="B5810" s="140" t="s">
        <v>21911</v>
      </c>
      <c r="C5810" s="140"/>
      <c r="D5810" s="141" t="s">
        <v>15574</v>
      </c>
      <c r="E5810" s="140"/>
      <c r="F5810" s="140"/>
      <c r="G5810" s="140"/>
    </row>
    <row r="5811" spans="2:7" hidden="1">
      <c r="B5811" s="140" t="s">
        <v>15575</v>
      </c>
      <c r="C5811" s="140"/>
      <c r="D5811" s="140" t="s">
        <v>15576</v>
      </c>
      <c r="E5811" s="140"/>
      <c r="F5811" s="140"/>
      <c r="G5811" s="140"/>
    </row>
    <row r="5812" spans="2:7" hidden="1">
      <c r="B5812" s="141" t="s">
        <v>15577</v>
      </c>
      <c r="C5812" s="140"/>
      <c r="D5812" s="141" t="s">
        <v>4129</v>
      </c>
      <c r="E5812" s="140"/>
      <c r="F5812" s="140"/>
      <c r="G5812" s="140"/>
    </row>
    <row r="5813" spans="2:7" hidden="1">
      <c r="B5813" s="141" t="s">
        <v>15578</v>
      </c>
      <c r="C5813" s="140"/>
      <c r="D5813" s="141" t="s">
        <v>15579</v>
      </c>
      <c r="E5813" s="140"/>
      <c r="F5813" s="140"/>
      <c r="G5813" s="140"/>
    </row>
    <row r="5814" spans="2:7" hidden="1">
      <c r="B5814" s="140" t="s">
        <v>21243</v>
      </c>
      <c r="C5814" s="140" t="s">
        <v>21244</v>
      </c>
      <c r="D5814" s="140" t="s">
        <v>21245</v>
      </c>
      <c r="E5814" s="142" t="s">
        <v>21246</v>
      </c>
      <c r="F5814" s="142"/>
      <c r="G5814" s="140"/>
    </row>
    <row r="5815" spans="2:7" hidden="1">
      <c r="B5815" s="141" t="s">
        <v>15580</v>
      </c>
      <c r="C5815" s="140" t="s">
        <v>15581</v>
      </c>
      <c r="D5815" s="141" t="s">
        <v>4230</v>
      </c>
      <c r="E5815" s="140" t="s">
        <v>15582</v>
      </c>
      <c r="F5815" s="140" t="s">
        <v>15583</v>
      </c>
      <c r="G5815" s="140"/>
    </row>
    <row r="5816" spans="2:7" hidden="1">
      <c r="B5816" s="140" t="s">
        <v>15584</v>
      </c>
      <c r="C5816" s="140" t="s">
        <v>15585</v>
      </c>
      <c r="D5816" s="140" t="s">
        <v>15586</v>
      </c>
      <c r="E5816" s="142" t="s">
        <v>15587</v>
      </c>
      <c r="F5816" s="142" t="s">
        <v>15588</v>
      </c>
      <c r="G5816" s="140"/>
    </row>
    <row r="5817" spans="2:7" hidden="1">
      <c r="B5817" s="141" t="s">
        <v>15589</v>
      </c>
      <c r="C5817" s="140" t="s">
        <v>15590</v>
      </c>
      <c r="D5817" s="141" t="s">
        <v>15591</v>
      </c>
      <c r="E5817" s="140" t="s">
        <v>15592</v>
      </c>
      <c r="F5817" s="140" t="s">
        <v>15593</v>
      </c>
      <c r="G5817" s="140"/>
    </row>
    <row r="5818" spans="2:7" hidden="1">
      <c r="B5818" s="141" t="s">
        <v>15594</v>
      </c>
      <c r="C5818" s="141" t="s">
        <v>15595</v>
      </c>
      <c r="D5818" s="141" t="s">
        <v>7003</v>
      </c>
      <c r="E5818" s="141" t="s">
        <v>15596</v>
      </c>
      <c r="F5818" s="140" t="s">
        <v>15597</v>
      </c>
      <c r="G5818" s="140"/>
    </row>
    <row r="5819" spans="2:7" hidden="1">
      <c r="B5819" s="141" t="s">
        <v>15598</v>
      </c>
      <c r="C5819" s="140"/>
      <c r="D5819" s="141" t="s">
        <v>15599</v>
      </c>
      <c r="E5819" s="140"/>
      <c r="F5819" s="140"/>
      <c r="G5819" s="140"/>
    </row>
    <row r="5820" spans="2:7" hidden="1">
      <c r="B5820" s="141" t="s">
        <v>15600</v>
      </c>
      <c r="C5820" s="140"/>
      <c r="D5820" s="141"/>
      <c r="E5820" s="140" t="s">
        <v>15601</v>
      </c>
      <c r="F5820" s="140" t="s">
        <v>15602</v>
      </c>
      <c r="G5820" s="140"/>
    </row>
    <row r="5821" spans="2:7" hidden="1">
      <c r="B5821" s="140" t="s">
        <v>15606</v>
      </c>
      <c r="C5821" s="140"/>
      <c r="D5821" s="140" t="s">
        <v>11314</v>
      </c>
      <c r="E5821" s="142"/>
      <c r="F5821" s="142"/>
      <c r="G5821" s="140"/>
    </row>
    <row r="5822" spans="2:7" hidden="1">
      <c r="B5822" s="141" t="s">
        <v>21912</v>
      </c>
      <c r="C5822" s="140" t="s">
        <v>15603</v>
      </c>
      <c r="D5822" s="141" t="s">
        <v>15604</v>
      </c>
      <c r="E5822" s="140" t="s">
        <v>15605</v>
      </c>
      <c r="F5822" s="140"/>
      <c r="G5822" s="140"/>
    </row>
    <row r="5823" spans="2:7" hidden="1">
      <c r="B5823" s="141" t="s">
        <v>15607</v>
      </c>
      <c r="C5823" s="140" t="s">
        <v>15608</v>
      </c>
      <c r="D5823" s="141" t="s">
        <v>15609</v>
      </c>
      <c r="E5823" s="140" t="s">
        <v>15610</v>
      </c>
      <c r="F5823" s="140"/>
      <c r="G5823" s="140"/>
    </row>
    <row r="5824" spans="2:7" hidden="1">
      <c r="B5824" s="141" t="s">
        <v>15611</v>
      </c>
      <c r="C5824" s="140" t="s">
        <v>15612</v>
      </c>
      <c r="D5824" s="141" t="s">
        <v>15613</v>
      </c>
      <c r="E5824" s="140" t="s">
        <v>15614</v>
      </c>
      <c r="F5824" s="140" t="s">
        <v>15615</v>
      </c>
      <c r="G5824" s="140"/>
    </row>
    <row r="5825" spans="2:7" hidden="1">
      <c r="B5825" s="141" t="s">
        <v>15616</v>
      </c>
      <c r="C5825" s="140"/>
      <c r="D5825" s="141" t="s">
        <v>15617</v>
      </c>
      <c r="E5825" s="140" t="s">
        <v>15618</v>
      </c>
      <c r="F5825" s="140"/>
      <c r="G5825" s="140"/>
    </row>
    <row r="5826" spans="2:7" hidden="1">
      <c r="B5826" s="141" t="s">
        <v>15619</v>
      </c>
      <c r="C5826" s="140"/>
      <c r="D5826" s="141" t="s">
        <v>15620</v>
      </c>
      <c r="E5826" s="140"/>
      <c r="F5826" s="140"/>
      <c r="G5826" s="140"/>
    </row>
    <row r="5827" spans="2:7" hidden="1">
      <c r="B5827" s="141" t="s">
        <v>15621</v>
      </c>
      <c r="C5827" s="140" t="s">
        <v>15622</v>
      </c>
      <c r="D5827" s="141" t="s">
        <v>15623</v>
      </c>
      <c r="E5827" s="140" t="s">
        <v>15624</v>
      </c>
      <c r="F5827" s="140" t="s">
        <v>15625</v>
      </c>
      <c r="G5827" s="140"/>
    </row>
    <row r="5828" spans="2:7" hidden="1">
      <c r="B5828" s="141" t="s">
        <v>15626</v>
      </c>
      <c r="C5828" s="140"/>
      <c r="D5828" s="141" t="s">
        <v>15627</v>
      </c>
      <c r="E5828" s="140"/>
      <c r="F5828" s="140"/>
      <c r="G5828" s="140"/>
    </row>
    <row r="5829" spans="2:7" hidden="1">
      <c r="B5829" s="141" t="s">
        <v>15628</v>
      </c>
      <c r="C5829" s="140"/>
      <c r="D5829" s="141" t="s">
        <v>15629</v>
      </c>
      <c r="E5829" s="140"/>
      <c r="F5829" s="140"/>
      <c r="G5829" s="140"/>
    </row>
    <row r="5830" spans="2:7" hidden="1">
      <c r="B5830" s="141" t="s">
        <v>15630</v>
      </c>
      <c r="C5830" s="140" t="s">
        <v>15631</v>
      </c>
      <c r="D5830" s="141" t="s">
        <v>4210</v>
      </c>
      <c r="E5830" s="140" t="s">
        <v>15632</v>
      </c>
      <c r="F5830" s="140"/>
      <c r="G5830" s="140"/>
    </row>
    <row r="5831" spans="2:7" hidden="1">
      <c r="B5831" s="141" t="s">
        <v>15633</v>
      </c>
      <c r="C5831" s="140"/>
      <c r="D5831" s="141" t="s">
        <v>15634</v>
      </c>
      <c r="E5831" s="140"/>
      <c r="F5831" s="140"/>
      <c r="G5831" s="140"/>
    </row>
    <row r="5832" spans="2:7" hidden="1">
      <c r="B5832" s="141" t="s">
        <v>15635</v>
      </c>
      <c r="C5832" s="141" t="s">
        <v>15636</v>
      </c>
      <c r="D5832" s="141" t="s">
        <v>14713</v>
      </c>
      <c r="E5832" s="141" t="s">
        <v>15637</v>
      </c>
      <c r="F5832" s="140"/>
      <c r="G5832" s="140"/>
    </row>
    <row r="5833" spans="2:7" hidden="1">
      <c r="B5833" s="141" t="s">
        <v>15638</v>
      </c>
      <c r="C5833" s="140"/>
      <c r="D5833" s="141" t="s">
        <v>14596</v>
      </c>
      <c r="E5833" s="140"/>
      <c r="F5833" s="140"/>
      <c r="G5833" s="140"/>
    </row>
    <row r="5834" spans="2:7" hidden="1">
      <c r="B5834" s="141" t="s">
        <v>15639</v>
      </c>
      <c r="C5834" s="140" t="s">
        <v>15640</v>
      </c>
      <c r="D5834" s="141" t="s">
        <v>15641</v>
      </c>
      <c r="E5834" s="140"/>
      <c r="F5834" s="140"/>
      <c r="G5834" s="140"/>
    </row>
    <row r="5835" spans="2:7" hidden="1">
      <c r="B5835" s="140" t="s">
        <v>15642</v>
      </c>
      <c r="C5835" s="140"/>
      <c r="D5835" s="141" t="s">
        <v>15643</v>
      </c>
      <c r="E5835" s="140"/>
      <c r="F5835" s="140"/>
      <c r="G5835" s="140"/>
    </row>
    <row r="5836" spans="2:7" hidden="1">
      <c r="B5836" s="140" t="s">
        <v>15644</v>
      </c>
      <c r="C5836" s="140"/>
      <c r="D5836" s="141" t="s">
        <v>15645</v>
      </c>
      <c r="E5836" s="140"/>
      <c r="F5836" s="140"/>
      <c r="G5836" s="140"/>
    </row>
    <row r="5837" spans="2:7" hidden="1">
      <c r="B5837" s="140" t="s">
        <v>15646</v>
      </c>
      <c r="C5837" s="140" t="s">
        <v>15647</v>
      </c>
      <c r="D5837" s="141" t="s">
        <v>7561</v>
      </c>
      <c r="E5837" s="140"/>
      <c r="F5837" s="140"/>
      <c r="G5837" s="140"/>
    </row>
    <row r="5838" spans="2:7" hidden="1">
      <c r="B5838" s="140" t="s">
        <v>15648</v>
      </c>
      <c r="C5838" s="140"/>
      <c r="D5838" s="141" t="s">
        <v>15649</v>
      </c>
      <c r="E5838" s="140"/>
      <c r="F5838" s="140"/>
      <c r="G5838" s="140"/>
    </row>
    <row r="5839" spans="2:7" hidden="1">
      <c r="B5839" s="140" t="s">
        <v>15650</v>
      </c>
      <c r="C5839" s="140" t="s">
        <v>15651</v>
      </c>
      <c r="D5839" s="141" t="s">
        <v>4744</v>
      </c>
      <c r="E5839" s="140" t="s">
        <v>15652</v>
      </c>
      <c r="F5839" s="140" t="s">
        <v>15653</v>
      </c>
      <c r="G5839" s="140"/>
    </row>
    <row r="5840" spans="2:7" hidden="1">
      <c r="B5840" s="141" t="s">
        <v>21913</v>
      </c>
      <c r="C5840" s="140" t="s">
        <v>15654</v>
      </c>
      <c r="D5840" s="141" t="s">
        <v>4138</v>
      </c>
      <c r="E5840" s="140"/>
      <c r="F5840" s="140"/>
      <c r="G5840" s="140"/>
    </row>
    <row r="5841" spans="2:7" hidden="1">
      <c r="B5841" s="141" t="s">
        <v>15655</v>
      </c>
      <c r="C5841" s="140" t="s">
        <v>15656</v>
      </c>
      <c r="D5841" s="141" t="s">
        <v>15657</v>
      </c>
      <c r="E5841" s="140" t="s">
        <v>15658</v>
      </c>
      <c r="F5841" s="140" t="s">
        <v>15659</v>
      </c>
      <c r="G5841" s="140"/>
    </row>
    <row r="5842" spans="2:7" hidden="1">
      <c r="B5842" s="141" t="s">
        <v>15660</v>
      </c>
      <c r="C5842" s="140"/>
      <c r="D5842" s="141" t="s">
        <v>15661</v>
      </c>
      <c r="E5842" s="140"/>
      <c r="F5842" s="140"/>
      <c r="G5842" s="140"/>
    </row>
    <row r="5843" spans="2:7" hidden="1">
      <c r="B5843" s="140" t="s">
        <v>15666</v>
      </c>
      <c r="C5843" s="140"/>
      <c r="D5843" s="140" t="s">
        <v>3913</v>
      </c>
      <c r="E5843" s="142"/>
      <c r="F5843" s="142"/>
      <c r="G5843" s="140"/>
    </row>
    <row r="5844" spans="2:7" hidden="1">
      <c r="B5844" s="141" t="s">
        <v>21914</v>
      </c>
      <c r="C5844" s="140" t="s">
        <v>15662</v>
      </c>
      <c r="D5844" s="141" t="s">
        <v>15663</v>
      </c>
      <c r="E5844" s="140" t="s">
        <v>15664</v>
      </c>
      <c r="F5844" s="140" t="s">
        <v>15665</v>
      </c>
      <c r="G5844" s="140"/>
    </row>
    <row r="5845" spans="2:7" hidden="1">
      <c r="B5845" s="140" t="s">
        <v>15667</v>
      </c>
      <c r="C5845" s="140"/>
      <c r="D5845" s="140" t="s">
        <v>14942</v>
      </c>
      <c r="E5845" s="142"/>
      <c r="F5845" s="142"/>
      <c r="G5845" s="140"/>
    </row>
    <row r="5846" spans="2:7" hidden="1">
      <c r="B5846" s="141" t="s">
        <v>15668</v>
      </c>
      <c r="C5846" s="140" t="s">
        <v>15669</v>
      </c>
      <c r="D5846" s="141" t="s">
        <v>5378</v>
      </c>
      <c r="E5846" s="140" t="s">
        <v>15670</v>
      </c>
      <c r="F5846" s="140" t="s">
        <v>15671</v>
      </c>
      <c r="G5846" s="140"/>
    </row>
    <row r="5847" spans="2:7" hidden="1">
      <c r="B5847" s="141" t="s">
        <v>21915</v>
      </c>
      <c r="C5847" s="140" t="s">
        <v>15672</v>
      </c>
      <c r="D5847" s="141" t="s">
        <v>15673</v>
      </c>
      <c r="E5847" s="140"/>
      <c r="F5847" s="140"/>
      <c r="G5847" s="140" t="s">
        <v>15674</v>
      </c>
    </row>
    <row r="5848" spans="2:7" hidden="1">
      <c r="B5848" s="140" t="s">
        <v>15675</v>
      </c>
      <c r="C5848" s="140"/>
      <c r="D5848" s="140" t="s">
        <v>15676</v>
      </c>
      <c r="E5848" s="142"/>
      <c r="F5848" s="142"/>
      <c r="G5848" s="140"/>
    </row>
    <row r="5849" spans="2:7" hidden="1">
      <c r="B5849" s="140" t="s">
        <v>15677</v>
      </c>
      <c r="C5849" s="140"/>
      <c r="D5849" s="140" t="s">
        <v>15678</v>
      </c>
      <c r="E5849" s="142"/>
      <c r="F5849" s="142"/>
      <c r="G5849" s="140"/>
    </row>
    <row r="5850" spans="2:7" hidden="1">
      <c r="B5850" s="141" t="s">
        <v>15679</v>
      </c>
      <c r="C5850" s="140" t="s">
        <v>15680</v>
      </c>
      <c r="D5850" s="141" t="s">
        <v>15681</v>
      </c>
      <c r="E5850" s="140" t="s">
        <v>15682</v>
      </c>
      <c r="F5850" s="140" t="s">
        <v>15683</v>
      </c>
      <c r="G5850" s="140"/>
    </row>
    <row r="5851" spans="2:7" hidden="1">
      <c r="B5851" s="141" t="s">
        <v>15684</v>
      </c>
      <c r="C5851" s="140"/>
      <c r="D5851" s="141" t="s">
        <v>14609</v>
      </c>
      <c r="E5851" s="140"/>
      <c r="F5851" s="140"/>
      <c r="G5851" s="140"/>
    </row>
    <row r="5852" spans="2:7" hidden="1">
      <c r="B5852" s="141" t="s">
        <v>15685</v>
      </c>
      <c r="C5852" s="140" t="s">
        <v>15686</v>
      </c>
      <c r="D5852" s="141" t="s">
        <v>15687</v>
      </c>
      <c r="E5852" s="140" t="s">
        <v>15688</v>
      </c>
      <c r="F5852" s="140" t="s">
        <v>15689</v>
      </c>
      <c r="G5852" s="140"/>
    </row>
    <row r="5853" spans="2:7" hidden="1">
      <c r="B5853" s="141" t="s">
        <v>15690</v>
      </c>
      <c r="C5853" s="140"/>
      <c r="D5853" s="141" t="s">
        <v>15691</v>
      </c>
      <c r="E5853" s="140"/>
      <c r="F5853" s="140"/>
      <c r="G5853" s="140"/>
    </row>
    <row r="5854" spans="2:7" hidden="1">
      <c r="B5854" s="141" t="s">
        <v>15703</v>
      </c>
      <c r="C5854" s="141"/>
      <c r="D5854" s="141" t="s">
        <v>15281</v>
      </c>
      <c r="E5854" s="141"/>
      <c r="F5854" s="141"/>
      <c r="G5854" s="140"/>
    </row>
    <row r="5855" spans="2:7" hidden="1">
      <c r="B5855" s="141" t="s">
        <v>15704</v>
      </c>
      <c r="C5855" s="140" t="s">
        <v>15705</v>
      </c>
      <c r="D5855" s="141" t="s">
        <v>15706</v>
      </c>
      <c r="E5855" s="140" t="s">
        <v>15707</v>
      </c>
      <c r="F5855" s="140" t="s">
        <v>15708</v>
      </c>
      <c r="G5855" s="140"/>
    </row>
    <row r="5856" spans="2:7" hidden="1">
      <c r="B5856" s="141" t="s">
        <v>15709</v>
      </c>
      <c r="C5856" s="140"/>
      <c r="D5856" s="141" t="s">
        <v>10821</v>
      </c>
      <c r="E5856" s="140"/>
      <c r="F5856" s="140"/>
      <c r="G5856" s="140"/>
    </row>
    <row r="5857" spans="2:7" hidden="1">
      <c r="B5857" s="141" t="s">
        <v>15710</v>
      </c>
      <c r="C5857" s="140"/>
      <c r="D5857" s="141" t="s">
        <v>15711</v>
      </c>
      <c r="E5857" s="140"/>
      <c r="F5857" s="140"/>
      <c r="G5857" s="140"/>
    </row>
    <row r="5858" spans="2:7" hidden="1">
      <c r="B5858" s="141" t="s">
        <v>21916</v>
      </c>
      <c r="C5858" s="140"/>
      <c r="D5858" s="141" t="s">
        <v>15692</v>
      </c>
      <c r="E5858" s="140"/>
      <c r="F5858" s="140"/>
      <c r="G5858" s="140"/>
    </row>
    <row r="5859" spans="2:7" hidden="1">
      <c r="B5859" s="141" t="s">
        <v>21917</v>
      </c>
      <c r="C5859" s="140"/>
      <c r="D5859" s="141" t="s">
        <v>2778</v>
      </c>
      <c r="E5859" s="140"/>
      <c r="F5859" s="140"/>
      <c r="G5859" s="140"/>
    </row>
    <row r="5860" spans="2:7" hidden="1">
      <c r="B5860" s="141" t="s">
        <v>21380</v>
      </c>
      <c r="C5860" s="140" t="s">
        <v>21381</v>
      </c>
      <c r="D5860" s="141" t="s">
        <v>15224</v>
      </c>
      <c r="E5860" s="140" t="s">
        <v>21382</v>
      </c>
      <c r="F5860" s="140"/>
      <c r="G5860" s="140"/>
    </row>
    <row r="5861" spans="2:7" hidden="1">
      <c r="B5861" s="141" t="s">
        <v>21918</v>
      </c>
      <c r="C5861" s="140" t="s">
        <v>15693</v>
      </c>
      <c r="D5861" s="141" t="s">
        <v>15694</v>
      </c>
      <c r="E5861" s="140" t="s">
        <v>15695</v>
      </c>
      <c r="F5861" s="140" t="s">
        <v>15696</v>
      </c>
      <c r="G5861" s="140"/>
    </row>
    <row r="5862" spans="2:7" hidden="1">
      <c r="B5862" s="141" t="s">
        <v>21919</v>
      </c>
      <c r="C5862" s="140"/>
      <c r="D5862" s="141" t="s">
        <v>4935</v>
      </c>
      <c r="E5862" s="140"/>
      <c r="F5862" s="140"/>
      <c r="G5862" s="140"/>
    </row>
    <row r="5863" spans="2:7" hidden="1">
      <c r="B5863" s="141" t="s">
        <v>21920</v>
      </c>
      <c r="C5863" s="140" t="s">
        <v>15697</v>
      </c>
      <c r="D5863" s="141" t="s">
        <v>1242</v>
      </c>
      <c r="E5863" s="140" t="s">
        <v>15698</v>
      </c>
      <c r="F5863" s="140"/>
      <c r="G5863" s="140"/>
    </row>
    <row r="5864" spans="2:7" hidden="1">
      <c r="B5864" s="140" t="s">
        <v>22051</v>
      </c>
      <c r="C5864" s="140" t="s">
        <v>22053</v>
      </c>
      <c r="D5864" s="140" t="s">
        <v>22052</v>
      </c>
      <c r="E5864" s="142" t="s">
        <v>22054</v>
      </c>
      <c r="F5864" s="142"/>
      <c r="G5864" s="140"/>
    </row>
    <row r="5865" spans="2:7" hidden="1">
      <c r="B5865" s="141" t="s">
        <v>21921</v>
      </c>
      <c r="C5865" s="140" t="s">
        <v>15699</v>
      </c>
      <c r="D5865" s="141" t="s">
        <v>15700</v>
      </c>
      <c r="E5865" s="140" t="s">
        <v>15701</v>
      </c>
      <c r="F5865" s="140" t="s">
        <v>15702</v>
      </c>
      <c r="G5865" s="140"/>
    </row>
    <row r="5866" spans="2:7" hidden="1">
      <c r="B5866" s="141" t="s">
        <v>21383</v>
      </c>
      <c r="C5866" s="140" t="s">
        <v>15712</v>
      </c>
      <c r="D5866" s="141" t="s">
        <v>15713</v>
      </c>
      <c r="E5866" s="140" t="s">
        <v>15714</v>
      </c>
      <c r="F5866" s="140" t="s">
        <v>15715</v>
      </c>
      <c r="G5866" s="140"/>
    </row>
    <row r="5867" spans="2:7" hidden="1">
      <c r="B5867" s="141" t="s">
        <v>15716</v>
      </c>
      <c r="C5867" s="140"/>
      <c r="D5867" s="141" t="s">
        <v>15717</v>
      </c>
      <c r="E5867" s="140"/>
      <c r="F5867" s="140"/>
      <c r="G5867" s="140"/>
    </row>
    <row r="5868" spans="2:7" hidden="1">
      <c r="B5868" s="141" t="s">
        <v>15718</v>
      </c>
      <c r="C5868" s="140"/>
      <c r="D5868" s="141" t="s">
        <v>15719</v>
      </c>
      <c r="E5868" s="140"/>
      <c r="F5868" s="140"/>
      <c r="G5868" s="140"/>
    </row>
    <row r="5869" spans="2:7" hidden="1">
      <c r="B5869" s="141" t="s">
        <v>15720</v>
      </c>
      <c r="C5869" s="140"/>
      <c r="D5869" s="141" t="s">
        <v>15721</v>
      </c>
      <c r="E5869" s="140"/>
      <c r="F5869" s="140"/>
      <c r="G5869" s="140"/>
    </row>
    <row r="5870" spans="2:7" hidden="1">
      <c r="B5870" s="141" t="s">
        <v>15722</v>
      </c>
      <c r="C5870" s="141"/>
      <c r="D5870" s="141" t="s">
        <v>2749</v>
      </c>
      <c r="E5870" s="141"/>
      <c r="F5870" s="141"/>
      <c r="G5870" s="140"/>
    </row>
    <row r="5871" spans="2:7" hidden="1">
      <c r="B5871" s="140" t="s">
        <v>21127</v>
      </c>
      <c r="C5871" s="140" t="s">
        <v>21128</v>
      </c>
      <c r="D5871" s="140" t="s">
        <v>21129</v>
      </c>
      <c r="E5871" s="142" t="s">
        <v>21130</v>
      </c>
      <c r="F5871" s="142"/>
      <c r="G5871" s="140" t="s">
        <v>21131</v>
      </c>
    </row>
    <row r="5872" spans="2:7" hidden="1">
      <c r="B5872" s="141" t="s">
        <v>15723</v>
      </c>
      <c r="C5872" s="140"/>
      <c r="D5872" s="141" t="s">
        <v>2793</v>
      </c>
      <c r="E5872" s="140"/>
      <c r="F5872" s="140"/>
      <c r="G5872" s="140"/>
    </row>
    <row r="5873" spans="2:7" hidden="1">
      <c r="B5873" s="141" t="s">
        <v>15724</v>
      </c>
      <c r="C5873" s="140"/>
      <c r="D5873" s="141" t="s">
        <v>15725</v>
      </c>
      <c r="E5873" s="140"/>
      <c r="F5873" s="140"/>
      <c r="G5873" s="140"/>
    </row>
    <row r="5874" spans="2:7" hidden="1">
      <c r="B5874" s="140" t="s">
        <v>15726</v>
      </c>
      <c r="C5874" s="140"/>
      <c r="D5874" s="140" t="s">
        <v>2267</v>
      </c>
      <c r="E5874" s="142"/>
      <c r="F5874" s="142"/>
      <c r="G5874" s="140"/>
    </row>
    <row r="5875" spans="2:7" hidden="1">
      <c r="B5875" s="141" t="s">
        <v>15727</v>
      </c>
      <c r="C5875" s="140" t="s">
        <v>15728</v>
      </c>
      <c r="D5875" s="141" t="s">
        <v>15729</v>
      </c>
      <c r="E5875" s="140" t="s">
        <v>15730</v>
      </c>
      <c r="F5875" s="140" t="s">
        <v>15731</v>
      </c>
      <c r="G5875" s="140"/>
    </row>
    <row r="5876" spans="2:7" hidden="1">
      <c r="B5876" s="141" t="s">
        <v>15732</v>
      </c>
      <c r="C5876" s="140"/>
      <c r="D5876" s="141" t="s">
        <v>15733</v>
      </c>
      <c r="E5876" s="140"/>
      <c r="F5876" s="140"/>
      <c r="G5876" s="140"/>
    </row>
    <row r="5877" spans="2:7" hidden="1">
      <c r="B5877" s="140" t="s">
        <v>15734</v>
      </c>
      <c r="C5877" s="140"/>
      <c r="D5877" s="140" t="s">
        <v>14228</v>
      </c>
      <c r="E5877" s="140"/>
      <c r="F5877" s="140"/>
      <c r="G5877" s="140"/>
    </row>
    <row r="5878" spans="2:7" hidden="1">
      <c r="B5878" s="141" t="s">
        <v>15735</v>
      </c>
      <c r="C5878" s="141"/>
      <c r="D5878" s="141" t="s">
        <v>15736</v>
      </c>
      <c r="E5878" s="141"/>
      <c r="F5878" s="141"/>
      <c r="G5878" s="140"/>
    </row>
    <row r="5879" spans="2:7" hidden="1">
      <c r="B5879" s="140" t="s">
        <v>15737</v>
      </c>
      <c r="C5879" s="140"/>
      <c r="D5879" s="140" t="s">
        <v>11349</v>
      </c>
      <c r="E5879" s="142"/>
      <c r="F5879" s="142"/>
      <c r="G5879" s="140"/>
    </row>
    <row r="5880" spans="2:7" hidden="1">
      <c r="B5880" s="141" t="s">
        <v>15738</v>
      </c>
      <c r="C5880" s="140"/>
      <c r="D5880" s="141" t="s">
        <v>3526</v>
      </c>
      <c r="E5880" s="140"/>
      <c r="F5880" s="140"/>
      <c r="G5880" s="140"/>
    </row>
    <row r="5881" spans="2:7" hidden="1">
      <c r="B5881" s="141" t="s">
        <v>15739</v>
      </c>
      <c r="C5881" s="140"/>
      <c r="D5881" s="141" t="s">
        <v>15711</v>
      </c>
      <c r="E5881" s="140"/>
      <c r="F5881" s="140"/>
      <c r="G5881" s="140"/>
    </row>
    <row r="5882" spans="2:7" hidden="1">
      <c r="B5882" s="140" t="s">
        <v>15740</v>
      </c>
      <c r="C5882" s="140" t="s">
        <v>15741</v>
      </c>
      <c r="D5882" s="140" t="s">
        <v>15742</v>
      </c>
      <c r="E5882" s="140" t="s">
        <v>15743</v>
      </c>
      <c r="F5882" s="140" t="s">
        <v>15744</v>
      </c>
      <c r="G5882" s="140"/>
    </row>
    <row r="5883" spans="2:7" hidden="1">
      <c r="B5883" s="140" t="s">
        <v>15745</v>
      </c>
      <c r="C5883" s="140"/>
      <c r="D5883" s="140" t="s">
        <v>15746</v>
      </c>
      <c r="E5883" s="142"/>
      <c r="F5883" s="142"/>
      <c r="G5883" s="140"/>
    </row>
    <row r="5884" spans="2:7" hidden="1">
      <c r="B5884" s="140" t="s">
        <v>15747</v>
      </c>
      <c r="C5884" s="140"/>
      <c r="D5884" s="140" t="s">
        <v>15748</v>
      </c>
      <c r="E5884" s="142"/>
      <c r="F5884" s="142"/>
      <c r="G5884" s="140"/>
    </row>
    <row r="5885" spans="2:7" hidden="1">
      <c r="B5885" s="141" t="s">
        <v>15749</v>
      </c>
      <c r="C5885" s="140" t="s">
        <v>15750</v>
      </c>
      <c r="D5885" s="141" t="s">
        <v>10214</v>
      </c>
      <c r="E5885" s="140" t="s">
        <v>15751</v>
      </c>
      <c r="F5885" s="140" t="s">
        <v>15752</v>
      </c>
      <c r="G5885" s="140"/>
    </row>
    <row r="5886" spans="2:7" hidden="1">
      <c r="B5886" s="141" t="s">
        <v>15753</v>
      </c>
      <c r="C5886" s="140" t="s">
        <v>15754</v>
      </c>
      <c r="D5886" s="141" t="s">
        <v>5256</v>
      </c>
      <c r="E5886" s="140" t="s">
        <v>15755</v>
      </c>
      <c r="F5886" s="140" t="s">
        <v>15756</v>
      </c>
      <c r="G5886" s="140"/>
    </row>
    <row r="5887" spans="2:7" hidden="1">
      <c r="B5887" s="141" t="s">
        <v>22036</v>
      </c>
      <c r="C5887" s="140" t="s">
        <v>15757</v>
      </c>
      <c r="D5887" s="141" t="s">
        <v>15758</v>
      </c>
      <c r="E5887" s="140" t="s">
        <v>15759</v>
      </c>
      <c r="F5887" s="140"/>
      <c r="G5887" s="140"/>
    </row>
    <row r="5888" spans="2:7" hidden="1">
      <c r="B5888" s="141" t="s">
        <v>15760</v>
      </c>
      <c r="C5888" s="140"/>
      <c r="D5888" s="141" t="s">
        <v>15761</v>
      </c>
      <c r="E5888" s="140"/>
      <c r="F5888" s="140"/>
      <c r="G5888" s="140"/>
    </row>
    <row r="5889" spans="2:7" hidden="1">
      <c r="B5889" s="141" t="s">
        <v>15762</v>
      </c>
      <c r="C5889" s="140"/>
      <c r="D5889" s="141" t="s">
        <v>15763</v>
      </c>
      <c r="E5889" s="140"/>
      <c r="F5889" s="140"/>
      <c r="G5889" s="140"/>
    </row>
    <row r="5890" spans="2:7" hidden="1">
      <c r="B5890" s="140" t="s">
        <v>20364</v>
      </c>
      <c r="C5890" s="140" t="s">
        <v>20365</v>
      </c>
      <c r="D5890" s="140" t="s">
        <v>20366</v>
      </c>
      <c r="E5890" s="142" t="s">
        <v>20367</v>
      </c>
      <c r="F5890" s="142"/>
      <c r="G5890" s="140"/>
    </row>
    <row r="5891" spans="2:7" hidden="1">
      <c r="B5891" s="141" t="s">
        <v>15764</v>
      </c>
      <c r="C5891" s="141" t="s">
        <v>15765</v>
      </c>
      <c r="D5891" s="141" t="s">
        <v>15766</v>
      </c>
      <c r="E5891" s="141" t="s">
        <v>15767</v>
      </c>
      <c r="F5891" s="141"/>
      <c r="G5891" s="140"/>
    </row>
    <row r="5892" spans="2:7" hidden="1">
      <c r="B5892" s="141" t="s">
        <v>15768</v>
      </c>
      <c r="C5892" s="140" t="s">
        <v>15769</v>
      </c>
      <c r="D5892" s="141" t="s">
        <v>15770</v>
      </c>
      <c r="E5892" s="140" t="s">
        <v>15771</v>
      </c>
      <c r="F5892" s="140"/>
      <c r="G5892" s="140"/>
    </row>
    <row r="5893" spans="2:7" hidden="1">
      <c r="B5893" s="141" t="s">
        <v>15772</v>
      </c>
      <c r="C5893" s="141" t="s">
        <v>15773</v>
      </c>
      <c r="D5893" s="141" t="s">
        <v>1006</v>
      </c>
      <c r="E5893" s="141" t="s">
        <v>15774</v>
      </c>
      <c r="F5893" s="141"/>
      <c r="G5893" s="140"/>
    </row>
    <row r="5894" spans="2:7" hidden="1">
      <c r="B5894" s="141" t="s">
        <v>15775</v>
      </c>
      <c r="C5894" s="140" t="s">
        <v>15776</v>
      </c>
      <c r="D5894" s="141" t="s">
        <v>2450</v>
      </c>
      <c r="E5894" s="140" t="s">
        <v>15777</v>
      </c>
      <c r="F5894" s="140"/>
      <c r="G5894" s="140"/>
    </row>
    <row r="5895" spans="2:7" hidden="1">
      <c r="B5895" s="141" t="s">
        <v>15778</v>
      </c>
      <c r="C5895" s="140"/>
      <c r="D5895" s="141" t="s">
        <v>7796</v>
      </c>
      <c r="E5895" s="140"/>
      <c r="F5895" s="140"/>
      <c r="G5895" s="140"/>
    </row>
    <row r="5896" spans="2:7" hidden="1">
      <c r="B5896" s="141" t="s">
        <v>15779</v>
      </c>
      <c r="C5896" s="140"/>
      <c r="D5896" s="141" t="s">
        <v>4138</v>
      </c>
      <c r="E5896" s="140"/>
      <c r="F5896" s="140"/>
      <c r="G5896" s="140"/>
    </row>
    <row r="5897" spans="2:7" hidden="1">
      <c r="B5897" s="140" t="s">
        <v>15780</v>
      </c>
      <c r="C5897" s="140"/>
      <c r="D5897" s="140" t="s">
        <v>15781</v>
      </c>
      <c r="E5897" s="142"/>
      <c r="F5897" s="142"/>
      <c r="G5897" s="140"/>
    </row>
    <row r="5898" spans="2:7" hidden="1">
      <c r="B5898" s="141" t="s">
        <v>15782</v>
      </c>
      <c r="C5898" s="140" t="s">
        <v>15783</v>
      </c>
      <c r="D5898" s="141" t="s">
        <v>15784</v>
      </c>
      <c r="E5898" s="140" t="s">
        <v>15785</v>
      </c>
      <c r="F5898" s="140" t="s">
        <v>15786</v>
      </c>
      <c r="G5898" s="140"/>
    </row>
    <row r="5899" spans="2:7" hidden="1">
      <c r="B5899" s="140" t="s">
        <v>15787</v>
      </c>
      <c r="C5899" s="140"/>
      <c r="D5899" s="140" t="s">
        <v>15788</v>
      </c>
      <c r="E5899" s="142"/>
      <c r="F5899" s="142"/>
      <c r="G5899" s="140"/>
    </row>
    <row r="5900" spans="2:7" hidden="1">
      <c r="B5900" s="141" t="s">
        <v>15789</v>
      </c>
      <c r="C5900" s="141"/>
      <c r="D5900" s="141" t="s">
        <v>15763</v>
      </c>
      <c r="E5900" s="141"/>
      <c r="F5900" s="141"/>
      <c r="G5900" s="140"/>
    </row>
    <row r="5901" spans="2:7" hidden="1">
      <c r="B5901" s="141" t="s">
        <v>15790</v>
      </c>
      <c r="C5901" s="140"/>
      <c r="D5901" s="141" t="s">
        <v>9931</v>
      </c>
      <c r="E5901" s="140"/>
      <c r="F5901" s="140"/>
      <c r="G5901" s="140"/>
    </row>
    <row r="5902" spans="2:7" hidden="1">
      <c r="B5902" s="141" t="s">
        <v>15791</v>
      </c>
      <c r="C5902" s="140" t="s">
        <v>15792</v>
      </c>
      <c r="D5902" s="141" t="s">
        <v>15793</v>
      </c>
      <c r="E5902" s="140" t="s">
        <v>15794</v>
      </c>
      <c r="F5902" s="140"/>
      <c r="G5902" s="140"/>
    </row>
    <row r="5903" spans="2:7" hidden="1">
      <c r="B5903" s="141" t="s">
        <v>15795</v>
      </c>
      <c r="C5903" s="140"/>
      <c r="D5903" s="141" t="s">
        <v>15796</v>
      </c>
      <c r="E5903" s="140"/>
      <c r="F5903" s="140"/>
      <c r="G5903" s="140"/>
    </row>
    <row r="5904" spans="2:7" hidden="1">
      <c r="B5904" s="141" t="s">
        <v>15797</v>
      </c>
      <c r="C5904" s="140"/>
      <c r="D5904" s="141" t="s">
        <v>15798</v>
      </c>
      <c r="E5904" s="140"/>
      <c r="F5904" s="140"/>
      <c r="G5904" s="140"/>
    </row>
    <row r="5905" spans="2:7" hidden="1">
      <c r="B5905" s="141" t="s">
        <v>15799</v>
      </c>
      <c r="C5905" s="140"/>
      <c r="D5905" s="141" t="s">
        <v>7020</v>
      </c>
      <c r="E5905" s="140"/>
      <c r="F5905" s="140"/>
      <c r="G5905" s="140"/>
    </row>
    <row r="5906" spans="2:7" hidden="1">
      <c r="B5906" s="141" t="s">
        <v>15800</v>
      </c>
      <c r="C5906" s="140"/>
      <c r="D5906" s="141" t="s">
        <v>15801</v>
      </c>
      <c r="E5906" s="140"/>
      <c r="F5906" s="140"/>
      <c r="G5906" s="140"/>
    </row>
    <row r="5907" spans="2:7" hidden="1">
      <c r="B5907" s="141" t="s">
        <v>15802</v>
      </c>
      <c r="C5907" s="140"/>
      <c r="D5907" s="141" t="s">
        <v>15803</v>
      </c>
      <c r="E5907" s="140"/>
      <c r="F5907" s="140"/>
      <c r="G5907" s="140"/>
    </row>
    <row r="5908" spans="2:7" hidden="1">
      <c r="B5908" s="141" t="s">
        <v>15804</v>
      </c>
      <c r="C5908" s="140"/>
      <c r="D5908" s="141" t="s">
        <v>3418</v>
      </c>
      <c r="E5908" s="140"/>
      <c r="F5908" s="140"/>
      <c r="G5908" s="140"/>
    </row>
    <row r="5909" spans="2:7" hidden="1">
      <c r="B5909" s="141" t="s">
        <v>15805</v>
      </c>
      <c r="C5909" s="140"/>
      <c r="D5909" s="141" t="s">
        <v>15806</v>
      </c>
      <c r="E5909" s="140"/>
      <c r="F5909" s="140"/>
      <c r="G5909" s="140"/>
    </row>
    <row r="5910" spans="2:7" hidden="1">
      <c r="B5910" s="141" t="s">
        <v>15807</v>
      </c>
      <c r="C5910" s="140"/>
      <c r="D5910" s="141" t="s">
        <v>15808</v>
      </c>
      <c r="E5910" s="140"/>
      <c r="F5910" s="140"/>
      <c r="G5910" s="140"/>
    </row>
    <row r="5911" spans="2:7" hidden="1">
      <c r="B5911" s="141" t="s">
        <v>15809</v>
      </c>
      <c r="C5911" s="140" t="s">
        <v>15810</v>
      </c>
      <c r="D5911" s="141" t="s">
        <v>9417</v>
      </c>
      <c r="E5911" s="140"/>
      <c r="F5911" s="140"/>
      <c r="G5911" s="140"/>
    </row>
    <row r="5912" spans="2:7" hidden="1">
      <c r="B5912" s="141" t="s">
        <v>15811</v>
      </c>
      <c r="C5912" s="140"/>
      <c r="D5912" s="141" t="s">
        <v>15812</v>
      </c>
      <c r="E5912" s="140"/>
      <c r="F5912" s="140"/>
      <c r="G5912" s="140"/>
    </row>
    <row r="5913" spans="2:7" hidden="1">
      <c r="B5913" s="141" t="s">
        <v>15813</v>
      </c>
      <c r="C5913" s="140"/>
      <c r="D5913" s="141" t="s">
        <v>15814</v>
      </c>
      <c r="E5913" s="141"/>
      <c r="F5913" s="140"/>
      <c r="G5913" s="140"/>
    </row>
    <row r="5914" spans="2:7" hidden="1">
      <c r="B5914" s="141" t="s">
        <v>21384</v>
      </c>
      <c r="C5914" s="141"/>
      <c r="D5914" s="141" t="s">
        <v>1795</v>
      </c>
      <c r="E5914" s="141"/>
      <c r="F5914" s="140"/>
      <c r="G5914" s="140"/>
    </row>
    <row r="5915" spans="2:7" hidden="1">
      <c r="B5915" s="140" t="s">
        <v>15815</v>
      </c>
      <c r="C5915" s="140" t="s">
        <v>15816</v>
      </c>
      <c r="D5915" s="140" t="s">
        <v>15817</v>
      </c>
      <c r="E5915" s="142"/>
      <c r="F5915" s="142"/>
      <c r="G5915" s="140" t="s">
        <v>15818</v>
      </c>
    </row>
    <row r="5916" spans="2:7" hidden="1">
      <c r="B5916" s="140" t="s">
        <v>15819</v>
      </c>
      <c r="C5916" s="140"/>
      <c r="D5916" s="140" t="s">
        <v>15820</v>
      </c>
      <c r="E5916" s="140"/>
      <c r="F5916" s="140"/>
      <c r="G5916" s="140"/>
    </row>
    <row r="5917" spans="2:7" hidden="1">
      <c r="B5917" s="141" t="s">
        <v>15821</v>
      </c>
      <c r="C5917" s="141"/>
      <c r="D5917" s="141" t="s">
        <v>15822</v>
      </c>
      <c r="E5917" s="141"/>
      <c r="F5917" s="141"/>
      <c r="G5917" s="140"/>
    </row>
    <row r="5918" spans="2:7" hidden="1">
      <c r="B5918" s="141" t="s">
        <v>15823</v>
      </c>
      <c r="C5918" s="140" t="s">
        <v>15824</v>
      </c>
      <c r="D5918" s="141" t="s">
        <v>15825</v>
      </c>
      <c r="E5918" s="140"/>
      <c r="F5918" s="140"/>
      <c r="G5918" s="140" t="s">
        <v>15826</v>
      </c>
    </row>
    <row r="5919" spans="2:7" hidden="1">
      <c r="B5919" s="141" t="s">
        <v>15827</v>
      </c>
      <c r="C5919" s="140"/>
      <c r="D5919" s="141" t="s">
        <v>15828</v>
      </c>
      <c r="E5919" s="140"/>
      <c r="F5919" s="140"/>
      <c r="G5919" s="140"/>
    </row>
    <row r="5920" spans="2:7" hidden="1">
      <c r="B5920" s="140" t="s">
        <v>15829</v>
      </c>
      <c r="C5920" s="140" t="s">
        <v>15830</v>
      </c>
      <c r="D5920" s="141" t="s">
        <v>15831</v>
      </c>
      <c r="E5920" s="140"/>
      <c r="F5920" s="140"/>
      <c r="G5920" s="140" t="s">
        <v>15832</v>
      </c>
    </row>
    <row r="5921" spans="2:7" hidden="1">
      <c r="B5921" s="141" t="s">
        <v>15833</v>
      </c>
      <c r="C5921" s="141" t="s">
        <v>15834</v>
      </c>
      <c r="D5921" s="141" t="s">
        <v>15835</v>
      </c>
      <c r="E5921" s="141" t="s">
        <v>15836</v>
      </c>
      <c r="F5921" s="141"/>
      <c r="G5921" s="140"/>
    </row>
    <row r="5922" spans="2:7" hidden="1">
      <c r="B5922" s="141" t="s">
        <v>15837</v>
      </c>
      <c r="C5922" s="140"/>
      <c r="D5922" s="141" t="s">
        <v>15838</v>
      </c>
      <c r="E5922" s="140"/>
      <c r="F5922" s="140"/>
      <c r="G5922" s="140"/>
    </row>
    <row r="5923" spans="2:7" hidden="1">
      <c r="B5923" s="140" t="s">
        <v>15839</v>
      </c>
      <c r="C5923" s="140"/>
      <c r="D5923" s="141" t="s">
        <v>15840</v>
      </c>
      <c r="E5923" s="140"/>
      <c r="F5923" s="140"/>
      <c r="G5923" s="140"/>
    </row>
    <row r="5924" spans="2:7" hidden="1">
      <c r="B5924" s="141" t="s">
        <v>15841</v>
      </c>
      <c r="C5924" s="140" t="s">
        <v>21922</v>
      </c>
      <c r="D5924" s="141" t="s">
        <v>15842</v>
      </c>
      <c r="E5924" s="140"/>
      <c r="F5924" s="140"/>
      <c r="G5924" s="140"/>
    </row>
    <row r="5925" spans="2:7" hidden="1">
      <c r="B5925" s="141" t="s">
        <v>15843</v>
      </c>
      <c r="C5925" s="140"/>
      <c r="D5925" s="141" t="s">
        <v>9121</v>
      </c>
      <c r="E5925" s="140"/>
      <c r="F5925" s="140"/>
      <c r="G5925" s="140"/>
    </row>
    <row r="5926" spans="2:7" hidden="1">
      <c r="B5926" s="141" t="s">
        <v>21923</v>
      </c>
      <c r="C5926" s="140"/>
      <c r="D5926" s="141" t="s">
        <v>15844</v>
      </c>
      <c r="E5926" s="140"/>
      <c r="F5926" s="140"/>
      <c r="G5926" s="140"/>
    </row>
    <row r="5927" spans="2:7" hidden="1">
      <c r="B5927" s="141" t="s">
        <v>15845</v>
      </c>
      <c r="C5927" s="141"/>
      <c r="D5927" s="141" t="s">
        <v>15846</v>
      </c>
      <c r="E5927" s="141"/>
      <c r="F5927" s="140"/>
      <c r="G5927" s="140"/>
    </row>
    <row r="5928" spans="2:7" hidden="1">
      <c r="B5928" s="141" t="s">
        <v>15847</v>
      </c>
      <c r="C5928" s="140"/>
      <c r="D5928" s="141" t="s">
        <v>15848</v>
      </c>
      <c r="E5928" s="140"/>
      <c r="F5928" s="140"/>
      <c r="G5928" s="140"/>
    </row>
    <row r="5929" spans="2:7" hidden="1">
      <c r="B5929" s="140" t="s">
        <v>15849</v>
      </c>
      <c r="C5929" s="140"/>
      <c r="D5929" s="140" t="s">
        <v>15850</v>
      </c>
      <c r="E5929" s="142"/>
      <c r="F5929" s="142"/>
      <c r="G5929" s="140"/>
    </row>
    <row r="5930" spans="2:7" hidden="1">
      <c r="B5930" s="140" t="s">
        <v>15851</v>
      </c>
      <c r="C5930" s="140"/>
      <c r="D5930" s="140" t="s">
        <v>4456</v>
      </c>
      <c r="E5930" s="142"/>
      <c r="F5930" s="142"/>
      <c r="G5930" s="140"/>
    </row>
    <row r="5931" spans="2:7" hidden="1">
      <c r="B5931" s="141" t="s">
        <v>21924</v>
      </c>
      <c r="C5931" s="140"/>
      <c r="D5931" s="141" t="s">
        <v>14906</v>
      </c>
      <c r="E5931" s="140"/>
      <c r="F5931" s="140"/>
      <c r="G5931" s="140"/>
    </row>
    <row r="5932" spans="2:7" hidden="1">
      <c r="B5932" s="141" t="s">
        <v>15852</v>
      </c>
      <c r="C5932" s="140"/>
      <c r="D5932" s="140" t="s">
        <v>15853</v>
      </c>
      <c r="E5932" s="140"/>
      <c r="F5932" s="140"/>
      <c r="G5932" s="140"/>
    </row>
    <row r="5933" spans="2:7" hidden="1">
      <c r="B5933" s="141" t="s">
        <v>15854</v>
      </c>
      <c r="C5933" s="140"/>
      <c r="D5933" s="141" t="s">
        <v>15855</v>
      </c>
      <c r="E5933" s="140"/>
      <c r="F5933" s="140"/>
      <c r="G5933" s="140"/>
    </row>
    <row r="5934" spans="2:7" hidden="1">
      <c r="B5934" s="141" t="s">
        <v>21925</v>
      </c>
      <c r="C5934" s="141" t="s">
        <v>15856</v>
      </c>
      <c r="D5934" s="141" t="s">
        <v>15857</v>
      </c>
      <c r="E5934" s="141" t="s">
        <v>15858</v>
      </c>
      <c r="F5934" s="141" t="s">
        <v>15859</v>
      </c>
      <c r="G5934" s="140"/>
    </row>
    <row r="5935" spans="2:7" hidden="1">
      <c r="B5935" s="141" t="s">
        <v>15860</v>
      </c>
      <c r="C5935" s="140"/>
      <c r="D5935" s="141" t="s">
        <v>2790</v>
      </c>
      <c r="E5935" s="140"/>
      <c r="F5935" s="140"/>
      <c r="G5935" s="140"/>
    </row>
    <row r="5936" spans="2:7" hidden="1">
      <c r="B5936" s="140" t="s">
        <v>15861</v>
      </c>
      <c r="C5936" s="140"/>
      <c r="D5936" s="140" t="s">
        <v>15862</v>
      </c>
      <c r="E5936" s="142"/>
      <c r="F5936" s="142"/>
      <c r="G5936" s="140"/>
    </row>
    <row r="5937" spans="2:7" hidden="1">
      <c r="B5937" s="140" t="s">
        <v>21926</v>
      </c>
      <c r="C5937" s="140" t="s">
        <v>15863</v>
      </c>
      <c r="D5937" s="140" t="s">
        <v>8266</v>
      </c>
      <c r="E5937" s="142" t="s">
        <v>15864</v>
      </c>
      <c r="F5937" s="142"/>
      <c r="G5937" s="140"/>
    </row>
    <row r="5938" spans="2:7" hidden="1">
      <c r="B5938" s="141" t="s">
        <v>15865</v>
      </c>
      <c r="C5938" s="140" t="s">
        <v>15866</v>
      </c>
      <c r="D5938" s="141" t="s">
        <v>15867</v>
      </c>
      <c r="E5938" s="140"/>
      <c r="F5938" s="140" t="s">
        <v>15868</v>
      </c>
      <c r="G5938" s="140"/>
    </row>
    <row r="5939" spans="2:7" hidden="1">
      <c r="B5939" s="141" t="s">
        <v>15869</v>
      </c>
      <c r="C5939" s="140"/>
      <c r="D5939" s="141" t="s">
        <v>11517</v>
      </c>
      <c r="E5939" s="140"/>
      <c r="F5939" s="140"/>
      <c r="G5939" s="140"/>
    </row>
    <row r="5940" spans="2:7" hidden="1">
      <c r="B5940" s="141" t="s">
        <v>15870</v>
      </c>
      <c r="C5940" s="140"/>
      <c r="D5940" s="141" t="s">
        <v>15871</v>
      </c>
      <c r="E5940" s="140"/>
      <c r="F5940" s="140"/>
      <c r="G5940" s="140"/>
    </row>
    <row r="5941" spans="2:7" hidden="1">
      <c r="B5941" s="141" t="s">
        <v>15872</v>
      </c>
      <c r="C5941" s="140" t="s">
        <v>15873</v>
      </c>
      <c r="D5941" s="141" t="s">
        <v>4073</v>
      </c>
      <c r="E5941" s="140" t="s">
        <v>15874</v>
      </c>
      <c r="F5941" s="140" t="s">
        <v>15875</v>
      </c>
      <c r="G5941" s="140"/>
    </row>
    <row r="5942" spans="2:7" hidden="1">
      <c r="B5942" s="141" t="s">
        <v>15876</v>
      </c>
      <c r="C5942" s="140"/>
      <c r="D5942" s="141" t="s">
        <v>15877</v>
      </c>
      <c r="E5942" s="140"/>
      <c r="F5942" s="140"/>
      <c r="G5942" s="140"/>
    </row>
    <row r="5943" spans="2:7" hidden="1">
      <c r="B5943" s="141" t="s">
        <v>15878</v>
      </c>
      <c r="C5943" s="141"/>
      <c r="D5943" s="141" t="s">
        <v>15879</v>
      </c>
      <c r="E5943" s="141"/>
      <c r="F5943" s="140"/>
      <c r="G5943" s="140"/>
    </row>
    <row r="5944" spans="2:7" hidden="1">
      <c r="B5944" s="141" t="s">
        <v>15880</v>
      </c>
      <c r="C5944" s="141"/>
      <c r="D5944" s="141" t="s">
        <v>8199</v>
      </c>
      <c r="E5944" s="141"/>
      <c r="F5944" s="140"/>
      <c r="G5944" s="140"/>
    </row>
    <row r="5945" spans="2:7" hidden="1">
      <c r="B5945" s="141" t="s">
        <v>15881</v>
      </c>
      <c r="C5945" s="140"/>
      <c r="D5945" s="141" t="s">
        <v>15882</v>
      </c>
      <c r="E5945" s="140"/>
      <c r="F5945" s="140"/>
      <c r="G5945" s="140"/>
    </row>
    <row r="5946" spans="2:7" hidden="1">
      <c r="B5946" s="141" t="s">
        <v>15883</v>
      </c>
      <c r="C5946" s="141"/>
      <c r="D5946" s="141" t="s">
        <v>15884</v>
      </c>
      <c r="E5946" s="141"/>
      <c r="F5946" s="141"/>
      <c r="G5946" s="140"/>
    </row>
    <row r="5947" spans="2:7" hidden="1">
      <c r="B5947" s="140" t="s">
        <v>21021</v>
      </c>
      <c r="C5947" s="140" t="s">
        <v>21022</v>
      </c>
      <c r="D5947" s="140" t="s">
        <v>21023</v>
      </c>
      <c r="E5947" s="142" t="s">
        <v>21024</v>
      </c>
      <c r="F5947" s="142"/>
      <c r="G5947" s="140"/>
    </row>
    <row r="5948" spans="2:7" hidden="1">
      <c r="B5948" s="141" t="s">
        <v>15885</v>
      </c>
      <c r="C5948" s="140"/>
      <c r="D5948" s="141" t="s">
        <v>2745</v>
      </c>
      <c r="E5948" s="140"/>
      <c r="F5948" s="140"/>
      <c r="G5948" s="140"/>
    </row>
    <row r="5949" spans="2:7" hidden="1">
      <c r="B5949" s="141" t="s">
        <v>15886</v>
      </c>
      <c r="C5949" s="140"/>
      <c r="D5949" s="141" t="s">
        <v>15887</v>
      </c>
      <c r="E5949" s="140"/>
      <c r="F5949" s="140"/>
      <c r="G5949" s="140"/>
    </row>
    <row r="5950" spans="2:7" hidden="1">
      <c r="B5950" s="141" t="s">
        <v>15888</v>
      </c>
      <c r="C5950" s="140"/>
      <c r="D5950" s="141" t="s">
        <v>7022</v>
      </c>
      <c r="E5950" s="140"/>
      <c r="F5950" s="140"/>
      <c r="G5950" s="140"/>
    </row>
    <row r="5951" spans="2:7" hidden="1">
      <c r="B5951" s="141" t="s">
        <v>15889</v>
      </c>
      <c r="C5951" s="140"/>
      <c r="D5951" s="141" t="s">
        <v>11349</v>
      </c>
      <c r="E5951" s="140"/>
      <c r="F5951" s="140"/>
      <c r="G5951" s="140"/>
    </row>
    <row r="5952" spans="2:7" hidden="1">
      <c r="B5952" s="140" t="s">
        <v>21927</v>
      </c>
      <c r="C5952" s="140"/>
      <c r="D5952" s="140" t="s">
        <v>15890</v>
      </c>
      <c r="E5952" s="142"/>
      <c r="F5952" s="142"/>
      <c r="G5952" s="140"/>
    </row>
    <row r="5953" spans="2:7" hidden="1">
      <c r="B5953" s="141" t="s">
        <v>15891</v>
      </c>
      <c r="C5953" s="140"/>
      <c r="D5953" s="141" t="s">
        <v>11349</v>
      </c>
      <c r="E5953" s="140"/>
      <c r="F5953" s="140"/>
      <c r="G5953" s="140"/>
    </row>
    <row r="5954" spans="2:7" hidden="1">
      <c r="B5954" s="141" t="s">
        <v>15892</v>
      </c>
      <c r="C5954" s="140"/>
      <c r="D5954" s="141" t="s">
        <v>15893</v>
      </c>
      <c r="E5954" s="140"/>
      <c r="F5954" s="140"/>
      <c r="G5954" s="140"/>
    </row>
    <row r="5955" spans="2:7" hidden="1">
      <c r="B5955" s="140" t="s">
        <v>21171</v>
      </c>
      <c r="C5955" s="140" t="s">
        <v>21169</v>
      </c>
      <c r="D5955" s="140" t="s">
        <v>21168</v>
      </c>
      <c r="E5955" s="142" t="s">
        <v>21170</v>
      </c>
      <c r="F5955" s="142"/>
      <c r="G5955" s="140"/>
    </row>
    <row r="5956" spans="2:7" hidden="1">
      <c r="B5956" s="141" t="s">
        <v>15894</v>
      </c>
      <c r="C5956" s="140"/>
      <c r="D5956" s="141" t="s">
        <v>10032</v>
      </c>
      <c r="E5956" s="140"/>
      <c r="F5956" s="140"/>
      <c r="G5956" s="140"/>
    </row>
    <row r="5957" spans="2:7" hidden="1">
      <c r="B5957" s="141" t="s">
        <v>15895</v>
      </c>
      <c r="C5957" s="141"/>
      <c r="D5957" s="141" t="s">
        <v>15896</v>
      </c>
      <c r="E5957" s="140"/>
      <c r="F5957" s="140"/>
      <c r="G5957" s="140"/>
    </row>
    <row r="5958" spans="2:7" hidden="1">
      <c r="B5958" s="141" t="s">
        <v>15897</v>
      </c>
      <c r="C5958" s="140" t="s">
        <v>15898</v>
      </c>
      <c r="D5958" s="141" t="s">
        <v>15899</v>
      </c>
      <c r="E5958" s="140"/>
      <c r="F5958" s="140"/>
      <c r="G5958" s="140"/>
    </row>
    <row r="5959" spans="2:7" hidden="1">
      <c r="B5959" s="141" t="s">
        <v>21928</v>
      </c>
      <c r="C5959" s="140" t="s">
        <v>21929</v>
      </c>
      <c r="D5959" s="141" t="s">
        <v>15900</v>
      </c>
      <c r="E5959" s="140"/>
      <c r="F5959" s="140"/>
      <c r="G5959" s="140"/>
    </row>
    <row r="5960" spans="2:7" hidden="1">
      <c r="B5960" s="140" t="s">
        <v>15901</v>
      </c>
      <c r="C5960" s="140"/>
      <c r="D5960" s="140" t="s">
        <v>15902</v>
      </c>
      <c r="E5960" s="142"/>
      <c r="F5960" s="142"/>
      <c r="G5960" s="140"/>
    </row>
    <row r="5961" spans="2:7" hidden="1">
      <c r="B5961" s="141" t="s">
        <v>15903</v>
      </c>
      <c r="C5961" s="140" t="s">
        <v>15904</v>
      </c>
      <c r="D5961" s="141" t="s">
        <v>1081</v>
      </c>
      <c r="E5961" s="140"/>
      <c r="F5961" s="140"/>
      <c r="G5961" s="140"/>
    </row>
    <row r="5962" spans="2:7" hidden="1">
      <c r="B5962" s="140" t="s">
        <v>15905</v>
      </c>
      <c r="C5962" s="140" t="s">
        <v>15906</v>
      </c>
      <c r="D5962" s="140" t="s">
        <v>15907</v>
      </c>
      <c r="E5962" s="142" t="s">
        <v>15908</v>
      </c>
      <c r="F5962" s="142" t="s">
        <v>15909</v>
      </c>
      <c r="G5962" s="140" t="s">
        <v>15910</v>
      </c>
    </row>
    <row r="5963" spans="2:7" hidden="1">
      <c r="B5963" s="140" t="s">
        <v>15911</v>
      </c>
      <c r="C5963" s="140" t="s">
        <v>15912</v>
      </c>
      <c r="D5963" s="140" t="s">
        <v>15030</v>
      </c>
      <c r="E5963" s="142" t="s">
        <v>15913</v>
      </c>
      <c r="F5963" s="142" t="s">
        <v>15914</v>
      </c>
      <c r="G5963" s="140"/>
    </row>
    <row r="5964" spans="2:7" hidden="1">
      <c r="B5964" s="140" t="s">
        <v>21930</v>
      </c>
      <c r="C5964" s="140"/>
      <c r="D5964" s="140" t="s">
        <v>9831</v>
      </c>
      <c r="E5964" s="142"/>
      <c r="F5964" s="142"/>
      <c r="G5964" s="140"/>
    </row>
    <row r="5965" spans="2:7" hidden="1">
      <c r="B5965" s="141" t="s">
        <v>15915</v>
      </c>
      <c r="C5965" s="140"/>
      <c r="D5965" s="141" t="s">
        <v>15916</v>
      </c>
      <c r="E5965" s="140"/>
      <c r="F5965" s="140"/>
      <c r="G5965" s="140"/>
    </row>
    <row r="5966" spans="2:7" hidden="1">
      <c r="B5966" s="141" t="s">
        <v>15917</v>
      </c>
      <c r="C5966" s="140"/>
      <c r="D5966" s="141" t="s">
        <v>15918</v>
      </c>
      <c r="E5966" s="140"/>
      <c r="F5966" s="140"/>
      <c r="G5966" s="140"/>
    </row>
    <row r="5967" spans="2:7" hidden="1">
      <c r="B5967" s="141" t="s">
        <v>15919</v>
      </c>
      <c r="C5967" s="140"/>
      <c r="D5967" s="141" t="s">
        <v>15920</v>
      </c>
      <c r="E5967" s="140"/>
      <c r="F5967" s="140"/>
      <c r="G5967" s="140"/>
    </row>
    <row r="5968" spans="2:7" hidden="1">
      <c r="B5968" s="141" t="s">
        <v>15921</v>
      </c>
      <c r="C5968" s="140"/>
      <c r="D5968" s="141" t="s">
        <v>15922</v>
      </c>
      <c r="E5968" s="140"/>
      <c r="F5968" s="140"/>
      <c r="G5968" s="140"/>
    </row>
    <row r="5969" spans="2:7" hidden="1">
      <c r="B5969" s="141" t="s">
        <v>15923</v>
      </c>
      <c r="C5969" s="140"/>
      <c r="D5969" s="141" t="s">
        <v>15924</v>
      </c>
      <c r="E5969" s="140"/>
      <c r="F5969" s="140"/>
      <c r="G5969" s="140"/>
    </row>
    <row r="5970" spans="2:7" hidden="1">
      <c r="B5970" s="141" t="s">
        <v>15925</v>
      </c>
      <c r="C5970" s="140"/>
      <c r="D5970" s="141" t="s">
        <v>15926</v>
      </c>
      <c r="E5970" s="140"/>
      <c r="F5970" s="140"/>
      <c r="G5970" s="140"/>
    </row>
    <row r="5971" spans="2:7" hidden="1">
      <c r="B5971" s="141" t="s">
        <v>15927</v>
      </c>
      <c r="C5971" s="140"/>
      <c r="D5971" s="141" t="s">
        <v>15928</v>
      </c>
      <c r="E5971" s="140"/>
      <c r="F5971" s="140"/>
      <c r="G5971" s="140"/>
    </row>
    <row r="5972" spans="2:7" hidden="1">
      <c r="B5972" s="140" t="s">
        <v>15929</v>
      </c>
      <c r="C5972" s="140"/>
      <c r="D5972" s="140" t="s">
        <v>15930</v>
      </c>
      <c r="E5972" s="142"/>
      <c r="F5972" s="142"/>
      <c r="G5972" s="140"/>
    </row>
    <row r="5973" spans="2:7" hidden="1">
      <c r="B5973" s="141" t="s">
        <v>15931</v>
      </c>
      <c r="C5973" s="140" t="s">
        <v>15932</v>
      </c>
      <c r="D5973" s="141" t="s">
        <v>15933</v>
      </c>
      <c r="E5973" s="140"/>
      <c r="F5973" s="140"/>
      <c r="G5973" s="140"/>
    </row>
    <row r="5974" spans="2:7" hidden="1">
      <c r="B5974" s="141" t="s">
        <v>15934</v>
      </c>
      <c r="C5974" s="140" t="s">
        <v>15935</v>
      </c>
      <c r="D5974" s="141" t="s">
        <v>15936</v>
      </c>
      <c r="E5974" s="140"/>
      <c r="F5974" s="140"/>
      <c r="G5974" s="140"/>
    </row>
    <row r="5975" spans="2:7" hidden="1">
      <c r="B5975" s="141" t="s">
        <v>15937</v>
      </c>
      <c r="C5975" s="140"/>
      <c r="D5975" s="141" t="s">
        <v>7608</v>
      </c>
      <c r="E5975" s="140"/>
      <c r="F5975" s="140"/>
      <c r="G5975" s="140"/>
    </row>
    <row r="5976" spans="2:7" hidden="1">
      <c r="B5976" s="141" t="s">
        <v>15938</v>
      </c>
      <c r="C5976" s="140" t="s">
        <v>1123</v>
      </c>
      <c r="D5976" s="141" t="s">
        <v>1124</v>
      </c>
      <c r="E5976" s="140"/>
      <c r="F5976" s="140"/>
      <c r="G5976" s="140"/>
    </row>
    <row r="5977" spans="2:7" hidden="1">
      <c r="B5977" s="141" t="s">
        <v>15939</v>
      </c>
      <c r="C5977" s="140"/>
      <c r="D5977" s="141" t="s">
        <v>6495</v>
      </c>
      <c r="E5977" s="140"/>
      <c r="F5977" s="140"/>
      <c r="G5977" s="140"/>
    </row>
    <row r="5978" spans="2:7" hidden="1">
      <c r="B5978" s="141" t="s">
        <v>15940</v>
      </c>
      <c r="C5978" s="140" t="s">
        <v>15941</v>
      </c>
      <c r="D5978" s="141" t="s">
        <v>1085</v>
      </c>
      <c r="E5978" s="140"/>
      <c r="F5978" s="140"/>
      <c r="G5978" s="140"/>
    </row>
    <row r="5979" spans="2:7" hidden="1">
      <c r="B5979" s="141" t="s">
        <v>15942</v>
      </c>
      <c r="C5979" s="140"/>
      <c r="D5979" s="141" t="s">
        <v>15943</v>
      </c>
      <c r="E5979" s="140"/>
      <c r="F5979" s="140"/>
      <c r="G5979" s="140"/>
    </row>
    <row r="5980" spans="2:7" hidden="1">
      <c r="B5980" s="140" t="s">
        <v>15944</v>
      </c>
      <c r="C5980" s="141" t="s">
        <v>15945</v>
      </c>
      <c r="D5980" s="141" t="s">
        <v>15946</v>
      </c>
      <c r="E5980" s="141" t="s">
        <v>15947</v>
      </c>
      <c r="F5980" s="141"/>
      <c r="G5980" s="140"/>
    </row>
    <row r="5981" spans="2:7" hidden="1">
      <c r="B5981" s="141" t="s">
        <v>15948</v>
      </c>
      <c r="C5981" s="141" t="s">
        <v>15949</v>
      </c>
      <c r="D5981" s="141" t="s">
        <v>15950</v>
      </c>
      <c r="E5981" s="141"/>
      <c r="F5981" s="140"/>
      <c r="G5981" s="140"/>
    </row>
    <row r="5982" spans="2:7" hidden="1">
      <c r="B5982" s="141" t="s">
        <v>15951</v>
      </c>
      <c r="C5982" s="140" t="s">
        <v>15952</v>
      </c>
      <c r="D5982" s="141" t="s">
        <v>15953</v>
      </c>
      <c r="E5982" s="140" t="s">
        <v>15954</v>
      </c>
      <c r="F5982" s="140"/>
      <c r="G5982" s="140"/>
    </row>
    <row r="5983" spans="2:7" hidden="1">
      <c r="B5983" s="141" t="s">
        <v>15955</v>
      </c>
      <c r="C5983" s="140"/>
      <c r="D5983" s="141" t="s">
        <v>15956</v>
      </c>
      <c r="E5983" s="140"/>
      <c r="F5983" s="140"/>
      <c r="G5983" s="140"/>
    </row>
    <row r="5984" spans="2:7" hidden="1">
      <c r="B5984" s="141" t="s">
        <v>15957</v>
      </c>
      <c r="C5984" s="140"/>
      <c r="D5984" s="141" t="s">
        <v>2038</v>
      </c>
      <c r="E5984" s="140" t="s">
        <v>15958</v>
      </c>
      <c r="F5984" s="140"/>
      <c r="G5984" s="140"/>
    </row>
    <row r="5985" spans="2:7" hidden="1">
      <c r="B5985" s="141" t="s">
        <v>15959</v>
      </c>
      <c r="C5985" s="140"/>
      <c r="D5985" s="141" t="s">
        <v>15960</v>
      </c>
      <c r="E5985" s="140"/>
      <c r="F5985" s="140"/>
      <c r="G5985" s="140"/>
    </row>
    <row r="5986" spans="2:7" hidden="1">
      <c r="B5986" s="140" t="s">
        <v>15961</v>
      </c>
      <c r="C5986" s="140"/>
      <c r="D5986" s="140" t="s">
        <v>15962</v>
      </c>
      <c r="E5986" s="142"/>
      <c r="F5986" s="142"/>
      <c r="G5986" s="140"/>
    </row>
    <row r="5987" spans="2:7" hidden="1">
      <c r="B5987" s="141" t="s">
        <v>15963</v>
      </c>
      <c r="C5987" s="140"/>
      <c r="D5987" s="141" t="s">
        <v>15964</v>
      </c>
      <c r="E5987" s="140"/>
      <c r="F5987" s="140"/>
      <c r="G5987" s="140"/>
    </row>
    <row r="5988" spans="2:7" hidden="1">
      <c r="B5988" s="141" t="s">
        <v>15965</v>
      </c>
      <c r="C5988" s="140"/>
      <c r="D5988" s="141" t="s">
        <v>15966</v>
      </c>
      <c r="E5988" s="140"/>
      <c r="F5988" s="140"/>
      <c r="G5988" s="140"/>
    </row>
    <row r="5989" spans="2:7" hidden="1">
      <c r="B5989" s="141" t="s">
        <v>15967</v>
      </c>
      <c r="C5989" s="140" t="s">
        <v>15968</v>
      </c>
      <c r="D5989" s="141" t="s">
        <v>15969</v>
      </c>
      <c r="E5989" s="140" t="s">
        <v>15970</v>
      </c>
      <c r="F5989" s="140" t="s">
        <v>15971</v>
      </c>
      <c r="G5989" s="140"/>
    </row>
    <row r="5990" spans="2:7" hidden="1">
      <c r="B5990" s="141" t="s">
        <v>15972</v>
      </c>
      <c r="C5990" s="141" t="s">
        <v>15973</v>
      </c>
      <c r="D5990" s="141" t="s">
        <v>3201</v>
      </c>
      <c r="E5990" s="141" t="s">
        <v>15974</v>
      </c>
      <c r="F5990" s="141" t="s">
        <v>15975</v>
      </c>
      <c r="G5990" s="140"/>
    </row>
    <row r="5991" spans="2:7" hidden="1">
      <c r="B5991" s="141" t="s">
        <v>15976</v>
      </c>
      <c r="C5991" s="140"/>
      <c r="D5991" s="141" t="s">
        <v>15977</v>
      </c>
      <c r="E5991" s="140"/>
      <c r="F5991" s="140"/>
      <c r="G5991" s="140"/>
    </row>
    <row r="5992" spans="2:7" hidden="1">
      <c r="B5992" s="141" t="s">
        <v>15978</v>
      </c>
      <c r="C5992" s="140"/>
      <c r="D5992" s="141" t="s">
        <v>2483</v>
      </c>
      <c r="E5992" s="140"/>
      <c r="F5992" s="140"/>
      <c r="G5992" s="140"/>
    </row>
    <row r="5993" spans="2:7" hidden="1">
      <c r="B5993" s="141" t="s">
        <v>15979</v>
      </c>
      <c r="C5993" s="140"/>
      <c r="D5993" s="141" t="s">
        <v>15980</v>
      </c>
      <c r="E5993" s="140"/>
      <c r="F5993" s="140"/>
      <c r="G5993" s="140"/>
    </row>
    <row r="5994" spans="2:7" hidden="1">
      <c r="B5994" s="141" t="s">
        <v>15981</v>
      </c>
      <c r="C5994" s="141"/>
      <c r="D5994" s="141" t="s">
        <v>15982</v>
      </c>
      <c r="E5994" s="141"/>
      <c r="F5994" s="141"/>
      <c r="G5994" s="140"/>
    </row>
    <row r="5995" spans="2:7" hidden="1">
      <c r="B5995" s="141" t="s">
        <v>15983</v>
      </c>
      <c r="C5995" s="140" t="s">
        <v>15984</v>
      </c>
      <c r="D5995" s="141" t="s">
        <v>10868</v>
      </c>
      <c r="E5995" s="140" t="s">
        <v>15985</v>
      </c>
      <c r="F5995" s="140"/>
      <c r="G5995" s="140"/>
    </row>
    <row r="5996" spans="2:7" hidden="1">
      <c r="B5996" s="141" t="s">
        <v>15986</v>
      </c>
      <c r="C5996" s="140" t="s">
        <v>15987</v>
      </c>
      <c r="D5996" s="141" t="s">
        <v>15988</v>
      </c>
      <c r="E5996" s="140"/>
      <c r="F5996" s="140"/>
      <c r="G5996" s="140"/>
    </row>
    <row r="5997" spans="2:7" hidden="1">
      <c r="B5997" s="141" t="s">
        <v>15989</v>
      </c>
      <c r="C5997" s="140"/>
      <c r="D5997" s="141" t="s">
        <v>15990</v>
      </c>
      <c r="E5997" s="140"/>
      <c r="F5997" s="140"/>
      <c r="G5997" s="140"/>
    </row>
    <row r="5998" spans="2:7" hidden="1">
      <c r="B5998" s="141" t="s">
        <v>15991</v>
      </c>
      <c r="C5998" s="140"/>
      <c r="D5998" s="141" t="s">
        <v>10817</v>
      </c>
      <c r="E5998" s="140"/>
      <c r="F5998" s="140"/>
      <c r="G5998" s="140"/>
    </row>
    <row r="5999" spans="2:7" hidden="1">
      <c r="B5999" s="141" t="s">
        <v>15992</v>
      </c>
      <c r="C5999" s="140"/>
      <c r="D5999" s="141" t="s">
        <v>3538</v>
      </c>
      <c r="E5999" s="140"/>
      <c r="F5999" s="140"/>
      <c r="G5999" s="140"/>
    </row>
    <row r="6000" spans="2:7" hidden="1">
      <c r="B6000" s="141" t="s">
        <v>15993</v>
      </c>
      <c r="C6000" s="141" t="s">
        <v>15994</v>
      </c>
      <c r="D6000" s="141" t="s">
        <v>15995</v>
      </c>
      <c r="E6000" s="141" t="s">
        <v>15996</v>
      </c>
      <c r="F6000" s="141" t="s">
        <v>15997</v>
      </c>
      <c r="G6000" s="140"/>
    </row>
    <row r="6001" spans="2:7" hidden="1">
      <c r="B6001" s="141" t="s">
        <v>15998</v>
      </c>
      <c r="C6001" s="140"/>
      <c r="D6001" s="141" t="s">
        <v>15999</v>
      </c>
      <c r="E6001" s="140"/>
      <c r="F6001" s="140"/>
      <c r="G6001" s="140"/>
    </row>
    <row r="6002" spans="2:7" hidden="1">
      <c r="B6002" s="141" t="s">
        <v>16000</v>
      </c>
      <c r="C6002" s="140"/>
      <c r="D6002" s="141" t="s">
        <v>6153</v>
      </c>
      <c r="E6002" s="140"/>
      <c r="F6002" s="140"/>
      <c r="G6002" s="140"/>
    </row>
    <row r="6003" spans="2:7" hidden="1">
      <c r="B6003" s="140" t="s">
        <v>21931</v>
      </c>
      <c r="C6003" s="140"/>
      <c r="D6003" s="140" t="s">
        <v>7285</v>
      </c>
      <c r="E6003" s="142"/>
      <c r="F6003" s="142"/>
      <c r="G6003" s="140"/>
    </row>
    <row r="6004" spans="2:7" hidden="1">
      <c r="B6004" s="141" t="s">
        <v>16001</v>
      </c>
      <c r="C6004" s="140"/>
      <c r="D6004" s="141" t="s">
        <v>16002</v>
      </c>
      <c r="E6004" s="140"/>
      <c r="F6004" s="140"/>
      <c r="G6004" s="140"/>
    </row>
    <row r="6005" spans="2:7" hidden="1">
      <c r="B6005" s="141" t="s">
        <v>16003</v>
      </c>
      <c r="C6005" s="140" t="s">
        <v>16004</v>
      </c>
      <c r="D6005" s="141" t="s">
        <v>16005</v>
      </c>
      <c r="E6005" s="140" t="s">
        <v>16006</v>
      </c>
      <c r="F6005" s="140"/>
      <c r="G6005" s="140"/>
    </row>
    <row r="6006" spans="2:7" hidden="1">
      <c r="B6006" s="141" t="s">
        <v>16007</v>
      </c>
      <c r="C6006" s="140" t="s">
        <v>16008</v>
      </c>
      <c r="D6006" s="141" t="s">
        <v>16009</v>
      </c>
      <c r="E6006" s="140" t="s">
        <v>16010</v>
      </c>
      <c r="F6006" s="140" t="s">
        <v>16011</v>
      </c>
      <c r="G6006" s="140"/>
    </row>
    <row r="6007" spans="2:7" hidden="1">
      <c r="B6007" s="141" t="s">
        <v>16012</v>
      </c>
      <c r="C6007" s="140" t="s">
        <v>16013</v>
      </c>
      <c r="D6007" s="141" t="s">
        <v>16014</v>
      </c>
      <c r="E6007" s="140" t="s">
        <v>16015</v>
      </c>
      <c r="F6007" s="140"/>
      <c r="G6007" s="140"/>
    </row>
    <row r="6008" spans="2:7" hidden="1">
      <c r="B6008" s="141" t="s">
        <v>16016</v>
      </c>
      <c r="C6008" s="140" t="s">
        <v>16017</v>
      </c>
      <c r="D6008" s="141" t="s">
        <v>16018</v>
      </c>
      <c r="E6008" s="140" t="s">
        <v>16019</v>
      </c>
      <c r="F6008" s="140"/>
      <c r="G6008" s="140"/>
    </row>
    <row r="6009" spans="2:7" hidden="1">
      <c r="B6009" s="141" t="s">
        <v>16020</v>
      </c>
      <c r="C6009" s="140" t="s">
        <v>16021</v>
      </c>
      <c r="D6009" s="141" t="s">
        <v>1563</v>
      </c>
      <c r="E6009" s="140" t="s">
        <v>16022</v>
      </c>
      <c r="F6009" s="140" t="s">
        <v>16023</v>
      </c>
      <c r="G6009" s="140"/>
    </row>
    <row r="6010" spans="2:7" hidden="1">
      <c r="B6010" s="141" t="s">
        <v>16024</v>
      </c>
      <c r="C6010" s="140" t="s">
        <v>16025</v>
      </c>
      <c r="D6010" s="141" t="s">
        <v>16026</v>
      </c>
      <c r="E6010" s="140" t="s">
        <v>16027</v>
      </c>
      <c r="F6010" s="140"/>
      <c r="G6010" s="140"/>
    </row>
    <row r="6011" spans="2:7" hidden="1">
      <c r="B6011" s="141" t="s">
        <v>16028</v>
      </c>
      <c r="C6011" s="140"/>
      <c r="D6011" s="141" t="s">
        <v>16029</v>
      </c>
      <c r="E6011" s="140"/>
      <c r="F6011" s="140"/>
      <c r="G6011" s="140"/>
    </row>
    <row r="6012" spans="2:7" hidden="1">
      <c r="B6012" s="141" t="s">
        <v>16030</v>
      </c>
      <c r="C6012" s="140"/>
      <c r="D6012" s="141" t="s">
        <v>16031</v>
      </c>
      <c r="E6012" s="140"/>
      <c r="F6012" s="140"/>
      <c r="G6012" s="140"/>
    </row>
    <row r="6013" spans="2:7" hidden="1">
      <c r="B6013" s="140" t="s">
        <v>16032</v>
      </c>
      <c r="C6013" s="140"/>
      <c r="D6013" s="140" t="s">
        <v>2851</v>
      </c>
      <c r="E6013" s="140"/>
      <c r="F6013" s="140"/>
      <c r="G6013" s="140"/>
    </row>
    <row r="6014" spans="2:7" hidden="1">
      <c r="B6014" s="140" t="s">
        <v>16033</v>
      </c>
      <c r="C6014" s="140" t="s">
        <v>16034</v>
      </c>
      <c r="D6014" s="140" t="s">
        <v>16035</v>
      </c>
      <c r="E6014" s="142"/>
      <c r="F6014" s="142"/>
      <c r="G6014" s="140"/>
    </row>
    <row r="6015" spans="2:7" hidden="1">
      <c r="B6015" s="140" t="s">
        <v>16036</v>
      </c>
      <c r="C6015" s="140"/>
      <c r="D6015" s="140" t="s">
        <v>16037</v>
      </c>
      <c r="E6015" s="142"/>
      <c r="F6015" s="142"/>
      <c r="G6015" s="140"/>
    </row>
    <row r="6016" spans="2:7" hidden="1">
      <c r="B6016" s="140" t="s">
        <v>16038</v>
      </c>
      <c r="C6016" s="140"/>
      <c r="D6016" s="140" t="s">
        <v>16039</v>
      </c>
      <c r="E6016" s="142"/>
      <c r="F6016" s="142"/>
      <c r="G6016" s="140"/>
    </row>
    <row r="6017" spans="2:7" hidden="1">
      <c r="B6017" s="141" t="s">
        <v>16040</v>
      </c>
      <c r="C6017" s="140"/>
      <c r="D6017" s="141" t="s">
        <v>16041</v>
      </c>
      <c r="E6017" s="140"/>
      <c r="F6017" s="140"/>
      <c r="G6017" s="140"/>
    </row>
    <row r="6018" spans="2:7" hidden="1">
      <c r="B6018" s="141" t="s">
        <v>16042</v>
      </c>
      <c r="C6018" s="140"/>
      <c r="D6018" s="141" t="s">
        <v>6689</v>
      </c>
      <c r="E6018" s="140"/>
      <c r="F6018" s="140"/>
      <c r="G6018" s="140"/>
    </row>
    <row r="6019" spans="2:7" hidden="1">
      <c r="B6019" s="141" t="s">
        <v>16043</v>
      </c>
      <c r="C6019" s="140"/>
      <c r="D6019" s="141" t="s">
        <v>7416</v>
      </c>
      <c r="E6019" s="140"/>
      <c r="F6019" s="140"/>
      <c r="G6019" s="140"/>
    </row>
    <row r="6020" spans="2:7" hidden="1">
      <c r="B6020" s="141" t="s">
        <v>16044</v>
      </c>
      <c r="C6020" s="140" t="s">
        <v>16045</v>
      </c>
      <c r="D6020" s="141" t="s">
        <v>16046</v>
      </c>
      <c r="E6020" s="140"/>
      <c r="F6020" s="140"/>
      <c r="G6020" s="140"/>
    </row>
    <row r="6021" spans="2:7" hidden="1">
      <c r="B6021" s="141" t="s">
        <v>16047</v>
      </c>
      <c r="C6021" s="140"/>
      <c r="D6021" s="141" t="s">
        <v>2067</v>
      </c>
      <c r="E6021" s="140"/>
      <c r="F6021" s="140"/>
      <c r="G6021" s="140"/>
    </row>
    <row r="6022" spans="2:7" hidden="1">
      <c r="B6022" s="141" t="s">
        <v>16048</v>
      </c>
      <c r="C6022" s="140"/>
      <c r="D6022" s="141" t="s">
        <v>16049</v>
      </c>
      <c r="E6022" s="140"/>
      <c r="F6022" s="140"/>
      <c r="G6022" s="140"/>
    </row>
    <row r="6023" spans="2:7" hidden="1">
      <c r="B6023" s="141" t="s">
        <v>16050</v>
      </c>
      <c r="C6023" s="141" t="s">
        <v>16051</v>
      </c>
      <c r="D6023" s="141" t="s">
        <v>2717</v>
      </c>
      <c r="E6023" s="141" t="s">
        <v>16052</v>
      </c>
      <c r="F6023" s="140" t="s">
        <v>16053</v>
      </c>
      <c r="G6023" s="140"/>
    </row>
    <row r="6024" spans="2:7" hidden="1">
      <c r="B6024" s="141" t="s">
        <v>16054</v>
      </c>
      <c r="C6024" s="140"/>
      <c r="D6024" s="141" t="s">
        <v>16055</v>
      </c>
      <c r="E6024" s="140"/>
      <c r="F6024" s="140"/>
      <c r="G6024" s="140"/>
    </row>
    <row r="6025" spans="2:7" hidden="1">
      <c r="B6025" s="141" t="s">
        <v>16056</v>
      </c>
      <c r="C6025" s="140"/>
      <c r="D6025" s="141" t="s">
        <v>16057</v>
      </c>
      <c r="E6025" s="140"/>
      <c r="F6025" s="140"/>
      <c r="G6025" s="140"/>
    </row>
    <row r="6026" spans="2:7" hidden="1">
      <c r="B6026" s="140" t="s">
        <v>16058</v>
      </c>
      <c r="C6026" s="140"/>
      <c r="D6026" s="140" t="s">
        <v>8557</v>
      </c>
      <c r="E6026" s="140"/>
      <c r="F6026" s="140"/>
      <c r="G6026" s="140"/>
    </row>
    <row r="6027" spans="2:7" hidden="1">
      <c r="B6027" s="141" t="s">
        <v>21932</v>
      </c>
      <c r="C6027" s="140"/>
      <c r="D6027" s="141" t="s">
        <v>7285</v>
      </c>
      <c r="E6027" s="140"/>
      <c r="F6027" s="140"/>
      <c r="G6027" s="140"/>
    </row>
    <row r="6028" spans="2:7" hidden="1">
      <c r="B6028" s="141" t="s">
        <v>16059</v>
      </c>
      <c r="C6028" s="140"/>
      <c r="D6028" s="141"/>
      <c r="E6028" s="140"/>
      <c r="F6028" s="140"/>
      <c r="G6028" s="140"/>
    </row>
    <row r="6029" spans="2:7" hidden="1">
      <c r="B6029" s="141" t="s">
        <v>16060</v>
      </c>
      <c r="C6029" s="140"/>
      <c r="D6029" s="141" t="s">
        <v>16061</v>
      </c>
      <c r="E6029" s="140"/>
      <c r="F6029" s="140"/>
      <c r="G6029" s="140"/>
    </row>
    <row r="6030" spans="2:7" hidden="1">
      <c r="B6030" s="141" t="s">
        <v>16062</v>
      </c>
      <c r="C6030" s="141"/>
      <c r="D6030" s="141" t="s">
        <v>4323</v>
      </c>
      <c r="E6030" s="141"/>
      <c r="F6030" s="140"/>
      <c r="G6030" s="140"/>
    </row>
    <row r="6031" spans="2:7" hidden="1">
      <c r="B6031" s="141" t="s">
        <v>16063</v>
      </c>
      <c r="C6031" s="141"/>
      <c r="D6031" s="141" t="s">
        <v>10737</v>
      </c>
      <c r="E6031" s="141"/>
      <c r="F6031" s="140"/>
      <c r="G6031" s="140"/>
    </row>
    <row r="6032" spans="2:7" hidden="1">
      <c r="B6032" s="141" t="s">
        <v>16064</v>
      </c>
      <c r="C6032" s="140"/>
      <c r="D6032" s="141" t="s">
        <v>16065</v>
      </c>
      <c r="E6032" s="140"/>
      <c r="F6032" s="140"/>
      <c r="G6032" s="140"/>
    </row>
    <row r="6033" spans="2:7" hidden="1">
      <c r="B6033" s="141" t="s">
        <v>16066</v>
      </c>
      <c r="C6033" s="140"/>
      <c r="D6033" s="141" t="s">
        <v>16067</v>
      </c>
      <c r="E6033" s="140"/>
      <c r="F6033" s="140"/>
      <c r="G6033" s="140"/>
    </row>
    <row r="6034" spans="2:7" hidden="1">
      <c r="B6034" s="141" t="s">
        <v>16068</v>
      </c>
      <c r="C6034" s="140"/>
      <c r="D6034" s="141" t="s">
        <v>16069</v>
      </c>
      <c r="E6034" s="140"/>
      <c r="F6034" s="140"/>
      <c r="G6034" s="140"/>
    </row>
    <row r="6035" spans="2:7" hidden="1">
      <c r="B6035" s="141" t="s">
        <v>16070</v>
      </c>
      <c r="C6035" s="140"/>
      <c r="D6035" s="141" t="s">
        <v>16071</v>
      </c>
      <c r="E6035" s="140"/>
      <c r="F6035" s="140"/>
      <c r="G6035" s="140"/>
    </row>
    <row r="6036" spans="2:7" hidden="1">
      <c r="B6036" s="141" t="s">
        <v>16080</v>
      </c>
      <c r="C6036" s="140"/>
      <c r="D6036" s="141" t="s">
        <v>1427</v>
      </c>
      <c r="E6036" s="140"/>
      <c r="F6036" s="140"/>
      <c r="G6036" s="140"/>
    </row>
    <row r="6037" spans="2:7" hidden="1">
      <c r="B6037" s="141" t="s">
        <v>16081</v>
      </c>
      <c r="C6037" s="140"/>
      <c r="D6037" s="141" t="s">
        <v>16082</v>
      </c>
      <c r="E6037" s="141"/>
      <c r="F6037" s="140"/>
      <c r="G6037" s="140"/>
    </row>
    <row r="6038" spans="2:7" hidden="1">
      <c r="B6038" s="141" t="s">
        <v>16083</v>
      </c>
      <c r="C6038" s="140" t="s">
        <v>21936</v>
      </c>
      <c r="D6038" s="141" t="s">
        <v>15645</v>
      </c>
      <c r="E6038" s="140"/>
      <c r="F6038" s="140"/>
      <c r="G6038" s="140"/>
    </row>
    <row r="6039" spans="2:7" hidden="1">
      <c r="B6039" s="141" t="s">
        <v>16084</v>
      </c>
      <c r="C6039" s="140"/>
      <c r="D6039" s="141" t="s">
        <v>16085</v>
      </c>
      <c r="E6039" s="140"/>
      <c r="F6039" s="140"/>
      <c r="G6039" s="140"/>
    </row>
    <row r="6040" spans="2:7" hidden="1">
      <c r="B6040" s="140" t="s">
        <v>21933</v>
      </c>
      <c r="C6040" s="140" t="s">
        <v>16072</v>
      </c>
      <c r="D6040" s="140" t="s">
        <v>1053</v>
      </c>
      <c r="E6040" s="142" t="s">
        <v>16073</v>
      </c>
      <c r="F6040" s="142" t="s">
        <v>16074</v>
      </c>
      <c r="G6040" s="140"/>
    </row>
    <row r="6041" spans="2:7" hidden="1">
      <c r="B6041" s="140" t="s">
        <v>21934</v>
      </c>
      <c r="C6041" s="140" t="s">
        <v>16075</v>
      </c>
      <c r="D6041" s="140" t="s">
        <v>6474</v>
      </c>
      <c r="E6041" s="140"/>
      <c r="F6041" s="140"/>
      <c r="G6041" s="140"/>
    </row>
    <row r="6042" spans="2:7" hidden="1">
      <c r="B6042" s="141" t="s">
        <v>21935</v>
      </c>
      <c r="C6042" s="141" t="s">
        <v>16076</v>
      </c>
      <c r="D6042" s="141" t="s">
        <v>16077</v>
      </c>
      <c r="E6042" s="141" t="s">
        <v>16078</v>
      </c>
      <c r="F6042" s="140" t="s">
        <v>16079</v>
      </c>
      <c r="G6042" s="140"/>
    </row>
    <row r="6043" spans="2:7" hidden="1">
      <c r="B6043" s="140" t="s">
        <v>16086</v>
      </c>
      <c r="C6043" s="140" t="s">
        <v>16087</v>
      </c>
      <c r="D6043" s="140" t="s">
        <v>3118</v>
      </c>
      <c r="E6043" s="142" t="s">
        <v>16088</v>
      </c>
      <c r="F6043" s="142" t="s">
        <v>16089</v>
      </c>
      <c r="G6043" s="140"/>
    </row>
    <row r="6044" spans="2:7" hidden="1">
      <c r="B6044" s="141" t="s">
        <v>16090</v>
      </c>
      <c r="C6044" s="140"/>
      <c r="D6044" s="141" t="s">
        <v>4458</v>
      </c>
      <c r="E6044" s="140"/>
      <c r="F6044" s="140"/>
      <c r="G6044" s="140"/>
    </row>
    <row r="6045" spans="2:7" hidden="1">
      <c r="B6045" s="141" t="s">
        <v>16091</v>
      </c>
      <c r="C6045" s="140"/>
      <c r="D6045" s="141" t="s">
        <v>16092</v>
      </c>
      <c r="E6045" s="140"/>
      <c r="F6045" s="140"/>
      <c r="G6045" s="140"/>
    </row>
    <row r="6046" spans="2:7" hidden="1">
      <c r="B6046" s="140" t="s">
        <v>16093</v>
      </c>
      <c r="C6046" s="140"/>
      <c r="D6046" s="140" t="s">
        <v>4651</v>
      </c>
      <c r="E6046" s="142"/>
      <c r="F6046" s="142"/>
      <c r="G6046" s="140"/>
    </row>
    <row r="6047" spans="2:7" hidden="1">
      <c r="B6047" s="141" t="s">
        <v>16094</v>
      </c>
      <c r="C6047" s="140"/>
      <c r="D6047" s="141" t="s">
        <v>16095</v>
      </c>
      <c r="E6047" s="140"/>
      <c r="F6047" s="140"/>
      <c r="G6047" s="140"/>
    </row>
    <row r="6048" spans="2:7" hidden="1">
      <c r="B6048" s="140" t="s">
        <v>16096</v>
      </c>
      <c r="C6048" s="140"/>
      <c r="D6048" s="140" t="s">
        <v>16097</v>
      </c>
      <c r="E6048" s="142"/>
      <c r="F6048" s="142"/>
      <c r="G6048" s="140"/>
    </row>
    <row r="6049" spans="2:7" hidden="1">
      <c r="B6049" s="141" t="s">
        <v>16098</v>
      </c>
      <c r="C6049" s="140"/>
      <c r="D6049" s="141" t="s">
        <v>16099</v>
      </c>
      <c r="E6049" s="140"/>
      <c r="F6049" s="140"/>
      <c r="G6049" s="140"/>
    </row>
    <row r="6050" spans="2:7" hidden="1">
      <c r="B6050" s="141" t="s">
        <v>16100</v>
      </c>
      <c r="C6050" s="141"/>
      <c r="D6050" s="141" t="s">
        <v>16101</v>
      </c>
      <c r="E6050" s="141"/>
      <c r="F6050" s="141"/>
      <c r="G6050" s="140"/>
    </row>
    <row r="6051" spans="2:7" hidden="1">
      <c r="B6051" s="141" t="s">
        <v>16102</v>
      </c>
      <c r="C6051" s="140"/>
      <c r="D6051" s="141" t="s">
        <v>1756</v>
      </c>
      <c r="E6051" s="140"/>
      <c r="F6051" s="140"/>
      <c r="G6051" s="140"/>
    </row>
    <row r="6052" spans="2:7" hidden="1">
      <c r="B6052" s="141" t="s">
        <v>16103</v>
      </c>
      <c r="C6052" s="140"/>
      <c r="D6052" s="141" t="s">
        <v>16104</v>
      </c>
      <c r="E6052" s="140"/>
      <c r="F6052" s="140"/>
      <c r="G6052" s="140"/>
    </row>
    <row r="6053" spans="2:7" hidden="1">
      <c r="B6053" s="140" t="s">
        <v>16105</v>
      </c>
      <c r="C6053" s="140"/>
      <c r="D6053" s="140" t="s">
        <v>8165</v>
      </c>
      <c r="E6053" s="142"/>
      <c r="F6053" s="142"/>
      <c r="G6053" s="140"/>
    </row>
    <row r="6054" spans="2:7" hidden="1">
      <c r="B6054" s="141" t="s">
        <v>16106</v>
      </c>
      <c r="C6054" s="140"/>
      <c r="D6054" s="141" t="s">
        <v>3801</v>
      </c>
      <c r="E6054" s="140"/>
      <c r="F6054" s="140"/>
      <c r="G6054" s="140"/>
    </row>
    <row r="6055" spans="2:7" hidden="1">
      <c r="B6055" s="141" t="s">
        <v>16107</v>
      </c>
      <c r="C6055" s="140" t="s">
        <v>16108</v>
      </c>
      <c r="D6055" s="141" t="s">
        <v>16109</v>
      </c>
      <c r="E6055" s="140" t="s">
        <v>16110</v>
      </c>
      <c r="F6055" s="140"/>
      <c r="G6055" s="140"/>
    </row>
    <row r="6056" spans="2:7" hidden="1">
      <c r="B6056" s="141" t="s">
        <v>16111</v>
      </c>
      <c r="C6056" s="140" t="s">
        <v>16112</v>
      </c>
      <c r="D6056" s="141" t="s">
        <v>16113</v>
      </c>
      <c r="E6056" s="140"/>
      <c r="F6056" s="140"/>
      <c r="G6056" s="140" t="s">
        <v>11816</v>
      </c>
    </row>
    <row r="6057" spans="2:7" hidden="1">
      <c r="B6057" s="141" t="s">
        <v>16114</v>
      </c>
      <c r="C6057" s="140" t="s">
        <v>16115</v>
      </c>
      <c r="D6057" s="141" t="s">
        <v>16116</v>
      </c>
      <c r="E6057" s="140"/>
      <c r="F6057" s="140"/>
      <c r="G6057" s="140" t="s">
        <v>16117</v>
      </c>
    </row>
    <row r="6058" spans="2:7" hidden="1">
      <c r="B6058" s="141" t="s">
        <v>16118</v>
      </c>
      <c r="C6058" s="140" t="s">
        <v>16119</v>
      </c>
      <c r="D6058" s="141" t="s">
        <v>16120</v>
      </c>
      <c r="E6058" s="140"/>
      <c r="F6058" s="140"/>
      <c r="G6058" s="140" t="s">
        <v>16121</v>
      </c>
    </row>
    <row r="6059" spans="2:7" hidden="1">
      <c r="B6059" s="141" t="s">
        <v>16122</v>
      </c>
      <c r="C6059" s="140" t="s">
        <v>16123</v>
      </c>
      <c r="D6059" s="141" t="s">
        <v>11228</v>
      </c>
      <c r="E6059" s="140" t="s">
        <v>16124</v>
      </c>
      <c r="F6059" s="140"/>
      <c r="G6059" s="140"/>
    </row>
    <row r="6060" spans="2:7" hidden="1">
      <c r="B6060" s="141" t="s">
        <v>16125</v>
      </c>
      <c r="C6060" s="140"/>
      <c r="D6060" s="141" t="s">
        <v>4489</v>
      </c>
      <c r="E6060" s="140"/>
      <c r="F6060" s="140"/>
      <c r="G6060" s="140"/>
    </row>
    <row r="6061" spans="2:7" hidden="1">
      <c r="B6061" s="141" t="s">
        <v>16126</v>
      </c>
      <c r="C6061" s="140"/>
      <c r="D6061" s="141" t="s">
        <v>16127</v>
      </c>
      <c r="E6061" s="140"/>
      <c r="F6061" s="140"/>
      <c r="G6061" s="140"/>
    </row>
    <row r="6062" spans="2:7" hidden="1">
      <c r="B6062" s="140" t="s">
        <v>16128</v>
      </c>
      <c r="C6062" s="140"/>
      <c r="D6062" s="140" t="s">
        <v>16129</v>
      </c>
      <c r="E6062" s="142"/>
      <c r="F6062" s="142"/>
      <c r="G6062" s="140"/>
    </row>
    <row r="6063" spans="2:7" hidden="1">
      <c r="B6063" s="141" t="s">
        <v>16130</v>
      </c>
      <c r="C6063" s="141"/>
      <c r="D6063" s="141" t="s">
        <v>16131</v>
      </c>
      <c r="E6063" s="141"/>
      <c r="F6063" s="140"/>
      <c r="G6063" s="140"/>
    </row>
    <row r="6064" spans="2:7" hidden="1">
      <c r="B6064" s="140" t="s">
        <v>16132</v>
      </c>
      <c r="C6064" s="140"/>
      <c r="D6064" s="140" t="s">
        <v>4335</v>
      </c>
      <c r="E6064" s="142"/>
      <c r="F6064" s="142"/>
      <c r="G6064" s="140"/>
    </row>
    <row r="6065" spans="2:7" hidden="1">
      <c r="B6065" s="140" t="s">
        <v>16133</v>
      </c>
      <c r="C6065" s="140"/>
      <c r="D6065" s="140" t="s">
        <v>4489</v>
      </c>
      <c r="E6065" s="142"/>
      <c r="F6065" s="142"/>
      <c r="G6065" s="140"/>
    </row>
    <row r="6066" spans="2:7" hidden="1">
      <c r="B6066" s="141" t="s">
        <v>16134</v>
      </c>
      <c r="C6066" s="140" t="s">
        <v>16135</v>
      </c>
      <c r="D6066" s="141" t="s">
        <v>16136</v>
      </c>
      <c r="E6066" s="140" t="s">
        <v>16137</v>
      </c>
      <c r="F6066" s="140"/>
      <c r="G6066" s="140"/>
    </row>
    <row r="6067" spans="2:7" hidden="1">
      <c r="B6067" s="141" t="s">
        <v>16138</v>
      </c>
      <c r="C6067" s="141"/>
      <c r="D6067" s="141" t="s">
        <v>16139</v>
      </c>
      <c r="E6067" s="140"/>
      <c r="F6067" s="140"/>
      <c r="G6067" s="140"/>
    </row>
    <row r="6068" spans="2:7" hidden="1">
      <c r="B6068" s="141" t="s">
        <v>16140</v>
      </c>
      <c r="C6068" s="140"/>
      <c r="D6068" s="141" t="s">
        <v>9584</v>
      </c>
      <c r="E6068" s="140"/>
      <c r="F6068" s="140"/>
      <c r="G6068" s="140"/>
    </row>
    <row r="6069" spans="2:7" hidden="1">
      <c r="B6069" s="141" t="s">
        <v>16141</v>
      </c>
      <c r="C6069" s="141" t="s">
        <v>16142</v>
      </c>
      <c r="D6069" s="141" t="s">
        <v>6358</v>
      </c>
      <c r="E6069" s="141"/>
      <c r="F6069" s="141"/>
      <c r="G6069" s="140"/>
    </row>
    <row r="6070" spans="2:7" hidden="1">
      <c r="B6070" s="141" t="s">
        <v>16143</v>
      </c>
      <c r="C6070" s="140"/>
      <c r="D6070" s="141" t="s">
        <v>16144</v>
      </c>
      <c r="E6070" s="140"/>
      <c r="F6070" s="140"/>
      <c r="G6070" s="140"/>
    </row>
    <row r="6071" spans="2:7" hidden="1">
      <c r="B6071" s="140" t="s">
        <v>16145</v>
      </c>
      <c r="C6071" s="140"/>
      <c r="D6071" s="140" t="s">
        <v>998</v>
      </c>
      <c r="E6071" s="142"/>
      <c r="F6071" s="142"/>
      <c r="G6071" s="140"/>
    </row>
    <row r="6072" spans="2:7" hidden="1">
      <c r="B6072" s="141" t="s">
        <v>16146</v>
      </c>
      <c r="C6072" s="140"/>
      <c r="D6072" s="141" t="s">
        <v>16147</v>
      </c>
      <c r="E6072" s="140"/>
      <c r="F6072" s="140"/>
      <c r="G6072" s="140"/>
    </row>
    <row r="6073" spans="2:7" hidden="1">
      <c r="B6073" s="141" t="s">
        <v>16148</v>
      </c>
      <c r="C6073" s="140"/>
      <c r="D6073" s="141" t="s">
        <v>16092</v>
      </c>
      <c r="E6073" s="140"/>
      <c r="F6073" s="140"/>
      <c r="G6073" s="140"/>
    </row>
    <row r="6074" spans="2:7" hidden="1">
      <c r="B6074" s="141" t="s">
        <v>16149</v>
      </c>
      <c r="C6074" s="140"/>
      <c r="D6074" s="141" t="s">
        <v>16150</v>
      </c>
      <c r="E6074" s="140"/>
      <c r="F6074" s="140"/>
      <c r="G6074" s="140"/>
    </row>
    <row r="6075" spans="2:7" hidden="1">
      <c r="B6075" s="141" t="s">
        <v>16151</v>
      </c>
      <c r="C6075" s="140"/>
      <c r="D6075" s="141" t="s">
        <v>5168</v>
      </c>
      <c r="E6075" s="140"/>
      <c r="F6075" s="140"/>
      <c r="G6075" s="140"/>
    </row>
    <row r="6076" spans="2:7" hidden="1">
      <c r="B6076" s="140" t="s">
        <v>21937</v>
      </c>
      <c r="C6076" s="140"/>
      <c r="D6076" s="140" t="s">
        <v>16152</v>
      </c>
      <c r="E6076" s="142"/>
      <c r="F6076" s="142"/>
      <c r="G6076" s="140"/>
    </row>
    <row r="6077" spans="2:7" hidden="1">
      <c r="B6077" s="141" t="s">
        <v>16153</v>
      </c>
      <c r="C6077" s="140"/>
      <c r="D6077" s="141" t="s">
        <v>3872</v>
      </c>
      <c r="E6077" s="140"/>
      <c r="F6077" s="140"/>
      <c r="G6077" s="140"/>
    </row>
    <row r="6078" spans="2:7" hidden="1">
      <c r="B6078" s="141" t="s">
        <v>16154</v>
      </c>
      <c r="C6078" s="140"/>
      <c r="D6078" s="141" t="s">
        <v>16155</v>
      </c>
      <c r="E6078" s="140"/>
      <c r="F6078" s="140"/>
      <c r="G6078" s="140"/>
    </row>
    <row r="6079" spans="2:7" hidden="1">
      <c r="B6079" s="141" t="s">
        <v>16156</v>
      </c>
      <c r="C6079" s="140" t="s">
        <v>16157</v>
      </c>
      <c r="D6079" s="141" t="s">
        <v>10868</v>
      </c>
      <c r="E6079" s="140"/>
      <c r="F6079" s="140"/>
      <c r="G6079" s="140"/>
    </row>
    <row r="6080" spans="2:7" hidden="1">
      <c r="B6080" s="141" t="s">
        <v>16158</v>
      </c>
      <c r="C6080" s="141"/>
      <c r="D6080" s="141" t="s">
        <v>16159</v>
      </c>
      <c r="E6080" s="141"/>
      <c r="F6080" s="141"/>
      <c r="G6080" s="140"/>
    </row>
    <row r="6081" spans="2:7" hidden="1">
      <c r="B6081" s="141" t="s">
        <v>16160</v>
      </c>
      <c r="C6081" s="140"/>
      <c r="D6081" s="141" t="s">
        <v>16161</v>
      </c>
      <c r="E6081" s="140"/>
      <c r="F6081" s="140"/>
      <c r="G6081" s="140"/>
    </row>
    <row r="6082" spans="2:7" hidden="1">
      <c r="B6082" s="141" t="s">
        <v>16162</v>
      </c>
      <c r="C6082" s="140" t="s">
        <v>16163</v>
      </c>
      <c r="D6082" s="141" t="s">
        <v>8896</v>
      </c>
      <c r="E6082" s="140" t="s">
        <v>16164</v>
      </c>
      <c r="F6082" s="140"/>
      <c r="G6082" s="140"/>
    </row>
    <row r="6083" spans="2:7" hidden="1">
      <c r="B6083" s="141" t="s">
        <v>16165</v>
      </c>
      <c r="C6083" s="140"/>
      <c r="D6083" s="141" t="s">
        <v>9072</v>
      </c>
      <c r="E6083" s="140"/>
      <c r="F6083" s="140"/>
      <c r="G6083" s="140"/>
    </row>
    <row r="6084" spans="2:7" hidden="1">
      <c r="B6084" s="141" t="s">
        <v>16166</v>
      </c>
      <c r="C6084" s="140"/>
      <c r="D6084" s="141" t="s">
        <v>16167</v>
      </c>
      <c r="E6084" s="140"/>
      <c r="F6084" s="140"/>
      <c r="G6084" s="140"/>
    </row>
    <row r="6085" spans="2:7" hidden="1">
      <c r="B6085" s="141" t="s">
        <v>16168</v>
      </c>
      <c r="C6085" s="140" t="s">
        <v>9152</v>
      </c>
      <c r="D6085" s="141" t="s">
        <v>4713</v>
      </c>
      <c r="E6085" s="140"/>
      <c r="F6085" s="140"/>
      <c r="G6085" s="140"/>
    </row>
    <row r="6086" spans="2:7" hidden="1">
      <c r="B6086" s="140" t="s">
        <v>21938</v>
      </c>
      <c r="C6086" s="140"/>
      <c r="D6086" s="140" t="s">
        <v>16169</v>
      </c>
      <c r="E6086" s="142"/>
      <c r="F6086" s="142"/>
      <c r="G6086" s="140"/>
    </row>
    <row r="6087" spans="2:7" hidden="1">
      <c r="B6087" s="140" t="s">
        <v>21939</v>
      </c>
      <c r="C6087" s="140"/>
      <c r="D6087" s="140" t="s">
        <v>2991</v>
      </c>
      <c r="E6087" s="142"/>
      <c r="F6087" s="142"/>
      <c r="G6087" s="140"/>
    </row>
    <row r="6088" spans="2:7" hidden="1">
      <c r="B6088" s="141" t="s">
        <v>16170</v>
      </c>
      <c r="C6088" s="140" t="s">
        <v>16171</v>
      </c>
      <c r="D6088" s="141" t="s">
        <v>16172</v>
      </c>
      <c r="E6088" s="140"/>
      <c r="F6088" s="140"/>
      <c r="G6088" s="140"/>
    </row>
    <row r="6089" spans="2:7" hidden="1">
      <c r="B6089" s="141" t="s">
        <v>16173</v>
      </c>
      <c r="C6089" s="140"/>
      <c r="D6089" s="141" t="s">
        <v>16174</v>
      </c>
      <c r="E6089" s="140"/>
      <c r="F6089" s="140"/>
      <c r="G6089" s="140"/>
    </row>
    <row r="6090" spans="2:7" hidden="1">
      <c r="B6090" s="141" t="s">
        <v>16175</v>
      </c>
      <c r="C6090" s="140" t="s">
        <v>16176</v>
      </c>
      <c r="D6090" s="141" t="s">
        <v>16177</v>
      </c>
      <c r="E6090" s="140" t="s">
        <v>16178</v>
      </c>
      <c r="F6090" s="140"/>
      <c r="G6090" s="140"/>
    </row>
    <row r="6091" spans="2:7" hidden="1">
      <c r="B6091" s="141" t="s">
        <v>16179</v>
      </c>
      <c r="C6091" s="141"/>
      <c r="D6091" s="141" t="s">
        <v>16180</v>
      </c>
      <c r="E6091" s="141"/>
      <c r="F6091" s="140"/>
      <c r="G6091" s="140"/>
    </row>
    <row r="6092" spans="2:7" hidden="1">
      <c r="B6092" s="141" t="s">
        <v>21940</v>
      </c>
      <c r="C6092" s="140"/>
      <c r="D6092" s="141" t="s">
        <v>2788</v>
      </c>
      <c r="E6092" s="140"/>
      <c r="F6092" s="140"/>
      <c r="G6092" s="140"/>
    </row>
    <row r="6093" spans="2:7" hidden="1">
      <c r="B6093" s="141" t="s">
        <v>16181</v>
      </c>
      <c r="C6093" s="140"/>
      <c r="D6093" s="141" t="s">
        <v>16182</v>
      </c>
      <c r="E6093" s="140"/>
      <c r="F6093" s="140"/>
      <c r="G6093" s="140"/>
    </row>
    <row r="6094" spans="2:7" hidden="1">
      <c r="B6094" s="141" t="s">
        <v>16183</v>
      </c>
      <c r="C6094" s="140" t="s">
        <v>16184</v>
      </c>
      <c r="D6094" s="141" t="s">
        <v>1395</v>
      </c>
      <c r="E6094" s="140" t="s">
        <v>16185</v>
      </c>
      <c r="F6094" s="140" t="s">
        <v>16186</v>
      </c>
      <c r="G6094" s="140"/>
    </row>
    <row r="6095" spans="2:7" hidden="1">
      <c r="B6095" s="141" t="s">
        <v>16187</v>
      </c>
      <c r="C6095" s="140" t="s">
        <v>16188</v>
      </c>
      <c r="D6095" s="141" t="s">
        <v>2675</v>
      </c>
      <c r="E6095" s="140" t="s">
        <v>16189</v>
      </c>
      <c r="F6095" s="140" t="s">
        <v>16190</v>
      </c>
      <c r="G6095" s="140"/>
    </row>
    <row r="6096" spans="2:7" hidden="1">
      <c r="B6096" s="141" t="s">
        <v>16191</v>
      </c>
      <c r="C6096" s="140"/>
      <c r="D6096" s="141" t="s">
        <v>16192</v>
      </c>
      <c r="E6096" s="140"/>
      <c r="F6096" s="140"/>
      <c r="G6096" s="140"/>
    </row>
    <row r="6097" spans="2:7" hidden="1">
      <c r="B6097" s="141" t="s">
        <v>16193</v>
      </c>
      <c r="C6097" s="140"/>
      <c r="D6097" s="141" t="s">
        <v>16194</v>
      </c>
      <c r="E6097" s="140"/>
      <c r="F6097" s="140"/>
      <c r="G6097" s="140"/>
    </row>
    <row r="6098" spans="2:7" hidden="1">
      <c r="B6098" s="141" t="s">
        <v>16195</v>
      </c>
      <c r="C6098" s="141"/>
      <c r="D6098" s="141" t="s">
        <v>11208</v>
      </c>
      <c r="E6098" s="141"/>
      <c r="F6098" s="141"/>
      <c r="G6098" s="140"/>
    </row>
    <row r="6099" spans="2:7" hidden="1">
      <c r="B6099" s="141" t="s">
        <v>16196</v>
      </c>
      <c r="C6099" s="140"/>
      <c r="D6099" s="141" t="s">
        <v>16197</v>
      </c>
      <c r="E6099" s="140"/>
      <c r="F6099" s="140"/>
      <c r="G6099" s="140"/>
    </row>
    <row r="6100" spans="2:7" hidden="1">
      <c r="B6100" s="141" t="s">
        <v>16198</v>
      </c>
      <c r="C6100" s="140"/>
      <c r="D6100" s="141" t="s">
        <v>4938</v>
      </c>
      <c r="E6100" s="140"/>
      <c r="F6100" s="140"/>
      <c r="G6100" s="140"/>
    </row>
    <row r="6101" spans="2:7" hidden="1">
      <c r="B6101" s="141" t="s">
        <v>16199</v>
      </c>
      <c r="C6101" s="140" t="s">
        <v>16200</v>
      </c>
      <c r="D6101" s="141" t="s">
        <v>16201</v>
      </c>
      <c r="E6101" s="140"/>
      <c r="F6101" s="140"/>
      <c r="G6101" s="140"/>
    </row>
    <row r="6102" spans="2:7" hidden="1">
      <c r="B6102" s="141" t="s">
        <v>16202</v>
      </c>
      <c r="C6102" s="140"/>
      <c r="D6102" s="141" t="s">
        <v>2650</v>
      </c>
      <c r="E6102" s="140"/>
      <c r="F6102" s="140"/>
      <c r="G6102" s="140"/>
    </row>
    <row r="6103" spans="2:7" hidden="1">
      <c r="B6103" s="141" t="s">
        <v>16203</v>
      </c>
      <c r="C6103" s="140"/>
      <c r="D6103" s="141" t="s">
        <v>4238</v>
      </c>
      <c r="E6103" s="140"/>
      <c r="F6103" s="140"/>
      <c r="G6103" s="140"/>
    </row>
    <row r="6104" spans="2:7" hidden="1">
      <c r="B6104" s="141" t="s">
        <v>16204</v>
      </c>
      <c r="C6104" s="140"/>
      <c r="D6104" s="141" t="s">
        <v>4053</v>
      </c>
      <c r="E6104" s="140"/>
      <c r="F6104" s="140"/>
      <c r="G6104" s="140"/>
    </row>
    <row r="6105" spans="2:7" hidden="1">
      <c r="B6105" s="141" t="s">
        <v>16205</v>
      </c>
      <c r="C6105" s="140"/>
      <c r="D6105" s="141" t="s">
        <v>16206</v>
      </c>
      <c r="E6105" s="140"/>
      <c r="F6105" s="140"/>
      <c r="G6105" s="140"/>
    </row>
    <row r="6106" spans="2:7" hidden="1">
      <c r="B6106" s="141" t="s">
        <v>16207</v>
      </c>
      <c r="C6106" s="140"/>
      <c r="D6106" s="141" t="s">
        <v>16208</v>
      </c>
      <c r="E6106" s="140"/>
      <c r="F6106" s="140"/>
      <c r="G6106" s="140"/>
    </row>
    <row r="6107" spans="2:7" hidden="1">
      <c r="B6107" s="141" t="s">
        <v>16209</v>
      </c>
      <c r="C6107" s="140"/>
      <c r="D6107" s="141" t="s">
        <v>16210</v>
      </c>
      <c r="E6107" s="140"/>
      <c r="F6107" s="140"/>
      <c r="G6107" s="140"/>
    </row>
    <row r="6108" spans="2:7" hidden="1">
      <c r="B6108" s="140" t="s">
        <v>16211</v>
      </c>
      <c r="C6108" s="140"/>
      <c r="D6108" s="140" t="s">
        <v>2487</v>
      </c>
      <c r="E6108" s="142"/>
      <c r="F6108" s="142"/>
      <c r="G6108" s="140"/>
    </row>
    <row r="6109" spans="2:7" hidden="1">
      <c r="B6109" s="141" t="s">
        <v>16212</v>
      </c>
      <c r="C6109" s="140"/>
      <c r="D6109" s="141" t="s">
        <v>16213</v>
      </c>
      <c r="E6109" s="140"/>
      <c r="F6109" s="140"/>
      <c r="G6109" s="140"/>
    </row>
    <row r="6110" spans="2:7" hidden="1">
      <c r="B6110" s="141" t="s">
        <v>16214</v>
      </c>
      <c r="C6110" s="140" t="s">
        <v>16215</v>
      </c>
      <c r="D6110" s="141" t="s">
        <v>16216</v>
      </c>
      <c r="E6110" s="140"/>
      <c r="F6110" s="140"/>
      <c r="G6110" s="140"/>
    </row>
    <row r="6111" spans="2:7" hidden="1">
      <c r="B6111" s="141" t="s">
        <v>21941</v>
      </c>
      <c r="C6111" s="140"/>
      <c r="D6111" s="141" t="s">
        <v>16217</v>
      </c>
      <c r="E6111" s="140"/>
      <c r="F6111" s="140"/>
      <c r="G6111" s="140"/>
    </row>
    <row r="6112" spans="2:7" hidden="1">
      <c r="B6112" s="141" t="s">
        <v>16218</v>
      </c>
      <c r="C6112" s="140"/>
      <c r="D6112" s="141" t="s">
        <v>7299</v>
      </c>
      <c r="E6112" s="140"/>
      <c r="F6112" s="140"/>
      <c r="G6112" s="140"/>
    </row>
    <row r="6113" spans="2:7" hidden="1">
      <c r="B6113" s="141" t="s">
        <v>16219</v>
      </c>
      <c r="C6113" s="140" t="s">
        <v>16220</v>
      </c>
      <c r="D6113" s="141" t="s">
        <v>11008</v>
      </c>
      <c r="E6113" s="140"/>
      <c r="F6113" s="140"/>
      <c r="G6113" s="140" t="s">
        <v>16221</v>
      </c>
    </row>
    <row r="6114" spans="2:7" hidden="1">
      <c r="B6114" s="141" t="s">
        <v>16222</v>
      </c>
      <c r="C6114" s="140"/>
      <c r="D6114" s="141" t="s">
        <v>16223</v>
      </c>
      <c r="E6114" s="140"/>
      <c r="F6114" s="140"/>
      <c r="G6114" s="140"/>
    </row>
    <row r="6115" spans="2:7" hidden="1">
      <c r="B6115" s="141" t="s">
        <v>16224</v>
      </c>
      <c r="C6115" s="140"/>
      <c r="D6115" s="141" t="s">
        <v>16225</v>
      </c>
      <c r="E6115" s="140"/>
      <c r="F6115" s="140"/>
      <c r="G6115" s="140"/>
    </row>
    <row r="6116" spans="2:7" hidden="1">
      <c r="B6116" s="141" t="s">
        <v>16226</v>
      </c>
      <c r="C6116" s="140"/>
      <c r="D6116" s="141" t="s">
        <v>16227</v>
      </c>
      <c r="E6116" s="140"/>
      <c r="F6116" s="140"/>
      <c r="G6116" s="140"/>
    </row>
    <row r="6117" spans="2:7" hidden="1">
      <c r="B6117" s="140" t="s">
        <v>21942</v>
      </c>
      <c r="C6117" s="140" t="s">
        <v>16228</v>
      </c>
      <c r="D6117" s="140" t="s">
        <v>2291</v>
      </c>
      <c r="E6117" s="142"/>
      <c r="F6117" s="142"/>
      <c r="G6117" s="140"/>
    </row>
    <row r="6118" spans="2:7" hidden="1">
      <c r="B6118" s="141" t="s">
        <v>16229</v>
      </c>
      <c r="C6118" s="140"/>
      <c r="D6118" s="141"/>
      <c r="E6118" s="140" t="s">
        <v>16230</v>
      </c>
      <c r="F6118" s="140" t="s">
        <v>16231</v>
      </c>
      <c r="G6118" s="140"/>
    </row>
    <row r="6119" spans="2:7" hidden="1">
      <c r="B6119" s="141" t="s">
        <v>16232</v>
      </c>
      <c r="C6119" s="140"/>
      <c r="D6119" s="141" t="s">
        <v>10186</v>
      </c>
      <c r="E6119" s="140"/>
      <c r="F6119" s="140"/>
      <c r="G6119" s="140"/>
    </row>
    <row r="6120" spans="2:7" hidden="1">
      <c r="B6120" s="140" t="s">
        <v>16233</v>
      </c>
      <c r="C6120" s="140"/>
      <c r="D6120" s="140" t="s">
        <v>6319</v>
      </c>
      <c r="E6120" s="140"/>
      <c r="F6120" s="140"/>
      <c r="G6120" s="140"/>
    </row>
    <row r="6121" spans="2:7" hidden="1">
      <c r="B6121" s="141" t="s">
        <v>16234</v>
      </c>
      <c r="C6121" s="141"/>
      <c r="D6121" s="141" t="s">
        <v>16235</v>
      </c>
      <c r="E6121" s="141"/>
      <c r="F6121" s="141"/>
      <c r="G6121" s="140"/>
    </row>
    <row r="6122" spans="2:7" hidden="1">
      <c r="B6122" s="141" t="s">
        <v>16236</v>
      </c>
      <c r="C6122" s="140"/>
      <c r="D6122" s="141" t="s">
        <v>2788</v>
      </c>
      <c r="E6122" s="140"/>
      <c r="F6122" s="140"/>
      <c r="G6122" s="140"/>
    </row>
    <row r="6123" spans="2:7" hidden="1">
      <c r="B6123" s="141" t="s">
        <v>16237</v>
      </c>
      <c r="C6123" s="141"/>
      <c r="D6123" s="141" t="s">
        <v>5350</v>
      </c>
      <c r="E6123" s="140"/>
      <c r="F6123" s="140"/>
      <c r="G6123" s="140"/>
    </row>
    <row r="6124" spans="2:7" hidden="1">
      <c r="B6124" s="140" t="s">
        <v>16238</v>
      </c>
      <c r="C6124" s="140"/>
      <c r="D6124" s="140" t="s">
        <v>16239</v>
      </c>
      <c r="E6124" s="142"/>
      <c r="F6124" s="142"/>
      <c r="G6124" s="140"/>
    </row>
    <row r="6125" spans="2:7" hidden="1">
      <c r="B6125" s="141" t="s">
        <v>16240</v>
      </c>
      <c r="C6125" s="140"/>
      <c r="D6125" s="141" t="s">
        <v>6698</v>
      </c>
      <c r="E6125" s="140"/>
      <c r="F6125" s="140"/>
      <c r="G6125" s="140"/>
    </row>
    <row r="6126" spans="2:7" hidden="1">
      <c r="B6126" s="141" t="s">
        <v>16241</v>
      </c>
      <c r="C6126" s="140"/>
      <c r="D6126" s="141" t="s">
        <v>16242</v>
      </c>
      <c r="E6126" s="140"/>
      <c r="F6126" s="140"/>
      <c r="G6126" s="140"/>
    </row>
    <row r="6127" spans="2:7" hidden="1">
      <c r="B6127" s="140" t="s">
        <v>16243</v>
      </c>
      <c r="C6127" s="140"/>
      <c r="D6127" s="140" t="s">
        <v>16244</v>
      </c>
      <c r="E6127" s="142"/>
      <c r="F6127" s="142"/>
      <c r="G6127" s="140"/>
    </row>
    <row r="6128" spans="2:7" hidden="1">
      <c r="B6128" s="141" t="s">
        <v>16245</v>
      </c>
      <c r="C6128" s="140"/>
      <c r="D6128" s="141" t="s">
        <v>3934</v>
      </c>
      <c r="E6128" s="140"/>
      <c r="F6128" s="140"/>
      <c r="G6128" s="140"/>
    </row>
    <row r="6129" spans="2:7" hidden="1">
      <c r="B6129" s="141" t="s">
        <v>16246</v>
      </c>
      <c r="C6129" s="140"/>
      <c r="D6129" s="141" t="s">
        <v>16247</v>
      </c>
      <c r="E6129" s="140"/>
      <c r="F6129" s="140"/>
      <c r="G6129" s="140"/>
    </row>
    <row r="6130" spans="2:7" hidden="1">
      <c r="B6130" s="140" t="s">
        <v>16248</v>
      </c>
      <c r="C6130" s="140" t="s">
        <v>16249</v>
      </c>
      <c r="D6130" s="140" t="s">
        <v>4073</v>
      </c>
      <c r="E6130" s="142" t="s">
        <v>16250</v>
      </c>
      <c r="F6130" s="142" t="s">
        <v>16251</v>
      </c>
      <c r="G6130" s="140"/>
    </row>
    <row r="6131" spans="2:7" hidden="1">
      <c r="B6131" s="141" t="s">
        <v>16252</v>
      </c>
      <c r="C6131" s="140" t="s">
        <v>16253</v>
      </c>
      <c r="D6131" s="141" t="s">
        <v>16254</v>
      </c>
      <c r="E6131" s="140" t="s">
        <v>16255</v>
      </c>
      <c r="F6131" s="140" t="s">
        <v>16256</v>
      </c>
      <c r="G6131" s="140"/>
    </row>
    <row r="6132" spans="2:7" hidden="1">
      <c r="B6132" s="141" t="s">
        <v>16257</v>
      </c>
      <c r="C6132" s="140" t="s">
        <v>16253</v>
      </c>
      <c r="D6132" s="141" t="s">
        <v>16258</v>
      </c>
      <c r="E6132" s="140" t="s">
        <v>16255</v>
      </c>
      <c r="F6132" s="140" t="s">
        <v>16256</v>
      </c>
      <c r="G6132" s="140"/>
    </row>
    <row r="6133" spans="2:7" hidden="1">
      <c r="B6133" s="141" t="s">
        <v>16259</v>
      </c>
      <c r="C6133" s="141"/>
      <c r="D6133" s="141" t="s">
        <v>16260</v>
      </c>
      <c r="E6133" s="141"/>
      <c r="F6133" s="141"/>
      <c r="G6133" s="140"/>
    </row>
    <row r="6134" spans="2:7" hidden="1">
      <c r="B6134" s="141" t="s">
        <v>16261</v>
      </c>
      <c r="C6134" s="140" t="s">
        <v>16262</v>
      </c>
      <c r="D6134" s="141" t="s">
        <v>16263</v>
      </c>
      <c r="E6134" s="140"/>
      <c r="F6134" s="140"/>
      <c r="G6134" s="140"/>
    </row>
    <row r="6135" spans="2:7" hidden="1">
      <c r="B6135" s="141" t="s">
        <v>16264</v>
      </c>
      <c r="C6135" s="140"/>
      <c r="D6135" s="141" t="s">
        <v>16265</v>
      </c>
      <c r="E6135" s="140"/>
      <c r="F6135" s="140"/>
      <c r="G6135" s="140"/>
    </row>
    <row r="6136" spans="2:7" hidden="1">
      <c r="B6136" s="140" t="s">
        <v>16284</v>
      </c>
      <c r="C6136" s="140"/>
      <c r="D6136" s="140" t="s">
        <v>16285</v>
      </c>
      <c r="E6136" s="140"/>
      <c r="F6136" s="140"/>
      <c r="G6136" s="140"/>
    </row>
    <row r="6137" spans="2:7" hidden="1">
      <c r="B6137" s="141" t="s">
        <v>16286</v>
      </c>
      <c r="C6137" s="140" t="s">
        <v>16287</v>
      </c>
      <c r="D6137" s="141" t="s">
        <v>16288</v>
      </c>
      <c r="E6137" s="140"/>
      <c r="F6137" s="140"/>
      <c r="G6137" s="140"/>
    </row>
    <row r="6138" spans="2:7" hidden="1">
      <c r="B6138" s="141" t="s">
        <v>16289</v>
      </c>
      <c r="C6138" s="140"/>
      <c r="D6138" s="141" t="s">
        <v>16290</v>
      </c>
      <c r="E6138" s="140"/>
      <c r="F6138" s="140"/>
      <c r="G6138" s="140"/>
    </row>
    <row r="6139" spans="2:7" hidden="1">
      <c r="B6139" s="141" t="s">
        <v>16291</v>
      </c>
      <c r="C6139" s="140"/>
      <c r="D6139" s="141" t="s">
        <v>16292</v>
      </c>
      <c r="E6139" s="140"/>
      <c r="F6139" s="140"/>
      <c r="G6139" s="140"/>
    </row>
    <row r="6140" spans="2:7" hidden="1">
      <c r="B6140" s="141" t="s">
        <v>16293</v>
      </c>
      <c r="C6140" s="140"/>
      <c r="D6140" s="141" t="s">
        <v>16294</v>
      </c>
      <c r="E6140" s="140"/>
      <c r="F6140" s="140"/>
      <c r="G6140" s="140"/>
    </row>
    <row r="6141" spans="2:7" hidden="1">
      <c r="B6141" s="141" t="s">
        <v>16295</v>
      </c>
      <c r="C6141" s="140" t="s">
        <v>16296</v>
      </c>
      <c r="D6141" s="141" t="s">
        <v>16297</v>
      </c>
      <c r="E6141" s="140"/>
      <c r="F6141" s="140"/>
      <c r="G6141" s="140"/>
    </row>
    <row r="6142" spans="2:7" hidden="1">
      <c r="B6142" s="141" t="s">
        <v>16298</v>
      </c>
      <c r="C6142" s="140"/>
      <c r="D6142" s="141" t="s">
        <v>11257</v>
      </c>
      <c r="E6142" s="140"/>
      <c r="F6142" s="140"/>
      <c r="G6142" s="140"/>
    </row>
    <row r="6143" spans="2:7" hidden="1">
      <c r="B6143" s="141" t="s">
        <v>16299</v>
      </c>
      <c r="C6143" s="140"/>
      <c r="D6143" s="141" t="s">
        <v>10466</v>
      </c>
      <c r="E6143" s="140"/>
      <c r="F6143" s="140"/>
      <c r="G6143" s="140"/>
    </row>
    <row r="6144" spans="2:7" hidden="1">
      <c r="B6144" s="141" t="s">
        <v>16311</v>
      </c>
      <c r="C6144" s="140"/>
      <c r="D6144" s="141" t="s">
        <v>16312</v>
      </c>
      <c r="E6144" s="140"/>
      <c r="F6144" s="140"/>
      <c r="G6144" s="140"/>
    </row>
    <row r="6145" spans="2:7" hidden="1">
      <c r="B6145" s="140" t="s">
        <v>16313</v>
      </c>
      <c r="C6145" s="140"/>
      <c r="D6145" s="140" t="s">
        <v>16314</v>
      </c>
      <c r="E6145" s="142"/>
      <c r="F6145" s="142"/>
      <c r="G6145" s="140"/>
    </row>
    <row r="6146" spans="2:7" hidden="1">
      <c r="B6146" s="141" t="s">
        <v>16315</v>
      </c>
      <c r="C6146" s="140"/>
      <c r="D6146" s="141" t="s">
        <v>16316</v>
      </c>
      <c r="E6146" s="140"/>
      <c r="F6146" s="140"/>
      <c r="G6146" s="140"/>
    </row>
    <row r="6147" spans="2:7" hidden="1">
      <c r="B6147" s="140" t="s">
        <v>16317</v>
      </c>
      <c r="C6147" s="140"/>
      <c r="D6147" s="140" t="s">
        <v>14285</v>
      </c>
      <c r="E6147" s="140"/>
      <c r="F6147" s="140"/>
      <c r="G6147" s="140"/>
    </row>
    <row r="6148" spans="2:7" hidden="1">
      <c r="B6148" s="141" t="s">
        <v>21943</v>
      </c>
      <c r="C6148" s="140"/>
      <c r="D6148" s="141" t="s">
        <v>16300</v>
      </c>
      <c r="E6148" s="140"/>
      <c r="F6148" s="140"/>
      <c r="G6148" s="140"/>
    </row>
    <row r="6149" spans="2:7" hidden="1">
      <c r="B6149" s="141" t="s">
        <v>21944</v>
      </c>
      <c r="C6149" s="140" t="s">
        <v>16301</v>
      </c>
      <c r="D6149" s="141" t="s">
        <v>16302</v>
      </c>
      <c r="E6149" s="140" t="s">
        <v>16303</v>
      </c>
      <c r="F6149" s="140" t="s">
        <v>16304</v>
      </c>
      <c r="G6149" s="140"/>
    </row>
    <row r="6150" spans="2:7" hidden="1">
      <c r="B6150" s="141" t="s">
        <v>21945</v>
      </c>
      <c r="C6150" s="140"/>
      <c r="D6150" s="141" t="s">
        <v>10229</v>
      </c>
      <c r="E6150" s="140"/>
      <c r="F6150" s="140"/>
      <c r="G6150" s="140"/>
    </row>
    <row r="6151" spans="2:7" hidden="1">
      <c r="B6151" s="140" t="s">
        <v>21946</v>
      </c>
      <c r="C6151" s="140"/>
      <c r="D6151" s="140" t="s">
        <v>2487</v>
      </c>
      <c r="E6151" s="142"/>
      <c r="F6151" s="142"/>
      <c r="G6151" s="140"/>
    </row>
    <row r="6152" spans="2:7" hidden="1">
      <c r="B6152" s="141" t="s">
        <v>21947</v>
      </c>
      <c r="C6152" s="141"/>
      <c r="D6152" s="141" t="s">
        <v>16305</v>
      </c>
      <c r="E6152" s="140"/>
      <c r="F6152" s="140"/>
      <c r="G6152" s="140"/>
    </row>
    <row r="6153" spans="2:7" hidden="1">
      <c r="B6153" s="141" t="s">
        <v>21948</v>
      </c>
      <c r="C6153" s="141"/>
      <c r="D6153" s="141" t="s">
        <v>16306</v>
      </c>
      <c r="E6153" s="140"/>
      <c r="F6153" s="140"/>
      <c r="G6153" s="140"/>
    </row>
    <row r="6154" spans="2:7" hidden="1">
      <c r="B6154" s="141" t="s">
        <v>21949</v>
      </c>
      <c r="C6154" s="140" t="s">
        <v>16307</v>
      </c>
      <c r="D6154" s="141" t="s">
        <v>16308</v>
      </c>
      <c r="E6154" s="140" t="s">
        <v>16309</v>
      </c>
      <c r="F6154" s="140" t="s">
        <v>16310</v>
      </c>
      <c r="G6154" s="140"/>
    </row>
    <row r="6155" spans="2:7" hidden="1">
      <c r="B6155" s="141" t="s">
        <v>16318</v>
      </c>
      <c r="C6155" s="140"/>
      <c r="D6155" s="141" t="s">
        <v>6213</v>
      </c>
      <c r="E6155" s="140"/>
      <c r="F6155" s="140"/>
      <c r="G6155" s="140"/>
    </row>
    <row r="6156" spans="2:7" hidden="1">
      <c r="B6156" s="141" t="s">
        <v>16319</v>
      </c>
      <c r="C6156" s="140"/>
      <c r="D6156" s="141" t="s">
        <v>1190</v>
      </c>
      <c r="E6156" s="140"/>
      <c r="F6156" s="140"/>
      <c r="G6156" s="140"/>
    </row>
    <row r="6157" spans="2:7" hidden="1">
      <c r="B6157" s="141" t="s">
        <v>16320</v>
      </c>
      <c r="C6157" s="140"/>
      <c r="D6157" s="141" t="s">
        <v>16321</v>
      </c>
      <c r="E6157" s="140"/>
      <c r="F6157" s="140"/>
      <c r="G6157" s="140"/>
    </row>
    <row r="6158" spans="2:7" hidden="1">
      <c r="B6158" s="141" t="s">
        <v>16322</v>
      </c>
      <c r="C6158" s="140"/>
      <c r="D6158" s="141" t="s">
        <v>16314</v>
      </c>
      <c r="E6158" s="140"/>
      <c r="F6158" s="140"/>
      <c r="G6158" s="140"/>
    </row>
    <row r="6159" spans="2:7" hidden="1">
      <c r="B6159" s="141" t="s">
        <v>21950</v>
      </c>
      <c r="C6159" s="140" t="s">
        <v>16323</v>
      </c>
      <c r="D6159" s="141" t="s">
        <v>16324</v>
      </c>
      <c r="E6159" s="140" t="s">
        <v>16325</v>
      </c>
      <c r="F6159" s="140" t="s">
        <v>16326</v>
      </c>
      <c r="G6159" s="140"/>
    </row>
    <row r="6160" spans="2:7" hidden="1">
      <c r="B6160" s="140" t="s">
        <v>16327</v>
      </c>
      <c r="C6160" s="140" t="s">
        <v>16328</v>
      </c>
      <c r="D6160" s="140" t="s">
        <v>16329</v>
      </c>
      <c r="E6160" s="142" t="s">
        <v>16330</v>
      </c>
      <c r="F6160" s="142"/>
      <c r="G6160" s="140"/>
    </row>
    <row r="6161" spans="2:7" hidden="1">
      <c r="B6161" s="140" t="s">
        <v>16331</v>
      </c>
      <c r="C6161" s="140"/>
      <c r="D6161" s="140" t="s">
        <v>2448</v>
      </c>
      <c r="E6161" s="142"/>
      <c r="F6161" s="142"/>
      <c r="G6161" s="140"/>
    </row>
    <row r="6162" spans="2:7" hidden="1">
      <c r="B6162" s="141" t="s">
        <v>16332</v>
      </c>
      <c r="C6162" s="141"/>
      <c r="D6162" s="141" t="s">
        <v>9401</v>
      </c>
      <c r="E6162" s="141"/>
      <c r="F6162" s="141"/>
      <c r="G6162" s="140"/>
    </row>
    <row r="6163" spans="2:7" hidden="1">
      <c r="B6163" s="141" t="s">
        <v>16333</v>
      </c>
      <c r="C6163" s="140"/>
      <c r="D6163" s="141" t="s">
        <v>16334</v>
      </c>
      <c r="E6163" s="140"/>
      <c r="F6163" s="140"/>
      <c r="G6163" s="140"/>
    </row>
    <row r="6164" spans="2:7" hidden="1">
      <c r="B6164" s="141" t="s">
        <v>16335</v>
      </c>
      <c r="C6164" s="140"/>
      <c r="D6164" s="141" t="s">
        <v>7872</v>
      </c>
      <c r="E6164" s="140"/>
      <c r="F6164" s="140"/>
      <c r="G6164" s="140"/>
    </row>
    <row r="6165" spans="2:7" hidden="1">
      <c r="B6165" s="141" t="s">
        <v>16336</v>
      </c>
      <c r="C6165" s="141" t="s">
        <v>16337</v>
      </c>
      <c r="D6165" s="141" t="s">
        <v>16338</v>
      </c>
      <c r="E6165" s="141" t="s">
        <v>16339</v>
      </c>
      <c r="F6165" s="141" t="s">
        <v>16340</v>
      </c>
      <c r="G6165" s="140"/>
    </row>
    <row r="6166" spans="2:7" hidden="1">
      <c r="B6166" s="141" t="s">
        <v>16341</v>
      </c>
      <c r="C6166" s="141"/>
      <c r="D6166" s="141" t="s">
        <v>16342</v>
      </c>
      <c r="E6166" s="140"/>
      <c r="F6166" s="140"/>
      <c r="G6166" s="140"/>
    </row>
    <row r="6167" spans="2:7" hidden="1">
      <c r="B6167" s="141" t="s">
        <v>16343</v>
      </c>
      <c r="C6167" s="140"/>
      <c r="D6167" s="141" t="s">
        <v>16344</v>
      </c>
      <c r="E6167" s="140"/>
      <c r="F6167" s="140"/>
      <c r="G6167" s="140"/>
    </row>
    <row r="6168" spans="2:7" hidden="1">
      <c r="B6168" s="141" t="s">
        <v>16345</v>
      </c>
      <c r="C6168" s="140"/>
      <c r="D6168" s="141" t="s">
        <v>16346</v>
      </c>
      <c r="E6168" s="140"/>
      <c r="F6168" s="140"/>
      <c r="G6168" s="140"/>
    </row>
    <row r="6169" spans="2:7" hidden="1">
      <c r="B6169" s="141" t="s">
        <v>16347</v>
      </c>
      <c r="C6169" s="140"/>
      <c r="D6169" s="141" t="s">
        <v>10248</v>
      </c>
      <c r="E6169" s="140"/>
      <c r="F6169" s="140"/>
      <c r="G6169" s="140"/>
    </row>
    <row r="6170" spans="2:7" hidden="1">
      <c r="B6170" s="141" t="s">
        <v>16348</v>
      </c>
      <c r="C6170" s="140"/>
      <c r="D6170" s="141" t="s">
        <v>6812</v>
      </c>
      <c r="E6170" s="140"/>
      <c r="F6170" s="140"/>
      <c r="G6170" s="140"/>
    </row>
    <row r="6171" spans="2:7" hidden="1">
      <c r="B6171" s="141" t="s">
        <v>16349</v>
      </c>
      <c r="C6171" s="140"/>
      <c r="D6171" s="141" t="s">
        <v>2212</v>
      </c>
      <c r="E6171" s="140"/>
      <c r="F6171" s="140"/>
      <c r="G6171" s="140"/>
    </row>
    <row r="6172" spans="2:7" hidden="1">
      <c r="B6172" s="141" t="s">
        <v>16350</v>
      </c>
      <c r="C6172" s="140"/>
      <c r="D6172" s="141" t="s">
        <v>16351</v>
      </c>
      <c r="E6172" s="140"/>
      <c r="F6172" s="140"/>
      <c r="G6172" s="140"/>
    </row>
    <row r="6173" spans="2:7" hidden="1">
      <c r="B6173" s="141" t="s">
        <v>16352</v>
      </c>
      <c r="C6173" s="140"/>
      <c r="D6173" s="141" t="s">
        <v>7501</v>
      </c>
      <c r="E6173" s="140"/>
      <c r="F6173" s="140"/>
      <c r="G6173" s="140"/>
    </row>
    <row r="6174" spans="2:7" hidden="1">
      <c r="B6174" s="141" t="s">
        <v>16353</v>
      </c>
      <c r="C6174" s="140"/>
      <c r="D6174" s="141" t="s">
        <v>16354</v>
      </c>
      <c r="E6174" s="140"/>
      <c r="F6174" s="140"/>
      <c r="G6174" s="140"/>
    </row>
    <row r="6175" spans="2:7" hidden="1">
      <c r="B6175" s="141" t="s">
        <v>16355</v>
      </c>
      <c r="C6175" s="140"/>
      <c r="D6175" s="141" t="s">
        <v>2928</v>
      </c>
      <c r="E6175" s="140"/>
      <c r="F6175" s="140"/>
      <c r="G6175" s="140"/>
    </row>
    <row r="6176" spans="2:7" hidden="1">
      <c r="B6176" s="141" t="s">
        <v>16356</v>
      </c>
      <c r="C6176" s="140"/>
      <c r="D6176" s="141" t="s">
        <v>16357</v>
      </c>
      <c r="E6176" s="140"/>
      <c r="F6176" s="140"/>
      <c r="G6176" s="140"/>
    </row>
    <row r="6177" spans="2:7" hidden="1">
      <c r="B6177" s="141" t="s">
        <v>16358</v>
      </c>
      <c r="C6177" s="140" t="s">
        <v>16359</v>
      </c>
      <c r="D6177" s="141" t="s">
        <v>16360</v>
      </c>
      <c r="E6177" s="140" t="s">
        <v>16361</v>
      </c>
      <c r="F6177" s="140" t="s">
        <v>16362</v>
      </c>
      <c r="G6177" s="140"/>
    </row>
    <row r="6178" spans="2:7" hidden="1">
      <c r="B6178" s="141" t="s">
        <v>16363</v>
      </c>
      <c r="C6178" s="140" t="s">
        <v>16364</v>
      </c>
      <c r="D6178" s="141" t="s">
        <v>16365</v>
      </c>
      <c r="E6178" s="140"/>
      <c r="F6178" s="140"/>
      <c r="G6178" s="140" t="s">
        <v>16366</v>
      </c>
    </row>
    <row r="6179" spans="2:7" hidden="1">
      <c r="B6179" s="141" t="s">
        <v>16367</v>
      </c>
      <c r="C6179" s="140" t="s">
        <v>16368</v>
      </c>
      <c r="D6179" s="141" t="s">
        <v>16369</v>
      </c>
      <c r="E6179" s="140"/>
      <c r="F6179" s="140"/>
      <c r="G6179" s="140"/>
    </row>
    <row r="6180" spans="2:7" hidden="1">
      <c r="B6180" s="140" t="s">
        <v>16370</v>
      </c>
      <c r="C6180" s="140"/>
      <c r="D6180" s="140" t="s">
        <v>16371</v>
      </c>
      <c r="E6180" s="142"/>
      <c r="F6180" s="142"/>
      <c r="G6180" s="140"/>
    </row>
    <row r="6181" spans="2:7" hidden="1">
      <c r="B6181" s="141" t="s">
        <v>16372</v>
      </c>
      <c r="C6181" s="140"/>
      <c r="D6181" s="141" t="s">
        <v>16373</v>
      </c>
      <c r="E6181" s="140"/>
      <c r="F6181" s="140"/>
      <c r="G6181" s="140"/>
    </row>
    <row r="6182" spans="2:7" hidden="1">
      <c r="B6182" s="141" t="s">
        <v>16374</v>
      </c>
      <c r="C6182" s="140"/>
      <c r="D6182" s="141" t="s">
        <v>16375</v>
      </c>
      <c r="E6182" s="140"/>
      <c r="F6182" s="140"/>
      <c r="G6182" s="140"/>
    </row>
    <row r="6183" spans="2:7" hidden="1">
      <c r="B6183" s="141" t="s">
        <v>16376</v>
      </c>
      <c r="C6183" s="140"/>
      <c r="D6183" s="141" t="s">
        <v>16377</v>
      </c>
      <c r="E6183" s="140"/>
      <c r="F6183" s="140"/>
      <c r="G6183" s="140"/>
    </row>
    <row r="6184" spans="2:7" hidden="1">
      <c r="B6184" s="141" t="s">
        <v>16378</v>
      </c>
      <c r="C6184" s="140"/>
      <c r="D6184" s="141" t="s">
        <v>16379</v>
      </c>
      <c r="E6184" s="140"/>
      <c r="F6184" s="140"/>
      <c r="G6184" s="140"/>
    </row>
    <row r="6185" spans="2:7" hidden="1">
      <c r="B6185" s="141" t="s">
        <v>16380</v>
      </c>
      <c r="C6185" s="140"/>
      <c r="D6185" s="141" t="s">
        <v>10767</v>
      </c>
      <c r="E6185" s="140"/>
      <c r="F6185" s="140"/>
      <c r="G6185" s="140"/>
    </row>
    <row r="6186" spans="2:7" hidden="1">
      <c r="B6186" s="141" t="s">
        <v>16381</v>
      </c>
      <c r="C6186" s="140"/>
      <c r="D6186" s="141" t="s">
        <v>16382</v>
      </c>
      <c r="E6186" s="140"/>
      <c r="F6186" s="140"/>
      <c r="G6186" s="140"/>
    </row>
    <row r="6187" spans="2:7" hidden="1">
      <c r="B6187" s="141" t="s">
        <v>21951</v>
      </c>
      <c r="C6187" s="140"/>
      <c r="D6187" s="141" t="s">
        <v>16383</v>
      </c>
      <c r="E6187" s="140"/>
      <c r="F6187" s="140"/>
      <c r="G6187" s="140"/>
    </row>
    <row r="6188" spans="2:7" hidden="1">
      <c r="B6188" s="140" t="s">
        <v>16384</v>
      </c>
      <c r="C6188" s="140" t="s">
        <v>16385</v>
      </c>
      <c r="D6188" s="140" t="s">
        <v>16386</v>
      </c>
      <c r="E6188" s="142" t="s">
        <v>16387</v>
      </c>
      <c r="F6188" s="142" t="s">
        <v>16388</v>
      </c>
      <c r="G6188" s="140"/>
    </row>
    <row r="6189" spans="2:7" hidden="1">
      <c r="B6189" s="141" t="s">
        <v>16389</v>
      </c>
      <c r="C6189" s="140"/>
      <c r="D6189" s="141" t="s">
        <v>1229</v>
      </c>
      <c r="E6189" s="140"/>
      <c r="F6189" s="140"/>
      <c r="G6189" s="140"/>
    </row>
    <row r="6190" spans="2:7" hidden="1">
      <c r="B6190" s="140" t="s">
        <v>21952</v>
      </c>
      <c r="C6190" s="140" t="s">
        <v>16390</v>
      </c>
      <c r="D6190" s="140" t="s">
        <v>16391</v>
      </c>
      <c r="E6190" s="142"/>
      <c r="F6190" s="142"/>
      <c r="G6190" s="140"/>
    </row>
    <row r="6191" spans="2:7" hidden="1">
      <c r="B6191" s="140" t="s">
        <v>16392</v>
      </c>
      <c r="C6191" s="140"/>
      <c r="D6191" s="140" t="s">
        <v>16393</v>
      </c>
      <c r="E6191" s="142"/>
      <c r="F6191" s="142"/>
      <c r="G6191" s="140"/>
    </row>
    <row r="6192" spans="2:7" hidden="1">
      <c r="B6192" s="141" t="s">
        <v>16394</v>
      </c>
      <c r="C6192" s="140"/>
      <c r="D6192" s="141" t="s">
        <v>4942</v>
      </c>
      <c r="E6192" s="140"/>
      <c r="F6192" s="140"/>
      <c r="G6192" s="140"/>
    </row>
    <row r="6193" spans="2:7" hidden="1">
      <c r="B6193" s="141" t="s">
        <v>16395</v>
      </c>
      <c r="C6193" s="140"/>
      <c r="D6193" s="141" t="s">
        <v>7054</v>
      </c>
      <c r="E6193" s="140"/>
      <c r="F6193" s="140"/>
      <c r="G6193" s="140"/>
    </row>
    <row r="6194" spans="2:7" hidden="1">
      <c r="B6194" s="141" t="s">
        <v>16396</v>
      </c>
      <c r="C6194" s="140"/>
      <c r="D6194" s="141" t="s">
        <v>16397</v>
      </c>
      <c r="E6194" s="140"/>
      <c r="F6194" s="140"/>
      <c r="G6194" s="140"/>
    </row>
    <row r="6195" spans="2:7" hidden="1">
      <c r="B6195" s="141" t="s">
        <v>16398</v>
      </c>
      <c r="C6195" s="140"/>
      <c r="D6195" s="141" t="s">
        <v>9532</v>
      </c>
      <c r="E6195" s="140"/>
      <c r="F6195" s="140"/>
      <c r="G6195" s="140"/>
    </row>
    <row r="6196" spans="2:7" hidden="1">
      <c r="B6196" s="141" t="s">
        <v>16399</v>
      </c>
      <c r="C6196" s="140" t="s">
        <v>16400</v>
      </c>
      <c r="D6196" s="141" t="s">
        <v>16401</v>
      </c>
      <c r="E6196" s="140" t="s">
        <v>16402</v>
      </c>
      <c r="F6196" s="140"/>
      <c r="G6196" s="140"/>
    </row>
    <row r="6197" spans="2:7" hidden="1">
      <c r="B6197" s="141" t="s">
        <v>21953</v>
      </c>
      <c r="C6197" s="140"/>
      <c r="D6197" s="141" t="s">
        <v>16403</v>
      </c>
      <c r="E6197" s="140"/>
      <c r="F6197" s="140"/>
      <c r="G6197" s="140"/>
    </row>
    <row r="6198" spans="2:7" hidden="1">
      <c r="B6198" s="140" t="s">
        <v>16404</v>
      </c>
      <c r="C6198" s="140" t="s">
        <v>16405</v>
      </c>
      <c r="D6198" s="140" t="s">
        <v>4691</v>
      </c>
      <c r="E6198" s="142">
        <v>6623284000</v>
      </c>
      <c r="F6198" s="142" t="s">
        <v>16406</v>
      </c>
      <c r="G6198" s="140"/>
    </row>
    <row r="6199" spans="2:7" hidden="1">
      <c r="B6199" s="141" t="s">
        <v>21954</v>
      </c>
      <c r="C6199" s="140"/>
      <c r="D6199" s="141" t="s">
        <v>16407</v>
      </c>
      <c r="E6199" s="140"/>
      <c r="F6199" s="140"/>
      <c r="G6199" s="140"/>
    </row>
    <row r="6200" spans="2:7" hidden="1">
      <c r="B6200" s="140" t="s">
        <v>16408</v>
      </c>
      <c r="C6200" s="140"/>
      <c r="D6200" s="140" t="s">
        <v>16409</v>
      </c>
      <c r="E6200" s="142"/>
      <c r="F6200" s="142"/>
      <c r="G6200" s="140"/>
    </row>
    <row r="6201" spans="2:7" hidden="1">
      <c r="B6201" s="141" t="s">
        <v>16410</v>
      </c>
      <c r="C6201" s="140"/>
      <c r="D6201" s="141" t="s">
        <v>6568</v>
      </c>
      <c r="E6201" s="140"/>
      <c r="F6201" s="140"/>
      <c r="G6201" s="140"/>
    </row>
    <row r="6202" spans="2:7" hidden="1">
      <c r="B6202" s="141" t="s">
        <v>16411</v>
      </c>
      <c r="C6202" s="140" t="s">
        <v>16412</v>
      </c>
      <c r="D6202" s="141" t="s">
        <v>16413</v>
      </c>
      <c r="E6202" s="140" t="s">
        <v>16414</v>
      </c>
      <c r="F6202" s="140" t="s">
        <v>16415</v>
      </c>
      <c r="G6202" s="140"/>
    </row>
    <row r="6203" spans="2:7" hidden="1">
      <c r="B6203" s="141" t="s">
        <v>16416</v>
      </c>
      <c r="C6203" s="140"/>
      <c r="D6203" s="141" t="s">
        <v>7237</v>
      </c>
      <c r="E6203" s="140"/>
      <c r="F6203" s="140"/>
      <c r="G6203" s="140"/>
    </row>
    <row r="6204" spans="2:7" hidden="1">
      <c r="B6204" s="141" t="s">
        <v>16417</v>
      </c>
      <c r="C6204" s="140"/>
      <c r="D6204" s="141" t="s">
        <v>16418</v>
      </c>
      <c r="E6204" s="140"/>
      <c r="F6204" s="140"/>
      <c r="G6204" s="140"/>
    </row>
    <row r="6205" spans="2:7" hidden="1">
      <c r="B6205" s="141" t="s">
        <v>16419</v>
      </c>
      <c r="C6205" s="140" t="s">
        <v>16420</v>
      </c>
      <c r="D6205" s="141" t="s">
        <v>16421</v>
      </c>
      <c r="E6205" s="140" t="s">
        <v>16422</v>
      </c>
      <c r="F6205" s="140" t="s">
        <v>16423</v>
      </c>
      <c r="G6205" s="140"/>
    </row>
    <row r="6206" spans="2:7" hidden="1">
      <c r="B6206" s="141" t="s">
        <v>16424</v>
      </c>
      <c r="C6206" s="140" t="s">
        <v>16425</v>
      </c>
      <c r="D6206" s="141" t="s">
        <v>16426</v>
      </c>
      <c r="E6206" s="140" t="s">
        <v>16427</v>
      </c>
      <c r="F6206" s="140" t="s">
        <v>16428</v>
      </c>
      <c r="G6206" s="140"/>
    </row>
    <row r="6207" spans="2:7" hidden="1">
      <c r="B6207" s="141" t="s">
        <v>21955</v>
      </c>
      <c r="C6207" s="140"/>
      <c r="D6207" s="141" t="s">
        <v>16429</v>
      </c>
      <c r="E6207" s="140"/>
      <c r="F6207" s="140"/>
      <c r="G6207" s="140"/>
    </row>
    <row r="6208" spans="2:7" hidden="1">
      <c r="B6208" s="141" t="s">
        <v>16430</v>
      </c>
      <c r="C6208" s="140"/>
      <c r="D6208" s="141" t="s">
        <v>994</v>
      </c>
      <c r="E6208" s="140"/>
      <c r="F6208" s="140"/>
      <c r="G6208" s="140"/>
    </row>
    <row r="6209" spans="2:7" hidden="1">
      <c r="B6209" s="141" t="s">
        <v>16431</v>
      </c>
      <c r="C6209" s="140"/>
      <c r="D6209" s="141" t="s">
        <v>16432</v>
      </c>
      <c r="E6209" s="140"/>
      <c r="F6209" s="140"/>
      <c r="G6209" s="140"/>
    </row>
    <row r="6210" spans="2:7" hidden="1">
      <c r="B6210" s="141" t="s">
        <v>16433</v>
      </c>
      <c r="C6210" s="140"/>
      <c r="D6210" s="141" t="s">
        <v>16434</v>
      </c>
      <c r="E6210" s="140"/>
      <c r="F6210" s="140"/>
      <c r="G6210" s="140"/>
    </row>
    <row r="6211" spans="2:7" hidden="1">
      <c r="B6211" s="141" t="s">
        <v>16435</v>
      </c>
      <c r="C6211" s="140"/>
      <c r="D6211" s="141" t="s">
        <v>10614</v>
      </c>
      <c r="E6211" s="140"/>
      <c r="F6211" s="140"/>
      <c r="G6211" s="140"/>
    </row>
    <row r="6212" spans="2:7" hidden="1">
      <c r="B6212" s="141" t="s">
        <v>16436</v>
      </c>
      <c r="C6212" s="141"/>
      <c r="D6212" s="141" t="s">
        <v>16437</v>
      </c>
      <c r="E6212" s="141"/>
      <c r="F6212" s="140"/>
      <c r="G6212" s="140"/>
    </row>
    <row r="6213" spans="2:7" hidden="1">
      <c r="B6213" s="140" t="s">
        <v>16438</v>
      </c>
      <c r="C6213" s="140"/>
      <c r="D6213" s="140" t="s">
        <v>16439</v>
      </c>
      <c r="E6213" s="142"/>
      <c r="F6213" s="142"/>
      <c r="G6213" s="140"/>
    </row>
    <row r="6214" spans="2:7" hidden="1">
      <c r="B6214" s="141" t="s">
        <v>16440</v>
      </c>
      <c r="C6214" s="140"/>
      <c r="D6214" s="141" t="s">
        <v>16441</v>
      </c>
      <c r="E6214" s="140"/>
      <c r="F6214" s="140"/>
      <c r="G6214" s="140"/>
    </row>
    <row r="6215" spans="2:7" hidden="1">
      <c r="B6215" s="141" t="s">
        <v>16442</v>
      </c>
      <c r="C6215" s="140"/>
      <c r="D6215" s="141" t="s">
        <v>8175</v>
      </c>
      <c r="E6215" s="140"/>
      <c r="F6215" s="140"/>
      <c r="G6215" s="140"/>
    </row>
    <row r="6216" spans="2:7" hidden="1">
      <c r="B6216" s="141" t="s">
        <v>16443</v>
      </c>
      <c r="C6216" s="141"/>
      <c r="D6216" s="141" t="s">
        <v>16444</v>
      </c>
      <c r="E6216" s="141"/>
      <c r="F6216" s="140"/>
      <c r="G6216" s="140"/>
    </row>
    <row r="6217" spans="2:7" hidden="1">
      <c r="B6217" s="141" t="s">
        <v>16445</v>
      </c>
      <c r="C6217" s="141"/>
      <c r="D6217" s="141" t="s">
        <v>16446</v>
      </c>
      <c r="E6217" s="141"/>
      <c r="F6217" s="141"/>
      <c r="G6217" s="140"/>
    </row>
    <row r="6218" spans="2:7" hidden="1">
      <c r="B6218" s="141" t="s">
        <v>16447</v>
      </c>
      <c r="C6218" s="140" t="s">
        <v>16448</v>
      </c>
      <c r="D6218" s="141" t="s">
        <v>16449</v>
      </c>
      <c r="E6218" s="140" t="s">
        <v>16450</v>
      </c>
      <c r="F6218" s="140" t="s">
        <v>16451</v>
      </c>
      <c r="G6218" s="140"/>
    </row>
    <row r="6219" spans="2:7" hidden="1">
      <c r="B6219" s="141" t="s">
        <v>16452</v>
      </c>
      <c r="C6219" s="140"/>
      <c r="D6219" s="141" t="s">
        <v>10529</v>
      </c>
      <c r="E6219" s="140"/>
      <c r="F6219" s="140"/>
      <c r="G6219" s="140"/>
    </row>
    <row r="6220" spans="2:7" hidden="1">
      <c r="B6220" s="140" t="s">
        <v>16453</v>
      </c>
      <c r="C6220" s="140"/>
      <c r="D6220" s="140" t="s">
        <v>7041</v>
      </c>
      <c r="E6220" s="140"/>
      <c r="F6220" s="140"/>
      <c r="G6220" s="140"/>
    </row>
    <row r="6221" spans="2:7" hidden="1">
      <c r="B6221" s="141" t="s">
        <v>16454</v>
      </c>
      <c r="C6221" s="140" t="s">
        <v>2951</v>
      </c>
      <c r="D6221" s="141" t="s">
        <v>2952</v>
      </c>
      <c r="E6221" s="140" t="s">
        <v>16455</v>
      </c>
      <c r="F6221" s="140"/>
      <c r="G6221" s="140"/>
    </row>
    <row r="6222" spans="2:7" hidden="1">
      <c r="B6222" s="141" t="s">
        <v>16456</v>
      </c>
      <c r="C6222" s="141"/>
      <c r="D6222" s="141" t="s">
        <v>16457</v>
      </c>
      <c r="E6222" s="141"/>
      <c r="F6222" s="140"/>
      <c r="G6222" s="140"/>
    </row>
    <row r="6223" spans="2:7" hidden="1">
      <c r="B6223" s="141" t="s">
        <v>16458</v>
      </c>
      <c r="C6223" s="140"/>
      <c r="D6223" s="141" t="s">
        <v>16459</v>
      </c>
      <c r="E6223" s="140"/>
      <c r="F6223" s="140"/>
      <c r="G6223" s="140"/>
    </row>
    <row r="6224" spans="2:7" hidden="1">
      <c r="B6224" s="141" t="s">
        <v>16460</v>
      </c>
      <c r="C6224" s="140"/>
      <c r="D6224" s="141" t="s">
        <v>7041</v>
      </c>
      <c r="E6224" s="140"/>
      <c r="F6224" s="140"/>
      <c r="G6224" s="140"/>
    </row>
    <row r="6225" spans="2:7" hidden="1">
      <c r="B6225" s="141" t="s">
        <v>16461</v>
      </c>
      <c r="C6225" s="140" t="s">
        <v>16462</v>
      </c>
      <c r="D6225" s="141" t="s">
        <v>16463</v>
      </c>
      <c r="E6225" s="140" t="s">
        <v>16464</v>
      </c>
      <c r="F6225" s="140"/>
      <c r="G6225" s="140"/>
    </row>
    <row r="6226" spans="2:7" hidden="1">
      <c r="B6226" s="141" t="s">
        <v>16465</v>
      </c>
      <c r="C6226" s="140"/>
      <c r="D6226" s="141" t="s">
        <v>16466</v>
      </c>
      <c r="E6226" s="140"/>
      <c r="F6226" s="140"/>
      <c r="G6226" s="140"/>
    </row>
    <row r="6227" spans="2:7" hidden="1">
      <c r="B6227" s="141" t="s">
        <v>16467</v>
      </c>
      <c r="C6227" s="141" t="s">
        <v>16468</v>
      </c>
      <c r="D6227" s="141" t="s">
        <v>4138</v>
      </c>
      <c r="E6227" s="140" t="s">
        <v>16469</v>
      </c>
      <c r="F6227" s="140"/>
      <c r="G6227" s="140"/>
    </row>
    <row r="6228" spans="2:7" hidden="1">
      <c r="B6228" s="141" t="s">
        <v>16470</v>
      </c>
      <c r="C6228" s="140"/>
      <c r="D6228" s="141" t="s">
        <v>16192</v>
      </c>
      <c r="E6228" s="140"/>
      <c r="F6228" s="140"/>
      <c r="G6228" s="140"/>
    </row>
    <row r="6229" spans="2:7" hidden="1">
      <c r="B6229" s="141" t="s">
        <v>16471</v>
      </c>
      <c r="C6229" s="140"/>
      <c r="D6229" s="141" t="s">
        <v>6053</v>
      </c>
      <c r="E6229" s="140"/>
      <c r="F6229" s="140"/>
      <c r="G6229" s="140"/>
    </row>
    <row r="6230" spans="2:7" hidden="1">
      <c r="B6230" s="141" t="s">
        <v>16472</v>
      </c>
      <c r="C6230" s="140" t="s">
        <v>16473</v>
      </c>
      <c r="D6230" s="141" t="s">
        <v>15620</v>
      </c>
      <c r="E6230" s="140" t="s">
        <v>16474</v>
      </c>
      <c r="F6230" s="140"/>
      <c r="G6230" s="140"/>
    </row>
    <row r="6231" spans="2:7" hidden="1">
      <c r="B6231" s="141" t="s">
        <v>16475</v>
      </c>
      <c r="C6231" s="140"/>
      <c r="D6231" s="141" t="s">
        <v>16476</v>
      </c>
      <c r="E6231" s="140"/>
      <c r="F6231" s="140"/>
      <c r="G6231" s="140"/>
    </row>
    <row r="6232" spans="2:7" hidden="1">
      <c r="B6232" s="141" t="s">
        <v>16477</v>
      </c>
      <c r="C6232" s="140"/>
      <c r="D6232" s="141" t="s">
        <v>11650</v>
      </c>
      <c r="E6232" s="140"/>
      <c r="F6232" s="140"/>
      <c r="G6232" s="140"/>
    </row>
    <row r="6233" spans="2:7" hidden="1">
      <c r="B6233" s="141" t="s">
        <v>16478</v>
      </c>
      <c r="C6233" s="140"/>
      <c r="D6233" s="141" t="s">
        <v>16479</v>
      </c>
      <c r="E6233" s="140"/>
      <c r="F6233" s="140"/>
      <c r="G6233" s="140"/>
    </row>
    <row r="6234" spans="2:7" hidden="1">
      <c r="B6234" s="141" t="s">
        <v>16480</v>
      </c>
      <c r="C6234" s="140"/>
      <c r="D6234" s="141" t="s">
        <v>7974</v>
      </c>
      <c r="E6234" s="140"/>
      <c r="F6234" s="140"/>
      <c r="G6234" s="140"/>
    </row>
    <row r="6235" spans="2:7" hidden="1">
      <c r="B6235" s="140" t="s">
        <v>16481</v>
      </c>
      <c r="C6235" s="140"/>
      <c r="D6235" s="140" t="s">
        <v>10537</v>
      </c>
      <c r="E6235" s="142"/>
      <c r="F6235" s="142"/>
      <c r="G6235" s="140"/>
    </row>
    <row r="6236" spans="2:7" hidden="1">
      <c r="B6236" s="141" t="s">
        <v>16482</v>
      </c>
      <c r="C6236" s="140"/>
      <c r="D6236" s="141" t="s">
        <v>16483</v>
      </c>
      <c r="E6236" s="140"/>
      <c r="F6236" s="140"/>
      <c r="G6236" s="140"/>
    </row>
    <row r="6237" spans="2:7" hidden="1">
      <c r="B6237" s="141" t="s">
        <v>16484</v>
      </c>
      <c r="C6237" s="140" t="s">
        <v>16485</v>
      </c>
      <c r="D6237" s="141" t="s">
        <v>16486</v>
      </c>
      <c r="E6237" s="140"/>
      <c r="F6237" s="140"/>
      <c r="G6237" s="140"/>
    </row>
    <row r="6238" spans="2:7" hidden="1">
      <c r="B6238" s="141" t="s">
        <v>16487</v>
      </c>
      <c r="C6238" s="140"/>
      <c r="D6238" s="141" t="s">
        <v>2466</v>
      </c>
      <c r="E6238" s="140"/>
      <c r="F6238" s="140"/>
      <c r="G6238" s="140"/>
    </row>
    <row r="6239" spans="2:7" hidden="1">
      <c r="B6239" s="141" t="s">
        <v>16488</v>
      </c>
      <c r="C6239" s="140" t="s">
        <v>16489</v>
      </c>
      <c r="D6239" s="141" t="s">
        <v>7875</v>
      </c>
      <c r="E6239" s="140" t="s">
        <v>16490</v>
      </c>
      <c r="F6239" s="140" t="s">
        <v>16491</v>
      </c>
      <c r="G6239" s="140"/>
    </row>
    <row r="6240" spans="2:7" hidden="1">
      <c r="B6240" s="141" t="s">
        <v>16492</v>
      </c>
      <c r="C6240" s="141"/>
      <c r="D6240" s="141" t="s">
        <v>16493</v>
      </c>
      <c r="E6240" s="141"/>
      <c r="F6240" s="141"/>
      <c r="G6240" s="140"/>
    </row>
    <row r="6241" spans="2:7" hidden="1">
      <c r="B6241" s="141" t="s">
        <v>16494</v>
      </c>
      <c r="C6241" s="140" t="s">
        <v>16495</v>
      </c>
      <c r="D6241" s="141" t="s">
        <v>5558</v>
      </c>
      <c r="E6241" s="140" t="s">
        <v>16496</v>
      </c>
      <c r="F6241" s="140"/>
      <c r="G6241" s="140"/>
    </row>
    <row r="6242" spans="2:7" hidden="1">
      <c r="B6242" s="141" t="s">
        <v>16497</v>
      </c>
      <c r="C6242" s="140"/>
      <c r="D6242" s="141" t="s">
        <v>16498</v>
      </c>
      <c r="E6242" s="140"/>
      <c r="F6242" s="140"/>
      <c r="G6242" s="140"/>
    </row>
    <row r="6243" spans="2:7" hidden="1">
      <c r="B6243" s="140" t="s">
        <v>16499</v>
      </c>
      <c r="C6243" s="140"/>
      <c r="D6243" s="140" t="s">
        <v>9432</v>
      </c>
      <c r="E6243" s="142"/>
      <c r="F6243" s="142"/>
      <c r="G6243" s="140"/>
    </row>
    <row r="6244" spans="2:7" hidden="1">
      <c r="B6244" s="140" t="s">
        <v>16500</v>
      </c>
      <c r="C6244" s="140" t="s">
        <v>16501</v>
      </c>
      <c r="D6244" s="140" t="s">
        <v>16502</v>
      </c>
      <c r="E6244" s="142" t="s">
        <v>16503</v>
      </c>
      <c r="F6244" s="142"/>
      <c r="G6244" s="140"/>
    </row>
    <row r="6245" spans="2:7" hidden="1">
      <c r="B6245" s="141" t="s">
        <v>16504</v>
      </c>
      <c r="C6245" s="140"/>
      <c r="D6245" s="141" t="s">
        <v>16505</v>
      </c>
      <c r="E6245" s="140"/>
      <c r="F6245" s="140"/>
      <c r="G6245" s="140"/>
    </row>
    <row r="6246" spans="2:7" hidden="1">
      <c r="B6246" s="140" t="s">
        <v>16506</v>
      </c>
      <c r="C6246" s="140"/>
      <c r="D6246" s="141" t="s">
        <v>16507</v>
      </c>
      <c r="E6246" s="140"/>
      <c r="F6246" s="140"/>
      <c r="G6246" s="140"/>
    </row>
    <row r="6247" spans="2:7" hidden="1">
      <c r="B6247" s="141" t="s">
        <v>16508</v>
      </c>
      <c r="C6247" s="140" t="s">
        <v>16509</v>
      </c>
      <c r="D6247" s="141" t="s">
        <v>16510</v>
      </c>
      <c r="E6247" s="140" t="s">
        <v>16511</v>
      </c>
      <c r="F6247" s="140" t="s">
        <v>16512</v>
      </c>
      <c r="G6247" s="140"/>
    </row>
    <row r="6248" spans="2:7" hidden="1">
      <c r="B6248" s="140" t="s">
        <v>16513</v>
      </c>
      <c r="C6248" s="140"/>
      <c r="D6248" s="140" t="s">
        <v>16502</v>
      </c>
      <c r="E6248" s="142"/>
      <c r="F6248" s="142"/>
      <c r="G6248" s="140"/>
    </row>
    <row r="6249" spans="2:7" hidden="1">
      <c r="B6249" s="141" t="s">
        <v>16514</v>
      </c>
      <c r="C6249" s="140"/>
      <c r="D6249" s="141" t="s">
        <v>10035</v>
      </c>
      <c r="E6249" s="140"/>
      <c r="F6249" s="140"/>
      <c r="G6249" s="140"/>
    </row>
    <row r="6250" spans="2:7" hidden="1">
      <c r="B6250" s="141" t="s">
        <v>16515</v>
      </c>
      <c r="C6250" s="140" t="s">
        <v>16516</v>
      </c>
      <c r="D6250" s="141" t="s">
        <v>16517</v>
      </c>
      <c r="E6250" s="140" t="s">
        <v>16518</v>
      </c>
      <c r="F6250" s="140"/>
      <c r="G6250" s="140"/>
    </row>
    <row r="6251" spans="2:7" hidden="1">
      <c r="B6251" s="140" t="s">
        <v>16519</v>
      </c>
      <c r="C6251" s="140"/>
      <c r="D6251" s="140"/>
      <c r="E6251" s="142" t="s">
        <v>16520</v>
      </c>
      <c r="F6251" s="142"/>
      <c r="G6251" s="140"/>
    </row>
    <row r="6252" spans="2:7" hidden="1">
      <c r="B6252" s="141" t="s">
        <v>16521</v>
      </c>
      <c r="C6252" s="140"/>
      <c r="D6252" s="141" t="s">
        <v>16522</v>
      </c>
      <c r="E6252" s="140"/>
      <c r="F6252" s="140"/>
      <c r="G6252" s="140"/>
    </row>
    <row r="6253" spans="2:7" hidden="1">
      <c r="B6253" s="141" t="s">
        <v>16523</v>
      </c>
      <c r="C6253" s="140"/>
      <c r="D6253" s="141" t="s">
        <v>16524</v>
      </c>
      <c r="E6253" s="140"/>
      <c r="F6253" s="140"/>
      <c r="G6253" s="140"/>
    </row>
    <row r="6254" spans="2:7" hidden="1">
      <c r="B6254" s="141" t="s">
        <v>16525</v>
      </c>
      <c r="C6254" s="140" t="s">
        <v>16526</v>
      </c>
      <c r="D6254" s="141" t="s">
        <v>16527</v>
      </c>
      <c r="E6254" s="140"/>
      <c r="F6254" s="140"/>
      <c r="G6254" s="140" t="s">
        <v>5778</v>
      </c>
    </row>
    <row r="6255" spans="2:7" hidden="1">
      <c r="B6255" s="140" t="s">
        <v>16528</v>
      </c>
      <c r="C6255" s="140"/>
      <c r="D6255" s="140" t="s">
        <v>3469</v>
      </c>
      <c r="E6255" s="142"/>
      <c r="F6255" s="142"/>
      <c r="G6255" s="140"/>
    </row>
    <row r="6256" spans="2:7" hidden="1">
      <c r="B6256" s="140" t="s">
        <v>16529</v>
      </c>
      <c r="C6256" s="140"/>
      <c r="D6256" s="140" t="s">
        <v>6213</v>
      </c>
      <c r="E6256" s="142"/>
      <c r="F6256" s="142"/>
      <c r="G6256" s="140"/>
    </row>
    <row r="6257" spans="2:7" hidden="1">
      <c r="B6257" s="140" t="s">
        <v>16530</v>
      </c>
      <c r="C6257" s="140"/>
      <c r="D6257" s="140" t="s">
        <v>16531</v>
      </c>
      <c r="E6257" s="142"/>
      <c r="F6257" s="142"/>
      <c r="G6257" s="140"/>
    </row>
    <row r="6258" spans="2:7" hidden="1">
      <c r="B6258" s="140" t="s">
        <v>22149</v>
      </c>
      <c r="C6258" s="140" t="s">
        <v>22150</v>
      </c>
      <c r="D6258" s="140" t="s">
        <v>22151</v>
      </c>
      <c r="E6258" s="142"/>
      <c r="F6258" s="142"/>
      <c r="G6258" s="140"/>
    </row>
    <row r="6259" spans="2:7" hidden="1">
      <c r="B6259" s="141" t="s">
        <v>21956</v>
      </c>
      <c r="C6259" s="140" t="s">
        <v>16532</v>
      </c>
      <c r="D6259" s="141" t="s">
        <v>6500</v>
      </c>
      <c r="E6259" s="140" t="s">
        <v>16533</v>
      </c>
      <c r="F6259" s="140" t="s">
        <v>16534</v>
      </c>
      <c r="G6259" s="140"/>
    </row>
    <row r="6260" spans="2:7" hidden="1">
      <c r="B6260" s="140" t="s">
        <v>16535</v>
      </c>
      <c r="C6260" s="140"/>
      <c r="D6260" s="140" t="s">
        <v>3025</v>
      </c>
      <c r="E6260" s="140"/>
      <c r="F6260" s="140"/>
      <c r="G6260" s="140"/>
    </row>
    <row r="6261" spans="2:7" hidden="1">
      <c r="B6261" s="140" t="s">
        <v>16536</v>
      </c>
      <c r="C6261" s="140"/>
      <c r="D6261" s="140" t="s">
        <v>8753</v>
      </c>
      <c r="E6261" s="142"/>
      <c r="F6261" s="142"/>
      <c r="G6261" s="140"/>
    </row>
    <row r="6262" spans="2:7" hidden="1">
      <c r="B6262" s="140" t="s">
        <v>21284</v>
      </c>
      <c r="C6262" s="140" t="s">
        <v>21285</v>
      </c>
      <c r="D6262" s="140" t="s">
        <v>13532</v>
      </c>
      <c r="E6262" s="142" t="s">
        <v>21286</v>
      </c>
      <c r="F6262" s="142"/>
      <c r="G6262" s="140"/>
    </row>
    <row r="6263" spans="2:7" hidden="1">
      <c r="B6263" s="141" t="s">
        <v>16537</v>
      </c>
      <c r="C6263" s="140"/>
      <c r="D6263" s="141"/>
      <c r="E6263" s="140"/>
      <c r="F6263" s="140"/>
      <c r="G6263" s="140" t="s">
        <v>16538</v>
      </c>
    </row>
    <row r="6264" spans="2:7" hidden="1">
      <c r="B6264" s="141" t="s">
        <v>16539</v>
      </c>
      <c r="C6264" s="140"/>
      <c r="D6264" s="141" t="s">
        <v>16540</v>
      </c>
      <c r="E6264" s="140"/>
      <c r="F6264" s="140"/>
      <c r="G6264" s="140"/>
    </row>
    <row r="6265" spans="2:7" hidden="1">
      <c r="B6265" s="141" t="s">
        <v>16541</v>
      </c>
      <c r="C6265" s="140"/>
      <c r="D6265" s="141" t="s">
        <v>1658</v>
      </c>
      <c r="E6265" s="140"/>
      <c r="F6265" s="140"/>
      <c r="G6265" s="140"/>
    </row>
    <row r="6266" spans="2:7" hidden="1">
      <c r="B6266" s="141" t="s">
        <v>16542</v>
      </c>
      <c r="C6266" s="140"/>
      <c r="D6266" s="141" t="s">
        <v>16543</v>
      </c>
      <c r="E6266" s="140"/>
      <c r="F6266" s="140"/>
      <c r="G6266" s="140"/>
    </row>
    <row r="6267" spans="2:7" hidden="1">
      <c r="B6267" s="141" t="s">
        <v>16544</v>
      </c>
      <c r="C6267" s="140"/>
      <c r="D6267" s="141" t="s">
        <v>7145</v>
      </c>
      <c r="E6267" s="140"/>
      <c r="F6267" s="140"/>
      <c r="G6267" s="140"/>
    </row>
    <row r="6268" spans="2:7" hidden="1">
      <c r="B6268" s="141" t="s">
        <v>21957</v>
      </c>
      <c r="C6268" s="140"/>
      <c r="D6268" s="141" t="s">
        <v>16545</v>
      </c>
      <c r="E6268" s="140"/>
      <c r="F6268" s="140"/>
      <c r="G6268" s="140"/>
    </row>
    <row r="6269" spans="2:7" hidden="1">
      <c r="B6269" s="141" t="s">
        <v>16546</v>
      </c>
      <c r="C6269" s="140"/>
      <c r="D6269" s="141" t="s">
        <v>6305</v>
      </c>
      <c r="E6269" s="140"/>
      <c r="F6269" s="140"/>
      <c r="G6269" s="140"/>
    </row>
    <row r="6270" spans="2:7" hidden="1">
      <c r="B6270" s="141" t="s">
        <v>16547</v>
      </c>
      <c r="C6270" s="140"/>
      <c r="D6270" s="141" t="s">
        <v>16548</v>
      </c>
      <c r="E6270" s="140"/>
      <c r="F6270" s="140"/>
      <c r="G6270" s="140"/>
    </row>
    <row r="6271" spans="2:7" hidden="1">
      <c r="B6271" s="141" t="s">
        <v>16549</v>
      </c>
      <c r="C6271" s="140"/>
      <c r="D6271" s="141" t="s">
        <v>1249</v>
      </c>
      <c r="E6271" s="140"/>
      <c r="F6271" s="140"/>
      <c r="G6271" s="140"/>
    </row>
    <row r="6272" spans="2:7" hidden="1">
      <c r="B6272" s="140" t="s">
        <v>16550</v>
      </c>
      <c r="C6272" s="140"/>
      <c r="D6272" s="140" t="s">
        <v>16551</v>
      </c>
      <c r="E6272" s="140"/>
      <c r="F6272" s="140"/>
      <c r="G6272" s="140"/>
    </row>
    <row r="6273" spans="2:7" hidden="1">
      <c r="B6273" s="141" t="s">
        <v>16552</v>
      </c>
      <c r="C6273" s="140" t="s">
        <v>16553</v>
      </c>
      <c r="D6273" s="141" t="s">
        <v>16554</v>
      </c>
      <c r="E6273" s="140"/>
      <c r="F6273" s="140"/>
      <c r="G6273" s="140" t="s">
        <v>16555</v>
      </c>
    </row>
    <row r="6274" spans="2:7" hidden="1">
      <c r="B6274" s="141" t="s">
        <v>16556</v>
      </c>
      <c r="C6274" s="141"/>
      <c r="D6274" s="141" t="s">
        <v>7868</v>
      </c>
      <c r="E6274" s="141"/>
      <c r="F6274" s="141"/>
      <c r="G6274" s="140"/>
    </row>
    <row r="6275" spans="2:7" hidden="1">
      <c r="B6275" s="141" t="s">
        <v>16557</v>
      </c>
      <c r="C6275" s="140"/>
      <c r="D6275" s="141" t="s">
        <v>6282</v>
      </c>
      <c r="E6275" s="140"/>
      <c r="F6275" s="140"/>
      <c r="G6275" s="140"/>
    </row>
    <row r="6276" spans="2:7" hidden="1">
      <c r="B6276" s="141" t="s">
        <v>21958</v>
      </c>
      <c r="C6276" s="140"/>
      <c r="D6276" s="141" t="s">
        <v>16558</v>
      </c>
      <c r="E6276" s="140"/>
      <c r="F6276" s="140"/>
      <c r="G6276" s="140"/>
    </row>
    <row r="6277" spans="2:7" hidden="1">
      <c r="B6277" s="141" t="s">
        <v>16559</v>
      </c>
      <c r="C6277" s="140"/>
      <c r="D6277" s="141" t="s">
        <v>16560</v>
      </c>
      <c r="E6277" s="140"/>
      <c r="F6277" s="140"/>
      <c r="G6277" s="140"/>
    </row>
    <row r="6278" spans="2:7" hidden="1">
      <c r="B6278" s="141" t="s">
        <v>16561</v>
      </c>
      <c r="C6278" s="140"/>
      <c r="D6278" s="141" t="s">
        <v>16562</v>
      </c>
      <c r="E6278" s="140"/>
      <c r="F6278" s="140"/>
      <c r="G6278" s="140"/>
    </row>
    <row r="6279" spans="2:7" hidden="1">
      <c r="B6279" s="140" t="s">
        <v>16563</v>
      </c>
      <c r="C6279" s="140"/>
      <c r="D6279" s="140" t="s">
        <v>16564</v>
      </c>
      <c r="E6279" s="142"/>
      <c r="F6279" s="142"/>
      <c r="G6279" s="140"/>
    </row>
    <row r="6280" spans="2:7" hidden="1">
      <c r="B6280" s="141" t="s">
        <v>16565</v>
      </c>
      <c r="C6280" s="140"/>
      <c r="D6280" s="141" t="s">
        <v>16566</v>
      </c>
      <c r="E6280" s="140"/>
      <c r="F6280" s="140"/>
      <c r="G6280" s="140"/>
    </row>
    <row r="6281" spans="2:7" hidden="1">
      <c r="B6281" s="141" t="s">
        <v>16567</v>
      </c>
      <c r="C6281" s="140" t="s">
        <v>16568</v>
      </c>
      <c r="D6281" s="141" t="s">
        <v>16569</v>
      </c>
      <c r="E6281" s="140" t="s">
        <v>16570</v>
      </c>
      <c r="F6281" s="140" t="s">
        <v>16571</v>
      </c>
      <c r="G6281" s="140"/>
    </row>
    <row r="6282" spans="2:7" hidden="1">
      <c r="B6282" s="141" t="s">
        <v>16572</v>
      </c>
      <c r="C6282" s="140"/>
      <c r="D6282" s="141" t="s">
        <v>16573</v>
      </c>
      <c r="E6282" s="140"/>
      <c r="F6282" s="140"/>
      <c r="G6282" s="140"/>
    </row>
    <row r="6283" spans="2:7" hidden="1">
      <c r="B6283" s="140" t="s">
        <v>16574</v>
      </c>
      <c r="C6283" s="140"/>
      <c r="D6283" s="140" t="s">
        <v>10605</v>
      </c>
      <c r="E6283" s="142"/>
      <c r="F6283" s="142"/>
      <c r="G6283" s="140"/>
    </row>
    <row r="6284" spans="2:7" hidden="1">
      <c r="B6284" s="141" t="s">
        <v>16575</v>
      </c>
      <c r="C6284" s="141"/>
      <c r="D6284" s="141" t="s">
        <v>16576</v>
      </c>
      <c r="E6284" s="141"/>
      <c r="F6284" s="141"/>
      <c r="G6284" s="140"/>
    </row>
    <row r="6285" spans="2:7" hidden="1">
      <c r="B6285" s="141" t="s">
        <v>16577</v>
      </c>
      <c r="C6285" s="141"/>
      <c r="D6285" s="141" t="s">
        <v>9212</v>
      </c>
      <c r="E6285" s="141"/>
      <c r="F6285" s="141"/>
      <c r="G6285" s="140"/>
    </row>
    <row r="6286" spans="2:7" hidden="1">
      <c r="B6286" s="141" t="s">
        <v>16578</v>
      </c>
      <c r="C6286" s="140"/>
      <c r="D6286" s="141" t="s">
        <v>16579</v>
      </c>
      <c r="E6286" s="140"/>
      <c r="F6286" s="140"/>
      <c r="G6286" s="140"/>
    </row>
    <row r="6287" spans="2:7" hidden="1">
      <c r="B6287" s="141" t="s">
        <v>16580</v>
      </c>
      <c r="C6287" s="140"/>
      <c r="D6287" s="141" t="s">
        <v>2139</v>
      </c>
      <c r="E6287" s="140"/>
      <c r="F6287" s="140"/>
      <c r="G6287" s="140"/>
    </row>
    <row r="6288" spans="2:7" hidden="1">
      <c r="B6288" s="140" t="s">
        <v>16581</v>
      </c>
      <c r="C6288" s="140"/>
      <c r="D6288" s="140" t="s">
        <v>7671</v>
      </c>
      <c r="E6288" s="142"/>
      <c r="F6288" s="142"/>
      <c r="G6288" s="140"/>
    </row>
    <row r="6289" spans="2:7" hidden="1">
      <c r="B6289" s="141" t="s">
        <v>16582</v>
      </c>
      <c r="C6289" s="140"/>
      <c r="D6289" s="141" t="s">
        <v>16583</v>
      </c>
      <c r="E6289" s="140"/>
      <c r="F6289" s="140"/>
      <c r="G6289" s="140"/>
    </row>
    <row r="6290" spans="2:7" hidden="1">
      <c r="B6290" s="141" t="s">
        <v>16584</v>
      </c>
      <c r="C6290" s="141"/>
      <c r="D6290" s="141" t="s">
        <v>10415</v>
      </c>
      <c r="E6290" s="141"/>
      <c r="F6290" s="141"/>
      <c r="G6290" s="140"/>
    </row>
    <row r="6291" spans="2:7" hidden="1">
      <c r="B6291" s="141" t="s">
        <v>16585</v>
      </c>
      <c r="C6291" s="141"/>
      <c r="D6291" s="141" t="s">
        <v>16586</v>
      </c>
      <c r="E6291" s="140"/>
      <c r="F6291" s="140"/>
      <c r="G6291" s="140"/>
    </row>
    <row r="6292" spans="2:7" hidden="1">
      <c r="B6292" s="141" t="s">
        <v>16587</v>
      </c>
      <c r="C6292" s="140"/>
      <c r="D6292" s="141" t="s">
        <v>8384</v>
      </c>
      <c r="E6292" s="140"/>
      <c r="F6292" s="140"/>
      <c r="G6292" s="140"/>
    </row>
    <row r="6293" spans="2:7" hidden="1">
      <c r="B6293" s="141" t="s">
        <v>16588</v>
      </c>
      <c r="C6293" s="140"/>
      <c r="D6293" s="141" t="s">
        <v>14716</v>
      </c>
      <c r="E6293" s="140"/>
      <c r="F6293" s="140"/>
      <c r="G6293" s="140"/>
    </row>
    <row r="6294" spans="2:7" hidden="1">
      <c r="B6294" s="141" t="s">
        <v>16589</v>
      </c>
      <c r="C6294" s="140"/>
      <c r="D6294" s="141" t="s">
        <v>16590</v>
      </c>
      <c r="E6294" s="140"/>
      <c r="F6294" s="140"/>
      <c r="G6294" s="140"/>
    </row>
    <row r="6295" spans="2:7" hidden="1">
      <c r="B6295" s="140" t="s">
        <v>16591</v>
      </c>
      <c r="C6295" s="140" t="s">
        <v>16592</v>
      </c>
      <c r="D6295" s="140" t="s">
        <v>16593</v>
      </c>
      <c r="E6295" s="142" t="s">
        <v>16594</v>
      </c>
      <c r="F6295" s="142"/>
      <c r="G6295" s="140"/>
    </row>
    <row r="6296" spans="2:7" hidden="1">
      <c r="B6296" s="140" t="s">
        <v>16595</v>
      </c>
      <c r="C6296" s="141"/>
      <c r="D6296" s="141" t="s">
        <v>16596</v>
      </c>
      <c r="E6296" s="141"/>
      <c r="F6296" s="141"/>
      <c r="G6296" s="140"/>
    </row>
    <row r="6297" spans="2:7" hidden="1">
      <c r="B6297" s="141" t="s">
        <v>16597</v>
      </c>
      <c r="C6297" s="140" t="s">
        <v>16598</v>
      </c>
      <c r="D6297" s="141" t="s">
        <v>7758</v>
      </c>
      <c r="E6297" s="140" t="s">
        <v>16599</v>
      </c>
      <c r="F6297" s="140"/>
      <c r="G6297" s="140"/>
    </row>
    <row r="6298" spans="2:7" hidden="1">
      <c r="B6298" s="141" t="s">
        <v>16600</v>
      </c>
      <c r="C6298" s="141"/>
      <c r="D6298" s="141" t="s">
        <v>2110</v>
      </c>
      <c r="E6298" s="141"/>
      <c r="F6298" s="141"/>
      <c r="G6298" s="140"/>
    </row>
    <row r="6299" spans="2:7" hidden="1">
      <c r="B6299" s="141" t="s">
        <v>16602</v>
      </c>
      <c r="C6299" s="140" t="s">
        <v>16603</v>
      </c>
      <c r="D6299" s="141" t="s">
        <v>16604</v>
      </c>
      <c r="E6299" s="140" t="s">
        <v>16605</v>
      </c>
      <c r="F6299" s="140" t="s">
        <v>16606</v>
      </c>
      <c r="G6299" s="140" t="s">
        <v>16601</v>
      </c>
    </row>
    <row r="6300" spans="2:7" hidden="1">
      <c r="B6300" s="141" t="s">
        <v>16607</v>
      </c>
      <c r="C6300" s="140"/>
      <c r="D6300" s="141" t="s">
        <v>2285</v>
      </c>
      <c r="E6300" s="140"/>
      <c r="F6300" s="140"/>
      <c r="G6300" s="140"/>
    </row>
    <row r="6301" spans="2:7" hidden="1">
      <c r="B6301" s="141" t="s">
        <v>16608</v>
      </c>
      <c r="C6301" s="141" t="s">
        <v>16609</v>
      </c>
      <c r="D6301" s="141" t="s">
        <v>4400</v>
      </c>
      <c r="E6301" s="141" t="s">
        <v>16610</v>
      </c>
      <c r="F6301" s="141" t="s">
        <v>16611</v>
      </c>
      <c r="G6301" s="140"/>
    </row>
    <row r="6302" spans="2:7" hidden="1">
      <c r="B6302" s="141" t="s">
        <v>16612</v>
      </c>
      <c r="C6302" s="140"/>
      <c r="D6302" s="141" t="s">
        <v>3720</v>
      </c>
      <c r="E6302" s="140"/>
      <c r="F6302" s="140"/>
      <c r="G6302" s="140"/>
    </row>
    <row r="6303" spans="2:7" hidden="1">
      <c r="B6303" s="141" t="s">
        <v>16613</v>
      </c>
      <c r="C6303" s="140"/>
      <c r="D6303" s="141" t="s">
        <v>6059</v>
      </c>
      <c r="E6303" s="140"/>
      <c r="F6303" s="140"/>
      <c r="G6303" s="140"/>
    </row>
    <row r="6304" spans="2:7" hidden="1">
      <c r="B6304" s="141" t="s">
        <v>16614</v>
      </c>
      <c r="C6304" s="140"/>
      <c r="D6304" s="141" t="s">
        <v>2727</v>
      </c>
      <c r="E6304" s="140"/>
      <c r="F6304" s="140"/>
      <c r="G6304" s="140"/>
    </row>
    <row r="6305" spans="2:7" hidden="1">
      <c r="B6305" s="141" t="s">
        <v>16615</v>
      </c>
      <c r="C6305" s="140" t="s">
        <v>16616</v>
      </c>
      <c r="D6305" s="141" t="s">
        <v>4904</v>
      </c>
      <c r="E6305" s="140" t="s">
        <v>16617</v>
      </c>
      <c r="F6305" s="140"/>
      <c r="G6305" s="140"/>
    </row>
    <row r="6306" spans="2:7" hidden="1">
      <c r="B6306" s="141" t="s">
        <v>16618</v>
      </c>
      <c r="C6306" s="140"/>
      <c r="D6306" s="141" t="s">
        <v>16619</v>
      </c>
      <c r="E6306" s="140"/>
      <c r="F6306" s="140"/>
      <c r="G6306" s="140"/>
    </row>
    <row r="6307" spans="2:7" hidden="1">
      <c r="B6307" s="141" t="s">
        <v>16620</v>
      </c>
      <c r="C6307" s="140"/>
      <c r="D6307" s="141" t="s">
        <v>16621</v>
      </c>
      <c r="E6307" s="140"/>
      <c r="F6307" s="140"/>
      <c r="G6307" s="140"/>
    </row>
    <row r="6308" spans="2:7" hidden="1">
      <c r="B6308" s="141" t="s">
        <v>16622</v>
      </c>
      <c r="C6308" s="140"/>
      <c r="D6308" s="141" t="s">
        <v>4601</v>
      </c>
      <c r="E6308" s="140"/>
      <c r="F6308" s="140"/>
      <c r="G6308" s="140"/>
    </row>
    <row r="6309" spans="2:7" hidden="1">
      <c r="B6309" s="141" t="s">
        <v>16623</v>
      </c>
      <c r="C6309" s="140"/>
      <c r="D6309" s="141" t="s">
        <v>6305</v>
      </c>
      <c r="E6309" s="140"/>
      <c r="F6309" s="140"/>
      <c r="G6309" s="140"/>
    </row>
    <row r="6310" spans="2:7" hidden="1">
      <c r="B6310" s="141" t="s">
        <v>16624</v>
      </c>
      <c r="C6310" s="141"/>
      <c r="D6310" s="141" t="s">
        <v>16625</v>
      </c>
      <c r="E6310" s="140"/>
      <c r="F6310" s="140"/>
      <c r="G6310" s="140"/>
    </row>
    <row r="6311" spans="2:7" hidden="1">
      <c r="B6311" s="141" t="s">
        <v>16626</v>
      </c>
      <c r="C6311" s="140" t="s">
        <v>16627</v>
      </c>
      <c r="D6311" s="141" t="s">
        <v>16628</v>
      </c>
      <c r="E6311" s="140"/>
      <c r="F6311" s="140"/>
      <c r="G6311" s="140"/>
    </row>
    <row r="6312" spans="2:7" hidden="1">
      <c r="B6312" s="141" t="s">
        <v>16629</v>
      </c>
      <c r="C6312" s="140"/>
      <c r="D6312" s="141" t="s">
        <v>2778</v>
      </c>
      <c r="E6312" s="140"/>
      <c r="F6312" s="140"/>
      <c r="G6312" s="140"/>
    </row>
    <row r="6313" spans="2:7" hidden="1">
      <c r="B6313" s="141" t="s">
        <v>16630</v>
      </c>
      <c r="C6313" s="140"/>
      <c r="D6313" s="141" t="s">
        <v>8747</v>
      </c>
      <c r="E6313" s="140"/>
      <c r="F6313" s="140"/>
      <c r="G6313" s="140"/>
    </row>
    <row r="6314" spans="2:7" hidden="1">
      <c r="B6314" s="141" t="s">
        <v>16631</v>
      </c>
      <c r="C6314" s="141"/>
      <c r="D6314" s="141" t="s">
        <v>7262</v>
      </c>
      <c r="E6314" s="141"/>
      <c r="F6314" s="141"/>
      <c r="G6314" s="140"/>
    </row>
    <row r="6315" spans="2:7" hidden="1">
      <c r="B6315" s="140" t="s">
        <v>16632</v>
      </c>
      <c r="C6315" s="140"/>
      <c r="D6315" s="140" t="s">
        <v>8655</v>
      </c>
      <c r="E6315" s="142"/>
      <c r="F6315" s="142"/>
      <c r="G6315" s="140"/>
    </row>
    <row r="6316" spans="2:7" hidden="1">
      <c r="B6316" s="141" t="s">
        <v>16633</v>
      </c>
      <c r="C6316" s="140"/>
      <c r="D6316" s="141" t="s">
        <v>16634</v>
      </c>
      <c r="E6316" s="140"/>
      <c r="F6316" s="140"/>
      <c r="G6316" s="140"/>
    </row>
    <row r="6317" spans="2:7" hidden="1">
      <c r="B6317" s="141" t="s">
        <v>16635</v>
      </c>
      <c r="C6317" s="140"/>
      <c r="D6317" s="141" t="s">
        <v>11725</v>
      </c>
      <c r="E6317" s="140"/>
      <c r="F6317" s="140"/>
      <c r="G6317" s="140"/>
    </row>
    <row r="6318" spans="2:7" hidden="1">
      <c r="B6318" s="141" t="s">
        <v>21959</v>
      </c>
      <c r="C6318" s="140" t="s">
        <v>16636</v>
      </c>
      <c r="D6318" s="141" t="s">
        <v>9628</v>
      </c>
      <c r="E6318" s="140"/>
      <c r="F6318" s="140"/>
      <c r="G6318" s="140"/>
    </row>
    <row r="6319" spans="2:7" hidden="1">
      <c r="B6319" s="141" t="s">
        <v>21960</v>
      </c>
      <c r="C6319" s="140"/>
      <c r="D6319" s="141" t="s">
        <v>16637</v>
      </c>
      <c r="E6319" s="140"/>
      <c r="F6319" s="140"/>
      <c r="G6319" s="140"/>
    </row>
    <row r="6320" spans="2:7" hidden="1">
      <c r="B6320" s="141" t="s">
        <v>16638</v>
      </c>
      <c r="C6320" s="140"/>
      <c r="D6320" s="141" t="s">
        <v>16639</v>
      </c>
      <c r="E6320" s="140"/>
      <c r="F6320" s="140"/>
      <c r="G6320" s="140"/>
    </row>
    <row r="6321" spans="2:7" hidden="1">
      <c r="B6321" s="141" t="s">
        <v>16640</v>
      </c>
      <c r="C6321" s="140" t="s">
        <v>16641</v>
      </c>
      <c r="D6321" s="141" t="s">
        <v>16642</v>
      </c>
      <c r="E6321" s="140"/>
      <c r="F6321" s="140"/>
      <c r="G6321" s="140"/>
    </row>
    <row r="6322" spans="2:7" hidden="1">
      <c r="B6322" s="141" t="s">
        <v>16643</v>
      </c>
      <c r="C6322" s="140" t="s">
        <v>16644</v>
      </c>
      <c r="D6322" s="141" t="s">
        <v>16645</v>
      </c>
      <c r="E6322" s="140"/>
      <c r="F6322" s="140"/>
      <c r="G6322" s="140" t="s">
        <v>16646</v>
      </c>
    </row>
    <row r="6323" spans="2:7" hidden="1">
      <c r="B6323" s="141" t="s">
        <v>16647</v>
      </c>
      <c r="C6323" s="140"/>
      <c r="D6323" s="141" t="s">
        <v>16648</v>
      </c>
      <c r="E6323" s="140"/>
      <c r="F6323" s="140"/>
      <c r="G6323" s="140"/>
    </row>
    <row r="6324" spans="2:7" hidden="1">
      <c r="B6324" s="141" t="s">
        <v>16649</v>
      </c>
      <c r="C6324" s="141"/>
      <c r="D6324" s="141" t="s">
        <v>3061</v>
      </c>
      <c r="E6324" s="141"/>
      <c r="F6324" s="141"/>
      <c r="G6324" s="140"/>
    </row>
    <row r="6325" spans="2:7" hidden="1">
      <c r="B6325" s="141" t="s">
        <v>16650</v>
      </c>
      <c r="C6325" s="140"/>
      <c r="D6325" s="141" t="s">
        <v>7522</v>
      </c>
      <c r="E6325" s="140"/>
      <c r="F6325" s="140"/>
      <c r="G6325" s="140"/>
    </row>
    <row r="6326" spans="2:7" hidden="1">
      <c r="B6326" s="141" t="s">
        <v>16651</v>
      </c>
      <c r="C6326" s="140"/>
      <c r="D6326" s="141" t="s">
        <v>1334</v>
      </c>
      <c r="E6326" s="140"/>
      <c r="F6326" s="140"/>
      <c r="G6326" s="140"/>
    </row>
    <row r="6327" spans="2:7" hidden="1">
      <c r="B6327" s="141" t="s">
        <v>16652</v>
      </c>
      <c r="C6327" s="140" t="s">
        <v>16653</v>
      </c>
      <c r="D6327" s="141" t="s">
        <v>2518</v>
      </c>
      <c r="E6327" s="140" t="s">
        <v>16654</v>
      </c>
      <c r="F6327" s="140" t="s">
        <v>16655</v>
      </c>
      <c r="G6327" s="140"/>
    </row>
    <row r="6328" spans="2:7" hidden="1">
      <c r="B6328" s="141" t="s">
        <v>21961</v>
      </c>
      <c r="C6328" s="140"/>
      <c r="D6328" s="141" t="s">
        <v>1946</v>
      </c>
      <c r="E6328" s="140"/>
      <c r="F6328" s="140"/>
      <c r="G6328" s="140"/>
    </row>
    <row r="6329" spans="2:7" hidden="1">
      <c r="B6329" s="141" t="s">
        <v>16656</v>
      </c>
      <c r="C6329" s="140"/>
      <c r="D6329" s="141" t="s">
        <v>5781</v>
      </c>
      <c r="E6329" s="140"/>
      <c r="F6329" s="140"/>
      <c r="G6329" s="140"/>
    </row>
    <row r="6330" spans="2:7" hidden="1">
      <c r="B6330" s="141" t="s">
        <v>16657</v>
      </c>
      <c r="C6330" s="140" t="s">
        <v>16658</v>
      </c>
      <c r="D6330" s="141" t="s">
        <v>16659</v>
      </c>
      <c r="E6330" s="140"/>
      <c r="F6330" s="140"/>
      <c r="G6330" s="140"/>
    </row>
    <row r="6331" spans="2:7" hidden="1">
      <c r="B6331" s="141" t="s">
        <v>16660</v>
      </c>
      <c r="C6331" s="140"/>
      <c r="D6331" s="141" t="s">
        <v>16661</v>
      </c>
      <c r="E6331" s="140"/>
      <c r="F6331" s="140"/>
      <c r="G6331" s="140"/>
    </row>
    <row r="6332" spans="2:7" hidden="1">
      <c r="B6332" s="141" t="s">
        <v>16662</v>
      </c>
      <c r="C6332" s="140"/>
      <c r="D6332" s="141" t="s">
        <v>16663</v>
      </c>
      <c r="E6332" s="140"/>
      <c r="F6332" s="140"/>
      <c r="G6332" s="140"/>
    </row>
    <row r="6333" spans="2:7" hidden="1">
      <c r="B6333" s="141" t="s">
        <v>16664</v>
      </c>
      <c r="C6333" s="140"/>
      <c r="D6333" s="141" t="s">
        <v>2038</v>
      </c>
      <c r="E6333" s="140"/>
      <c r="F6333" s="140"/>
      <c r="G6333" s="140"/>
    </row>
    <row r="6334" spans="2:7" hidden="1">
      <c r="B6334" s="140" t="s">
        <v>16665</v>
      </c>
      <c r="C6334" s="140" t="s">
        <v>16666</v>
      </c>
      <c r="D6334" s="140" t="s">
        <v>16667</v>
      </c>
      <c r="E6334" s="142"/>
      <c r="F6334" s="142"/>
      <c r="G6334" s="140"/>
    </row>
    <row r="6335" spans="2:7" hidden="1">
      <c r="B6335" s="140" t="s">
        <v>16668</v>
      </c>
      <c r="C6335" s="140"/>
      <c r="D6335" s="140" t="s">
        <v>5175</v>
      </c>
      <c r="E6335" s="140"/>
      <c r="F6335" s="140"/>
      <c r="G6335" s="140"/>
    </row>
    <row r="6336" spans="2:7" hidden="1">
      <c r="B6336" s="141" t="s">
        <v>16669</v>
      </c>
      <c r="C6336" s="140"/>
      <c r="D6336" s="141" t="s">
        <v>3780</v>
      </c>
      <c r="E6336" s="140"/>
      <c r="F6336" s="140"/>
      <c r="G6336" s="140"/>
    </row>
    <row r="6337" spans="2:7" hidden="1">
      <c r="B6337" s="141" t="s">
        <v>16670</v>
      </c>
      <c r="C6337" s="140"/>
      <c r="D6337" s="141" t="s">
        <v>16671</v>
      </c>
      <c r="E6337" s="140"/>
      <c r="F6337" s="140"/>
      <c r="G6337" s="140"/>
    </row>
    <row r="6338" spans="2:7" hidden="1">
      <c r="B6338" s="141" t="s">
        <v>16672</v>
      </c>
      <c r="C6338" s="140"/>
      <c r="D6338" s="141" t="s">
        <v>16673</v>
      </c>
      <c r="E6338" s="140"/>
      <c r="F6338" s="140"/>
      <c r="G6338" s="140"/>
    </row>
    <row r="6339" spans="2:7" hidden="1">
      <c r="B6339" s="140" t="s">
        <v>16674</v>
      </c>
      <c r="C6339" s="140"/>
      <c r="D6339" s="141" t="s">
        <v>3627</v>
      </c>
      <c r="E6339" s="140"/>
      <c r="F6339" s="140"/>
      <c r="G6339" s="140"/>
    </row>
    <row r="6340" spans="2:7" hidden="1">
      <c r="B6340" s="140" t="s">
        <v>16675</v>
      </c>
      <c r="C6340" s="141"/>
      <c r="D6340" s="141" t="s">
        <v>16676</v>
      </c>
      <c r="E6340" s="141"/>
      <c r="F6340" s="141"/>
      <c r="G6340" s="140"/>
    </row>
    <row r="6341" spans="2:7" hidden="1">
      <c r="B6341" s="141" t="s">
        <v>16677</v>
      </c>
      <c r="C6341" s="140" t="s">
        <v>16678</v>
      </c>
      <c r="D6341" s="141" t="s">
        <v>6587</v>
      </c>
      <c r="E6341" s="140" t="s">
        <v>16679</v>
      </c>
      <c r="F6341" s="140" t="s">
        <v>16680</v>
      </c>
      <c r="G6341" s="140"/>
    </row>
    <row r="6342" spans="2:7" hidden="1">
      <c r="B6342" s="141" t="s">
        <v>16681</v>
      </c>
      <c r="C6342" s="140"/>
      <c r="D6342" s="141" t="s">
        <v>16682</v>
      </c>
      <c r="E6342" s="140"/>
      <c r="F6342" s="140"/>
      <c r="G6342" s="140"/>
    </row>
    <row r="6343" spans="2:7" hidden="1">
      <c r="B6343" s="141" t="s">
        <v>16683</v>
      </c>
      <c r="C6343" s="140"/>
      <c r="D6343" s="141" t="s">
        <v>14744</v>
      </c>
      <c r="E6343" s="140"/>
      <c r="F6343" s="140"/>
      <c r="G6343" s="140"/>
    </row>
    <row r="6344" spans="2:7" hidden="1">
      <c r="B6344" s="141" t="s">
        <v>16684</v>
      </c>
      <c r="C6344" s="141"/>
      <c r="D6344" s="141" t="s">
        <v>16685</v>
      </c>
      <c r="E6344" s="141"/>
      <c r="F6344" s="141"/>
      <c r="G6344" s="140"/>
    </row>
    <row r="6345" spans="2:7" hidden="1">
      <c r="B6345" s="141" t="s">
        <v>16686</v>
      </c>
      <c r="C6345" s="141"/>
      <c r="D6345" s="141" t="s">
        <v>16687</v>
      </c>
      <c r="E6345" s="141"/>
      <c r="F6345" s="141"/>
      <c r="G6345" s="140"/>
    </row>
    <row r="6346" spans="2:7" hidden="1">
      <c r="B6346" s="141" t="s">
        <v>16688</v>
      </c>
      <c r="C6346" s="140" t="s">
        <v>16689</v>
      </c>
      <c r="D6346" s="141" t="s">
        <v>16690</v>
      </c>
      <c r="E6346" s="140" t="s">
        <v>16691</v>
      </c>
      <c r="F6346" s="140"/>
      <c r="G6346" s="140"/>
    </row>
    <row r="6347" spans="2:7" hidden="1">
      <c r="B6347" s="141" t="s">
        <v>16692</v>
      </c>
      <c r="C6347" s="140"/>
      <c r="D6347" s="141" t="s">
        <v>3013</v>
      </c>
      <c r="E6347" s="140"/>
      <c r="F6347" s="140"/>
      <c r="G6347" s="140"/>
    </row>
    <row r="6348" spans="2:7" hidden="1">
      <c r="B6348" s="141" t="s">
        <v>16693</v>
      </c>
      <c r="C6348" s="140"/>
      <c r="D6348" s="141" t="s">
        <v>16694</v>
      </c>
      <c r="E6348" s="140"/>
      <c r="F6348" s="140"/>
      <c r="G6348" s="140"/>
    </row>
    <row r="6349" spans="2:7" hidden="1">
      <c r="B6349" s="141" t="s">
        <v>16695</v>
      </c>
      <c r="C6349" s="140"/>
      <c r="D6349" s="141" t="s">
        <v>6398</v>
      </c>
      <c r="E6349" s="140"/>
      <c r="F6349" s="140"/>
      <c r="G6349" s="140"/>
    </row>
    <row r="6350" spans="2:7" hidden="1">
      <c r="B6350" s="141" t="s">
        <v>21962</v>
      </c>
      <c r="C6350" s="140"/>
      <c r="D6350" s="141" t="s">
        <v>16696</v>
      </c>
      <c r="E6350" s="140"/>
      <c r="F6350" s="140"/>
      <c r="G6350" s="140"/>
    </row>
    <row r="6351" spans="2:7" hidden="1">
      <c r="B6351" s="141" t="s">
        <v>16697</v>
      </c>
      <c r="C6351" s="140"/>
      <c r="D6351" s="141" t="s">
        <v>16698</v>
      </c>
      <c r="E6351" s="140"/>
      <c r="F6351" s="140"/>
      <c r="G6351" s="140"/>
    </row>
    <row r="6352" spans="2:7" hidden="1">
      <c r="B6352" s="141" t="s">
        <v>16699</v>
      </c>
      <c r="C6352" s="141"/>
      <c r="D6352" s="141" t="s">
        <v>16700</v>
      </c>
      <c r="E6352" s="141"/>
      <c r="F6352" s="141"/>
      <c r="G6352" s="140"/>
    </row>
    <row r="6353" spans="2:7" hidden="1">
      <c r="B6353" s="141" t="s">
        <v>16701</v>
      </c>
      <c r="C6353" s="141"/>
      <c r="D6353" s="141" t="s">
        <v>16702</v>
      </c>
      <c r="E6353" s="141"/>
      <c r="F6353" s="141"/>
      <c r="G6353" s="140"/>
    </row>
    <row r="6354" spans="2:7" hidden="1">
      <c r="B6354" s="141" t="s">
        <v>16703</v>
      </c>
      <c r="C6354" s="140"/>
      <c r="D6354" s="141" t="s">
        <v>16704</v>
      </c>
      <c r="E6354" s="140"/>
      <c r="F6354" s="140"/>
      <c r="G6354" s="140"/>
    </row>
    <row r="6355" spans="2:7" hidden="1">
      <c r="B6355" s="141" t="s">
        <v>16705</v>
      </c>
      <c r="C6355" s="140"/>
      <c r="D6355" s="141" t="s">
        <v>16700</v>
      </c>
      <c r="E6355" s="140"/>
      <c r="F6355" s="140"/>
      <c r="G6355" s="140"/>
    </row>
    <row r="6356" spans="2:7" hidden="1">
      <c r="B6356" s="140" t="s">
        <v>16706</v>
      </c>
      <c r="C6356" s="140"/>
      <c r="D6356" s="140" t="s">
        <v>5391</v>
      </c>
      <c r="E6356" s="142"/>
      <c r="F6356" s="142"/>
      <c r="G6356" s="140"/>
    </row>
    <row r="6357" spans="2:7" hidden="1">
      <c r="B6357" s="140" t="s">
        <v>16707</v>
      </c>
      <c r="C6357" s="140"/>
      <c r="D6357" s="140" t="s">
        <v>8126</v>
      </c>
      <c r="E6357" s="140"/>
      <c r="F6357" s="140"/>
      <c r="G6357" s="140"/>
    </row>
    <row r="6358" spans="2:7" hidden="1">
      <c r="B6358" s="141" t="s">
        <v>16708</v>
      </c>
      <c r="C6358" s="140"/>
      <c r="D6358" s="141" t="s">
        <v>16709</v>
      </c>
      <c r="E6358" s="140"/>
      <c r="F6358" s="140"/>
      <c r="G6358" s="140"/>
    </row>
    <row r="6359" spans="2:7" hidden="1">
      <c r="B6359" s="141" t="s">
        <v>16710</v>
      </c>
      <c r="C6359" s="140"/>
      <c r="D6359" s="141" t="s">
        <v>10784</v>
      </c>
      <c r="E6359" s="140"/>
      <c r="F6359" s="140"/>
      <c r="G6359" s="140"/>
    </row>
    <row r="6360" spans="2:7" hidden="1">
      <c r="B6360" s="141" t="s">
        <v>16711</v>
      </c>
      <c r="C6360" s="140"/>
      <c r="D6360" s="141" t="s">
        <v>3723</v>
      </c>
      <c r="E6360" s="140"/>
      <c r="F6360" s="140"/>
      <c r="G6360" s="140"/>
    </row>
    <row r="6361" spans="2:7" hidden="1">
      <c r="B6361" s="141" t="s">
        <v>16712</v>
      </c>
      <c r="C6361" s="141"/>
      <c r="D6361" s="141" t="s">
        <v>5342</v>
      </c>
      <c r="E6361" s="141"/>
      <c r="F6361" s="140"/>
      <c r="G6361" s="140"/>
    </row>
    <row r="6362" spans="2:7" hidden="1">
      <c r="B6362" s="140" t="s">
        <v>16713</v>
      </c>
      <c r="C6362" s="140"/>
      <c r="D6362" s="140" t="s">
        <v>2880</v>
      </c>
      <c r="E6362" s="142"/>
      <c r="F6362" s="142"/>
      <c r="G6362" s="140"/>
    </row>
    <row r="6363" spans="2:7" hidden="1">
      <c r="B6363" s="141" t="s">
        <v>16714</v>
      </c>
      <c r="C6363" s="140"/>
      <c r="D6363" s="141" t="s">
        <v>5791</v>
      </c>
      <c r="E6363" s="140"/>
      <c r="F6363" s="140"/>
      <c r="G6363" s="140"/>
    </row>
    <row r="6364" spans="2:7" hidden="1">
      <c r="B6364" s="140" t="s">
        <v>16715</v>
      </c>
      <c r="C6364" s="140"/>
      <c r="D6364" s="140" t="s">
        <v>1663</v>
      </c>
      <c r="E6364" s="142"/>
      <c r="F6364" s="142"/>
      <c r="G6364" s="140"/>
    </row>
    <row r="6365" spans="2:7" hidden="1">
      <c r="B6365" s="141" t="s">
        <v>16716</v>
      </c>
      <c r="C6365" s="140" t="s">
        <v>16717</v>
      </c>
      <c r="D6365" s="141" t="s">
        <v>16718</v>
      </c>
      <c r="E6365" s="140"/>
      <c r="F6365" s="140"/>
      <c r="G6365" s="140"/>
    </row>
    <row r="6366" spans="2:7" hidden="1">
      <c r="B6366" s="141" t="s">
        <v>16719</v>
      </c>
      <c r="C6366" s="140"/>
      <c r="D6366" s="141" t="s">
        <v>16566</v>
      </c>
      <c r="E6366" s="140"/>
      <c r="F6366" s="140"/>
      <c r="G6366" s="140"/>
    </row>
    <row r="6367" spans="2:7" hidden="1">
      <c r="B6367" s="141" t="s">
        <v>16720</v>
      </c>
      <c r="C6367" s="140"/>
      <c r="D6367" s="141" t="s">
        <v>14040</v>
      </c>
      <c r="E6367" s="140"/>
      <c r="F6367" s="140"/>
      <c r="G6367" s="140"/>
    </row>
    <row r="6368" spans="2:7" hidden="1">
      <c r="B6368" s="141" t="s">
        <v>16721</v>
      </c>
      <c r="C6368" s="140"/>
      <c r="D6368" s="141" t="s">
        <v>16722</v>
      </c>
      <c r="E6368" s="140"/>
      <c r="F6368" s="140"/>
      <c r="G6368" s="140"/>
    </row>
    <row r="6369" spans="2:7" hidden="1">
      <c r="B6369" s="141" t="s">
        <v>16723</v>
      </c>
      <c r="C6369" s="140" t="s">
        <v>16724</v>
      </c>
      <c r="D6369" s="141" t="s">
        <v>16725</v>
      </c>
      <c r="E6369" s="140" t="s">
        <v>16726</v>
      </c>
      <c r="F6369" s="140"/>
      <c r="G6369" s="140"/>
    </row>
    <row r="6370" spans="2:7" hidden="1">
      <c r="B6370" s="141" t="s">
        <v>16727</v>
      </c>
      <c r="C6370" s="140"/>
      <c r="D6370" s="141" t="s">
        <v>4979</v>
      </c>
      <c r="E6370" s="140"/>
      <c r="F6370" s="140"/>
      <c r="G6370" s="140"/>
    </row>
    <row r="6371" spans="2:7" hidden="1">
      <c r="B6371" s="141" t="s">
        <v>16728</v>
      </c>
      <c r="C6371" s="141"/>
      <c r="D6371" s="141" t="s">
        <v>16729</v>
      </c>
      <c r="E6371" s="141"/>
      <c r="F6371" s="141"/>
      <c r="G6371" s="140"/>
    </row>
    <row r="6372" spans="2:7" hidden="1">
      <c r="B6372" s="141" t="s">
        <v>16730</v>
      </c>
      <c r="C6372" s="141"/>
      <c r="D6372" s="141" t="s">
        <v>16731</v>
      </c>
      <c r="E6372" s="141"/>
      <c r="F6372" s="141"/>
      <c r="G6372" s="140"/>
    </row>
    <row r="6373" spans="2:7" hidden="1">
      <c r="B6373" s="141" t="s">
        <v>16732</v>
      </c>
      <c r="C6373" s="140"/>
      <c r="D6373" s="141" t="s">
        <v>15030</v>
      </c>
      <c r="E6373" s="140"/>
      <c r="F6373" s="140"/>
      <c r="G6373" s="140"/>
    </row>
    <row r="6374" spans="2:7" hidden="1">
      <c r="B6374" s="141" t="s">
        <v>16733</v>
      </c>
      <c r="C6374" s="140" t="s">
        <v>16734</v>
      </c>
      <c r="D6374" s="141" t="s">
        <v>16735</v>
      </c>
      <c r="E6374" s="140" t="s">
        <v>16736</v>
      </c>
      <c r="F6374" s="140" t="s">
        <v>16737</v>
      </c>
      <c r="G6374" s="140"/>
    </row>
    <row r="6375" spans="2:7" hidden="1">
      <c r="B6375" s="140" t="s">
        <v>16738</v>
      </c>
      <c r="C6375" s="140"/>
      <c r="D6375" s="140" t="s">
        <v>16739</v>
      </c>
      <c r="E6375" s="142"/>
      <c r="F6375" s="142"/>
      <c r="G6375" s="140"/>
    </row>
    <row r="6376" spans="2:7" hidden="1">
      <c r="B6376" s="141" t="s">
        <v>16740</v>
      </c>
      <c r="C6376" s="140"/>
      <c r="D6376" s="141" t="s">
        <v>16741</v>
      </c>
      <c r="E6376" s="140"/>
      <c r="F6376" s="140"/>
      <c r="G6376" s="140"/>
    </row>
    <row r="6377" spans="2:7" hidden="1">
      <c r="B6377" s="140" t="s">
        <v>16742</v>
      </c>
      <c r="C6377" s="140"/>
      <c r="D6377" s="140" t="s">
        <v>4448</v>
      </c>
      <c r="E6377" s="142"/>
      <c r="F6377" s="142"/>
      <c r="G6377" s="140"/>
    </row>
    <row r="6378" spans="2:7" hidden="1">
      <c r="B6378" s="141" t="s">
        <v>16743</v>
      </c>
      <c r="C6378" s="140" t="s">
        <v>16744</v>
      </c>
      <c r="D6378" s="141" t="s">
        <v>16745</v>
      </c>
      <c r="E6378" s="140"/>
      <c r="F6378" s="140"/>
      <c r="G6378" s="140"/>
    </row>
    <row r="6379" spans="2:7" hidden="1">
      <c r="B6379" s="141" t="s">
        <v>16746</v>
      </c>
      <c r="C6379" s="140"/>
      <c r="D6379" s="141" t="s">
        <v>4710</v>
      </c>
      <c r="E6379" s="140"/>
      <c r="F6379" s="140"/>
      <c r="G6379" s="140"/>
    </row>
    <row r="6380" spans="2:7" hidden="1">
      <c r="B6380" s="141" t="s">
        <v>16747</v>
      </c>
      <c r="C6380" s="140" t="s">
        <v>16748</v>
      </c>
      <c r="D6380" s="141" t="s">
        <v>16749</v>
      </c>
      <c r="E6380" s="140" t="s">
        <v>16750</v>
      </c>
      <c r="F6380" s="140" t="s">
        <v>16751</v>
      </c>
      <c r="G6380" s="140"/>
    </row>
    <row r="6381" spans="2:7" hidden="1">
      <c r="B6381" s="141" t="s">
        <v>16752</v>
      </c>
      <c r="C6381" s="140"/>
      <c r="D6381" s="141" t="s">
        <v>16753</v>
      </c>
      <c r="E6381" s="140"/>
      <c r="F6381" s="140"/>
      <c r="G6381" s="140"/>
    </row>
    <row r="6382" spans="2:7" hidden="1">
      <c r="B6382" s="141" t="s">
        <v>16754</v>
      </c>
      <c r="C6382" s="140"/>
      <c r="D6382" s="141" t="s">
        <v>16755</v>
      </c>
      <c r="E6382" s="140"/>
      <c r="F6382" s="140"/>
      <c r="G6382" s="140"/>
    </row>
    <row r="6383" spans="2:7" hidden="1">
      <c r="B6383" s="141" t="s">
        <v>16756</v>
      </c>
      <c r="C6383" s="140" t="s">
        <v>16757</v>
      </c>
      <c r="D6383" s="141" t="s">
        <v>16758</v>
      </c>
      <c r="E6383" s="140" t="s">
        <v>16759</v>
      </c>
      <c r="F6383" s="140"/>
      <c r="G6383" s="140"/>
    </row>
    <row r="6384" spans="2:7" hidden="1">
      <c r="B6384" s="141" t="s">
        <v>16760</v>
      </c>
      <c r="C6384" s="140"/>
      <c r="D6384" s="141" t="s">
        <v>16761</v>
      </c>
      <c r="E6384" s="140"/>
      <c r="F6384" s="140"/>
      <c r="G6384" s="140"/>
    </row>
    <row r="6385" spans="2:7" hidden="1">
      <c r="B6385" s="141" t="s">
        <v>16762</v>
      </c>
      <c r="C6385" s="140"/>
      <c r="D6385" s="141" t="s">
        <v>16763</v>
      </c>
      <c r="E6385" s="140"/>
      <c r="F6385" s="140"/>
      <c r="G6385" s="140"/>
    </row>
    <row r="6386" spans="2:7" hidden="1">
      <c r="B6386" s="141" t="s">
        <v>16764</v>
      </c>
      <c r="C6386" s="140"/>
      <c r="D6386" s="141" t="s">
        <v>16765</v>
      </c>
      <c r="E6386" s="140"/>
      <c r="F6386" s="140"/>
      <c r="G6386" s="140"/>
    </row>
    <row r="6387" spans="2:7" hidden="1">
      <c r="B6387" s="140" t="s">
        <v>16766</v>
      </c>
      <c r="C6387" s="140"/>
      <c r="D6387" s="140" t="s">
        <v>16767</v>
      </c>
      <c r="E6387" s="140"/>
      <c r="F6387" s="140"/>
      <c r="G6387" s="140"/>
    </row>
    <row r="6388" spans="2:7" hidden="1">
      <c r="B6388" s="141" t="s">
        <v>16768</v>
      </c>
      <c r="C6388" s="140" t="s">
        <v>16769</v>
      </c>
      <c r="D6388" s="141" t="s">
        <v>4713</v>
      </c>
      <c r="E6388" s="140" t="s">
        <v>16770</v>
      </c>
      <c r="F6388" s="140" t="s">
        <v>16771</v>
      </c>
      <c r="G6388" s="140"/>
    </row>
    <row r="6389" spans="2:7" hidden="1">
      <c r="B6389" s="140" t="s">
        <v>16772</v>
      </c>
      <c r="C6389" s="140"/>
      <c r="D6389" s="140" t="s">
        <v>1791</v>
      </c>
      <c r="E6389" s="142"/>
      <c r="F6389" s="142"/>
      <c r="G6389" s="140"/>
    </row>
    <row r="6390" spans="2:7" hidden="1">
      <c r="B6390" s="141" t="s">
        <v>21963</v>
      </c>
      <c r="C6390" s="140"/>
      <c r="D6390" s="141" t="s">
        <v>2528</v>
      </c>
      <c r="E6390" s="140"/>
      <c r="F6390" s="140"/>
      <c r="G6390" s="140"/>
    </row>
    <row r="6391" spans="2:7" hidden="1">
      <c r="B6391" s="140" t="s">
        <v>21964</v>
      </c>
      <c r="C6391" s="140" t="s">
        <v>16773</v>
      </c>
      <c r="D6391" s="140" t="s">
        <v>15082</v>
      </c>
      <c r="E6391" s="140" t="s">
        <v>16774</v>
      </c>
      <c r="F6391" s="140" t="s">
        <v>16775</v>
      </c>
      <c r="G6391" s="140"/>
    </row>
    <row r="6392" spans="2:7" hidden="1">
      <c r="B6392" s="141" t="s">
        <v>16776</v>
      </c>
      <c r="C6392" s="141" t="s">
        <v>16777</v>
      </c>
      <c r="D6392" s="141" t="s">
        <v>16778</v>
      </c>
      <c r="E6392" s="140" t="s">
        <v>16779</v>
      </c>
      <c r="F6392" s="140" t="s">
        <v>16780</v>
      </c>
      <c r="G6392" s="140"/>
    </row>
    <row r="6393" spans="2:7" hidden="1">
      <c r="B6393" s="141" t="s">
        <v>16781</v>
      </c>
      <c r="C6393" s="140" t="s">
        <v>16782</v>
      </c>
      <c r="D6393" s="141" t="s">
        <v>16783</v>
      </c>
      <c r="E6393" s="140" t="s">
        <v>16784</v>
      </c>
      <c r="F6393" s="140" t="s">
        <v>16785</v>
      </c>
      <c r="G6393" s="140"/>
    </row>
    <row r="6394" spans="2:7" hidden="1">
      <c r="B6394" s="141" t="s">
        <v>16786</v>
      </c>
      <c r="C6394" s="140" t="s">
        <v>16787</v>
      </c>
      <c r="D6394" s="141" t="s">
        <v>16788</v>
      </c>
      <c r="E6394" s="140" t="s">
        <v>16789</v>
      </c>
      <c r="F6394" s="140" t="s">
        <v>16790</v>
      </c>
      <c r="G6394" s="140"/>
    </row>
    <row r="6395" spans="2:7" hidden="1">
      <c r="B6395" s="141" t="s">
        <v>21965</v>
      </c>
      <c r="C6395" s="141" t="s">
        <v>16791</v>
      </c>
      <c r="D6395" s="141" t="s">
        <v>16792</v>
      </c>
      <c r="E6395" s="140" t="s">
        <v>16793</v>
      </c>
      <c r="F6395" s="140"/>
      <c r="G6395" s="140"/>
    </row>
    <row r="6396" spans="2:7" hidden="1">
      <c r="B6396" s="141" t="s">
        <v>21966</v>
      </c>
      <c r="C6396" s="140" t="s">
        <v>16794</v>
      </c>
      <c r="D6396" s="141" t="s">
        <v>16795</v>
      </c>
      <c r="E6396" s="140" t="s">
        <v>16796</v>
      </c>
      <c r="F6396" s="140"/>
      <c r="G6396" s="140"/>
    </row>
    <row r="6397" spans="2:7" hidden="1">
      <c r="B6397" s="141" t="s">
        <v>16797</v>
      </c>
      <c r="C6397" s="140"/>
      <c r="D6397" s="141" t="s">
        <v>16798</v>
      </c>
      <c r="E6397" s="140"/>
      <c r="F6397" s="140"/>
      <c r="G6397" s="140"/>
    </row>
    <row r="6398" spans="2:7" hidden="1">
      <c r="B6398" s="141" t="s">
        <v>16799</v>
      </c>
      <c r="C6398" s="140"/>
      <c r="D6398" s="141" t="s">
        <v>2466</v>
      </c>
      <c r="E6398" s="140"/>
      <c r="F6398" s="140"/>
      <c r="G6398" s="140"/>
    </row>
    <row r="6399" spans="2:7" hidden="1">
      <c r="B6399" s="140" t="s">
        <v>16800</v>
      </c>
      <c r="C6399" s="140"/>
      <c r="D6399" s="140" t="s">
        <v>16801</v>
      </c>
      <c r="E6399" s="142"/>
      <c r="F6399" s="142"/>
      <c r="G6399" s="140"/>
    </row>
    <row r="6400" spans="2:7" hidden="1">
      <c r="B6400" s="141" t="s">
        <v>16802</v>
      </c>
      <c r="C6400" s="141"/>
      <c r="D6400" s="141" t="s">
        <v>4023</v>
      </c>
      <c r="E6400" s="141"/>
      <c r="F6400" s="140"/>
      <c r="G6400" s="140"/>
    </row>
    <row r="6401" spans="2:7" hidden="1">
      <c r="B6401" s="141" t="s">
        <v>16803</v>
      </c>
      <c r="C6401" s="140" t="s">
        <v>16804</v>
      </c>
      <c r="D6401" s="141" t="s">
        <v>16805</v>
      </c>
      <c r="E6401" s="140"/>
      <c r="F6401" s="140"/>
      <c r="G6401" s="140"/>
    </row>
    <row r="6402" spans="2:7" hidden="1">
      <c r="B6402" s="141" t="s">
        <v>16806</v>
      </c>
      <c r="C6402" s="141" t="s">
        <v>16807</v>
      </c>
      <c r="D6402" s="141" t="s">
        <v>1537</v>
      </c>
      <c r="E6402" s="141" t="s">
        <v>16808</v>
      </c>
      <c r="F6402" s="140" t="s">
        <v>16809</v>
      </c>
      <c r="G6402" s="140"/>
    </row>
    <row r="6403" spans="2:7" hidden="1">
      <c r="B6403" s="140" t="s">
        <v>16810</v>
      </c>
      <c r="C6403" s="140"/>
      <c r="D6403" s="140" t="s">
        <v>1544</v>
      </c>
      <c r="E6403" s="142" t="s">
        <v>16811</v>
      </c>
      <c r="F6403" s="142" t="s">
        <v>16812</v>
      </c>
      <c r="G6403" s="140"/>
    </row>
    <row r="6404" spans="2:7" hidden="1">
      <c r="B6404" s="141" t="s">
        <v>16813</v>
      </c>
      <c r="C6404" s="141"/>
      <c r="D6404" s="141" t="s">
        <v>16814</v>
      </c>
      <c r="E6404" s="141"/>
      <c r="F6404" s="140"/>
      <c r="G6404" s="140"/>
    </row>
    <row r="6405" spans="2:7" hidden="1">
      <c r="B6405" s="141" t="s">
        <v>16815</v>
      </c>
      <c r="C6405" s="140"/>
      <c r="D6405" s="141" t="s">
        <v>10739</v>
      </c>
      <c r="E6405" s="140"/>
      <c r="F6405" s="140"/>
      <c r="G6405" s="140"/>
    </row>
    <row r="6406" spans="2:7" hidden="1">
      <c r="B6406" s="141" t="s">
        <v>16816</v>
      </c>
      <c r="C6406" s="140"/>
      <c r="D6406" s="141" t="s">
        <v>10865</v>
      </c>
      <c r="E6406" s="140"/>
      <c r="F6406" s="140"/>
      <c r="G6406" s="140"/>
    </row>
    <row r="6407" spans="2:7" hidden="1">
      <c r="B6407" s="140" t="s">
        <v>16817</v>
      </c>
      <c r="C6407" s="140"/>
      <c r="D6407" s="140" t="s">
        <v>16818</v>
      </c>
      <c r="E6407" s="142"/>
      <c r="F6407" s="142"/>
      <c r="G6407" s="140"/>
    </row>
    <row r="6408" spans="2:7" hidden="1">
      <c r="B6408" s="141" t="s">
        <v>16819</v>
      </c>
      <c r="C6408" s="140"/>
      <c r="D6408" s="141" t="s">
        <v>16820</v>
      </c>
      <c r="E6408" s="140"/>
      <c r="F6408" s="140"/>
      <c r="G6408" s="140"/>
    </row>
    <row r="6409" spans="2:7" hidden="1">
      <c r="B6409" s="141" t="s">
        <v>16823</v>
      </c>
      <c r="C6409" s="141"/>
      <c r="D6409" s="141" t="s">
        <v>16824</v>
      </c>
      <c r="E6409" s="141"/>
      <c r="F6409" s="140"/>
      <c r="G6409" s="140"/>
    </row>
    <row r="6410" spans="2:7" hidden="1">
      <c r="B6410" s="141" t="s">
        <v>16825</v>
      </c>
      <c r="C6410" s="140"/>
      <c r="D6410" s="141" t="s">
        <v>7872</v>
      </c>
      <c r="E6410" s="140"/>
      <c r="F6410" s="140"/>
      <c r="G6410" s="140"/>
    </row>
    <row r="6411" spans="2:7" hidden="1">
      <c r="B6411" s="141" t="s">
        <v>16826</v>
      </c>
      <c r="C6411" s="141"/>
      <c r="D6411" s="141" t="s">
        <v>8117</v>
      </c>
      <c r="E6411" s="141"/>
      <c r="F6411" s="140"/>
      <c r="G6411" s="140"/>
    </row>
    <row r="6412" spans="2:7" hidden="1">
      <c r="B6412" s="140" t="s">
        <v>16827</v>
      </c>
      <c r="C6412" s="140"/>
      <c r="D6412" s="140" t="s">
        <v>16828</v>
      </c>
      <c r="E6412" s="142"/>
      <c r="F6412" s="142"/>
      <c r="G6412" s="140"/>
    </row>
    <row r="6413" spans="2:7" hidden="1">
      <c r="B6413" s="141" t="s">
        <v>21967</v>
      </c>
      <c r="C6413" s="140" t="s">
        <v>16821</v>
      </c>
      <c r="D6413" s="141" t="s">
        <v>16822</v>
      </c>
      <c r="E6413" s="140"/>
      <c r="F6413" s="140"/>
      <c r="G6413" s="140"/>
    </row>
    <row r="6414" spans="2:7" hidden="1">
      <c r="B6414" s="141" t="s">
        <v>16829</v>
      </c>
      <c r="C6414" s="140"/>
      <c r="D6414" s="141" t="s">
        <v>11349</v>
      </c>
      <c r="E6414" s="140"/>
      <c r="F6414" s="140"/>
      <c r="G6414" s="140"/>
    </row>
    <row r="6415" spans="2:7" hidden="1">
      <c r="B6415" s="141" t="s">
        <v>16830</v>
      </c>
      <c r="C6415" s="140"/>
      <c r="D6415" s="141" t="s">
        <v>16831</v>
      </c>
      <c r="E6415" s="140"/>
      <c r="F6415" s="140"/>
      <c r="G6415" s="140"/>
    </row>
    <row r="6416" spans="2:7" hidden="1">
      <c r="B6416" s="141" t="s">
        <v>16832</v>
      </c>
      <c r="C6416" s="140"/>
      <c r="D6416" s="141" t="s">
        <v>16833</v>
      </c>
      <c r="E6416" s="140"/>
      <c r="F6416" s="140"/>
      <c r="G6416" s="140"/>
    </row>
    <row r="6417" spans="2:7" hidden="1">
      <c r="B6417" s="141" t="s">
        <v>16834</v>
      </c>
      <c r="C6417" s="140"/>
      <c r="D6417" s="141" t="s">
        <v>16835</v>
      </c>
      <c r="E6417" s="140"/>
      <c r="F6417" s="140"/>
      <c r="G6417" s="140"/>
    </row>
    <row r="6418" spans="2:7" hidden="1">
      <c r="B6418" s="141" t="s">
        <v>21968</v>
      </c>
      <c r="C6418" s="140"/>
      <c r="D6418" s="141" t="s">
        <v>4695</v>
      </c>
      <c r="E6418" s="140"/>
      <c r="F6418" s="140"/>
      <c r="G6418" s="140"/>
    </row>
    <row r="6419" spans="2:7" hidden="1">
      <c r="B6419" s="141" t="s">
        <v>16836</v>
      </c>
      <c r="C6419" s="141"/>
      <c r="D6419" s="141" t="s">
        <v>16837</v>
      </c>
      <c r="E6419" s="141"/>
      <c r="F6419" s="141"/>
      <c r="G6419" s="140"/>
    </row>
    <row r="6420" spans="2:7" hidden="1">
      <c r="B6420" s="141" t="s">
        <v>16838</v>
      </c>
      <c r="C6420" s="140"/>
      <c r="D6420" s="141" t="s">
        <v>16839</v>
      </c>
      <c r="E6420" s="140"/>
      <c r="F6420" s="140"/>
      <c r="G6420" s="140"/>
    </row>
    <row r="6421" spans="2:7" hidden="1">
      <c r="B6421" s="141" t="s">
        <v>16840</v>
      </c>
      <c r="C6421" s="140" t="s">
        <v>16841</v>
      </c>
      <c r="D6421" s="141" t="s">
        <v>9892</v>
      </c>
      <c r="E6421" s="140"/>
      <c r="F6421" s="140"/>
      <c r="G6421" s="140"/>
    </row>
    <row r="6422" spans="2:7" hidden="1">
      <c r="B6422" s="141" t="s">
        <v>16842</v>
      </c>
      <c r="C6422" s="140" t="s">
        <v>16843</v>
      </c>
      <c r="D6422" s="141" t="s">
        <v>10861</v>
      </c>
      <c r="E6422" s="140" t="s">
        <v>16844</v>
      </c>
      <c r="F6422" s="140"/>
      <c r="G6422" s="140"/>
    </row>
    <row r="6423" spans="2:7" hidden="1">
      <c r="B6423" s="141" t="s">
        <v>16845</v>
      </c>
      <c r="C6423" s="140"/>
      <c r="D6423" s="141" t="s">
        <v>8537</v>
      </c>
      <c r="E6423" s="140"/>
      <c r="F6423" s="140"/>
      <c r="G6423" s="140"/>
    </row>
    <row r="6424" spans="2:7" hidden="1">
      <c r="B6424" s="141" t="s">
        <v>16846</v>
      </c>
      <c r="C6424" s="140"/>
      <c r="D6424" s="141" t="s">
        <v>4450</v>
      </c>
      <c r="E6424" s="140"/>
      <c r="F6424" s="140"/>
      <c r="G6424" s="140"/>
    </row>
    <row r="6425" spans="2:7" hidden="1">
      <c r="B6425" s="141" t="s">
        <v>16847</v>
      </c>
      <c r="C6425" s="140" t="s">
        <v>16848</v>
      </c>
      <c r="D6425" s="141" t="s">
        <v>16849</v>
      </c>
      <c r="E6425" s="140"/>
      <c r="F6425" s="140"/>
      <c r="G6425" s="140" t="s">
        <v>16850</v>
      </c>
    </row>
    <row r="6426" spans="2:7" hidden="1">
      <c r="B6426" s="141" t="s">
        <v>16851</v>
      </c>
      <c r="C6426" s="140" t="s">
        <v>16852</v>
      </c>
      <c r="D6426" s="141" t="s">
        <v>16853</v>
      </c>
      <c r="E6426" s="140"/>
      <c r="F6426" s="140"/>
      <c r="G6426" s="140"/>
    </row>
    <row r="6427" spans="2:7" hidden="1">
      <c r="B6427" s="141" t="s">
        <v>16854</v>
      </c>
      <c r="C6427" s="141"/>
      <c r="D6427" s="141" t="s">
        <v>5582</v>
      </c>
      <c r="E6427" s="141"/>
      <c r="F6427" s="141"/>
      <c r="G6427" s="140"/>
    </row>
    <row r="6428" spans="2:7" hidden="1">
      <c r="B6428" s="140" t="s">
        <v>16858</v>
      </c>
      <c r="C6428" s="140" t="s">
        <v>16859</v>
      </c>
      <c r="D6428" s="140" t="s">
        <v>16860</v>
      </c>
      <c r="E6428" s="142"/>
      <c r="F6428" s="142"/>
      <c r="G6428" s="140" t="s">
        <v>16861</v>
      </c>
    </row>
    <row r="6429" spans="2:7" hidden="1">
      <c r="B6429" s="140" t="s">
        <v>16862</v>
      </c>
      <c r="C6429" s="140"/>
      <c r="D6429" s="140" t="s">
        <v>16863</v>
      </c>
      <c r="E6429" s="142"/>
      <c r="F6429" s="142"/>
      <c r="G6429" s="140"/>
    </row>
    <row r="6430" spans="2:7" hidden="1">
      <c r="B6430" s="141" t="s">
        <v>16864</v>
      </c>
      <c r="C6430" s="140"/>
      <c r="D6430" s="141" t="s">
        <v>16865</v>
      </c>
      <c r="E6430" s="140"/>
      <c r="F6430" s="140"/>
      <c r="G6430" s="140"/>
    </row>
    <row r="6431" spans="2:7" hidden="1">
      <c r="B6431" s="141" t="s">
        <v>16866</v>
      </c>
      <c r="C6431" s="140"/>
      <c r="D6431" s="141" t="s">
        <v>15203</v>
      </c>
      <c r="E6431" s="140"/>
      <c r="F6431" s="140"/>
      <c r="G6431" s="140"/>
    </row>
    <row r="6432" spans="2:7" hidden="1">
      <c r="B6432" s="141" t="s">
        <v>16867</v>
      </c>
      <c r="C6432" s="140"/>
      <c r="D6432" s="140" t="s">
        <v>16868</v>
      </c>
      <c r="E6432" s="140"/>
      <c r="F6432" s="140"/>
      <c r="G6432" s="140"/>
    </row>
    <row r="6433" spans="2:7" hidden="1">
      <c r="B6433" s="141" t="s">
        <v>16869</v>
      </c>
      <c r="C6433" s="140"/>
      <c r="D6433" s="141" t="s">
        <v>16682</v>
      </c>
      <c r="E6433" s="140"/>
      <c r="F6433" s="140"/>
      <c r="G6433" s="140"/>
    </row>
    <row r="6434" spans="2:7" hidden="1">
      <c r="B6434" s="141" t="s">
        <v>16870</v>
      </c>
      <c r="C6434" s="140"/>
      <c r="D6434" s="141" t="s">
        <v>16871</v>
      </c>
      <c r="E6434" s="140"/>
      <c r="F6434" s="140"/>
      <c r="G6434" s="140"/>
    </row>
    <row r="6435" spans="2:7" hidden="1">
      <c r="B6435" s="141" t="s">
        <v>16872</v>
      </c>
      <c r="C6435" s="141"/>
      <c r="D6435" s="141" t="s">
        <v>16873</v>
      </c>
      <c r="E6435" s="141"/>
      <c r="F6435" s="140"/>
      <c r="G6435" s="140"/>
    </row>
    <row r="6436" spans="2:7" hidden="1">
      <c r="B6436" s="141" t="s">
        <v>16874</v>
      </c>
      <c r="C6436" s="140" t="s">
        <v>16875</v>
      </c>
      <c r="D6436" s="141" t="s">
        <v>16876</v>
      </c>
      <c r="E6436" s="140" t="s">
        <v>16877</v>
      </c>
      <c r="F6436" s="140" t="s">
        <v>16878</v>
      </c>
      <c r="G6436" s="140"/>
    </row>
    <row r="6437" spans="2:7" hidden="1">
      <c r="B6437" s="141" t="s">
        <v>16879</v>
      </c>
      <c r="C6437" s="140"/>
      <c r="D6437" s="141" t="s">
        <v>2166</v>
      </c>
      <c r="E6437" s="140"/>
      <c r="F6437" s="140"/>
      <c r="G6437" s="140"/>
    </row>
    <row r="6438" spans="2:7" hidden="1">
      <c r="B6438" s="141" t="s">
        <v>16880</v>
      </c>
      <c r="C6438" s="140" t="s">
        <v>16881</v>
      </c>
      <c r="D6438" s="141" t="s">
        <v>16882</v>
      </c>
      <c r="E6438" s="140" t="s">
        <v>16883</v>
      </c>
      <c r="F6438" s="140" t="s">
        <v>16884</v>
      </c>
      <c r="G6438" s="140"/>
    </row>
    <row r="6439" spans="2:7" hidden="1">
      <c r="B6439" s="141" t="s">
        <v>16885</v>
      </c>
      <c r="C6439" s="140"/>
      <c r="D6439" s="141" t="s">
        <v>16886</v>
      </c>
      <c r="E6439" s="140"/>
      <c r="F6439" s="140"/>
      <c r="G6439" s="140"/>
    </row>
    <row r="6440" spans="2:7" hidden="1">
      <c r="B6440" s="141" t="s">
        <v>16887</v>
      </c>
      <c r="C6440" s="141"/>
      <c r="D6440" s="141" t="s">
        <v>16888</v>
      </c>
      <c r="E6440" s="140"/>
      <c r="F6440" s="140"/>
      <c r="G6440" s="140"/>
    </row>
    <row r="6441" spans="2:7" hidden="1">
      <c r="B6441" s="141" t="s">
        <v>16889</v>
      </c>
      <c r="C6441" s="140"/>
      <c r="D6441" s="141" t="s">
        <v>16890</v>
      </c>
      <c r="E6441" s="140"/>
      <c r="F6441" s="140"/>
      <c r="G6441" s="140"/>
    </row>
    <row r="6442" spans="2:7" hidden="1">
      <c r="B6442" s="141" t="s">
        <v>21969</v>
      </c>
      <c r="C6442" s="140"/>
      <c r="D6442" s="141" t="s">
        <v>16891</v>
      </c>
      <c r="E6442" s="140"/>
      <c r="F6442" s="140"/>
      <c r="G6442" s="140"/>
    </row>
    <row r="6443" spans="2:7" hidden="1">
      <c r="B6443" s="141" t="s">
        <v>16892</v>
      </c>
      <c r="C6443" s="140" t="s">
        <v>5584</v>
      </c>
      <c r="D6443" s="141" t="s">
        <v>2168</v>
      </c>
      <c r="E6443" s="140" t="s">
        <v>16893</v>
      </c>
      <c r="F6443" s="140"/>
      <c r="G6443" s="140"/>
    </row>
    <row r="6444" spans="2:7" hidden="1">
      <c r="B6444" s="141" t="s">
        <v>16894</v>
      </c>
      <c r="C6444" s="140"/>
      <c r="D6444" s="141" t="s">
        <v>8747</v>
      </c>
      <c r="E6444" s="140"/>
      <c r="F6444" s="140"/>
      <c r="G6444" s="140"/>
    </row>
    <row r="6445" spans="2:7" hidden="1">
      <c r="B6445" s="140" t="s">
        <v>16895</v>
      </c>
      <c r="C6445" s="140"/>
      <c r="D6445" s="140" t="s">
        <v>16896</v>
      </c>
      <c r="E6445" s="140"/>
      <c r="F6445" s="140"/>
      <c r="G6445" s="140"/>
    </row>
    <row r="6446" spans="2:7" hidden="1">
      <c r="B6446" s="141" t="s">
        <v>16897</v>
      </c>
      <c r="C6446" s="141" t="s">
        <v>16898</v>
      </c>
      <c r="D6446" s="141" t="s">
        <v>2168</v>
      </c>
      <c r="E6446" s="141" t="s">
        <v>16899</v>
      </c>
      <c r="F6446" s="141" t="s">
        <v>16900</v>
      </c>
      <c r="G6446" s="140"/>
    </row>
    <row r="6447" spans="2:7" hidden="1">
      <c r="B6447" s="141" t="s">
        <v>16901</v>
      </c>
      <c r="C6447" s="141"/>
      <c r="D6447" s="141" t="s">
        <v>16902</v>
      </c>
      <c r="E6447" s="141"/>
      <c r="F6447" s="141"/>
      <c r="G6447" s="140"/>
    </row>
    <row r="6448" spans="2:7" hidden="1">
      <c r="B6448" s="141" t="s">
        <v>16903</v>
      </c>
      <c r="C6448" s="140"/>
      <c r="D6448" s="141" t="s">
        <v>16904</v>
      </c>
      <c r="E6448" s="140"/>
      <c r="F6448" s="140"/>
      <c r="G6448" s="140"/>
    </row>
    <row r="6449" spans="2:7" hidden="1">
      <c r="B6449" s="141" t="s">
        <v>16905</v>
      </c>
      <c r="C6449" s="140"/>
      <c r="D6449" s="141" t="s">
        <v>1454</v>
      </c>
      <c r="E6449" s="140"/>
      <c r="F6449" s="140"/>
      <c r="G6449" s="140"/>
    </row>
    <row r="6450" spans="2:7" hidden="1">
      <c r="B6450" s="141" t="s">
        <v>16906</v>
      </c>
      <c r="C6450" s="140" t="s">
        <v>16907</v>
      </c>
      <c r="D6450" s="141" t="s">
        <v>16908</v>
      </c>
      <c r="E6450" s="140" t="s">
        <v>16909</v>
      </c>
      <c r="F6450" s="140" t="s">
        <v>16910</v>
      </c>
      <c r="G6450" s="140"/>
    </row>
    <row r="6451" spans="2:7" hidden="1">
      <c r="B6451" s="141" t="s">
        <v>16911</v>
      </c>
      <c r="C6451" s="140" t="s">
        <v>16912</v>
      </c>
      <c r="D6451" s="141" t="s">
        <v>2844</v>
      </c>
      <c r="E6451" s="140" t="s">
        <v>16913</v>
      </c>
      <c r="F6451" s="140"/>
      <c r="G6451" s="140"/>
    </row>
    <row r="6452" spans="2:7" hidden="1">
      <c r="B6452" s="141" t="s">
        <v>16914</v>
      </c>
      <c r="C6452" s="140" t="s">
        <v>16915</v>
      </c>
      <c r="D6452" s="141" t="s">
        <v>16916</v>
      </c>
      <c r="E6452" s="140" t="s">
        <v>16917</v>
      </c>
      <c r="F6452" s="140" t="s">
        <v>16918</v>
      </c>
      <c r="G6452" s="140"/>
    </row>
    <row r="6453" spans="2:7" hidden="1">
      <c r="B6453" s="141" t="s">
        <v>16919</v>
      </c>
      <c r="C6453" s="140" t="s">
        <v>16920</v>
      </c>
      <c r="D6453" s="141" t="s">
        <v>2844</v>
      </c>
      <c r="E6453" s="140" t="s">
        <v>16921</v>
      </c>
      <c r="F6453" s="140" t="s">
        <v>16922</v>
      </c>
      <c r="G6453" s="140"/>
    </row>
    <row r="6454" spans="2:7" hidden="1">
      <c r="B6454" s="141" t="s">
        <v>16923</v>
      </c>
      <c r="C6454" s="140"/>
      <c r="D6454" s="141" t="s">
        <v>14492</v>
      </c>
      <c r="E6454" s="140"/>
      <c r="F6454" s="140"/>
      <c r="G6454" s="140"/>
    </row>
    <row r="6455" spans="2:7" hidden="1">
      <c r="B6455" s="141" t="s">
        <v>16924</v>
      </c>
      <c r="C6455" s="140"/>
      <c r="D6455" s="141" t="s">
        <v>16925</v>
      </c>
      <c r="E6455" s="140"/>
      <c r="F6455" s="140"/>
      <c r="G6455" s="140"/>
    </row>
    <row r="6456" spans="2:7" hidden="1">
      <c r="B6456" s="141" t="s">
        <v>16926</v>
      </c>
      <c r="C6456" s="140"/>
      <c r="D6456" s="141" t="s">
        <v>2481</v>
      </c>
      <c r="E6456" s="140"/>
      <c r="F6456" s="140"/>
      <c r="G6456" s="140"/>
    </row>
    <row r="6457" spans="2:7" hidden="1">
      <c r="B6457" s="140" t="s">
        <v>16927</v>
      </c>
      <c r="C6457" s="140"/>
      <c r="D6457" s="140" t="s">
        <v>7873</v>
      </c>
      <c r="E6457" s="142"/>
      <c r="F6457" s="142"/>
      <c r="G6457" s="140"/>
    </row>
    <row r="6458" spans="2:7" hidden="1">
      <c r="B6458" s="141" t="s">
        <v>21970</v>
      </c>
      <c r="C6458" s="140"/>
      <c r="D6458" s="141" t="s">
        <v>2100</v>
      </c>
      <c r="E6458" s="140"/>
      <c r="F6458" s="140"/>
      <c r="G6458" s="140"/>
    </row>
    <row r="6459" spans="2:7" hidden="1">
      <c r="B6459" s="141" t="s">
        <v>16928</v>
      </c>
      <c r="C6459" s="140"/>
      <c r="D6459" s="141" t="s">
        <v>9251</v>
      </c>
      <c r="E6459" s="140"/>
      <c r="F6459" s="140"/>
      <c r="G6459" s="140"/>
    </row>
    <row r="6460" spans="2:7" hidden="1">
      <c r="B6460" s="141" t="s">
        <v>16929</v>
      </c>
      <c r="C6460" s="140"/>
      <c r="D6460" s="141" t="s">
        <v>9251</v>
      </c>
      <c r="E6460" s="140"/>
      <c r="F6460" s="140"/>
      <c r="G6460" s="140"/>
    </row>
    <row r="6461" spans="2:7" hidden="1">
      <c r="B6461" s="141" t="s">
        <v>16930</v>
      </c>
      <c r="C6461" s="140"/>
      <c r="D6461" s="141" t="s">
        <v>16931</v>
      </c>
      <c r="E6461" s="140"/>
      <c r="F6461" s="140"/>
      <c r="G6461" s="140"/>
    </row>
    <row r="6462" spans="2:7" hidden="1">
      <c r="B6462" s="141" t="s">
        <v>16932</v>
      </c>
      <c r="C6462" s="140"/>
      <c r="D6462" s="141" t="s">
        <v>16933</v>
      </c>
      <c r="E6462" s="140"/>
      <c r="F6462" s="140"/>
      <c r="G6462" s="140"/>
    </row>
    <row r="6463" spans="2:7" hidden="1">
      <c r="B6463" s="141" t="s">
        <v>16934</v>
      </c>
      <c r="C6463" s="140"/>
      <c r="D6463" s="141" t="s">
        <v>16935</v>
      </c>
      <c r="E6463" s="140"/>
      <c r="F6463" s="140"/>
      <c r="G6463" s="140"/>
    </row>
    <row r="6464" spans="2:7" hidden="1">
      <c r="B6464" s="141" t="s">
        <v>16936</v>
      </c>
      <c r="C6464" s="140"/>
      <c r="D6464" s="141" t="s">
        <v>16937</v>
      </c>
      <c r="E6464" s="140"/>
      <c r="F6464" s="140"/>
      <c r="G6464" s="140"/>
    </row>
    <row r="6465" spans="2:7" hidden="1">
      <c r="B6465" s="141" t="s">
        <v>16938</v>
      </c>
      <c r="C6465" s="140"/>
      <c r="D6465" s="141" t="s">
        <v>16939</v>
      </c>
      <c r="E6465" s="140"/>
      <c r="F6465" s="140"/>
      <c r="G6465" s="140"/>
    </row>
    <row r="6466" spans="2:7" hidden="1">
      <c r="B6466" s="141" t="s">
        <v>16940</v>
      </c>
      <c r="C6466" s="140"/>
      <c r="D6466" s="141" t="s">
        <v>9946</v>
      </c>
      <c r="E6466" s="140"/>
      <c r="F6466" s="140"/>
      <c r="G6466" s="140"/>
    </row>
    <row r="6467" spans="2:7" hidden="1">
      <c r="B6467" s="141" t="s">
        <v>16941</v>
      </c>
      <c r="C6467" s="141"/>
      <c r="D6467" s="141" t="s">
        <v>16942</v>
      </c>
      <c r="E6467" s="141"/>
      <c r="F6467" s="140"/>
      <c r="G6467" s="140"/>
    </row>
    <row r="6468" spans="2:7" hidden="1">
      <c r="B6468" s="141" t="s">
        <v>16943</v>
      </c>
      <c r="C6468" s="140"/>
      <c r="D6468" s="141" t="s">
        <v>16944</v>
      </c>
      <c r="E6468" s="140"/>
      <c r="F6468" s="140"/>
      <c r="G6468" s="140"/>
    </row>
    <row r="6469" spans="2:7" hidden="1">
      <c r="B6469" s="141" t="s">
        <v>16945</v>
      </c>
      <c r="C6469" s="140"/>
      <c r="D6469" s="141" t="s">
        <v>16946</v>
      </c>
      <c r="E6469" s="140"/>
      <c r="F6469" s="140"/>
      <c r="G6469" s="140"/>
    </row>
    <row r="6470" spans="2:7" hidden="1">
      <c r="B6470" s="141" t="s">
        <v>16947</v>
      </c>
      <c r="C6470" s="140"/>
      <c r="D6470" s="141" t="s">
        <v>16593</v>
      </c>
      <c r="E6470" s="140"/>
      <c r="F6470" s="140"/>
      <c r="G6470" s="140"/>
    </row>
    <row r="6471" spans="2:7" hidden="1">
      <c r="B6471" s="141" t="s">
        <v>16948</v>
      </c>
      <c r="C6471" s="140"/>
      <c r="D6471" s="141" t="s">
        <v>16949</v>
      </c>
      <c r="E6471" s="140"/>
      <c r="F6471" s="140"/>
      <c r="G6471" s="140"/>
    </row>
    <row r="6472" spans="2:7" hidden="1">
      <c r="B6472" s="140" t="s">
        <v>16950</v>
      </c>
      <c r="C6472" s="140"/>
      <c r="D6472" s="140" t="s">
        <v>16951</v>
      </c>
      <c r="E6472" s="140"/>
      <c r="F6472" s="140"/>
      <c r="G6472" s="140"/>
    </row>
    <row r="6473" spans="2:7" hidden="1">
      <c r="B6473" s="141" t="s">
        <v>16952</v>
      </c>
      <c r="C6473" s="140" t="s">
        <v>16953</v>
      </c>
      <c r="D6473" s="141" t="s">
        <v>16954</v>
      </c>
      <c r="E6473" s="140"/>
      <c r="F6473" s="140"/>
      <c r="G6473" s="140"/>
    </row>
    <row r="6474" spans="2:7" hidden="1">
      <c r="B6474" s="141" t="s">
        <v>16955</v>
      </c>
      <c r="C6474" s="140"/>
      <c r="D6474" s="141" t="s">
        <v>7522</v>
      </c>
      <c r="E6474" s="140"/>
      <c r="F6474" s="140"/>
      <c r="G6474" s="140"/>
    </row>
    <row r="6475" spans="2:7" hidden="1">
      <c r="B6475" s="140" t="s">
        <v>16956</v>
      </c>
      <c r="C6475" s="140"/>
      <c r="D6475" s="140" t="s">
        <v>10963</v>
      </c>
      <c r="E6475" s="142"/>
      <c r="F6475" s="142"/>
      <c r="G6475" s="140"/>
    </row>
    <row r="6476" spans="2:7" hidden="1">
      <c r="B6476" s="140" t="s">
        <v>16957</v>
      </c>
      <c r="C6476" s="140"/>
      <c r="D6476" s="140" t="s">
        <v>2018</v>
      </c>
      <c r="E6476" s="142"/>
      <c r="F6476" s="142"/>
      <c r="G6476" s="140"/>
    </row>
    <row r="6477" spans="2:7" hidden="1">
      <c r="B6477" s="140" t="s">
        <v>22188</v>
      </c>
      <c r="C6477" s="140"/>
      <c r="D6477" s="140"/>
      <c r="E6477" s="142" t="s">
        <v>22189</v>
      </c>
      <c r="F6477" s="142"/>
      <c r="G6477" s="140"/>
    </row>
    <row r="6478" spans="2:7" hidden="1">
      <c r="B6478" s="141" t="s">
        <v>16958</v>
      </c>
      <c r="C6478" s="141"/>
      <c r="D6478" s="140" t="s">
        <v>9742</v>
      </c>
      <c r="E6478" s="140"/>
      <c r="F6478" s="140"/>
      <c r="G6478" s="140"/>
    </row>
    <row r="6479" spans="2:7" hidden="1">
      <c r="B6479" s="141" t="s">
        <v>16959</v>
      </c>
      <c r="C6479" s="140"/>
      <c r="D6479" s="141" t="s">
        <v>16960</v>
      </c>
      <c r="E6479" s="140" t="s">
        <v>16961</v>
      </c>
      <c r="F6479" s="140" t="s">
        <v>16962</v>
      </c>
      <c r="G6479" s="140"/>
    </row>
    <row r="6480" spans="2:7" hidden="1">
      <c r="B6480" s="141" t="s">
        <v>16963</v>
      </c>
      <c r="C6480" s="140" t="s">
        <v>16964</v>
      </c>
      <c r="D6480" s="141" t="s">
        <v>16965</v>
      </c>
      <c r="E6480" s="140" t="s">
        <v>16966</v>
      </c>
      <c r="F6480" s="140" t="s">
        <v>16967</v>
      </c>
      <c r="G6480" s="140"/>
    </row>
    <row r="6481" spans="2:7" hidden="1">
      <c r="B6481" s="141" t="s">
        <v>16968</v>
      </c>
      <c r="C6481" s="193"/>
      <c r="D6481" s="141" t="s">
        <v>16969</v>
      </c>
      <c r="E6481" s="193" t="s">
        <v>16970</v>
      </c>
      <c r="F6481" s="193" t="s">
        <v>16971</v>
      </c>
      <c r="G6481" s="193"/>
    </row>
    <row r="6482" spans="2:7" hidden="1">
      <c r="B6482" s="141" t="s">
        <v>16972</v>
      </c>
      <c r="C6482" s="193" t="s">
        <v>16973</v>
      </c>
      <c r="D6482" s="141" t="s">
        <v>2590</v>
      </c>
      <c r="E6482" s="193" t="s">
        <v>16974</v>
      </c>
      <c r="F6482" s="193"/>
      <c r="G6482" s="193"/>
    </row>
    <row r="6483" spans="2:7" hidden="1">
      <c r="B6483" s="141" t="s">
        <v>16975</v>
      </c>
      <c r="C6483" s="193" t="s">
        <v>16976</v>
      </c>
      <c r="D6483" s="141" t="s">
        <v>2062</v>
      </c>
      <c r="E6483" s="193" t="s">
        <v>16974</v>
      </c>
      <c r="F6483" s="193"/>
      <c r="G6483" s="193"/>
    </row>
    <row r="6484" spans="2:7" hidden="1">
      <c r="B6484" s="140" t="s">
        <v>16977</v>
      </c>
      <c r="C6484" s="193"/>
      <c r="D6484" s="140" t="s">
        <v>16978</v>
      </c>
      <c r="E6484" s="195"/>
      <c r="F6484" s="195"/>
      <c r="G6484" s="193"/>
    </row>
    <row r="6485" spans="2:7" hidden="1">
      <c r="B6485" s="141" t="s">
        <v>16979</v>
      </c>
      <c r="C6485" s="193" t="s">
        <v>16980</v>
      </c>
      <c r="D6485" s="141" t="s">
        <v>2604</v>
      </c>
      <c r="E6485" s="193" t="s">
        <v>16981</v>
      </c>
      <c r="F6485" s="193" t="s">
        <v>16982</v>
      </c>
      <c r="G6485" s="193"/>
    </row>
    <row r="6486" spans="2:7" hidden="1">
      <c r="B6486" s="141" t="s">
        <v>16983</v>
      </c>
      <c r="C6486" s="193" t="s">
        <v>16984</v>
      </c>
      <c r="D6486" s="141" t="s">
        <v>16985</v>
      </c>
      <c r="E6486" s="193" t="s">
        <v>16986</v>
      </c>
      <c r="F6486" s="193"/>
      <c r="G6486" s="193"/>
    </row>
    <row r="6487" spans="2:7" hidden="1">
      <c r="B6487" s="140" t="s">
        <v>21056</v>
      </c>
      <c r="C6487" s="193" t="s">
        <v>21057</v>
      </c>
      <c r="D6487" s="140" t="s">
        <v>21058</v>
      </c>
      <c r="E6487" s="195" t="s">
        <v>21059</v>
      </c>
      <c r="F6487" s="195"/>
      <c r="G6487" s="193"/>
    </row>
    <row r="6488" spans="2:7" hidden="1">
      <c r="B6488" s="141" t="s">
        <v>16987</v>
      </c>
      <c r="C6488" s="194" t="s">
        <v>16988</v>
      </c>
      <c r="D6488" s="141" t="s">
        <v>16989</v>
      </c>
      <c r="E6488" s="194" t="s">
        <v>16990</v>
      </c>
      <c r="F6488" s="194" t="s">
        <v>16991</v>
      </c>
      <c r="G6488" s="193"/>
    </row>
    <row r="6489" spans="2:7" hidden="1">
      <c r="B6489" s="141" t="s">
        <v>16992</v>
      </c>
      <c r="C6489" s="193"/>
      <c r="D6489" s="141" t="s">
        <v>4806</v>
      </c>
      <c r="E6489" s="193"/>
      <c r="F6489" s="193"/>
      <c r="G6489" s="193"/>
    </row>
    <row r="6490" spans="2:7" hidden="1">
      <c r="B6490" s="140" t="s">
        <v>16993</v>
      </c>
      <c r="C6490" s="193" t="s">
        <v>16994</v>
      </c>
      <c r="D6490" s="140" t="s">
        <v>15091</v>
      </c>
      <c r="E6490" s="195" t="s">
        <v>16995</v>
      </c>
      <c r="F6490" s="195"/>
      <c r="G6490" s="193" t="s">
        <v>16996</v>
      </c>
    </row>
    <row r="6491" spans="2:7" hidden="1">
      <c r="B6491" s="141" t="s">
        <v>16997</v>
      </c>
      <c r="C6491" s="193"/>
      <c r="D6491" s="141" t="s">
        <v>16998</v>
      </c>
      <c r="E6491" s="193"/>
      <c r="F6491" s="193"/>
      <c r="G6491" s="193"/>
    </row>
    <row r="6492" spans="2:7" hidden="1">
      <c r="B6492" s="141" t="s">
        <v>16999</v>
      </c>
      <c r="C6492" s="194"/>
      <c r="D6492" s="141" t="s">
        <v>9103</v>
      </c>
      <c r="E6492" s="194"/>
      <c r="F6492" s="194"/>
      <c r="G6492" s="193"/>
    </row>
    <row r="6493" spans="2:7" hidden="1">
      <c r="B6493" s="141" t="s">
        <v>17000</v>
      </c>
      <c r="C6493" s="193" t="s">
        <v>17001</v>
      </c>
      <c r="D6493" s="141" t="s">
        <v>17002</v>
      </c>
      <c r="E6493" s="193" t="s">
        <v>17003</v>
      </c>
      <c r="F6493" s="193" t="s">
        <v>17004</v>
      </c>
      <c r="G6493" s="193"/>
    </row>
    <row r="6494" spans="2:7" hidden="1">
      <c r="B6494" s="140" t="s">
        <v>17005</v>
      </c>
      <c r="C6494" s="193"/>
      <c r="D6494" s="140" t="s">
        <v>13903</v>
      </c>
      <c r="E6494" s="193"/>
      <c r="F6494" s="193"/>
      <c r="G6494" s="193"/>
    </row>
    <row r="6495" spans="2:7" hidden="1">
      <c r="B6495" s="141" t="s">
        <v>17006</v>
      </c>
      <c r="C6495" s="193"/>
      <c r="D6495" s="141" t="s">
        <v>7872</v>
      </c>
      <c r="E6495" s="193"/>
      <c r="F6495" s="193"/>
      <c r="G6495" s="193"/>
    </row>
    <row r="6496" spans="2:7" hidden="1">
      <c r="B6496" s="141" t="s">
        <v>17007</v>
      </c>
      <c r="C6496" s="193"/>
      <c r="D6496" s="141" t="s">
        <v>17008</v>
      </c>
      <c r="E6496" s="193"/>
      <c r="F6496" s="193"/>
      <c r="G6496" s="193"/>
    </row>
    <row r="6497" spans="2:7" hidden="1">
      <c r="B6497" s="141" t="s">
        <v>17009</v>
      </c>
      <c r="C6497" s="193"/>
      <c r="D6497" s="141" t="s">
        <v>4716</v>
      </c>
      <c r="E6497" s="193"/>
      <c r="F6497" s="193"/>
      <c r="G6497" s="193"/>
    </row>
    <row r="6498" spans="2:7" hidden="1">
      <c r="B6498" s="141" t="s">
        <v>17010</v>
      </c>
      <c r="C6498" s="193" t="s">
        <v>17011</v>
      </c>
      <c r="D6498" s="141" t="s">
        <v>17012</v>
      </c>
      <c r="E6498" s="193" t="s">
        <v>17013</v>
      </c>
      <c r="F6498" s="193" t="s">
        <v>17014</v>
      </c>
      <c r="G6498" s="193"/>
    </row>
    <row r="6499" spans="2:7" hidden="1">
      <c r="B6499" s="141" t="s">
        <v>17015</v>
      </c>
      <c r="C6499" s="193"/>
      <c r="D6499" s="141" t="s">
        <v>8032</v>
      </c>
      <c r="E6499" s="193"/>
      <c r="F6499" s="193"/>
      <c r="G6499" s="193"/>
    </row>
    <row r="6500" spans="2:7" hidden="1">
      <c r="B6500" s="141" t="s">
        <v>17016</v>
      </c>
      <c r="C6500" s="193"/>
      <c r="D6500" s="141" t="s">
        <v>14016</v>
      </c>
      <c r="E6500" s="193"/>
      <c r="F6500" s="193"/>
      <c r="G6500" s="193"/>
    </row>
    <row r="6501" spans="2:7" hidden="1">
      <c r="B6501" s="141" t="s">
        <v>17017</v>
      </c>
      <c r="C6501" s="193"/>
      <c r="D6501" s="141" t="s">
        <v>17018</v>
      </c>
      <c r="E6501" s="193"/>
      <c r="F6501" s="193"/>
      <c r="G6501" s="193"/>
    </row>
    <row r="6502" spans="2:7" hidden="1">
      <c r="B6502" s="141" t="s">
        <v>17019</v>
      </c>
      <c r="C6502" s="193"/>
      <c r="D6502" s="141" t="s">
        <v>17020</v>
      </c>
      <c r="E6502" s="193"/>
      <c r="F6502" s="193"/>
      <c r="G6502" s="193"/>
    </row>
    <row r="6503" spans="2:7" hidden="1">
      <c r="B6503" s="141" t="s">
        <v>17021</v>
      </c>
      <c r="C6503" s="193" t="s">
        <v>17022</v>
      </c>
      <c r="D6503" s="141" t="s">
        <v>14700</v>
      </c>
      <c r="E6503" s="193" t="s">
        <v>17023</v>
      </c>
      <c r="F6503" s="193"/>
      <c r="G6503" s="193"/>
    </row>
    <row r="6504" spans="2:7" hidden="1">
      <c r="B6504" s="141" t="s">
        <v>17024</v>
      </c>
      <c r="C6504" s="193" t="s">
        <v>17025</v>
      </c>
      <c r="D6504" s="141" t="s">
        <v>17026</v>
      </c>
      <c r="E6504" s="193" t="s">
        <v>17027</v>
      </c>
      <c r="F6504" s="193"/>
      <c r="G6504" s="193"/>
    </row>
    <row r="6505" spans="2:7" hidden="1">
      <c r="B6505" s="141" t="s">
        <v>17028</v>
      </c>
      <c r="C6505" s="194" t="s">
        <v>17029</v>
      </c>
      <c r="D6505" s="141" t="s">
        <v>8470</v>
      </c>
      <c r="E6505" s="194" t="s">
        <v>17030</v>
      </c>
      <c r="F6505" s="194"/>
      <c r="G6505" s="193"/>
    </row>
    <row r="6506" spans="2:7" hidden="1">
      <c r="B6506" s="140" t="s">
        <v>17031</v>
      </c>
      <c r="C6506" s="193"/>
      <c r="D6506" s="140" t="s">
        <v>3485</v>
      </c>
      <c r="E6506" s="193"/>
      <c r="F6506" s="193"/>
      <c r="G6506" s="193"/>
    </row>
    <row r="6507" spans="2:7" hidden="1">
      <c r="B6507" s="141" t="s">
        <v>17032</v>
      </c>
      <c r="C6507" s="194"/>
      <c r="D6507" s="141" t="s">
        <v>17033</v>
      </c>
      <c r="E6507" s="194"/>
      <c r="F6507" s="193"/>
      <c r="G6507" s="193"/>
    </row>
    <row r="6508" spans="2:7" hidden="1">
      <c r="B6508" s="140" t="s">
        <v>17034</v>
      </c>
      <c r="C6508" s="193"/>
      <c r="D6508" s="140" t="s">
        <v>17035</v>
      </c>
      <c r="E6508" s="195"/>
      <c r="F6508" s="195"/>
      <c r="G6508" s="193"/>
    </row>
    <row r="6509" spans="2:7" hidden="1">
      <c r="B6509" s="140" t="s">
        <v>17036</v>
      </c>
      <c r="C6509" s="193"/>
      <c r="D6509" s="140" t="s">
        <v>4462</v>
      </c>
      <c r="E6509" s="195"/>
      <c r="F6509" s="195"/>
      <c r="G6509" s="193"/>
    </row>
    <row r="6510" spans="2:7" hidden="1">
      <c r="B6510" s="140" t="s">
        <v>17037</v>
      </c>
      <c r="C6510" s="193"/>
      <c r="D6510" s="140" t="s">
        <v>17038</v>
      </c>
      <c r="E6510" s="195"/>
      <c r="F6510" s="195"/>
      <c r="G6510" s="193"/>
    </row>
    <row r="6511" spans="2:7" hidden="1">
      <c r="B6511" s="140" t="s">
        <v>17039</v>
      </c>
      <c r="C6511" s="193"/>
      <c r="D6511" s="140" t="s">
        <v>1427</v>
      </c>
      <c r="E6511" s="195"/>
      <c r="F6511" s="195"/>
      <c r="G6511" s="193"/>
    </row>
    <row r="6512" spans="2:7" hidden="1">
      <c r="B6512" s="141" t="s">
        <v>17040</v>
      </c>
      <c r="C6512" s="193"/>
      <c r="D6512" s="141" t="s">
        <v>17041</v>
      </c>
      <c r="E6512" s="193"/>
      <c r="F6512" s="193"/>
      <c r="G6512" s="193"/>
    </row>
    <row r="6513" spans="2:7" hidden="1">
      <c r="B6513" s="141" t="s">
        <v>17042</v>
      </c>
      <c r="C6513" s="193"/>
      <c r="D6513" s="141" t="s">
        <v>17043</v>
      </c>
      <c r="E6513" s="193"/>
      <c r="F6513" s="193"/>
      <c r="G6513" s="193"/>
    </row>
    <row r="6514" spans="2:7" hidden="1">
      <c r="B6514" s="141" t="s">
        <v>17044</v>
      </c>
      <c r="C6514" s="193" t="s">
        <v>17045</v>
      </c>
      <c r="D6514" s="141" t="s">
        <v>17046</v>
      </c>
      <c r="E6514" s="193" t="s">
        <v>17047</v>
      </c>
      <c r="F6514" s="193"/>
      <c r="G6514" s="193" t="s">
        <v>15818</v>
      </c>
    </row>
    <row r="6515" spans="2:7" hidden="1">
      <c r="B6515" s="141" t="s">
        <v>17048</v>
      </c>
      <c r="C6515" s="193" t="s">
        <v>17045</v>
      </c>
      <c r="D6515" s="141" t="s">
        <v>17049</v>
      </c>
      <c r="E6515" s="193" t="s">
        <v>17047</v>
      </c>
      <c r="F6515" s="193" t="s">
        <v>17050</v>
      </c>
      <c r="G6515" s="193" t="s">
        <v>17051</v>
      </c>
    </row>
    <row r="6516" spans="2:7" hidden="1">
      <c r="B6516" s="141" t="s">
        <v>17052</v>
      </c>
      <c r="C6516" s="194"/>
      <c r="D6516" s="141" t="s">
        <v>17053</v>
      </c>
      <c r="E6516" s="193"/>
      <c r="F6516" s="193"/>
      <c r="G6516" s="193"/>
    </row>
    <row r="6517" spans="2:7" hidden="1">
      <c r="B6517" s="141" t="s">
        <v>17054</v>
      </c>
      <c r="C6517" s="193" t="s">
        <v>17055</v>
      </c>
      <c r="D6517" s="141" t="s">
        <v>15111</v>
      </c>
      <c r="E6517" s="193" t="s">
        <v>17056</v>
      </c>
      <c r="F6517" s="193" t="s">
        <v>17057</v>
      </c>
      <c r="G6517" s="193"/>
    </row>
    <row r="6518" spans="2:7" hidden="1">
      <c r="B6518" s="141" t="s">
        <v>17058</v>
      </c>
      <c r="C6518" s="193" t="s">
        <v>17059</v>
      </c>
      <c r="D6518" s="141" t="s">
        <v>17060</v>
      </c>
      <c r="E6518" s="193" t="s">
        <v>17061</v>
      </c>
      <c r="F6518" s="193" t="s">
        <v>17062</v>
      </c>
      <c r="G6518" s="193"/>
    </row>
    <row r="6519" spans="2:7" hidden="1">
      <c r="B6519" s="141" t="s">
        <v>17063</v>
      </c>
      <c r="C6519" s="193"/>
      <c r="D6519" s="141" t="s">
        <v>10155</v>
      </c>
      <c r="E6519" s="193"/>
      <c r="F6519" s="193"/>
      <c r="G6519" s="193"/>
    </row>
    <row r="6520" spans="2:7" hidden="1">
      <c r="B6520" s="141" t="s">
        <v>17064</v>
      </c>
      <c r="C6520" s="193"/>
      <c r="D6520" s="141" t="s">
        <v>15275</v>
      </c>
      <c r="E6520" s="193"/>
      <c r="F6520" s="193"/>
      <c r="G6520" s="193"/>
    </row>
    <row r="6521" spans="2:7" hidden="1">
      <c r="B6521" s="141" t="s">
        <v>17065</v>
      </c>
      <c r="C6521" s="194"/>
      <c r="D6521" s="141" t="s">
        <v>4935</v>
      </c>
      <c r="E6521" s="193"/>
      <c r="F6521" s="193"/>
      <c r="G6521" s="193"/>
    </row>
    <row r="6522" spans="2:7" hidden="1">
      <c r="B6522" s="141" t="s">
        <v>17066</v>
      </c>
      <c r="C6522" s="193"/>
      <c r="D6522" s="141" t="s">
        <v>17067</v>
      </c>
      <c r="E6522" s="193"/>
      <c r="F6522" s="193"/>
      <c r="G6522" s="193"/>
    </row>
    <row r="6523" spans="2:7" hidden="1">
      <c r="B6523" s="141" t="s">
        <v>17068</v>
      </c>
      <c r="C6523" s="193"/>
      <c r="D6523" s="141" t="s">
        <v>11737</v>
      </c>
      <c r="E6523" s="193"/>
      <c r="F6523" s="193"/>
      <c r="G6523" s="193"/>
    </row>
    <row r="6524" spans="2:7" hidden="1">
      <c r="B6524" s="141" t="s">
        <v>17069</v>
      </c>
      <c r="C6524" s="193"/>
      <c r="D6524" s="141" t="s">
        <v>10186</v>
      </c>
      <c r="E6524" s="193"/>
      <c r="F6524" s="193"/>
      <c r="G6524" s="193"/>
    </row>
    <row r="6525" spans="2:7" hidden="1">
      <c r="B6525" s="141" t="s">
        <v>17070</v>
      </c>
      <c r="C6525" s="193" t="s">
        <v>17071</v>
      </c>
      <c r="D6525" s="141" t="s">
        <v>17072</v>
      </c>
      <c r="E6525" s="193" t="s">
        <v>17073</v>
      </c>
      <c r="F6525" s="193" t="s">
        <v>17074</v>
      </c>
      <c r="G6525" s="193" t="s">
        <v>17075</v>
      </c>
    </row>
    <row r="6526" spans="2:7" hidden="1">
      <c r="B6526" s="141" t="s">
        <v>17076</v>
      </c>
      <c r="C6526" s="193"/>
      <c r="D6526" s="141" t="s">
        <v>17077</v>
      </c>
      <c r="E6526" s="193"/>
      <c r="F6526" s="193"/>
      <c r="G6526" s="193"/>
    </row>
    <row r="6527" spans="2:7" hidden="1">
      <c r="B6527" s="141" t="s">
        <v>17078</v>
      </c>
      <c r="C6527" s="193"/>
      <c r="D6527" s="141" t="s">
        <v>17079</v>
      </c>
      <c r="E6527" s="193"/>
      <c r="F6527" s="193"/>
      <c r="G6527" s="193"/>
    </row>
    <row r="6528" spans="2:7" hidden="1">
      <c r="B6528" s="141" t="s">
        <v>21971</v>
      </c>
      <c r="C6528" s="193"/>
      <c r="D6528" s="141" t="s">
        <v>15445</v>
      </c>
      <c r="E6528" s="193"/>
      <c r="F6528" s="193"/>
      <c r="G6528" s="193"/>
    </row>
    <row r="6529" spans="2:7" hidden="1">
      <c r="B6529" s="141" t="s">
        <v>17080</v>
      </c>
      <c r="C6529" s="193"/>
      <c r="D6529" s="141"/>
      <c r="E6529" s="193" t="s">
        <v>17081</v>
      </c>
      <c r="F6529" s="193" t="s">
        <v>17082</v>
      </c>
      <c r="G6529" s="193"/>
    </row>
    <row r="6530" spans="2:7" hidden="1">
      <c r="B6530" s="141" t="s">
        <v>21206</v>
      </c>
      <c r="C6530" s="193"/>
      <c r="D6530" s="141" t="s">
        <v>5496</v>
      </c>
      <c r="E6530" s="193"/>
      <c r="F6530" s="193"/>
      <c r="G6530" s="193"/>
    </row>
    <row r="6531" spans="2:7" hidden="1">
      <c r="B6531" s="140" t="s">
        <v>17083</v>
      </c>
      <c r="C6531" s="193"/>
      <c r="D6531" s="140" t="s">
        <v>17084</v>
      </c>
      <c r="E6531" s="195"/>
      <c r="F6531" s="195"/>
      <c r="G6531" s="193"/>
    </row>
    <row r="6532" spans="2:7" hidden="1">
      <c r="B6532" s="141" t="s">
        <v>17085</v>
      </c>
      <c r="C6532" s="193"/>
      <c r="D6532" s="141" t="s">
        <v>17086</v>
      </c>
      <c r="E6532" s="193"/>
      <c r="F6532" s="193"/>
      <c r="G6532" s="193"/>
    </row>
    <row r="6533" spans="2:7" hidden="1">
      <c r="B6533" s="141" t="s">
        <v>17087</v>
      </c>
      <c r="C6533" s="194"/>
      <c r="D6533" s="141" t="s">
        <v>17084</v>
      </c>
      <c r="E6533" s="194"/>
      <c r="F6533" s="193"/>
      <c r="G6533" s="193"/>
    </row>
    <row r="6534" spans="2:7" hidden="1">
      <c r="B6534" s="141" t="s">
        <v>17088</v>
      </c>
      <c r="C6534" s="193"/>
      <c r="D6534" s="141" t="s">
        <v>9324</v>
      </c>
      <c r="E6534" s="193"/>
      <c r="F6534" s="193"/>
      <c r="G6534" s="193"/>
    </row>
    <row r="6535" spans="2:7" hidden="1">
      <c r="B6535" s="141" t="s">
        <v>17089</v>
      </c>
      <c r="C6535" s="193"/>
      <c r="D6535" s="141" t="s">
        <v>2245</v>
      </c>
      <c r="E6535" s="193"/>
      <c r="F6535" s="193"/>
      <c r="G6535" s="193"/>
    </row>
    <row r="6536" spans="2:7" hidden="1">
      <c r="B6536" s="141" t="s">
        <v>17090</v>
      </c>
      <c r="C6536" s="193"/>
      <c r="D6536" s="141" t="s">
        <v>17091</v>
      </c>
      <c r="E6536" s="193"/>
      <c r="F6536" s="193"/>
      <c r="G6536" s="193"/>
    </row>
    <row r="6537" spans="2:7" hidden="1">
      <c r="B6537" s="141" t="s">
        <v>17092</v>
      </c>
      <c r="C6537" s="193" t="s">
        <v>10051</v>
      </c>
      <c r="D6537" s="141" t="s">
        <v>10052</v>
      </c>
      <c r="E6537" s="193"/>
      <c r="F6537" s="193"/>
      <c r="G6537" s="193"/>
    </row>
    <row r="6538" spans="2:7" hidden="1">
      <c r="B6538" s="141" t="s">
        <v>17093</v>
      </c>
      <c r="C6538" s="193" t="s">
        <v>17094</v>
      </c>
      <c r="D6538" s="141" t="s">
        <v>17095</v>
      </c>
      <c r="E6538" s="193"/>
      <c r="F6538" s="193"/>
      <c r="G6538" s="193"/>
    </row>
    <row r="6539" spans="2:7" hidden="1">
      <c r="B6539" s="141" t="s">
        <v>17096</v>
      </c>
      <c r="C6539" s="193"/>
      <c r="D6539" s="141" t="s">
        <v>2905</v>
      </c>
      <c r="E6539" s="193"/>
      <c r="F6539" s="193"/>
      <c r="G6539" s="193"/>
    </row>
    <row r="6540" spans="2:7" hidden="1">
      <c r="B6540" s="141" t="s">
        <v>17097</v>
      </c>
      <c r="C6540" s="193"/>
      <c r="D6540" s="141" t="s">
        <v>16334</v>
      </c>
      <c r="E6540" s="193"/>
      <c r="F6540" s="193"/>
      <c r="G6540" s="193"/>
    </row>
    <row r="6541" spans="2:7" hidden="1">
      <c r="B6541" s="140" t="s">
        <v>21972</v>
      </c>
      <c r="C6541" s="193"/>
      <c r="D6541" s="140" t="s">
        <v>17098</v>
      </c>
      <c r="E6541" s="195"/>
      <c r="F6541" s="195"/>
      <c r="G6541" s="193"/>
    </row>
    <row r="6542" spans="2:7" hidden="1">
      <c r="B6542" s="141" t="s">
        <v>17099</v>
      </c>
      <c r="C6542" s="193"/>
      <c r="D6542" s="141" t="s">
        <v>3205</v>
      </c>
      <c r="E6542" s="193"/>
      <c r="F6542" s="193"/>
      <c r="G6542" s="193"/>
    </row>
    <row r="6543" spans="2:7" hidden="1">
      <c r="B6543" s="141" t="s">
        <v>17100</v>
      </c>
      <c r="C6543" s="194"/>
      <c r="D6543" s="141" t="s">
        <v>17101</v>
      </c>
      <c r="E6543" s="194"/>
      <c r="F6543" s="194"/>
      <c r="G6543" s="193"/>
    </row>
    <row r="6544" spans="2:7" hidden="1">
      <c r="B6544" s="141" t="s">
        <v>20178</v>
      </c>
      <c r="C6544" s="193" t="s">
        <v>20179</v>
      </c>
      <c r="D6544" s="141" t="s">
        <v>20180</v>
      </c>
      <c r="E6544" s="193"/>
      <c r="F6544" s="193"/>
      <c r="G6544" s="193"/>
    </row>
    <row r="6545" spans="2:7" hidden="1">
      <c r="B6545" s="141" t="s">
        <v>20181</v>
      </c>
      <c r="C6545" s="193" t="s">
        <v>5486</v>
      </c>
      <c r="D6545" s="141" t="s">
        <v>20182</v>
      </c>
      <c r="E6545" s="193" t="s">
        <v>5853</v>
      </c>
      <c r="F6545" s="193" t="s">
        <v>5854</v>
      </c>
      <c r="G6545" s="193"/>
    </row>
    <row r="6546" spans="2:7" hidden="1">
      <c r="B6546" s="141" t="s">
        <v>20183</v>
      </c>
      <c r="C6546" s="193" t="s">
        <v>20184</v>
      </c>
      <c r="D6546" s="141" t="s">
        <v>20185</v>
      </c>
      <c r="E6546" s="193" t="s">
        <v>5853</v>
      </c>
      <c r="F6546" s="193" t="s">
        <v>5854</v>
      </c>
      <c r="G6546" s="193"/>
    </row>
    <row r="6547" spans="2:7" hidden="1">
      <c r="B6547" s="141" t="s">
        <v>20186</v>
      </c>
      <c r="C6547" s="193" t="s">
        <v>20187</v>
      </c>
      <c r="D6547" s="141" t="s">
        <v>20188</v>
      </c>
      <c r="E6547" s="193"/>
      <c r="F6547" s="193"/>
      <c r="G6547" s="193"/>
    </row>
    <row r="6548" spans="2:7" hidden="1">
      <c r="B6548" s="141" t="s">
        <v>17102</v>
      </c>
      <c r="C6548" s="193"/>
      <c r="D6548" s="141" t="s">
        <v>1810</v>
      </c>
      <c r="E6548" s="193"/>
      <c r="F6548" s="193"/>
      <c r="G6548" s="193"/>
    </row>
    <row r="6549" spans="2:7" hidden="1">
      <c r="B6549" s="141" t="s">
        <v>17103</v>
      </c>
      <c r="C6549" s="193"/>
      <c r="D6549" s="141" t="s">
        <v>3522</v>
      </c>
      <c r="E6549" s="193"/>
      <c r="F6549" s="193"/>
      <c r="G6549" s="193"/>
    </row>
    <row r="6550" spans="2:7" hidden="1">
      <c r="B6550" s="141" t="s">
        <v>21973</v>
      </c>
      <c r="C6550" s="193"/>
      <c r="D6550" s="141" t="s">
        <v>17104</v>
      </c>
      <c r="E6550" s="193"/>
      <c r="F6550" s="193"/>
      <c r="G6550" s="193"/>
    </row>
    <row r="6551" spans="2:7" hidden="1">
      <c r="B6551" s="141" t="s">
        <v>17105</v>
      </c>
      <c r="C6551" s="193"/>
      <c r="D6551" s="141" t="s">
        <v>11208</v>
      </c>
      <c r="E6551" s="193"/>
      <c r="F6551" s="193"/>
      <c r="G6551" s="193"/>
    </row>
    <row r="6552" spans="2:7" hidden="1">
      <c r="B6552" s="141" t="s">
        <v>21974</v>
      </c>
      <c r="C6552" s="193"/>
      <c r="D6552" s="141" t="s">
        <v>17106</v>
      </c>
      <c r="E6552" s="193"/>
      <c r="F6552" s="193"/>
      <c r="G6552" s="193"/>
    </row>
    <row r="6553" spans="2:7" hidden="1">
      <c r="B6553" s="141" t="s">
        <v>17107</v>
      </c>
      <c r="C6553" s="194"/>
      <c r="D6553" s="141" t="s">
        <v>9584</v>
      </c>
      <c r="E6553" s="194"/>
      <c r="F6553" s="193"/>
      <c r="G6553" s="193"/>
    </row>
    <row r="6554" spans="2:7" hidden="1">
      <c r="B6554" s="141" t="s">
        <v>17108</v>
      </c>
      <c r="C6554" s="194"/>
      <c r="D6554" s="141" t="s">
        <v>17109</v>
      </c>
      <c r="E6554" s="194"/>
      <c r="F6554" s="193"/>
      <c r="G6554" s="193"/>
    </row>
    <row r="6555" spans="2:7" hidden="1">
      <c r="B6555" s="141" t="s">
        <v>17110</v>
      </c>
      <c r="C6555" s="193"/>
      <c r="D6555" s="141" t="s">
        <v>17111</v>
      </c>
      <c r="E6555" s="193"/>
      <c r="F6555" s="193"/>
      <c r="G6555" s="193"/>
    </row>
    <row r="6556" spans="2:7" hidden="1">
      <c r="B6556" s="141" t="s">
        <v>17112</v>
      </c>
      <c r="C6556" s="194" t="s">
        <v>17113</v>
      </c>
      <c r="D6556" s="141" t="s">
        <v>2168</v>
      </c>
      <c r="E6556" s="194" t="s">
        <v>17114</v>
      </c>
      <c r="F6556" s="193" t="s">
        <v>17115</v>
      </c>
      <c r="G6556" s="193"/>
    </row>
    <row r="6557" spans="2:7" hidden="1">
      <c r="B6557" s="140" t="s">
        <v>17116</v>
      </c>
      <c r="C6557" s="193"/>
      <c r="D6557" s="140" t="s">
        <v>9308</v>
      </c>
      <c r="E6557" s="195"/>
      <c r="F6557" s="195"/>
      <c r="G6557" s="193"/>
    </row>
    <row r="6558" spans="2:7" hidden="1">
      <c r="B6558" s="141" t="s">
        <v>17117</v>
      </c>
      <c r="C6558" s="193" t="s">
        <v>9358</v>
      </c>
      <c r="D6558" s="141" t="s">
        <v>17118</v>
      </c>
      <c r="E6558" s="193" t="s">
        <v>9360</v>
      </c>
      <c r="F6558" s="193" t="s">
        <v>17119</v>
      </c>
      <c r="G6558" s="193"/>
    </row>
    <row r="6559" spans="2:7" hidden="1">
      <c r="B6559" s="141" t="s">
        <v>17120</v>
      </c>
      <c r="C6559" s="193" t="s">
        <v>17121</v>
      </c>
      <c r="D6559" s="141" t="s">
        <v>14299</v>
      </c>
      <c r="E6559" s="193" t="s">
        <v>17122</v>
      </c>
      <c r="F6559" s="193"/>
      <c r="G6559" s="193"/>
    </row>
    <row r="6560" spans="2:7" hidden="1">
      <c r="B6560" s="141" t="s">
        <v>17123</v>
      </c>
      <c r="C6560" s="193"/>
      <c r="D6560" s="141" t="s">
        <v>7403</v>
      </c>
      <c r="E6560" s="193"/>
      <c r="F6560" s="193"/>
      <c r="G6560" s="193"/>
    </row>
    <row r="6561" spans="2:7" hidden="1">
      <c r="B6561" s="140" t="s">
        <v>17124</v>
      </c>
      <c r="C6561" s="193"/>
      <c r="D6561" s="140" t="s">
        <v>9906</v>
      </c>
      <c r="E6561" s="195"/>
      <c r="F6561" s="195"/>
      <c r="G6561" s="193"/>
    </row>
    <row r="6562" spans="2:7" hidden="1">
      <c r="B6562" s="141" t="s">
        <v>17125</v>
      </c>
      <c r="C6562" s="193"/>
      <c r="D6562" s="141" t="s">
        <v>17126</v>
      </c>
      <c r="E6562" s="193"/>
      <c r="F6562" s="193"/>
      <c r="G6562" s="193"/>
    </row>
    <row r="6563" spans="2:7" hidden="1">
      <c r="B6563" s="140" t="s">
        <v>17127</v>
      </c>
      <c r="C6563" s="193"/>
      <c r="D6563" s="140" t="s">
        <v>17128</v>
      </c>
      <c r="E6563" s="195"/>
      <c r="F6563" s="195"/>
      <c r="G6563" s="193"/>
    </row>
    <row r="6564" spans="2:7" hidden="1">
      <c r="B6564" s="141" t="s">
        <v>17129</v>
      </c>
      <c r="C6564" s="194"/>
      <c r="D6564" s="141" t="s">
        <v>1654</v>
      </c>
      <c r="E6564" s="194"/>
      <c r="F6564" s="194"/>
      <c r="G6564" s="193"/>
    </row>
    <row r="6565" spans="2:7" hidden="1">
      <c r="B6565" s="141" t="s">
        <v>17130</v>
      </c>
      <c r="C6565" s="193"/>
      <c r="D6565" s="141" t="s">
        <v>4703</v>
      </c>
      <c r="E6565" s="193"/>
      <c r="F6565" s="193"/>
      <c r="G6565" s="193"/>
    </row>
    <row r="6566" spans="2:7" hidden="1">
      <c r="B6566" s="141" t="s">
        <v>17131</v>
      </c>
      <c r="C6566" s="193"/>
      <c r="D6566" s="141" t="s">
        <v>17132</v>
      </c>
      <c r="E6566" s="193"/>
      <c r="F6566" s="193"/>
      <c r="G6566" s="193"/>
    </row>
    <row r="6567" spans="2:7" hidden="1">
      <c r="B6567" s="141" t="s">
        <v>17133</v>
      </c>
      <c r="C6567" s="193"/>
      <c r="D6567" s="141" t="s">
        <v>17134</v>
      </c>
      <c r="E6567" s="193"/>
      <c r="F6567" s="193"/>
      <c r="G6567" s="193"/>
    </row>
    <row r="6568" spans="2:7" hidden="1">
      <c r="B6568" s="140" t="s">
        <v>17135</v>
      </c>
      <c r="C6568" s="193" t="s">
        <v>17136</v>
      </c>
      <c r="D6568" s="140" t="s">
        <v>17137</v>
      </c>
      <c r="E6568" s="193" t="s">
        <v>17138</v>
      </c>
      <c r="F6568" s="193" t="s">
        <v>17139</v>
      </c>
      <c r="G6568" s="193"/>
    </row>
    <row r="6569" spans="2:7" hidden="1">
      <c r="B6569" s="141" t="s">
        <v>17140</v>
      </c>
      <c r="C6569" s="193"/>
      <c r="D6569" s="141" t="s">
        <v>9278</v>
      </c>
      <c r="E6569" s="193"/>
      <c r="F6569" s="193"/>
      <c r="G6569" s="193"/>
    </row>
    <row r="6570" spans="2:7" hidden="1">
      <c r="B6570" s="141" t="s">
        <v>17141</v>
      </c>
      <c r="C6570" s="193"/>
      <c r="D6570" s="141" t="s">
        <v>17142</v>
      </c>
      <c r="E6570" s="193"/>
      <c r="F6570" s="193"/>
      <c r="G6570" s="193"/>
    </row>
    <row r="6571" spans="2:7" hidden="1">
      <c r="B6571" s="141" t="s">
        <v>17143</v>
      </c>
      <c r="C6571" s="193"/>
      <c r="D6571" s="141" t="s">
        <v>16949</v>
      </c>
      <c r="E6571" s="193"/>
      <c r="F6571" s="193"/>
      <c r="G6571" s="193"/>
    </row>
    <row r="6572" spans="2:7" hidden="1">
      <c r="B6572" s="141" t="s">
        <v>17144</v>
      </c>
      <c r="C6572" s="193"/>
      <c r="D6572" s="141" t="s">
        <v>17145</v>
      </c>
      <c r="E6572" s="193"/>
      <c r="F6572" s="193"/>
      <c r="G6572" s="193"/>
    </row>
    <row r="6573" spans="2:7" hidden="1">
      <c r="B6573" s="140" t="s">
        <v>17146</v>
      </c>
      <c r="C6573" s="193"/>
      <c r="D6573" s="140" t="s">
        <v>17147</v>
      </c>
      <c r="E6573" s="195"/>
      <c r="F6573" s="195"/>
      <c r="G6573" s="193"/>
    </row>
    <row r="6574" spans="2:7" hidden="1">
      <c r="B6574" s="141" t="s">
        <v>17148</v>
      </c>
      <c r="C6574" s="193"/>
      <c r="D6574" s="141" t="s">
        <v>17149</v>
      </c>
      <c r="E6574" s="193"/>
      <c r="F6574" s="193"/>
      <c r="G6574" s="193"/>
    </row>
    <row r="6575" spans="2:7" hidden="1">
      <c r="B6575" s="141" t="s">
        <v>17150</v>
      </c>
      <c r="C6575" s="193"/>
      <c r="D6575" s="141" t="s">
        <v>17151</v>
      </c>
      <c r="E6575" s="193"/>
      <c r="F6575" s="193"/>
      <c r="G6575" s="193"/>
    </row>
    <row r="6576" spans="2:7" hidden="1">
      <c r="B6576" s="140" t="s">
        <v>21975</v>
      </c>
      <c r="C6576" s="193" t="s">
        <v>17152</v>
      </c>
      <c r="D6576" s="140" t="s">
        <v>5243</v>
      </c>
      <c r="E6576" s="195" t="s">
        <v>17153</v>
      </c>
      <c r="F6576" s="195" t="s">
        <v>17154</v>
      </c>
      <c r="G6576" s="193"/>
    </row>
    <row r="6577" spans="2:7" hidden="1">
      <c r="B6577" s="141" t="s">
        <v>17155</v>
      </c>
      <c r="C6577" s="193"/>
      <c r="D6577" s="141" t="s">
        <v>3127</v>
      </c>
      <c r="E6577" s="193"/>
      <c r="F6577" s="193"/>
      <c r="G6577" s="193"/>
    </row>
    <row r="6578" spans="2:7" hidden="1">
      <c r="B6578" s="141" t="s">
        <v>17156</v>
      </c>
      <c r="C6578" s="193"/>
      <c r="D6578" s="141" t="s">
        <v>17157</v>
      </c>
      <c r="E6578" s="193"/>
      <c r="F6578" s="193"/>
      <c r="G6578" s="193"/>
    </row>
    <row r="6579" spans="2:7" hidden="1">
      <c r="B6579" s="141" t="s">
        <v>17158</v>
      </c>
      <c r="C6579" s="193" t="s">
        <v>17159</v>
      </c>
      <c r="D6579" s="141" t="s">
        <v>17160</v>
      </c>
      <c r="E6579" s="193"/>
      <c r="F6579" s="193"/>
      <c r="G6579" s="193"/>
    </row>
    <row r="6580" spans="2:7" hidden="1">
      <c r="B6580" s="141" t="s">
        <v>17161</v>
      </c>
      <c r="C6580" s="193"/>
      <c r="D6580" s="141" t="s">
        <v>17162</v>
      </c>
      <c r="E6580" s="193"/>
      <c r="F6580" s="193"/>
      <c r="G6580" s="193"/>
    </row>
    <row r="6581" spans="2:7" hidden="1">
      <c r="B6581" s="141" t="s">
        <v>17163</v>
      </c>
      <c r="C6581" s="193" t="s">
        <v>17164</v>
      </c>
      <c r="D6581" s="141" t="s">
        <v>7418</v>
      </c>
      <c r="E6581" s="193" t="s">
        <v>17165</v>
      </c>
      <c r="F6581" s="193" t="s">
        <v>17166</v>
      </c>
      <c r="G6581" s="193"/>
    </row>
    <row r="6582" spans="2:7" hidden="1">
      <c r="B6582" s="141" t="s">
        <v>17167</v>
      </c>
      <c r="C6582" s="194"/>
      <c r="D6582" s="141" t="s">
        <v>1022</v>
      </c>
      <c r="E6582" s="194"/>
      <c r="F6582" s="194"/>
      <c r="G6582" s="193"/>
    </row>
    <row r="6583" spans="2:7" hidden="1">
      <c r="B6583" s="141" t="s">
        <v>17168</v>
      </c>
      <c r="C6583" s="193"/>
      <c r="D6583" s="141" t="s">
        <v>2106</v>
      </c>
      <c r="E6583" s="193"/>
      <c r="F6583" s="193"/>
      <c r="G6583" s="193"/>
    </row>
    <row r="6584" spans="2:7" hidden="1">
      <c r="B6584" s="141" t="s">
        <v>17169</v>
      </c>
      <c r="C6584" s="193"/>
      <c r="D6584" s="140" t="s">
        <v>17170</v>
      </c>
      <c r="E6584" s="193"/>
      <c r="F6584" s="193"/>
      <c r="G6584" s="193"/>
    </row>
    <row r="6585" spans="2:7" hidden="1">
      <c r="B6585" s="141" t="s">
        <v>17171</v>
      </c>
      <c r="C6585" s="193"/>
      <c r="D6585" s="141" t="s">
        <v>17172</v>
      </c>
      <c r="E6585" s="193"/>
      <c r="F6585" s="193"/>
      <c r="G6585" s="193"/>
    </row>
    <row r="6586" spans="2:7" hidden="1">
      <c r="B6586" s="141" t="s">
        <v>17173</v>
      </c>
      <c r="C6586" s="193"/>
      <c r="D6586" s="141" t="s">
        <v>15371</v>
      </c>
      <c r="E6586" s="193"/>
      <c r="F6586" s="193"/>
      <c r="G6586" s="193"/>
    </row>
    <row r="6587" spans="2:7" hidden="1">
      <c r="B6587" s="141" t="s">
        <v>17174</v>
      </c>
      <c r="C6587" s="193"/>
      <c r="D6587" s="141" t="s">
        <v>2548</v>
      </c>
      <c r="E6587" s="193"/>
      <c r="F6587" s="193"/>
      <c r="G6587" s="193"/>
    </row>
    <row r="6588" spans="2:7" hidden="1">
      <c r="B6588" s="141" t="s">
        <v>17175</v>
      </c>
      <c r="C6588" s="193" t="s">
        <v>17176</v>
      </c>
      <c r="D6588" s="141" t="s">
        <v>17177</v>
      </c>
      <c r="E6588" s="193" t="s">
        <v>17178</v>
      </c>
      <c r="F6588" s="193"/>
      <c r="G6588" s="193" t="s">
        <v>17179</v>
      </c>
    </row>
    <row r="6589" spans="2:7" hidden="1">
      <c r="B6589" s="141" t="s">
        <v>17180</v>
      </c>
      <c r="C6589" s="193"/>
      <c r="D6589" s="141" t="s">
        <v>17181</v>
      </c>
      <c r="E6589" s="193"/>
      <c r="F6589" s="193"/>
      <c r="G6589" s="193"/>
    </row>
    <row r="6590" spans="2:7" hidden="1">
      <c r="B6590" s="141" t="s">
        <v>17182</v>
      </c>
      <c r="C6590" s="193"/>
      <c r="D6590" s="141" t="s">
        <v>1213</v>
      </c>
      <c r="E6590" s="193"/>
      <c r="F6590" s="193"/>
      <c r="G6590" s="193"/>
    </row>
    <row r="6591" spans="2:7" hidden="1">
      <c r="B6591" s="141" t="s">
        <v>17183</v>
      </c>
      <c r="C6591" s="194"/>
      <c r="D6591" s="141" t="s">
        <v>3841</v>
      </c>
      <c r="E6591" s="194"/>
      <c r="F6591" s="194"/>
      <c r="G6591" s="193"/>
    </row>
    <row r="6592" spans="2:7" hidden="1">
      <c r="B6592" s="141" t="s">
        <v>17184</v>
      </c>
      <c r="C6592" s="193"/>
      <c r="D6592" s="141" t="s">
        <v>17185</v>
      </c>
      <c r="E6592" s="193"/>
      <c r="F6592" s="193"/>
      <c r="G6592" s="193"/>
    </row>
    <row r="6593" spans="2:7" hidden="1">
      <c r="B6593" s="141" t="s">
        <v>17186</v>
      </c>
      <c r="C6593" s="193"/>
      <c r="D6593" s="140" t="s">
        <v>3522</v>
      </c>
      <c r="E6593" s="193"/>
      <c r="F6593" s="193"/>
      <c r="G6593" s="193"/>
    </row>
    <row r="6594" spans="2:7" hidden="1">
      <c r="B6594" s="141" t="s">
        <v>17187</v>
      </c>
      <c r="C6594" s="194"/>
      <c r="D6594" s="141" t="s">
        <v>4710</v>
      </c>
      <c r="E6594" s="194"/>
      <c r="F6594" s="194"/>
      <c r="G6594" s="193"/>
    </row>
    <row r="6595" spans="2:7" hidden="1">
      <c r="B6595" s="141" t="s">
        <v>17188</v>
      </c>
      <c r="C6595" s="193"/>
      <c r="D6595" s="141" t="s">
        <v>10631</v>
      </c>
      <c r="E6595" s="193"/>
      <c r="F6595" s="193"/>
      <c r="G6595" s="193"/>
    </row>
    <row r="6596" spans="2:7" hidden="1">
      <c r="B6596" s="141" t="s">
        <v>17191</v>
      </c>
      <c r="C6596" s="193"/>
      <c r="D6596" s="141" t="s">
        <v>17192</v>
      </c>
      <c r="E6596" s="193"/>
      <c r="F6596" s="193"/>
      <c r="G6596" s="193"/>
    </row>
    <row r="6597" spans="2:7" hidden="1">
      <c r="B6597" s="140" t="s">
        <v>21291</v>
      </c>
      <c r="C6597" s="193" t="s">
        <v>21292</v>
      </c>
      <c r="D6597" s="140" t="s">
        <v>16604</v>
      </c>
      <c r="E6597" s="195" t="s">
        <v>21293</v>
      </c>
      <c r="F6597" s="195"/>
      <c r="G6597" s="193"/>
    </row>
    <row r="6598" spans="2:7" hidden="1">
      <c r="B6598" s="141" t="s">
        <v>17193</v>
      </c>
      <c r="C6598" s="194"/>
      <c r="D6598" s="141" t="s">
        <v>17194</v>
      </c>
      <c r="E6598" s="194"/>
      <c r="F6598" s="193"/>
      <c r="G6598" s="193"/>
    </row>
    <row r="6599" spans="2:7" hidden="1">
      <c r="B6599" s="141" t="s">
        <v>17195</v>
      </c>
      <c r="C6599" s="193" t="s">
        <v>17196</v>
      </c>
      <c r="D6599" s="141" t="s">
        <v>17197</v>
      </c>
      <c r="E6599" s="193" t="s">
        <v>17198</v>
      </c>
      <c r="F6599" s="193"/>
      <c r="G6599" s="193"/>
    </row>
    <row r="6600" spans="2:7" hidden="1">
      <c r="B6600" s="141" t="s">
        <v>17199</v>
      </c>
      <c r="C6600" s="193" t="s">
        <v>17200</v>
      </c>
      <c r="D6600" s="141" t="s">
        <v>17201</v>
      </c>
      <c r="E6600" s="193"/>
      <c r="F6600" s="193"/>
      <c r="G6600" s="193" t="s">
        <v>17202</v>
      </c>
    </row>
    <row r="6601" spans="2:7" hidden="1">
      <c r="B6601" s="141" t="s">
        <v>17203</v>
      </c>
      <c r="C6601" s="193"/>
      <c r="D6601" s="141" t="s">
        <v>4522</v>
      </c>
      <c r="E6601" s="193"/>
      <c r="F6601" s="193"/>
      <c r="G6601" s="193"/>
    </row>
    <row r="6602" spans="2:7" hidden="1">
      <c r="B6602" s="141" t="s">
        <v>17204</v>
      </c>
      <c r="C6602" s="193" t="s">
        <v>17205</v>
      </c>
      <c r="D6602" s="141" t="s">
        <v>17206</v>
      </c>
      <c r="E6602" s="193" t="s">
        <v>5544</v>
      </c>
      <c r="F6602" s="193" t="s">
        <v>5545</v>
      </c>
      <c r="G6602" s="193"/>
    </row>
    <row r="6603" spans="2:7" hidden="1">
      <c r="B6603" s="141" t="s">
        <v>21977</v>
      </c>
      <c r="C6603" s="193"/>
      <c r="D6603" s="141" t="s">
        <v>2487</v>
      </c>
      <c r="E6603" s="193"/>
      <c r="F6603" s="193"/>
      <c r="G6603" s="193"/>
    </row>
    <row r="6604" spans="2:7" hidden="1">
      <c r="B6604" s="141" t="s">
        <v>17207</v>
      </c>
      <c r="C6604" s="193"/>
      <c r="D6604" s="141" t="s">
        <v>17208</v>
      </c>
      <c r="E6604" s="193"/>
      <c r="F6604" s="193"/>
      <c r="G6604" s="193"/>
    </row>
    <row r="6605" spans="2:7" hidden="1">
      <c r="B6605" s="140" t="s">
        <v>20473</v>
      </c>
      <c r="C6605" s="193" t="s">
        <v>20472</v>
      </c>
      <c r="D6605" s="140" t="s">
        <v>3055</v>
      </c>
      <c r="E6605" s="195" t="s">
        <v>20474</v>
      </c>
      <c r="F6605" s="195"/>
      <c r="G6605" s="193" t="s">
        <v>20471</v>
      </c>
    </row>
    <row r="6606" spans="2:7" hidden="1">
      <c r="B6606" s="141" t="s">
        <v>21976</v>
      </c>
      <c r="C6606" s="193" t="s">
        <v>17189</v>
      </c>
      <c r="D6606" s="141" t="s">
        <v>14200</v>
      </c>
      <c r="E6606" s="193"/>
      <c r="F6606" s="193" t="s">
        <v>17190</v>
      </c>
      <c r="G6606" s="193"/>
    </row>
    <row r="6607" spans="2:7" hidden="1">
      <c r="B6607" s="141" t="s">
        <v>17209</v>
      </c>
      <c r="C6607" s="193"/>
      <c r="D6607" s="141" t="s">
        <v>17210</v>
      </c>
      <c r="E6607" s="193"/>
      <c r="F6607" s="193"/>
      <c r="G6607" s="193"/>
    </row>
    <row r="6608" spans="2:7" hidden="1">
      <c r="B6608" s="141" t="s">
        <v>17211</v>
      </c>
      <c r="C6608" s="193"/>
      <c r="D6608" s="141" t="s">
        <v>17212</v>
      </c>
      <c r="E6608" s="193"/>
      <c r="F6608" s="193"/>
      <c r="G6608" s="193"/>
    </row>
    <row r="6609" spans="2:7" hidden="1">
      <c r="B6609" s="141" t="s">
        <v>17213</v>
      </c>
      <c r="C6609" s="193" t="s">
        <v>17214</v>
      </c>
      <c r="D6609" s="141" t="s">
        <v>17215</v>
      </c>
      <c r="E6609" s="193"/>
      <c r="F6609" s="193"/>
      <c r="G6609" s="193" t="s">
        <v>11380</v>
      </c>
    </row>
    <row r="6610" spans="2:7" hidden="1">
      <c r="B6610" s="141" t="s">
        <v>17216</v>
      </c>
      <c r="C6610" s="193" t="s">
        <v>17217</v>
      </c>
      <c r="D6610" s="141" t="s">
        <v>17218</v>
      </c>
      <c r="E6610" s="193"/>
      <c r="F6610" s="193"/>
      <c r="G6610" s="193" t="s">
        <v>17219</v>
      </c>
    </row>
    <row r="6611" spans="2:7" hidden="1">
      <c r="B6611" s="141" t="s">
        <v>17220</v>
      </c>
      <c r="C6611" s="193" t="s">
        <v>17221</v>
      </c>
      <c r="D6611" s="141" t="s">
        <v>17222</v>
      </c>
      <c r="E6611" s="193" t="s">
        <v>17223</v>
      </c>
      <c r="F6611" s="193" t="s">
        <v>17224</v>
      </c>
      <c r="G6611" s="193"/>
    </row>
    <row r="6612" spans="2:7" hidden="1">
      <c r="B6612" s="141" t="s">
        <v>17225</v>
      </c>
      <c r="C6612" s="193"/>
      <c r="D6612" s="141" t="s">
        <v>17226</v>
      </c>
      <c r="E6612" s="193"/>
      <c r="F6612" s="193"/>
      <c r="G6612" s="193"/>
    </row>
    <row r="6613" spans="2:7" hidden="1">
      <c r="B6613" s="141" t="s">
        <v>17227</v>
      </c>
      <c r="C6613" s="193" t="s">
        <v>17228</v>
      </c>
      <c r="D6613" s="141" t="s">
        <v>17229</v>
      </c>
      <c r="E6613" s="193" t="s">
        <v>17230</v>
      </c>
      <c r="F6613" s="193"/>
      <c r="G6613" s="193"/>
    </row>
    <row r="6614" spans="2:7" hidden="1">
      <c r="B6614" s="141" t="s">
        <v>17231</v>
      </c>
      <c r="C6614" s="193" t="s">
        <v>17232</v>
      </c>
      <c r="D6614" s="141" t="s">
        <v>17233</v>
      </c>
      <c r="E6614" s="193" t="s">
        <v>17234</v>
      </c>
      <c r="F6614" s="193" t="s">
        <v>17235</v>
      </c>
      <c r="G6614" s="193"/>
    </row>
    <row r="6615" spans="2:7" hidden="1">
      <c r="B6615" s="141" t="s">
        <v>21978</v>
      </c>
      <c r="C6615" s="193"/>
      <c r="D6615" s="141" t="s">
        <v>2235</v>
      </c>
      <c r="E6615" s="193"/>
      <c r="F6615" s="193"/>
      <c r="G6615" s="193"/>
    </row>
    <row r="6616" spans="2:7" hidden="1">
      <c r="B6616" s="141" t="s">
        <v>17236</v>
      </c>
      <c r="C6616" s="194"/>
      <c r="D6616" s="141" t="s">
        <v>17237</v>
      </c>
      <c r="E6616" s="194"/>
      <c r="F6616" s="193"/>
      <c r="G6616" s="193"/>
    </row>
    <row r="6617" spans="2:7" hidden="1">
      <c r="B6617" s="141" t="s">
        <v>17238</v>
      </c>
      <c r="C6617" s="193"/>
      <c r="D6617" s="141" t="s">
        <v>4327</v>
      </c>
      <c r="E6617" s="193"/>
      <c r="F6617" s="193"/>
      <c r="G6617" s="193"/>
    </row>
    <row r="6618" spans="2:7" hidden="1">
      <c r="B6618" s="141" t="s">
        <v>17239</v>
      </c>
      <c r="C6618" s="193"/>
      <c r="D6618" s="141" t="s">
        <v>6993</v>
      </c>
      <c r="E6618" s="193"/>
      <c r="F6618" s="193"/>
      <c r="G6618" s="193"/>
    </row>
    <row r="6619" spans="2:7" hidden="1">
      <c r="B6619" s="141" t="s">
        <v>17240</v>
      </c>
      <c r="C6619" s="194"/>
      <c r="D6619" s="141" t="s">
        <v>17241</v>
      </c>
      <c r="E6619" s="193"/>
      <c r="F6619" s="193"/>
      <c r="G6619" s="193"/>
    </row>
    <row r="6620" spans="2:7" hidden="1">
      <c r="B6620" s="141" t="s">
        <v>17242</v>
      </c>
      <c r="C6620" s="193"/>
      <c r="D6620" s="141" t="s">
        <v>17243</v>
      </c>
      <c r="E6620" s="193"/>
      <c r="F6620" s="193"/>
      <c r="G6620" s="193"/>
    </row>
    <row r="6621" spans="2:7" hidden="1">
      <c r="B6621" s="141" t="s">
        <v>17244</v>
      </c>
      <c r="C6621" s="193"/>
      <c r="D6621" s="141" t="s">
        <v>17245</v>
      </c>
      <c r="E6621" s="193"/>
      <c r="F6621" s="193"/>
      <c r="G6621" s="193"/>
    </row>
    <row r="6622" spans="2:7" hidden="1">
      <c r="B6622" s="140" t="s">
        <v>17246</v>
      </c>
      <c r="C6622" s="193"/>
      <c r="D6622" s="140" t="s">
        <v>17247</v>
      </c>
      <c r="E6622" s="193"/>
      <c r="F6622" s="193"/>
      <c r="G6622" s="193"/>
    </row>
    <row r="6623" spans="2:7" hidden="1">
      <c r="B6623" s="141" t="s">
        <v>17248</v>
      </c>
      <c r="C6623" s="193"/>
      <c r="D6623" s="141" t="s">
        <v>16755</v>
      </c>
      <c r="E6623" s="193"/>
      <c r="F6623" s="193"/>
      <c r="G6623" s="193"/>
    </row>
    <row r="6624" spans="2:7" hidden="1">
      <c r="B6624" s="141" t="s">
        <v>17249</v>
      </c>
      <c r="C6624" s="193"/>
      <c r="D6624" s="141" t="s">
        <v>17250</v>
      </c>
      <c r="E6624" s="193"/>
      <c r="F6624" s="193"/>
      <c r="G6624" s="193"/>
    </row>
    <row r="6625" spans="2:7" hidden="1">
      <c r="B6625" s="141" t="s">
        <v>17251</v>
      </c>
      <c r="C6625" s="193"/>
      <c r="D6625" s="141" t="s">
        <v>17252</v>
      </c>
      <c r="E6625" s="193"/>
      <c r="F6625" s="193"/>
      <c r="G6625" s="193"/>
    </row>
    <row r="6626" spans="2:7" hidden="1">
      <c r="B6626" s="141" t="s">
        <v>17253</v>
      </c>
      <c r="C6626" s="193"/>
      <c r="D6626" s="141" t="s">
        <v>17254</v>
      </c>
      <c r="E6626" s="193"/>
      <c r="F6626" s="193"/>
      <c r="G6626" s="193"/>
    </row>
    <row r="6627" spans="2:7" hidden="1">
      <c r="B6627" s="140" t="s">
        <v>17255</v>
      </c>
      <c r="C6627" s="193" t="s">
        <v>17256</v>
      </c>
      <c r="D6627" s="140" t="s">
        <v>1089</v>
      </c>
      <c r="E6627" s="193" t="s">
        <v>17257</v>
      </c>
      <c r="F6627" s="193"/>
      <c r="G6627" s="193"/>
    </row>
    <row r="6628" spans="2:7" hidden="1">
      <c r="B6628" s="141" t="s">
        <v>17258</v>
      </c>
      <c r="C6628" s="193" t="s">
        <v>17259</v>
      </c>
      <c r="D6628" s="141" t="s">
        <v>3222</v>
      </c>
      <c r="E6628" s="193" t="s">
        <v>17260</v>
      </c>
      <c r="F6628" s="193"/>
      <c r="G6628" s="193"/>
    </row>
    <row r="6629" spans="2:7" hidden="1">
      <c r="B6629" s="141" t="s">
        <v>17261</v>
      </c>
      <c r="C6629" s="193"/>
      <c r="D6629" s="141" t="s">
        <v>5582</v>
      </c>
      <c r="E6629" s="193"/>
      <c r="F6629" s="193"/>
      <c r="G6629" s="193"/>
    </row>
    <row r="6630" spans="2:7" hidden="1">
      <c r="B6630" s="141" t="s">
        <v>17262</v>
      </c>
      <c r="C6630" s="193" t="s">
        <v>17263</v>
      </c>
      <c r="D6630" s="141" t="s">
        <v>17264</v>
      </c>
      <c r="E6630" s="193"/>
      <c r="F6630" s="193"/>
      <c r="G6630" s="193"/>
    </row>
    <row r="6631" spans="2:7" hidden="1">
      <c r="B6631" s="140" t="s">
        <v>17265</v>
      </c>
      <c r="C6631" s="193"/>
      <c r="D6631" s="140" t="s">
        <v>17266</v>
      </c>
      <c r="E6631" s="193"/>
      <c r="F6631" s="193"/>
      <c r="G6631" s="193"/>
    </row>
    <row r="6632" spans="2:7" hidden="1">
      <c r="B6632" s="141" t="s">
        <v>17267</v>
      </c>
      <c r="C6632" s="193"/>
      <c r="D6632" s="141" t="s">
        <v>9210</v>
      </c>
      <c r="E6632" s="193"/>
      <c r="F6632" s="193"/>
      <c r="G6632" s="193"/>
    </row>
    <row r="6633" spans="2:7" hidden="1">
      <c r="B6633" s="141" t="s">
        <v>21979</v>
      </c>
      <c r="C6633" s="193"/>
      <c r="D6633" s="141" t="s">
        <v>6034</v>
      </c>
      <c r="E6633" s="193"/>
      <c r="F6633" s="193"/>
      <c r="G6633" s="193"/>
    </row>
    <row r="6634" spans="2:7" hidden="1">
      <c r="B6634" s="141" t="s">
        <v>17268</v>
      </c>
      <c r="C6634" s="193"/>
      <c r="D6634" s="141" t="s">
        <v>3619</v>
      </c>
      <c r="E6634" s="193"/>
      <c r="F6634" s="193"/>
      <c r="G6634" s="193"/>
    </row>
    <row r="6635" spans="2:7" hidden="1">
      <c r="B6635" s="141" t="s">
        <v>17269</v>
      </c>
      <c r="C6635" s="194" t="s">
        <v>17270</v>
      </c>
      <c r="D6635" s="141" t="s">
        <v>17271</v>
      </c>
      <c r="E6635" s="194"/>
      <c r="F6635" s="194"/>
      <c r="G6635" s="193"/>
    </row>
    <row r="6636" spans="2:7" hidden="1">
      <c r="B6636" s="141" t="s">
        <v>17272</v>
      </c>
      <c r="C6636" s="193"/>
      <c r="D6636" s="141" t="s">
        <v>9584</v>
      </c>
      <c r="E6636" s="193"/>
      <c r="F6636" s="193"/>
      <c r="G6636" s="193"/>
    </row>
    <row r="6637" spans="2:7" hidden="1">
      <c r="B6637" s="141" t="s">
        <v>17273</v>
      </c>
      <c r="C6637" s="193"/>
      <c r="D6637" s="141" t="s">
        <v>4327</v>
      </c>
      <c r="E6637" s="193"/>
      <c r="F6637" s="193"/>
      <c r="G6637" s="193"/>
    </row>
    <row r="6638" spans="2:7" hidden="1">
      <c r="B6638" s="141" t="s">
        <v>17274</v>
      </c>
      <c r="C6638" s="193" t="s">
        <v>17275</v>
      </c>
      <c r="D6638" s="141" t="s">
        <v>17276</v>
      </c>
      <c r="E6638" s="193" t="s">
        <v>17277</v>
      </c>
      <c r="F6638" s="193" t="s">
        <v>17277</v>
      </c>
      <c r="G6638" s="193"/>
    </row>
    <row r="6639" spans="2:7" hidden="1">
      <c r="B6639" s="141" t="s">
        <v>17278</v>
      </c>
      <c r="C6639" s="193"/>
      <c r="D6639" s="141" t="s">
        <v>17279</v>
      </c>
      <c r="E6639" s="193"/>
      <c r="F6639" s="193"/>
      <c r="G6639" s="193"/>
    </row>
    <row r="6640" spans="2:7" hidden="1">
      <c r="B6640" s="141" t="s">
        <v>17280</v>
      </c>
      <c r="C6640" s="193"/>
      <c r="D6640" s="141" t="s">
        <v>17281</v>
      </c>
      <c r="E6640" s="193"/>
      <c r="F6640" s="193"/>
      <c r="G6640" s="193"/>
    </row>
    <row r="6641" spans="2:7" hidden="1">
      <c r="B6641" s="140" t="s">
        <v>17282</v>
      </c>
      <c r="C6641" s="193"/>
      <c r="D6641" s="140" t="s">
        <v>4686</v>
      </c>
      <c r="E6641" s="195"/>
      <c r="F6641" s="195"/>
      <c r="G6641" s="193"/>
    </row>
    <row r="6642" spans="2:7" hidden="1">
      <c r="B6642" s="140" t="s">
        <v>17283</v>
      </c>
      <c r="C6642" s="193" t="s">
        <v>17284</v>
      </c>
      <c r="D6642" s="140" t="s">
        <v>17285</v>
      </c>
      <c r="E6642" s="195"/>
      <c r="F6642" s="195"/>
      <c r="G6642" s="193"/>
    </row>
    <row r="6643" spans="2:7" hidden="1">
      <c r="B6643" s="140" t="s">
        <v>17286</v>
      </c>
      <c r="C6643" s="193"/>
      <c r="D6643" s="140" t="s">
        <v>17287</v>
      </c>
      <c r="E6643" s="195"/>
      <c r="F6643" s="195"/>
      <c r="G6643" s="193"/>
    </row>
    <row r="6644" spans="2:7" hidden="1">
      <c r="B6644" s="141" t="s">
        <v>17288</v>
      </c>
      <c r="C6644" s="193"/>
      <c r="D6644" s="141" t="s">
        <v>17289</v>
      </c>
      <c r="E6644" s="193"/>
      <c r="F6644" s="193"/>
      <c r="G6644" s="193"/>
    </row>
    <row r="6645" spans="2:7" hidden="1">
      <c r="B6645" s="141" t="s">
        <v>17290</v>
      </c>
      <c r="C6645" s="193"/>
      <c r="D6645" s="141" t="s">
        <v>17287</v>
      </c>
      <c r="E6645" s="193"/>
      <c r="F6645" s="193"/>
      <c r="G6645" s="193"/>
    </row>
    <row r="6646" spans="2:7" hidden="1">
      <c r="B6646" s="141" t="s">
        <v>17291</v>
      </c>
      <c r="C6646" s="193" t="s">
        <v>17292</v>
      </c>
      <c r="D6646" s="141" t="s">
        <v>17293</v>
      </c>
      <c r="E6646" s="193" t="s">
        <v>17294</v>
      </c>
      <c r="F6646" s="193" t="s">
        <v>17295</v>
      </c>
      <c r="G6646" s="193"/>
    </row>
    <row r="6647" spans="2:7" hidden="1">
      <c r="B6647" s="141" t="s">
        <v>17296</v>
      </c>
      <c r="C6647" s="193"/>
      <c r="D6647" s="141" t="s">
        <v>17297</v>
      </c>
      <c r="E6647" s="193"/>
      <c r="F6647" s="193"/>
      <c r="G6647" s="193"/>
    </row>
    <row r="6648" spans="2:7" hidden="1">
      <c r="B6648" s="141" t="s">
        <v>17298</v>
      </c>
      <c r="C6648" s="194"/>
      <c r="D6648" s="141" t="s">
        <v>17299</v>
      </c>
      <c r="E6648" s="194"/>
      <c r="F6648" s="194"/>
      <c r="G6648" s="193"/>
    </row>
    <row r="6649" spans="2:7" hidden="1">
      <c r="B6649" s="141" t="s">
        <v>17300</v>
      </c>
      <c r="C6649" s="193"/>
      <c r="D6649" s="141" t="s">
        <v>17301</v>
      </c>
      <c r="E6649" s="193"/>
      <c r="F6649" s="193"/>
      <c r="G6649" s="193"/>
    </row>
    <row r="6650" spans="2:7" hidden="1">
      <c r="B6650" s="141" t="s">
        <v>17302</v>
      </c>
      <c r="C6650" s="193"/>
      <c r="D6650" s="141" t="s">
        <v>17303</v>
      </c>
      <c r="E6650" s="193"/>
      <c r="F6650" s="193"/>
      <c r="G6650" s="193"/>
    </row>
    <row r="6651" spans="2:7" hidden="1">
      <c r="B6651" s="141" t="s">
        <v>17304</v>
      </c>
      <c r="C6651" s="193"/>
      <c r="D6651" s="141" t="s">
        <v>1178</v>
      </c>
      <c r="E6651" s="193"/>
      <c r="F6651" s="193"/>
      <c r="G6651" s="193"/>
    </row>
    <row r="6652" spans="2:7" hidden="1">
      <c r="B6652" s="141" t="s">
        <v>17305</v>
      </c>
      <c r="C6652" s="193"/>
      <c r="D6652" s="141" t="s">
        <v>17306</v>
      </c>
      <c r="E6652" s="193"/>
      <c r="F6652" s="193"/>
      <c r="G6652" s="193"/>
    </row>
    <row r="6653" spans="2:7" hidden="1">
      <c r="B6653" s="141" t="s">
        <v>17307</v>
      </c>
      <c r="C6653" s="194"/>
      <c r="D6653" s="141" t="s">
        <v>17308</v>
      </c>
      <c r="E6653" s="194"/>
      <c r="F6653" s="193"/>
      <c r="G6653" s="193"/>
    </row>
    <row r="6654" spans="2:7" hidden="1">
      <c r="B6654" s="141" t="s">
        <v>21980</v>
      </c>
      <c r="C6654" s="193"/>
      <c r="D6654" s="141" t="s">
        <v>1006</v>
      </c>
      <c r="E6654" s="193"/>
      <c r="F6654" s="193"/>
      <c r="G6654" s="193"/>
    </row>
    <row r="6655" spans="2:7" hidden="1">
      <c r="B6655" s="140" t="s">
        <v>17309</v>
      </c>
      <c r="C6655" s="193" t="s">
        <v>17310</v>
      </c>
      <c r="D6655" s="140" t="s">
        <v>1395</v>
      </c>
      <c r="E6655" s="195" t="s">
        <v>17311</v>
      </c>
      <c r="F6655" s="195" t="s">
        <v>17312</v>
      </c>
      <c r="G6655" s="193"/>
    </row>
    <row r="6656" spans="2:7" hidden="1">
      <c r="B6656" s="141" t="s">
        <v>17313</v>
      </c>
      <c r="C6656" s="193"/>
      <c r="D6656" s="141" t="s">
        <v>17314</v>
      </c>
      <c r="E6656" s="193"/>
      <c r="F6656" s="193"/>
      <c r="G6656" s="193"/>
    </row>
    <row r="6657" spans="2:7" hidden="1">
      <c r="B6657" s="140" t="s">
        <v>17315</v>
      </c>
      <c r="C6657" s="193"/>
      <c r="D6657" s="140" t="s">
        <v>17316</v>
      </c>
      <c r="E6657" s="195"/>
      <c r="F6657" s="195"/>
      <c r="G6657" s="193"/>
    </row>
    <row r="6658" spans="2:7" hidden="1">
      <c r="B6658" s="141" t="s">
        <v>17317</v>
      </c>
      <c r="C6658" s="193"/>
      <c r="D6658" s="141" t="s">
        <v>17318</v>
      </c>
      <c r="E6658" s="193"/>
      <c r="F6658" s="193"/>
      <c r="G6658" s="193"/>
    </row>
    <row r="6659" spans="2:7" hidden="1">
      <c r="B6659" s="141" t="s">
        <v>21981</v>
      </c>
      <c r="C6659" s="193"/>
      <c r="D6659" s="141" t="s">
        <v>3834</v>
      </c>
      <c r="E6659" s="193"/>
      <c r="F6659" s="193"/>
      <c r="G6659" s="193"/>
    </row>
    <row r="6660" spans="2:7" hidden="1">
      <c r="B6660" s="141" t="s">
        <v>17319</v>
      </c>
      <c r="C6660" s="193"/>
      <c r="D6660" s="141" t="s">
        <v>17320</v>
      </c>
      <c r="E6660" s="193"/>
      <c r="F6660" s="193"/>
      <c r="G6660" s="193"/>
    </row>
    <row r="6661" spans="2:7" hidden="1">
      <c r="B6661" s="141" t="s">
        <v>17321</v>
      </c>
      <c r="C6661" s="193"/>
      <c r="D6661" s="141" t="s">
        <v>17322</v>
      </c>
      <c r="E6661" s="193"/>
      <c r="F6661" s="193"/>
      <c r="G6661" s="193"/>
    </row>
    <row r="6662" spans="2:7" hidden="1">
      <c r="B6662" s="141" t="s">
        <v>17323</v>
      </c>
      <c r="C6662" s="194"/>
      <c r="D6662" s="141" t="s">
        <v>7406</v>
      </c>
      <c r="E6662" s="194"/>
      <c r="F6662" s="193"/>
      <c r="G6662" s="193"/>
    </row>
    <row r="6663" spans="2:7" hidden="1">
      <c r="B6663" s="141" t="s">
        <v>17324</v>
      </c>
      <c r="C6663" s="193" t="s">
        <v>17325</v>
      </c>
      <c r="D6663" s="141" t="s">
        <v>17326</v>
      </c>
      <c r="E6663" s="193"/>
      <c r="F6663" s="193"/>
      <c r="G6663" s="193" t="s">
        <v>17327</v>
      </c>
    </row>
    <row r="6664" spans="2:7" hidden="1">
      <c r="B6664" s="140" t="s">
        <v>17328</v>
      </c>
      <c r="C6664" s="193"/>
      <c r="D6664" s="140" t="s">
        <v>1178</v>
      </c>
      <c r="E6664" s="195"/>
      <c r="F6664" s="195"/>
      <c r="G6664" s="193"/>
    </row>
    <row r="6665" spans="2:7" hidden="1">
      <c r="B6665" s="141" t="s">
        <v>17329</v>
      </c>
      <c r="C6665" s="193" t="s">
        <v>17330</v>
      </c>
      <c r="D6665" s="141" t="s">
        <v>2168</v>
      </c>
      <c r="E6665" s="193" t="s">
        <v>17331</v>
      </c>
      <c r="F6665" s="193" t="s">
        <v>17332</v>
      </c>
      <c r="G6665" s="193"/>
    </row>
    <row r="6666" spans="2:7" hidden="1">
      <c r="B6666" s="140" t="s">
        <v>21982</v>
      </c>
      <c r="C6666" s="193" t="s">
        <v>17333</v>
      </c>
      <c r="D6666" s="140" t="s">
        <v>17334</v>
      </c>
      <c r="E6666" s="195" t="s">
        <v>17335</v>
      </c>
      <c r="F6666" s="195" t="s">
        <v>17336</v>
      </c>
      <c r="G6666" s="193"/>
    </row>
    <row r="6667" spans="2:7" hidden="1">
      <c r="B6667" s="141" t="s">
        <v>21983</v>
      </c>
      <c r="C6667" s="193" t="s">
        <v>17337</v>
      </c>
      <c r="D6667" s="141" t="s">
        <v>3513</v>
      </c>
      <c r="E6667" s="193" t="s">
        <v>17338</v>
      </c>
      <c r="F6667" s="193" t="s">
        <v>17339</v>
      </c>
      <c r="G6667" s="193"/>
    </row>
    <row r="6668" spans="2:7" hidden="1">
      <c r="B6668" s="141" t="s">
        <v>21984</v>
      </c>
      <c r="C6668" s="193" t="s">
        <v>17340</v>
      </c>
      <c r="D6668" s="141" t="s">
        <v>17341</v>
      </c>
      <c r="E6668" s="193"/>
      <c r="F6668" s="193"/>
      <c r="G6668" s="193" t="s">
        <v>17342</v>
      </c>
    </row>
    <row r="6669" spans="2:7" hidden="1">
      <c r="B6669" s="141" t="s">
        <v>17343</v>
      </c>
      <c r="C6669" s="193"/>
      <c r="D6669" s="141" t="s">
        <v>17344</v>
      </c>
      <c r="E6669" s="193"/>
      <c r="F6669" s="193"/>
      <c r="G6669" s="193"/>
    </row>
    <row r="6670" spans="2:7" hidden="1">
      <c r="B6670" s="140" t="s">
        <v>17345</v>
      </c>
      <c r="C6670" s="193"/>
      <c r="D6670" s="140" t="s">
        <v>17346</v>
      </c>
      <c r="E6670" s="193"/>
      <c r="F6670" s="193"/>
      <c r="G6670" s="193"/>
    </row>
    <row r="6671" spans="2:7" hidden="1">
      <c r="B6671" s="141" t="s">
        <v>17347</v>
      </c>
      <c r="C6671" s="193"/>
      <c r="D6671" s="141" t="s">
        <v>3336</v>
      </c>
      <c r="E6671" s="193"/>
      <c r="F6671" s="193"/>
      <c r="G6671" s="193"/>
    </row>
    <row r="6672" spans="2:7" hidden="1">
      <c r="B6672" s="141" t="s">
        <v>21985</v>
      </c>
      <c r="C6672" s="193"/>
      <c r="D6672" s="141" t="s">
        <v>17348</v>
      </c>
      <c r="E6672" s="193"/>
      <c r="F6672" s="193"/>
      <c r="G6672" s="193"/>
    </row>
    <row r="6673" spans="2:7" hidden="1">
      <c r="B6673" s="141" t="s">
        <v>17349</v>
      </c>
      <c r="C6673" s="193"/>
      <c r="D6673" s="141" t="s">
        <v>3921</v>
      </c>
      <c r="E6673" s="193"/>
      <c r="F6673" s="193"/>
      <c r="G6673" s="193"/>
    </row>
    <row r="6674" spans="2:7" hidden="1">
      <c r="B6674" s="141" t="s">
        <v>17350</v>
      </c>
      <c r="C6674" s="193"/>
      <c r="D6674" s="141" t="s">
        <v>4315</v>
      </c>
      <c r="E6674" s="193"/>
      <c r="F6674" s="193"/>
      <c r="G6674" s="193"/>
    </row>
    <row r="6675" spans="2:7" hidden="1">
      <c r="B6675" s="141" t="s">
        <v>17351</v>
      </c>
      <c r="C6675" s="193"/>
      <c r="D6675" s="141" t="s">
        <v>3245</v>
      </c>
      <c r="E6675" s="193"/>
      <c r="F6675" s="193"/>
      <c r="G6675" s="193"/>
    </row>
    <row r="6676" spans="2:7" hidden="1">
      <c r="B6676" s="141" t="s">
        <v>17352</v>
      </c>
      <c r="C6676" s="193"/>
      <c r="D6676" s="141" t="s">
        <v>17353</v>
      </c>
      <c r="E6676" s="193"/>
      <c r="F6676" s="193"/>
      <c r="G6676" s="193"/>
    </row>
    <row r="6677" spans="2:7" hidden="1">
      <c r="B6677" s="141" t="s">
        <v>17354</v>
      </c>
      <c r="C6677" s="193"/>
      <c r="D6677" s="141" t="s">
        <v>17355</v>
      </c>
      <c r="E6677" s="193"/>
      <c r="F6677" s="193"/>
      <c r="G6677" s="193"/>
    </row>
    <row r="6678" spans="2:7" hidden="1">
      <c r="B6678" s="140" t="s">
        <v>17356</v>
      </c>
      <c r="C6678" s="193" t="s">
        <v>17357</v>
      </c>
      <c r="D6678" s="140" t="s">
        <v>17358</v>
      </c>
      <c r="E6678" s="195"/>
      <c r="F6678" s="195"/>
      <c r="G6678" s="193"/>
    </row>
    <row r="6679" spans="2:7" hidden="1">
      <c r="B6679" s="141" t="s">
        <v>17359</v>
      </c>
      <c r="C6679" s="193" t="s">
        <v>17360</v>
      </c>
      <c r="D6679" s="141" t="s">
        <v>17361</v>
      </c>
      <c r="E6679" s="193" t="s">
        <v>17362</v>
      </c>
      <c r="F6679" s="193" t="s">
        <v>17363</v>
      </c>
      <c r="G6679" s="193"/>
    </row>
    <row r="6680" spans="2:7" hidden="1">
      <c r="B6680" s="141" t="s">
        <v>17364</v>
      </c>
      <c r="C6680" s="194" t="s">
        <v>17365</v>
      </c>
      <c r="D6680" s="141" t="s">
        <v>4152</v>
      </c>
      <c r="E6680" s="194" t="s">
        <v>17366</v>
      </c>
      <c r="F6680" s="194"/>
      <c r="G6680" s="193"/>
    </row>
    <row r="6681" spans="2:7" hidden="1">
      <c r="B6681" s="141" t="s">
        <v>17367</v>
      </c>
      <c r="C6681" s="194" t="s">
        <v>17368</v>
      </c>
      <c r="D6681" s="141" t="s">
        <v>17369</v>
      </c>
      <c r="E6681" s="194"/>
      <c r="F6681" s="194"/>
      <c r="G6681" s="193"/>
    </row>
    <row r="6682" spans="2:7" hidden="1">
      <c r="B6682" s="141" t="s">
        <v>17370</v>
      </c>
      <c r="C6682" s="193" t="s">
        <v>17371</v>
      </c>
      <c r="D6682" s="141" t="s">
        <v>4614</v>
      </c>
      <c r="E6682" s="193" t="s">
        <v>17372</v>
      </c>
      <c r="F6682" s="193" t="s">
        <v>17373</v>
      </c>
      <c r="G6682" s="193"/>
    </row>
    <row r="6683" spans="2:7" hidden="1">
      <c r="B6683" s="141" t="s">
        <v>17374</v>
      </c>
      <c r="C6683" s="193" t="s">
        <v>17375</v>
      </c>
      <c r="D6683" s="141" t="s">
        <v>2278</v>
      </c>
      <c r="E6683" s="193" t="s">
        <v>17376</v>
      </c>
      <c r="F6683" s="193" t="s">
        <v>17377</v>
      </c>
      <c r="G6683" s="193"/>
    </row>
    <row r="6684" spans="2:7" hidden="1">
      <c r="B6684" s="140" t="s">
        <v>17378</v>
      </c>
      <c r="C6684" s="193" t="s">
        <v>17379</v>
      </c>
      <c r="D6684" s="140" t="s">
        <v>17380</v>
      </c>
      <c r="E6684" s="195" t="s">
        <v>17381</v>
      </c>
      <c r="F6684" s="195" t="s">
        <v>17382</v>
      </c>
      <c r="G6684" s="193"/>
    </row>
    <row r="6685" spans="2:7" hidden="1">
      <c r="B6685" s="140" t="s">
        <v>17383</v>
      </c>
      <c r="C6685" s="193" t="s">
        <v>17384</v>
      </c>
      <c r="D6685" s="140" t="s">
        <v>17385</v>
      </c>
      <c r="E6685" s="195"/>
      <c r="F6685" s="195"/>
      <c r="G6685" s="193"/>
    </row>
    <row r="6686" spans="2:7" hidden="1">
      <c r="B6686" s="141" t="s">
        <v>17386</v>
      </c>
      <c r="C6686" s="193" t="s">
        <v>17387</v>
      </c>
      <c r="D6686" s="141" t="s">
        <v>17388</v>
      </c>
      <c r="E6686" s="193"/>
      <c r="F6686" s="193"/>
      <c r="G6686" s="193"/>
    </row>
    <row r="6687" spans="2:7" hidden="1">
      <c r="B6687" s="141" t="s">
        <v>17389</v>
      </c>
      <c r="C6687" s="193" t="s">
        <v>17390</v>
      </c>
      <c r="D6687" s="141" t="s">
        <v>11185</v>
      </c>
      <c r="E6687" s="193" t="s">
        <v>17391</v>
      </c>
      <c r="F6687" s="193" t="s">
        <v>17392</v>
      </c>
      <c r="G6687" s="193"/>
    </row>
    <row r="6688" spans="2:7" hidden="1">
      <c r="B6688" s="141" t="s">
        <v>17393</v>
      </c>
      <c r="C6688" s="193" t="s">
        <v>17394</v>
      </c>
      <c r="D6688" s="141" t="s">
        <v>4614</v>
      </c>
      <c r="E6688" s="193" t="s">
        <v>17395</v>
      </c>
      <c r="F6688" s="193" t="s">
        <v>17396</v>
      </c>
      <c r="G6688" s="193"/>
    </row>
    <row r="6689" spans="2:7" hidden="1">
      <c r="B6689" s="141" t="s">
        <v>17397</v>
      </c>
      <c r="C6689" s="193"/>
      <c r="D6689" s="141" t="s">
        <v>17398</v>
      </c>
      <c r="E6689" s="193"/>
      <c r="F6689" s="193"/>
      <c r="G6689" s="193"/>
    </row>
    <row r="6690" spans="2:7" hidden="1">
      <c r="B6690" s="141" t="s">
        <v>17399</v>
      </c>
      <c r="C6690" s="193"/>
      <c r="D6690" s="141" t="s">
        <v>17400</v>
      </c>
      <c r="E6690" s="193"/>
      <c r="F6690" s="193"/>
      <c r="G6690" s="193"/>
    </row>
    <row r="6691" spans="2:7" hidden="1">
      <c r="B6691" s="141" t="s">
        <v>17401</v>
      </c>
      <c r="C6691" s="193"/>
      <c r="D6691" s="141" t="s">
        <v>15281</v>
      </c>
      <c r="E6691" s="193"/>
      <c r="F6691" s="193"/>
      <c r="G6691" s="193"/>
    </row>
    <row r="6692" spans="2:7" hidden="1">
      <c r="B6692" s="141" t="s">
        <v>17402</v>
      </c>
      <c r="C6692" s="193"/>
      <c r="D6692" s="141" t="s">
        <v>17403</v>
      </c>
      <c r="E6692" s="193"/>
      <c r="F6692" s="193"/>
      <c r="G6692" s="193"/>
    </row>
    <row r="6693" spans="2:7" hidden="1">
      <c r="B6693" s="141" t="s">
        <v>17404</v>
      </c>
      <c r="C6693" s="193"/>
      <c r="D6693" s="141" t="s">
        <v>17405</v>
      </c>
      <c r="E6693" s="193"/>
      <c r="F6693" s="193"/>
      <c r="G6693" s="193"/>
    </row>
    <row r="6694" spans="2:7" hidden="1">
      <c r="B6694" s="141" t="s">
        <v>17406</v>
      </c>
      <c r="C6694" s="193"/>
      <c r="D6694" s="141" t="s">
        <v>9584</v>
      </c>
      <c r="E6694" s="193"/>
      <c r="F6694" s="193"/>
      <c r="G6694" s="193"/>
    </row>
    <row r="6695" spans="2:7" hidden="1">
      <c r="B6695" s="141" t="s">
        <v>17407</v>
      </c>
      <c r="C6695" s="193"/>
      <c r="D6695" s="141" t="s">
        <v>6812</v>
      </c>
      <c r="E6695" s="193"/>
      <c r="F6695" s="193"/>
      <c r="G6695" s="193"/>
    </row>
    <row r="6696" spans="2:7" hidden="1">
      <c r="B6696" s="141" t="s">
        <v>17408</v>
      </c>
      <c r="C6696" s="193" t="s">
        <v>17409</v>
      </c>
      <c r="D6696" s="141" t="s">
        <v>17410</v>
      </c>
      <c r="E6696" s="193" t="s">
        <v>17411</v>
      </c>
      <c r="F6696" s="193" t="s">
        <v>17412</v>
      </c>
      <c r="G6696" s="193"/>
    </row>
    <row r="6697" spans="2:7" hidden="1">
      <c r="B6697" s="141" t="s">
        <v>17413</v>
      </c>
      <c r="C6697" s="193"/>
      <c r="D6697" s="141" t="s">
        <v>1921</v>
      </c>
      <c r="E6697" s="193"/>
      <c r="F6697" s="193"/>
      <c r="G6697" s="193"/>
    </row>
    <row r="6698" spans="2:7" hidden="1">
      <c r="B6698" s="141" t="s">
        <v>17414</v>
      </c>
      <c r="C6698" s="193"/>
      <c r="D6698" s="141" t="s">
        <v>17415</v>
      </c>
      <c r="E6698" s="193"/>
      <c r="F6698" s="193"/>
      <c r="G6698" s="193"/>
    </row>
    <row r="6699" spans="2:7" hidden="1">
      <c r="B6699" s="140" t="s">
        <v>17416</v>
      </c>
      <c r="C6699" s="193"/>
      <c r="D6699" s="140" t="s">
        <v>17417</v>
      </c>
      <c r="E6699" s="195"/>
      <c r="F6699" s="195"/>
      <c r="G6699" s="193"/>
    </row>
    <row r="6700" spans="2:7" hidden="1">
      <c r="B6700" s="141" t="s">
        <v>17418</v>
      </c>
      <c r="C6700" s="193"/>
      <c r="D6700" s="141" t="s">
        <v>998</v>
      </c>
      <c r="E6700" s="193"/>
      <c r="F6700" s="193"/>
      <c r="G6700" s="193"/>
    </row>
    <row r="6701" spans="2:7" hidden="1">
      <c r="B6701" s="141" t="s">
        <v>17419</v>
      </c>
      <c r="C6701" s="194"/>
      <c r="D6701" s="141" t="s">
        <v>4098</v>
      </c>
      <c r="E6701" s="194"/>
      <c r="F6701" s="193"/>
      <c r="G6701" s="193"/>
    </row>
    <row r="6702" spans="2:7" hidden="1">
      <c r="B6702" s="141" t="s">
        <v>17420</v>
      </c>
      <c r="C6702" s="194"/>
      <c r="D6702" s="141" t="s">
        <v>16174</v>
      </c>
      <c r="E6702" s="194"/>
      <c r="F6702" s="194"/>
      <c r="G6702" s="193"/>
    </row>
    <row r="6703" spans="2:7" hidden="1">
      <c r="B6703" s="141" t="s">
        <v>21986</v>
      </c>
      <c r="C6703" s="194" t="s">
        <v>17421</v>
      </c>
      <c r="D6703" s="141" t="s">
        <v>16174</v>
      </c>
      <c r="E6703" s="194"/>
      <c r="F6703" s="194"/>
      <c r="G6703" s="193"/>
    </row>
    <row r="6704" spans="2:7" hidden="1">
      <c r="B6704" s="141" t="s">
        <v>17422</v>
      </c>
      <c r="C6704" s="193"/>
      <c r="D6704" s="141" t="s">
        <v>9831</v>
      </c>
      <c r="E6704" s="193"/>
      <c r="F6704" s="193"/>
      <c r="G6704" s="193"/>
    </row>
    <row r="6705" spans="2:7" hidden="1">
      <c r="B6705" s="141" t="s">
        <v>17423</v>
      </c>
      <c r="C6705" s="194" t="s">
        <v>17424</v>
      </c>
      <c r="D6705" s="141" t="s">
        <v>17425</v>
      </c>
      <c r="E6705" s="193"/>
      <c r="F6705" s="193"/>
      <c r="G6705" s="193"/>
    </row>
    <row r="6706" spans="2:7" hidden="1">
      <c r="B6706" s="141" t="s">
        <v>17426</v>
      </c>
      <c r="C6706" s="194"/>
      <c r="D6706" s="141" t="s">
        <v>17427</v>
      </c>
      <c r="E6706" s="194"/>
      <c r="F6706" s="193"/>
      <c r="G6706" s="193"/>
    </row>
    <row r="6707" spans="2:7" hidden="1">
      <c r="B6707" s="141" t="s">
        <v>17428</v>
      </c>
      <c r="C6707" s="193" t="s">
        <v>17429</v>
      </c>
      <c r="D6707" s="141" t="s">
        <v>13484</v>
      </c>
      <c r="E6707" s="193"/>
      <c r="F6707" s="193"/>
      <c r="G6707" s="193" t="s">
        <v>11816</v>
      </c>
    </row>
    <row r="6708" spans="2:7" hidden="1">
      <c r="B6708" s="141" t="s">
        <v>17430</v>
      </c>
      <c r="C6708" s="194"/>
      <c r="D6708" s="141" t="s">
        <v>2727</v>
      </c>
      <c r="E6708" s="194"/>
      <c r="F6708" s="193"/>
      <c r="G6708" s="193"/>
    </row>
    <row r="6709" spans="2:7" hidden="1">
      <c r="B6709" s="141" t="s">
        <v>17431</v>
      </c>
      <c r="C6709" s="193"/>
      <c r="D6709" s="141" t="s">
        <v>17432</v>
      </c>
      <c r="E6709" s="193"/>
      <c r="F6709" s="193"/>
      <c r="G6709" s="193"/>
    </row>
    <row r="6710" spans="2:7" hidden="1">
      <c r="B6710" s="141" t="s">
        <v>17433</v>
      </c>
      <c r="C6710" s="193"/>
      <c r="D6710" s="141" t="s">
        <v>17434</v>
      </c>
      <c r="E6710" s="193"/>
      <c r="F6710" s="193"/>
      <c r="G6710" s="193"/>
    </row>
    <row r="6711" spans="2:7" hidden="1">
      <c r="B6711" s="141" t="s">
        <v>17435</v>
      </c>
      <c r="C6711" s="194" t="s">
        <v>17436</v>
      </c>
      <c r="D6711" s="141" t="s">
        <v>12657</v>
      </c>
      <c r="E6711" s="194"/>
      <c r="F6711" s="194"/>
      <c r="G6711" s="193"/>
    </row>
    <row r="6712" spans="2:7" hidden="1">
      <c r="B6712" s="140" t="s">
        <v>17437</v>
      </c>
      <c r="C6712" s="193"/>
      <c r="D6712" s="140" t="s">
        <v>5091</v>
      </c>
      <c r="E6712" s="195"/>
      <c r="F6712" s="195"/>
      <c r="G6712" s="193"/>
    </row>
    <row r="6713" spans="2:7" hidden="1">
      <c r="B6713" s="140" t="s">
        <v>17438</v>
      </c>
      <c r="C6713" s="194" t="s">
        <v>17439</v>
      </c>
      <c r="D6713" s="141" t="s">
        <v>17440</v>
      </c>
      <c r="E6713" s="194" t="s">
        <v>17441</v>
      </c>
      <c r="F6713" s="194"/>
      <c r="G6713" s="193"/>
    </row>
    <row r="6714" spans="2:7" hidden="1">
      <c r="B6714" s="141" t="s">
        <v>17442</v>
      </c>
      <c r="C6714" s="193"/>
      <c r="D6714" s="141" t="s">
        <v>17443</v>
      </c>
      <c r="E6714" s="193"/>
      <c r="F6714" s="193"/>
      <c r="G6714" s="193"/>
    </row>
    <row r="6715" spans="2:7" hidden="1">
      <c r="B6715" s="141" t="s">
        <v>17444</v>
      </c>
      <c r="C6715" s="193"/>
      <c r="D6715" s="141" t="s">
        <v>17445</v>
      </c>
      <c r="E6715" s="193"/>
      <c r="F6715" s="193"/>
      <c r="G6715" s="193"/>
    </row>
    <row r="6716" spans="2:7" hidden="1">
      <c r="B6716" s="141" t="s">
        <v>17446</v>
      </c>
      <c r="C6716" s="193"/>
      <c r="D6716" s="140" t="s">
        <v>17447</v>
      </c>
      <c r="E6716" s="193"/>
      <c r="F6716" s="193"/>
      <c r="G6716" s="193"/>
    </row>
    <row r="6717" spans="2:7" hidden="1">
      <c r="B6717" s="141" t="s">
        <v>17448</v>
      </c>
      <c r="C6717" s="193"/>
      <c r="D6717" s="141" t="s">
        <v>5243</v>
      </c>
      <c r="E6717" s="193"/>
      <c r="F6717" s="193"/>
      <c r="G6717" s="193"/>
    </row>
    <row r="6718" spans="2:7" hidden="1">
      <c r="B6718" s="141" t="s">
        <v>17449</v>
      </c>
      <c r="C6718" s="193"/>
      <c r="D6718" s="141" t="s">
        <v>17450</v>
      </c>
      <c r="E6718" s="193"/>
      <c r="F6718" s="193"/>
      <c r="G6718" s="193"/>
    </row>
    <row r="6719" spans="2:7" hidden="1">
      <c r="B6719" s="140" t="s">
        <v>17451</v>
      </c>
      <c r="C6719" s="193" t="s">
        <v>17452</v>
      </c>
      <c r="D6719" s="140" t="s">
        <v>6479</v>
      </c>
      <c r="E6719" s="195" t="s">
        <v>17453</v>
      </c>
      <c r="F6719" s="195" t="s">
        <v>17454</v>
      </c>
      <c r="G6719" s="193"/>
    </row>
    <row r="6720" spans="2:7" hidden="1">
      <c r="B6720" s="140" t="s">
        <v>17455</v>
      </c>
      <c r="C6720" s="193" t="s">
        <v>17456</v>
      </c>
      <c r="D6720" s="140" t="s">
        <v>17380</v>
      </c>
      <c r="E6720" s="195" t="s">
        <v>17457</v>
      </c>
      <c r="F6720" s="195" t="s">
        <v>17458</v>
      </c>
      <c r="G6720" s="193"/>
    </row>
    <row r="6721" spans="2:7" hidden="1">
      <c r="B6721" s="141" t="s">
        <v>17459</v>
      </c>
      <c r="C6721" s="193"/>
      <c r="D6721" s="141" t="s">
        <v>17460</v>
      </c>
      <c r="E6721" s="193"/>
      <c r="F6721" s="193"/>
      <c r="G6721" s="193"/>
    </row>
    <row r="6722" spans="2:7" hidden="1">
      <c r="B6722" s="141" t="s">
        <v>17461</v>
      </c>
      <c r="C6722" s="194"/>
      <c r="D6722" s="141" t="s">
        <v>17462</v>
      </c>
      <c r="E6722" s="194"/>
      <c r="F6722" s="194"/>
      <c r="G6722" s="193"/>
    </row>
    <row r="6723" spans="2:7" hidden="1">
      <c r="B6723" s="141" t="s">
        <v>17463</v>
      </c>
      <c r="C6723" s="194" t="s">
        <v>21987</v>
      </c>
      <c r="D6723" s="141" t="s">
        <v>17464</v>
      </c>
      <c r="E6723" s="193" t="s">
        <v>17465</v>
      </c>
      <c r="F6723" s="193"/>
      <c r="G6723" s="193"/>
    </row>
    <row r="6724" spans="2:7" hidden="1">
      <c r="B6724" s="141" t="s">
        <v>17466</v>
      </c>
      <c r="C6724" s="193"/>
      <c r="D6724" s="141" t="s">
        <v>17467</v>
      </c>
      <c r="E6724" s="193"/>
      <c r="F6724" s="193"/>
      <c r="G6724" s="193"/>
    </row>
    <row r="6725" spans="2:7" hidden="1">
      <c r="B6725" s="140" t="s">
        <v>17468</v>
      </c>
      <c r="C6725" s="193"/>
      <c r="D6725" s="140" t="s">
        <v>9978</v>
      </c>
      <c r="E6725" s="193"/>
      <c r="F6725" s="193"/>
      <c r="G6725" s="193"/>
    </row>
    <row r="6726" spans="2:7" hidden="1">
      <c r="B6726" s="141" t="s">
        <v>17469</v>
      </c>
      <c r="C6726" s="193"/>
      <c r="D6726" s="141" t="s">
        <v>17470</v>
      </c>
      <c r="E6726" s="193"/>
      <c r="F6726" s="193"/>
      <c r="G6726" s="193"/>
    </row>
    <row r="6727" spans="2:7" hidden="1">
      <c r="B6727" s="140" t="s">
        <v>17471</v>
      </c>
      <c r="C6727" s="193"/>
      <c r="D6727" s="140" t="s">
        <v>17472</v>
      </c>
      <c r="E6727" s="195"/>
      <c r="F6727" s="195"/>
      <c r="G6727" s="193"/>
    </row>
    <row r="6728" spans="2:7" hidden="1">
      <c r="B6728" s="140" t="s">
        <v>17473</v>
      </c>
      <c r="C6728" s="193"/>
      <c r="D6728" s="140" t="s">
        <v>17474</v>
      </c>
      <c r="E6728" s="195"/>
      <c r="F6728" s="195"/>
      <c r="G6728" s="193"/>
    </row>
    <row r="6729" spans="2:7" hidden="1">
      <c r="B6729" s="140" t="s">
        <v>21988</v>
      </c>
      <c r="C6729" s="193"/>
      <c r="D6729" s="140" t="s">
        <v>17475</v>
      </c>
      <c r="E6729" s="193"/>
      <c r="F6729" s="193"/>
      <c r="G6729" s="193"/>
    </row>
    <row r="6730" spans="2:7" hidden="1">
      <c r="B6730" s="141" t="s">
        <v>17476</v>
      </c>
      <c r="C6730" s="193"/>
      <c r="D6730" s="141" t="s">
        <v>8199</v>
      </c>
      <c r="E6730" s="193"/>
      <c r="F6730" s="193"/>
      <c r="G6730" s="193"/>
    </row>
    <row r="6731" spans="2:7" hidden="1">
      <c r="B6731" s="141" t="s">
        <v>17477</v>
      </c>
      <c r="C6731" s="194"/>
      <c r="D6731" s="141" t="s">
        <v>2538</v>
      </c>
      <c r="E6731" s="194"/>
      <c r="F6731" s="194"/>
      <c r="G6731" s="193"/>
    </row>
    <row r="6732" spans="2:7" hidden="1">
      <c r="B6732" s="141" t="s">
        <v>17478</v>
      </c>
      <c r="C6732" s="193" t="s">
        <v>17479</v>
      </c>
      <c r="D6732" s="141" t="s">
        <v>17210</v>
      </c>
      <c r="E6732" s="193"/>
      <c r="F6732" s="193"/>
      <c r="G6732" s="193"/>
    </row>
    <row r="6733" spans="2:7" hidden="1">
      <c r="B6733" s="141" t="s">
        <v>17480</v>
      </c>
      <c r="C6733" s="193"/>
      <c r="D6733" s="141" t="s">
        <v>7563</v>
      </c>
      <c r="E6733" s="193"/>
      <c r="F6733" s="193"/>
      <c r="G6733" s="193"/>
    </row>
    <row r="6734" spans="2:7" hidden="1">
      <c r="B6734" s="141" t="s">
        <v>17481</v>
      </c>
      <c r="C6734" s="193"/>
      <c r="D6734" s="141" t="s">
        <v>17482</v>
      </c>
      <c r="E6734" s="193"/>
      <c r="F6734" s="193"/>
      <c r="G6734" s="193"/>
    </row>
    <row r="6735" spans="2:7" hidden="1">
      <c r="B6735" s="141" t="s">
        <v>17483</v>
      </c>
      <c r="C6735" s="194" t="s">
        <v>17484</v>
      </c>
      <c r="D6735" s="141" t="s">
        <v>7394</v>
      </c>
      <c r="E6735" s="194"/>
      <c r="F6735" s="194"/>
      <c r="G6735" s="193"/>
    </row>
    <row r="6736" spans="2:7" hidden="1">
      <c r="B6736" s="141" t="s">
        <v>17485</v>
      </c>
      <c r="C6736" s="193"/>
      <c r="D6736" s="141" t="s">
        <v>16466</v>
      </c>
      <c r="E6736" s="193"/>
      <c r="F6736" s="193"/>
      <c r="G6736" s="193"/>
    </row>
    <row r="6737" spans="2:7" hidden="1">
      <c r="B6737" s="141" t="s">
        <v>17486</v>
      </c>
      <c r="C6737" s="194"/>
      <c r="D6737" s="141" t="s">
        <v>17487</v>
      </c>
      <c r="E6737" s="194"/>
      <c r="F6737" s="194"/>
      <c r="G6737" s="193"/>
    </row>
    <row r="6738" spans="2:7" hidden="1">
      <c r="B6738" s="141" t="s">
        <v>17488</v>
      </c>
      <c r="C6738" s="193"/>
      <c r="D6738" s="141" t="s">
        <v>17489</v>
      </c>
      <c r="E6738" s="193"/>
      <c r="F6738" s="193"/>
      <c r="G6738" s="193"/>
    </row>
    <row r="6739" spans="2:7" hidden="1">
      <c r="B6739" s="141" t="s">
        <v>17505</v>
      </c>
      <c r="C6739" s="193" t="s">
        <v>17506</v>
      </c>
      <c r="D6739" s="141" t="s">
        <v>1795</v>
      </c>
      <c r="E6739" s="193" t="s">
        <v>17507</v>
      </c>
      <c r="F6739" s="193" t="s">
        <v>17508</v>
      </c>
      <c r="G6739" s="193"/>
    </row>
    <row r="6740" spans="2:7" hidden="1">
      <c r="B6740" s="141" t="s">
        <v>17509</v>
      </c>
      <c r="C6740" s="193" t="s">
        <v>17510</v>
      </c>
      <c r="D6740" s="141" t="s">
        <v>2327</v>
      </c>
      <c r="E6740" s="193" t="s">
        <v>17511</v>
      </c>
      <c r="F6740" s="193"/>
      <c r="G6740" s="193"/>
    </row>
    <row r="6741" spans="2:7" hidden="1">
      <c r="B6741" s="141" t="s">
        <v>21994</v>
      </c>
      <c r="C6741" s="193" t="s">
        <v>17512</v>
      </c>
      <c r="D6741" s="141" t="s">
        <v>17513</v>
      </c>
      <c r="E6741" s="193" t="s">
        <v>17514</v>
      </c>
      <c r="F6741" s="193"/>
      <c r="G6741" s="193"/>
    </row>
    <row r="6742" spans="2:7" hidden="1">
      <c r="B6742" s="141" t="s">
        <v>21989</v>
      </c>
      <c r="C6742" s="193" t="s">
        <v>17490</v>
      </c>
      <c r="D6742" s="141" t="s">
        <v>2487</v>
      </c>
      <c r="E6742" s="193" t="s">
        <v>17491</v>
      </c>
      <c r="F6742" s="193" t="s">
        <v>17492</v>
      </c>
      <c r="G6742" s="193"/>
    </row>
    <row r="6743" spans="2:7" hidden="1">
      <c r="B6743" s="141" t="s">
        <v>21990</v>
      </c>
      <c r="C6743" s="193" t="s">
        <v>17493</v>
      </c>
      <c r="D6743" s="141" t="s">
        <v>17494</v>
      </c>
      <c r="E6743" s="193" t="s">
        <v>17495</v>
      </c>
      <c r="F6743" s="193" t="s">
        <v>17496</v>
      </c>
      <c r="G6743" s="193"/>
    </row>
    <row r="6744" spans="2:7" hidden="1">
      <c r="B6744" s="141" t="s">
        <v>21991</v>
      </c>
      <c r="C6744" s="193" t="s">
        <v>17497</v>
      </c>
      <c r="D6744" s="141" t="s">
        <v>17498</v>
      </c>
      <c r="E6744" s="193" t="s">
        <v>17499</v>
      </c>
      <c r="F6744" s="193"/>
      <c r="G6744" s="193"/>
    </row>
    <row r="6745" spans="2:7" hidden="1">
      <c r="B6745" s="141" t="s">
        <v>21992</v>
      </c>
      <c r="C6745" s="193" t="s">
        <v>17500</v>
      </c>
      <c r="D6745" s="141" t="s">
        <v>17344</v>
      </c>
      <c r="E6745" s="193" t="s">
        <v>17501</v>
      </c>
      <c r="F6745" s="193"/>
      <c r="G6745" s="193"/>
    </row>
    <row r="6746" spans="2:7" hidden="1">
      <c r="B6746" s="141" t="s">
        <v>21993</v>
      </c>
      <c r="C6746" s="193" t="s">
        <v>17502</v>
      </c>
      <c r="D6746" s="141" t="s">
        <v>17503</v>
      </c>
      <c r="E6746" s="193" t="s">
        <v>17504</v>
      </c>
      <c r="F6746" s="193"/>
      <c r="G6746" s="193"/>
    </row>
    <row r="6747" spans="2:7" hidden="1">
      <c r="B6747" s="141" t="s">
        <v>17515</v>
      </c>
      <c r="C6747" s="193" t="s">
        <v>17516</v>
      </c>
      <c r="D6747" s="141" t="s">
        <v>17517</v>
      </c>
      <c r="E6747" s="193" t="s">
        <v>17518</v>
      </c>
      <c r="F6747" s="193" t="s">
        <v>17519</v>
      </c>
      <c r="G6747" s="193"/>
    </row>
    <row r="6748" spans="2:7" hidden="1">
      <c r="B6748" s="141" t="s">
        <v>17520</v>
      </c>
      <c r="C6748" s="193" t="s">
        <v>17521</v>
      </c>
      <c r="D6748" s="141" t="s">
        <v>3310</v>
      </c>
      <c r="E6748" s="193" t="s">
        <v>17522</v>
      </c>
      <c r="F6748" s="193"/>
      <c r="G6748" s="193"/>
    </row>
    <row r="6749" spans="2:7" hidden="1">
      <c r="B6749" s="141" t="s">
        <v>17523</v>
      </c>
      <c r="C6749" s="194" t="s">
        <v>17524</v>
      </c>
      <c r="D6749" s="141" t="s">
        <v>2692</v>
      </c>
      <c r="E6749" s="194" t="s">
        <v>17525</v>
      </c>
      <c r="F6749" s="193"/>
      <c r="G6749" s="193"/>
    </row>
    <row r="6750" spans="2:7" hidden="1">
      <c r="B6750" s="141" t="s">
        <v>17526</v>
      </c>
      <c r="C6750" s="193"/>
      <c r="D6750" s="141" t="s">
        <v>17527</v>
      </c>
      <c r="E6750" s="193"/>
      <c r="F6750" s="193"/>
      <c r="G6750" s="193"/>
    </row>
    <row r="6751" spans="2:7" hidden="1">
      <c r="B6751" s="140" t="s">
        <v>17528</v>
      </c>
      <c r="C6751" s="193" t="s">
        <v>17529</v>
      </c>
      <c r="D6751" s="140" t="s">
        <v>6284</v>
      </c>
      <c r="E6751" s="195" t="s">
        <v>17530</v>
      </c>
      <c r="F6751" s="195" t="s">
        <v>17531</v>
      </c>
      <c r="G6751" s="193"/>
    </row>
    <row r="6752" spans="2:7" hidden="1">
      <c r="B6752" s="141" t="s">
        <v>17532</v>
      </c>
      <c r="C6752" s="193" t="s">
        <v>17533</v>
      </c>
      <c r="D6752" s="141" t="s">
        <v>17534</v>
      </c>
      <c r="E6752" s="193" t="s">
        <v>17535</v>
      </c>
      <c r="F6752" s="193" t="s">
        <v>17536</v>
      </c>
      <c r="G6752" s="193"/>
    </row>
    <row r="6753" spans="2:7" hidden="1">
      <c r="B6753" s="141" t="s">
        <v>17537</v>
      </c>
      <c r="C6753" s="193"/>
      <c r="D6753" s="141" t="s">
        <v>9689</v>
      </c>
      <c r="E6753" s="193"/>
      <c r="F6753" s="193"/>
      <c r="G6753" s="193"/>
    </row>
    <row r="6754" spans="2:7" hidden="1">
      <c r="B6754" s="140" t="s">
        <v>17538</v>
      </c>
      <c r="C6754" s="193"/>
      <c r="D6754" s="140" t="s">
        <v>17077</v>
      </c>
      <c r="E6754" s="193"/>
      <c r="F6754" s="193"/>
      <c r="G6754" s="193"/>
    </row>
    <row r="6755" spans="2:7" hidden="1">
      <c r="B6755" s="141" t="s">
        <v>17539</v>
      </c>
      <c r="C6755" s="194"/>
      <c r="D6755" s="141" t="s">
        <v>9004</v>
      </c>
      <c r="E6755" s="193"/>
      <c r="F6755" s="193"/>
      <c r="G6755" s="193"/>
    </row>
    <row r="6756" spans="2:7" hidden="1">
      <c r="B6756" s="140" t="s">
        <v>17540</v>
      </c>
      <c r="C6756" s="193"/>
      <c r="D6756" s="140" t="s">
        <v>17541</v>
      </c>
      <c r="E6756" s="193"/>
      <c r="F6756" s="193"/>
      <c r="G6756" s="193"/>
    </row>
    <row r="6757" spans="2:7" hidden="1">
      <c r="B6757" s="141" t="s">
        <v>17542</v>
      </c>
      <c r="C6757" s="193"/>
      <c r="D6757" s="141" t="s">
        <v>6198</v>
      </c>
      <c r="E6757" s="193"/>
      <c r="F6757" s="193"/>
      <c r="G6757" s="193"/>
    </row>
    <row r="6758" spans="2:7" hidden="1">
      <c r="B6758" s="141" t="s">
        <v>17543</v>
      </c>
      <c r="C6758" s="193" t="s">
        <v>17544</v>
      </c>
      <c r="D6758" s="141" t="s">
        <v>17545</v>
      </c>
      <c r="E6758" s="193"/>
      <c r="F6758" s="193"/>
      <c r="G6758" s="193" t="s">
        <v>17546</v>
      </c>
    </row>
    <row r="6759" spans="2:7" hidden="1">
      <c r="B6759" s="141" t="s">
        <v>21995</v>
      </c>
      <c r="C6759" s="194" t="s">
        <v>17547</v>
      </c>
      <c r="D6759" s="141" t="s">
        <v>1395</v>
      </c>
      <c r="E6759" s="194" t="s">
        <v>17548</v>
      </c>
      <c r="F6759" s="193" t="s">
        <v>17549</v>
      </c>
      <c r="G6759" s="193"/>
    </row>
    <row r="6760" spans="2:7" hidden="1">
      <c r="B6760" s="141" t="s">
        <v>17550</v>
      </c>
      <c r="C6760" s="193" t="s">
        <v>17551</v>
      </c>
      <c r="D6760" s="141" t="s">
        <v>1906</v>
      </c>
      <c r="E6760" s="193" t="s">
        <v>17552</v>
      </c>
      <c r="F6760" s="193" t="s">
        <v>17553</v>
      </c>
      <c r="G6760" s="193"/>
    </row>
    <row r="6761" spans="2:7" hidden="1">
      <c r="B6761" s="141" t="s">
        <v>17554</v>
      </c>
      <c r="C6761" s="193"/>
      <c r="D6761" s="141" t="s">
        <v>5468</v>
      </c>
      <c r="E6761" s="193"/>
      <c r="F6761" s="193"/>
      <c r="G6761" s="193"/>
    </row>
    <row r="6762" spans="2:7" hidden="1">
      <c r="B6762" s="141" t="s">
        <v>17555</v>
      </c>
      <c r="C6762" s="193"/>
      <c r="D6762" s="141" t="s">
        <v>5608</v>
      </c>
      <c r="E6762" s="193"/>
      <c r="F6762" s="193"/>
      <c r="G6762" s="193"/>
    </row>
    <row r="6763" spans="2:7" hidden="1">
      <c r="B6763" s="141" t="s">
        <v>17556</v>
      </c>
      <c r="C6763" s="193"/>
      <c r="D6763" s="141" t="s">
        <v>17557</v>
      </c>
      <c r="E6763" s="193"/>
      <c r="F6763" s="193"/>
      <c r="G6763" s="193"/>
    </row>
    <row r="6764" spans="2:7" hidden="1">
      <c r="B6764" s="141" t="s">
        <v>17558</v>
      </c>
      <c r="C6764" s="193" t="s">
        <v>17559</v>
      </c>
      <c r="D6764" s="141" t="s">
        <v>1102</v>
      </c>
      <c r="E6764" s="193" t="s">
        <v>17560</v>
      </c>
      <c r="F6764" s="193" t="s">
        <v>17561</v>
      </c>
      <c r="G6764" s="193"/>
    </row>
    <row r="6765" spans="2:7" hidden="1">
      <c r="B6765" s="141" t="s">
        <v>17562</v>
      </c>
      <c r="C6765" s="193" t="s">
        <v>17563</v>
      </c>
      <c r="D6765" s="141" t="s">
        <v>17564</v>
      </c>
      <c r="E6765" s="193" t="s">
        <v>17565</v>
      </c>
      <c r="F6765" s="193" t="s">
        <v>17566</v>
      </c>
      <c r="G6765" s="193"/>
    </row>
    <row r="6766" spans="2:7" hidden="1">
      <c r="B6766" s="141" t="s">
        <v>17567</v>
      </c>
      <c r="C6766" s="193" t="s">
        <v>17568</v>
      </c>
      <c r="D6766" s="141" t="s">
        <v>17569</v>
      </c>
      <c r="E6766" s="193" t="s">
        <v>17570</v>
      </c>
      <c r="F6766" s="193" t="s">
        <v>17571</v>
      </c>
      <c r="G6766" s="193"/>
    </row>
    <row r="6767" spans="2:7" hidden="1">
      <c r="B6767" s="141" t="s">
        <v>17572</v>
      </c>
      <c r="C6767" s="193" t="s">
        <v>17573</v>
      </c>
      <c r="D6767" s="141" t="s">
        <v>7510</v>
      </c>
      <c r="E6767" s="193"/>
      <c r="F6767" s="193"/>
      <c r="G6767" s="193"/>
    </row>
    <row r="6768" spans="2:7" hidden="1">
      <c r="B6768" s="141" t="s">
        <v>21996</v>
      </c>
      <c r="C6768" s="193"/>
      <c r="D6768" s="141" t="s">
        <v>17574</v>
      </c>
      <c r="E6768" s="193"/>
      <c r="F6768" s="193"/>
      <c r="G6768" s="193"/>
    </row>
    <row r="6769" spans="2:7" hidden="1">
      <c r="B6769" s="141" t="s">
        <v>17575</v>
      </c>
      <c r="C6769" s="193" t="s">
        <v>17576</v>
      </c>
      <c r="D6769" s="141" t="s">
        <v>17577</v>
      </c>
      <c r="E6769" s="193"/>
      <c r="F6769" s="193"/>
      <c r="G6769" s="193"/>
    </row>
    <row r="6770" spans="2:7" hidden="1">
      <c r="B6770" s="141" t="s">
        <v>17578</v>
      </c>
      <c r="C6770" s="193"/>
      <c r="D6770" s="141" t="s">
        <v>17579</v>
      </c>
      <c r="E6770" s="193"/>
      <c r="F6770" s="193"/>
      <c r="G6770" s="193"/>
    </row>
    <row r="6771" spans="2:7" hidden="1">
      <c r="B6771" s="141" t="s">
        <v>17580</v>
      </c>
      <c r="C6771" s="193"/>
      <c r="D6771" s="141" t="s">
        <v>17581</v>
      </c>
      <c r="E6771" s="193"/>
      <c r="F6771" s="193"/>
      <c r="G6771" s="193"/>
    </row>
    <row r="6772" spans="2:7" hidden="1">
      <c r="B6772" s="141" t="s">
        <v>17582</v>
      </c>
      <c r="C6772" s="193" t="s">
        <v>17583</v>
      </c>
      <c r="D6772" s="141" t="s">
        <v>17584</v>
      </c>
      <c r="E6772" s="193" t="s">
        <v>17585</v>
      </c>
      <c r="F6772" s="193" t="s">
        <v>17586</v>
      </c>
      <c r="G6772" s="193"/>
    </row>
    <row r="6773" spans="2:7" hidden="1">
      <c r="B6773" s="141" t="s">
        <v>17587</v>
      </c>
      <c r="C6773" s="193" t="s">
        <v>5957</v>
      </c>
      <c r="D6773" s="141" t="s">
        <v>5958</v>
      </c>
      <c r="E6773" s="193" t="s">
        <v>17588</v>
      </c>
      <c r="F6773" s="193"/>
      <c r="G6773" s="193"/>
    </row>
    <row r="6774" spans="2:7" hidden="1">
      <c r="B6774" s="141" t="s">
        <v>17589</v>
      </c>
      <c r="C6774" s="193" t="s">
        <v>17590</v>
      </c>
      <c r="D6774" s="141" t="s">
        <v>17591</v>
      </c>
      <c r="E6774" s="193" t="s">
        <v>17592</v>
      </c>
      <c r="F6774" s="193"/>
      <c r="G6774" s="193"/>
    </row>
    <row r="6775" spans="2:7" hidden="1">
      <c r="B6775" s="141" t="s">
        <v>17593</v>
      </c>
      <c r="C6775" s="193" t="s">
        <v>17594</v>
      </c>
      <c r="D6775" s="141" t="s">
        <v>11851</v>
      </c>
      <c r="E6775" s="193" t="s">
        <v>17595</v>
      </c>
      <c r="F6775" s="193" t="s">
        <v>17596</v>
      </c>
      <c r="G6775" s="193"/>
    </row>
    <row r="6776" spans="2:7" hidden="1">
      <c r="B6776" s="140" t="s">
        <v>17597</v>
      </c>
      <c r="C6776" s="193" t="s">
        <v>17598</v>
      </c>
      <c r="D6776" s="140" t="s">
        <v>17599</v>
      </c>
      <c r="E6776" s="195" t="s">
        <v>17600</v>
      </c>
      <c r="F6776" s="195"/>
      <c r="G6776" s="193"/>
    </row>
    <row r="6777" spans="2:7" hidden="1">
      <c r="B6777" s="141" t="s">
        <v>17601</v>
      </c>
      <c r="C6777" s="193" t="s">
        <v>17602</v>
      </c>
      <c r="D6777" s="141" t="s">
        <v>17603</v>
      </c>
      <c r="E6777" s="193" t="s">
        <v>17604</v>
      </c>
      <c r="F6777" s="193" t="s">
        <v>17605</v>
      </c>
      <c r="G6777" s="193"/>
    </row>
    <row r="6778" spans="2:7" hidden="1">
      <c r="B6778" s="140" t="s">
        <v>20345</v>
      </c>
      <c r="C6778" s="193" t="s">
        <v>20346</v>
      </c>
      <c r="D6778" s="140" t="s">
        <v>5147</v>
      </c>
      <c r="E6778" s="195" t="s">
        <v>20347</v>
      </c>
      <c r="F6778" s="195"/>
      <c r="G6778" s="193" t="s">
        <v>20348</v>
      </c>
    </row>
    <row r="6779" spans="2:7" hidden="1">
      <c r="B6779" s="141" t="s">
        <v>21997</v>
      </c>
      <c r="C6779" s="193"/>
      <c r="D6779" s="141" t="s">
        <v>17606</v>
      </c>
      <c r="E6779" s="193"/>
      <c r="F6779" s="193"/>
      <c r="G6779" s="193"/>
    </row>
    <row r="6780" spans="2:7" hidden="1">
      <c r="B6780" s="141" t="s">
        <v>17607</v>
      </c>
      <c r="C6780" s="193" t="s">
        <v>17608</v>
      </c>
      <c r="D6780" s="141" t="s">
        <v>6078</v>
      </c>
      <c r="E6780" s="193" t="s">
        <v>17609</v>
      </c>
      <c r="F6780" s="193"/>
      <c r="G6780" s="193"/>
    </row>
    <row r="6781" spans="2:7" hidden="1">
      <c r="B6781" s="141" t="s">
        <v>17610</v>
      </c>
      <c r="C6781" s="193"/>
      <c r="D6781" s="141"/>
      <c r="E6781" s="193"/>
      <c r="F6781" s="193"/>
      <c r="G6781" s="193"/>
    </row>
    <row r="6782" spans="2:7" hidden="1">
      <c r="B6782" s="141" t="s">
        <v>17611</v>
      </c>
      <c r="C6782" s="193"/>
      <c r="D6782" s="141" t="s">
        <v>17612</v>
      </c>
      <c r="E6782" s="193"/>
      <c r="F6782" s="193"/>
      <c r="G6782" s="193"/>
    </row>
    <row r="6783" spans="2:7" hidden="1">
      <c r="B6783" s="141" t="s">
        <v>17613</v>
      </c>
      <c r="C6783" s="194"/>
      <c r="D6783" s="141" t="s">
        <v>7740</v>
      </c>
      <c r="E6783" s="194"/>
      <c r="F6783" s="194"/>
      <c r="G6783" s="193"/>
    </row>
    <row r="6784" spans="2:7" hidden="1">
      <c r="B6784" s="141" t="s">
        <v>17614</v>
      </c>
      <c r="C6784" s="194"/>
      <c r="D6784" s="141" t="s">
        <v>17615</v>
      </c>
      <c r="E6784" s="194"/>
      <c r="F6784" s="194"/>
      <c r="G6784" s="193"/>
    </row>
    <row r="6785" spans="2:7" hidden="1">
      <c r="B6785" s="141" t="s">
        <v>17616</v>
      </c>
      <c r="C6785" s="193"/>
      <c r="D6785" s="141" t="s">
        <v>17617</v>
      </c>
      <c r="E6785" s="193"/>
      <c r="F6785" s="193"/>
      <c r="G6785" s="193"/>
    </row>
    <row r="6786" spans="2:7" hidden="1">
      <c r="B6786" s="141" t="s">
        <v>17618</v>
      </c>
      <c r="C6786" s="193"/>
      <c r="D6786" s="141" t="s">
        <v>17619</v>
      </c>
      <c r="E6786" s="193"/>
      <c r="F6786" s="193"/>
      <c r="G6786" s="193"/>
    </row>
    <row r="6787" spans="2:7" hidden="1">
      <c r="B6787" s="141" t="s">
        <v>17620</v>
      </c>
      <c r="C6787" s="194"/>
      <c r="D6787" s="141" t="s">
        <v>17621</v>
      </c>
      <c r="E6787" s="194"/>
      <c r="F6787" s="194"/>
      <c r="G6787" s="193"/>
    </row>
    <row r="6788" spans="2:7" hidden="1">
      <c r="B6788" s="141" t="s">
        <v>17622</v>
      </c>
      <c r="C6788" s="193"/>
      <c r="D6788" s="141" t="s">
        <v>4529</v>
      </c>
      <c r="E6788" s="193"/>
      <c r="F6788" s="193"/>
      <c r="G6788" s="193"/>
    </row>
    <row r="6789" spans="2:7" hidden="1">
      <c r="B6789" s="141" t="s">
        <v>17623</v>
      </c>
      <c r="C6789" s="193" t="s">
        <v>17624</v>
      </c>
      <c r="D6789" s="141" t="s">
        <v>17625</v>
      </c>
      <c r="E6789" s="193" t="s">
        <v>17626</v>
      </c>
      <c r="F6789" s="193"/>
      <c r="G6789" s="193"/>
    </row>
    <row r="6790" spans="2:7" hidden="1">
      <c r="B6790" s="141" t="s">
        <v>17627</v>
      </c>
      <c r="C6790" s="193" t="s">
        <v>17628</v>
      </c>
      <c r="D6790" s="141" t="s">
        <v>6153</v>
      </c>
      <c r="E6790" s="193" t="s">
        <v>17629</v>
      </c>
      <c r="F6790" s="193"/>
      <c r="G6790" s="193"/>
    </row>
    <row r="6791" spans="2:7" hidden="1">
      <c r="B6791" s="141" t="s">
        <v>17630</v>
      </c>
      <c r="C6791" s="193" t="s">
        <v>17631</v>
      </c>
      <c r="D6791" s="141" t="s">
        <v>17632</v>
      </c>
      <c r="E6791" s="193"/>
      <c r="F6791" s="193"/>
      <c r="G6791" s="193"/>
    </row>
    <row r="6792" spans="2:7" hidden="1">
      <c r="B6792" s="140" t="s">
        <v>17633</v>
      </c>
      <c r="C6792" s="193"/>
      <c r="D6792" s="140" t="s">
        <v>17634</v>
      </c>
      <c r="E6792" s="195"/>
      <c r="F6792" s="195"/>
      <c r="G6792" s="193"/>
    </row>
    <row r="6793" spans="2:7" hidden="1">
      <c r="B6793" s="140" t="s">
        <v>17635</v>
      </c>
      <c r="C6793" s="193"/>
      <c r="D6793" s="140" t="s">
        <v>9929</v>
      </c>
      <c r="E6793" s="193"/>
      <c r="F6793" s="193"/>
      <c r="G6793" s="193"/>
    </row>
    <row r="6794" spans="2:7" hidden="1">
      <c r="B6794" s="141" t="s">
        <v>21998</v>
      </c>
      <c r="C6794" s="193" t="s">
        <v>17636</v>
      </c>
      <c r="D6794" s="141" t="s">
        <v>12142</v>
      </c>
      <c r="E6794" s="193"/>
      <c r="F6794" s="193"/>
      <c r="G6794" s="193"/>
    </row>
    <row r="6795" spans="2:7" hidden="1">
      <c r="B6795" s="141" t="s">
        <v>17637</v>
      </c>
      <c r="C6795" s="193"/>
      <c r="D6795" s="141" t="s">
        <v>2622</v>
      </c>
      <c r="E6795" s="193"/>
      <c r="F6795" s="193"/>
      <c r="G6795" s="193"/>
    </row>
    <row r="6796" spans="2:7" hidden="1">
      <c r="B6796" s="141" t="s">
        <v>17638</v>
      </c>
      <c r="C6796" s="193" t="s">
        <v>17639</v>
      </c>
      <c r="D6796" s="141" t="s">
        <v>17640</v>
      </c>
      <c r="E6796" s="193"/>
      <c r="F6796" s="193"/>
      <c r="G6796" s="193"/>
    </row>
    <row r="6797" spans="2:7" hidden="1">
      <c r="B6797" s="141" t="s">
        <v>17641</v>
      </c>
      <c r="C6797" s="193"/>
      <c r="D6797" s="141" t="s">
        <v>17642</v>
      </c>
      <c r="E6797" s="193"/>
      <c r="F6797" s="193"/>
      <c r="G6797" s="193"/>
    </row>
    <row r="6798" spans="2:7" hidden="1">
      <c r="B6798" s="140" t="s">
        <v>17643</v>
      </c>
      <c r="C6798" s="193"/>
      <c r="D6798" s="140" t="s">
        <v>7103</v>
      </c>
      <c r="E6798" s="193"/>
      <c r="F6798" s="193"/>
      <c r="G6798" s="193"/>
    </row>
    <row r="6799" spans="2:7" hidden="1">
      <c r="B6799" s="141" t="s">
        <v>17644</v>
      </c>
      <c r="C6799" s="194"/>
      <c r="D6799" s="141" t="s">
        <v>17645</v>
      </c>
      <c r="E6799" s="194"/>
      <c r="F6799" s="193"/>
      <c r="G6799" s="193"/>
    </row>
    <row r="6800" spans="2:7" hidden="1">
      <c r="B6800" s="141" t="s">
        <v>17646</v>
      </c>
      <c r="C6800" s="193"/>
      <c r="D6800" s="141" t="s">
        <v>17647</v>
      </c>
      <c r="E6800" s="193"/>
      <c r="F6800" s="193"/>
      <c r="G6800" s="193"/>
    </row>
    <row r="6801" spans="2:7" hidden="1">
      <c r="B6801" s="141" t="s">
        <v>17648</v>
      </c>
      <c r="C6801" s="193"/>
      <c r="D6801" s="141" t="s">
        <v>17649</v>
      </c>
      <c r="E6801" s="193"/>
      <c r="F6801" s="193"/>
      <c r="G6801" s="193"/>
    </row>
    <row r="6802" spans="2:7" hidden="1">
      <c r="B6802" s="141" t="s">
        <v>17650</v>
      </c>
      <c r="C6802" s="193"/>
      <c r="D6802" s="141" t="s">
        <v>16391</v>
      </c>
      <c r="E6802" s="193"/>
      <c r="F6802" s="193"/>
      <c r="G6802" s="193"/>
    </row>
    <row r="6803" spans="2:7" hidden="1">
      <c r="B6803" s="141" t="s">
        <v>17651</v>
      </c>
      <c r="C6803" s="193"/>
      <c r="D6803" s="141" t="s">
        <v>17652</v>
      </c>
      <c r="E6803" s="193"/>
      <c r="F6803" s="193"/>
      <c r="G6803" s="193"/>
    </row>
    <row r="6804" spans="2:7" hidden="1">
      <c r="B6804" s="141" t="s">
        <v>17653</v>
      </c>
      <c r="C6804" s="193"/>
      <c r="D6804" s="141" t="s">
        <v>1263</v>
      </c>
      <c r="E6804" s="193"/>
      <c r="F6804" s="193"/>
      <c r="G6804" s="193"/>
    </row>
    <row r="6805" spans="2:7" hidden="1">
      <c r="B6805" s="141" t="s">
        <v>17654</v>
      </c>
      <c r="C6805" s="193" t="s">
        <v>17655</v>
      </c>
      <c r="D6805" s="141" t="s">
        <v>9403</v>
      </c>
      <c r="E6805" s="193"/>
      <c r="F6805" s="193"/>
      <c r="G6805" s="193"/>
    </row>
    <row r="6806" spans="2:7" hidden="1">
      <c r="B6806" s="141" t="s">
        <v>17656</v>
      </c>
      <c r="C6806" s="193"/>
      <c r="D6806" s="141" t="s">
        <v>17657</v>
      </c>
      <c r="E6806" s="193"/>
      <c r="F6806" s="193"/>
      <c r="G6806" s="193"/>
    </row>
    <row r="6807" spans="2:7" hidden="1">
      <c r="B6807" s="141" t="s">
        <v>17658</v>
      </c>
      <c r="C6807" s="193"/>
      <c r="D6807" s="141" t="s">
        <v>2178</v>
      </c>
      <c r="E6807" s="193"/>
      <c r="F6807" s="193"/>
      <c r="G6807" s="193"/>
    </row>
    <row r="6808" spans="2:7" hidden="1">
      <c r="B6808" s="141" t="s">
        <v>17659</v>
      </c>
      <c r="C6808" s="193"/>
      <c r="D6808" s="141" t="s">
        <v>16263</v>
      </c>
      <c r="E6808" s="193"/>
      <c r="F6808" s="193"/>
      <c r="G6808" s="193"/>
    </row>
    <row r="6809" spans="2:7" hidden="1">
      <c r="B6809" s="141" t="s">
        <v>17660</v>
      </c>
      <c r="C6809" s="193"/>
      <c r="D6809" s="141" t="s">
        <v>4703</v>
      </c>
      <c r="E6809" s="193"/>
      <c r="F6809" s="193"/>
      <c r="G6809" s="193"/>
    </row>
    <row r="6810" spans="2:7" hidden="1">
      <c r="B6810" s="141" t="s">
        <v>17661</v>
      </c>
      <c r="C6810" s="193" t="s">
        <v>17662</v>
      </c>
      <c r="D6810" s="141" t="s">
        <v>1795</v>
      </c>
      <c r="E6810" s="193" t="s">
        <v>17663</v>
      </c>
      <c r="F6810" s="193" t="s">
        <v>17508</v>
      </c>
      <c r="G6810" s="193"/>
    </row>
    <row r="6811" spans="2:7" hidden="1">
      <c r="B6811" s="140" t="s">
        <v>17664</v>
      </c>
      <c r="C6811" s="193"/>
      <c r="D6811" s="140" t="s">
        <v>17665</v>
      </c>
      <c r="E6811" s="195"/>
      <c r="F6811" s="195"/>
      <c r="G6811" s="193"/>
    </row>
    <row r="6812" spans="2:7" hidden="1">
      <c r="B6812" s="141" t="s">
        <v>17666</v>
      </c>
      <c r="C6812" s="194"/>
      <c r="D6812" s="141" t="s">
        <v>17667</v>
      </c>
      <c r="E6812" s="193"/>
      <c r="F6812" s="193"/>
      <c r="G6812" s="193"/>
    </row>
    <row r="6813" spans="2:7" hidden="1">
      <c r="B6813" s="141" t="s">
        <v>17668</v>
      </c>
      <c r="C6813" s="193" t="s">
        <v>17669</v>
      </c>
      <c r="D6813" s="141" t="s">
        <v>2844</v>
      </c>
      <c r="E6813" s="193" t="s">
        <v>17670</v>
      </c>
      <c r="F6813" s="193" t="s">
        <v>17671</v>
      </c>
      <c r="G6813" s="193" t="s">
        <v>17672</v>
      </c>
    </row>
    <row r="6814" spans="2:7" hidden="1">
      <c r="B6814" s="140" t="s">
        <v>17673</v>
      </c>
      <c r="C6814" s="193"/>
      <c r="D6814" s="140" t="s">
        <v>17674</v>
      </c>
      <c r="E6814" s="193"/>
      <c r="F6814" s="193"/>
      <c r="G6814" s="193"/>
    </row>
    <row r="6815" spans="2:7" hidden="1">
      <c r="B6815" s="140" t="s">
        <v>17675</v>
      </c>
      <c r="C6815" s="193"/>
      <c r="D6815" s="140" t="s">
        <v>16144</v>
      </c>
      <c r="E6815" s="195"/>
      <c r="F6815" s="195"/>
      <c r="G6815" s="193"/>
    </row>
    <row r="6816" spans="2:7" hidden="1">
      <c r="B6816" s="141" t="s">
        <v>17676</v>
      </c>
      <c r="C6816" s="193"/>
      <c r="D6816" s="141" t="s">
        <v>17677</v>
      </c>
      <c r="E6816" s="193"/>
      <c r="F6816" s="193"/>
      <c r="G6816" s="193"/>
    </row>
    <row r="6817" spans="2:7" hidden="1">
      <c r="B6817" s="140" t="s">
        <v>17678</v>
      </c>
      <c r="C6817" s="193"/>
      <c r="D6817" s="140" t="s">
        <v>17679</v>
      </c>
      <c r="E6817" s="195"/>
      <c r="F6817" s="195"/>
      <c r="G6817" s="193"/>
    </row>
    <row r="6818" spans="2:7" hidden="1">
      <c r="B6818" s="141" t="s">
        <v>17680</v>
      </c>
      <c r="C6818" s="193"/>
      <c r="D6818" s="141" t="s">
        <v>1022</v>
      </c>
      <c r="E6818" s="193"/>
      <c r="F6818" s="193"/>
      <c r="G6818" s="193"/>
    </row>
    <row r="6819" spans="2:7" hidden="1">
      <c r="B6819" s="141" t="s">
        <v>17681</v>
      </c>
      <c r="C6819" s="194"/>
      <c r="D6819" s="141" t="s">
        <v>16144</v>
      </c>
      <c r="E6819" s="194"/>
      <c r="F6819" s="193"/>
      <c r="G6819" s="193"/>
    </row>
    <row r="6820" spans="2:7" hidden="1">
      <c r="B6820" s="141" t="s">
        <v>17682</v>
      </c>
      <c r="C6820" s="193"/>
      <c r="D6820" s="141" t="s">
        <v>17683</v>
      </c>
      <c r="E6820" s="193"/>
      <c r="F6820" s="193"/>
      <c r="G6820" s="193"/>
    </row>
    <row r="6821" spans="2:7" hidden="1">
      <c r="B6821" s="141" t="s">
        <v>17684</v>
      </c>
      <c r="C6821" s="193" t="s">
        <v>17685</v>
      </c>
      <c r="D6821" s="141" t="s">
        <v>5576</v>
      </c>
      <c r="E6821" s="193"/>
      <c r="F6821" s="193"/>
      <c r="G6821" s="193"/>
    </row>
    <row r="6822" spans="2:7" hidden="1">
      <c r="B6822" s="141" t="s">
        <v>17686</v>
      </c>
      <c r="C6822" s="193"/>
      <c r="D6822" s="141" t="s">
        <v>17687</v>
      </c>
      <c r="E6822" s="193"/>
      <c r="F6822" s="193"/>
      <c r="G6822" s="193"/>
    </row>
    <row r="6823" spans="2:7" hidden="1">
      <c r="B6823" s="141" t="s">
        <v>17688</v>
      </c>
      <c r="C6823" s="193" t="s">
        <v>17689</v>
      </c>
      <c r="D6823" s="141" t="s">
        <v>17690</v>
      </c>
      <c r="E6823" s="193"/>
      <c r="F6823" s="193"/>
      <c r="G6823" s="193"/>
    </row>
    <row r="6824" spans="2:7" hidden="1">
      <c r="B6824" s="140" t="s">
        <v>17691</v>
      </c>
      <c r="C6824" s="193"/>
      <c r="D6824" s="140" t="s">
        <v>17692</v>
      </c>
      <c r="E6824" s="195"/>
      <c r="F6824" s="195"/>
      <c r="G6824" s="193"/>
    </row>
    <row r="6825" spans="2:7" hidden="1">
      <c r="B6825" s="140" t="s">
        <v>17693</v>
      </c>
      <c r="C6825" s="193" t="s">
        <v>17694</v>
      </c>
      <c r="D6825" s="140" t="s">
        <v>5576</v>
      </c>
      <c r="E6825" s="195"/>
      <c r="F6825" s="195"/>
      <c r="G6825" s="193"/>
    </row>
    <row r="6826" spans="2:7" hidden="1">
      <c r="B6826" s="140" t="s">
        <v>17695</v>
      </c>
      <c r="C6826" s="193"/>
      <c r="D6826" s="140" t="s">
        <v>17696</v>
      </c>
      <c r="E6826" s="195"/>
      <c r="F6826" s="195"/>
      <c r="G6826" s="193"/>
    </row>
    <row r="6827" spans="2:7" hidden="1">
      <c r="B6827" s="141" t="s">
        <v>17697</v>
      </c>
      <c r="C6827" s="193"/>
      <c r="D6827" s="141" t="s">
        <v>17692</v>
      </c>
      <c r="E6827" s="193"/>
      <c r="F6827" s="193"/>
      <c r="G6827" s="193"/>
    </row>
    <row r="6828" spans="2:7" hidden="1">
      <c r="B6828" s="141" t="s">
        <v>17698</v>
      </c>
      <c r="C6828" s="193" t="s">
        <v>17699</v>
      </c>
      <c r="D6828" s="141" t="s">
        <v>17700</v>
      </c>
      <c r="E6828" s="193"/>
      <c r="F6828" s="193" t="s">
        <v>9154</v>
      </c>
      <c r="G6828" s="193"/>
    </row>
    <row r="6829" spans="2:7" hidden="1">
      <c r="B6829" s="141" t="s">
        <v>17701</v>
      </c>
      <c r="C6829" s="193"/>
      <c r="D6829" s="141" t="s">
        <v>17702</v>
      </c>
      <c r="E6829" s="193"/>
      <c r="F6829" s="193"/>
      <c r="G6829" s="193"/>
    </row>
    <row r="6830" spans="2:7" hidden="1">
      <c r="B6830" s="141" t="s">
        <v>17703</v>
      </c>
      <c r="C6830" s="194" t="s">
        <v>17704</v>
      </c>
      <c r="D6830" s="141" t="s">
        <v>15145</v>
      </c>
      <c r="E6830" s="193" t="s">
        <v>17705</v>
      </c>
      <c r="F6830" s="193" t="s">
        <v>9154</v>
      </c>
      <c r="G6830" s="193"/>
    </row>
    <row r="6831" spans="2:7" hidden="1">
      <c r="B6831" s="141" t="s">
        <v>17706</v>
      </c>
      <c r="C6831" s="193" t="s">
        <v>17707</v>
      </c>
      <c r="D6831" s="141" t="s">
        <v>17708</v>
      </c>
      <c r="E6831" s="193"/>
      <c r="F6831" s="194"/>
      <c r="G6831" s="193" t="s">
        <v>17709</v>
      </c>
    </row>
    <row r="6832" spans="2:7" hidden="1">
      <c r="B6832" s="141" t="s">
        <v>17710</v>
      </c>
      <c r="C6832" s="193"/>
      <c r="D6832" s="141" t="s">
        <v>17711</v>
      </c>
      <c r="E6832" s="193"/>
      <c r="F6832" s="193"/>
      <c r="G6832" s="193"/>
    </row>
    <row r="6833" spans="2:7" hidden="1">
      <c r="B6833" s="141" t="s">
        <v>17712</v>
      </c>
      <c r="C6833" s="193"/>
      <c r="D6833" s="141" t="s">
        <v>7563</v>
      </c>
      <c r="E6833" s="193"/>
      <c r="F6833" s="193"/>
      <c r="G6833" s="193"/>
    </row>
    <row r="6834" spans="2:7" hidden="1">
      <c r="B6834" s="141" t="s">
        <v>17713</v>
      </c>
      <c r="C6834" s="193" t="s">
        <v>17714</v>
      </c>
      <c r="D6834" s="141" t="s">
        <v>17715</v>
      </c>
      <c r="E6834" s="193" t="s">
        <v>17716</v>
      </c>
      <c r="F6834" s="193"/>
      <c r="G6834" s="193"/>
    </row>
    <row r="6835" spans="2:7" hidden="1">
      <c r="B6835" s="141" t="s">
        <v>17717</v>
      </c>
      <c r="C6835" s="193"/>
      <c r="D6835" s="141" t="s">
        <v>17718</v>
      </c>
      <c r="E6835" s="193"/>
      <c r="F6835" s="193"/>
      <c r="G6835" s="193"/>
    </row>
    <row r="6836" spans="2:7" hidden="1">
      <c r="B6836" s="141" t="s">
        <v>17719</v>
      </c>
      <c r="C6836" s="193"/>
      <c r="D6836" s="141" t="s">
        <v>1946</v>
      </c>
      <c r="E6836" s="193"/>
      <c r="F6836" s="193"/>
      <c r="G6836" s="193"/>
    </row>
    <row r="6837" spans="2:7" hidden="1">
      <c r="B6837" s="140" t="s">
        <v>17720</v>
      </c>
      <c r="C6837" s="193"/>
      <c r="D6837" s="140" t="s">
        <v>17721</v>
      </c>
      <c r="E6837" s="193"/>
      <c r="F6837" s="193"/>
      <c r="G6837" s="193"/>
    </row>
    <row r="6838" spans="2:7" hidden="1">
      <c r="B6838" s="141" t="s">
        <v>17722</v>
      </c>
      <c r="C6838" s="193" t="s">
        <v>17723</v>
      </c>
      <c r="D6838" s="141" t="s">
        <v>3055</v>
      </c>
      <c r="E6838" s="193" t="s">
        <v>17724</v>
      </c>
      <c r="F6838" s="193"/>
      <c r="G6838" s="193"/>
    </row>
    <row r="6839" spans="2:7" hidden="1">
      <c r="B6839" s="141" t="s">
        <v>17725</v>
      </c>
      <c r="C6839" s="193" t="s">
        <v>17726</v>
      </c>
      <c r="D6839" s="141" t="s">
        <v>17727</v>
      </c>
      <c r="E6839" s="193"/>
      <c r="F6839" s="193"/>
      <c r="G6839" s="193"/>
    </row>
    <row r="6840" spans="2:7" hidden="1">
      <c r="B6840" s="141" t="s">
        <v>17728</v>
      </c>
      <c r="C6840" s="193"/>
      <c r="D6840" s="141" t="s">
        <v>6860</v>
      </c>
      <c r="E6840" s="193"/>
      <c r="F6840" s="193"/>
      <c r="G6840" s="193"/>
    </row>
    <row r="6841" spans="2:7" hidden="1">
      <c r="B6841" s="140" t="s">
        <v>17729</v>
      </c>
      <c r="C6841" s="193"/>
      <c r="D6841" s="140" t="s">
        <v>17730</v>
      </c>
      <c r="E6841" s="193"/>
      <c r="F6841" s="193"/>
      <c r="G6841" s="193"/>
    </row>
    <row r="6842" spans="2:7" hidden="1">
      <c r="B6842" s="141" t="s">
        <v>17731</v>
      </c>
      <c r="C6842" s="194"/>
      <c r="D6842" s="141" t="s">
        <v>7082</v>
      </c>
      <c r="E6842" s="194"/>
      <c r="F6842" s="194"/>
      <c r="G6842" s="193"/>
    </row>
    <row r="6843" spans="2:7" hidden="1">
      <c r="B6843" s="141" t="s">
        <v>17732</v>
      </c>
      <c r="C6843" s="193"/>
      <c r="D6843" s="141" t="s">
        <v>17733</v>
      </c>
      <c r="E6843" s="193"/>
      <c r="F6843" s="193"/>
      <c r="G6843" s="193"/>
    </row>
    <row r="6844" spans="2:7" hidden="1">
      <c r="B6844" s="141" t="s">
        <v>17734</v>
      </c>
      <c r="C6844" s="193"/>
      <c r="D6844" s="141" t="s">
        <v>17735</v>
      </c>
      <c r="E6844" s="193"/>
      <c r="F6844" s="193"/>
      <c r="G6844" s="193"/>
    </row>
    <row r="6845" spans="2:7" hidden="1">
      <c r="B6845" s="141" t="s">
        <v>17736</v>
      </c>
      <c r="C6845" s="193"/>
      <c r="D6845" s="141" t="s">
        <v>17737</v>
      </c>
      <c r="E6845" s="193"/>
      <c r="F6845" s="193"/>
      <c r="G6845" s="193"/>
    </row>
    <row r="6846" spans="2:7" hidden="1">
      <c r="B6846" s="140" t="s">
        <v>17738</v>
      </c>
      <c r="C6846" s="194"/>
      <c r="D6846" s="141" t="s">
        <v>16639</v>
      </c>
      <c r="E6846" s="194"/>
      <c r="F6846" s="194"/>
      <c r="G6846" s="193"/>
    </row>
    <row r="6847" spans="2:7" hidden="1">
      <c r="B6847" s="140" t="s">
        <v>17739</v>
      </c>
      <c r="C6847" s="193"/>
      <c r="D6847" s="140" t="s">
        <v>17740</v>
      </c>
      <c r="E6847" s="195"/>
      <c r="F6847" s="195"/>
      <c r="G6847" s="193"/>
    </row>
    <row r="6848" spans="2:7" hidden="1">
      <c r="B6848" s="141" t="s">
        <v>17741</v>
      </c>
      <c r="C6848" s="193"/>
      <c r="D6848" s="141" t="s">
        <v>17742</v>
      </c>
      <c r="E6848" s="193"/>
      <c r="F6848" s="193"/>
      <c r="G6848" s="193"/>
    </row>
    <row r="6849" spans="2:7" hidden="1">
      <c r="B6849" s="141" t="s">
        <v>17743</v>
      </c>
      <c r="C6849" s="193" t="s">
        <v>17744</v>
      </c>
      <c r="D6849" s="141" t="s">
        <v>4806</v>
      </c>
      <c r="E6849" s="193"/>
      <c r="F6849" s="193"/>
      <c r="G6849" s="193"/>
    </row>
    <row r="6850" spans="2:7" hidden="1">
      <c r="B6850" s="141" t="s">
        <v>17745</v>
      </c>
      <c r="C6850" s="193"/>
      <c r="D6850" s="141" t="s">
        <v>17746</v>
      </c>
      <c r="E6850" s="193"/>
      <c r="F6850" s="193"/>
      <c r="G6850" s="193"/>
    </row>
    <row r="6851" spans="2:7" hidden="1">
      <c r="B6851" s="140" t="s">
        <v>17747</v>
      </c>
      <c r="C6851" s="193" t="s">
        <v>17748</v>
      </c>
      <c r="D6851" s="140" t="s">
        <v>13706</v>
      </c>
      <c r="E6851" s="195" t="s">
        <v>17749</v>
      </c>
      <c r="F6851" s="195" t="s">
        <v>17750</v>
      </c>
      <c r="G6851" s="193"/>
    </row>
    <row r="6852" spans="2:7" hidden="1">
      <c r="B6852" s="140" t="s">
        <v>17751</v>
      </c>
      <c r="C6852" s="193"/>
      <c r="D6852" s="140" t="s">
        <v>17752</v>
      </c>
      <c r="E6852" s="193"/>
      <c r="F6852" s="193"/>
      <c r="G6852" s="193"/>
    </row>
    <row r="6853" spans="2:7" hidden="1">
      <c r="B6853" s="141" t="s">
        <v>17753</v>
      </c>
      <c r="C6853" s="194"/>
      <c r="D6853" s="141" t="s">
        <v>3880</v>
      </c>
      <c r="E6853" s="194"/>
      <c r="F6853" s="193"/>
      <c r="G6853" s="193"/>
    </row>
    <row r="6854" spans="2:7" hidden="1">
      <c r="B6854" s="141" t="s">
        <v>17754</v>
      </c>
      <c r="C6854" s="193" t="s">
        <v>17755</v>
      </c>
      <c r="D6854" s="141" t="s">
        <v>17527</v>
      </c>
      <c r="E6854" s="193"/>
      <c r="F6854" s="193"/>
      <c r="G6854" s="193"/>
    </row>
    <row r="6855" spans="2:7" hidden="1">
      <c r="B6855" s="140" t="s">
        <v>17756</v>
      </c>
      <c r="C6855" s="193" t="s">
        <v>17748</v>
      </c>
      <c r="D6855" s="140" t="s">
        <v>13706</v>
      </c>
      <c r="E6855" s="193" t="s">
        <v>17749</v>
      </c>
      <c r="F6855" s="193"/>
      <c r="G6855" s="193"/>
    </row>
    <row r="6856" spans="2:7" hidden="1">
      <c r="B6856" s="141" t="s">
        <v>17757</v>
      </c>
      <c r="C6856" s="194"/>
      <c r="D6856" s="141" t="s">
        <v>4124</v>
      </c>
      <c r="E6856" s="194"/>
      <c r="F6856" s="194"/>
      <c r="G6856" s="193"/>
    </row>
    <row r="6857" spans="2:7" hidden="1">
      <c r="B6857" s="141" t="s">
        <v>17758</v>
      </c>
      <c r="C6857" s="193"/>
      <c r="D6857" s="141" t="s">
        <v>17759</v>
      </c>
      <c r="E6857" s="193"/>
      <c r="F6857" s="193"/>
      <c r="G6857" s="193"/>
    </row>
    <row r="6858" spans="2:7" hidden="1">
      <c r="B6858" s="141" t="s">
        <v>17760</v>
      </c>
      <c r="C6858" s="193"/>
      <c r="D6858" s="141" t="s">
        <v>17761</v>
      </c>
      <c r="E6858" s="193"/>
      <c r="F6858" s="193"/>
      <c r="G6858" s="193"/>
    </row>
    <row r="6859" spans="2:7" hidden="1">
      <c r="B6859" s="141" t="s">
        <v>17762</v>
      </c>
      <c r="C6859" s="193"/>
      <c r="D6859" s="141" t="s">
        <v>17763</v>
      </c>
      <c r="E6859" s="193"/>
      <c r="F6859" s="193"/>
      <c r="G6859" s="193"/>
    </row>
    <row r="6860" spans="2:7" hidden="1">
      <c r="B6860" s="141" t="s">
        <v>17764</v>
      </c>
      <c r="C6860" s="193"/>
      <c r="D6860" s="141" t="s">
        <v>6065</v>
      </c>
      <c r="E6860" s="193"/>
      <c r="F6860" s="193"/>
      <c r="G6860" s="193"/>
    </row>
    <row r="6861" spans="2:7" hidden="1">
      <c r="B6861" s="141" t="s">
        <v>17765</v>
      </c>
      <c r="C6861" s="193"/>
      <c r="D6861" s="141" t="s">
        <v>17766</v>
      </c>
      <c r="E6861" s="193"/>
      <c r="F6861" s="193"/>
      <c r="G6861" s="193"/>
    </row>
    <row r="6862" spans="2:7" hidden="1">
      <c r="B6862" s="141" t="s">
        <v>17767</v>
      </c>
      <c r="C6862" s="193"/>
      <c r="D6862" s="141" t="s">
        <v>2574</v>
      </c>
      <c r="E6862" s="193"/>
      <c r="F6862" s="193"/>
      <c r="G6862" s="193"/>
    </row>
    <row r="6863" spans="2:7" hidden="1">
      <c r="B6863" s="141" t="s">
        <v>21999</v>
      </c>
      <c r="C6863" s="193" t="s">
        <v>17768</v>
      </c>
      <c r="D6863" s="141" t="s">
        <v>17769</v>
      </c>
      <c r="E6863" s="193" t="s">
        <v>17770</v>
      </c>
      <c r="F6863" s="193" t="s">
        <v>17771</v>
      </c>
      <c r="G6863" s="193"/>
    </row>
    <row r="6864" spans="2:7" hidden="1">
      <c r="B6864" s="141" t="s">
        <v>17772</v>
      </c>
      <c r="C6864" s="193"/>
      <c r="D6864" s="141" t="s">
        <v>17773</v>
      </c>
      <c r="E6864" s="194"/>
      <c r="F6864" s="194"/>
      <c r="G6864" s="193"/>
    </row>
    <row r="6865" spans="2:7" hidden="1">
      <c r="B6865" s="141" t="s">
        <v>17774</v>
      </c>
      <c r="C6865" s="193"/>
      <c r="D6865" s="141" t="s">
        <v>17775</v>
      </c>
      <c r="E6865" s="193"/>
      <c r="F6865" s="193"/>
      <c r="G6865" s="193"/>
    </row>
    <row r="6866" spans="2:7" hidden="1">
      <c r="B6866" s="141" t="s">
        <v>17776</v>
      </c>
      <c r="C6866" s="193"/>
      <c r="D6866" s="141" t="s">
        <v>17777</v>
      </c>
      <c r="E6866" s="193"/>
      <c r="F6866" s="193"/>
      <c r="G6866" s="193"/>
    </row>
    <row r="6867" spans="2:7" hidden="1">
      <c r="B6867" s="140" t="s">
        <v>17778</v>
      </c>
      <c r="C6867" s="193"/>
      <c r="D6867" s="140" t="s">
        <v>10298</v>
      </c>
      <c r="E6867" s="193"/>
      <c r="F6867" s="193"/>
      <c r="G6867" s="193"/>
    </row>
    <row r="6868" spans="2:7" hidden="1">
      <c r="B6868" s="141" t="s">
        <v>17779</v>
      </c>
      <c r="C6868" s="193"/>
      <c r="D6868" s="141" t="s">
        <v>17780</v>
      </c>
      <c r="E6868" s="193"/>
      <c r="F6868" s="193"/>
      <c r="G6868" s="193"/>
    </row>
    <row r="6869" spans="2:7" hidden="1">
      <c r="B6869" s="141" t="s">
        <v>17781</v>
      </c>
      <c r="C6869" s="193"/>
      <c r="D6869" s="141" t="s">
        <v>10464</v>
      </c>
      <c r="E6869" s="193"/>
      <c r="F6869" s="193"/>
      <c r="G6869" s="193"/>
    </row>
    <row r="6870" spans="2:7" hidden="1">
      <c r="B6870" s="141" t="s">
        <v>17782</v>
      </c>
      <c r="C6870" s="193" t="s">
        <v>17783</v>
      </c>
      <c r="D6870" s="141" t="s">
        <v>2518</v>
      </c>
      <c r="E6870" s="193"/>
      <c r="F6870" s="193"/>
      <c r="G6870" s="193"/>
    </row>
    <row r="6871" spans="2:7" hidden="1">
      <c r="B6871" s="141" t="s">
        <v>17784</v>
      </c>
      <c r="C6871" s="193" t="s">
        <v>17785</v>
      </c>
      <c r="D6871" s="141" t="s">
        <v>3980</v>
      </c>
      <c r="E6871" s="193"/>
      <c r="F6871" s="193"/>
      <c r="G6871" s="193"/>
    </row>
    <row r="6872" spans="2:7" hidden="1">
      <c r="B6872" s="141" t="s">
        <v>17786</v>
      </c>
      <c r="C6872" s="194"/>
      <c r="D6872" s="141" t="s">
        <v>17787</v>
      </c>
      <c r="E6872" s="194"/>
      <c r="F6872" s="193"/>
      <c r="G6872" s="193"/>
    </row>
    <row r="6873" spans="2:7" hidden="1">
      <c r="B6873" s="141" t="s">
        <v>17788</v>
      </c>
      <c r="C6873" s="194"/>
      <c r="D6873" s="141" t="s">
        <v>17789</v>
      </c>
      <c r="E6873" s="194"/>
      <c r="F6873" s="193"/>
      <c r="G6873" s="193"/>
    </row>
    <row r="6874" spans="2:7" hidden="1">
      <c r="B6874" s="141" t="s">
        <v>17790</v>
      </c>
      <c r="C6874" s="193"/>
      <c r="D6874" s="141" t="s">
        <v>16263</v>
      </c>
      <c r="E6874" s="193"/>
      <c r="F6874" s="193"/>
      <c r="G6874" s="193"/>
    </row>
    <row r="6875" spans="2:7" hidden="1">
      <c r="B6875" s="141" t="s">
        <v>17791</v>
      </c>
      <c r="C6875" s="193"/>
      <c r="D6875" s="141" t="s">
        <v>17792</v>
      </c>
      <c r="E6875" s="193"/>
      <c r="F6875" s="193"/>
      <c r="G6875" s="193"/>
    </row>
    <row r="6876" spans="2:7" hidden="1">
      <c r="B6876" s="141" t="s">
        <v>17793</v>
      </c>
      <c r="C6876" s="193" t="s">
        <v>17794</v>
      </c>
      <c r="D6876" s="141" t="s">
        <v>12283</v>
      </c>
      <c r="E6876" s="193"/>
      <c r="F6876" s="193"/>
      <c r="G6876" s="193"/>
    </row>
    <row r="6877" spans="2:7" hidden="1">
      <c r="B6877" s="141" t="s">
        <v>17795</v>
      </c>
      <c r="C6877" s="193"/>
      <c r="D6877" s="141" t="s">
        <v>17796</v>
      </c>
      <c r="E6877" s="193"/>
      <c r="F6877" s="193"/>
      <c r="G6877" s="193"/>
    </row>
    <row r="6878" spans="2:7" hidden="1">
      <c r="B6878" s="141" t="s">
        <v>17797</v>
      </c>
      <c r="C6878" s="193"/>
      <c r="D6878" s="141" t="s">
        <v>17798</v>
      </c>
      <c r="E6878" s="193"/>
      <c r="F6878" s="193"/>
      <c r="G6878" s="193"/>
    </row>
    <row r="6879" spans="2:7" hidden="1">
      <c r="B6879" s="141" t="s">
        <v>17799</v>
      </c>
      <c r="C6879" s="193"/>
      <c r="D6879" s="141" t="s">
        <v>17800</v>
      </c>
      <c r="E6879" s="193"/>
      <c r="F6879" s="193"/>
      <c r="G6879" s="193"/>
    </row>
    <row r="6880" spans="2:7" hidden="1">
      <c r="B6880" s="140" t="s">
        <v>17801</v>
      </c>
      <c r="C6880" s="193"/>
      <c r="D6880" s="140" t="s">
        <v>17802</v>
      </c>
      <c r="E6880" s="195"/>
      <c r="F6880" s="195"/>
      <c r="G6880" s="193"/>
    </row>
    <row r="6881" spans="2:7" hidden="1">
      <c r="B6881" s="140" t="s">
        <v>17803</v>
      </c>
      <c r="C6881" s="193"/>
      <c r="D6881" s="140" t="s">
        <v>17804</v>
      </c>
      <c r="E6881" s="195"/>
      <c r="F6881" s="195"/>
      <c r="G6881" s="193"/>
    </row>
    <row r="6882" spans="2:7" hidden="1">
      <c r="B6882" s="140" t="s">
        <v>17805</v>
      </c>
      <c r="C6882" s="193" t="s">
        <v>17806</v>
      </c>
      <c r="D6882" s="140" t="s">
        <v>17807</v>
      </c>
      <c r="E6882" s="195"/>
      <c r="F6882" s="195"/>
      <c r="G6882" s="193"/>
    </row>
    <row r="6883" spans="2:7" hidden="1">
      <c r="B6883" s="141" t="s">
        <v>17808</v>
      </c>
      <c r="C6883" s="193"/>
      <c r="D6883" s="140" t="s">
        <v>17809</v>
      </c>
      <c r="E6883" s="193"/>
      <c r="F6883" s="193"/>
      <c r="G6883" s="193"/>
    </row>
    <row r="6884" spans="2:7" hidden="1">
      <c r="B6884" s="140" t="s">
        <v>17810</v>
      </c>
      <c r="C6884" s="193"/>
      <c r="D6884" s="140" t="s">
        <v>2702</v>
      </c>
      <c r="E6884" s="193"/>
      <c r="F6884" s="193"/>
      <c r="G6884" s="193"/>
    </row>
    <row r="6885" spans="2:7" hidden="1">
      <c r="B6885" s="141" t="s">
        <v>17811</v>
      </c>
      <c r="C6885" s="193"/>
      <c r="D6885" s="141" t="s">
        <v>17812</v>
      </c>
      <c r="E6885" s="193"/>
      <c r="F6885" s="193"/>
      <c r="G6885" s="193"/>
    </row>
    <row r="6886" spans="2:7" hidden="1">
      <c r="B6886" s="140" t="s">
        <v>17813</v>
      </c>
      <c r="C6886" s="193"/>
      <c r="D6886" s="140" t="s">
        <v>17106</v>
      </c>
      <c r="E6886" s="195"/>
      <c r="F6886" s="195"/>
      <c r="G6886" s="193"/>
    </row>
    <row r="6887" spans="2:7" hidden="1">
      <c r="B6887" s="141" t="s">
        <v>17814</v>
      </c>
      <c r="C6887" s="193" t="s">
        <v>17815</v>
      </c>
      <c r="D6887" s="141" t="s">
        <v>17816</v>
      </c>
      <c r="E6887" s="193" t="s">
        <v>17817</v>
      </c>
      <c r="F6887" s="193" t="s">
        <v>17818</v>
      </c>
      <c r="G6887" s="193"/>
    </row>
    <row r="6888" spans="2:7" hidden="1">
      <c r="B6888" s="140" t="s">
        <v>17819</v>
      </c>
      <c r="C6888" s="193"/>
      <c r="D6888" s="140" t="s">
        <v>17820</v>
      </c>
      <c r="E6888" s="195"/>
      <c r="F6888" s="195"/>
      <c r="G6888" s="193"/>
    </row>
    <row r="6889" spans="2:7" hidden="1">
      <c r="B6889" s="140" t="s">
        <v>17821</v>
      </c>
      <c r="C6889" s="193"/>
      <c r="D6889" s="140" t="s">
        <v>17822</v>
      </c>
      <c r="E6889" s="195"/>
      <c r="F6889" s="195"/>
      <c r="G6889" s="193"/>
    </row>
    <row r="6890" spans="2:7" hidden="1">
      <c r="B6890" s="141" t="s">
        <v>17823</v>
      </c>
      <c r="C6890" s="193" t="s">
        <v>17824</v>
      </c>
      <c r="D6890" s="141" t="s">
        <v>17825</v>
      </c>
      <c r="E6890" s="193" t="s">
        <v>17826</v>
      </c>
      <c r="F6890" s="193" t="s">
        <v>17827</v>
      </c>
      <c r="G6890" s="193"/>
    </row>
    <row r="6891" spans="2:7" hidden="1">
      <c r="B6891" s="141" t="s">
        <v>17823</v>
      </c>
      <c r="C6891" s="193" t="s">
        <v>17828</v>
      </c>
      <c r="D6891" s="141" t="s">
        <v>17829</v>
      </c>
      <c r="E6891" s="193"/>
      <c r="F6891" s="193" t="s">
        <v>17830</v>
      </c>
      <c r="G6891" s="193"/>
    </row>
    <row r="6892" spans="2:7" hidden="1">
      <c r="B6892" s="141" t="s">
        <v>17831</v>
      </c>
      <c r="C6892" s="194"/>
      <c r="D6892" s="141" t="s">
        <v>17832</v>
      </c>
      <c r="E6892" s="194"/>
      <c r="F6892" s="194"/>
      <c r="G6892" s="193"/>
    </row>
    <row r="6893" spans="2:7" hidden="1">
      <c r="B6893" s="141" t="s">
        <v>17833</v>
      </c>
      <c r="C6893" s="193"/>
      <c r="D6893" s="141" t="s">
        <v>17834</v>
      </c>
      <c r="E6893" s="193"/>
      <c r="F6893" s="193"/>
      <c r="G6893" s="193"/>
    </row>
    <row r="6894" spans="2:7" hidden="1">
      <c r="B6894" s="141" t="s">
        <v>17835</v>
      </c>
      <c r="C6894" s="193"/>
      <c r="D6894" s="141" t="s">
        <v>5161</v>
      </c>
      <c r="E6894" s="193"/>
      <c r="F6894" s="193"/>
      <c r="G6894" s="193"/>
    </row>
    <row r="6895" spans="2:7" hidden="1">
      <c r="B6895" s="140" t="s">
        <v>17836</v>
      </c>
      <c r="C6895" s="193"/>
      <c r="D6895" s="140" t="s">
        <v>4335</v>
      </c>
      <c r="E6895" s="195"/>
      <c r="F6895" s="195"/>
      <c r="G6895" s="193"/>
    </row>
    <row r="6896" spans="2:7" hidden="1">
      <c r="B6896" s="141" t="s">
        <v>17837</v>
      </c>
      <c r="C6896" s="193"/>
      <c r="D6896" s="141" t="s">
        <v>17838</v>
      </c>
      <c r="E6896" s="193"/>
      <c r="F6896" s="193"/>
      <c r="G6896" s="193"/>
    </row>
    <row r="6897" spans="2:7" hidden="1">
      <c r="B6897" s="141" t="s">
        <v>17839</v>
      </c>
      <c r="C6897" s="140"/>
      <c r="D6897" s="141" t="s">
        <v>17840</v>
      </c>
      <c r="E6897" s="140"/>
      <c r="F6897" s="140"/>
      <c r="G6897" s="140"/>
    </row>
    <row r="6898" spans="2:7" hidden="1">
      <c r="B6898" s="141" t="s">
        <v>17841</v>
      </c>
      <c r="C6898" s="140"/>
      <c r="D6898" s="141" t="s">
        <v>17842</v>
      </c>
      <c r="E6898" s="140"/>
      <c r="F6898" s="140"/>
      <c r="G6898" s="140"/>
    </row>
    <row r="6899" spans="2:7" hidden="1">
      <c r="B6899" s="140" t="s">
        <v>17843</v>
      </c>
      <c r="C6899" s="140"/>
      <c r="D6899" s="140" t="s">
        <v>4710</v>
      </c>
      <c r="E6899" s="142"/>
      <c r="F6899" s="142"/>
      <c r="G6899" s="140"/>
    </row>
    <row r="6900" spans="2:7" hidden="1">
      <c r="B6900" s="140" t="s">
        <v>17844</v>
      </c>
      <c r="C6900" s="140" t="s">
        <v>17845</v>
      </c>
      <c r="D6900" s="140" t="s">
        <v>7780</v>
      </c>
      <c r="E6900" s="140" t="s">
        <v>17846</v>
      </c>
      <c r="F6900" s="140" t="s">
        <v>17847</v>
      </c>
      <c r="G6900" s="140"/>
    </row>
    <row r="6901" spans="2:7" hidden="1">
      <c r="B6901" s="140" t="s">
        <v>17848</v>
      </c>
      <c r="C6901" s="140"/>
      <c r="D6901" s="140" t="s">
        <v>17849</v>
      </c>
      <c r="E6901" s="142"/>
      <c r="F6901" s="142"/>
      <c r="G6901" s="140"/>
    </row>
    <row r="6902" spans="2:7" hidden="1">
      <c r="B6902" s="141" t="s">
        <v>17850</v>
      </c>
      <c r="C6902" s="140"/>
      <c r="D6902" s="141" t="s">
        <v>11639</v>
      </c>
      <c r="E6902" s="140"/>
      <c r="F6902" s="140"/>
      <c r="G6902" s="140"/>
    </row>
    <row r="6903" spans="2:7" hidden="1">
      <c r="B6903" s="141" t="s">
        <v>17851</v>
      </c>
      <c r="C6903" s="140"/>
      <c r="D6903" s="141" t="s">
        <v>6294</v>
      </c>
      <c r="E6903" s="140"/>
      <c r="F6903" s="140"/>
      <c r="G6903" s="140"/>
    </row>
    <row r="6904" spans="2:7" hidden="1">
      <c r="B6904" s="140" t="s">
        <v>20287</v>
      </c>
      <c r="C6904" s="140" t="s">
        <v>20288</v>
      </c>
      <c r="D6904" s="140" t="s">
        <v>20289</v>
      </c>
      <c r="E6904" s="142" t="s">
        <v>20290</v>
      </c>
      <c r="F6904" s="142"/>
      <c r="G6904" s="140" t="s">
        <v>20291</v>
      </c>
    </row>
    <row r="6905" spans="2:7" hidden="1">
      <c r="B6905" s="141" t="s">
        <v>17852</v>
      </c>
      <c r="C6905" s="141"/>
      <c r="D6905" s="141" t="s">
        <v>17853</v>
      </c>
      <c r="E6905" s="141"/>
      <c r="F6905" s="140"/>
      <c r="G6905" s="140"/>
    </row>
    <row r="6906" spans="2:7" hidden="1">
      <c r="B6906" s="140" t="s">
        <v>20344</v>
      </c>
      <c r="C6906" s="140" t="s">
        <v>21166</v>
      </c>
      <c r="D6906" s="140" t="s">
        <v>21165</v>
      </c>
      <c r="E6906" s="142" t="s">
        <v>21167</v>
      </c>
      <c r="F6906" s="142"/>
      <c r="G6906" s="140"/>
    </row>
    <row r="6907" spans="2:7" hidden="1">
      <c r="B6907" s="141" t="s">
        <v>17854</v>
      </c>
      <c r="C6907" s="140" t="s">
        <v>17855</v>
      </c>
      <c r="D6907" s="141" t="s">
        <v>17856</v>
      </c>
      <c r="E6907" s="140"/>
      <c r="F6907" s="140"/>
      <c r="G6907" s="140" t="s">
        <v>17857</v>
      </c>
    </row>
    <row r="6908" spans="2:7" hidden="1">
      <c r="B6908" s="140" t="s">
        <v>17858</v>
      </c>
      <c r="C6908" s="140"/>
      <c r="D6908" s="140" t="s">
        <v>17859</v>
      </c>
      <c r="E6908" s="142"/>
      <c r="F6908" s="142"/>
      <c r="G6908" s="140"/>
    </row>
    <row r="6909" spans="2:7" hidden="1">
      <c r="B6909" s="141" t="s">
        <v>17860</v>
      </c>
      <c r="C6909" s="140"/>
      <c r="D6909" s="141" t="s">
        <v>10861</v>
      </c>
      <c r="E6909" s="140"/>
      <c r="F6909" s="140"/>
      <c r="G6909" s="140"/>
    </row>
    <row r="6910" spans="2:7" hidden="1">
      <c r="B6910" s="141" t="s">
        <v>17861</v>
      </c>
      <c r="C6910" s="141"/>
      <c r="D6910" s="141" t="s">
        <v>17862</v>
      </c>
      <c r="E6910" s="141"/>
      <c r="F6910" s="141"/>
      <c r="G6910" s="140"/>
    </row>
    <row r="6911" spans="2:7" hidden="1">
      <c r="B6911" s="141" t="s">
        <v>17863</v>
      </c>
      <c r="C6911" s="140"/>
      <c r="D6911" s="141" t="s">
        <v>17864</v>
      </c>
      <c r="E6911" s="140"/>
      <c r="F6911" s="140"/>
      <c r="G6911" s="140"/>
    </row>
    <row r="6912" spans="2:7" hidden="1">
      <c r="B6912" s="141" t="s">
        <v>17865</v>
      </c>
      <c r="C6912" s="140"/>
      <c r="D6912" s="141" t="s">
        <v>17866</v>
      </c>
      <c r="E6912" s="140"/>
      <c r="F6912" s="140"/>
      <c r="G6912" s="140"/>
    </row>
    <row r="6913" spans="2:7" hidden="1">
      <c r="B6913" s="141" t="s">
        <v>17867</v>
      </c>
      <c r="C6913" s="140"/>
      <c r="D6913" s="141" t="s">
        <v>17868</v>
      </c>
      <c r="E6913" s="141"/>
      <c r="F6913" s="140"/>
      <c r="G6913" s="140"/>
    </row>
    <row r="6914" spans="2:7" hidden="1">
      <c r="B6914" s="141" t="s">
        <v>22001</v>
      </c>
      <c r="C6914" s="140"/>
      <c r="D6914" s="141" t="s">
        <v>17869</v>
      </c>
      <c r="E6914" s="140"/>
      <c r="F6914" s="140"/>
      <c r="G6914" s="140"/>
    </row>
    <row r="6915" spans="2:7" hidden="1">
      <c r="B6915" s="140" t="s">
        <v>17870</v>
      </c>
      <c r="C6915" s="140"/>
      <c r="D6915" s="140" t="s">
        <v>17871</v>
      </c>
      <c r="E6915" s="142"/>
      <c r="F6915" s="142"/>
      <c r="G6915" s="140"/>
    </row>
    <row r="6916" spans="2:7" hidden="1">
      <c r="B6916" s="141" t="s">
        <v>22002</v>
      </c>
      <c r="C6916" s="140" t="s">
        <v>17872</v>
      </c>
      <c r="D6916" s="141" t="s">
        <v>17873</v>
      </c>
      <c r="E6916" s="140" t="s">
        <v>17874</v>
      </c>
      <c r="F6916" s="140" t="s">
        <v>17875</v>
      </c>
      <c r="G6916" s="140"/>
    </row>
    <row r="6917" spans="2:7" hidden="1">
      <c r="B6917" s="141" t="s">
        <v>22003</v>
      </c>
      <c r="C6917" s="140"/>
      <c r="D6917" s="141" t="s">
        <v>6026</v>
      </c>
      <c r="E6917" s="140"/>
      <c r="F6917" s="140"/>
      <c r="G6917" s="140"/>
    </row>
    <row r="6918" spans="2:7" hidden="1">
      <c r="B6918" s="141" t="s">
        <v>22000</v>
      </c>
      <c r="C6918" s="141"/>
      <c r="D6918" s="141" t="s">
        <v>2604</v>
      </c>
      <c r="E6918" s="141"/>
      <c r="F6918" s="141"/>
      <c r="G6918" s="140"/>
    </row>
    <row r="6919" spans="2:7" hidden="1">
      <c r="B6919" s="141" t="s">
        <v>17876</v>
      </c>
      <c r="C6919" s="140"/>
      <c r="D6919" s="141" t="s">
        <v>9919</v>
      </c>
      <c r="E6919" s="140"/>
      <c r="F6919" s="140"/>
      <c r="G6919" s="140"/>
    </row>
    <row r="6920" spans="2:7" hidden="1">
      <c r="B6920" s="140" t="s">
        <v>17877</v>
      </c>
      <c r="C6920" s="140"/>
      <c r="D6920" s="140" t="s">
        <v>5718</v>
      </c>
      <c r="E6920" s="142"/>
      <c r="F6920" s="142"/>
      <c r="G6920" s="140"/>
    </row>
    <row r="6921" spans="2:7" hidden="1">
      <c r="B6921" s="140" t="s">
        <v>17878</v>
      </c>
      <c r="C6921" s="140"/>
      <c r="D6921" s="140" t="s">
        <v>17879</v>
      </c>
      <c r="E6921" s="142"/>
      <c r="F6921" s="142"/>
      <c r="G6921" s="140"/>
    </row>
    <row r="6922" spans="2:7" hidden="1">
      <c r="B6922" s="140" t="s">
        <v>17880</v>
      </c>
      <c r="C6922" s="140" t="s">
        <v>17881</v>
      </c>
      <c r="D6922" s="140" t="s">
        <v>17882</v>
      </c>
      <c r="E6922" s="142" t="s">
        <v>17883</v>
      </c>
      <c r="F6922" s="142" t="s">
        <v>17883</v>
      </c>
      <c r="G6922" s="140" t="s">
        <v>17884</v>
      </c>
    </row>
    <row r="6923" spans="2:7" hidden="1">
      <c r="B6923" s="141" t="s">
        <v>17885</v>
      </c>
      <c r="C6923" s="140" t="s">
        <v>17886</v>
      </c>
      <c r="D6923" s="141" t="s">
        <v>17887</v>
      </c>
      <c r="E6923" s="140" t="s">
        <v>17888</v>
      </c>
      <c r="F6923" s="140"/>
      <c r="G6923" s="140"/>
    </row>
    <row r="6924" spans="2:7" hidden="1">
      <c r="B6924" s="141" t="s">
        <v>17889</v>
      </c>
      <c r="C6924" s="140"/>
      <c r="D6924" s="141" t="s">
        <v>17890</v>
      </c>
      <c r="E6924" s="140"/>
      <c r="F6924" s="140"/>
      <c r="G6924" s="140"/>
    </row>
    <row r="6925" spans="2:7" hidden="1">
      <c r="B6925" s="141" t="s">
        <v>17891</v>
      </c>
      <c r="C6925" s="140"/>
      <c r="D6925" s="141" t="s">
        <v>6141</v>
      </c>
      <c r="E6925" s="140"/>
      <c r="F6925" s="140"/>
      <c r="G6925" s="140"/>
    </row>
    <row r="6926" spans="2:7" hidden="1">
      <c r="B6926" s="141" t="s">
        <v>17892</v>
      </c>
      <c r="C6926" s="140"/>
      <c r="D6926" s="141" t="s">
        <v>17893</v>
      </c>
      <c r="E6926" s="140"/>
      <c r="F6926" s="140"/>
      <c r="G6926" s="140"/>
    </row>
    <row r="6927" spans="2:7" hidden="1">
      <c r="B6927" s="141" t="s">
        <v>22004</v>
      </c>
      <c r="C6927" s="140"/>
      <c r="D6927" s="141" t="s">
        <v>3894</v>
      </c>
      <c r="E6927" s="140"/>
      <c r="F6927" s="140"/>
      <c r="G6927" s="140"/>
    </row>
    <row r="6928" spans="2:7" hidden="1">
      <c r="B6928" s="141" t="s">
        <v>17894</v>
      </c>
      <c r="C6928" s="140"/>
      <c r="D6928" s="141" t="s">
        <v>4437</v>
      </c>
      <c r="E6928" s="140"/>
      <c r="F6928" s="140"/>
      <c r="G6928" s="140"/>
    </row>
    <row r="6929" spans="2:7" hidden="1">
      <c r="B6929" s="141" t="s">
        <v>17895</v>
      </c>
      <c r="C6929" s="140"/>
      <c r="D6929" s="141" t="s">
        <v>2702</v>
      </c>
      <c r="E6929" s="140"/>
      <c r="F6929" s="140"/>
      <c r="G6929" s="140"/>
    </row>
    <row r="6930" spans="2:7" hidden="1">
      <c r="B6930" s="140" t="s">
        <v>17896</v>
      </c>
      <c r="C6930" s="140"/>
      <c r="D6930" s="140" t="s">
        <v>9161</v>
      </c>
      <c r="E6930" s="142"/>
      <c r="F6930" s="142"/>
      <c r="G6930" s="140"/>
    </row>
    <row r="6931" spans="2:7" hidden="1">
      <c r="B6931" s="141" t="s">
        <v>17897</v>
      </c>
      <c r="C6931" s="140"/>
      <c r="D6931" s="141" t="s">
        <v>4290</v>
      </c>
      <c r="E6931" s="140"/>
      <c r="F6931" s="140"/>
      <c r="G6931" s="140"/>
    </row>
    <row r="6932" spans="2:7" hidden="1">
      <c r="B6932" s="141" t="s">
        <v>17898</v>
      </c>
      <c r="C6932" s="140"/>
      <c r="D6932" s="141" t="s">
        <v>17899</v>
      </c>
      <c r="E6932" s="140"/>
      <c r="F6932" s="140"/>
      <c r="G6932" s="140"/>
    </row>
    <row r="6933" spans="2:7" hidden="1">
      <c r="B6933" s="140" t="s">
        <v>17900</v>
      </c>
      <c r="C6933" s="140"/>
      <c r="D6933" s="140" t="s">
        <v>17901</v>
      </c>
      <c r="E6933" s="142"/>
      <c r="F6933" s="142"/>
      <c r="G6933" s="140"/>
    </row>
    <row r="6934" spans="2:7" hidden="1">
      <c r="B6934" s="140" t="s">
        <v>17902</v>
      </c>
      <c r="C6934" s="140" t="s">
        <v>17903</v>
      </c>
      <c r="D6934" s="140" t="s">
        <v>9824</v>
      </c>
      <c r="E6934" s="142" t="s">
        <v>17904</v>
      </c>
      <c r="F6934" s="142"/>
      <c r="G6934" s="140"/>
    </row>
    <row r="6935" spans="2:7" hidden="1">
      <c r="B6935" s="141" t="s">
        <v>17905</v>
      </c>
      <c r="C6935" s="140"/>
      <c r="D6935" s="141" t="s">
        <v>17906</v>
      </c>
      <c r="E6935" s="140"/>
      <c r="F6935" s="140"/>
      <c r="G6935" s="140"/>
    </row>
    <row r="6936" spans="2:7" hidden="1">
      <c r="B6936" s="141" t="s">
        <v>17907</v>
      </c>
      <c r="C6936" s="140"/>
      <c r="D6936" s="141" t="s">
        <v>17908</v>
      </c>
      <c r="E6936" s="140"/>
      <c r="F6936" s="140"/>
      <c r="G6936" s="140"/>
    </row>
    <row r="6937" spans="2:7" hidden="1">
      <c r="B6937" s="141" t="s">
        <v>17909</v>
      </c>
      <c r="C6937" s="141" t="s">
        <v>17910</v>
      </c>
      <c r="D6937" s="141" t="s">
        <v>17911</v>
      </c>
      <c r="E6937" s="140" t="s">
        <v>17912</v>
      </c>
      <c r="F6937" s="140"/>
      <c r="G6937" s="140"/>
    </row>
    <row r="6938" spans="2:7" hidden="1">
      <c r="B6938" s="141" t="s">
        <v>17913</v>
      </c>
      <c r="C6938" s="140" t="s">
        <v>17914</v>
      </c>
      <c r="D6938" s="141" t="s">
        <v>17915</v>
      </c>
      <c r="E6938" s="140"/>
      <c r="F6938" s="140"/>
      <c r="G6938" s="140" t="s">
        <v>17916</v>
      </c>
    </row>
    <row r="6939" spans="2:7" hidden="1">
      <c r="B6939" s="140" t="s">
        <v>21360</v>
      </c>
      <c r="C6939" s="140" t="s">
        <v>21359</v>
      </c>
      <c r="D6939" s="140" t="s">
        <v>21358</v>
      </c>
      <c r="E6939" s="142" t="s">
        <v>21357</v>
      </c>
      <c r="F6939" s="142"/>
      <c r="G6939" s="140" t="s">
        <v>21361</v>
      </c>
    </row>
    <row r="6940" spans="2:7" hidden="1">
      <c r="B6940" s="141" t="s">
        <v>17917</v>
      </c>
      <c r="C6940" s="140" t="s">
        <v>17918</v>
      </c>
      <c r="D6940" s="141" t="s">
        <v>17919</v>
      </c>
      <c r="E6940" s="140"/>
      <c r="F6940" s="140"/>
      <c r="G6940" s="140"/>
    </row>
    <row r="6941" spans="2:7" hidden="1">
      <c r="B6941" s="141" t="s">
        <v>17920</v>
      </c>
      <c r="C6941" s="140"/>
      <c r="D6941" s="141" t="s">
        <v>8460</v>
      </c>
      <c r="E6941" s="140"/>
      <c r="F6941" s="140"/>
      <c r="G6941" s="140"/>
    </row>
    <row r="6942" spans="2:7" hidden="1">
      <c r="B6942" s="141" t="s">
        <v>17921</v>
      </c>
      <c r="C6942" s="141"/>
      <c r="D6942" s="141" t="s">
        <v>17400</v>
      </c>
      <c r="E6942" s="141"/>
      <c r="F6942" s="141"/>
      <c r="G6942" s="140"/>
    </row>
    <row r="6943" spans="2:7" hidden="1">
      <c r="B6943" s="141" t="s">
        <v>17922</v>
      </c>
      <c r="C6943" s="140"/>
      <c r="D6943" s="141" t="s">
        <v>17923</v>
      </c>
      <c r="E6943" s="140"/>
      <c r="F6943" s="140"/>
      <c r="G6943" s="140"/>
    </row>
    <row r="6944" spans="2:7" hidden="1">
      <c r="B6944" s="140" t="s">
        <v>17924</v>
      </c>
      <c r="C6944" s="141"/>
      <c r="D6944" s="141" t="s">
        <v>16573</v>
      </c>
      <c r="E6944" s="141"/>
      <c r="F6944" s="141"/>
      <c r="G6944" s="140"/>
    </row>
    <row r="6945" spans="2:7" hidden="1">
      <c r="B6945" s="141" t="s">
        <v>17925</v>
      </c>
      <c r="C6945" s="140"/>
      <c r="D6945" s="141" t="s">
        <v>17926</v>
      </c>
      <c r="E6945" s="140"/>
      <c r="F6945" s="140"/>
      <c r="G6945" s="140"/>
    </row>
    <row r="6946" spans="2:7" hidden="1">
      <c r="B6946" s="140" t="s">
        <v>17927</v>
      </c>
      <c r="C6946" s="140" t="s">
        <v>17928</v>
      </c>
      <c r="D6946" s="140" t="s">
        <v>17929</v>
      </c>
      <c r="E6946" s="142"/>
      <c r="F6946" s="142"/>
      <c r="G6946" s="140"/>
    </row>
    <row r="6947" spans="2:7" hidden="1">
      <c r="B6947" s="140" t="s">
        <v>17930</v>
      </c>
      <c r="C6947" s="140"/>
      <c r="D6947" s="140" t="s">
        <v>17931</v>
      </c>
      <c r="E6947" s="140"/>
      <c r="F6947" s="140"/>
      <c r="G6947" s="140"/>
    </row>
    <row r="6948" spans="2:7" hidden="1">
      <c r="B6948" s="141" t="s">
        <v>17932</v>
      </c>
      <c r="C6948" s="140"/>
      <c r="D6948" s="141" t="s">
        <v>17933</v>
      </c>
      <c r="E6948" s="140"/>
      <c r="F6948" s="140"/>
      <c r="G6948" s="140"/>
    </row>
    <row r="6949" spans="2:7" hidden="1">
      <c r="B6949" s="141" t="s">
        <v>17934</v>
      </c>
      <c r="C6949" s="140"/>
      <c r="D6949" s="141" t="s">
        <v>7804</v>
      </c>
      <c r="E6949" s="140"/>
      <c r="F6949" s="140"/>
      <c r="G6949" s="140"/>
    </row>
    <row r="6950" spans="2:7" hidden="1">
      <c r="B6950" s="141" t="s">
        <v>20189</v>
      </c>
      <c r="C6950" s="140" t="s">
        <v>20190</v>
      </c>
      <c r="D6950" s="141" t="s">
        <v>15454</v>
      </c>
      <c r="E6950" s="140"/>
      <c r="F6950" s="140"/>
      <c r="G6950" s="140"/>
    </row>
    <row r="6951" spans="2:7" hidden="1">
      <c r="B6951" s="141" t="s">
        <v>20191</v>
      </c>
      <c r="C6951" s="140" t="s">
        <v>15455</v>
      </c>
      <c r="D6951" s="141" t="s">
        <v>15456</v>
      </c>
      <c r="E6951" s="140" t="s">
        <v>15452</v>
      </c>
      <c r="F6951" s="140"/>
      <c r="G6951" s="140"/>
    </row>
    <row r="6952" spans="2:7" hidden="1">
      <c r="B6952" s="141" t="s">
        <v>20192</v>
      </c>
      <c r="C6952" s="140" t="s">
        <v>15450</v>
      </c>
      <c r="D6952" s="141" t="s">
        <v>15451</v>
      </c>
      <c r="E6952" s="140" t="s">
        <v>15452</v>
      </c>
      <c r="F6952" s="140" t="s">
        <v>15453</v>
      </c>
      <c r="G6952" s="140"/>
    </row>
    <row r="6953" spans="2:7" hidden="1">
      <c r="B6953" s="141" t="s">
        <v>17935</v>
      </c>
      <c r="C6953" s="140"/>
      <c r="D6953" s="141" t="s">
        <v>9886</v>
      </c>
      <c r="E6953" s="140"/>
      <c r="F6953" s="140"/>
      <c r="G6953" s="140"/>
    </row>
    <row r="6954" spans="2:7" hidden="1">
      <c r="B6954" s="141" t="s">
        <v>17936</v>
      </c>
      <c r="C6954" s="141"/>
      <c r="D6954" s="141" t="s">
        <v>2583</v>
      </c>
      <c r="E6954" s="141"/>
      <c r="F6954" s="141"/>
      <c r="G6954" s="140"/>
    </row>
    <row r="6955" spans="2:7" hidden="1">
      <c r="B6955" s="141" t="s">
        <v>17937</v>
      </c>
      <c r="C6955" s="140"/>
      <c r="D6955" s="141" t="s">
        <v>11265</v>
      </c>
      <c r="E6955" s="140"/>
      <c r="F6955" s="140"/>
      <c r="G6955" s="140"/>
    </row>
    <row r="6956" spans="2:7" hidden="1">
      <c r="B6956" s="141" t="s">
        <v>17938</v>
      </c>
      <c r="C6956" s="140"/>
      <c r="D6956" s="141" t="s">
        <v>17939</v>
      </c>
      <c r="E6956" s="140"/>
      <c r="F6956" s="140"/>
      <c r="G6956" s="140"/>
    </row>
    <row r="6957" spans="2:7" hidden="1">
      <c r="B6957" s="141" t="s">
        <v>17940</v>
      </c>
      <c r="C6957" s="140" t="s">
        <v>17941</v>
      </c>
      <c r="D6957" s="141" t="s">
        <v>17942</v>
      </c>
      <c r="E6957" s="140" t="s">
        <v>17943</v>
      </c>
      <c r="F6957" s="140" t="s">
        <v>17944</v>
      </c>
      <c r="G6957" s="140"/>
    </row>
    <row r="6958" spans="2:7" hidden="1">
      <c r="B6958" s="141" t="s">
        <v>17945</v>
      </c>
      <c r="C6958" s="140" t="s">
        <v>17946</v>
      </c>
      <c r="D6958" s="141" t="s">
        <v>17947</v>
      </c>
      <c r="E6958" s="140" t="s">
        <v>17948</v>
      </c>
      <c r="F6958" s="140" t="s">
        <v>17949</v>
      </c>
      <c r="G6958" s="140"/>
    </row>
    <row r="6959" spans="2:7" hidden="1">
      <c r="B6959" s="141" t="s">
        <v>17950</v>
      </c>
      <c r="C6959" s="140"/>
      <c r="D6959" s="141" t="s">
        <v>17951</v>
      </c>
      <c r="E6959" s="140"/>
      <c r="F6959" s="140"/>
      <c r="G6959" s="140"/>
    </row>
    <row r="6960" spans="2:7" hidden="1">
      <c r="B6960" s="141" t="s">
        <v>17952</v>
      </c>
      <c r="C6960" s="141"/>
      <c r="D6960" s="141" t="s">
        <v>1780</v>
      </c>
      <c r="E6960" s="141"/>
      <c r="F6960" s="141"/>
      <c r="G6960" s="140"/>
    </row>
    <row r="6961" spans="2:7" hidden="1">
      <c r="B6961" s="140" t="s">
        <v>17953</v>
      </c>
      <c r="C6961" s="140"/>
      <c r="D6961" s="140" t="s">
        <v>5423</v>
      </c>
      <c r="E6961" s="142"/>
      <c r="F6961" s="142"/>
      <c r="G6961" s="140"/>
    </row>
    <row r="6962" spans="2:7" hidden="1">
      <c r="B6962" s="140" t="s">
        <v>17954</v>
      </c>
      <c r="C6962" s="140" t="s">
        <v>17955</v>
      </c>
      <c r="D6962" s="140" t="s">
        <v>7840</v>
      </c>
      <c r="E6962" s="142"/>
      <c r="F6962" s="142"/>
      <c r="G6962" s="140"/>
    </row>
    <row r="6963" spans="2:7" hidden="1">
      <c r="B6963" s="141" t="s">
        <v>17956</v>
      </c>
      <c r="C6963" s="141"/>
      <c r="D6963" s="141" t="s">
        <v>17957</v>
      </c>
      <c r="E6963" s="141"/>
      <c r="F6963" s="141"/>
      <c r="G6963" s="140"/>
    </row>
    <row r="6964" spans="2:7" hidden="1">
      <c r="B6964" s="141" t="s">
        <v>17958</v>
      </c>
      <c r="C6964" s="140" t="s">
        <v>17959</v>
      </c>
      <c r="D6964" s="141" t="s">
        <v>17960</v>
      </c>
      <c r="E6964" s="140" t="s">
        <v>17961</v>
      </c>
      <c r="F6964" s="140" t="s">
        <v>17962</v>
      </c>
      <c r="G6964" s="140"/>
    </row>
    <row r="6965" spans="2:7" hidden="1">
      <c r="B6965" s="141" t="s">
        <v>17963</v>
      </c>
      <c r="C6965" s="140"/>
      <c r="D6965" s="141" t="s">
        <v>17964</v>
      </c>
      <c r="E6965" s="140"/>
      <c r="F6965" s="140"/>
      <c r="G6965" s="140"/>
    </row>
    <row r="6966" spans="2:7" hidden="1">
      <c r="B6966" s="140" t="s">
        <v>17965</v>
      </c>
      <c r="C6966" s="140"/>
      <c r="D6966" s="140" t="s">
        <v>8088</v>
      </c>
      <c r="E6966" s="142"/>
      <c r="F6966" s="142"/>
      <c r="G6966" s="140"/>
    </row>
    <row r="6967" spans="2:7" hidden="1">
      <c r="B6967" s="141" t="s">
        <v>17966</v>
      </c>
      <c r="C6967" s="140"/>
      <c r="D6967" s="141" t="s">
        <v>17967</v>
      </c>
      <c r="E6967" s="140"/>
      <c r="F6967" s="140"/>
      <c r="G6967" s="140"/>
    </row>
    <row r="6968" spans="2:7" hidden="1">
      <c r="B6968" s="141" t="s">
        <v>17968</v>
      </c>
      <c r="C6968" s="140" t="s">
        <v>17969</v>
      </c>
      <c r="D6968" s="141" t="s">
        <v>3917</v>
      </c>
      <c r="E6968" s="140" t="s">
        <v>17970</v>
      </c>
      <c r="F6968" s="140" t="s">
        <v>17971</v>
      </c>
      <c r="G6968" s="140"/>
    </row>
    <row r="6969" spans="2:7" hidden="1">
      <c r="B6969" s="141" t="s">
        <v>17972</v>
      </c>
      <c r="C6969" s="141"/>
      <c r="D6969" s="141" t="s">
        <v>17973</v>
      </c>
      <c r="E6969" s="141"/>
      <c r="F6969" s="140"/>
      <c r="G6969" s="140"/>
    </row>
    <row r="6970" spans="2:7" hidden="1">
      <c r="B6970" s="141" t="s">
        <v>17974</v>
      </c>
      <c r="C6970" s="140" t="s">
        <v>17975</v>
      </c>
      <c r="D6970" s="141" t="s">
        <v>7522</v>
      </c>
      <c r="E6970" s="140" t="s">
        <v>17976</v>
      </c>
      <c r="F6970" s="140" t="s">
        <v>17977</v>
      </c>
      <c r="G6970" s="140"/>
    </row>
    <row r="6971" spans="2:7" hidden="1">
      <c r="B6971" s="141" t="s">
        <v>17978</v>
      </c>
      <c r="C6971" s="140"/>
      <c r="D6971" s="141"/>
      <c r="E6971" s="140" t="s">
        <v>17979</v>
      </c>
      <c r="F6971" s="140" t="s">
        <v>17980</v>
      </c>
      <c r="G6971" s="140"/>
    </row>
    <row r="6972" spans="2:7" hidden="1">
      <c r="B6972" s="140" t="s">
        <v>17981</v>
      </c>
      <c r="C6972" s="140" t="s">
        <v>17982</v>
      </c>
      <c r="D6972" s="140" t="s">
        <v>17983</v>
      </c>
      <c r="E6972" s="142" t="s">
        <v>17979</v>
      </c>
      <c r="F6972" s="142" t="s">
        <v>17984</v>
      </c>
      <c r="G6972" s="140" t="s">
        <v>17985</v>
      </c>
    </row>
    <row r="6973" spans="2:7" hidden="1">
      <c r="B6973" s="141" t="s">
        <v>17986</v>
      </c>
      <c r="C6973" s="140" t="s">
        <v>17987</v>
      </c>
      <c r="D6973" s="141" t="s">
        <v>17988</v>
      </c>
      <c r="E6973" s="140"/>
      <c r="F6973" s="140"/>
      <c r="G6973" s="140" t="s">
        <v>17989</v>
      </c>
    </row>
    <row r="6974" spans="2:7" hidden="1">
      <c r="B6974" s="141" t="s">
        <v>17990</v>
      </c>
      <c r="C6974" s="140" t="s">
        <v>17991</v>
      </c>
      <c r="D6974" s="141" t="s">
        <v>1913</v>
      </c>
      <c r="E6974" s="140" t="s">
        <v>17992</v>
      </c>
      <c r="F6974" s="140"/>
      <c r="G6974" s="140"/>
    </row>
    <row r="6975" spans="2:7" hidden="1">
      <c r="B6975" s="141" t="s">
        <v>17993</v>
      </c>
      <c r="C6975" s="140"/>
      <c r="D6975" s="141" t="s">
        <v>17994</v>
      </c>
      <c r="E6975" s="140"/>
      <c r="F6975" s="140"/>
      <c r="G6975" s="140"/>
    </row>
    <row r="6976" spans="2:7" hidden="1">
      <c r="B6976" s="141" t="s">
        <v>17995</v>
      </c>
      <c r="C6976" s="140" t="s">
        <v>17996</v>
      </c>
      <c r="D6976" s="141" t="s">
        <v>1232</v>
      </c>
      <c r="E6976" s="140" t="s">
        <v>17997</v>
      </c>
      <c r="F6976" s="140" t="s">
        <v>17997</v>
      </c>
      <c r="G6976" s="140"/>
    </row>
    <row r="6977" spans="2:7" hidden="1">
      <c r="B6977" s="141" t="s">
        <v>17998</v>
      </c>
      <c r="C6977" s="141"/>
      <c r="D6977" s="141" t="s">
        <v>17999</v>
      </c>
      <c r="E6977" s="141"/>
      <c r="F6977" s="141"/>
      <c r="G6977" s="140"/>
    </row>
    <row r="6978" spans="2:7" hidden="1">
      <c r="B6978" s="140" t="s">
        <v>18000</v>
      </c>
      <c r="C6978" s="140"/>
      <c r="D6978" s="140" t="s">
        <v>18001</v>
      </c>
      <c r="E6978" s="142"/>
      <c r="F6978" s="142"/>
      <c r="G6978" s="140"/>
    </row>
    <row r="6979" spans="2:7" hidden="1">
      <c r="B6979" s="141" t="s">
        <v>18002</v>
      </c>
      <c r="C6979" s="141"/>
      <c r="D6979" s="141" t="s">
        <v>16698</v>
      </c>
      <c r="E6979" s="141"/>
      <c r="F6979" s="141"/>
      <c r="G6979" s="140"/>
    </row>
    <row r="6980" spans="2:7" hidden="1">
      <c r="B6980" s="141" t="s">
        <v>18003</v>
      </c>
      <c r="C6980" s="141"/>
      <c r="D6980" s="141" t="s">
        <v>18004</v>
      </c>
      <c r="E6980" s="141"/>
      <c r="F6980" s="141"/>
      <c r="G6980" s="140"/>
    </row>
    <row r="6981" spans="2:7" hidden="1">
      <c r="B6981" s="141" t="s">
        <v>18005</v>
      </c>
      <c r="C6981" s="141"/>
      <c r="D6981" s="141" t="s">
        <v>18006</v>
      </c>
      <c r="E6981" s="140"/>
      <c r="F6981" s="140"/>
      <c r="G6981" s="140"/>
    </row>
    <row r="6982" spans="2:7" hidden="1">
      <c r="B6982" s="141" t="s">
        <v>22005</v>
      </c>
      <c r="C6982" s="140"/>
      <c r="D6982" s="141" t="s">
        <v>7760</v>
      </c>
      <c r="E6982" s="140"/>
      <c r="F6982" s="140"/>
      <c r="G6982" s="140"/>
    </row>
    <row r="6983" spans="2:7" hidden="1">
      <c r="B6983" s="141" t="s">
        <v>18007</v>
      </c>
      <c r="C6983" s="140"/>
      <c r="D6983" s="141" t="s">
        <v>8727</v>
      </c>
      <c r="E6983" s="140"/>
      <c r="F6983" s="140"/>
      <c r="G6983" s="140"/>
    </row>
    <row r="6984" spans="2:7" hidden="1">
      <c r="B6984" s="141" t="s">
        <v>18008</v>
      </c>
      <c r="C6984" s="140" t="s">
        <v>18009</v>
      </c>
      <c r="D6984" s="141" t="s">
        <v>14988</v>
      </c>
      <c r="E6984" s="140"/>
      <c r="F6984" s="140"/>
      <c r="G6984" s="140" t="s">
        <v>8060</v>
      </c>
    </row>
    <row r="6985" spans="2:7" hidden="1">
      <c r="B6985" s="141" t="s">
        <v>18010</v>
      </c>
      <c r="C6985" s="140" t="s">
        <v>18011</v>
      </c>
      <c r="D6985" s="141" t="s">
        <v>18012</v>
      </c>
      <c r="E6985" s="140" t="s">
        <v>18013</v>
      </c>
      <c r="F6985" s="140" t="s">
        <v>18014</v>
      </c>
      <c r="G6985" s="140" t="s">
        <v>18015</v>
      </c>
    </row>
    <row r="6986" spans="2:7" hidden="1">
      <c r="B6986" s="141" t="s">
        <v>18016</v>
      </c>
      <c r="C6986" s="140"/>
      <c r="D6986" s="141" t="s">
        <v>6153</v>
      </c>
      <c r="E6986" s="140"/>
      <c r="F6986" s="140"/>
      <c r="G6986" s="140"/>
    </row>
    <row r="6987" spans="2:7" hidden="1">
      <c r="B6987" s="141" t="s">
        <v>18017</v>
      </c>
      <c r="C6987" s="140"/>
      <c r="D6987" s="141" t="s">
        <v>3874</v>
      </c>
      <c r="E6987" s="140"/>
      <c r="F6987" s="140"/>
      <c r="G6987" s="140"/>
    </row>
    <row r="6988" spans="2:7" hidden="1">
      <c r="B6988" s="141" t="s">
        <v>18018</v>
      </c>
      <c r="C6988" s="140" t="s">
        <v>18019</v>
      </c>
      <c r="D6988" s="141" t="s">
        <v>18020</v>
      </c>
      <c r="E6988" s="140"/>
      <c r="F6988" s="140"/>
      <c r="G6988" s="140"/>
    </row>
    <row r="6989" spans="2:7" hidden="1">
      <c r="B6989" s="141" t="s">
        <v>18021</v>
      </c>
      <c r="C6989" s="140"/>
      <c r="D6989" s="141" t="s">
        <v>15544</v>
      </c>
      <c r="E6989" s="140"/>
      <c r="F6989" s="140"/>
      <c r="G6989" s="140"/>
    </row>
    <row r="6990" spans="2:7" hidden="1">
      <c r="B6990" s="141" t="s">
        <v>18022</v>
      </c>
      <c r="C6990" s="140"/>
      <c r="D6990" s="141" t="s">
        <v>18023</v>
      </c>
      <c r="E6990" s="140"/>
      <c r="F6990" s="140"/>
      <c r="G6990" s="140"/>
    </row>
    <row r="6991" spans="2:7" hidden="1">
      <c r="B6991" s="141" t="s">
        <v>18024</v>
      </c>
      <c r="C6991" s="140"/>
      <c r="D6991" s="141" t="s">
        <v>4854</v>
      </c>
      <c r="E6991" s="140"/>
      <c r="F6991" s="140"/>
      <c r="G6991" s="140"/>
    </row>
    <row r="6992" spans="2:7" hidden="1">
      <c r="B6992" s="141" t="s">
        <v>18025</v>
      </c>
      <c r="C6992" s="140"/>
      <c r="D6992" s="141" t="s">
        <v>6129</v>
      </c>
      <c r="E6992" s="140"/>
      <c r="F6992" s="140"/>
      <c r="G6992" s="140"/>
    </row>
    <row r="6993" spans="2:7" hidden="1">
      <c r="B6993" s="141" t="s">
        <v>18026</v>
      </c>
      <c r="C6993" s="140" t="s">
        <v>18027</v>
      </c>
      <c r="D6993" s="141" t="s">
        <v>8111</v>
      </c>
      <c r="E6993" s="140" t="s">
        <v>18028</v>
      </c>
      <c r="F6993" s="140" t="s">
        <v>18029</v>
      </c>
      <c r="G6993" s="140"/>
    </row>
    <row r="6994" spans="2:7" hidden="1">
      <c r="B6994" s="140" t="s">
        <v>18030</v>
      </c>
      <c r="C6994" s="140"/>
      <c r="D6994" s="140" t="s">
        <v>18031</v>
      </c>
      <c r="E6994" s="142"/>
      <c r="F6994" s="142"/>
      <c r="G6994" s="140"/>
    </row>
    <row r="6995" spans="2:7" hidden="1">
      <c r="B6995" s="141" t="s">
        <v>18032</v>
      </c>
      <c r="C6995" s="140"/>
      <c r="D6995" s="141" t="s">
        <v>10170</v>
      </c>
      <c r="E6995" s="140"/>
      <c r="F6995" s="140"/>
      <c r="G6995" s="140"/>
    </row>
    <row r="6996" spans="2:7" hidden="1">
      <c r="B6996" s="140" t="s">
        <v>21318</v>
      </c>
      <c r="C6996" s="140" t="s">
        <v>21319</v>
      </c>
      <c r="D6996" s="140" t="s">
        <v>21320</v>
      </c>
      <c r="E6996" s="142" t="s">
        <v>21321</v>
      </c>
      <c r="F6996" s="142"/>
      <c r="G6996" s="140"/>
    </row>
    <row r="6997" spans="2:7" hidden="1">
      <c r="B6997" s="141" t="s">
        <v>18033</v>
      </c>
      <c r="C6997" s="140"/>
      <c r="D6997" s="141" t="s">
        <v>18034</v>
      </c>
      <c r="E6997" s="140"/>
      <c r="F6997" s="140"/>
      <c r="G6997" s="140"/>
    </row>
    <row r="6998" spans="2:7" hidden="1">
      <c r="B6998" s="141" t="s">
        <v>18035</v>
      </c>
      <c r="C6998" s="140"/>
      <c r="D6998" s="141" t="s">
        <v>1963</v>
      </c>
      <c r="E6998" s="140"/>
      <c r="F6998" s="140"/>
      <c r="G6998" s="140"/>
    </row>
    <row r="6999" spans="2:7" hidden="1">
      <c r="B6999" s="141" t="s">
        <v>18036</v>
      </c>
      <c r="C6999" s="140" t="s">
        <v>18037</v>
      </c>
      <c r="D6999" s="141" t="s">
        <v>18038</v>
      </c>
      <c r="E6999" s="140" t="s">
        <v>18039</v>
      </c>
      <c r="F6999" s="140"/>
      <c r="G6999" s="140"/>
    </row>
    <row r="7000" spans="2:7" hidden="1">
      <c r="B7000" s="141" t="s">
        <v>18040</v>
      </c>
      <c r="C7000" s="140" t="s">
        <v>18041</v>
      </c>
      <c r="D7000" s="141" t="s">
        <v>18042</v>
      </c>
      <c r="E7000" s="140" t="s">
        <v>18043</v>
      </c>
      <c r="F7000" s="140" t="s">
        <v>18044</v>
      </c>
      <c r="G7000" s="140"/>
    </row>
    <row r="7001" spans="2:7" hidden="1">
      <c r="B7001" s="141" t="s">
        <v>18045</v>
      </c>
      <c r="C7001" s="140" t="s">
        <v>18046</v>
      </c>
      <c r="D7001" s="141" t="s">
        <v>18047</v>
      </c>
      <c r="E7001" s="140"/>
      <c r="F7001" s="140"/>
      <c r="G7001" s="140"/>
    </row>
    <row r="7002" spans="2:7" hidden="1">
      <c r="B7002" s="140" t="s">
        <v>18048</v>
      </c>
      <c r="C7002" s="140"/>
      <c r="D7002" s="140" t="s">
        <v>1810</v>
      </c>
      <c r="E7002" s="142"/>
      <c r="F7002" s="142"/>
      <c r="G7002" s="140"/>
    </row>
    <row r="7003" spans="2:7" hidden="1">
      <c r="B7003" s="140" t="s">
        <v>18049</v>
      </c>
      <c r="C7003" s="140" t="s">
        <v>18050</v>
      </c>
      <c r="D7003" s="140" t="s">
        <v>18051</v>
      </c>
      <c r="E7003" s="142" t="s">
        <v>18052</v>
      </c>
      <c r="F7003" s="142" t="s">
        <v>18053</v>
      </c>
      <c r="G7003" s="140" t="s">
        <v>18054</v>
      </c>
    </row>
    <row r="7004" spans="2:7" hidden="1">
      <c r="B7004" s="141" t="s">
        <v>18055</v>
      </c>
      <c r="C7004" s="141" t="s">
        <v>18056</v>
      </c>
      <c r="D7004" s="141" t="s">
        <v>18051</v>
      </c>
      <c r="E7004" s="141" t="s">
        <v>18052</v>
      </c>
      <c r="F7004" s="141" t="s">
        <v>18053</v>
      </c>
      <c r="G7004" s="140" t="s">
        <v>18054</v>
      </c>
    </row>
    <row r="7005" spans="2:7" hidden="1">
      <c r="B7005" s="141" t="s">
        <v>18057</v>
      </c>
      <c r="C7005" s="141" t="s">
        <v>18058</v>
      </c>
      <c r="D7005" s="141" t="s">
        <v>18059</v>
      </c>
      <c r="E7005" s="141"/>
      <c r="F7005" s="141"/>
      <c r="G7005" s="140"/>
    </row>
    <row r="7006" spans="2:7" hidden="1">
      <c r="B7006" s="141" t="s">
        <v>18060</v>
      </c>
      <c r="C7006" s="140"/>
      <c r="D7006" s="141" t="s">
        <v>18061</v>
      </c>
      <c r="E7006" s="140"/>
      <c r="F7006" s="140"/>
      <c r="G7006" s="140"/>
    </row>
    <row r="7007" spans="2:7" hidden="1">
      <c r="B7007" s="141" t="s">
        <v>18062</v>
      </c>
      <c r="C7007" s="140" t="s">
        <v>18063</v>
      </c>
      <c r="D7007" s="141" t="s">
        <v>3643</v>
      </c>
      <c r="E7007" s="140" t="s">
        <v>18064</v>
      </c>
      <c r="F7007" s="140"/>
      <c r="G7007" s="140"/>
    </row>
    <row r="7008" spans="2:7" hidden="1">
      <c r="B7008" s="140" t="s">
        <v>18065</v>
      </c>
      <c r="C7008" s="140"/>
      <c r="D7008" s="140" t="s">
        <v>9363</v>
      </c>
      <c r="E7008" s="142"/>
      <c r="F7008" s="142"/>
      <c r="G7008" s="140"/>
    </row>
    <row r="7009" spans="2:7" hidden="1">
      <c r="B7009" s="141" t="s">
        <v>18066</v>
      </c>
      <c r="C7009" s="140"/>
      <c r="D7009" s="141" t="s">
        <v>2327</v>
      </c>
      <c r="E7009" s="140"/>
      <c r="F7009" s="140"/>
      <c r="G7009" s="140"/>
    </row>
    <row r="7010" spans="2:7" hidden="1">
      <c r="B7010" s="141" t="s">
        <v>18067</v>
      </c>
      <c r="C7010" s="140"/>
      <c r="D7010" s="141" t="s">
        <v>3089</v>
      </c>
      <c r="E7010" s="140"/>
      <c r="F7010" s="140"/>
      <c r="G7010" s="140"/>
    </row>
    <row r="7011" spans="2:7" hidden="1">
      <c r="B7011" s="141" t="s">
        <v>18068</v>
      </c>
      <c r="C7011" s="140"/>
      <c r="D7011" s="141" t="s">
        <v>17901</v>
      </c>
      <c r="E7011" s="140"/>
      <c r="F7011" s="140"/>
      <c r="G7011" s="140"/>
    </row>
    <row r="7012" spans="2:7" hidden="1">
      <c r="B7012" s="141" t="s">
        <v>18069</v>
      </c>
      <c r="C7012" s="141"/>
      <c r="D7012" s="141" t="s">
        <v>18070</v>
      </c>
      <c r="E7012" s="141"/>
      <c r="F7012" s="141"/>
      <c r="G7012" s="140"/>
    </row>
    <row r="7013" spans="2:7" hidden="1">
      <c r="B7013" s="141" t="s">
        <v>18071</v>
      </c>
      <c r="C7013" s="140"/>
      <c r="D7013" s="141" t="s">
        <v>18072</v>
      </c>
      <c r="E7013" s="140"/>
      <c r="F7013" s="140"/>
      <c r="G7013" s="140"/>
    </row>
    <row r="7014" spans="2:7" hidden="1">
      <c r="B7014" s="141" t="s">
        <v>18073</v>
      </c>
      <c r="C7014" s="141"/>
      <c r="D7014" s="141" t="s">
        <v>18074</v>
      </c>
      <c r="E7014" s="141"/>
      <c r="F7014" s="141"/>
      <c r="G7014" s="140"/>
    </row>
    <row r="7015" spans="2:7" hidden="1">
      <c r="B7015" s="141" t="s">
        <v>18075</v>
      </c>
      <c r="C7015" s="140" t="s">
        <v>18076</v>
      </c>
      <c r="D7015" s="141" t="s">
        <v>18077</v>
      </c>
      <c r="E7015" s="140"/>
      <c r="F7015" s="140"/>
      <c r="G7015" s="140"/>
    </row>
    <row r="7016" spans="2:7" hidden="1">
      <c r="B7016" s="141" t="s">
        <v>18078</v>
      </c>
      <c r="C7016" s="140" t="s">
        <v>18079</v>
      </c>
      <c r="D7016" s="141" t="s">
        <v>18080</v>
      </c>
      <c r="E7016" s="140" t="s">
        <v>18081</v>
      </c>
      <c r="F7016" s="140"/>
      <c r="G7016" s="140"/>
    </row>
    <row r="7017" spans="2:7" hidden="1">
      <c r="B7017" s="141" t="s">
        <v>18082</v>
      </c>
      <c r="C7017" s="140"/>
      <c r="D7017" s="141"/>
      <c r="E7017" s="140" t="s">
        <v>18083</v>
      </c>
      <c r="F7017" s="140"/>
      <c r="G7017" s="140"/>
    </row>
    <row r="7018" spans="2:7" hidden="1">
      <c r="B7018" s="141" t="s">
        <v>18084</v>
      </c>
      <c r="C7018" s="140"/>
      <c r="D7018" s="141" t="s">
        <v>2652</v>
      </c>
      <c r="E7018" s="141"/>
      <c r="F7018" s="141"/>
      <c r="G7018" s="140"/>
    </row>
    <row r="7019" spans="2:7" hidden="1">
      <c r="B7019" s="141" t="s">
        <v>18085</v>
      </c>
      <c r="C7019" s="141"/>
      <c r="D7019" s="141" t="s">
        <v>8384</v>
      </c>
      <c r="E7019" s="141"/>
      <c r="F7019" s="140"/>
      <c r="G7019" s="140"/>
    </row>
    <row r="7020" spans="2:7" hidden="1">
      <c r="B7020" s="141" t="s">
        <v>18086</v>
      </c>
      <c r="C7020" s="140" t="s">
        <v>18087</v>
      </c>
      <c r="D7020" s="141" t="s">
        <v>14965</v>
      </c>
      <c r="E7020" s="140" t="s">
        <v>18088</v>
      </c>
      <c r="F7020" s="140" t="s">
        <v>18089</v>
      </c>
      <c r="G7020" s="140"/>
    </row>
    <row r="7021" spans="2:7" hidden="1">
      <c r="B7021" s="140" t="s">
        <v>18090</v>
      </c>
      <c r="C7021" s="140" t="s">
        <v>18091</v>
      </c>
      <c r="D7021" s="140" t="s">
        <v>18092</v>
      </c>
      <c r="E7021" s="142" t="s">
        <v>18093</v>
      </c>
      <c r="F7021" s="142" t="s">
        <v>18094</v>
      </c>
      <c r="G7021" s="140"/>
    </row>
    <row r="7022" spans="2:7" hidden="1">
      <c r="B7022" s="141" t="s">
        <v>18095</v>
      </c>
      <c r="C7022" s="140"/>
      <c r="D7022" s="141" t="s">
        <v>17683</v>
      </c>
      <c r="E7022" s="140"/>
      <c r="F7022" s="140"/>
      <c r="G7022" s="140"/>
    </row>
    <row r="7023" spans="2:7" hidden="1">
      <c r="B7023" s="141" t="s">
        <v>18096</v>
      </c>
      <c r="C7023" s="140"/>
      <c r="D7023" s="141" t="s">
        <v>7873</v>
      </c>
      <c r="E7023" s="140"/>
      <c r="F7023" s="140"/>
      <c r="G7023" s="140"/>
    </row>
    <row r="7024" spans="2:7" hidden="1">
      <c r="B7024" s="141" t="s">
        <v>18097</v>
      </c>
      <c r="C7024" s="140"/>
      <c r="D7024" s="141" t="s">
        <v>18098</v>
      </c>
      <c r="E7024" s="140"/>
      <c r="F7024" s="140"/>
      <c r="G7024" s="140"/>
    </row>
    <row r="7025" spans="2:7" hidden="1">
      <c r="B7025" s="141" t="s">
        <v>18099</v>
      </c>
      <c r="C7025" s="140" t="s">
        <v>18100</v>
      </c>
      <c r="D7025" s="141" t="s">
        <v>12657</v>
      </c>
      <c r="E7025" s="140"/>
      <c r="F7025" s="140"/>
      <c r="G7025" s="140"/>
    </row>
    <row r="7026" spans="2:7" hidden="1">
      <c r="B7026" s="141" t="s">
        <v>18101</v>
      </c>
      <c r="C7026" s="140"/>
      <c r="D7026" s="141" t="s">
        <v>7804</v>
      </c>
      <c r="E7026" s="140"/>
      <c r="F7026" s="140"/>
      <c r="G7026" s="140"/>
    </row>
    <row r="7027" spans="2:7" hidden="1">
      <c r="B7027" s="141" t="s">
        <v>18102</v>
      </c>
      <c r="C7027" s="141"/>
      <c r="D7027" s="141" t="s">
        <v>18103</v>
      </c>
      <c r="E7027" s="141"/>
      <c r="F7027" s="141"/>
      <c r="G7027" s="140"/>
    </row>
    <row r="7028" spans="2:7" hidden="1">
      <c r="B7028" s="141" t="s">
        <v>18104</v>
      </c>
      <c r="C7028" s="140" t="s">
        <v>2306</v>
      </c>
      <c r="D7028" s="141" t="s">
        <v>13040</v>
      </c>
      <c r="E7028" s="140" t="s">
        <v>18105</v>
      </c>
      <c r="F7028" s="140" t="s">
        <v>18106</v>
      </c>
      <c r="G7028" s="140" t="s">
        <v>18107</v>
      </c>
    </row>
    <row r="7029" spans="2:7" hidden="1">
      <c r="B7029" s="141" t="s">
        <v>18108</v>
      </c>
      <c r="C7029" s="140"/>
      <c r="D7029" s="141" t="s">
        <v>18109</v>
      </c>
      <c r="E7029" s="140"/>
      <c r="F7029" s="140"/>
      <c r="G7029" s="140"/>
    </row>
    <row r="7030" spans="2:7" hidden="1">
      <c r="B7030" s="140" t="s">
        <v>18110</v>
      </c>
      <c r="C7030" s="140" t="s">
        <v>18111</v>
      </c>
      <c r="D7030" s="140" t="s">
        <v>18112</v>
      </c>
      <c r="E7030" s="140"/>
      <c r="F7030" s="140"/>
      <c r="G7030" s="140"/>
    </row>
    <row r="7031" spans="2:7" hidden="1">
      <c r="B7031" s="141" t="s">
        <v>18113</v>
      </c>
      <c r="C7031" s="140" t="s">
        <v>18114</v>
      </c>
      <c r="D7031" s="141" t="s">
        <v>18115</v>
      </c>
      <c r="E7031" s="140" t="s">
        <v>18116</v>
      </c>
      <c r="F7031" s="140" t="s">
        <v>18117</v>
      </c>
      <c r="G7031" s="140"/>
    </row>
    <row r="7032" spans="2:7" hidden="1">
      <c r="B7032" s="141" t="s">
        <v>18118</v>
      </c>
      <c r="C7032" s="140" t="s">
        <v>18119</v>
      </c>
      <c r="D7032" s="141" t="s">
        <v>18120</v>
      </c>
      <c r="E7032" s="140" t="s">
        <v>18121</v>
      </c>
      <c r="F7032" s="140" t="s">
        <v>18122</v>
      </c>
      <c r="G7032" s="140"/>
    </row>
    <row r="7033" spans="2:7" hidden="1">
      <c r="B7033" s="141" t="s">
        <v>18123</v>
      </c>
      <c r="C7033" s="140" t="s">
        <v>18124</v>
      </c>
      <c r="D7033" s="141" t="s">
        <v>18125</v>
      </c>
      <c r="E7033" s="140" t="s">
        <v>18126</v>
      </c>
      <c r="F7033" s="140" t="s">
        <v>18127</v>
      </c>
      <c r="G7033" s="140"/>
    </row>
    <row r="7034" spans="2:7" hidden="1">
      <c r="B7034" s="141" t="s">
        <v>18128</v>
      </c>
      <c r="C7034" s="140"/>
      <c r="D7034" s="141" t="s">
        <v>1913</v>
      </c>
      <c r="E7034" s="140"/>
      <c r="F7034" s="140"/>
      <c r="G7034" s="140"/>
    </row>
    <row r="7035" spans="2:7" hidden="1">
      <c r="B7035" s="141" t="s">
        <v>18129</v>
      </c>
      <c r="C7035" s="140"/>
      <c r="D7035" s="141" t="s">
        <v>18130</v>
      </c>
      <c r="E7035" s="140"/>
      <c r="F7035" s="140"/>
      <c r="G7035" s="140"/>
    </row>
    <row r="7036" spans="2:7" hidden="1">
      <c r="B7036" s="140" t="s">
        <v>18131</v>
      </c>
      <c r="C7036" s="140" t="s">
        <v>18132</v>
      </c>
      <c r="D7036" s="140" t="s">
        <v>15882</v>
      </c>
      <c r="E7036" s="142" t="s">
        <v>18133</v>
      </c>
      <c r="F7036" s="142" t="s">
        <v>18134</v>
      </c>
      <c r="G7036" s="140"/>
    </row>
    <row r="7037" spans="2:7" hidden="1">
      <c r="B7037" s="141" t="s">
        <v>18135</v>
      </c>
      <c r="C7037" s="140"/>
      <c r="D7037" s="141" t="s">
        <v>18136</v>
      </c>
      <c r="E7037" s="140"/>
      <c r="F7037" s="140"/>
      <c r="G7037" s="140"/>
    </row>
    <row r="7038" spans="2:7" hidden="1">
      <c r="B7038" s="141" t="s">
        <v>22006</v>
      </c>
      <c r="C7038" s="140"/>
      <c r="D7038" s="141" t="s">
        <v>7041</v>
      </c>
      <c r="E7038" s="140"/>
      <c r="F7038" s="140"/>
      <c r="G7038" s="140"/>
    </row>
    <row r="7039" spans="2:7" hidden="1">
      <c r="B7039" s="141" t="s">
        <v>18137</v>
      </c>
      <c r="C7039" s="140"/>
      <c r="D7039" s="141" t="s">
        <v>7854</v>
      </c>
      <c r="E7039" s="140"/>
      <c r="F7039" s="140"/>
      <c r="G7039" s="140"/>
    </row>
    <row r="7040" spans="2:7" hidden="1">
      <c r="B7040" s="140" t="s">
        <v>18138</v>
      </c>
      <c r="C7040" s="140"/>
      <c r="D7040" s="140" t="s">
        <v>14590</v>
      </c>
      <c r="E7040" s="142"/>
      <c r="F7040" s="142"/>
      <c r="G7040" s="140"/>
    </row>
    <row r="7041" spans="2:7" hidden="1">
      <c r="B7041" s="141" t="s">
        <v>18139</v>
      </c>
      <c r="C7041" s="140" t="s">
        <v>18140</v>
      </c>
      <c r="D7041" s="141" t="s">
        <v>3055</v>
      </c>
      <c r="E7041" s="140" t="s">
        <v>18141</v>
      </c>
      <c r="F7041" s="140"/>
      <c r="G7041" s="140"/>
    </row>
    <row r="7042" spans="2:7" hidden="1">
      <c r="B7042" s="141" t="s">
        <v>18142</v>
      </c>
      <c r="C7042" s="140" t="s">
        <v>18143</v>
      </c>
      <c r="D7042" s="141" t="s">
        <v>18144</v>
      </c>
      <c r="E7042" s="140"/>
      <c r="F7042" s="140"/>
      <c r="G7042" s="140"/>
    </row>
    <row r="7043" spans="2:7" hidden="1">
      <c r="B7043" s="141" t="s">
        <v>18145</v>
      </c>
      <c r="C7043" s="140"/>
      <c r="D7043" s="141" t="s">
        <v>18146</v>
      </c>
      <c r="E7043" s="140"/>
      <c r="F7043" s="140"/>
      <c r="G7043" s="140"/>
    </row>
    <row r="7044" spans="2:7" hidden="1">
      <c r="B7044" s="140" t="s">
        <v>21053</v>
      </c>
      <c r="C7044" s="140" t="s">
        <v>21055</v>
      </c>
      <c r="D7044" s="140" t="s">
        <v>21054</v>
      </c>
      <c r="E7044" s="142">
        <v>2562327949</v>
      </c>
      <c r="F7044" s="142"/>
      <c r="G7044" s="140"/>
    </row>
    <row r="7045" spans="2:7" hidden="1">
      <c r="B7045" s="141" t="s">
        <v>18147</v>
      </c>
      <c r="C7045" s="140"/>
      <c r="D7045" s="141" t="s">
        <v>18148</v>
      </c>
      <c r="E7045" s="140"/>
      <c r="F7045" s="140"/>
      <c r="G7045" s="140"/>
    </row>
    <row r="7046" spans="2:7" hidden="1">
      <c r="B7046" s="141" t="s">
        <v>18149</v>
      </c>
      <c r="C7046" s="140"/>
      <c r="D7046" s="141" t="s">
        <v>5042</v>
      </c>
      <c r="E7046" s="140"/>
      <c r="F7046" s="140"/>
      <c r="G7046" s="140"/>
    </row>
    <row r="7047" spans="2:7" hidden="1">
      <c r="B7047" s="141" t="s">
        <v>18150</v>
      </c>
      <c r="C7047" s="140" t="s">
        <v>18151</v>
      </c>
      <c r="D7047" s="141" t="s">
        <v>18152</v>
      </c>
      <c r="E7047" s="140" t="s">
        <v>1859</v>
      </c>
      <c r="F7047" s="140" t="s">
        <v>1860</v>
      </c>
      <c r="G7047" s="140"/>
    </row>
    <row r="7048" spans="2:7" hidden="1">
      <c r="B7048" s="141" t="s">
        <v>18153</v>
      </c>
      <c r="C7048" s="140" t="s">
        <v>18154</v>
      </c>
      <c r="D7048" s="141" t="s">
        <v>18155</v>
      </c>
      <c r="E7048" s="140" t="s">
        <v>18156</v>
      </c>
      <c r="F7048" s="140" t="s">
        <v>18157</v>
      </c>
      <c r="G7048" s="140"/>
    </row>
    <row r="7049" spans="2:7" hidden="1">
      <c r="B7049" s="141" t="s">
        <v>18158</v>
      </c>
      <c r="C7049" s="140"/>
      <c r="D7049" s="141" t="s">
        <v>18159</v>
      </c>
      <c r="E7049" s="140"/>
      <c r="F7049" s="140"/>
      <c r="G7049" s="140"/>
    </row>
    <row r="7050" spans="2:7" hidden="1">
      <c r="B7050" s="141" t="s">
        <v>18160</v>
      </c>
      <c r="C7050" s="140"/>
      <c r="D7050" s="141" t="s">
        <v>3010</v>
      </c>
      <c r="E7050" s="140"/>
      <c r="F7050" s="140"/>
      <c r="G7050" s="140"/>
    </row>
    <row r="7051" spans="2:7" hidden="1">
      <c r="B7051" s="141" t="s">
        <v>18161</v>
      </c>
      <c r="C7051" s="141"/>
      <c r="D7051" s="141" t="s">
        <v>18162</v>
      </c>
      <c r="E7051" s="140"/>
      <c r="F7051" s="140"/>
      <c r="G7051" s="140"/>
    </row>
    <row r="7052" spans="2:7" hidden="1">
      <c r="B7052" s="141" t="s">
        <v>20193</v>
      </c>
      <c r="C7052" s="140" t="s">
        <v>20194</v>
      </c>
      <c r="D7052" s="141" t="s">
        <v>20195</v>
      </c>
      <c r="E7052" s="140"/>
      <c r="F7052" s="140"/>
      <c r="G7052" s="140" t="s">
        <v>20196</v>
      </c>
    </row>
    <row r="7053" spans="2:7" hidden="1">
      <c r="B7053" s="141" t="s">
        <v>18163</v>
      </c>
      <c r="C7053" s="140"/>
      <c r="D7053" s="141" t="s">
        <v>18164</v>
      </c>
      <c r="E7053" s="140"/>
      <c r="F7053" s="140"/>
      <c r="G7053" s="140"/>
    </row>
    <row r="7054" spans="2:7" hidden="1">
      <c r="B7054" s="140" t="s">
        <v>18165</v>
      </c>
      <c r="C7054" s="140"/>
      <c r="D7054" s="140" t="s">
        <v>5243</v>
      </c>
      <c r="E7054" s="142"/>
      <c r="F7054" s="142"/>
      <c r="G7054" s="140"/>
    </row>
    <row r="7055" spans="2:7" hidden="1">
      <c r="B7055" s="141" t="s">
        <v>18166</v>
      </c>
      <c r="C7055" s="140"/>
      <c r="D7055" s="141" t="s">
        <v>18167</v>
      </c>
      <c r="E7055" s="140"/>
      <c r="F7055" s="140"/>
      <c r="G7055" s="140"/>
    </row>
    <row r="7056" spans="2:7" hidden="1">
      <c r="B7056" s="141" t="s">
        <v>18168</v>
      </c>
      <c r="C7056" s="140"/>
      <c r="D7056" s="141" t="s">
        <v>18169</v>
      </c>
      <c r="E7056" s="140"/>
      <c r="F7056" s="140"/>
      <c r="G7056" s="140"/>
    </row>
    <row r="7057" spans="2:7" hidden="1">
      <c r="B7057" s="141" t="s">
        <v>18170</v>
      </c>
      <c r="C7057" s="140"/>
      <c r="D7057" s="141" t="s">
        <v>18171</v>
      </c>
      <c r="E7057" s="140"/>
      <c r="F7057" s="140"/>
      <c r="G7057" s="140"/>
    </row>
    <row r="7058" spans="2:7" hidden="1">
      <c r="B7058" s="141" t="s">
        <v>18172</v>
      </c>
      <c r="C7058" s="140"/>
      <c r="D7058" s="141" t="s">
        <v>18173</v>
      </c>
      <c r="E7058" s="140"/>
      <c r="F7058" s="140"/>
      <c r="G7058" s="140"/>
    </row>
    <row r="7059" spans="2:7" hidden="1">
      <c r="B7059" s="141" t="s">
        <v>18174</v>
      </c>
      <c r="C7059" s="140"/>
      <c r="D7059" s="141" t="s">
        <v>4365</v>
      </c>
      <c r="E7059" s="140"/>
      <c r="F7059" s="140"/>
      <c r="G7059" s="140"/>
    </row>
    <row r="7060" spans="2:7" hidden="1">
      <c r="B7060" s="141" t="s">
        <v>18175</v>
      </c>
      <c r="C7060" s="140"/>
      <c r="D7060" s="141" t="s">
        <v>18176</v>
      </c>
      <c r="E7060" s="140"/>
      <c r="F7060" s="140"/>
      <c r="G7060" s="140"/>
    </row>
    <row r="7061" spans="2:7" hidden="1">
      <c r="B7061" s="140" t="s">
        <v>18177</v>
      </c>
      <c r="C7061" s="140"/>
      <c r="D7061" s="140" t="s">
        <v>3414</v>
      </c>
      <c r="E7061" s="142"/>
      <c r="F7061" s="142"/>
      <c r="G7061" s="140"/>
    </row>
    <row r="7062" spans="2:7" hidden="1">
      <c r="B7062" s="141" t="s">
        <v>18178</v>
      </c>
      <c r="C7062" s="140"/>
      <c r="D7062" s="141" t="s">
        <v>4848</v>
      </c>
      <c r="E7062" s="141"/>
      <c r="F7062" s="140"/>
      <c r="G7062" s="140"/>
    </row>
    <row r="7063" spans="2:7" hidden="1">
      <c r="B7063" s="141" t="s">
        <v>18179</v>
      </c>
      <c r="C7063" s="140"/>
      <c r="D7063" s="141" t="s">
        <v>18180</v>
      </c>
      <c r="E7063" s="140"/>
      <c r="F7063" s="140"/>
      <c r="G7063" s="140"/>
    </row>
    <row r="7064" spans="2:7" hidden="1">
      <c r="B7064" s="140" t="s">
        <v>22007</v>
      </c>
      <c r="C7064" s="140" t="s">
        <v>21003</v>
      </c>
      <c r="D7064" s="140" t="s">
        <v>21004</v>
      </c>
      <c r="E7064" s="142" t="s">
        <v>21005</v>
      </c>
      <c r="F7064" s="142"/>
      <c r="G7064" s="140"/>
    </row>
    <row r="7065" spans="2:7" hidden="1">
      <c r="B7065" s="141" t="s">
        <v>18181</v>
      </c>
      <c r="C7065" s="140"/>
      <c r="D7065" s="141" t="s">
        <v>18182</v>
      </c>
      <c r="E7065" s="140"/>
      <c r="F7065" s="140"/>
      <c r="G7065" s="140"/>
    </row>
    <row r="7066" spans="2:7" hidden="1">
      <c r="B7066" s="141" t="s">
        <v>18183</v>
      </c>
      <c r="C7066" s="140"/>
      <c r="D7066" s="141" t="s">
        <v>18184</v>
      </c>
      <c r="E7066" s="140"/>
      <c r="F7066" s="140"/>
      <c r="G7066" s="140"/>
    </row>
    <row r="7067" spans="2:7" hidden="1">
      <c r="B7067" s="141" t="s">
        <v>18185</v>
      </c>
      <c r="C7067" s="140"/>
      <c r="D7067" s="141" t="s">
        <v>18186</v>
      </c>
      <c r="E7067" s="140"/>
      <c r="F7067" s="140"/>
      <c r="G7067" s="140"/>
    </row>
    <row r="7068" spans="2:7" hidden="1">
      <c r="B7068" s="141" t="s">
        <v>18187</v>
      </c>
      <c r="C7068" s="140"/>
      <c r="D7068" s="141" t="s">
        <v>18188</v>
      </c>
      <c r="E7068" s="140"/>
      <c r="F7068" s="140"/>
      <c r="G7068" s="140"/>
    </row>
    <row r="7069" spans="2:7" hidden="1">
      <c r="B7069" s="141" t="s">
        <v>18189</v>
      </c>
      <c r="C7069" s="140"/>
      <c r="D7069" s="141" t="s">
        <v>5069</v>
      </c>
      <c r="E7069" s="140"/>
      <c r="F7069" s="140"/>
      <c r="G7069" s="140"/>
    </row>
    <row r="7070" spans="2:7" hidden="1">
      <c r="B7070" s="141" t="s">
        <v>18190</v>
      </c>
      <c r="C7070" s="141"/>
      <c r="D7070" s="141" t="s">
        <v>18191</v>
      </c>
      <c r="E7070" s="141"/>
      <c r="F7070" s="141"/>
      <c r="G7070" s="140"/>
    </row>
    <row r="7071" spans="2:7" hidden="1">
      <c r="B7071" s="141" t="s">
        <v>18192</v>
      </c>
      <c r="C7071" s="140" t="s">
        <v>18193</v>
      </c>
      <c r="D7071" s="141" t="s">
        <v>18194</v>
      </c>
      <c r="E7071" s="140" t="s">
        <v>18195</v>
      </c>
      <c r="F7071" s="140"/>
      <c r="G7071" s="140"/>
    </row>
    <row r="7072" spans="2:7" hidden="1">
      <c r="B7072" s="141" t="s">
        <v>18196</v>
      </c>
      <c r="C7072" s="141" t="s">
        <v>18197</v>
      </c>
      <c r="D7072" s="141" t="s">
        <v>18198</v>
      </c>
      <c r="E7072" s="141" t="s">
        <v>18199</v>
      </c>
      <c r="F7072" s="140" t="s">
        <v>18200</v>
      </c>
      <c r="G7072" s="140" t="s">
        <v>18201</v>
      </c>
    </row>
    <row r="7073" spans="2:7" hidden="1">
      <c r="B7073" s="140" t="s">
        <v>20197</v>
      </c>
      <c r="C7073" s="141" t="s">
        <v>20198</v>
      </c>
      <c r="D7073" s="141" t="s">
        <v>20199</v>
      </c>
      <c r="E7073" s="141" t="s">
        <v>20200</v>
      </c>
      <c r="F7073" s="141" t="s">
        <v>20201</v>
      </c>
      <c r="G7073" s="140" t="s">
        <v>20202</v>
      </c>
    </row>
    <row r="7074" spans="2:7" hidden="1">
      <c r="B7074" s="141" t="s">
        <v>18202</v>
      </c>
      <c r="C7074" s="141" t="s">
        <v>18203</v>
      </c>
      <c r="D7074" s="141" t="s">
        <v>3124</v>
      </c>
      <c r="E7074" s="141" t="s">
        <v>18204</v>
      </c>
      <c r="F7074" s="140" t="s">
        <v>18205</v>
      </c>
      <c r="G7074" s="140"/>
    </row>
    <row r="7075" spans="2:7" hidden="1">
      <c r="B7075" s="141" t="s">
        <v>18206</v>
      </c>
      <c r="C7075" s="140"/>
      <c r="D7075" s="141" t="s">
        <v>18207</v>
      </c>
      <c r="E7075" s="140"/>
      <c r="F7075" s="140"/>
      <c r="G7075" s="140"/>
    </row>
    <row r="7076" spans="2:7" hidden="1">
      <c r="B7076" s="141" t="s">
        <v>18208</v>
      </c>
      <c r="C7076" s="140"/>
      <c r="D7076" s="141" t="s">
        <v>3013</v>
      </c>
      <c r="E7076" s="140"/>
      <c r="F7076" s="140"/>
      <c r="G7076" s="140"/>
    </row>
    <row r="7077" spans="2:7" hidden="1">
      <c r="B7077" s="141" t="s">
        <v>18209</v>
      </c>
      <c r="C7077" s="140"/>
      <c r="D7077" s="141" t="s">
        <v>14282</v>
      </c>
      <c r="E7077" s="140"/>
      <c r="F7077" s="140"/>
      <c r="G7077" s="140"/>
    </row>
    <row r="7078" spans="2:7" hidden="1">
      <c r="B7078" s="141" t="s">
        <v>18210</v>
      </c>
      <c r="C7078" s="140" t="s">
        <v>18211</v>
      </c>
      <c r="D7078" s="141" t="s">
        <v>18212</v>
      </c>
      <c r="E7078" s="140" t="s">
        <v>18213</v>
      </c>
      <c r="F7078" s="140"/>
      <c r="G7078" s="140"/>
    </row>
    <row r="7079" spans="2:7" hidden="1">
      <c r="B7079" s="141" t="s">
        <v>18214</v>
      </c>
      <c r="C7079" s="140"/>
      <c r="D7079" s="141" t="s">
        <v>18215</v>
      </c>
      <c r="E7079" s="140" t="s">
        <v>18216</v>
      </c>
      <c r="F7079" s="140" t="s">
        <v>18217</v>
      </c>
      <c r="G7079" s="140"/>
    </row>
    <row r="7080" spans="2:7" hidden="1">
      <c r="B7080" s="141" t="s">
        <v>18218</v>
      </c>
      <c r="C7080" s="140"/>
      <c r="D7080" s="141" t="s">
        <v>18219</v>
      </c>
      <c r="E7080" s="140"/>
      <c r="F7080" s="140"/>
      <c r="G7080" s="140"/>
    </row>
    <row r="7081" spans="2:7" hidden="1">
      <c r="B7081" s="141" t="s">
        <v>18220</v>
      </c>
      <c r="C7081" s="140" t="s">
        <v>18221</v>
      </c>
      <c r="D7081" s="141" t="s">
        <v>18222</v>
      </c>
      <c r="E7081" s="140" t="s">
        <v>18223</v>
      </c>
      <c r="F7081" s="140" t="s">
        <v>18224</v>
      </c>
      <c r="G7081" s="140"/>
    </row>
    <row r="7082" spans="2:7" hidden="1">
      <c r="B7082" s="141" t="s">
        <v>18225</v>
      </c>
      <c r="C7082" s="140" t="s">
        <v>18226</v>
      </c>
      <c r="D7082" s="141" t="s">
        <v>1395</v>
      </c>
      <c r="E7082" s="140" t="s">
        <v>18227</v>
      </c>
      <c r="F7082" s="140"/>
      <c r="G7082" s="140"/>
    </row>
    <row r="7083" spans="2:7" hidden="1">
      <c r="B7083" s="141" t="s">
        <v>18228</v>
      </c>
      <c r="C7083" s="140" t="s">
        <v>18229</v>
      </c>
      <c r="D7083" s="141" t="s">
        <v>4400</v>
      </c>
      <c r="E7083" s="140" t="s">
        <v>18230</v>
      </c>
      <c r="F7083" s="140" t="s">
        <v>18231</v>
      </c>
      <c r="G7083" s="140"/>
    </row>
    <row r="7084" spans="2:7" hidden="1">
      <c r="B7084" s="140" t="s">
        <v>18232</v>
      </c>
      <c r="C7084" s="140"/>
      <c r="D7084" s="140" t="s">
        <v>18233</v>
      </c>
      <c r="E7084" s="142"/>
      <c r="F7084" s="142"/>
      <c r="G7084" s="140"/>
    </row>
    <row r="7085" spans="2:7" hidden="1">
      <c r="B7085" s="141" t="s">
        <v>18234</v>
      </c>
      <c r="C7085" s="140" t="s">
        <v>7238</v>
      </c>
      <c r="D7085" s="141" t="s">
        <v>1218</v>
      </c>
      <c r="E7085" s="140" t="s">
        <v>18235</v>
      </c>
      <c r="F7085" s="140"/>
      <c r="G7085" s="140"/>
    </row>
    <row r="7086" spans="2:7" hidden="1">
      <c r="B7086" s="141" t="s">
        <v>18236</v>
      </c>
      <c r="C7086" s="141"/>
      <c r="D7086" s="141" t="s">
        <v>18237</v>
      </c>
      <c r="E7086" s="140"/>
      <c r="F7086" s="140"/>
      <c r="G7086" s="140"/>
    </row>
    <row r="7087" spans="2:7" hidden="1">
      <c r="B7087" s="141" t="s">
        <v>18238</v>
      </c>
      <c r="C7087" s="140"/>
      <c r="D7087" s="141" t="s">
        <v>18239</v>
      </c>
      <c r="E7087" s="140"/>
      <c r="F7087" s="140"/>
      <c r="G7087" s="140"/>
    </row>
    <row r="7088" spans="2:7" hidden="1">
      <c r="B7088" s="141" t="s">
        <v>18240</v>
      </c>
      <c r="C7088" s="140"/>
      <c r="D7088" s="141" t="s">
        <v>4802</v>
      </c>
      <c r="E7088" s="140"/>
      <c r="F7088" s="140"/>
      <c r="G7088" s="140"/>
    </row>
    <row r="7089" spans="2:7" hidden="1">
      <c r="B7089" s="140" t="s">
        <v>18241</v>
      </c>
      <c r="C7089" s="140"/>
      <c r="D7089" s="140" t="s">
        <v>18242</v>
      </c>
      <c r="E7089" s="142"/>
      <c r="F7089" s="142"/>
      <c r="G7089" s="140"/>
    </row>
    <row r="7090" spans="2:7" hidden="1">
      <c r="B7090" s="141" t="s">
        <v>18243</v>
      </c>
      <c r="C7090" s="140"/>
      <c r="D7090" s="141" t="s">
        <v>3100</v>
      </c>
      <c r="E7090" s="140"/>
      <c r="F7090" s="140"/>
      <c r="G7090" s="140"/>
    </row>
    <row r="7091" spans="2:7" hidden="1">
      <c r="B7091" s="141" t="s">
        <v>18244</v>
      </c>
      <c r="C7091" s="140"/>
      <c r="D7091" s="141" t="s">
        <v>18245</v>
      </c>
      <c r="E7091" s="140"/>
      <c r="F7091" s="140"/>
      <c r="G7091" s="140"/>
    </row>
    <row r="7092" spans="2:7" hidden="1">
      <c r="B7092" s="141" t="s">
        <v>18246</v>
      </c>
      <c r="C7092" s="140"/>
      <c r="D7092" s="141" t="s">
        <v>18247</v>
      </c>
      <c r="E7092" s="140"/>
      <c r="F7092" s="140"/>
      <c r="G7092" s="140"/>
    </row>
    <row r="7093" spans="2:7" hidden="1">
      <c r="B7093" s="140" t="s">
        <v>18248</v>
      </c>
      <c r="C7093" s="140"/>
      <c r="D7093" s="140" t="s">
        <v>18249</v>
      </c>
      <c r="E7093" s="142"/>
      <c r="F7093" s="142"/>
      <c r="G7093" s="140"/>
    </row>
    <row r="7094" spans="2:7" hidden="1">
      <c r="B7094" s="141" t="s">
        <v>18250</v>
      </c>
      <c r="C7094" s="141"/>
      <c r="D7094" s="141" t="s">
        <v>10804</v>
      </c>
      <c r="E7094" s="141"/>
      <c r="F7094" s="140"/>
      <c r="G7094" s="140"/>
    </row>
    <row r="7095" spans="2:7" hidden="1">
      <c r="B7095" s="141" t="s">
        <v>18251</v>
      </c>
      <c r="C7095" s="140"/>
      <c r="D7095" s="141" t="s">
        <v>18252</v>
      </c>
      <c r="E7095" s="140"/>
      <c r="F7095" s="140"/>
      <c r="G7095" s="140"/>
    </row>
    <row r="7096" spans="2:7" hidden="1">
      <c r="B7096" s="141" t="s">
        <v>18253</v>
      </c>
      <c r="C7096" s="140" t="s">
        <v>18254</v>
      </c>
      <c r="D7096" s="141" t="s">
        <v>18255</v>
      </c>
      <c r="E7096" s="140" t="s">
        <v>18256</v>
      </c>
      <c r="F7096" s="140"/>
      <c r="G7096" s="140" t="s">
        <v>18257</v>
      </c>
    </row>
    <row r="7097" spans="2:7" hidden="1">
      <c r="B7097" s="140" t="s">
        <v>18258</v>
      </c>
      <c r="C7097" s="140"/>
      <c r="D7097" s="140" t="s">
        <v>6305</v>
      </c>
      <c r="E7097" s="142"/>
      <c r="F7097" s="142"/>
      <c r="G7097" s="140"/>
    </row>
    <row r="7098" spans="2:7" hidden="1">
      <c r="B7098" s="141" t="s">
        <v>18259</v>
      </c>
      <c r="C7098" s="140"/>
      <c r="D7098" s="141" t="s">
        <v>18260</v>
      </c>
      <c r="E7098" s="140"/>
      <c r="F7098" s="140"/>
      <c r="G7098" s="140"/>
    </row>
    <row r="7099" spans="2:7" hidden="1">
      <c r="B7099" s="141" t="s">
        <v>18261</v>
      </c>
      <c r="C7099" s="140"/>
      <c r="D7099" s="141" t="s">
        <v>18262</v>
      </c>
      <c r="E7099" s="140"/>
      <c r="F7099" s="140"/>
      <c r="G7099" s="140"/>
    </row>
    <row r="7100" spans="2:7" hidden="1">
      <c r="B7100" s="140" t="s">
        <v>18263</v>
      </c>
      <c r="C7100" s="140"/>
      <c r="D7100" s="140" t="s">
        <v>18264</v>
      </c>
      <c r="E7100" s="140"/>
      <c r="F7100" s="140"/>
      <c r="G7100" s="140"/>
    </row>
    <row r="7101" spans="2:7" hidden="1">
      <c r="B7101" s="141" t="s">
        <v>18265</v>
      </c>
      <c r="C7101" s="140" t="s">
        <v>18266</v>
      </c>
      <c r="D7101" s="141" t="s">
        <v>16324</v>
      </c>
      <c r="E7101" s="140" t="s">
        <v>16325</v>
      </c>
      <c r="F7101" s="140" t="s">
        <v>16326</v>
      </c>
      <c r="G7101" s="140"/>
    </row>
    <row r="7102" spans="2:7" hidden="1">
      <c r="B7102" s="141" t="s">
        <v>18267</v>
      </c>
      <c r="C7102" s="140"/>
      <c r="D7102" s="141" t="s">
        <v>11265</v>
      </c>
      <c r="E7102" s="140"/>
      <c r="F7102" s="140"/>
      <c r="G7102" s="140"/>
    </row>
    <row r="7103" spans="2:7" hidden="1">
      <c r="B7103" s="140" t="s">
        <v>18268</v>
      </c>
      <c r="C7103" s="140"/>
      <c r="D7103" s="140" t="s">
        <v>18269</v>
      </c>
      <c r="E7103" s="142"/>
      <c r="F7103" s="142"/>
      <c r="G7103" s="140"/>
    </row>
    <row r="7104" spans="2:7" hidden="1">
      <c r="B7104" s="141" t="s">
        <v>18270</v>
      </c>
      <c r="C7104" s="140"/>
      <c r="D7104" s="141" t="s">
        <v>4280</v>
      </c>
      <c r="E7104" s="140"/>
      <c r="F7104" s="140"/>
      <c r="G7104" s="140"/>
    </row>
    <row r="7105" spans="2:7" hidden="1">
      <c r="B7105" s="141" t="s">
        <v>18271</v>
      </c>
      <c r="C7105" s="140" t="s">
        <v>18272</v>
      </c>
      <c r="D7105" s="141" t="s">
        <v>4933</v>
      </c>
      <c r="E7105" s="140"/>
      <c r="F7105" s="140"/>
      <c r="G7105" s="140" t="s">
        <v>21395</v>
      </c>
    </row>
    <row r="7106" spans="2:7" hidden="1">
      <c r="B7106" s="141" t="s">
        <v>18273</v>
      </c>
      <c r="C7106" s="140" t="s">
        <v>18274</v>
      </c>
      <c r="D7106" s="141" t="s">
        <v>18275</v>
      </c>
      <c r="E7106" s="140"/>
      <c r="F7106" s="140"/>
      <c r="G7106" s="140"/>
    </row>
    <row r="7107" spans="2:7" hidden="1">
      <c r="B7107" s="141" t="s">
        <v>18276</v>
      </c>
      <c r="C7107" s="140"/>
      <c r="D7107" s="141" t="s">
        <v>6038</v>
      </c>
      <c r="E7107" s="140"/>
      <c r="F7107" s="140"/>
      <c r="G7107" s="140"/>
    </row>
    <row r="7108" spans="2:7" hidden="1">
      <c r="B7108" s="141" t="s">
        <v>18277</v>
      </c>
      <c r="C7108" s="140"/>
      <c r="D7108" s="141" t="s">
        <v>16639</v>
      </c>
      <c r="E7108" s="140"/>
      <c r="F7108" s="140"/>
      <c r="G7108" s="140"/>
    </row>
    <row r="7109" spans="2:7" hidden="1">
      <c r="B7109" s="141" t="s">
        <v>18278</v>
      </c>
      <c r="C7109" s="140"/>
      <c r="D7109" s="141" t="s">
        <v>18279</v>
      </c>
      <c r="E7109" s="140"/>
      <c r="F7109" s="140"/>
      <c r="G7109" s="140"/>
    </row>
    <row r="7110" spans="2:7" hidden="1">
      <c r="B7110" s="141" t="s">
        <v>18280</v>
      </c>
      <c r="C7110" s="140"/>
      <c r="D7110" s="141" t="s">
        <v>17800</v>
      </c>
      <c r="E7110" s="140"/>
      <c r="F7110" s="140"/>
      <c r="G7110" s="140"/>
    </row>
    <row r="7111" spans="2:7" hidden="1">
      <c r="B7111" s="141" t="s">
        <v>18281</v>
      </c>
      <c r="C7111" s="140"/>
      <c r="D7111" s="141" t="s">
        <v>18282</v>
      </c>
      <c r="E7111" s="140"/>
      <c r="F7111" s="140"/>
      <c r="G7111" s="140"/>
    </row>
    <row r="7112" spans="2:7" hidden="1">
      <c r="B7112" s="141" t="s">
        <v>18283</v>
      </c>
      <c r="C7112" s="140"/>
      <c r="D7112" s="141" t="s">
        <v>18284</v>
      </c>
      <c r="E7112" s="140"/>
      <c r="F7112" s="140"/>
      <c r="G7112" s="140"/>
    </row>
    <row r="7113" spans="2:7" hidden="1">
      <c r="B7113" s="141" t="s">
        <v>18285</v>
      </c>
      <c r="C7113" s="140"/>
      <c r="D7113" s="141" t="s">
        <v>9886</v>
      </c>
      <c r="E7113" s="140"/>
      <c r="F7113" s="140"/>
      <c r="G7113" s="140"/>
    </row>
    <row r="7114" spans="2:7" hidden="1">
      <c r="B7114" s="141" t="s">
        <v>22008</v>
      </c>
      <c r="C7114" s="141"/>
      <c r="D7114" s="141" t="s">
        <v>4678</v>
      </c>
      <c r="E7114" s="141"/>
      <c r="F7114" s="141"/>
      <c r="G7114" s="140"/>
    </row>
    <row r="7115" spans="2:7" hidden="1">
      <c r="B7115" s="141" t="s">
        <v>22009</v>
      </c>
      <c r="C7115" s="140"/>
      <c r="D7115" s="141" t="s">
        <v>18286</v>
      </c>
      <c r="E7115" s="140"/>
      <c r="F7115" s="140"/>
      <c r="G7115" s="140"/>
    </row>
    <row r="7116" spans="2:7" hidden="1">
      <c r="B7116" s="141" t="s">
        <v>18287</v>
      </c>
      <c r="C7116" s="140"/>
      <c r="D7116" s="141" t="s">
        <v>18288</v>
      </c>
      <c r="E7116" s="140"/>
      <c r="F7116" s="140"/>
      <c r="G7116" s="140"/>
    </row>
    <row r="7117" spans="2:7" hidden="1">
      <c r="B7117" s="141" t="s">
        <v>18289</v>
      </c>
      <c r="C7117" s="140"/>
      <c r="D7117" s="141" t="s">
        <v>2038</v>
      </c>
      <c r="E7117" s="140"/>
      <c r="F7117" s="140"/>
      <c r="G7117" s="140"/>
    </row>
    <row r="7118" spans="2:7" hidden="1">
      <c r="B7118" s="141" t="s">
        <v>18290</v>
      </c>
      <c r="C7118" s="140" t="s">
        <v>18291</v>
      </c>
      <c r="D7118" s="141" t="s">
        <v>3602</v>
      </c>
      <c r="E7118" s="140" t="s">
        <v>18292</v>
      </c>
      <c r="F7118" s="140" t="s">
        <v>18293</v>
      </c>
      <c r="G7118" s="140"/>
    </row>
    <row r="7119" spans="2:7" hidden="1">
      <c r="B7119" s="141" t="s">
        <v>18294</v>
      </c>
      <c r="C7119" s="140"/>
      <c r="D7119" s="141" t="s">
        <v>9232</v>
      </c>
      <c r="E7119" s="140"/>
      <c r="F7119" s="140"/>
      <c r="G7119" s="140"/>
    </row>
    <row r="7120" spans="2:7" hidden="1">
      <c r="B7120" s="141" t="s">
        <v>18295</v>
      </c>
      <c r="C7120" s="140"/>
      <c r="D7120" s="141" t="s">
        <v>3169</v>
      </c>
      <c r="E7120" s="140"/>
      <c r="F7120" s="140"/>
      <c r="G7120" s="140"/>
    </row>
    <row r="7121" spans="2:7" hidden="1">
      <c r="B7121" s="140" t="s">
        <v>18296</v>
      </c>
      <c r="C7121" s="141"/>
      <c r="D7121" s="141" t="s">
        <v>18297</v>
      </c>
      <c r="E7121" s="141"/>
      <c r="F7121" s="141"/>
      <c r="G7121" s="140"/>
    </row>
    <row r="7122" spans="2:7" hidden="1">
      <c r="B7122" s="141" t="s">
        <v>18298</v>
      </c>
      <c r="C7122" s="140" t="s">
        <v>18299</v>
      </c>
      <c r="D7122" s="141" t="s">
        <v>18300</v>
      </c>
      <c r="E7122" s="140" t="s">
        <v>18301</v>
      </c>
      <c r="F7122" s="140" t="s">
        <v>18302</v>
      </c>
      <c r="G7122" s="140"/>
    </row>
    <row r="7123" spans="2:7" hidden="1">
      <c r="B7123" s="141" t="s">
        <v>18303</v>
      </c>
      <c r="C7123" s="140" t="s">
        <v>18304</v>
      </c>
      <c r="D7123" s="141" t="s">
        <v>18305</v>
      </c>
      <c r="E7123" s="140" t="s">
        <v>18306</v>
      </c>
      <c r="F7123" s="140" t="s">
        <v>18307</v>
      </c>
      <c r="G7123" s="140"/>
    </row>
    <row r="7124" spans="2:7" hidden="1">
      <c r="B7124" s="141" t="s">
        <v>18308</v>
      </c>
      <c r="C7124" s="140"/>
      <c r="D7124" s="141" t="s">
        <v>18309</v>
      </c>
      <c r="E7124" s="140"/>
      <c r="F7124" s="140"/>
      <c r="G7124" s="140"/>
    </row>
    <row r="7125" spans="2:7" hidden="1">
      <c r="B7125" s="141" t="s">
        <v>18310</v>
      </c>
      <c r="C7125" s="140" t="s">
        <v>18311</v>
      </c>
      <c r="D7125" s="141" t="s">
        <v>18312</v>
      </c>
      <c r="E7125" s="140"/>
      <c r="F7125" s="140"/>
      <c r="G7125" s="140" t="s">
        <v>18313</v>
      </c>
    </row>
    <row r="7126" spans="2:7" hidden="1">
      <c r="B7126" s="140" t="s">
        <v>18314</v>
      </c>
      <c r="C7126" s="141"/>
      <c r="D7126" s="141" t="s">
        <v>18315</v>
      </c>
      <c r="E7126" s="141"/>
      <c r="F7126" s="141"/>
      <c r="G7126" s="140"/>
    </row>
    <row r="7127" spans="2:7" hidden="1">
      <c r="B7127" s="141" t="s">
        <v>18316</v>
      </c>
      <c r="C7127" s="140"/>
      <c r="D7127" s="141" t="s">
        <v>18317</v>
      </c>
      <c r="E7127" s="140"/>
      <c r="F7127" s="140"/>
      <c r="G7127" s="140"/>
    </row>
    <row r="7128" spans="2:7" hidden="1">
      <c r="B7128" s="141" t="s">
        <v>18318</v>
      </c>
      <c r="C7128" s="140"/>
      <c r="D7128" s="141" t="s">
        <v>2138</v>
      </c>
      <c r="E7128" s="140"/>
      <c r="F7128" s="140"/>
      <c r="G7128" s="140"/>
    </row>
    <row r="7129" spans="2:7" hidden="1">
      <c r="B7129" s="141" t="s">
        <v>18319</v>
      </c>
      <c r="C7129" s="140"/>
      <c r="D7129" s="141" t="s">
        <v>18320</v>
      </c>
      <c r="E7129" s="140"/>
      <c r="F7129" s="140"/>
      <c r="G7129" s="140"/>
    </row>
    <row r="7130" spans="2:7" hidden="1">
      <c r="B7130" s="141" t="s">
        <v>18321</v>
      </c>
      <c r="C7130" s="140" t="s">
        <v>18322</v>
      </c>
      <c r="D7130" s="141" t="s">
        <v>18323</v>
      </c>
      <c r="E7130" s="140"/>
      <c r="F7130" s="140"/>
      <c r="G7130" s="140"/>
    </row>
    <row r="7131" spans="2:7" hidden="1">
      <c r="B7131" s="141" t="s">
        <v>18324</v>
      </c>
      <c r="C7131" s="140"/>
      <c r="D7131" s="141" t="s">
        <v>2258</v>
      </c>
      <c r="E7131" s="140"/>
      <c r="F7131" s="140"/>
      <c r="G7131" s="140"/>
    </row>
    <row r="7132" spans="2:7" hidden="1">
      <c r="B7132" s="140" t="s">
        <v>18325</v>
      </c>
      <c r="C7132" s="140"/>
      <c r="D7132" s="140" t="s">
        <v>18326</v>
      </c>
      <c r="E7132" s="142"/>
      <c r="F7132" s="142"/>
      <c r="G7132" s="140"/>
    </row>
    <row r="7133" spans="2:7" hidden="1">
      <c r="B7133" s="141" t="s">
        <v>18327</v>
      </c>
      <c r="C7133" s="140"/>
      <c r="D7133" s="141" t="s">
        <v>18328</v>
      </c>
      <c r="E7133" s="140"/>
      <c r="F7133" s="140"/>
      <c r="G7133" s="140"/>
    </row>
    <row r="7134" spans="2:7" hidden="1">
      <c r="B7134" s="141" t="s">
        <v>18329</v>
      </c>
      <c r="C7134" s="140"/>
      <c r="D7134" s="141" t="s">
        <v>18330</v>
      </c>
      <c r="E7134" s="140"/>
      <c r="F7134" s="140"/>
      <c r="G7134" s="140"/>
    </row>
    <row r="7135" spans="2:7" hidden="1">
      <c r="B7135" s="141" t="s">
        <v>18331</v>
      </c>
      <c r="C7135" s="140"/>
      <c r="D7135" s="141" t="s">
        <v>18332</v>
      </c>
      <c r="E7135" s="140"/>
      <c r="F7135" s="140"/>
      <c r="G7135" s="140"/>
    </row>
    <row r="7136" spans="2:7" hidden="1">
      <c r="B7136" s="140" t="s">
        <v>18333</v>
      </c>
      <c r="C7136" s="140"/>
      <c r="D7136" s="140" t="s">
        <v>7840</v>
      </c>
      <c r="E7136" s="142"/>
      <c r="F7136" s="142"/>
      <c r="G7136" s="140"/>
    </row>
    <row r="7137" spans="2:7" hidden="1">
      <c r="B7137" s="141" t="s">
        <v>18334</v>
      </c>
      <c r="C7137" s="140"/>
      <c r="D7137" s="141" t="s">
        <v>18335</v>
      </c>
      <c r="E7137" s="140"/>
      <c r="F7137" s="140"/>
      <c r="G7137" s="140"/>
    </row>
    <row r="7138" spans="2:7" hidden="1">
      <c r="B7138" s="141" t="s">
        <v>18336</v>
      </c>
      <c r="C7138" s="140" t="s">
        <v>18337</v>
      </c>
      <c r="D7138" s="141" t="s">
        <v>2741</v>
      </c>
      <c r="E7138" s="140"/>
      <c r="F7138" s="140"/>
      <c r="G7138" s="140"/>
    </row>
    <row r="7139" spans="2:7" hidden="1">
      <c r="B7139" s="141" t="s">
        <v>18338</v>
      </c>
      <c r="C7139" s="140"/>
      <c r="D7139" s="141" t="s">
        <v>18328</v>
      </c>
      <c r="E7139" s="140"/>
      <c r="F7139" s="140"/>
      <c r="G7139" s="140"/>
    </row>
    <row r="7140" spans="2:7" hidden="1">
      <c r="B7140" s="141" t="s">
        <v>18339</v>
      </c>
      <c r="C7140" s="140" t="s">
        <v>18340</v>
      </c>
      <c r="D7140" s="141" t="s">
        <v>18341</v>
      </c>
      <c r="E7140" s="140"/>
      <c r="F7140" s="140"/>
      <c r="G7140" s="140"/>
    </row>
    <row r="7141" spans="2:7" hidden="1">
      <c r="B7141" s="141" t="s">
        <v>18342</v>
      </c>
      <c r="C7141" s="140"/>
      <c r="D7141" s="141" t="s">
        <v>18343</v>
      </c>
      <c r="E7141" s="140"/>
      <c r="F7141" s="140"/>
      <c r="G7141" s="140"/>
    </row>
    <row r="7142" spans="2:7" hidden="1">
      <c r="B7142" s="141" t="s">
        <v>22010</v>
      </c>
      <c r="C7142" s="140"/>
      <c r="D7142" s="141" t="s">
        <v>18344</v>
      </c>
      <c r="E7142" s="140"/>
      <c r="F7142" s="140"/>
      <c r="G7142" s="140"/>
    </row>
    <row r="7143" spans="2:7" hidden="1">
      <c r="B7143" s="140" t="s">
        <v>22011</v>
      </c>
      <c r="C7143" s="140"/>
      <c r="D7143" s="140" t="s">
        <v>18345</v>
      </c>
      <c r="E7143" s="142"/>
      <c r="F7143" s="142"/>
      <c r="G7143" s="140"/>
    </row>
    <row r="7144" spans="2:7" hidden="1">
      <c r="B7144" s="141" t="s">
        <v>18346</v>
      </c>
      <c r="C7144" s="140" t="s">
        <v>18347</v>
      </c>
      <c r="D7144" s="141" t="s">
        <v>18348</v>
      </c>
      <c r="E7144" s="140" t="s">
        <v>18349</v>
      </c>
      <c r="F7144" s="140"/>
      <c r="G7144" s="140"/>
    </row>
    <row r="7145" spans="2:7" hidden="1">
      <c r="B7145" s="141" t="s">
        <v>18350</v>
      </c>
      <c r="C7145" s="140"/>
      <c r="D7145" s="141" t="s">
        <v>18351</v>
      </c>
      <c r="E7145" s="140"/>
      <c r="F7145" s="140"/>
      <c r="G7145" s="140"/>
    </row>
    <row r="7146" spans="2:7" hidden="1">
      <c r="B7146" s="141" t="s">
        <v>18352</v>
      </c>
      <c r="C7146" s="140"/>
      <c r="D7146" s="141" t="s">
        <v>5889</v>
      </c>
      <c r="E7146" s="140"/>
      <c r="F7146" s="140"/>
      <c r="G7146" s="140"/>
    </row>
    <row r="7147" spans="2:7" hidden="1">
      <c r="B7147" s="141" t="s">
        <v>18353</v>
      </c>
      <c r="C7147" s="141"/>
      <c r="D7147" s="141" t="s">
        <v>6331</v>
      </c>
      <c r="E7147" s="140"/>
      <c r="F7147" s="140"/>
      <c r="G7147" s="140"/>
    </row>
    <row r="7148" spans="2:7" hidden="1">
      <c r="B7148" s="141" t="s">
        <v>18354</v>
      </c>
      <c r="C7148" s="140"/>
      <c r="D7148" s="141" t="s">
        <v>18355</v>
      </c>
      <c r="E7148" s="140"/>
      <c r="F7148" s="140"/>
      <c r="G7148" s="140"/>
    </row>
    <row r="7149" spans="2:7" hidden="1">
      <c r="B7149" s="141" t="s">
        <v>18356</v>
      </c>
      <c r="C7149" s="140"/>
      <c r="D7149" s="141" t="s">
        <v>18357</v>
      </c>
      <c r="E7149" s="140"/>
      <c r="F7149" s="140"/>
      <c r="G7149" s="140"/>
    </row>
    <row r="7150" spans="2:7" hidden="1">
      <c r="B7150" s="141" t="s">
        <v>18358</v>
      </c>
      <c r="C7150" s="140"/>
      <c r="D7150" s="141" t="s">
        <v>18359</v>
      </c>
      <c r="E7150" s="140"/>
      <c r="F7150" s="140"/>
      <c r="G7150" s="140"/>
    </row>
    <row r="7151" spans="2:7" hidden="1">
      <c r="B7151" s="140" t="s">
        <v>18360</v>
      </c>
      <c r="C7151" s="140"/>
      <c r="D7151" s="140" t="s">
        <v>18361</v>
      </c>
      <c r="E7151" s="142"/>
      <c r="F7151" s="142"/>
      <c r="G7151" s="140"/>
    </row>
    <row r="7152" spans="2:7" hidden="1">
      <c r="B7152" s="141" t="s">
        <v>18362</v>
      </c>
      <c r="C7152" s="140"/>
      <c r="D7152" s="141" t="s">
        <v>7840</v>
      </c>
      <c r="E7152" s="140"/>
      <c r="F7152" s="140"/>
      <c r="G7152" s="140"/>
    </row>
    <row r="7153" spans="2:7" hidden="1">
      <c r="B7153" s="141" t="s">
        <v>18363</v>
      </c>
      <c r="C7153" s="140"/>
      <c r="D7153" s="141" t="s">
        <v>3704</v>
      </c>
      <c r="E7153" s="140"/>
      <c r="F7153" s="140"/>
      <c r="G7153" s="140"/>
    </row>
    <row r="7154" spans="2:7" hidden="1">
      <c r="B7154" s="141" t="s">
        <v>18364</v>
      </c>
      <c r="C7154" s="140"/>
      <c r="D7154" s="141" t="s">
        <v>18365</v>
      </c>
      <c r="E7154" s="140"/>
      <c r="F7154" s="140"/>
      <c r="G7154" s="140"/>
    </row>
    <row r="7155" spans="2:7" hidden="1">
      <c r="B7155" s="141" t="s">
        <v>18366</v>
      </c>
      <c r="C7155" s="140" t="s">
        <v>18367</v>
      </c>
      <c r="D7155" s="141" t="s">
        <v>7788</v>
      </c>
      <c r="E7155" s="140" t="s">
        <v>18368</v>
      </c>
      <c r="F7155" s="140" t="s">
        <v>18369</v>
      </c>
      <c r="G7155" s="140"/>
    </row>
    <row r="7156" spans="2:7" hidden="1">
      <c r="B7156" s="141" t="s">
        <v>18370</v>
      </c>
      <c r="C7156" s="140"/>
      <c r="D7156" s="141" t="s">
        <v>18371</v>
      </c>
      <c r="E7156" s="140"/>
      <c r="F7156" s="140"/>
      <c r="G7156" s="140"/>
    </row>
    <row r="7157" spans="2:7" hidden="1">
      <c r="B7157" s="141" t="s">
        <v>18372</v>
      </c>
      <c r="C7157" s="140"/>
      <c r="D7157" s="141" t="s">
        <v>2776</v>
      </c>
      <c r="E7157" s="140"/>
      <c r="F7157" s="140"/>
      <c r="G7157" s="140"/>
    </row>
    <row r="7158" spans="2:7" hidden="1">
      <c r="B7158" s="140" t="s">
        <v>22012</v>
      </c>
      <c r="C7158" s="140"/>
      <c r="D7158" s="140" t="s">
        <v>18373</v>
      </c>
      <c r="E7158" s="142"/>
      <c r="F7158" s="142"/>
      <c r="G7158" s="140"/>
    </row>
    <row r="7159" spans="2:7" hidden="1">
      <c r="B7159" s="141" t="s">
        <v>18374</v>
      </c>
      <c r="C7159" s="140"/>
      <c r="D7159" s="141" t="s">
        <v>18375</v>
      </c>
      <c r="E7159" s="140"/>
      <c r="F7159" s="140"/>
      <c r="G7159" s="140"/>
    </row>
    <row r="7160" spans="2:7" hidden="1">
      <c r="B7160" s="141" t="s">
        <v>18376</v>
      </c>
      <c r="C7160" s="140"/>
      <c r="D7160" s="141" t="s">
        <v>15490</v>
      </c>
      <c r="E7160" s="140"/>
      <c r="F7160" s="140"/>
      <c r="G7160" s="140"/>
    </row>
    <row r="7161" spans="2:7" hidden="1">
      <c r="B7161" s="140" t="s">
        <v>18377</v>
      </c>
      <c r="C7161" s="140"/>
      <c r="D7161" s="140" t="s">
        <v>14051</v>
      </c>
      <c r="E7161" s="142"/>
      <c r="F7161" s="142"/>
      <c r="G7161" s="140"/>
    </row>
    <row r="7162" spans="2:7" hidden="1">
      <c r="B7162" s="140" t="s">
        <v>18378</v>
      </c>
      <c r="C7162" s="140"/>
      <c r="D7162" s="140" t="s">
        <v>8601</v>
      </c>
      <c r="E7162" s="142"/>
      <c r="F7162" s="142"/>
      <c r="G7162" s="140"/>
    </row>
    <row r="7163" spans="2:7" hidden="1">
      <c r="B7163" s="140" t="s">
        <v>20222</v>
      </c>
      <c r="C7163" s="140" t="s">
        <v>20221</v>
      </c>
      <c r="D7163" s="140" t="s">
        <v>12798</v>
      </c>
      <c r="E7163" s="142" t="s">
        <v>20218</v>
      </c>
      <c r="F7163" s="142" t="s">
        <v>20219</v>
      </c>
      <c r="G7163" s="140" t="s">
        <v>20220</v>
      </c>
    </row>
    <row r="7164" spans="2:7" hidden="1">
      <c r="B7164" s="141" t="s">
        <v>18379</v>
      </c>
      <c r="C7164" s="140" t="s">
        <v>18380</v>
      </c>
      <c r="D7164" s="141" t="s">
        <v>6807</v>
      </c>
      <c r="E7164" s="140" t="s">
        <v>18381</v>
      </c>
      <c r="F7164" s="140" t="s">
        <v>18382</v>
      </c>
      <c r="G7164" s="140"/>
    </row>
    <row r="7165" spans="2:7" hidden="1">
      <c r="B7165" s="140" t="s">
        <v>18383</v>
      </c>
      <c r="C7165" s="140"/>
      <c r="D7165" s="140" t="s">
        <v>18384</v>
      </c>
      <c r="E7165" s="142"/>
      <c r="F7165" s="142"/>
      <c r="G7165" s="140"/>
    </row>
    <row r="7166" spans="2:7" hidden="1">
      <c r="B7166" s="141" t="s">
        <v>18385</v>
      </c>
      <c r="C7166" s="140"/>
      <c r="D7166" s="141" t="s">
        <v>18386</v>
      </c>
      <c r="E7166" s="140"/>
      <c r="F7166" s="140"/>
      <c r="G7166" s="140"/>
    </row>
    <row r="7167" spans="2:7" hidden="1">
      <c r="B7167" s="140" t="s">
        <v>18387</v>
      </c>
      <c r="C7167" s="140"/>
      <c r="D7167" s="140" t="s">
        <v>18388</v>
      </c>
      <c r="E7167" s="142"/>
      <c r="F7167" s="142"/>
      <c r="G7167" s="140"/>
    </row>
    <row r="7168" spans="2:7" hidden="1">
      <c r="B7168" s="141" t="s">
        <v>18389</v>
      </c>
      <c r="C7168" s="141"/>
      <c r="D7168" s="141" t="s">
        <v>18390</v>
      </c>
      <c r="E7168" s="141"/>
      <c r="F7168" s="141"/>
      <c r="G7168" s="140"/>
    </row>
    <row r="7169" spans="2:7" hidden="1">
      <c r="B7169" s="141" t="s">
        <v>18391</v>
      </c>
      <c r="C7169" s="140"/>
      <c r="D7169" s="141" t="s">
        <v>18392</v>
      </c>
      <c r="E7169" s="140"/>
      <c r="F7169" s="140"/>
      <c r="G7169" s="140"/>
    </row>
    <row r="7170" spans="2:7" hidden="1">
      <c r="B7170" s="140" t="s">
        <v>18393</v>
      </c>
      <c r="C7170" s="140"/>
      <c r="D7170" s="140" t="s">
        <v>18394</v>
      </c>
      <c r="E7170" s="142"/>
      <c r="F7170" s="142"/>
      <c r="G7170" s="140"/>
    </row>
    <row r="7171" spans="2:7" hidden="1">
      <c r="B7171" s="141" t="s">
        <v>18395</v>
      </c>
      <c r="C7171" s="140"/>
      <c r="D7171" s="141" t="s">
        <v>18396</v>
      </c>
      <c r="E7171" s="140"/>
      <c r="F7171" s="140"/>
      <c r="G7171" s="140"/>
    </row>
    <row r="7172" spans="2:7" hidden="1">
      <c r="B7172" s="141" t="s">
        <v>18397</v>
      </c>
      <c r="C7172" s="140"/>
      <c r="D7172" s="141" t="s">
        <v>18398</v>
      </c>
      <c r="E7172" s="140"/>
      <c r="F7172" s="140"/>
      <c r="G7172" s="140"/>
    </row>
    <row r="7173" spans="2:7" hidden="1">
      <c r="B7173" s="140" t="s">
        <v>18399</v>
      </c>
      <c r="C7173" s="140"/>
      <c r="D7173" s="140" t="s">
        <v>18400</v>
      </c>
      <c r="E7173" s="140"/>
      <c r="F7173" s="140"/>
      <c r="G7173" s="140"/>
    </row>
    <row r="7174" spans="2:7" hidden="1">
      <c r="B7174" s="140" t="s">
        <v>18401</v>
      </c>
      <c r="C7174" s="140"/>
      <c r="D7174" s="140" t="s">
        <v>18402</v>
      </c>
      <c r="E7174" s="142"/>
      <c r="F7174" s="142"/>
      <c r="G7174" s="140"/>
    </row>
    <row r="7175" spans="2:7" hidden="1">
      <c r="B7175" s="140" t="s">
        <v>18403</v>
      </c>
      <c r="C7175" s="140"/>
      <c r="D7175" s="140" t="s">
        <v>10385</v>
      </c>
      <c r="E7175" s="142"/>
      <c r="F7175" s="142"/>
      <c r="G7175" s="140"/>
    </row>
    <row r="7176" spans="2:7" hidden="1">
      <c r="B7176" s="140" t="s">
        <v>18404</v>
      </c>
      <c r="C7176" s="140" t="s">
        <v>18405</v>
      </c>
      <c r="D7176" s="140" t="s">
        <v>2067</v>
      </c>
      <c r="E7176" s="142" t="s">
        <v>18406</v>
      </c>
      <c r="F7176" s="142"/>
      <c r="G7176" s="140"/>
    </row>
    <row r="7177" spans="2:7" hidden="1">
      <c r="B7177" s="141" t="s">
        <v>18407</v>
      </c>
      <c r="C7177" s="140" t="s">
        <v>18408</v>
      </c>
      <c r="D7177" s="141" t="s">
        <v>18409</v>
      </c>
      <c r="E7177" s="140" t="s">
        <v>18410</v>
      </c>
      <c r="F7177" s="140"/>
      <c r="G7177" s="140"/>
    </row>
    <row r="7178" spans="2:7" hidden="1">
      <c r="B7178" s="140" t="s">
        <v>18411</v>
      </c>
      <c r="C7178" s="140"/>
      <c r="D7178" s="140" t="s">
        <v>2258</v>
      </c>
      <c r="E7178" s="142"/>
      <c r="F7178" s="142"/>
      <c r="G7178" s="140"/>
    </row>
    <row r="7179" spans="2:7" hidden="1">
      <c r="B7179" s="140" t="s">
        <v>18412</v>
      </c>
      <c r="C7179" s="140"/>
      <c r="D7179" s="140" t="s">
        <v>18413</v>
      </c>
      <c r="E7179" s="142"/>
      <c r="F7179" s="142"/>
      <c r="G7179" s="140"/>
    </row>
    <row r="7180" spans="2:7" hidden="1">
      <c r="B7180" s="141" t="s">
        <v>18414</v>
      </c>
      <c r="C7180" s="140"/>
      <c r="D7180" s="141" t="s">
        <v>18415</v>
      </c>
      <c r="E7180" s="140"/>
      <c r="F7180" s="140"/>
      <c r="G7180" s="140"/>
    </row>
    <row r="7181" spans="2:7" hidden="1">
      <c r="B7181" s="141" t="s">
        <v>18416</v>
      </c>
      <c r="C7181" s="140"/>
      <c r="D7181" s="141" t="s">
        <v>3398</v>
      </c>
      <c r="E7181" s="140"/>
      <c r="F7181" s="140"/>
      <c r="G7181" s="140"/>
    </row>
    <row r="7182" spans="2:7" hidden="1">
      <c r="B7182" s="141" t="s">
        <v>18417</v>
      </c>
      <c r="C7182" s="140"/>
      <c r="D7182" s="141" t="s">
        <v>14923</v>
      </c>
      <c r="E7182" s="140"/>
      <c r="F7182" s="140"/>
      <c r="G7182" s="140"/>
    </row>
    <row r="7183" spans="2:7" hidden="1">
      <c r="B7183" s="140" t="s">
        <v>18418</v>
      </c>
      <c r="C7183" s="140" t="s">
        <v>18419</v>
      </c>
      <c r="D7183" s="140" t="s">
        <v>3980</v>
      </c>
      <c r="E7183" s="142" t="s">
        <v>18420</v>
      </c>
      <c r="F7183" s="142"/>
      <c r="G7183" s="140"/>
    </row>
    <row r="7184" spans="2:7" hidden="1">
      <c r="B7184" s="140" t="s">
        <v>18421</v>
      </c>
      <c r="C7184" s="140" t="s">
        <v>18422</v>
      </c>
      <c r="D7184" s="140" t="s">
        <v>18423</v>
      </c>
      <c r="E7184" s="142" t="s">
        <v>18424</v>
      </c>
      <c r="F7184" s="142"/>
      <c r="G7184" s="140"/>
    </row>
    <row r="7185" spans="2:7" hidden="1">
      <c r="B7185" s="140" t="s">
        <v>18425</v>
      </c>
      <c r="C7185" s="140" t="s">
        <v>18426</v>
      </c>
      <c r="D7185" s="140" t="s">
        <v>18427</v>
      </c>
      <c r="E7185" s="142" t="s">
        <v>18428</v>
      </c>
      <c r="F7185" s="142" t="s">
        <v>18429</v>
      </c>
      <c r="G7185" s="140"/>
    </row>
    <row r="7186" spans="2:7" hidden="1">
      <c r="B7186" s="140" t="s">
        <v>18430</v>
      </c>
      <c r="C7186" s="140"/>
      <c r="D7186" s="140" t="s">
        <v>4703</v>
      </c>
      <c r="E7186" s="140"/>
      <c r="F7186" s="140"/>
      <c r="G7186" s="140"/>
    </row>
    <row r="7187" spans="2:7" hidden="1">
      <c r="B7187" s="141" t="s">
        <v>18431</v>
      </c>
      <c r="C7187" s="140"/>
      <c r="D7187" s="141" t="s">
        <v>18432</v>
      </c>
      <c r="E7187" s="140"/>
      <c r="F7187" s="140"/>
      <c r="G7187" s="140"/>
    </row>
    <row r="7188" spans="2:7" hidden="1">
      <c r="B7188" s="141" t="s">
        <v>18433</v>
      </c>
      <c r="C7188" s="140"/>
      <c r="D7188" s="141" t="s">
        <v>18434</v>
      </c>
      <c r="E7188" s="140"/>
      <c r="F7188" s="140"/>
      <c r="G7188" s="140"/>
    </row>
    <row r="7189" spans="2:7" hidden="1">
      <c r="B7189" s="140" t="s">
        <v>18435</v>
      </c>
      <c r="C7189" s="140"/>
      <c r="D7189" s="140" t="s">
        <v>18436</v>
      </c>
      <c r="E7189" s="142" t="s">
        <v>18437</v>
      </c>
      <c r="F7189" s="142" t="s">
        <v>18438</v>
      </c>
      <c r="G7189" s="140"/>
    </row>
    <row r="7190" spans="2:7" hidden="1">
      <c r="B7190" s="141" t="s">
        <v>18439</v>
      </c>
      <c r="C7190" s="140"/>
      <c r="D7190" s="141" t="s">
        <v>3839</v>
      </c>
      <c r="E7190" s="140"/>
      <c r="F7190" s="140"/>
      <c r="G7190" s="140"/>
    </row>
    <row r="7191" spans="2:7" hidden="1">
      <c r="B7191" s="140" t="s">
        <v>18440</v>
      </c>
      <c r="C7191" s="140"/>
      <c r="D7191" s="140" t="s">
        <v>18441</v>
      </c>
      <c r="E7191" s="142"/>
      <c r="F7191" s="142"/>
      <c r="G7191" s="140"/>
    </row>
    <row r="7192" spans="2:7" hidden="1">
      <c r="B7192" s="141" t="s">
        <v>18442</v>
      </c>
      <c r="C7192" s="141"/>
      <c r="D7192" s="141" t="s">
        <v>7082</v>
      </c>
      <c r="E7192" s="141"/>
      <c r="F7192" s="141"/>
      <c r="G7192" s="140"/>
    </row>
    <row r="7193" spans="2:7" hidden="1">
      <c r="B7193" s="140" t="s">
        <v>22013</v>
      </c>
      <c r="C7193" s="140" t="s">
        <v>18443</v>
      </c>
      <c r="D7193" s="140" t="s">
        <v>18444</v>
      </c>
      <c r="E7193" s="142"/>
      <c r="F7193" s="142"/>
      <c r="G7193" s="140"/>
    </row>
    <row r="7194" spans="2:7" hidden="1">
      <c r="B7194" s="140" t="s">
        <v>18445</v>
      </c>
      <c r="C7194" s="140"/>
      <c r="D7194" s="140" t="s">
        <v>16463</v>
      </c>
      <c r="E7194" s="142"/>
      <c r="F7194" s="142"/>
      <c r="G7194" s="140"/>
    </row>
    <row r="7195" spans="2:7" hidden="1">
      <c r="B7195" s="141" t="s">
        <v>18446</v>
      </c>
      <c r="C7195" s="140" t="s">
        <v>18447</v>
      </c>
      <c r="D7195" s="141" t="s">
        <v>3055</v>
      </c>
      <c r="E7195" s="140" t="s">
        <v>18448</v>
      </c>
      <c r="F7195" s="140"/>
      <c r="G7195" s="140"/>
    </row>
    <row r="7196" spans="2:7" hidden="1">
      <c r="B7196" s="141" t="s">
        <v>18449</v>
      </c>
      <c r="C7196" s="140"/>
      <c r="D7196" s="141" t="s">
        <v>18450</v>
      </c>
      <c r="E7196" s="140"/>
      <c r="F7196" s="140"/>
      <c r="G7196" s="140"/>
    </row>
    <row r="7197" spans="2:7" hidden="1">
      <c r="B7197" s="141" t="s">
        <v>18451</v>
      </c>
      <c r="C7197" s="140"/>
      <c r="D7197" s="141" t="s">
        <v>18452</v>
      </c>
      <c r="E7197" s="140"/>
      <c r="F7197" s="140"/>
      <c r="G7197" s="140"/>
    </row>
    <row r="7198" spans="2:7" hidden="1">
      <c r="B7198" s="141" t="s">
        <v>18453</v>
      </c>
      <c r="C7198" s="140"/>
      <c r="D7198" s="141" t="s">
        <v>18454</v>
      </c>
      <c r="E7198" s="140"/>
      <c r="F7198" s="140"/>
      <c r="G7198" s="140"/>
    </row>
    <row r="7199" spans="2:7" hidden="1">
      <c r="B7199" s="140" t="s">
        <v>18455</v>
      </c>
      <c r="C7199" s="140"/>
      <c r="D7199" s="140" t="s">
        <v>18456</v>
      </c>
      <c r="E7199" s="142"/>
      <c r="F7199" s="142"/>
      <c r="G7199" s="140"/>
    </row>
    <row r="7200" spans="2:7" hidden="1">
      <c r="B7200" s="141" t="s">
        <v>18457</v>
      </c>
      <c r="C7200" s="140"/>
      <c r="D7200" s="141" t="s">
        <v>18458</v>
      </c>
      <c r="E7200" s="140"/>
      <c r="F7200" s="140"/>
      <c r="G7200" s="140"/>
    </row>
    <row r="7201" spans="2:7" hidden="1">
      <c r="B7201" s="140" t="s">
        <v>22014</v>
      </c>
      <c r="C7201" s="140"/>
      <c r="D7201" s="140" t="s">
        <v>11204</v>
      </c>
      <c r="E7201" s="140"/>
      <c r="F7201" s="140"/>
      <c r="G7201" s="140"/>
    </row>
    <row r="7202" spans="2:7" hidden="1">
      <c r="B7202" s="141" t="s">
        <v>18459</v>
      </c>
      <c r="C7202" s="140"/>
      <c r="D7202" s="141" t="s">
        <v>18460</v>
      </c>
      <c r="E7202" s="140"/>
      <c r="F7202" s="140"/>
      <c r="G7202" s="140"/>
    </row>
    <row r="7203" spans="2:7" hidden="1">
      <c r="B7203" s="141" t="s">
        <v>18461</v>
      </c>
      <c r="C7203" s="140"/>
      <c r="D7203" s="141" t="s">
        <v>18462</v>
      </c>
      <c r="E7203" s="140"/>
      <c r="F7203" s="140"/>
      <c r="G7203" s="140"/>
    </row>
    <row r="7204" spans="2:7" hidden="1">
      <c r="B7204" s="141" t="s">
        <v>18463</v>
      </c>
      <c r="C7204" s="140"/>
      <c r="D7204" s="141" t="s">
        <v>17033</v>
      </c>
      <c r="E7204" s="140"/>
      <c r="F7204" s="140"/>
      <c r="G7204" s="140"/>
    </row>
    <row r="7205" spans="2:7" hidden="1">
      <c r="B7205" s="140" t="s">
        <v>18464</v>
      </c>
      <c r="C7205" s="140"/>
      <c r="D7205" s="140" t="s">
        <v>18465</v>
      </c>
      <c r="E7205" s="142"/>
      <c r="F7205" s="142"/>
      <c r="G7205" s="140"/>
    </row>
    <row r="7206" spans="2:7" hidden="1">
      <c r="B7206" s="141" t="s">
        <v>18466</v>
      </c>
      <c r="C7206" s="140"/>
      <c r="D7206" s="141" t="s">
        <v>7548</v>
      </c>
      <c r="E7206" s="140"/>
      <c r="F7206" s="140"/>
      <c r="G7206" s="140"/>
    </row>
    <row r="7207" spans="2:7" hidden="1">
      <c r="B7207" s="141" t="s">
        <v>18467</v>
      </c>
      <c r="C7207" s="140" t="s">
        <v>18468</v>
      </c>
      <c r="D7207" s="141" t="s">
        <v>18469</v>
      </c>
      <c r="E7207" s="140"/>
      <c r="F7207" s="140"/>
      <c r="G7207" s="140" t="s">
        <v>18470</v>
      </c>
    </row>
    <row r="7208" spans="2:7" hidden="1">
      <c r="B7208" s="141" t="s">
        <v>18471</v>
      </c>
      <c r="C7208" s="140" t="s">
        <v>18472</v>
      </c>
      <c r="D7208" s="141" t="s">
        <v>18473</v>
      </c>
      <c r="E7208" s="140"/>
      <c r="F7208" s="140"/>
      <c r="G7208" s="140"/>
    </row>
    <row r="7209" spans="2:7" hidden="1">
      <c r="B7209" s="141" t="s">
        <v>18474</v>
      </c>
      <c r="C7209" s="140"/>
      <c r="D7209" s="141" t="s">
        <v>18475</v>
      </c>
      <c r="E7209" s="140"/>
      <c r="F7209" s="140"/>
      <c r="G7209" s="140"/>
    </row>
    <row r="7210" spans="2:7" hidden="1">
      <c r="B7210" s="141" t="s">
        <v>18476</v>
      </c>
      <c r="C7210" s="140"/>
      <c r="D7210" s="141" t="s">
        <v>7758</v>
      </c>
      <c r="E7210" s="140"/>
      <c r="F7210" s="140"/>
      <c r="G7210" s="140"/>
    </row>
    <row r="7211" spans="2:7" hidden="1">
      <c r="B7211" s="140" t="s">
        <v>18477</v>
      </c>
      <c r="C7211" s="140" t="s">
        <v>18478</v>
      </c>
      <c r="D7211" s="140" t="s">
        <v>18479</v>
      </c>
      <c r="E7211" s="140" t="s">
        <v>18480</v>
      </c>
      <c r="F7211" s="140" t="s">
        <v>18481</v>
      </c>
      <c r="G7211" s="140" t="s">
        <v>18482</v>
      </c>
    </row>
    <row r="7212" spans="2:7" hidden="1">
      <c r="B7212" s="141" t="s">
        <v>18483</v>
      </c>
      <c r="C7212" s="140" t="s">
        <v>18484</v>
      </c>
      <c r="D7212" s="141" t="s">
        <v>18485</v>
      </c>
      <c r="E7212" s="140"/>
      <c r="F7212" s="140"/>
      <c r="G7212" s="140" t="s">
        <v>18486</v>
      </c>
    </row>
    <row r="7213" spans="2:7" hidden="1">
      <c r="B7213" s="141" t="s">
        <v>18487</v>
      </c>
      <c r="C7213" s="140"/>
      <c r="D7213" s="141" t="s">
        <v>18488</v>
      </c>
      <c r="E7213" s="140"/>
      <c r="F7213" s="140"/>
      <c r="G7213" s="140"/>
    </row>
    <row r="7214" spans="2:7" hidden="1">
      <c r="B7214" s="141" t="s">
        <v>18489</v>
      </c>
      <c r="C7214" s="140" t="s">
        <v>18490</v>
      </c>
      <c r="D7214" s="141" t="s">
        <v>18491</v>
      </c>
      <c r="E7214" s="140"/>
      <c r="F7214" s="140"/>
      <c r="G7214" s="140"/>
    </row>
    <row r="7215" spans="2:7" hidden="1">
      <c r="B7215" s="141" t="s">
        <v>18492</v>
      </c>
      <c r="C7215" s="140" t="s">
        <v>18493</v>
      </c>
      <c r="D7215" s="141" t="s">
        <v>18494</v>
      </c>
      <c r="E7215" s="140"/>
      <c r="F7215" s="140"/>
      <c r="G7215" s="140" t="s">
        <v>18495</v>
      </c>
    </row>
    <row r="7216" spans="2:7" hidden="1">
      <c r="B7216" s="141" t="s">
        <v>18496</v>
      </c>
      <c r="C7216" s="140" t="s">
        <v>18497</v>
      </c>
      <c r="D7216" s="141" t="s">
        <v>5743</v>
      </c>
      <c r="E7216" s="140"/>
      <c r="F7216" s="140"/>
      <c r="G7216" s="140"/>
    </row>
    <row r="7217" spans="2:7" hidden="1">
      <c r="B7217" s="141" t="s">
        <v>18498</v>
      </c>
      <c r="C7217" s="140" t="s">
        <v>2508</v>
      </c>
      <c r="D7217" s="141" t="s">
        <v>18499</v>
      </c>
      <c r="E7217" s="140"/>
      <c r="F7217" s="140"/>
      <c r="G7217" s="140"/>
    </row>
    <row r="7218" spans="2:7" hidden="1">
      <c r="B7218" s="141" t="s">
        <v>18500</v>
      </c>
      <c r="C7218" s="140"/>
      <c r="D7218" s="141"/>
      <c r="E7218" s="140"/>
      <c r="F7218" s="140"/>
      <c r="G7218" s="140"/>
    </row>
    <row r="7219" spans="2:7" hidden="1">
      <c r="B7219" s="140" t="s">
        <v>18501</v>
      </c>
      <c r="C7219" s="140"/>
      <c r="D7219" s="140" t="s">
        <v>18502</v>
      </c>
      <c r="E7219" s="142"/>
      <c r="F7219" s="142"/>
      <c r="G7219" s="140"/>
    </row>
    <row r="7220" spans="2:7" hidden="1">
      <c r="B7220" s="140" t="s">
        <v>18503</v>
      </c>
      <c r="C7220" s="140" t="s">
        <v>18504</v>
      </c>
      <c r="D7220" s="140" t="s">
        <v>18505</v>
      </c>
      <c r="E7220" s="140"/>
      <c r="F7220" s="140"/>
      <c r="G7220" s="140" t="s">
        <v>18506</v>
      </c>
    </row>
    <row r="7221" spans="2:7" hidden="1">
      <c r="B7221" s="141" t="s">
        <v>18507</v>
      </c>
      <c r="C7221" s="140" t="s">
        <v>18508</v>
      </c>
      <c r="D7221" s="141" t="s">
        <v>18509</v>
      </c>
      <c r="E7221" s="140"/>
      <c r="F7221" s="140"/>
      <c r="G7221" s="140" t="s">
        <v>18510</v>
      </c>
    </row>
    <row r="7222" spans="2:7" hidden="1">
      <c r="B7222" s="140" t="s">
        <v>18511</v>
      </c>
      <c r="C7222" s="140"/>
      <c r="D7222" s="140" t="s">
        <v>5364</v>
      </c>
      <c r="E7222" s="142"/>
      <c r="F7222" s="142"/>
      <c r="G7222" s="140"/>
    </row>
    <row r="7223" spans="2:7" hidden="1">
      <c r="B7223" s="141" t="s">
        <v>18512</v>
      </c>
      <c r="C7223" s="140"/>
      <c r="D7223" s="141" t="s">
        <v>18513</v>
      </c>
      <c r="E7223" s="140"/>
      <c r="F7223" s="140"/>
      <c r="G7223" s="140"/>
    </row>
    <row r="7224" spans="2:7" hidden="1">
      <c r="B7224" s="141" t="s">
        <v>18514</v>
      </c>
      <c r="C7224" s="140"/>
      <c r="D7224" s="141" t="s">
        <v>18359</v>
      </c>
      <c r="E7224" s="140"/>
      <c r="F7224" s="140"/>
      <c r="G7224" s="140"/>
    </row>
    <row r="7225" spans="2:7" hidden="1">
      <c r="B7225" s="140" t="s">
        <v>22197</v>
      </c>
      <c r="C7225" s="140"/>
      <c r="D7225" s="140" t="s">
        <v>22198</v>
      </c>
      <c r="E7225" s="142" t="s">
        <v>22199</v>
      </c>
      <c r="F7225" s="142"/>
      <c r="G7225" s="140"/>
    </row>
    <row r="7226" spans="2:7" hidden="1">
      <c r="B7226" s="141" t="s">
        <v>18515</v>
      </c>
      <c r="C7226" s="140" t="s">
        <v>18516</v>
      </c>
      <c r="D7226" s="141" t="s">
        <v>18517</v>
      </c>
      <c r="E7226" s="140"/>
      <c r="F7226" s="140"/>
      <c r="G7226" s="140"/>
    </row>
    <row r="7227" spans="2:7" hidden="1">
      <c r="B7227" s="140" t="s">
        <v>18518</v>
      </c>
      <c r="C7227" s="140"/>
      <c r="D7227" s="140" t="s">
        <v>8655</v>
      </c>
      <c r="E7227" s="142"/>
      <c r="F7227" s="142"/>
      <c r="G7227" s="140"/>
    </row>
    <row r="7228" spans="2:7" hidden="1">
      <c r="B7228" s="141" t="s">
        <v>18519</v>
      </c>
      <c r="C7228" s="140"/>
      <c r="D7228" s="141" t="s">
        <v>18520</v>
      </c>
      <c r="E7228" s="140"/>
      <c r="F7228" s="140"/>
      <c r="G7228" s="140"/>
    </row>
    <row r="7229" spans="2:7" hidden="1">
      <c r="B7229" s="141" t="s">
        <v>18521</v>
      </c>
      <c r="C7229" s="140" t="s">
        <v>18522</v>
      </c>
      <c r="D7229" s="141" t="s">
        <v>18523</v>
      </c>
      <c r="E7229" s="140" t="s">
        <v>18524</v>
      </c>
      <c r="F7229" s="140" t="s">
        <v>18525</v>
      </c>
      <c r="G7229" s="140"/>
    </row>
    <row r="7230" spans="2:7" hidden="1">
      <c r="B7230" s="141" t="s">
        <v>18526</v>
      </c>
      <c r="C7230" s="140" t="s">
        <v>18527</v>
      </c>
      <c r="D7230" s="141" t="s">
        <v>2490</v>
      </c>
      <c r="E7230" s="140" t="s">
        <v>18528</v>
      </c>
      <c r="F7230" s="140" t="s">
        <v>18529</v>
      </c>
      <c r="G7230" s="140" t="s">
        <v>18530</v>
      </c>
    </row>
    <row r="7231" spans="2:7" hidden="1">
      <c r="B7231" s="140" t="s">
        <v>18531</v>
      </c>
      <c r="C7231" s="140" t="s">
        <v>18532</v>
      </c>
      <c r="D7231" s="140" t="s">
        <v>18533</v>
      </c>
      <c r="E7231" s="142"/>
      <c r="F7231" s="142"/>
      <c r="G7231" s="140"/>
    </row>
    <row r="7232" spans="2:7" hidden="1">
      <c r="B7232" s="141" t="s">
        <v>18534</v>
      </c>
      <c r="C7232" s="140"/>
      <c r="D7232" s="141" t="s">
        <v>2289</v>
      </c>
      <c r="E7232" s="140"/>
      <c r="F7232" s="140"/>
      <c r="G7232" s="140"/>
    </row>
    <row r="7233" spans="2:7" hidden="1">
      <c r="B7233" s="141" t="s">
        <v>18535</v>
      </c>
      <c r="C7233" s="140"/>
      <c r="D7233" s="141" t="s">
        <v>18536</v>
      </c>
      <c r="E7233" s="140"/>
      <c r="F7233" s="140"/>
      <c r="G7233" s="140"/>
    </row>
    <row r="7234" spans="2:7" hidden="1">
      <c r="B7234" s="141" t="s">
        <v>18537</v>
      </c>
      <c r="C7234" s="140" t="s">
        <v>18538</v>
      </c>
      <c r="D7234" s="141" t="s">
        <v>18539</v>
      </c>
      <c r="E7234" s="140" t="s">
        <v>18540</v>
      </c>
      <c r="F7234" s="140" t="s">
        <v>18541</v>
      </c>
      <c r="G7234" s="140"/>
    </row>
    <row r="7235" spans="2:7" hidden="1">
      <c r="B7235" s="141" t="s">
        <v>18542</v>
      </c>
      <c r="C7235" s="140"/>
      <c r="D7235" s="141" t="s">
        <v>14193</v>
      </c>
      <c r="E7235" s="140"/>
      <c r="F7235" s="140"/>
      <c r="G7235" s="140"/>
    </row>
    <row r="7236" spans="2:7" hidden="1">
      <c r="B7236" s="141" t="s">
        <v>18543</v>
      </c>
      <c r="C7236" s="140" t="s">
        <v>18544</v>
      </c>
      <c r="D7236" s="141" t="s">
        <v>3702</v>
      </c>
      <c r="E7236" s="140" t="s">
        <v>18545</v>
      </c>
      <c r="F7236" s="140" t="s">
        <v>18546</v>
      </c>
      <c r="G7236" s="140"/>
    </row>
    <row r="7237" spans="2:7" hidden="1">
      <c r="B7237" s="141" t="s">
        <v>18547</v>
      </c>
      <c r="C7237" s="140" t="s">
        <v>18548</v>
      </c>
      <c r="D7237" s="141" t="s">
        <v>18549</v>
      </c>
      <c r="E7237" s="140"/>
      <c r="F7237" s="140"/>
      <c r="G7237" s="140"/>
    </row>
    <row r="7238" spans="2:7" hidden="1">
      <c r="B7238" s="141" t="s">
        <v>18550</v>
      </c>
      <c r="C7238" s="140"/>
      <c r="D7238" s="141" t="s">
        <v>1190</v>
      </c>
      <c r="E7238" s="140"/>
      <c r="F7238" s="140"/>
      <c r="G7238" s="140"/>
    </row>
    <row r="7239" spans="2:7" hidden="1">
      <c r="B7239" s="141" t="s">
        <v>18551</v>
      </c>
      <c r="C7239" s="140" t="s">
        <v>18552</v>
      </c>
      <c r="D7239" s="141" t="s">
        <v>18553</v>
      </c>
      <c r="E7239" s="140"/>
      <c r="F7239" s="140"/>
      <c r="G7239" s="140" t="s">
        <v>18554</v>
      </c>
    </row>
    <row r="7240" spans="2:7" hidden="1">
      <c r="B7240" s="141" t="s">
        <v>18555</v>
      </c>
      <c r="C7240" s="140" t="s">
        <v>18556</v>
      </c>
      <c r="D7240" s="141" t="s">
        <v>18557</v>
      </c>
      <c r="E7240" s="140"/>
      <c r="F7240" s="140"/>
      <c r="G7240" s="140" t="s">
        <v>18558</v>
      </c>
    </row>
    <row r="7241" spans="2:7" hidden="1">
      <c r="B7241" s="141" t="s">
        <v>22015</v>
      </c>
      <c r="C7241" s="140"/>
      <c r="D7241" s="141" t="s">
        <v>15004</v>
      </c>
      <c r="E7241" s="140"/>
      <c r="F7241" s="140"/>
      <c r="G7241" s="140"/>
    </row>
    <row r="7242" spans="2:7" hidden="1">
      <c r="B7242" s="141" t="s">
        <v>18559</v>
      </c>
      <c r="C7242" s="140"/>
      <c r="D7242" s="141" t="s">
        <v>3355</v>
      </c>
      <c r="E7242" s="140"/>
      <c r="F7242" s="140"/>
      <c r="G7242" s="140"/>
    </row>
    <row r="7243" spans="2:7" hidden="1">
      <c r="B7243" s="141" t="s">
        <v>18560</v>
      </c>
      <c r="C7243" s="140"/>
      <c r="D7243" s="141" t="s">
        <v>3355</v>
      </c>
      <c r="E7243" s="140"/>
      <c r="F7243" s="140"/>
      <c r="G7243" s="140"/>
    </row>
    <row r="7244" spans="2:7" hidden="1">
      <c r="B7244" s="141" t="s">
        <v>18561</v>
      </c>
      <c r="C7244" s="140"/>
      <c r="D7244" s="141" t="s">
        <v>7359</v>
      </c>
      <c r="E7244" s="140"/>
      <c r="F7244" s="140"/>
      <c r="G7244" s="140"/>
    </row>
    <row r="7245" spans="2:7" hidden="1">
      <c r="B7245" s="140" t="s">
        <v>18564</v>
      </c>
      <c r="C7245" s="140"/>
      <c r="D7245" s="140" t="s">
        <v>18565</v>
      </c>
      <c r="E7245" s="142"/>
      <c r="F7245" s="142"/>
      <c r="G7245" s="140"/>
    </row>
    <row r="7246" spans="2:7" hidden="1">
      <c r="B7246" s="141" t="s">
        <v>22016</v>
      </c>
      <c r="C7246" s="141" t="s">
        <v>18562</v>
      </c>
      <c r="D7246" s="141" t="s">
        <v>18563</v>
      </c>
      <c r="E7246" s="141"/>
      <c r="F7246" s="140"/>
      <c r="G7246" s="140"/>
    </row>
    <row r="7247" spans="2:7" hidden="1">
      <c r="B7247" s="141" t="s">
        <v>18566</v>
      </c>
      <c r="C7247" s="140"/>
      <c r="D7247" s="141" t="s">
        <v>18567</v>
      </c>
      <c r="E7247" s="140"/>
      <c r="F7247" s="140"/>
      <c r="G7247" s="140"/>
    </row>
    <row r="7248" spans="2:7" hidden="1">
      <c r="B7248" s="141" t="s">
        <v>18568</v>
      </c>
      <c r="C7248" s="140"/>
      <c r="D7248" s="141" t="s">
        <v>18569</v>
      </c>
      <c r="E7248" s="140"/>
      <c r="F7248" s="140"/>
      <c r="G7248" s="140"/>
    </row>
    <row r="7249" spans="2:7" hidden="1">
      <c r="B7249" s="140" t="s">
        <v>18570</v>
      </c>
      <c r="C7249" s="140"/>
      <c r="D7249" s="140" t="s">
        <v>18571</v>
      </c>
      <c r="E7249" s="142"/>
      <c r="F7249" s="142"/>
      <c r="G7249" s="140"/>
    </row>
    <row r="7250" spans="2:7" hidden="1">
      <c r="B7250" s="140" t="s">
        <v>18572</v>
      </c>
      <c r="C7250" s="140"/>
      <c r="D7250" s="140" t="s">
        <v>18573</v>
      </c>
      <c r="E7250" s="142"/>
      <c r="F7250" s="142"/>
      <c r="G7250" s="140"/>
    </row>
    <row r="7251" spans="2:7" hidden="1">
      <c r="B7251" s="141" t="s">
        <v>18574</v>
      </c>
      <c r="C7251" s="140" t="s">
        <v>18575</v>
      </c>
      <c r="D7251" s="141" t="s">
        <v>18576</v>
      </c>
      <c r="E7251" s="140"/>
      <c r="F7251" s="140"/>
      <c r="G7251" s="140"/>
    </row>
    <row r="7252" spans="2:7" hidden="1">
      <c r="B7252" s="141" t="s">
        <v>18577</v>
      </c>
      <c r="C7252" s="140" t="s">
        <v>18578</v>
      </c>
      <c r="D7252" s="141" t="s">
        <v>1765</v>
      </c>
      <c r="E7252" s="140" t="s">
        <v>18579</v>
      </c>
      <c r="F7252" s="140" t="s">
        <v>18580</v>
      </c>
      <c r="G7252" s="140"/>
    </row>
    <row r="7253" spans="2:7" hidden="1">
      <c r="B7253" s="141" t="s">
        <v>18581</v>
      </c>
      <c r="C7253" s="140" t="s">
        <v>18582</v>
      </c>
      <c r="D7253" s="141" t="s">
        <v>18583</v>
      </c>
      <c r="E7253" s="140" t="s">
        <v>18584</v>
      </c>
      <c r="F7253" s="140" t="s">
        <v>18585</v>
      </c>
      <c r="G7253" s="140"/>
    </row>
    <row r="7254" spans="2:7" hidden="1">
      <c r="B7254" s="141" t="s">
        <v>18586</v>
      </c>
      <c r="C7254" s="140"/>
      <c r="D7254" s="141" t="s">
        <v>18587</v>
      </c>
      <c r="E7254" s="140"/>
      <c r="F7254" s="140"/>
      <c r="G7254" s="140"/>
    </row>
    <row r="7255" spans="2:7" hidden="1">
      <c r="B7255" s="140" t="s">
        <v>18588</v>
      </c>
      <c r="C7255" s="140"/>
      <c r="D7255" s="140" t="s">
        <v>1927</v>
      </c>
      <c r="E7255" s="142"/>
      <c r="F7255" s="142"/>
      <c r="G7255" s="140"/>
    </row>
    <row r="7256" spans="2:7" hidden="1">
      <c r="B7256" s="141" t="s">
        <v>18589</v>
      </c>
      <c r="C7256" s="140" t="s">
        <v>18590</v>
      </c>
      <c r="D7256" s="141" t="s">
        <v>18591</v>
      </c>
      <c r="E7256" s="140" t="s">
        <v>18592</v>
      </c>
      <c r="F7256" s="140"/>
      <c r="G7256" s="140"/>
    </row>
    <row r="7257" spans="2:7" hidden="1">
      <c r="B7257" s="141" t="s">
        <v>18593</v>
      </c>
      <c r="C7257" s="140"/>
      <c r="D7257" s="141" t="s">
        <v>11371</v>
      </c>
      <c r="E7257" s="140"/>
      <c r="F7257" s="140"/>
      <c r="G7257" s="140"/>
    </row>
    <row r="7258" spans="2:7" hidden="1">
      <c r="B7258" s="141" t="s">
        <v>18594</v>
      </c>
      <c r="C7258" s="140"/>
      <c r="D7258" s="141" t="s">
        <v>2736</v>
      </c>
      <c r="E7258" s="140"/>
      <c r="F7258" s="140"/>
      <c r="G7258" s="140"/>
    </row>
    <row r="7259" spans="2:7" hidden="1">
      <c r="B7259" s="141" t="s">
        <v>18595</v>
      </c>
      <c r="C7259" s="141"/>
      <c r="D7259" s="141" t="s">
        <v>5108</v>
      </c>
      <c r="E7259" s="141"/>
      <c r="F7259" s="141"/>
      <c r="G7259" s="140"/>
    </row>
    <row r="7260" spans="2:7" hidden="1">
      <c r="B7260" s="141" t="s">
        <v>18596</v>
      </c>
      <c r="C7260" s="140"/>
      <c r="D7260" s="141" t="s">
        <v>2285</v>
      </c>
      <c r="E7260" s="140"/>
      <c r="F7260" s="140"/>
      <c r="G7260" s="140"/>
    </row>
    <row r="7261" spans="2:7" hidden="1">
      <c r="B7261" s="140" t="s">
        <v>22017</v>
      </c>
      <c r="C7261" s="140" t="s">
        <v>18597</v>
      </c>
      <c r="D7261" s="140" t="s">
        <v>18598</v>
      </c>
      <c r="E7261" s="142" t="s">
        <v>18599</v>
      </c>
      <c r="F7261" s="142" t="s">
        <v>18600</v>
      </c>
      <c r="G7261" s="140"/>
    </row>
    <row r="7262" spans="2:7" hidden="1">
      <c r="B7262" s="141" t="s">
        <v>18601</v>
      </c>
      <c r="C7262" s="140" t="s">
        <v>18602</v>
      </c>
      <c r="D7262" s="141" t="s">
        <v>18603</v>
      </c>
      <c r="E7262" s="140" t="s">
        <v>18604</v>
      </c>
      <c r="F7262" s="140" t="s">
        <v>18605</v>
      </c>
      <c r="G7262" s="140"/>
    </row>
    <row r="7263" spans="2:7" hidden="1">
      <c r="B7263" s="141" t="s">
        <v>18606</v>
      </c>
      <c r="C7263" s="140"/>
      <c r="D7263" s="141" t="s">
        <v>18607</v>
      </c>
      <c r="E7263" s="140"/>
      <c r="F7263" s="140"/>
      <c r="G7263" s="140"/>
    </row>
    <row r="7264" spans="2:7" hidden="1">
      <c r="B7264" s="141" t="s">
        <v>18608</v>
      </c>
      <c r="C7264" s="140" t="s">
        <v>18609</v>
      </c>
      <c r="D7264" s="141" t="s">
        <v>5920</v>
      </c>
      <c r="E7264" s="140" t="s">
        <v>18610</v>
      </c>
      <c r="F7264" s="140" t="s">
        <v>18611</v>
      </c>
      <c r="G7264" s="140"/>
    </row>
    <row r="7265" spans="2:7" hidden="1">
      <c r="B7265" s="141" t="s">
        <v>18612</v>
      </c>
      <c r="C7265" s="140"/>
      <c r="D7265" s="141" t="s">
        <v>18613</v>
      </c>
      <c r="E7265" s="140"/>
      <c r="F7265" s="140"/>
      <c r="G7265" s="140"/>
    </row>
    <row r="7266" spans="2:7" hidden="1">
      <c r="B7266" s="141" t="s">
        <v>18614</v>
      </c>
      <c r="C7266" s="140" t="s">
        <v>18615</v>
      </c>
      <c r="D7266" s="141" t="s">
        <v>18616</v>
      </c>
      <c r="E7266" s="140"/>
      <c r="F7266" s="140"/>
      <c r="G7266" s="140"/>
    </row>
    <row r="7267" spans="2:7" hidden="1">
      <c r="B7267" s="141" t="s">
        <v>18617</v>
      </c>
      <c r="C7267" s="140" t="s">
        <v>18618</v>
      </c>
      <c r="D7267" s="141" t="s">
        <v>18619</v>
      </c>
      <c r="E7267" s="140"/>
      <c r="F7267" s="140"/>
      <c r="G7267" s="140"/>
    </row>
    <row r="7268" spans="2:7" hidden="1">
      <c r="B7268" s="141" t="s">
        <v>22018</v>
      </c>
      <c r="C7268" s="140"/>
      <c r="D7268" s="141" t="s">
        <v>17838</v>
      </c>
      <c r="E7268" s="140"/>
      <c r="F7268" s="140"/>
      <c r="G7268" s="140"/>
    </row>
    <row r="7269" spans="2:7" hidden="1">
      <c r="B7269" s="141" t="s">
        <v>18620</v>
      </c>
      <c r="C7269" s="140" t="s">
        <v>18621</v>
      </c>
      <c r="D7269" s="141" t="s">
        <v>18622</v>
      </c>
      <c r="E7269" s="140" t="s">
        <v>18623</v>
      </c>
      <c r="F7269" s="140" t="s">
        <v>18624</v>
      </c>
      <c r="G7269" s="140"/>
    </row>
    <row r="7270" spans="2:7" hidden="1">
      <c r="B7270" s="141" t="s">
        <v>18626</v>
      </c>
      <c r="C7270" s="140"/>
      <c r="D7270" s="141" t="s">
        <v>3175</v>
      </c>
      <c r="E7270" s="140"/>
      <c r="F7270" s="140"/>
      <c r="G7270" s="140"/>
    </row>
    <row r="7271" spans="2:7" hidden="1">
      <c r="B7271" s="141" t="s">
        <v>18627</v>
      </c>
      <c r="C7271" s="140"/>
      <c r="D7271" s="141" t="s">
        <v>1226</v>
      </c>
      <c r="E7271" s="140"/>
      <c r="F7271" s="140"/>
      <c r="G7271" s="140"/>
    </row>
    <row r="7272" spans="2:7" hidden="1">
      <c r="B7272" s="140" t="s">
        <v>22019</v>
      </c>
      <c r="C7272" s="140"/>
      <c r="D7272" s="140" t="s">
        <v>18625</v>
      </c>
      <c r="E7272" s="142"/>
      <c r="F7272" s="142"/>
      <c r="G7272" s="140"/>
    </row>
    <row r="7273" spans="2:7" hidden="1">
      <c r="B7273" s="141" t="s">
        <v>18628</v>
      </c>
      <c r="C7273" s="140"/>
      <c r="D7273" s="141" t="s">
        <v>18629</v>
      </c>
      <c r="E7273" s="140"/>
      <c r="F7273" s="140"/>
      <c r="G7273" s="140"/>
    </row>
    <row r="7274" spans="2:7" hidden="1">
      <c r="B7274" s="141" t="s">
        <v>18630</v>
      </c>
      <c r="C7274" s="141"/>
      <c r="D7274" s="141" t="s">
        <v>18631</v>
      </c>
      <c r="E7274" s="141"/>
      <c r="F7274" s="140"/>
      <c r="G7274" s="140"/>
    </row>
    <row r="7275" spans="2:7" hidden="1">
      <c r="B7275" s="141" t="s">
        <v>18632</v>
      </c>
      <c r="C7275" s="140"/>
      <c r="D7275" s="141" t="s">
        <v>5339</v>
      </c>
      <c r="E7275" s="140"/>
      <c r="F7275" s="140"/>
      <c r="G7275" s="140"/>
    </row>
    <row r="7276" spans="2:7" hidden="1">
      <c r="B7276" s="140" t="s">
        <v>22020</v>
      </c>
      <c r="C7276" s="140"/>
      <c r="D7276" s="140" t="s">
        <v>18633</v>
      </c>
      <c r="E7276" s="142"/>
      <c r="F7276" s="142"/>
      <c r="G7276" s="140"/>
    </row>
    <row r="7277" spans="2:7" hidden="1">
      <c r="B7277" s="141" t="s">
        <v>18634</v>
      </c>
      <c r="C7277" s="140"/>
      <c r="D7277" s="141" t="s">
        <v>5091</v>
      </c>
      <c r="E7277" s="140"/>
      <c r="F7277" s="140"/>
      <c r="G7277" s="140"/>
    </row>
    <row r="7278" spans="2:7" hidden="1">
      <c r="B7278" s="141" t="s">
        <v>18635</v>
      </c>
      <c r="C7278" s="140"/>
      <c r="D7278" s="141" t="s">
        <v>11776</v>
      </c>
      <c r="E7278" s="140"/>
      <c r="F7278" s="140"/>
      <c r="G7278" s="140"/>
    </row>
    <row r="7279" spans="2:7" hidden="1">
      <c r="B7279" s="141" t="s">
        <v>22021</v>
      </c>
      <c r="C7279" s="140"/>
      <c r="D7279" s="141" t="s">
        <v>10789</v>
      </c>
      <c r="E7279" s="140"/>
      <c r="F7279" s="140"/>
      <c r="G7279" s="140"/>
    </row>
    <row r="7280" spans="2:7" hidden="1">
      <c r="B7280" s="141" t="s">
        <v>22022</v>
      </c>
      <c r="C7280" s="140"/>
      <c r="D7280" s="141" t="s">
        <v>18636</v>
      </c>
      <c r="E7280" s="140"/>
      <c r="F7280" s="140"/>
      <c r="G7280" s="140"/>
    </row>
    <row r="7281" spans="2:7" hidden="1">
      <c r="B7281" s="141" t="s">
        <v>18637</v>
      </c>
      <c r="C7281" s="140"/>
      <c r="D7281" s="141" t="s">
        <v>4333</v>
      </c>
      <c r="E7281" s="140"/>
      <c r="F7281" s="140"/>
      <c r="G7281" s="140"/>
    </row>
    <row r="7282" spans="2:7" hidden="1">
      <c r="B7282" s="141" t="s">
        <v>18638</v>
      </c>
      <c r="C7282" s="140"/>
      <c r="D7282" s="141" t="s">
        <v>18639</v>
      </c>
      <c r="E7282" s="140"/>
      <c r="F7282" s="140"/>
      <c r="G7282" s="140"/>
    </row>
    <row r="7283" spans="2:7" hidden="1">
      <c r="B7283" s="141" t="s">
        <v>18640</v>
      </c>
      <c r="C7283" s="140"/>
      <c r="D7283" s="141" t="s">
        <v>18641</v>
      </c>
      <c r="E7283" s="140"/>
      <c r="F7283" s="140"/>
      <c r="G7283" s="140"/>
    </row>
    <row r="7284" spans="2:7" hidden="1">
      <c r="B7284" s="141" t="s">
        <v>18642</v>
      </c>
      <c r="C7284" s="140"/>
      <c r="D7284" s="141" t="s">
        <v>18643</v>
      </c>
      <c r="E7284" s="140"/>
      <c r="F7284" s="140"/>
      <c r="G7284" s="140"/>
    </row>
    <row r="7285" spans="2:7" hidden="1">
      <c r="B7285" s="141" t="s">
        <v>18644</v>
      </c>
      <c r="C7285" s="140"/>
      <c r="D7285" s="141" t="s">
        <v>18645</v>
      </c>
      <c r="E7285" s="140"/>
      <c r="F7285" s="140"/>
      <c r="G7285" s="140"/>
    </row>
    <row r="7286" spans="2:7" hidden="1">
      <c r="B7286" s="140" t="s">
        <v>18646</v>
      </c>
      <c r="C7286" s="140"/>
      <c r="D7286" s="140" t="s">
        <v>2206</v>
      </c>
      <c r="E7286" s="142"/>
      <c r="F7286" s="142"/>
      <c r="G7286" s="140"/>
    </row>
    <row r="7287" spans="2:7" hidden="1">
      <c r="B7287" s="141" t="s">
        <v>18647</v>
      </c>
      <c r="C7287" s="141"/>
      <c r="D7287" s="141" t="s">
        <v>16383</v>
      </c>
      <c r="E7287" s="141"/>
      <c r="F7287" s="141"/>
      <c r="G7287" s="140"/>
    </row>
    <row r="7288" spans="2:7" hidden="1">
      <c r="B7288" s="141" t="s">
        <v>18648</v>
      </c>
      <c r="C7288" s="140"/>
      <c r="D7288" s="141" t="s">
        <v>2206</v>
      </c>
      <c r="E7288" s="140"/>
      <c r="F7288" s="140"/>
      <c r="G7288" s="140"/>
    </row>
    <row r="7289" spans="2:7" hidden="1">
      <c r="B7289" s="141" t="s">
        <v>18649</v>
      </c>
      <c r="C7289" s="140"/>
      <c r="D7289" s="141" t="s">
        <v>4904</v>
      </c>
      <c r="E7289" s="140"/>
      <c r="F7289" s="140"/>
      <c r="G7289" s="140"/>
    </row>
    <row r="7290" spans="2:7" hidden="1">
      <c r="B7290" s="141" t="s">
        <v>18650</v>
      </c>
      <c r="C7290" s="140" t="s">
        <v>18651</v>
      </c>
      <c r="D7290" s="141" t="s">
        <v>18652</v>
      </c>
      <c r="E7290" s="140"/>
      <c r="F7290" s="140"/>
      <c r="G7290" s="140"/>
    </row>
    <row r="7291" spans="2:7" hidden="1">
      <c r="B7291" s="141" t="s">
        <v>18653</v>
      </c>
      <c r="C7291" s="140" t="s">
        <v>18654</v>
      </c>
      <c r="D7291" s="141" t="s">
        <v>6459</v>
      </c>
      <c r="E7291" s="140"/>
      <c r="F7291" s="140"/>
      <c r="G7291" s="140"/>
    </row>
    <row r="7292" spans="2:7" hidden="1">
      <c r="B7292" s="141" t="s">
        <v>22023</v>
      </c>
      <c r="C7292" s="140" t="s">
        <v>18655</v>
      </c>
      <c r="D7292" s="141" t="s">
        <v>18656</v>
      </c>
      <c r="E7292" s="140" t="s">
        <v>18657</v>
      </c>
      <c r="F7292" s="140"/>
      <c r="G7292" s="140"/>
    </row>
    <row r="7293" spans="2:7" hidden="1">
      <c r="B7293" s="141" t="s">
        <v>18658</v>
      </c>
      <c r="C7293" s="140"/>
      <c r="D7293" s="141" t="s">
        <v>3905</v>
      </c>
      <c r="E7293" s="140"/>
      <c r="F7293" s="140"/>
      <c r="G7293" s="140"/>
    </row>
    <row r="7294" spans="2:7" hidden="1">
      <c r="B7294" s="141" t="s">
        <v>18659</v>
      </c>
      <c r="C7294" s="140" t="s">
        <v>18660</v>
      </c>
      <c r="D7294" s="141" t="s">
        <v>18661</v>
      </c>
      <c r="E7294" s="140" t="s">
        <v>18662</v>
      </c>
      <c r="F7294" s="140"/>
      <c r="G7294" s="140"/>
    </row>
    <row r="7295" spans="2:7" hidden="1">
      <c r="B7295" s="141" t="s">
        <v>18663</v>
      </c>
      <c r="C7295" s="140"/>
      <c r="D7295" s="141" t="s">
        <v>7632</v>
      </c>
      <c r="E7295" s="140"/>
      <c r="F7295" s="140"/>
      <c r="G7295" s="140"/>
    </row>
    <row r="7296" spans="2:7" hidden="1">
      <c r="B7296" s="141" t="s">
        <v>18664</v>
      </c>
      <c r="C7296" s="140"/>
      <c r="D7296" s="141" t="s">
        <v>14660</v>
      </c>
      <c r="E7296" s="140"/>
      <c r="F7296" s="140"/>
      <c r="G7296" s="140"/>
    </row>
    <row r="7297" spans="2:7" hidden="1">
      <c r="B7297" s="141" t="s">
        <v>22024</v>
      </c>
      <c r="C7297" s="140"/>
      <c r="D7297" s="141" t="s">
        <v>4277</v>
      </c>
      <c r="E7297" s="140"/>
      <c r="F7297" s="140"/>
      <c r="G7297" s="140"/>
    </row>
    <row r="7298" spans="2:7" hidden="1">
      <c r="B7298" s="141" t="s">
        <v>18665</v>
      </c>
      <c r="C7298" s="140" t="s">
        <v>18666</v>
      </c>
      <c r="D7298" s="141" t="s">
        <v>18667</v>
      </c>
      <c r="E7298" s="140" t="s">
        <v>18668</v>
      </c>
      <c r="F7298" s="140" t="s">
        <v>18669</v>
      </c>
      <c r="G7298" s="140"/>
    </row>
    <row r="7299" spans="2:7" hidden="1">
      <c r="B7299" s="141" t="s">
        <v>18670</v>
      </c>
      <c r="C7299" s="140"/>
      <c r="D7299" s="141" t="s">
        <v>18671</v>
      </c>
      <c r="E7299" s="140"/>
      <c r="F7299" s="140"/>
      <c r="G7299" s="140"/>
    </row>
    <row r="7300" spans="2:7" hidden="1">
      <c r="B7300" s="141" t="s">
        <v>18672</v>
      </c>
      <c r="C7300" s="140"/>
      <c r="D7300" s="141" t="s">
        <v>3435</v>
      </c>
      <c r="E7300" s="140"/>
      <c r="F7300" s="140"/>
      <c r="G7300" s="140"/>
    </row>
    <row r="7301" spans="2:7" hidden="1">
      <c r="B7301" s="141" t="s">
        <v>18673</v>
      </c>
      <c r="C7301" s="140" t="s">
        <v>18674</v>
      </c>
      <c r="D7301" s="141" t="s">
        <v>18675</v>
      </c>
      <c r="E7301" s="140"/>
      <c r="F7301" s="140"/>
      <c r="G7301" s="140" t="s">
        <v>18676</v>
      </c>
    </row>
    <row r="7302" spans="2:7" hidden="1">
      <c r="B7302" s="141" t="s">
        <v>18677</v>
      </c>
      <c r="C7302" s="140"/>
      <c r="D7302" s="141" t="s">
        <v>18678</v>
      </c>
      <c r="E7302" s="140"/>
      <c r="F7302" s="140"/>
      <c r="G7302" s="140"/>
    </row>
    <row r="7303" spans="2:7" hidden="1">
      <c r="B7303" s="140" t="s">
        <v>18679</v>
      </c>
      <c r="C7303" s="140"/>
      <c r="D7303" s="140" t="s">
        <v>3312</v>
      </c>
      <c r="E7303" s="142"/>
      <c r="F7303" s="142"/>
      <c r="G7303" s="140"/>
    </row>
    <row r="7304" spans="2:7" hidden="1">
      <c r="B7304" s="141" t="s">
        <v>18680</v>
      </c>
      <c r="C7304" s="140"/>
      <c r="D7304" s="141" t="s">
        <v>18681</v>
      </c>
      <c r="E7304" s="140"/>
      <c r="F7304" s="140"/>
      <c r="G7304" s="140"/>
    </row>
    <row r="7305" spans="2:7" hidden="1">
      <c r="B7305" s="141" t="s">
        <v>18682</v>
      </c>
      <c r="C7305" s="141"/>
      <c r="D7305" s="141" t="s">
        <v>18683</v>
      </c>
      <c r="E7305" s="141"/>
      <c r="F7305" s="141"/>
      <c r="G7305" s="140"/>
    </row>
    <row r="7306" spans="2:7" hidden="1">
      <c r="B7306" s="140" t="s">
        <v>18684</v>
      </c>
      <c r="C7306" s="140"/>
      <c r="D7306" s="140" t="s">
        <v>6305</v>
      </c>
      <c r="E7306" s="140"/>
      <c r="F7306" s="140"/>
      <c r="G7306" s="140"/>
    </row>
    <row r="7307" spans="2:7" hidden="1">
      <c r="B7307" s="141" t="s">
        <v>18685</v>
      </c>
      <c r="C7307" s="140" t="s">
        <v>18686</v>
      </c>
      <c r="D7307" s="141" t="s">
        <v>18687</v>
      </c>
      <c r="E7307" s="140" t="s">
        <v>18688</v>
      </c>
      <c r="F7307" s="140" t="s">
        <v>18689</v>
      </c>
      <c r="G7307" s="140"/>
    </row>
    <row r="7308" spans="2:7" hidden="1">
      <c r="B7308" s="141" t="s">
        <v>18690</v>
      </c>
      <c r="C7308" s="141"/>
      <c r="D7308" s="141" t="s">
        <v>2228</v>
      </c>
      <c r="E7308" s="141"/>
      <c r="F7308" s="140"/>
      <c r="G7308" s="140"/>
    </row>
    <row r="7309" spans="2:7" hidden="1">
      <c r="B7309" s="141" t="s">
        <v>18691</v>
      </c>
      <c r="C7309" s="140"/>
      <c r="D7309" s="141" t="s">
        <v>18692</v>
      </c>
      <c r="E7309" s="140"/>
      <c r="F7309" s="140"/>
      <c r="G7309" s="140"/>
    </row>
    <row r="7310" spans="2:7" hidden="1">
      <c r="B7310" s="141" t="s">
        <v>18693</v>
      </c>
      <c r="C7310" s="140"/>
      <c r="D7310" s="141" t="s">
        <v>18694</v>
      </c>
      <c r="E7310" s="140"/>
      <c r="F7310" s="140"/>
      <c r="G7310" s="140"/>
    </row>
    <row r="7311" spans="2:7" hidden="1">
      <c r="B7311" s="141" t="s">
        <v>18695</v>
      </c>
      <c r="C7311" s="140"/>
      <c r="D7311" s="141" t="s">
        <v>18696</v>
      </c>
      <c r="E7311" s="140"/>
      <c r="F7311" s="140"/>
      <c r="G7311" s="140"/>
    </row>
    <row r="7312" spans="2:7" hidden="1">
      <c r="B7312" s="141" t="s">
        <v>18697</v>
      </c>
      <c r="C7312" s="140"/>
      <c r="D7312" s="141" t="s">
        <v>18698</v>
      </c>
      <c r="E7312" s="140"/>
      <c r="F7312" s="140"/>
      <c r="G7312" s="140"/>
    </row>
    <row r="7313" spans="2:7" hidden="1">
      <c r="B7313" s="141" t="s">
        <v>18699</v>
      </c>
      <c r="C7313" s="140"/>
      <c r="D7313" s="141" t="s">
        <v>18700</v>
      </c>
      <c r="E7313" s="140"/>
      <c r="F7313" s="140"/>
      <c r="G7313" s="140"/>
    </row>
    <row r="7314" spans="2:7" hidden="1">
      <c r="B7314" s="141" t="s">
        <v>18701</v>
      </c>
      <c r="C7314" s="140"/>
      <c r="D7314" s="141" t="s">
        <v>18702</v>
      </c>
      <c r="E7314" s="140"/>
      <c r="F7314" s="140"/>
      <c r="G7314" s="140"/>
    </row>
    <row r="7315" spans="2:7" hidden="1">
      <c r="B7315" s="141" t="s">
        <v>18703</v>
      </c>
      <c r="C7315" s="140"/>
      <c r="D7315" s="141" t="s">
        <v>18704</v>
      </c>
      <c r="E7315" s="140"/>
      <c r="F7315" s="140"/>
      <c r="G7315" s="140"/>
    </row>
    <row r="7316" spans="2:7" hidden="1">
      <c r="B7316" s="141" t="s">
        <v>18705</v>
      </c>
      <c r="C7316" s="140" t="s">
        <v>18706</v>
      </c>
      <c r="D7316" s="141" t="s">
        <v>4767</v>
      </c>
      <c r="E7316" s="140"/>
      <c r="F7316" s="140"/>
      <c r="G7316" s="140"/>
    </row>
    <row r="7317" spans="2:7" hidden="1">
      <c r="B7317" s="141" t="s">
        <v>22025</v>
      </c>
      <c r="C7317" s="141"/>
      <c r="D7317" s="141" t="s">
        <v>18707</v>
      </c>
      <c r="E7317" s="141"/>
      <c r="F7317" s="140"/>
      <c r="G7317" s="140"/>
    </row>
    <row r="7318" spans="2:7" hidden="1">
      <c r="B7318" s="141" t="s">
        <v>18708</v>
      </c>
      <c r="C7318" s="140"/>
      <c r="D7318" s="141" t="s">
        <v>6486</v>
      </c>
      <c r="E7318" s="140"/>
      <c r="F7318" s="140"/>
      <c r="G7318" s="140"/>
    </row>
    <row r="7319" spans="2:7" hidden="1">
      <c r="B7319" s="140" t="s">
        <v>18709</v>
      </c>
      <c r="C7319" s="140"/>
      <c r="D7319" s="140" t="s">
        <v>18710</v>
      </c>
      <c r="E7319" s="142"/>
      <c r="F7319" s="142"/>
      <c r="G7319" s="140"/>
    </row>
    <row r="7320" spans="2:7" hidden="1">
      <c r="B7320" s="140" t="s">
        <v>18711</v>
      </c>
      <c r="C7320" s="140"/>
      <c r="D7320" s="140" t="s">
        <v>18712</v>
      </c>
      <c r="E7320" s="142"/>
      <c r="F7320" s="142"/>
      <c r="G7320" s="140"/>
    </row>
    <row r="7321" spans="2:7" hidden="1">
      <c r="B7321" s="140" t="s">
        <v>18713</v>
      </c>
      <c r="C7321" s="140"/>
      <c r="D7321" s="140" t="s">
        <v>18714</v>
      </c>
      <c r="E7321" s="142"/>
      <c r="F7321" s="142"/>
      <c r="G7321" s="140"/>
    </row>
    <row r="7322" spans="2:7" hidden="1">
      <c r="B7322" s="140" t="s">
        <v>18715</v>
      </c>
      <c r="C7322" s="140" t="s">
        <v>18716</v>
      </c>
      <c r="D7322" s="140" t="s">
        <v>18717</v>
      </c>
      <c r="E7322" s="142" t="s">
        <v>18718</v>
      </c>
      <c r="F7322" s="142" t="s">
        <v>18719</v>
      </c>
      <c r="G7322" s="140"/>
    </row>
    <row r="7323" spans="2:7" hidden="1">
      <c r="B7323" s="141" t="s">
        <v>18720</v>
      </c>
      <c r="C7323" s="140"/>
      <c r="D7323" s="141" t="s">
        <v>4329</v>
      </c>
      <c r="E7323" s="140"/>
      <c r="F7323" s="140"/>
      <c r="G7323" s="140"/>
    </row>
    <row r="7324" spans="2:7" hidden="1">
      <c r="B7324" s="141" t="s">
        <v>18721</v>
      </c>
      <c r="C7324" s="140"/>
      <c r="D7324" s="141" t="s">
        <v>16593</v>
      </c>
      <c r="E7324" s="140"/>
      <c r="F7324" s="140"/>
      <c r="G7324" s="140"/>
    </row>
    <row r="7325" spans="2:7" hidden="1">
      <c r="B7325" s="141" t="s">
        <v>18722</v>
      </c>
      <c r="C7325" s="140"/>
      <c r="D7325" s="141" t="s">
        <v>17849</v>
      </c>
      <c r="E7325" s="140"/>
      <c r="F7325" s="140"/>
      <c r="G7325" s="140"/>
    </row>
    <row r="7326" spans="2:7" hidden="1">
      <c r="B7326" s="141" t="s">
        <v>18723</v>
      </c>
      <c r="C7326" s="141" t="s">
        <v>18724</v>
      </c>
      <c r="D7326" s="141" t="s">
        <v>18725</v>
      </c>
      <c r="E7326" s="141" t="s">
        <v>18726</v>
      </c>
      <c r="F7326" s="141" t="s">
        <v>18727</v>
      </c>
      <c r="G7326" s="140"/>
    </row>
    <row r="7327" spans="2:7" hidden="1">
      <c r="B7327" s="140" t="s">
        <v>18728</v>
      </c>
      <c r="C7327" s="140"/>
      <c r="D7327" s="140" t="s">
        <v>18729</v>
      </c>
      <c r="E7327" s="142"/>
      <c r="F7327" s="142"/>
      <c r="G7327" s="140"/>
    </row>
    <row r="7328" spans="2:7" hidden="1">
      <c r="B7328" s="141" t="s">
        <v>18730</v>
      </c>
      <c r="C7328" s="140" t="s">
        <v>18731</v>
      </c>
      <c r="D7328" s="141" t="s">
        <v>3127</v>
      </c>
      <c r="E7328" s="140" t="s">
        <v>18732</v>
      </c>
      <c r="F7328" s="140"/>
      <c r="G7328" s="140"/>
    </row>
    <row r="7329" spans="2:7" hidden="1">
      <c r="B7329" s="141" t="s">
        <v>18733</v>
      </c>
      <c r="C7329" s="140" t="s">
        <v>18734</v>
      </c>
      <c r="D7329" s="141" t="s">
        <v>18735</v>
      </c>
      <c r="E7329" s="140" t="s">
        <v>18736</v>
      </c>
      <c r="F7329" s="140"/>
      <c r="G7329" s="140"/>
    </row>
    <row r="7330" spans="2:7" hidden="1">
      <c r="B7330" s="141" t="s">
        <v>18737</v>
      </c>
      <c r="C7330" s="140" t="s">
        <v>18738</v>
      </c>
      <c r="D7330" s="141" t="s">
        <v>6153</v>
      </c>
      <c r="E7330" s="140" t="s">
        <v>18739</v>
      </c>
      <c r="F7330" s="140"/>
      <c r="G7330" s="140"/>
    </row>
    <row r="7331" spans="2:7" hidden="1">
      <c r="B7331" s="141" t="s">
        <v>18740</v>
      </c>
      <c r="C7331" s="141" t="s">
        <v>18741</v>
      </c>
      <c r="D7331" s="141" t="s">
        <v>18742</v>
      </c>
      <c r="E7331" s="141" t="s">
        <v>18743</v>
      </c>
      <c r="F7331" s="141"/>
      <c r="G7331" s="140"/>
    </row>
    <row r="7332" spans="2:7" hidden="1">
      <c r="B7332" s="140" t="s">
        <v>18744</v>
      </c>
      <c r="C7332" s="140" t="s">
        <v>18745</v>
      </c>
      <c r="D7332" s="140" t="s">
        <v>18746</v>
      </c>
      <c r="E7332" s="142" t="s">
        <v>18747</v>
      </c>
      <c r="F7332" s="142"/>
      <c r="G7332" s="140"/>
    </row>
    <row r="7333" spans="2:7" hidden="1">
      <c r="B7333" s="141" t="s">
        <v>18748</v>
      </c>
      <c r="C7333" s="140"/>
      <c r="D7333" s="141" t="s">
        <v>18749</v>
      </c>
      <c r="E7333" s="140"/>
      <c r="F7333" s="140"/>
      <c r="G7333" s="140"/>
    </row>
    <row r="7334" spans="2:7" hidden="1">
      <c r="B7334" s="141" t="s">
        <v>18750</v>
      </c>
      <c r="C7334" s="140"/>
      <c r="D7334" s="141" t="s">
        <v>18751</v>
      </c>
      <c r="E7334" s="140"/>
      <c r="F7334" s="140"/>
      <c r="G7334" s="140"/>
    </row>
    <row r="7335" spans="2:7" hidden="1">
      <c r="B7335" s="141" t="s">
        <v>18752</v>
      </c>
      <c r="C7335" s="140"/>
      <c r="D7335" s="141" t="s">
        <v>18753</v>
      </c>
      <c r="E7335" s="140"/>
      <c r="F7335" s="140"/>
      <c r="G7335" s="140"/>
    </row>
    <row r="7336" spans="2:7" hidden="1">
      <c r="B7336" s="141" t="s">
        <v>18754</v>
      </c>
      <c r="C7336" s="140"/>
      <c r="D7336" s="141" t="s">
        <v>18565</v>
      </c>
      <c r="E7336" s="140"/>
      <c r="F7336" s="140"/>
      <c r="G7336" s="140"/>
    </row>
    <row r="7337" spans="2:7" hidden="1">
      <c r="B7337" s="141" t="s">
        <v>18755</v>
      </c>
      <c r="C7337" s="140"/>
      <c r="D7337" s="141" t="s">
        <v>18756</v>
      </c>
      <c r="E7337" s="140"/>
      <c r="F7337" s="140"/>
      <c r="G7337" s="140"/>
    </row>
    <row r="7338" spans="2:7" hidden="1">
      <c r="B7338" s="141" t="s">
        <v>18757</v>
      </c>
      <c r="C7338" s="140" t="s">
        <v>18758</v>
      </c>
      <c r="D7338" s="141" t="s">
        <v>18759</v>
      </c>
      <c r="E7338" s="140" t="s">
        <v>18760</v>
      </c>
      <c r="F7338" s="140"/>
      <c r="G7338" s="140"/>
    </row>
    <row r="7339" spans="2:7" hidden="1">
      <c r="B7339" s="141" t="s">
        <v>18761</v>
      </c>
      <c r="C7339" s="140"/>
      <c r="D7339" s="141" t="s">
        <v>7719</v>
      </c>
      <c r="E7339" s="140"/>
      <c r="F7339" s="140"/>
      <c r="G7339" s="140"/>
    </row>
    <row r="7340" spans="2:7" hidden="1">
      <c r="B7340" s="141" t="s">
        <v>18762</v>
      </c>
      <c r="C7340" s="140"/>
      <c r="D7340" s="141" t="s">
        <v>5037</v>
      </c>
      <c r="E7340" s="140"/>
      <c r="F7340" s="140"/>
      <c r="G7340" s="140"/>
    </row>
    <row r="7341" spans="2:7" hidden="1">
      <c r="B7341" s="141" t="s">
        <v>18763</v>
      </c>
      <c r="C7341" s="140" t="s">
        <v>18764</v>
      </c>
      <c r="D7341" s="141" t="s">
        <v>18765</v>
      </c>
      <c r="E7341" s="140"/>
      <c r="F7341" s="140"/>
      <c r="G7341" s="140"/>
    </row>
    <row r="7342" spans="2:7" hidden="1">
      <c r="B7342" s="141" t="s">
        <v>18766</v>
      </c>
      <c r="C7342" s="140"/>
      <c r="D7342" s="141" t="s">
        <v>18767</v>
      </c>
      <c r="E7342" s="140"/>
      <c r="F7342" s="140"/>
      <c r="G7342" s="140"/>
    </row>
    <row r="7343" spans="2:7" hidden="1">
      <c r="B7343" s="141" t="s">
        <v>18768</v>
      </c>
      <c r="C7343" s="140"/>
      <c r="D7343" s="141" t="s">
        <v>18769</v>
      </c>
      <c r="E7343" s="140"/>
      <c r="F7343" s="140"/>
      <c r="G7343" s="140"/>
    </row>
    <row r="7344" spans="2:7" hidden="1">
      <c r="B7344" s="141" t="s">
        <v>18770</v>
      </c>
      <c r="C7344" s="140" t="s">
        <v>18771</v>
      </c>
      <c r="D7344" s="141" t="s">
        <v>6474</v>
      </c>
      <c r="E7344" s="140" t="s">
        <v>18772</v>
      </c>
      <c r="F7344" s="140" t="s">
        <v>18773</v>
      </c>
      <c r="G7344" s="140"/>
    </row>
    <row r="7345" spans="2:7" hidden="1">
      <c r="B7345" s="141" t="s">
        <v>18774</v>
      </c>
      <c r="C7345" s="140"/>
      <c r="D7345" s="141" t="s">
        <v>6582</v>
      </c>
      <c r="E7345" s="140"/>
      <c r="F7345" s="140"/>
      <c r="G7345" s="140"/>
    </row>
    <row r="7346" spans="2:7" hidden="1">
      <c r="B7346" s="141" t="s">
        <v>18775</v>
      </c>
      <c r="C7346" s="140"/>
      <c r="D7346" s="141" t="s">
        <v>18776</v>
      </c>
      <c r="E7346" s="140"/>
      <c r="F7346" s="140"/>
      <c r="G7346" s="140"/>
    </row>
    <row r="7347" spans="2:7" hidden="1">
      <c r="B7347" s="141" t="s">
        <v>18777</v>
      </c>
      <c r="C7347" s="141"/>
      <c r="D7347" s="141" t="s">
        <v>18778</v>
      </c>
      <c r="E7347" s="141"/>
      <c r="F7347" s="141"/>
      <c r="G7347" s="140"/>
    </row>
    <row r="7348" spans="2:7" hidden="1">
      <c r="B7348" s="140" t="s">
        <v>18779</v>
      </c>
      <c r="C7348" s="140"/>
      <c r="D7348" s="140" t="s">
        <v>18780</v>
      </c>
      <c r="E7348" s="142"/>
      <c r="F7348" s="142"/>
      <c r="G7348" s="140"/>
    </row>
    <row r="7349" spans="2:7" hidden="1">
      <c r="B7349" s="141" t="s">
        <v>18781</v>
      </c>
      <c r="C7349" s="140" t="s">
        <v>18782</v>
      </c>
      <c r="D7349" s="141" t="s">
        <v>18783</v>
      </c>
      <c r="E7349" s="140"/>
      <c r="F7349" s="140"/>
      <c r="G7349" s="140" t="s">
        <v>21395</v>
      </c>
    </row>
    <row r="7350" spans="2:7" hidden="1">
      <c r="B7350" s="141" t="s">
        <v>18784</v>
      </c>
      <c r="C7350" s="140"/>
      <c r="D7350" s="141" t="s">
        <v>18785</v>
      </c>
      <c r="E7350" s="140"/>
      <c r="F7350" s="140"/>
      <c r="G7350" s="140"/>
    </row>
    <row r="7351" spans="2:7" hidden="1">
      <c r="B7351" s="141" t="s">
        <v>18786</v>
      </c>
      <c r="C7351" s="140"/>
      <c r="D7351" s="141" t="s">
        <v>18787</v>
      </c>
      <c r="E7351" s="140"/>
      <c r="F7351" s="140"/>
      <c r="G7351" s="140"/>
    </row>
    <row r="7352" spans="2:7" hidden="1">
      <c r="B7352" s="141" t="s">
        <v>22026</v>
      </c>
      <c r="C7352" s="141" t="s">
        <v>18788</v>
      </c>
      <c r="D7352" s="141" t="s">
        <v>2550</v>
      </c>
      <c r="E7352" s="141"/>
      <c r="F7352" s="141"/>
      <c r="G7352" s="140" t="s">
        <v>18789</v>
      </c>
    </row>
    <row r="7353" spans="2:7" hidden="1">
      <c r="B7353" s="140" t="s">
        <v>18790</v>
      </c>
      <c r="C7353" s="140"/>
      <c r="D7353" s="140" t="s">
        <v>18791</v>
      </c>
      <c r="E7353" s="140"/>
      <c r="F7353" s="140"/>
      <c r="G7353" s="140"/>
    </row>
    <row r="7354" spans="2:7" hidden="1">
      <c r="B7354" s="141" t="s">
        <v>18792</v>
      </c>
      <c r="C7354" s="140"/>
      <c r="D7354" s="141" t="s">
        <v>18793</v>
      </c>
      <c r="E7354" s="140"/>
      <c r="F7354" s="140"/>
      <c r="G7354" s="140"/>
    </row>
    <row r="7355" spans="2:7" hidden="1">
      <c r="B7355" s="140" t="s">
        <v>18794</v>
      </c>
      <c r="C7355" s="140"/>
      <c r="D7355" s="140" t="s">
        <v>2936</v>
      </c>
      <c r="E7355" s="142"/>
      <c r="F7355" s="142"/>
      <c r="G7355" s="140"/>
    </row>
    <row r="7356" spans="2:7" hidden="1">
      <c r="B7356" s="140" t="s">
        <v>18795</v>
      </c>
      <c r="C7356" s="140"/>
      <c r="D7356" s="140" t="s">
        <v>10399</v>
      </c>
      <c r="E7356" s="142"/>
      <c r="F7356" s="142"/>
      <c r="G7356" s="140"/>
    </row>
    <row r="7357" spans="2:7" hidden="1">
      <c r="B7357" s="141" t="s">
        <v>18796</v>
      </c>
      <c r="C7357" s="140"/>
      <c r="D7357" s="141" t="s">
        <v>17306</v>
      </c>
      <c r="E7357" s="140"/>
      <c r="F7357" s="140"/>
      <c r="G7357" s="140"/>
    </row>
    <row r="7358" spans="2:7" hidden="1">
      <c r="B7358" s="140" t="s">
        <v>18797</v>
      </c>
      <c r="C7358" s="140"/>
      <c r="D7358" s="140" t="s">
        <v>3934</v>
      </c>
      <c r="E7358" s="142"/>
      <c r="F7358" s="142"/>
      <c r="G7358" s="140"/>
    </row>
    <row r="7359" spans="2:7" hidden="1">
      <c r="B7359" s="141" t="s">
        <v>22028</v>
      </c>
      <c r="C7359" s="140"/>
      <c r="D7359" s="141" t="s">
        <v>18798</v>
      </c>
      <c r="E7359" s="140"/>
      <c r="F7359" s="140"/>
      <c r="G7359" s="140"/>
    </row>
    <row r="7360" spans="2:7" hidden="1">
      <c r="B7360" s="141" t="s">
        <v>22027</v>
      </c>
      <c r="C7360" s="140"/>
      <c r="D7360" s="141" t="s">
        <v>970</v>
      </c>
      <c r="E7360" s="140"/>
      <c r="F7360" s="140"/>
      <c r="G7360" s="140"/>
    </row>
    <row r="7361" spans="2:7" hidden="1">
      <c r="B7361" s="141" t="s">
        <v>18799</v>
      </c>
      <c r="C7361" s="140"/>
      <c r="D7361" s="141" t="s">
        <v>18800</v>
      </c>
      <c r="E7361" s="140"/>
      <c r="F7361" s="140"/>
      <c r="G7361" s="140"/>
    </row>
    <row r="7362" spans="2:7" hidden="1">
      <c r="B7362" s="141" t="s">
        <v>18801</v>
      </c>
      <c r="C7362" s="140"/>
      <c r="D7362" s="141" t="s">
        <v>15006</v>
      </c>
      <c r="E7362" s="140"/>
      <c r="F7362" s="140"/>
      <c r="G7362" s="140"/>
    </row>
    <row r="7363" spans="2:7" hidden="1">
      <c r="B7363" s="141" t="s">
        <v>18802</v>
      </c>
      <c r="C7363" s="140"/>
      <c r="D7363" s="141" t="s">
        <v>2842</v>
      </c>
      <c r="E7363" s="140"/>
      <c r="F7363" s="140"/>
      <c r="G7363" s="140"/>
    </row>
    <row r="7364" spans="2:7" hidden="1">
      <c r="B7364" s="141" t="s">
        <v>18803</v>
      </c>
      <c r="C7364" s="141"/>
      <c r="D7364" s="141" t="s">
        <v>18804</v>
      </c>
      <c r="E7364" s="141"/>
      <c r="F7364" s="140"/>
      <c r="G7364" s="140"/>
    </row>
    <row r="7365" spans="2:7" hidden="1">
      <c r="B7365" s="141" t="s">
        <v>18805</v>
      </c>
      <c r="C7365" s="140" t="s">
        <v>18806</v>
      </c>
      <c r="D7365" s="141" t="s">
        <v>18807</v>
      </c>
      <c r="E7365" s="140"/>
      <c r="F7365" s="140"/>
      <c r="G7365" s="140"/>
    </row>
    <row r="7366" spans="2:7" hidden="1">
      <c r="B7366" s="141" t="s">
        <v>18808</v>
      </c>
      <c r="C7366" s="140" t="s">
        <v>5477</v>
      </c>
      <c r="D7366" s="141" t="s">
        <v>18809</v>
      </c>
      <c r="E7366" s="140" t="s">
        <v>18810</v>
      </c>
      <c r="F7366" s="140"/>
      <c r="G7366" s="140"/>
    </row>
    <row r="7367" spans="2:7" hidden="1">
      <c r="B7367" s="141" t="s">
        <v>18811</v>
      </c>
      <c r="C7367" s="140" t="s">
        <v>18812</v>
      </c>
      <c r="D7367" s="141" t="s">
        <v>18813</v>
      </c>
      <c r="E7367" s="140"/>
      <c r="F7367" s="140"/>
      <c r="G7367" s="140"/>
    </row>
    <row r="7368" spans="2:7" hidden="1">
      <c r="B7368" s="141" t="s">
        <v>18814</v>
      </c>
      <c r="C7368" s="140" t="s">
        <v>18815</v>
      </c>
      <c r="D7368" s="141" t="s">
        <v>18816</v>
      </c>
      <c r="E7368" s="140" t="s">
        <v>18817</v>
      </c>
      <c r="F7368" s="140"/>
      <c r="G7368" s="140"/>
    </row>
    <row r="7369" spans="2:7" hidden="1">
      <c r="B7369" s="141" t="s">
        <v>18818</v>
      </c>
      <c r="C7369" s="140" t="s">
        <v>18819</v>
      </c>
      <c r="D7369" s="141" t="s">
        <v>18820</v>
      </c>
      <c r="E7369" s="140"/>
      <c r="F7369" s="140"/>
      <c r="G7369" s="140"/>
    </row>
    <row r="7370" spans="2:7" hidden="1">
      <c r="B7370" s="141" t="s">
        <v>18821</v>
      </c>
      <c r="C7370" s="140" t="s">
        <v>18819</v>
      </c>
      <c r="D7370" s="141" t="s">
        <v>18822</v>
      </c>
      <c r="E7370" s="140" t="s">
        <v>18524</v>
      </c>
      <c r="F7370" s="140"/>
      <c r="G7370" s="140"/>
    </row>
    <row r="7371" spans="2:7" hidden="1">
      <c r="B7371" s="141" t="s">
        <v>18823</v>
      </c>
      <c r="C7371" s="140"/>
      <c r="D7371" s="141" t="s">
        <v>2936</v>
      </c>
      <c r="E7371" s="140"/>
      <c r="F7371" s="140"/>
      <c r="G7371" s="140"/>
    </row>
    <row r="7372" spans="2:7" hidden="1">
      <c r="B7372" s="141" t="s">
        <v>18824</v>
      </c>
      <c r="C7372" s="140" t="s">
        <v>18825</v>
      </c>
      <c r="D7372" s="141" t="s">
        <v>18826</v>
      </c>
      <c r="E7372" s="140" t="s">
        <v>18827</v>
      </c>
      <c r="F7372" s="140" t="s">
        <v>18827</v>
      </c>
      <c r="G7372" s="140"/>
    </row>
    <row r="7373" spans="2:7" hidden="1">
      <c r="B7373" s="141" t="s">
        <v>18828</v>
      </c>
      <c r="C7373" s="140"/>
      <c r="D7373" s="141" t="s">
        <v>18829</v>
      </c>
      <c r="E7373" s="140"/>
      <c r="F7373" s="140"/>
      <c r="G7373" s="140"/>
    </row>
    <row r="7374" spans="2:7" hidden="1">
      <c r="B7374" s="141" t="s">
        <v>18830</v>
      </c>
      <c r="C7374" s="140"/>
      <c r="D7374" s="141" t="s">
        <v>18831</v>
      </c>
      <c r="E7374" s="140"/>
      <c r="F7374" s="140"/>
      <c r="G7374" s="140"/>
    </row>
    <row r="7375" spans="2:7" hidden="1">
      <c r="B7375" s="141" t="s">
        <v>18832</v>
      </c>
      <c r="C7375" s="140" t="s">
        <v>18833</v>
      </c>
      <c r="D7375" s="141" t="s">
        <v>18834</v>
      </c>
      <c r="E7375" s="140" t="s">
        <v>18835</v>
      </c>
      <c r="F7375" s="140" t="s">
        <v>18836</v>
      </c>
      <c r="G7375" s="140"/>
    </row>
    <row r="7376" spans="2:7" hidden="1">
      <c r="B7376" s="141" t="s">
        <v>18837</v>
      </c>
      <c r="C7376" s="140" t="s">
        <v>18838</v>
      </c>
      <c r="D7376" s="141" t="s">
        <v>1104</v>
      </c>
      <c r="E7376" s="140" t="s">
        <v>18839</v>
      </c>
      <c r="F7376" s="140"/>
      <c r="G7376" s="140"/>
    </row>
    <row r="7377" spans="2:7" hidden="1">
      <c r="B7377" s="141" t="s">
        <v>18840</v>
      </c>
      <c r="C7377" s="140"/>
      <c r="D7377" s="141" t="s">
        <v>18841</v>
      </c>
      <c r="E7377" s="140"/>
      <c r="F7377" s="140"/>
      <c r="G7377" s="140"/>
    </row>
    <row r="7378" spans="2:7" hidden="1">
      <c r="B7378" s="141" t="s">
        <v>18842</v>
      </c>
      <c r="C7378" s="140" t="s">
        <v>18843</v>
      </c>
      <c r="D7378" s="141" t="s">
        <v>2334</v>
      </c>
      <c r="E7378" s="140" t="s">
        <v>18844</v>
      </c>
      <c r="F7378" s="140" t="s">
        <v>18845</v>
      </c>
      <c r="G7378" s="140"/>
    </row>
    <row r="7379" spans="2:7" hidden="1">
      <c r="B7379" s="141" t="s">
        <v>18846</v>
      </c>
      <c r="C7379" s="140" t="s">
        <v>18847</v>
      </c>
      <c r="D7379" s="141" t="s">
        <v>18848</v>
      </c>
      <c r="E7379" s="140"/>
      <c r="F7379" s="140"/>
      <c r="G7379" s="140"/>
    </row>
    <row r="7380" spans="2:7" hidden="1">
      <c r="B7380" s="141" t="s">
        <v>22029</v>
      </c>
      <c r="C7380" s="140"/>
      <c r="D7380" s="141" t="s">
        <v>9567</v>
      </c>
      <c r="E7380" s="140"/>
      <c r="F7380" s="140"/>
      <c r="G7380" s="140"/>
    </row>
    <row r="7381" spans="2:7" hidden="1">
      <c r="B7381" s="141" t="s">
        <v>18849</v>
      </c>
      <c r="C7381" s="140" t="s">
        <v>18850</v>
      </c>
      <c r="D7381" s="141" t="s">
        <v>18851</v>
      </c>
      <c r="E7381" s="140" t="s">
        <v>18852</v>
      </c>
      <c r="F7381" s="140"/>
      <c r="G7381" s="140"/>
    </row>
    <row r="7382" spans="2:7" hidden="1">
      <c r="B7382" s="141" t="s">
        <v>18853</v>
      </c>
      <c r="C7382" s="140"/>
      <c r="D7382" s="141" t="s">
        <v>18854</v>
      </c>
      <c r="E7382" s="140"/>
      <c r="F7382" s="140"/>
      <c r="G7382" s="140"/>
    </row>
    <row r="7383" spans="2:7" hidden="1">
      <c r="B7383" s="141" t="s">
        <v>18855</v>
      </c>
      <c r="C7383" s="140"/>
      <c r="D7383" s="141" t="s">
        <v>18856</v>
      </c>
      <c r="E7383" s="140"/>
      <c r="F7383" s="140"/>
      <c r="G7383" s="140"/>
    </row>
    <row r="7384" spans="2:7" hidden="1">
      <c r="B7384" s="140" t="s">
        <v>18857</v>
      </c>
      <c r="C7384" s="140"/>
      <c r="D7384" s="140" t="s">
        <v>11204</v>
      </c>
      <c r="E7384" s="140"/>
      <c r="F7384" s="140"/>
      <c r="G7384" s="140"/>
    </row>
    <row r="7385" spans="2:7" hidden="1">
      <c r="B7385" s="141" t="s">
        <v>18858</v>
      </c>
      <c r="C7385" s="140"/>
      <c r="D7385" s="141" t="s">
        <v>18859</v>
      </c>
      <c r="E7385" s="140"/>
      <c r="F7385" s="140"/>
      <c r="G7385" s="140"/>
    </row>
    <row r="7386" spans="2:7" hidden="1">
      <c r="B7386" s="140" t="s">
        <v>18860</v>
      </c>
      <c r="C7386" s="140" t="s">
        <v>18861</v>
      </c>
      <c r="D7386" s="140" t="s">
        <v>18862</v>
      </c>
      <c r="E7386" s="142" t="s">
        <v>18863</v>
      </c>
      <c r="F7386" s="142" t="s">
        <v>18864</v>
      </c>
      <c r="G7386" s="140"/>
    </row>
    <row r="7387" spans="2:7" hidden="1">
      <c r="B7387" s="141" t="s">
        <v>18865</v>
      </c>
      <c r="C7387" s="140"/>
      <c r="D7387" s="141" t="s">
        <v>18866</v>
      </c>
      <c r="E7387" s="140"/>
      <c r="F7387" s="140"/>
      <c r="G7387" s="140"/>
    </row>
    <row r="7388" spans="2:7" hidden="1">
      <c r="B7388" s="141" t="s">
        <v>18867</v>
      </c>
      <c r="C7388" s="140"/>
      <c r="D7388" s="141" t="s">
        <v>18868</v>
      </c>
      <c r="E7388" s="140"/>
      <c r="F7388" s="140"/>
      <c r="G7388" s="140"/>
    </row>
    <row r="7389" spans="2:7" hidden="1">
      <c r="B7389" s="141" t="s">
        <v>18869</v>
      </c>
      <c r="C7389" s="140"/>
      <c r="D7389" s="141" t="s">
        <v>18870</v>
      </c>
      <c r="E7389" s="140"/>
      <c r="F7389" s="140"/>
      <c r="G7389" s="140"/>
    </row>
    <row r="7390" spans="2:7" hidden="1">
      <c r="B7390" s="141" t="s">
        <v>18871</v>
      </c>
      <c r="C7390" s="140"/>
      <c r="D7390" s="141" t="s">
        <v>2515</v>
      </c>
      <c r="E7390" s="140"/>
      <c r="F7390" s="140"/>
      <c r="G7390" s="140"/>
    </row>
    <row r="7391" spans="2:7" hidden="1">
      <c r="B7391" s="141" t="s">
        <v>18872</v>
      </c>
      <c r="C7391" s="140"/>
      <c r="D7391" s="141" t="s">
        <v>18873</v>
      </c>
      <c r="E7391" s="140"/>
      <c r="F7391" s="140"/>
      <c r="G7391" s="140"/>
    </row>
    <row r="7392" spans="2:7" hidden="1">
      <c r="B7392" s="140" t="s">
        <v>18874</v>
      </c>
      <c r="C7392" s="140"/>
      <c r="D7392" s="140" t="s">
        <v>18875</v>
      </c>
      <c r="E7392" s="140"/>
      <c r="F7392" s="140"/>
      <c r="G7392" s="140"/>
    </row>
    <row r="7393" spans="2:7" hidden="1">
      <c r="B7393" s="140" t="s">
        <v>22030</v>
      </c>
      <c r="C7393" s="140"/>
      <c r="D7393" s="140" t="s">
        <v>18876</v>
      </c>
      <c r="E7393" s="140"/>
      <c r="F7393" s="140"/>
      <c r="G7393" s="140"/>
    </row>
    <row r="7394" spans="2:7" hidden="1">
      <c r="B7394" s="141" t="s">
        <v>18877</v>
      </c>
      <c r="C7394" s="140"/>
      <c r="D7394" s="141" t="s">
        <v>7055</v>
      </c>
      <c r="E7394" s="140"/>
      <c r="F7394" s="140"/>
      <c r="G7394" s="140"/>
    </row>
    <row r="7395" spans="2:7" hidden="1">
      <c r="B7395" s="141" t="s">
        <v>18878</v>
      </c>
      <c r="C7395" s="140"/>
      <c r="D7395" s="141" t="s">
        <v>18879</v>
      </c>
      <c r="E7395" s="140"/>
      <c r="F7395" s="140"/>
      <c r="G7395" s="140"/>
    </row>
    <row r="7396" spans="2:7" hidden="1">
      <c r="B7396" s="141" t="s">
        <v>18880</v>
      </c>
      <c r="C7396" s="140"/>
      <c r="D7396" s="141" t="s">
        <v>18881</v>
      </c>
      <c r="E7396" s="140" t="s">
        <v>18882</v>
      </c>
      <c r="F7396" s="140"/>
      <c r="G7396" s="140"/>
    </row>
    <row r="7397" spans="2:7" hidden="1">
      <c r="B7397" s="140" t="s">
        <v>18883</v>
      </c>
      <c r="C7397" s="140"/>
      <c r="D7397" s="140" t="s">
        <v>1249</v>
      </c>
      <c r="E7397" s="142"/>
      <c r="F7397" s="142"/>
      <c r="G7397" s="140"/>
    </row>
    <row r="7398" spans="2:7" hidden="1">
      <c r="B7398" s="140" t="s">
        <v>18884</v>
      </c>
      <c r="C7398" s="140"/>
      <c r="D7398" s="140" t="s">
        <v>18885</v>
      </c>
      <c r="E7398" s="142"/>
      <c r="F7398" s="142"/>
      <c r="G7398" s="140"/>
    </row>
    <row r="7399" spans="2:7" hidden="1">
      <c r="B7399" s="140" t="s">
        <v>18886</v>
      </c>
      <c r="C7399" s="140"/>
      <c r="D7399" s="140" t="s">
        <v>18887</v>
      </c>
      <c r="E7399" s="142"/>
      <c r="F7399" s="142"/>
      <c r="G7399" s="140"/>
    </row>
    <row r="7400" spans="2:7" hidden="1">
      <c r="B7400" s="141" t="s">
        <v>18888</v>
      </c>
      <c r="C7400" s="140" t="s">
        <v>18889</v>
      </c>
      <c r="D7400" s="141" t="s">
        <v>18890</v>
      </c>
      <c r="E7400" s="140" t="s">
        <v>18891</v>
      </c>
      <c r="F7400" s="140" t="s">
        <v>18892</v>
      </c>
      <c r="G7400" s="140"/>
    </row>
    <row r="7401" spans="2:7" hidden="1">
      <c r="B7401" s="141" t="s">
        <v>18893</v>
      </c>
      <c r="C7401" s="140" t="s">
        <v>18894</v>
      </c>
      <c r="D7401" s="141" t="s">
        <v>1378</v>
      </c>
      <c r="E7401" s="140" t="s">
        <v>18895</v>
      </c>
      <c r="F7401" s="140" t="s">
        <v>18896</v>
      </c>
      <c r="G7401" s="140"/>
    </row>
    <row r="7402" spans="2:7" hidden="1">
      <c r="B7402" s="140" t="s">
        <v>18897</v>
      </c>
      <c r="C7402" s="140"/>
      <c r="D7402" s="140" t="s">
        <v>18898</v>
      </c>
      <c r="E7402" s="142"/>
      <c r="F7402" s="142"/>
      <c r="G7402" s="140"/>
    </row>
    <row r="7403" spans="2:7" hidden="1">
      <c r="B7403" s="141" t="s">
        <v>18899</v>
      </c>
      <c r="C7403" s="140"/>
      <c r="D7403" s="141" t="s">
        <v>6884</v>
      </c>
      <c r="E7403" s="140"/>
      <c r="F7403" s="140"/>
      <c r="G7403" s="140"/>
    </row>
    <row r="7404" spans="2:7" hidden="1">
      <c r="B7404" s="141" t="s">
        <v>18900</v>
      </c>
      <c r="C7404" s="140"/>
      <c r="D7404" s="141" t="s">
        <v>18901</v>
      </c>
      <c r="E7404" s="140"/>
      <c r="F7404" s="140"/>
      <c r="G7404" s="140"/>
    </row>
    <row r="7405" spans="2:7" hidden="1">
      <c r="B7405" s="140" t="s">
        <v>18902</v>
      </c>
      <c r="C7405" s="140" t="s">
        <v>18903</v>
      </c>
      <c r="D7405" s="140" t="s">
        <v>14988</v>
      </c>
      <c r="E7405" s="140"/>
      <c r="F7405" s="140"/>
      <c r="G7405" s="140"/>
    </row>
    <row r="7406" spans="2:7" hidden="1">
      <c r="B7406" s="141" t="s">
        <v>18904</v>
      </c>
      <c r="C7406" s="140"/>
      <c r="D7406" s="141" t="s">
        <v>18905</v>
      </c>
      <c r="E7406" s="140"/>
      <c r="F7406" s="140"/>
      <c r="G7406" s="140"/>
    </row>
    <row r="7407" spans="2:7" hidden="1">
      <c r="B7407" s="141" t="s">
        <v>18906</v>
      </c>
      <c r="C7407" s="140"/>
      <c r="D7407" s="141" t="s">
        <v>18907</v>
      </c>
      <c r="E7407" s="140"/>
      <c r="F7407" s="140"/>
      <c r="G7407" s="140"/>
    </row>
    <row r="7408" spans="2:7" hidden="1">
      <c r="B7408" s="141" t="s">
        <v>18908</v>
      </c>
      <c r="C7408" s="140" t="s">
        <v>18909</v>
      </c>
      <c r="D7408" s="141" t="s">
        <v>3255</v>
      </c>
      <c r="E7408" s="140" t="s">
        <v>18910</v>
      </c>
      <c r="F7408" s="140"/>
      <c r="G7408" s="140"/>
    </row>
    <row r="7409" spans="2:7" hidden="1">
      <c r="B7409" s="140" t="s">
        <v>18911</v>
      </c>
      <c r="C7409" s="140"/>
      <c r="D7409" s="140" t="s">
        <v>6339</v>
      </c>
      <c r="E7409" s="142"/>
      <c r="F7409" s="142"/>
      <c r="G7409" s="140"/>
    </row>
    <row r="7410" spans="2:7" hidden="1">
      <c r="B7410" s="141" t="s">
        <v>18912</v>
      </c>
      <c r="C7410" s="140"/>
      <c r="D7410" s="141" t="s">
        <v>18913</v>
      </c>
      <c r="E7410" s="140"/>
      <c r="F7410" s="140"/>
      <c r="G7410" s="140"/>
    </row>
    <row r="7411" spans="2:7" hidden="1">
      <c r="B7411" s="141" t="s">
        <v>18914</v>
      </c>
      <c r="C7411" s="140"/>
      <c r="D7411" s="141" t="s">
        <v>6044</v>
      </c>
      <c r="E7411" s="140"/>
      <c r="F7411" s="140"/>
      <c r="G7411" s="140"/>
    </row>
    <row r="7412" spans="2:7" hidden="1">
      <c r="B7412" s="140" t="s">
        <v>18915</v>
      </c>
      <c r="C7412" s="140"/>
      <c r="D7412" s="140" t="s">
        <v>4904</v>
      </c>
      <c r="E7412" s="142"/>
      <c r="F7412" s="142"/>
      <c r="G7412" s="140"/>
    </row>
    <row r="7413" spans="2:7" hidden="1">
      <c r="B7413" s="140" t="s">
        <v>18916</v>
      </c>
      <c r="C7413" s="140" t="s">
        <v>18917</v>
      </c>
      <c r="D7413" s="140" t="s">
        <v>9431</v>
      </c>
      <c r="E7413" s="142" t="s">
        <v>18918</v>
      </c>
      <c r="F7413" s="142" t="s">
        <v>18919</v>
      </c>
      <c r="G7413" s="140"/>
    </row>
    <row r="7414" spans="2:7" hidden="1">
      <c r="B7414" s="140" t="s">
        <v>18920</v>
      </c>
      <c r="C7414" s="140" t="s">
        <v>18921</v>
      </c>
      <c r="D7414" s="140" t="s">
        <v>4073</v>
      </c>
      <c r="E7414" s="142" t="s">
        <v>18922</v>
      </c>
      <c r="F7414" s="142" t="s">
        <v>18923</v>
      </c>
      <c r="G7414" s="140"/>
    </row>
    <row r="7415" spans="2:7" hidden="1">
      <c r="B7415" s="141" t="s">
        <v>18924</v>
      </c>
      <c r="C7415" s="140"/>
      <c r="D7415" s="141" t="s">
        <v>18925</v>
      </c>
      <c r="E7415" s="140"/>
      <c r="F7415" s="140"/>
      <c r="G7415" s="140"/>
    </row>
    <row r="7416" spans="2:7" hidden="1">
      <c r="B7416" s="141" t="s">
        <v>18926</v>
      </c>
      <c r="C7416" s="140" t="s">
        <v>18927</v>
      </c>
      <c r="D7416" s="141" t="s">
        <v>18928</v>
      </c>
      <c r="E7416" s="140" t="s">
        <v>18929</v>
      </c>
      <c r="F7416" s="140" t="s">
        <v>18930</v>
      </c>
      <c r="G7416" s="140"/>
    </row>
    <row r="7417" spans="2:7" hidden="1">
      <c r="B7417" s="141" t="s">
        <v>18931</v>
      </c>
      <c r="C7417" s="140"/>
      <c r="D7417" s="141" t="s">
        <v>1439</v>
      </c>
      <c r="E7417" s="140"/>
      <c r="F7417" s="140"/>
      <c r="G7417" s="140"/>
    </row>
    <row r="7418" spans="2:7" hidden="1">
      <c r="B7418" s="141" t="s">
        <v>18932</v>
      </c>
      <c r="C7418" s="140"/>
      <c r="D7418" s="141" t="s">
        <v>10522</v>
      </c>
      <c r="E7418" s="140"/>
      <c r="F7418" s="140"/>
      <c r="G7418" s="140"/>
    </row>
    <row r="7419" spans="2:7" hidden="1">
      <c r="B7419" s="141" t="s">
        <v>18933</v>
      </c>
      <c r="C7419" s="140" t="s">
        <v>8058</v>
      </c>
      <c r="D7419" s="141" t="s">
        <v>18934</v>
      </c>
      <c r="E7419" s="140"/>
      <c r="F7419" s="140"/>
      <c r="G7419" s="140"/>
    </row>
    <row r="7420" spans="2:7" hidden="1">
      <c r="B7420" s="141" t="s">
        <v>18935</v>
      </c>
      <c r="C7420" s="140"/>
      <c r="D7420" s="141" t="s">
        <v>18936</v>
      </c>
      <c r="E7420" s="140"/>
      <c r="F7420" s="140"/>
      <c r="G7420" s="140"/>
    </row>
    <row r="7421" spans="2:7" hidden="1">
      <c r="B7421" s="141" t="s">
        <v>18937</v>
      </c>
      <c r="C7421" s="140"/>
      <c r="D7421" s="141" t="s">
        <v>18938</v>
      </c>
      <c r="E7421" s="140"/>
      <c r="F7421" s="140"/>
      <c r="G7421" s="140"/>
    </row>
    <row r="7422" spans="2:7" hidden="1">
      <c r="B7422" s="141" t="s">
        <v>18939</v>
      </c>
      <c r="C7422" s="140" t="s">
        <v>18940</v>
      </c>
      <c r="D7422" s="141" t="s">
        <v>18941</v>
      </c>
      <c r="E7422" s="140" t="s">
        <v>18942</v>
      </c>
      <c r="F7422" s="140" t="s">
        <v>18943</v>
      </c>
      <c r="G7422" s="140"/>
    </row>
    <row r="7423" spans="2:7" hidden="1">
      <c r="B7423" s="141" t="s">
        <v>18944</v>
      </c>
      <c r="C7423" s="140" t="s">
        <v>18945</v>
      </c>
      <c r="D7423" s="141" t="s">
        <v>18946</v>
      </c>
      <c r="E7423" s="140" t="s">
        <v>18947</v>
      </c>
      <c r="F7423" s="140"/>
      <c r="G7423" s="140" t="s">
        <v>18948</v>
      </c>
    </row>
    <row r="7424" spans="2:7" hidden="1">
      <c r="B7424" s="141" t="s">
        <v>18949</v>
      </c>
      <c r="C7424" s="141"/>
      <c r="D7424" s="141" t="s">
        <v>18950</v>
      </c>
      <c r="E7424" s="141"/>
      <c r="F7424" s="141"/>
      <c r="G7424" s="140"/>
    </row>
    <row r="7425" spans="2:7" hidden="1">
      <c r="B7425" s="141" t="s">
        <v>18951</v>
      </c>
      <c r="C7425" s="141"/>
      <c r="D7425" s="141" t="s">
        <v>18952</v>
      </c>
      <c r="E7425" s="141"/>
      <c r="F7425" s="141"/>
      <c r="G7425" s="140"/>
    </row>
    <row r="7426" spans="2:7" hidden="1">
      <c r="B7426" s="141" t="s">
        <v>18953</v>
      </c>
      <c r="C7426" s="140"/>
      <c r="D7426" s="141" t="s">
        <v>18954</v>
      </c>
      <c r="E7426" s="140"/>
      <c r="F7426" s="140"/>
      <c r="G7426" s="140"/>
    </row>
    <row r="7427" spans="2:7" hidden="1">
      <c r="B7427" s="141" t="s">
        <v>18955</v>
      </c>
      <c r="C7427" s="140"/>
      <c r="D7427" s="141" t="s">
        <v>11683</v>
      </c>
      <c r="E7427" s="140"/>
      <c r="F7427" s="140"/>
      <c r="G7427" s="140"/>
    </row>
    <row r="7428" spans="2:7" hidden="1">
      <c r="B7428" s="141" t="s">
        <v>18956</v>
      </c>
      <c r="C7428" s="140" t="s">
        <v>18957</v>
      </c>
      <c r="D7428" s="141" t="s">
        <v>18958</v>
      </c>
      <c r="E7428" s="140" t="s">
        <v>18959</v>
      </c>
      <c r="F7428" s="140" t="s">
        <v>18960</v>
      </c>
      <c r="G7428" s="140"/>
    </row>
    <row r="7429" spans="2:7" hidden="1">
      <c r="B7429" s="141" t="s">
        <v>18961</v>
      </c>
      <c r="C7429" s="140" t="s">
        <v>18962</v>
      </c>
      <c r="D7429" s="141" t="s">
        <v>18963</v>
      </c>
      <c r="E7429" s="140" t="s">
        <v>18964</v>
      </c>
      <c r="F7429" s="140" t="s">
        <v>18965</v>
      </c>
      <c r="G7429" s="140"/>
    </row>
    <row r="7430" spans="2:7" hidden="1">
      <c r="B7430" s="141" t="s">
        <v>18966</v>
      </c>
      <c r="C7430" s="140"/>
      <c r="D7430" s="141" t="s">
        <v>7886</v>
      </c>
      <c r="E7430" s="140"/>
      <c r="F7430" s="140"/>
      <c r="G7430" s="140"/>
    </row>
    <row r="7431" spans="2:7" hidden="1">
      <c r="B7431" s="141" t="s">
        <v>18967</v>
      </c>
      <c r="C7431" s="140"/>
      <c r="D7431" s="141" t="s">
        <v>18968</v>
      </c>
      <c r="E7431" s="140"/>
      <c r="F7431" s="140"/>
      <c r="G7431" s="140"/>
    </row>
    <row r="7432" spans="2:7" hidden="1">
      <c r="B7432" s="141" t="s">
        <v>18969</v>
      </c>
      <c r="C7432" s="140"/>
      <c r="D7432" s="141" t="s">
        <v>18970</v>
      </c>
      <c r="E7432" s="140"/>
      <c r="F7432" s="140"/>
      <c r="G7432" s="140"/>
    </row>
    <row r="7433" spans="2:7" hidden="1">
      <c r="B7433" s="141" t="s">
        <v>18971</v>
      </c>
      <c r="C7433" s="140" t="s">
        <v>18972</v>
      </c>
      <c r="D7433" s="141" t="s">
        <v>18973</v>
      </c>
      <c r="E7433" s="140"/>
      <c r="F7433" s="140"/>
      <c r="G7433" s="140"/>
    </row>
    <row r="7434" spans="2:7" hidden="1">
      <c r="B7434" s="141" t="s">
        <v>18974</v>
      </c>
      <c r="C7434" s="140" t="s">
        <v>18975</v>
      </c>
      <c r="D7434" s="141" t="s">
        <v>18976</v>
      </c>
      <c r="E7434" s="140"/>
      <c r="F7434" s="140"/>
      <c r="G7434" s="140"/>
    </row>
    <row r="7435" spans="2:7" hidden="1">
      <c r="B7435" s="141" t="s">
        <v>18977</v>
      </c>
      <c r="C7435" s="140"/>
      <c r="D7435" s="141" t="s">
        <v>18978</v>
      </c>
      <c r="E7435" s="140"/>
      <c r="F7435" s="140"/>
      <c r="G7435" s="140"/>
    </row>
    <row r="7436" spans="2:7" hidden="1">
      <c r="B7436" s="141" t="s">
        <v>18979</v>
      </c>
      <c r="C7436" s="140" t="s">
        <v>18980</v>
      </c>
      <c r="D7436" s="141" t="s">
        <v>18981</v>
      </c>
      <c r="E7436" s="140"/>
      <c r="F7436" s="140"/>
      <c r="G7436" s="140"/>
    </row>
    <row r="7437" spans="2:7" hidden="1">
      <c r="B7437" s="141" t="s">
        <v>18982</v>
      </c>
      <c r="C7437" s="140"/>
      <c r="D7437" s="141" t="s">
        <v>18983</v>
      </c>
      <c r="E7437" s="140"/>
      <c r="F7437" s="140"/>
      <c r="G7437" s="140"/>
    </row>
    <row r="7438" spans="2:7" hidden="1">
      <c r="B7438" s="141" t="s">
        <v>18984</v>
      </c>
      <c r="C7438" s="140"/>
      <c r="D7438" s="141" t="s">
        <v>18985</v>
      </c>
      <c r="E7438" s="140"/>
      <c r="F7438" s="140"/>
      <c r="G7438" s="140"/>
    </row>
    <row r="7439" spans="2:7" hidden="1">
      <c r="B7439" s="141" t="s">
        <v>18986</v>
      </c>
      <c r="C7439" s="140"/>
      <c r="D7439" s="141" t="s">
        <v>18987</v>
      </c>
      <c r="E7439" s="140"/>
      <c r="F7439" s="140"/>
      <c r="G7439" s="140"/>
    </row>
    <row r="7440" spans="2:7" hidden="1">
      <c r="B7440" s="141" t="s">
        <v>18988</v>
      </c>
      <c r="C7440" s="140"/>
      <c r="D7440" s="141" t="s">
        <v>18989</v>
      </c>
      <c r="E7440" s="140"/>
      <c r="F7440" s="140"/>
      <c r="G7440" s="140"/>
    </row>
    <row r="7441" spans="2:7" hidden="1">
      <c r="B7441" s="141" t="s">
        <v>18990</v>
      </c>
      <c r="C7441" s="140" t="s">
        <v>18991</v>
      </c>
      <c r="D7441" s="141" t="s">
        <v>18992</v>
      </c>
      <c r="E7441" s="140"/>
      <c r="F7441" s="140"/>
      <c r="G7441" s="140"/>
    </row>
    <row r="7442" spans="2:7" hidden="1">
      <c r="B7442" s="141" t="s">
        <v>18993</v>
      </c>
      <c r="C7442" s="140"/>
      <c r="D7442" s="141" t="s">
        <v>10787</v>
      </c>
      <c r="E7442" s="140"/>
      <c r="F7442" s="140"/>
      <c r="G7442" s="140"/>
    </row>
    <row r="7443" spans="2:7" hidden="1">
      <c r="B7443" s="141" t="s">
        <v>18994</v>
      </c>
      <c r="C7443" s="140"/>
      <c r="D7443" s="141" t="s">
        <v>3121</v>
      </c>
      <c r="E7443" s="140"/>
      <c r="F7443" s="140"/>
      <c r="G7443" s="140"/>
    </row>
    <row r="7444" spans="2:7" hidden="1">
      <c r="B7444" s="141" t="s">
        <v>18995</v>
      </c>
      <c r="C7444" s="140" t="s">
        <v>18996</v>
      </c>
      <c r="D7444" s="141" t="s">
        <v>4489</v>
      </c>
      <c r="E7444" s="140"/>
      <c r="F7444" s="140"/>
      <c r="G7444" s="140"/>
    </row>
    <row r="7445" spans="2:7" hidden="1">
      <c r="B7445" s="141" t="s">
        <v>18997</v>
      </c>
      <c r="C7445" s="140"/>
      <c r="D7445" s="141" t="s">
        <v>3171</v>
      </c>
      <c r="E7445" s="140"/>
      <c r="F7445" s="140"/>
      <c r="G7445" s="140"/>
    </row>
    <row r="7446" spans="2:7" hidden="1">
      <c r="B7446" s="141" t="s">
        <v>18998</v>
      </c>
      <c r="C7446" s="141"/>
      <c r="D7446" s="141" t="s">
        <v>18999</v>
      </c>
      <c r="E7446" s="141"/>
      <c r="F7446" s="140"/>
      <c r="G7446" s="140"/>
    </row>
    <row r="7447" spans="2:7" hidden="1">
      <c r="B7447" s="141" t="s">
        <v>19000</v>
      </c>
      <c r="C7447" s="140" t="s">
        <v>19001</v>
      </c>
      <c r="D7447" s="141" t="s">
        <v>19002</v>
      </c>
      <c r="E7447" s="140"/>
      <c r="F7447" s="140"/>
      <c r="G7447" s="140" t="s">
        <v>19003</v>
      </c>
    </row>
    <row r="7448" spans="2:7" hidden="1">
      <c r="B7448" s="141" t="s">
        <v>19004</v>
      </c>
      <c r="C7448" s="140"/>
      <c r="D7448" s="141" t="s">
        <v>19005</v>
      </c>
      <c r="E7448" s="140"/>
      <c r="F7448" s="140"/>
      <c r="G7448" s="140"/>
    </row>
    <row r="7449" spans="2:7" hidden="1">
      <c r="B7449" s="141" t="s">
        <v>19006</v>
      </c>
      <c r="C7449" s="140"/>
      <c r="D7449" s="141" t="s">
        <v>19007</v>
      </c>
      <c r="E7449" s="140"/>
      <c r="F7449" s="140"/>
      <c r="G7449" s="140"/>
    </row>
    <row r="7450" spans="2:7" hidden="1">
      <c r="B7450" s="140" t="s">
        <v>20492</v>
      </c>
      <c r="C7450" s="140" t="s">
        <v>20493</v>
      </c>
      <c r="D7450" s="140" t="s">
        <v>20494</v>
      </c>
      <c r="E7450" s="142" t="s">
        <v>20495</v>
      </c>
      <c r="F7450" s="142"/>
      <c r="G7450" s="140" t="s">
        <v>20496</v>
      </c>
    </row>
    <row r="7451" spans="2:7" hidden="1">
      <c r="B7451" s="140" t="s">
        <v>20483</v>
      </c>
      <c r="C7451" s="140" t="s">
        <v>20484</v>
      </c>
      <c r="D7451" s="140" t="s">
        <v>20485</v>
      </c>
      <c r="E7451" s="142" t="s">
        <v>20486</v>
      </c>
      <c r="F7451" s="142"/>
      <c r="G7451" s="140" t="s">
        <v>20487</v>
      </c>
    </row>
    <row r="7452" spans="2:7" hidden="1">
      <c r="B7452" s="141" t="s">
        <v>19008</v>
      </c>
      <c r="C7452" s="140" t="s">
        <v>9284</v>
      </c>
      <c r="D7452" s="141" t="s">
        <v>19009</v>
      </c>
      <c r="E7452" s="140" t="s">
        <v>19010</v>
      </c>
      <c r="F7452" s="140"/>
      <c r="G7452" s="140" t="s">
        <v>7372</v>
      </c>
    </row>
    <row r="7453" spans="2:7" hidden="1">
      <c r="B7453" s="141" t="s">
        <v>19011</v>
      </c>
      <c r="C7453" s="140"/>
      <c r="D7453" s="141" t="s">
        <v>15190</v>
      </c>
      <c r="E7453" s="140"/>
      <c r="F7453" s="140"/>
      <c r="G7453" s="140"/>
    </row>
    <row r="7454" spans="2:7" hidden="1">
      <c r="B7454" s="141" t="s">
        <v>19012</v>
      </c>
      <c r="C7454" s="140" t="s">
        <v>19013</v>
      </c>
      <c r="D7454" s="141" t="s">
        <v>15201</v>
      </c>
      <c r="E7454" s="140"/>
      <c r="F7454" s="140"/>
      <c r="G7454" s="140"/>
    </row>
    <row r="7455" spans="2:7" hidden="1">
      <c r="B7455" s="141" t="s">
        <v>19014</v>
      </c>
      <c r="C7455" s="140"/>
      <c r="D7455" s="141" t="s">
        <v>19015</v>
      </c>
      <c r="E7455" s="140"/>
      <c r="F7455" s="140"/>
      <c r="G7455" s="140"/>
    </row>
    <row r="7456" spans="2:7" hidden="1">
      <c r="B7456" s="141" t="s">
        <v>19016</v>
      </c>
      <c r="C7456" s="140"/>
      <c r="D7456" s="141" t="s">
        <v>19017</v>
      </c>
      <c r="E7456" s="140"/>
      <c r="F7456" s="140"/>
      <c r="G7456" s="140"/>
    </row>
    <row r="7457" spans="2:7" hidden="1">
      <c r="B7457" s="141" t="s">
        <v>19018</v>
      </c>
      <c r="C7457" s="140"/>
      <c r="D7457" s="141" t="s">
        <v>19019</v>
      </c>
      <c r="E7457" s="140"/>
      <c r="F7457" s="140"/>
      <c r="G7457" s="140"/>
    </row>
    <row r="7458" spans="2:7" hidden="1">
      <c r="B7458" s="141" t="s">
        <v>19020</v>
      </c>
      <c r="C7458" s="140"/>
      <c r="D7458" s="141" t="s">
        <v>19021</v>
      </c>
      <c r="E7458" s="140"/>
      <c r="F7458" s="140"/>
      <c r="G7458" s="140"/>
    </row>
    <row r="7459" spans="2:7" hidden="1">
      <c r="B7459" s="141" t="s">
        <v>18470</v>
      </c>
      <c r="C7459" s="140" t="s">
        <v>19022</v>
      </c>
      <c r="D7459" s="141" t="s">
        <v>19023</v>
      </c>
      <c r="E7459" s="140" t="s">
        <v>19024</v>
      </c>
      <c r="F7459" s="140" t="s">
        <v>19025</v>
      </c>
      <c r="G7459" s="140"/>
    </row>
    <row r="7460" spans="2:7" hidden="1">
      <c r="B7460" s="141" t="s">
        <v>19026</v>
      </c>
      <c r="C7460" s="140" t="s">
        <v>19027</v>
      </c>
      <c r="D7460" s="141" t="s">
        <v>19028</v>
      </c>
      <c r="E7460" s="140" t="s">
        <v>19029</v>
      </c>
      <c r="F7460" s="140"/>
      <c r="G7460" s="140"/>
    </row>
    <row r="7461" spans="2:7" hidden="1">
      <c r="B7461" s="141" t="s">
        <v>19030</v>
      </c>
      <c r="C7461" s="140" t="s">
        <v>19031</v>
      </c>
      <c r="D7461" s="141" t="s">
        <v>19032</v>
      </c>
      <c r="E7461" s="140" t="s">
        <v>19033</v>
      </c>
      <c r="F7461" s="140" t="s">
        <v>19034</v>
      </c>
      <c r="G7461" s="140" t="s">
        <v>19035</v>
      </c>
    </row>
    <row r="7462" spans="2:7" hidden="1">
      <c r="B7462" s="141" t="s">
        <v>19036</v>
      </c>
      <c r="C7462" s="140"/>
      <c r="D7462" s="141" t="s">
        <v>4124</v>
      </c>
      <c r="E7462" s="140"/>
      <c r="F7462" s="140"/>
      <c r="G7462" s="140"/>
    </row>
    <row r="7463" spans="2:7" hidden="1">
      <c r="B7463" s="141" t="s">
        <v>19037</v>
      </c>
      <c r="C7463" s="140"/>
      <c r="D7463" s="141" t="s">
        <v>8201</v>
      </c>
      <c r="E7463" s="140"/>
      <c r="F7463" s="140"/>
      <c r="G7463" s="140"/>
    </row>
    <row r="7464" spans="2:7" hidden="1">
      <c r="B7464" s="141" t="s">
        <v>19038</v>
      </c>
      <c r="C7464" s="140"/>
      <c r="D7464" s="141" t="s">
        <v>9316</v>
      </c>
      <c r="E7464" s="140"/>
      <c r="F7464" s="140"/>
      <c r="G7464" s="140"/>
    </row>
    <row r="7465" spans="2:7" hidden="1">
      <c r="B7465" s="140" t="s">
        <v>19039</v>
      </c>
      <c r="C7465" s="141"/>
      <c r="D7465" s="141" t="s">
        <v>19040</v>
      </c>
      <c r="E7465" s="141"/>
      <c r="F7465" s="141"/>
      <c r="G7465" s="140"/>
    </row>
    <row r="7466" spans="2:7" hidden="1">
      <c r="B7466" s="140" t="s">
        <v>19041</v>
      </c>
      <c r="C7466" s="140"/>
      <c r="D7466" s="140" t="s">
        <v>19042</v>
      </c>
      <c r="E7466" s="140"/>
      <c r="F7466" s="140"/>
      <c r="G7466" s="140"/>
    </row>
    <row r="7467" spans="2:7" hidden="1">
      <c r="B7467" s="140" t="s">
        <v>19043</v>
      </c>
      <c r="C7467" s="140"/>
      <c r="D7467" s="140" t="s">
        <v>3355</v>
      </c>
      <c r="E7467" s="142"/>
      <c r="F7467" s="142"/>
      <c r="G7467" s="140"/>
    </row>
    <row r="7468" spans="2:7" hidden="1">
      <c r="B7468" s="141" t="s">
        <v>19044</v>
      </c>
      <c r="C7468" s="140"/>
      <c r="D7468" s="141" t="s">
        <v>4565</v>
      </c>
      <c r="E7468" s="140"/>
      <c r="F7468" s="140"/>
      <c r="G7468" s="140"/>
    </row>
    <row r="7469" spans="2:7" hidden="1">
      <c r="B7469" s="140" t="s">
        <v>19045</v>
      </c>
      <c r="C7469" s="140"/>
      <c r="D7469" s="140" t="s">
        <v>3355</v>
      </c>
      <c r="E7469" s="140"/>
      <c r="F7469" s="140"/>
      <c r="G7469" s="140"/>
    </row>
    <row r="7470" spans="2:7" hidden="1">
      <c r="B7470" s="141" t="s">
        <v>19046</v>
      </c>
      <c r="C7470" s="140"/>
      <c r="D7470" s="141" t="s">
        <v>9584</v>
      </c>
      <c r="E7470" s="140"/>
      <c r="F7470" s="140"/>
      <c r="G7470" s="140"/>
    </row>
    <row r="7471" spans="2:7" hidden="1">
      <c r="B7471" s="141" t="s">
        <v>19047</v>
      </c>
      <c r="C7471" s="140"/>
      <c r="D7471" s="141" t="s">
        <v>8201</v>
      </c>
      <c r="E7471" s="140"/>
      <c r="F7471" s="140"/>
      <c r="G7471" s="140"/>
    </row>
    <row r="7472" spans="2:7" hidden="1">
      <c r="B7472" s="141" t="s">
        <v>19048</v>
      </c>
      <c r="C7472" s="140"/>
      <c r="D7472" s="141" t="s">
        <v>19049</v>
      </c>
      <c r="E7472" s="140"/>
      <c r="F7472" s="140"/>
      <c r="G7472" s="140"/>
    </row>
    <row r="7473" spans="2:7" hidden="1">
      <c r="B7473" s="141" t="s">
        <v>19050</v>
      </c>
      <c r="C7473" s="140"/>
      <c r="D7473" s="141" t="s">
        <v>19051</v>
      </c>
      <c r="E7473" s="140"/>
      <c r="F7473" s="140"/>
      <c r="G7473" s="140"/>
    </row>
    <row r="7474" spans="2:7" hidden="1">
      <c r="B7474" s="140" t="s">
        <v>19052</v>
      </c>
      <c r="C7474" s="140"/>
      <c r="D7474" s="140" t="s">
        <v>19053</v>
      </c>
      <c r="E7474" s="142"/>
      <c r="F7474" s="142"/>
      <c r="G7474" s="140"/>
    </row>
    <row r="7475" spans="2:7" hidden="1">
      <c r="B7475" s="140" t="s">
        <v>19054</v>
      </c>
      <c r="C7475" s="140"/>
      <c r="D7475" s="140" t="s">
        <v>19055</v>
      </c>
      <c r="E7475" s="142"/>
      <c r="F7475" s="142"/>
      <c r="G7475" s="140"/>
    </row>
    <row r="7476" spans="2:7" hidden="1">
      <c r="B7476" s="141" t="s">
        <v>19056</v>
      </c>
      <c r="C7476" s="140"/>
      <c r="D7476" s="141" t="s">
        <v>2466</v>
      </c>
      <c r="E7476" s="140"/>
      <c r="F7476" s="140"/>
      <c r="G7476" s="140"/>
    </row>
    <row r="7477" spans="2:7" hidden="1">
      <c r="B7477" s="141" t="s">
        <v>19057</v>
      </c>
      <c r="C7477" s="141" t="s">
        <v>19058</v>
      </c>
      <c r="D7477" s="141" t="s">
        <v>19059</v>
      </c>
      <c r="E7477" s="141" t="s">
        <v>19060</v>
      </c>
      <c r="F7477" s="140"/>
      <c r="G7477" s="140"/>
    </row>
    <row r="7478" spans="2:7" hidden="1">
      <c r="B7478" s="141" t="s">
        <v>19061</v>
      </c>
      <c r="C7478" s="140" t="s">
        <v>19062</v>
      </c>
      <c r="D7478" s="141" t="s">
        <v>19063</v>
      </c>
      <c r="E7478" s="140" t="s">
        <v>19064</v>
      </c>
      <c r="F7478" s="140"/>
      <c r="G7478" s="140"/>
    </row>
    <row r="7479" spans="2:7" hidden="1">
      <c r="B7479" s="141" t="s">
        <v>19065</v>
      </c>
      <c r="C7479" s="141" t="s">
        <v>19066</v>
      </c>
      <c r="D7479" s="141" t="s">
        <v>19067</v>
      </c>
      <c r="E7479" s="141"/>
      <c r="F7479" s="141"/>
      <c r="G7479" s="140"/>
    </row>
    <row r="7480" spans="2:7" hidden="1">
      <c r="B7480" s="140" t="s">
        <v>19068</v>
      </c>
      <c r="C7480" s="140"/>
      <c r="D7480" s="140" t="s">
        <v>5116</v>
      </c>
      <c r="E7480" s="140"/>
      <c r="F7480" s="140"/>
      <c r="G7480" s="140"/>
    </row>
    <row r="7481" spans="2:7" hidden="1">
      <c r="B7481" s="141" t="s">
        <v>19069</v>
      </c>
      <c r="C7481" s="140"/>
      <c r="D7481" s="141" t="s">
        <v>1870</v>
      </c>
      <c r="E7481" s="140"/>
      <c r="F7481" s="140"/>
      <c r="G7481" s="140"/>
    </row>
    <row r="7482" spans="2:7" hidden="1">
      <c r="B7482" s="141" t="s">
        <v>19070</v>
      </c>
      <c r="C7482" s="141"/>
      <c r="D7482" s="141" t="s">
        <v>3355</v>
      </c>
      <c r="E7482" s="141"/>
      <c r="F7482" s="141"/>
      <c r="G7482" s="140"/>
    </row>
    <row r="7483" spans="2:7" hidden="1">
      <c r="B7483" s="140" t="s">
        <v>19071</v>
      </c>
      <c r="C7483" s="140"/>
      <c r="D7483" s="140" t="s">
        <v>7055</v>
      </c>
      <c r="E7483" s="140"/>
      <c r="F7483" s="140"/>
      <c r="G7483" s="140"/>
    </row>
    <row r="7484" spans="2:7" hidden="1">
      <c r="B7484" s="140" t="s">
        <v>19072</v>
      </c>
      <c r="C7484" s="140"/>
      <c r="D7484" s="140" t="s">
        <v>19073</v>
      </c>
      <c r="E7484" s="140"/>
      <c r="F7484" s="140"/>
      <c r="G7484" s="140"/>
    </row>
    <row r="7485" spans="2:7" hidden="1">
      <c r="B7485" s="141" t="s">
        <v>19074</v>
      </c>
      <c r="C7485" s="140"/>
      <c r="D7485" s="141" t="s">
        <v>4210</v>
      </c>
      <c r="E7485" s="140"/>
      <c r="F7485" s="140"/>
      <c r="G7485" s="140"/>
    </row>
    <row r="7486" spans="2:7" hidden="1">
      <c r="B7486" s="141" t="s">
        <v>22031</v>
      </c>
      <c r="C7486" s="140"/>
      <c r="D7486" s="141" t="s">
        <v>19075</v>
      </c>
      <c r="E7486" s="140"/>
      <c r="F7486" s="140"/>
      <c r="G7486" s="140"/>
    </row>
    <row r="7487" spans="2:7" hidden="1">
      <c r="B7487" s="140" t="s">
        <v>19076</v>
      </c>
      <c r="C7487" s="140"/>
      <c r="D7487" s="140" t="s">
        <v>2102</v>
      </c>
      <c r="E7487" s="140"/>
      <c r="F7487" s="140"/>
      <c r="G7487" s="140"/>
    </row>
    <row r="7488" spans="2:7" hidden="1">
      <c r="B7488" s="141" t="s">
        <v>19077</v>
      </c>
      <c r="C7488" s="140" t="s">
        <v>19078</v>
      </c>
      <c r="D7488" s="141" t="s">
        <v>1153</v>
      </c>
      <c r="E7488" s="140" t="s">
        <v>19079</v>
      </c>
      <c r="F7488" s="140" t="s">
        <v>19080</v>
      </c>
      <c r="G7488" s="140"/>
    </row>
    <row r="7489" spans="2:7" hidden="1">
      <c r="B7489" s="140" t="s">
        <v>19081</v>
      </c>
      <c r="C7489" s="140" t="s">
        <v>19082</v>
      </c>
      <c r="D7489" s="140" t="s">
        <v>3524</v>
      </c>
      <c r="E7489" s="142" t="s">
        <v>19083</v>
      </c>
      <c r="F7489" s="142" t="s">
        <v>19084</v>
      </c>
      <c r="G7489" s="140"/>
    </row>
    <row r="7490" spans="2:7" hidden="1">
      <c r="B7490" s="141" t="s">
        <v>19085</v>
      </c>
      <c r="C7490" s="141"/>
      <c r="D7490" s="141" t="s">
        <v>19086</v>
      </c>
      <c r="E7490" s="141"/>
      <c r="F7490" s="141"/>
    </row>
    <row r="7491" spans="2:7" hidden="1">
      <c r="B7491" s="141" t="s">
        <v>20203</v>
      </c>
      <c r="C7491" s="140" t="s">
        <v>11227</v>
      </c>
      <c r="D7491" s="141" t="s">
        <v>16855</v>
      </c>
      <c r="E7491" s="140" t="s">
        <v>16856</v>
      </c>
      <c r="F7491" s="140" t="s">
        <v>16857</v>
      </c>
      <c r="G7491" s="140" t="s">
        <v>20204</v>
      </c>
    </row>
    <row r="7492" spans="2:7" hidden="1">
      <c r="B7492" s="141" t="s">
        <v>19087</v>
      </c>
      <c r="C7492" s="141"/>
      <c r="D7492" s="141" t="s">
        <v>6155</v>
      </c>
      <c r="E7492" s="141"/>
      <c r="F7492" s="140"/>
      <c r="G7492" s="140"/>
    </row>
    <row r="7493" spans="2:7" hidden="1">
      <c r="B7493" s="141" t="s">
        <v>19088</v>
      </c>
      <c r="C7493" s="140"/>
      <c r="D7493" s="141" t="s">
        <v>5089</v>
      </c>
      <c r="E7493" s="140"/>
      <c r="F7493" s="140"/>
      <c r="G7493" s="140"/>
    </row>
    <row r="7494" spans="2:7" hidden="1">
      <c r="B7494" s="141" t="s">
        <v>19089</v>
      </c>
      <c r="C7494" s="140"/>
      <c r="D7494" s="141" t="s">
        <v>19090</v>
      </c>
      <c r="E7494" s="140"/>
      <c r="F7494" s="140"/>
      <c r="G7494" s="140"/>
    </row>
    <row r="7495" spans="2:7" hidden="1">
      <c r="B7495" s="141" t="s">
        <v>19091</v>
      </c>
      <c r="C7495" s="140"/>
      <c r="D7495" s="141" t="s">
        <v>19092</v>
      </c>
      <c r="E7495" s="140"/>
      <c r="F7495" s="140"/>
      <c r="G7495" s="140"/>
    </row>
    <row r="7496" spans="2:7" hidden="1">
      <c r="B7496" s="141" t="s">
        <v>19093</v>
      </c>
      <c r="C7496" s="140"/>
      <c r="D7496" s="141" t="s">
        <v>19094</v>
      </c>
      <c r="E7496" s="140"/>
      <c r="F7496" s="140"/>
      <c r="G7496" s="140"/>
    </row>
    <row r="7497" spans="2:7" hidden="1">
      <c r="B7497" s="141" t="s">
        <v>19095</v>
      </c>
      <c r="C7497" s="140"/>
      <c r="D7497" s="141" t="s">
        <v>19096</v>
      </c>
      <c r="E7497" s="140"/>
      <c r="F7497" s="140"/>
      <c r="G7497" s="140"/>
    </row>
    <row r="7498" spans="2:7" hidden="1">
      <c r="B7498" s="141" t="s">
        <v>19097</v>
      </c>
      <c r="C7498" s="140"/>
      <c r="D7498" s="141" t="s">
        <v>19098</v>
      </c>
      <c r="E7498" s="140"/>
      <c r="F7498" s="140"/>
      <c r="G7498" s="140"/>
    </row>
    <row r="7499" spans="2:7" hidden="1">
      <c r="B7499" s="141" t="s">
        <v>19099</v>
      </c>
      <c r="C7499" s="140"/>
      <c r="D7499" s="141" t="s">
        <v>19100</v>
      </c>
      <c r="E7499" s="140"/>
      <c r="F7499" s="140"/>
      <c r="G7499" s="140"/>
    </row>
    <row r="7500" spans="2:7" hidden="1">
      <c r="B7500" s="141" t="s">
        <v>19101</v>
      </c>
      <c r="C7500" s="140"/>
      <c r="D7500" s="141" t="s">
        <v>19102</v>
      </c>
      <c r="E7500" s="140"/>
      <c r="F7500" s="140"/>
      <c r="G7500" s="140"/>
    </row>
    <row r="7501" spans="2:7" hidden="1">
      <c r="B7501" s="141" t="s">
        <v>19103</v>
      </c>
      <c r="C7501" s="140" t="s">
        <v>19104</v>
      </c>
      <c r="D7501" s="141" t="s">
        <v>19105</v>
      </c>
      <c r="E7501" s="140" t="s">
        <v>19106</v>
      </c>
      <c r="F7501" s="140" t="s">
        <v>19107</v>
      </c>
      <c r="G7501" s="140"/>
    </row>
    <row r="7502" spans="2:7" hidden="1">
      <c r="B7502" s="140" t="s">
        <v>22211</v>
      </c>
      <c r="C7502" s="140" t="s">
        <v>22212</v>
      </c>
      <c r="D7502" s="140" t="s">
        <v>22213</v>
      </c>
      <c r="E7502" s="142"/>
      <c r="F7502" s="142"/>
      <c r="G7502" s="140"/>
    </row>
    <row r="7503" spans="2:7" hidden="1">
      <c r="B7503" s="140" t="s">
        <v>19110</v>
      </c>
      <c r="C7503" s="140" t="s">
        <v>21202</v>
      </c>
      <c r="D7503" s="140" t="s">
        <v>21201</v>
      </c>
      <c r="E7503" s="142"/>
      <c r="F7503" s="142"/>
      <c r="G7503" s="140" t="s">
        <v>21200</v>
      </c>
    </row>
    <row r="7504" spans="2:7" hidden="1">
      <c r="B7504" s="140" t="s">
        <v>21332</v>
      </c>
      <c r="C7504" s="140" t="s">
        <v>21331</v>
      </c>
      <c r="D7504" s="140" t="s">
        <v>21330</v>
      </c>
      <c r="E7504" s="142" t="s">
        <v>21333</v>
      </c>
      <c r="F7504" s="142"/>
      <c r="G7504" s="140"/>
    </row>
    <row r="7505" spans="2:7" hidden="1">
      <c r="B7505" s="141" t="s">
        <v>21195</v>
      </c>
      <c r="C7505" s="140" t="s">
        <v>21205</v>
      </c>
      <c r="D7505" s="141" t="s">
        <v>14599</v>
      </c>
      <c r="E7505" s="140"/>
      <c r="F7505" s="140"/>
      <c r="G7505" s="140"/>
    </row>
    <row r="7506" spans="2:7" hidden="1">
      <c r="B7506" s="141" t="s">
        <v>21194</v>
      </c>
      <c r="C7506" s="141" t="s">
        <v>19120</v>
      </c>
      <c r="D7506" s="141" t="s">
        <v>19121</v>
      </c>
      <c r="E7506" s="141"/>
      <c r="F7506" s="140"/>
      <c r="G7506" s="140"/>
    </row>
    <row r="7507" spans="2:7" hidden="1">
      <c r="B7507" s="141" t="s">
        <v>19111</v>
      </c>
      <c r="C7507" s="140" t="s">
        <v>19112</v>
      </c>
      <c r="D7507" s="141" t="s">
        <v>3905</v>
      </c>
      <c r="E7507" s="140" t="s">
        <v>19113</v>
      </c>
      <c r="F7507" s="140"/>
      <c r="G7507" s="140"/>
    </row>
    <row r="7508" spans="2:7" hidden="1">
      <c r="B7508" s="141" t="s">
        <v>21209</v>
      </c>
      <c r="C7508" s="141" t="s">
        <v>19124</v>
      </c>
      <c r="D7508" s="141" t="s">
        <v>19125</v>
      </c>
      <c r="E7508" s="141"/>
      <c r="F7508" s="140"/>
      <c r="G7508" s="140"/>
    </row>
    <row r="7509" spans="2:7" hidden="1">
      <c r="B7509" s="141" t="s">
        <v>19114</v>
      </c>
      <c r="C7509" s="140"/>
      <c r="D7509" s="141" t="s">
        <v>19115</v>
      </c>
      <c r="E7509" s="140"/>
      <c r="F7509" s="140"/>
      <c r="G7509" s="140"/>
    </row>
    <row r="7510" spans="2:7" hidden="1">
      <c r="B7510" s="141" t="s">
        <v>19116</v>
      </c>
      <c r="C7510" s="140"/>
      <c r="D7510" s="141" t="s">
        <v>1563</v>
      </c>
      <c r="E7510" s="140"/>
      <c r="F7510" s="140"/>
      <c r="G7510" s="140"/>
    </row>
    <row r="7511" spans="2:7" hidden="1">
      <c r="B7511" s="141" t="s">
        <v>20205</v>
      </c>
      <c r="C7511" s="140" t="s">
        <v>19108</v>
      </c>
      <c r="D7511" s="141" t="s">
        <v>19109</v>
      </c>
      <c r="E7511" s="140"/>
      <c r="F7511" s="140"/>
      <c r="G7511" s="140"/>
    </row>
    <row r="7512" spans="2:7" hidden="1">
      <c r="B7512" s="140" t="s">
        <v>21196</v>
      </c>
      <c r="C7512" s="140" t="s">
        <v>21198</v>
      </c>
      <c r="D7512" s="140" t="s">
        <v>21197</v>
      </c>
      <c r="E7512" s="142" t="s">
        <v>21199</v>
      </c>
      <c r="F7512" s="142"/>
      <c r="G7512" s="140" t="s">
        <v>21200</v>
      </c>
    </row>
    <row r="7513" spans="2:7" hidden="1">
      <c r="B7513" s="141" t="s">
        <v>21210</v>
      </c>
      <c r="C7513" s="140"/>
      <c r="D7513" s="141" t="s">
        <v>19123</v>
      </c>
      <c r="E7513" s="140"/>
      <c r="F7513" s="140"/>
      <c r="G7513" s="140"/>
    </row>
    <row r="7514" spans="2:7" hidden="1">
      <c r="B7514" s="141" t="s">
        <v>21211</v>
      </c>
      <c r="C7514" s="140"/>
      <c r="D7514" s="141" t="s">
        <v>9401</v>
      </c>
      <c r="E7514" s="140"/>
      <c r="F7514" s="140"/>
      <c r="G7514" s="140"/>
    </row>
    <row r="7515" spans="2:7" hidden="1">
      <c r="B7515" s="140" t="s">
        <v>21207</v>
      </c>
      <c r="C7515" s="140" t="s">
        <v>21204</v>
      </c>
      <c r="D7515" s="140" t="s">
        <v>21203</v>
      </c>
      <c r="E7515" s="142"/>
      <c r="F7515" s="142"/>
      <c r="G7515" s="140" t="s">
        <v>21200</v>
      </c>
    </row>
    <row r="7516" spans="2:7" hidden="1">
      <c r="B7516" s="141" t="s">
        <v>21208</v>
      </c>
      <c r="C7516" s="140" t="s">
        <v>19118</v>
      </c>
      <c r="D7516" s="141" t="s">
        <v>10806</v>
      </c>
      <c r="E7516" s="140"/>
      <c r="F7516" s="140"/>
      <c r="G7516" s="140"/>
    </row>
    <row r="7517" spans="2:7" hidden="1">
      <c r="B7517" s="141" t="s">
        <v>19117</v>
      </c>
      <c r="C7517" s="141"/>
      <c r="D7517" s="141" t="s">
        <v>11208</v>
      </c>
      <c r="E7517" s="141"/>
      <c r="F7517" s="141"/>
      <c r="G7517" s="140"/>
    </row>
    <row r="7518" spans="2:7" hidden="1">
      <c r="B7518" s="141" t="s">
        <v>21212</v>
      </c>
      <c r="C7518" s="140"/>
      <c r="D7518" s="141" t="s">
        <v>19122</v>
      </c>
      <c r="E7518" s="140"/>
      <c r="F7518" s="140"/>
      <c r="G7518" s="140"/>
    </row>
    <row r="7519" spans="2:7" hidden="1">
      <c r="B7519" s="141" t="s">
        <v>21193</v>
      </c>
      <c r="C7519" s="140"/>
      <c r="D7519" s="141" t="s">
        <v>19119</v>
      </c>
      <c r="E7519" s="140"/>
      <c r="F7519" s="140"/>
      <c r="G7519" s="140"/>
    </row>
    <row r="7520" spans="2:7" hidden="1">
      <c r="B7520" s="141" t="s">
        <v>19126</v>
      </c>
      <c r="C7520" s="140"/>
      <c r="D7520" s="141" t="s">
        <v>19127</v>
      </c>
      <c r="E7520" s="140"/>
      <c r="F7520" s="140"/>
      <c r="G7520" s="140"/>
    </row>
    <row r="7521" spans="2:7" hidden="1">
      <c r="B7521" s="141" t="s">
        <v>19128</v>
      </c>
      <c r="C7521" s="141"/>
      <c r="D7521" s="141" t="s">
        <v>10466</v>
      </c>
      <c r="E7521" s="141"/>
      <c r="F7521" s="141"/>
      <c r="G7521" s="140"/>
    </row>
    <row r="7522" spans="2:7" hidden="1">
      <c r="B7522" s="141" t="s">
        <v>19129</v>
      </c>
      <c r="C7522" s="140"/>
      <c r="D7522" s="141" t="s">
        <v>7522</v>
      </c>
      <c r="E7522" s="140"/>
      <c r="F7522" s="140"/>
      <c r="G7522" s="140"/>
    </row>
    <row r="7523" spans="2:7" hidden="1">
      <c r="B7523" s="140" t="s">
        <v>19130</v>
      </c>
      <c r="C7523" s="140" t="s">
        <v>19131</v>
      </c>
      <c r="D7523" s="140" t="s">
        <v>19132</v>
      </c>
      <c r="E7523" s="142" t="s">
        <v>19133</v>
      </c>
      <c r="F7523" s="142" t="s">
        <v>19134</v>
      </c>
      <c r="G7523" s="140"/>
    </row>
    <row r="7524" spans="2:7" hidden="1">
      <c r="B7524" s="141" t="s">
        <v>19135</v>
      </c>
      <c r="C7524" s="140"/>
      <c r="D7524" s="141" t="s">
        <v>19136</v>
      </c>
      <c r="E7524" s="140"/>
      <c r="F7524" s="140"/>
      <c r="G7524" s="140"/>
    </row>
    <row r="7525" spans="2:7" hidden="1">
      <c r="B7525" s="141" t="s">
        <v>19137</v>
      </c>
      <c r="C7525" s="141"/>
      <c r="D7525" s="141" t="s">
        <v>1934</v>
      </c>
      <c r="E7525" s="140"/>
      <c r="F7525" s="140"/>
      <c r="G7525" s="140"/>
    </row>
    <row r="7526" spans="2:7" hidden="1">
      <c r="B7526" s="141" t="s">
        <v>19138</v>
      </c>
      <c r="C7526" s="141" t="s">
        <v>19139</v>
      </c>
      <c r="D7526" s="141" t="s">
        <v>6218</v>
      </c>
      <c r="E7526" s="141" t="s">
        <v>19140</v>
      </c>
      <c r="F7526" s="140"/>
      <c r="G7526" s="140"/>
    </row>
    <row r="7527" spans="2:7" hidden="1">
      <c r="B7527" s="141" t="s">
        <v>19141</v>
      </c>
      <c r="C7527" s="141" t="s">
        <v>19142</v>
      </c>
      <c r="D7527" s="141" t="s">
        <v>9584</v>
      </c>
      <c r="E7527" s="141" t="s">
        <v>19143</v>
      </c>
      <c r="F7527" s="141" t="s">
        <v>19144</v>
      </c>
      <c r="G7527" s="140"/>
    </row>
    <row r="7528" spans="2:7" hidden="1">
      <c r="B7528" s="141" t="s">
        <v>19145</v>
      </c>
      <c r="C7528" s="140"/>
      <c r="D7528" s="141" t="s">
        <v>19146</v>
      </c>
      <c r="E7528" s="140"/>
      <c r="F7528" s="140"/>
      <c r="G7528" s="140"/>
    </row>
    <row r="7529" spans="2:7" hidden="1">
      <c r="B7529" s="140" t="s">
        <v>19147</v>
      </c>
      <c r="C7529" s="140"/>
      <c r="D7529" s="140" t="s">
        <v>19148</v>
      </c>
      <c r="E7529" s="140"/>
      <c r="F7529" s="140"/>
      <c r="G7529" s="140"/>
    </row>
    <row r="7530" spans="2:7" hidden="1">
      <c r="B7530" s="140" t="s">
        <v>19149</v>
      </c>
      <c r="C7530" s="140"/>
      <c r="D7530" s="140" t="s">
        <v>15613</v>
      </c>
      <c r="E7530" s="142"/>
      <c r="F7530" s="142"/>
      <c r="G7530" s="140"/>
    </row>
    <row r="7531" spans="2:7" hidden="1">
      <c r="B7531" s="140" t="s">
        <v>19150</v>
      </c>
      <c r="C7531" s="140"/>
      <c r="D7531" s="140" t="s">
        <v>6905</v>
      </c>
      <c r="E7531" s="142"/>
      <c r="F7531" s="142"/>
      <c r="G7531" s="140"/>
    </row>
    <row r="7532" spans="2:7" hidden="1">
      <c r="B7532" s="140" t="s">
        <v>22032</v>
      </c>
      <c r="C7532" s="140"/>
      <c r="D7532" s="140" t="s">
        <v>19151</v>
      </c>
      <c r="E7532" s="142"/>
      <c r="F7532" s="142"/>
      <c r="G7532" s="140"/>
    </row>
    <row r="7533" spans="2:7" hidden="1">
      <c r="B7533" s="140" t="s">
        <v>19152</v>
      </c>
      <c r="C7533" s="140" t="s">
        <v>19153</v>
      </c>
      <c r="D7533" s="140" t="s">
        <v>13593</v>
      </c>
      <c r="E7533" s="142"/>
      <c r="F7533" s="142"/>
      <c r="G7533" s="140"/>
    </row>
    <row r="7534" spans="2:7" hidden="1">
      <c r="B7534" s="140" t="s">
        <v>19154</v>
      </c>
      <c r="C7534" s="140"/>
      <c r="D7534" s="140" t="s">
        <v>1213</v>
      </c>
      <c r="E7534" s="142"/>
      <c r="F7534" s="142"/>
      <c r="G7534" s="140"/>
    </row>
    <row r="7535" spans="2:7" hidden="1">
      <c r="B7535" s="140" t="s">
        <v>19155</v>
      </c>
      <c r="C7535" s="140"/>
      <c r="D7535" s="140" t="s">
        <v>19156</v>
      </c>
      <c r="E7535" s="142"/>
      <c r="F7535" s="142"/>
      <c r="G7535" s="140"/>
    </row>
    <row r="7536" spans="2:7" hidden="1">
      <c r="B7536" s="140" t="s">
        <v>22033</v>
      </c>
      <c r="C7536" s="140" t="s">
        <v>19157</v>
      </c>
      <c r="D7536" s="140" t="s">
        <v>19158</v>
      </c>
      <c r="E7536" s="142"/>
      <c r="F7536" s="142"/>
      <c r="G7536" s="140" t="s">
        <v>19159</v>
      </c>
    </row>
    <row r="7537" spans="2:7" hidden="1">
      <c r="B7537" s="140" t="s">
        <v>19160</v>
      </c>
      <c r="C7537" s="140"/>
      <c r="D7537" s="140" t="s">
        <v>8186</v>
      </c>
      <c r="E7537" s="142"/>
      <c r="F7537" s="142"/>
      <c r="G7537" s="140"/>
    </row>
    <row r="7538" spans="2:7" hidden="1">
      <c r="B7538" s="140" t="s">
        <v>19161</v>
      </c>
      <c r="C7538" s="140"/>
      <c r="D7538" s="140" t="s">
        <v>19162</v>
      </c>
      <c r="E7538" s="142"/>
      <c r="F7538" s="142"/>
      <c r="G7538" s="140"/>
    </row>
    <row r="7539" spans="2:7" hidden="1">
      <c r="B7539" s="141" t="s">
        <v>19163</v>
      </c>
      <c r="C7539" s="140"/>
      <c r="D7539" s="141" t="s">
        <v>6141</v>
      </c>
      <c r="E7539" s="140"/>
      <c r="F7539" s="140"/>
      <c r="G7539" s="140"/>
    </row>
    <row r="7540" spans="2:7" hidden="1">
      <c r="B7540" s="141" t="s">
        <v>19164</v>
      </c>
      <c r="C7540" s="140" t="s">
        <v>19165</v>
      </c>
      <c r="D7540" s="141" t="s">
        <v>19166</v>
      </c>
      <c r="E7540" s="140" t="s">
        <v>19167</v>
      </c>
      <c r="F7540" s="140" t="s">
        <v>19168</v>
      </c>
      <c r="G7540" s="140" t="s">
        <v>19169</v>
      </c>
    </row>
    <row r="7541" spans="2:7" hidden="1">
      <c r="B7541" s="140" t="s">
        <v>19170</v>
      </c>
      <c r="C7541" s="140"/>
      <c r="D7541" s="140" t="s">
        <v>6332</v>
      </c>
      <c r="E7541" s="142"/>
      <c r="F7541" s="142"/>
      <c r="G7541" s="140"/>
    </row>
    <row r="7542" spans="2:7" hidden="1">
      <c r="B7542" s="140" t="s">
        <v>19171</v>
      </c>
      <c r="C7542" s="140" t="s">
        <v>19172</v>
      </c>
      <c r="D7542" s="140" t="s">
        <v>19173</v>
      </c>
      <c r="E7542" s="142"/>
      <c r="F7542" s="142"/>
      <c r="G7542" s="140"/>
    </row>
    <row r="7543" spans="2:7" hidden="1">
      <c r="B7543" s="140" t="s">
        <v>19174</v>
      </c>
      <c r="C7543" s="140"/>
      <c r="D7543" s="140" t="s">
        <v>2045</v>
      </c>
      <c r="E7543" s="140"/>
      <c r="F7543" s="140"/>
      <c r="G7543" s="140"/>
    </row>
    <row r="7544" spans="2:7" hidden="1">
      <c r="B7544" s="140" t="s">
        <v>19175</v>
      </c>
      <c r="C7544" s="140"/>
      <c r="D7544" s="140" t="s">
        <v>19121</v>
      </c>
      <c r="E7544" s="140"/>
      <c r="F7544" s="140"/>
      <c r="G7544" s="140"/>
    </row>
    <row r="7545" spans="2:7" hidden="1">
      <c r="B7545" s="140" t="s">
        <v>19176</v>
      </c>
      <c r="C7545" s="140"/>
      <c r="D7545" s="140" t="s">
        <v>7224</v>
      </c>
      <c r="E7545" s="142"/>
      <c r="F7545" s="142"/>
      <c r="G7545" s="140"/>
    </row>
    <row r="7546" spans="2:7" hidden="1">
      <c r="B7546" s="140" t="s">
        <v>19177</v>
      </c>
      <c r="C7546" s="140"/>
      <c r="D7546" s="140" t="s">
        <v>7043</v>
      </c>
      <c r="E7546" s="142"/>
      <c r="F7546" s="142"/>
      <c r="G7546" s="140"/>
    </row>
    <row r="7547" spans="2:7" hidden="1">
      <c r="B7547" s="140" t="s">
        <v>19178</v>
      </c>
      <c r="C7547" s="140"/>
      <c r="D7547" s="140" t="s">
        <v>19179</v>
      </c>
      <c r="E7547" s="142"/>
      <c r="F7547" s="142"/>
      <c r="G7547" s="140"/>
    </row>
    <row r="7548" spans="2:7" hidden="1">
      <c r="B7548" s="140" t="s">
        <v>19180</v>
      </c>
      <c r="C7548" s="140"/>
      <c r="D7548" s="140" t="s">
        <v>10522</v>
      </c>
      <c r="E7548" s="142"/>
      <c r="F7548" s="142"/>
      <c r="G7548" s="140"/>
    </row>
    <row r="7549" spans="2:7" hidden="1">
      <c r="B7549" s="140" t="s">
        <v>19181</v>
      </c>
      <c r="C7549" s="140"/>
      <c r="D7549" s="140" t="s">
        <v>19182</v>
      </c>
      <c r="E7549" s="142"/>
      <c r="F7549" s="142"/>
      <c r="G7549" s="140"/>
    </row>
    <row r="7550" spans="2:7" hidden="1">
      <c r="B7550" s="140" t="s">
        <v>22034</v>
      </c>
      <c r="C7550" s="140" t="s">
        <v>19183</v>
      </c>
      <c r="D7550" s="140" t="s">
        <v>9072</v>
      </c>
      <c r="E7550" s="142" t="s">
        <v>19184</v>
      </c>
      <c r="F7550" s="142" t="s">
        <v>19185</v>
      </c>
      <c r="G7550" s="140"/>
    </row>
    <row r="7551" spans="2:7" hidden="1">
      <c r="B7551" s="140" t="s">
        <v>19186</v>
      </c>
      <c r="C7551" s="140" t="s">
        <v>19187</v>
      </c>
      <c r="D7551" s="140" t="s">
        <v>19188</v>
      </c>
      <c r="E7551" s="142" t="s">
        <v>19189</v>
      </c>
      <c r="F7551" s="142" t="s">
        <v>19190</v>
      </c>
      <c r="G7551" s="140"/>
    </row>
    <row r="7552" spans="2:7" hidden="1">
      <c r="B7552" s="140" t="s">
        <v>19191</v>
      </c>
      <c r="C7552" s="140" t="s">
        <v>19192</v>
      </c>
      <c r="D7552" s="140" t="s">
        <v>19193</v>
      </c>
      <c r="E7552" s="142" t="s">
        <v>19194</v>
      </c>
      <c r="F7552" s="142" t="s">
        <v>19195</v>
      </c>
      <c r="G7552" s="140"/>
    </row>
    <row r="7553" spans="2:7" hidden="1">
      <c r="B7553" s="140" t="s">
        <v>19196</v>
      </c>
      <c r="C7553" s="140"/>
      <c r="D7553" s="140" t="s">
        <v>19197</v>
      </c>
      <c r="E7553" s="142"/>
      <c r="F7553" s="142"/>
      <c r="G7553" s="140"/>
    </row>
    <row r="7554" spans="2:7" hidden="1">
      <c r="B7554" s="141" t="s">
        <v>19198</v>
      </c>
      <c r="C7554" s="140"/>
      <c r="D7554" s="141" t="s">
        <v>19199</v>
      </c>
      <c r="E7554" s="140"/>
      <c r="F7554" s="140"/>
      <c r="G7554" s="140"/>
    </row>
    <row r="7555" spans="2:7" hidden="1">
      <c r="B7555" s="141" t="s">
        <v>22126</v>
      </c>
      <c r="C7555" s="140"/>
      <c r="D7555" s="141" t="s">
        <v>10737</v>
      </c>
      <c r="E7555" s="140"/>
      <c r="F7555" s="140"/>
      <c r="G7555" s="140"/>
    </row>
    <row r="7556" spans="2:7" hidden="1">
      <c r="B7556" s="141" t="s">
        <v>19200</v>
      </c>
      <c r="C7556" s="140"/>
      <c r="D7556" s="141" t="s">
        <v>3822</v>
      </c>
      <c r="E7556" s="140"/>
      <c r="F7556" s="140"/>
      <c r="G7556" s="140"/>
    </row>
    <row r="7557" spans="2:7" hidden="1">
      <c r="B7557" s="141" t="s">
        <v>19201</v>
      </c>
      <c r="C7557" s="140" t="s">
        <v>19202</v>
      </c>
      <c r="D7557" s="141" t="s">
        <v>19203</v>
      </c>
      <c r="E7557" s="140"/>
      <c r="F7557" s="140"/>
      <c r="G7557" s="140"/>
    </row>
    <row r="7558" spans="2:7" hidden="1">
      <c r="B7558" s="140" t="s">
        <v>19204</v>
      </c>
      <c r="C7558" s="140" t="s">
        <v>19205</v>
      </c>
      <c r="D7558" s="140" t="s">
        <v>19206</v>
      </c>
      <c r="E7558" s="142"/>
      <c r="F7558" s="197"/>
      <c r="G7558" s="196"/>
    </row>
    <row r="7559" spans="2:7" hidden="1">
      <c r="B7559" s="140" t="s">
        <v>19207</v>
      </c>
      <c r="C7559" s="140" t="s">
        <v>19208</v>
      </c>
      <c r="D7559" s="140" t="s">
        <v>19209</v>
      </c>
      <c r="E7559" s="142"/>
      <c r="F7559" s="197"/>
      <c r="G7559" s="196" t="s">
        <v>5778</v>
      </c>
    </row>
    <row r="7560" spans="2:7" hidden="1">
      <c r="B7560" s="140" t="s">
        <v>19210</v>
      </c>
      <c r="C7560" s="140" t="s">
        <v>19211</v>
      </c>
      <c r="D7560" s="140" t="s">
        <v>19212</v>
      </c>
      <c r="E7560" s="142"/>
      <c r="F7560" s="142"/>
      <c r="G7560" s="140"/>
    </row>
    <row r="7561" spans="2:7" hidden="1">
      <c r="B7561" s="140" t="s">
        <v>19213</v>
      </c>
      <c r="C7561" s="140"/>
      <c r="D7561" s="140" t="s">
        <v>2779</v>
      </c>
      <c r="E7561" s="142"/>
      <c r="F7561" s="142"/>
      <c r="G7561" s="140"/>
    </row>
    <row r="7562" spans="2:7" hidden="1">
      <c r="B7562" s="140" t="s">
        <v>19214</v>
      </c>
      <c r="C7562" s="140" t="s">
        <v>19215</v>
      </c>
      <c r="D7562" s="140" t="s">
        <v>2779</v>
      </c>
      <c r="E7562" s="142" t="s">
        <v>19216</v>
      </c>
      <c r="F7562" s="142"/>
      <c r="G7562" s="140"/>
    </row>
    <row r="7563" spans="2:7" hidden="1">
      <c r="B7563" s="140" t="s">
        <v>19217</v>
      </c>
      <c r="C7563" s="140"/>
      <c r="D7563" s="140" t="s">
        <v>19218</v>
      </c>
      <c r="E7563" s="142"/>
      <c r="F7563" s="142"/>
      <c r="G7563" s="140"/>
    </row>
    <row r="7564" spans="2:7" hidden="1">
      <c r="B7564" s="140" t="s">
        <v>19219</v>
      </c>
      <c r="C7564" s="140"/>
      <c r="D7564" s="140" t="s">
        <v>19220</v>
      </c>
      <c r="E7564" s="142"/>
      <c r="F7564" s="142"/>
      <c r="G7564" s="140"/>
    </row>
    <row r="7565" spans="2:7" hidden="1">
      <c r="B7565" s="140" t="s">
        <v>19221</v>
      </c>
      <c r="C7565" s="140"/>
      <c r="D7565" s="140" t="s">
        <v>9056</v>
      </c>
      <c r="E7565" s="142"/>
      <c r="F7565" s="142"/>
      <c r="G7565" s="140"/>
    </row>
    <row r="7566" spans="2:7" hidden="1">
      <c r="B7566" s="140" t="s">
        <v>22035</v>
      </c>
      <c r="C7566" s="140" t="s">
        <v>19222</v>
      </c>
      <c r="D7566" s="140" t="s">
        <v>3055</v>
      </c>
      <c r="E7566" s="142" t="s">
        <v>19223</v>
      </c>
      <c r="F7566" s="142" t="s">
        <v>19224</v>
      </c>
      <c r="G7566" s="140"/>
    </row>
    <row r="7567" spans="2:7" hidden="1">
      <c r="B7567" s="140" t="s">
        <v>20206</v>
      </c>
      <c r="C7567" s="140" t="s">
        <v>20207</v>
      </c>
      <c r="D7567" s="140" t="s">
        <v>20208</v>
      </c>
      <c r="E7567" s="142"/>
      <c r="F7567" s="142"/>
      <c r="G7567" s="140" t="s">
        <v>20209</v>
      </c>
    </row>
    <row r="7568" spans="2:7" hidden="1">
      <c r="B7568" s="140" t="s">
        <v>21160</v>
      </c>
      <c r="C7568" s="140" t="s">
        <v>21161</v>
      </c>
      <c r="D7568" s="140" t="s">
        <v>3055</v>
      </c>
      <c r="E7568" s="142"/>
      <c r="F7568" s="142"/>
      <c r="G7568" s="140"/>
    </row>
    <row r="7569" spans="2:7" hidden="1">
      <c r="B7569" s="140" t="s">
        <v>19229</v>
      </c>
      <c r="C7569" s="140" t="s">
        <v>19230</v>
      </c>
      <c r="D7569" s="140" t="s">
        <v>19231</v>
      </c>
      <c r="E7569" s="142" t="s">
        <v>6928</v>
      </c>
      <c r="F7569" s="142" t="s">
        <v>6779</v>
      </c>
      <c r="G7569" s="140"/>
    </row>
    <row r="7570" spans="2:7" hidden="1">
      <c r="B7570" s="140" t="s">
        <v>19232</v>
      </c>
      <c r="C7570" s="140" t="s">
        <v>15028</v>
      </c>
      <c r="D7570" s="140" t="s">
        <v>5116</v>
      </c>
      <c r="E7570" s="142" t="s">
        <v>19233</v>
      </c>
      <c r="F7570" s="142" t="s">
        <v>19234</v>
      </c>
      <c r="G7570" s="140"/>
    </row>
    <row r="7571" spans="2:7" hidden="1">
      <c r="B7571" s="140" t="s">
        <v>19235</v>
      </c>
      <c r="C7571" s="140" t="s">
        <v>19236</v>
      </c>
      <c r="D7571" s="140" t="s">
        <v>5120</v>
      </c>
      <c r="E7571" s="142"/>
      <c r="F7571" s="142"/>
      <c r="G7571" s="140"/>
    </row>
    <row r="7572" spans="2:7" hidden="1">
      <c r="B7572" s="140" t="s">
        <v>22135</v>
      </c>
      <c r="C7572" s="140" t="s">
        <v>22136</v>
      </c>
      <c r="D7572" s="140" t="s">
        <v>22137</v>
      </c>
      <c r="E7572" s="142"/>
      <c r="F7572" s="142"/>
      <c r="G7572" s="140"/>
    </row>
    <row r="7573" spans="2:7" hidden="1">
      <c r="B7573" s="140" t="s">
        <v>19237</v>
      </c>
      <c r="C7573" s="140" t="s">
        <v>19238</v>
      </c>
      <c r="D7573" s="140" t="s">
        <v>19239</v>
      </c>
      <c r="E7573" s="142" t="s">
        <v>19240</v>
      </c>
      <c r="F7573" s="142"/>
      <c r="G7573" s="140"/>
    </row>
    <row r="7574" spans="2:7" hidden="1">
      <c r="B7574" s="140" t="s">
        <v>20213</v>
      </c>
      <c r="C7574" s="140" t="s">
        <v>20214</v>
      </c>
      <c r="D7574" s="140" t="s">
        <v>20215</v>
      </c>
      <c r="E7574" s="142" t="s">
        <v>20216</v>
      </c>
      <c r="F7574" s="142"/>
      <c r="G7574" s="140" t="s">
        <v>20217</v>
      </c>
    </row>
    <row r="7575" spans="2:7" hidden="1">
      <c r="B7575" s="140" t="s">
        <v>19241</v>
      </c>
      <c r="C7575" s="140" t="s">
        <v>19242</v>
      </c>
      <c r="D7575" s="140" t="s">
        <v>19243</v>
      </c>
      <c r="E7575" s="142" t="s">
        <v>19244</v>
      </c>
      <c r="F7575" s="142" t="s">
        <v>19245</v>
      </c>
      <c r="G7575" s="140"/>
    </row>
    <row r="7576" spans="2:7" hidden="1">
      <c r="B7576" s="140"/>
      <c r="C7576" s="140"/>
      <c r="D7576" s="140"/>
      <c r="E7576" s="142"/>
      <c r="F7576" s="142"/>
      <c r="G7576" s="140"/>
    </row>
    <row r="7577" spans="2:7" hidden="1">
      <c r="B7577" s="141"/>
      <c r="C7577" s="140"/>
      <c r="D7577" s="141"/>
      <c r="E7577" s="140"/>
      <c r="F7577" s="140"/>
      <c r="G7577" s="140"/>
    </row>
    <row r="7578" spans="2:7" hidden="1">
      <c r="B7578" s="140"/>
      <c r="C7578" s="140"/>
      <c r="D7578" s="140"/>
      <c r="E7578" s="142"/>
      <c r="F7578" s="142"/>
      <c r="G7578" s="140"/>
    </row>
    <row r="7579" spans="2:7" hidden="1">
      <c r="B7579" s="141"/>
      <c r="C7579" s="140"/>
      <c r="D7579" s="141"/>
      <c r="E7579" s="140"/>
      <c r="F7579" s="140"/>
      <c r="G7579" s="140"/>
    </row>
    <row r="7580" spans="2:7" hidden="1">
      <c r="B7580" s="141"/>
      <c r="C7580" s="140"/>
      <c r="D7580" s="141"/>
      <c r="E7580" s="140"/>
      <c r="F7580" s="140"/>
      <c r="G7580" s="140"/>
    </row>
    <row r="7581" spans="2:7" hidden="1">
      <c r="B7581" s="141"/>
      <c r="C7581" s="140"/>
      <c r="D7581" s="141"/>
      <c r="E7581" s="140"/>
      <c r="F7581" s="140"/>
      <c r="G7581" s="140"/>
    </row>
    <row r="7582" spans="2:7" hidden="1">
      <c r="B7582" s="141"/>
      <c r="C7582" s="140"/>
      <c r="D7582" s="141"/>
      <c r="E7582" s="140"/>
      <c r="F7582" s="140"/>
      <c r="G7582" s="140"/>
    </row>
    <row r="7583" spans="2:7" hidden="1">
      <c r="B7583" s="141"/>
      <c r="C7583" s="141"/>
      <c r="D7583" s="141"/>
      <c r="E7583" s="141"/>
      <c r="F7583" s="141"/>
      <c r="G7583" s="140"/>
    </row>
    <row r="7584" spans="2:7" hidden="1">
      <c r="B7584" s="141"/>
      <c r="C7584" s="140"/>
      <c r="D7584" s="141"/>
      <c r="E7584" s="140"/>
      <c r="F7584" s="140"/>
      <c r="G7584" s="140"/>
    </row>
    <row r="7585" spans="2:7" hidden="1">
      <c r="B7585" s="141"/>
      <c r="C7585" s="140"/>
      <c r="D7585" s="141"/>
      <c r="E7585" s="140"/>
      <c r="F7585" s="140"/>
      <c r="G7585" s="140"/>
    </row>
    <row r="7586" spans="2:7" hidden="1">
      <c r="B7586" s="141"/>
      <c r="C7586" s="140"/>
      <c r="D7586" s="141"/>
      <c r="E7586" s="140"/>
      <c r="F7586" s="140"/>
      <c r="G7586" s="140"/>
    </row>
    <row r="7587" spans="2:7" hidden="1">
      <c r="B7587" s="140"/>
      <c r="C7587" s="141"/>
      <c r="D7587" s="141"/>
      <c r="E7587" s="141"/>
      <c r="F7587" s="141"/>
      <c r="G7587" s="140"/>
    </row>
    <row r="7588" spans="2:7" hidden="1">
      <c r="B7588" s="140"/>
      <c r="C7588" s="372"/>
      <c r="D7588" s="140"/>
      <c r="E7588" s="372"/>
      <c r="F7588" s="372"/>
      <c r="G7588" s="372"/>
    </row>
    <row r="7589" spans="2:7" hidden="1">
      <c r="B7589" s="140"/>
      <c r="C7589" s="140"/>
      <c r="D7589" s="140"/>
      <c r="E7589" s="142"/>
      <c r="F7589" s="142"/>
      <c r="G7589" s="140"/>
    </row>
    <row r="7590" spans="2:7" hidden="1">
      <c r="B7590" s="141"/>
      <c r="C7590" s="141"/>
      <c r="D7590" s="141"/>
      <c r="E7590" s="141"/>
      <c r="F7590" s="140"/>
      <c r="G7590" s="140"/>
    </row>
    <row r="7591" spans="2:7" hidden="1">
      <c r="B7591" s="140"/>
      <c r="C7591" s="140"/>
      <c r="D7591" s="140"/>
      <c r="E7591" s="142"/>
      <c r="F7591" s="142"/>
      <c r="G7591" s="140"/>
    </row>
    <row r="7592" spans="2:7" hidden="1">
      <c r="B7592" s="140"/>
      <c r="C7592" s="140"/>
      <c r="D7592" s="140"/>
      <c r="E7592" s="142"/>
      <c r="F7592" s="142"/>
      <c r="G7592" s="140"/>
    </row>
    <row r="7593" spans="2:7" hidden="1">
      <c r="B7593" s="140"/>
      <c r="C7593" s="140"/>
      <c r="D7593" s="140"/>
      <c r="E7593" s="142"/>
      <c r="F7593" s="142"/>
      <c r="G7593" s="140"/>
    </row>
    <row r="7594" spans="2:7" hidden="1">
      <c r="B7594" s="141"/>
      <c r="C7594" s="141"/>
      <c r="D7594" s="141"/>
      <c r="E7594" s="141"/>
      <c r="F7594" s="140"/>
      <c r="G7594" s="140"/>
    </row>
    <row r="7595" spans="2:7" hidden="1">
      <c r="B7595" s="140"/>
      <c r="C7595" s="140"/>
      <c r="D7595" s="140"/>
      <c r="E7595" s="142"/>
      <c r="F7595" s="142"/>
      <c r="G7595" s="140"/>
    </row>
    <row r="7596" spans="2:7" hidden="1">
      <c r="B7596" s="141"/>
      <c r="C7596" s="140"/>
      <c r="D7596" s="141"/>
      <c r="E7596" s="140"/>
      <c r="F7596" s="140"/>
      <c r="G7596" s="140"/>
    </row>
    <row r="7597" spans="2:7" hidden="1">
      <c r="B7597" s="141"/>
      <c r="C7597" s="140"/>
      <c r="D7597" s="141"/>
      <c r="E7597" s="140"/>
      <c r="F7597" s="140"/>
      <c r="G7597" s="140"/>
    </row>
    <row r="7598" spans="2:7" hidden="1">
      <c r="B7598" s="141"/>
      <c r="C7598" s="140"/>
      <c r="D7598" s="141"/>
      <c r="E7598" s="140"/>
      <c r="F7598" s="140"/>
      <c r="G7598" s="140"/>
    </row>
    <row r="7599" spans="2:7" hidden="1">
      <c r="B7599" s="141"/>
      <c r="C7599" s="141"/>
      <c r="D7599" s="141"/>
      <c r="E7599" s="141"/>
      <c r="F7599" s="140"/>
      <c r="G7599" s="140"/>
    </row>
    <row r="7600" spans="2:7" hidden="1">
      <c r="B7600" s="141"/>
      <c r="C7600" s="140"/>
      <c r="D7600" s="141"/>
      <c r="E7600" s="140"/>
      <c r="F7600" s="140"/>
      <c r="G7600" s="140"/>
    </row>
    <row r="7601" spans="2:7" hidden="1">
      <c r="B7601" s="140"/>
      <c r="C7601" s="140"/>
      <c r="D7601" s="140"/>
      <c r="E7601" s="142"/>
      <c r="F7601" s="142"/>
      <c r="G7601" s="140"/>
    </row>
    <row r="7602" spans="2:7" hidden="1">
      <c r="B7602" s="141"/>
      <c r="C7602" s="140"/>
      <c r="D7602" s="141"/>
      <c r="E7602" s="140"/>
      <c r="F7602" s="140"/>
      <c r="G7602" s="140"/>
    </row>
    <row r="7603" spans="2:7" hidden="1">
      <c r="B7603" s="141"/>
      <c r="C7603" s="140"/>
      <c r="D7603" s="141"/>
      <c r="E7603" s="140"/>
      <c r="F7603" s="140"/>
      <c r="G7603" s="140"/>
    </row>
    <row r="7604" spans="2:7" hidden="1">
      <c r="B7604" s="141"/>
      <c r="C7604" s="141"/>
      <c r="D7604" s="141"/>
      <c r="E7604" s="141"/>
      <c r="F7604" s="140"/>
      <c r="G7604" s="140"/>
    </row>
    <row r="7605" spans="2:7" hidden="1">
      <c r="B7605" s="141"/>
      <c r="C7605" s="141"/>
      <c r="D7605" s="141"/>
      <c r="E7605" s="141"/>
      <c r="F7605" s="140"/>
      <c r="G7605" s="140"/>
    </row>
    <row r="7606" spans="2:7" hidden="1">
      <c r="B7606" s="141"/>
      <c r="C7606" s="141"/>
      <c r="D7606" s="141"/>
      <c r="E7606" s="141"/>
      <c r="F7606" s="140"/>
      <c r="G7606" s="140"/>
    </row>
    <row r="7607" spans="2:7" hidden="1">
      <c r="B7607" s="140"/>
      <c r="C7607" s="140"/>
      <c r="D7607" s="140"/>
      <c r="E7607" s="142"/>
      <c r="F7607" s="142"/>
      <c r="G7607" s="140"/>
    </row>
    <row r="7608" spans="2:7" hidden="1">
      <c r="B7608" s="140"/>
      <c r="C7608" s="140"/>
      <c r="D7608" s="140"/>
      <c r="E7608" s="142"/>
      <c r="F7608" s="142"/>
      <c r="G7608" s="140"/>
    </row>
    <row r="7609" spans="2:7" hidden="1">
      <c r="B7609" s="141"/>
      <c r="C7609" s="140"/>
      <c r="D7609" s="141"/>
      <c r="E7609" s="140"/>
      <c r="F7609" s="140"/>
      <c r="G7609" s="140"/>
    </row>
    <row r="7610" spans="2:7" hidden="1">
      <c r="B7610" s="141"/>
      <c r="C7610" s="140"/>
      <c r="D7610" s="141"/>
      <c r="E7610" s="140"/>
      <c r="F7610" s="140"/>
      <c r="G7610" s="140"/>
    </row>
    <row r="7611" spans="2:7" hidden="1">
      <c r="B7611" s="141"/>
      <c r="C7611" s="141"/>
      <c r="D7611" s="141"/>
      <c r="E7611" s="141"/>
      <c r="F7611" s="141"/>
      <c r="G7611" s="140"/>
    </row>
    <row r="7612" spans="2:7" hidden="1">
      <c r="B7612" s="140"/>
      <c r="C7612" s="140"/>
      <c r="D7612" s="140"/>
      <c r="E7612" s="142"/>
      <c r="F7612" s="142"/>
      <c r="G7612" s="140"/>
    </row>
    <row r="7613" spans="2:7" hidden="1">
      <c r="B7613" s="140"/>
      <c r="C7613" s="140"/>
      <c r="D7613" s="140"/>
      <c r="E7613" s="142"/>
      <c r="F7613" s="142"/>
      <c r="G7613" s="140"/>
    </row>
    <row r="7614" spans="2:7" hidden="1">
      <c r="B7614" s="140"/>
      <c r="C7614" s="140"/>
      <c r="D7614" s="140"/>
      <c r="E7614" s="142"/>
      <c r="F7614" s="142"/>
      <c r="G7614" s="140"/>
    </row>
    <row r="7615" spans="2:7" hidden="1">
      <c r="B7615" s="140"/>
      <c r="C7615" s="140"/>
      <c r="D7615" s="140"/>
      <c r="E7615" s="142"/>
      <c r="F7615" s="142"/>
      <c r="G7615" s="140"/>
    </row>
    <row r="7616" spans="2:7" hidden="1">
      <c r="B7616" s="140"/>
      <c r="C7616" s="140"/>
      <c r="D7616" s="140"/>
      <c r="E7616" s="142"/>
      <c r="F7616" s="142"/>
      <c r="G7616" s="140"/>
    </row>
    <row r="7617" spans="2:7" hidden="1">
      <c r="B7617" s="140"/>
      <c r="C7617" s="140"/>
      <c r="D7617" s="140"/>
      <c r="E7617" s="142"/>
      <c r="F7617" s="142"/>
      <c r="G7617" s="140"/>
    </row>
    <row r="7618" spans="2:7" hidden="1">
      <c r="B7618" s="140"/>
      <c r="C7618" s="140"/>
      <c r="D7618" s="140"/>
      <c r="E7618" s="142"/>
      <c r="F7618" s="142"/>
      <c r="G7618" s="140"/>
    </row>
    <row r="7619" spans="2:7" hidden="1">
      <c r="B7619" s="140"/>
      <c r="C7619" s="140"/>
      <c r="D7619" s="140"/>
      <c r="E7619" s="142"/>
      <c r="F7619" s="142"/>
      <c r="G7619" s="140"/>
    </row>
    <row r="7620" spans="2:7" hidden="1">
      <c r="B7620" s="140"/>
      <c r="C7620" s="140"/>
      <c r="D7620" s="140"/>
      <c r="E7620" s="142"/>
      <c r="F7620" s="142"/>
      <c r="G7620" s="140"/>
    </row>
    <row r="7621" spans="2:7" hidden="1">
      <c r="B7621" s="140"/>
      <c r="C7621" s="140"/>
      <c r="D7621" s="140"/>
      <c r="E7621" s="142"/>
      <c r="F7621" s="142"/>
      <c r="G7621" s="140"/>
    </row>
    <row r="7622" spans="2:7" hidden="1">
      <c r="B7622" s="140"/>
      <c r="C7622" s="140"/>
      <c r="D7622" s="140"/>
      <c r="E7622" s="142"/>
      <c r="F7622" s="142"/>
      <c r="G7622" s="140"/>
    </row>
    <row r="7623" spans="2:7" hidden="1">
      <c r="B7623" s="140"/>
      <c r="C7623" s="140"/>
      <c r="D7623" s="140"/>
      <c r="E7623" s="142"/>
      <c r="F7623" s="142"/>
      <c r="G7623" s="140"/>
    </row>
    <row r="7624" spans="2:7" hidden="1">
      <c r="B7624" s="140"/>
      <c r="C7624" s="140"/>
      <c r="D7624" s="140"/>
      <c r="E7624" s="142"/>
      <c r="F7624" s="142"/>
      <c r="G7624" s="140"/>
    </row>
    <row r="7625" spans="2:7" hidden="1">
      <c r="B7625" s="140"/>
      <c r="C7625" s="140"/>
      <c r="D7625" s="140"/>
      <c r="E7625" s="142"/>
      <c r="F7625" s="142"/>
      <c r="G7625" s="140"/>
    </row>
    <row r="7626" spans="2:7" hidden="1">
      <c r="B7626" s="140"/>
      <c r="C7626" s="140"/>
      <c r="D7626" s="140"/>
      <c r="E7626" s="142"/>
      <c r="F7626" s="142"/>
      <c r="G7626" s="140"/>
    </row>
    <row r="7627" spans="2:7" hidden="1">
      <c r="B7627" s="140"/>
      <c r="C7627" s="140"/>
      <c r="D7627" s="140"/>
      <c r="E7627" s="142"/>
      <c r="F7627" s="142"/>
      <c r="G7627" s="140"/>
    </row>
    <row r="7628" spans="2:7" hidden="1">
      <c r="B7628" s="140"/>
      <c r="C7628" s="140"/>
      <c r="D7628" s="140"/>
      <c r="E7628" s="142"/>
      <c r="F7628" s="142"/>
      <c r="G7628" s="140"/>
    </row>
    <row r="7629" spans="2:7" hidden="1">
      <c r="B7629" s="140"/>
      <c r="C7629" s="140"/>
      <c r="D7629" s="140"/>
      <c r="E7629" s="142"/>
      <c r="F7629" s="142"/>
      <c r="G7629" s="140"/>
    </row>
    <row r="7630" spans="2:7" hidden="1">
      <c r="B7630" s="140"/>
      <c r="C7630" s="140"/>
      <c r="D7630" s="140"/>
      <c r="E7630" s="142"/>
      <c r="F7630" s="142"/>
      <c r="G7630" s="140"/>
    </row>
    <row r="7631" spans="2:7" hidden="1">
      <c r="B7631" s="140"/>
      <c r="C7631" s="140"/>
      <c r="D7631" s="140"/>
      <c r="E7631" s="142"/>
      <c r="F7631" s="142"/>
      <c r="G7631" s="140"/>
    </row>
    <row r="7632" spans="2:7" hidden="1">
      <c r="B7632" s="140"/>
      <c r="C7632" s="140"/>
      <c r="D7632" s="140"/>
      <c r="E7632" s="142"/>
      <c r="F7632" s="142"/>
      <c r="G7632" s="140"/>
    </row>
    <row r="7633" spans="2:7" hidden="1">
      <c r="B7633" s="140"/>
      <c r="C7633" s="140"/>
      <c r="D7633" s="140"/>
      <c r="E7633" s="142"/>
      <c r="F7633" s="142"/>
      <c r="G7633" s="140"/>
    </row>
    <row r="7634" spans="2:7" hidden="1">
      <c r="B7634" s="140"/>
      <c r="C7634" s="140"/>
      <c r="D7634" s="140"/>
      <c r="E7634" s="142"/>
      <c r="F7634" s="142"/>
      <c r="G7634" s="140"/>
    </row>
    <row r="7635" spans="2:7" hidden="1">
      <c r="B7635" s="140"/>
      <c r="C7635" s="140"/>
      <c r="D7635" s="140"/>
      <c r="E7635" s="142"/>
      <c r="F7635" s="142"/>
      <c r="G7635" s="140"/>
    </row>
    <row r="7636" spans="2:7" hidden="1">
      <c r="B7636" s="140"/>
      <c r="C7636" s="140"/>
      <c r="D7636" s="140"/>
      <c r="E7636" s="142"/>
      <c r="F7636" s="142"/>
      <c r="G7636" s="140"/>
    </row>
    <row r="7637" spans="2:7" hidden="1">
      <c r="B7637" s="140"/>
      <c r="C7637" s="140"/>
      <c r="D7637" s="140"/>
      <c r="E7637" s="142"/>
      <c r="F7637" s="142"/>
      <c r="G7637" s="140"/>
    </row>
    <row r="7638" spans="2:7" hidden="1">
      <c r="B7638" s="140"/>
      <c r="C7638" s="140"/>
      <c r="D7638" s="140"/>
      <c r="E7638" s="142"/>
      <c r="F7638" s="142"/>
      <c r="G7638" s="140"/>
    </row>
    <row r="7639" spans="2:7" hidden="1">
      <c r="B7639" s="140"/>
      <c r="C7639" s="140"/>
      <c r="D7639" s="140"/>
      <c r="E7639" s="142"/>
      <c r="F7639" s="142"/>
      <c r="G7639" s="140"/>
    </row>
    <row r="7640" spans="2:7" hidden="1">
      <c r="B7640" s="140"/>
      <c r="C7640" s="140"/>
      <c r="D7640" s="140"/>
      <c r="E7640" s="142"/>
      <c r="F7640" s="142"/>
      <c r="G7640" s="140"/>
    </row>
    <row r="7641" spans="2:7" hidden="1">
      <c r="B7641" s="140"/>
      <c r="C7641" s="140"/>
      <c r="D7641" s="140"/>
      <c r="E7641" s="142"/>
      <c r="F7641" s="142"/>
      <c r="G7641" s="140"/>
    </row>
    <row r="7642" spans="2:7" hidden="1">
      <c r="B7642" s="140"/>
      <c r="C7642" s="140"/>
      <c r="D7642" s="140"/>
      <c r="E7642" s="142"/>
      <c r="F7642" s="142"/>
      <c r="G7642" s="140"/>
    </row>
    <row r="7643" spans="2:7" hidden="1">
      <c r="B7643" s="140"/>
      <c r="C7643" s="140"/>
      <c r="D7643" s="140"/>
      <c r="E7643" s="142"/>
      <c r="F7643" s="142"/>
      <c r="G7643" s="140"/>
    </row>
    <row r="7644" spans="2:7" hidden="1">
      <c r="B7644" s="140"/>
      <c r="C7644" s="140"/>
      <c r="D7644" s="140"/>
      <c r="E7644" s="142"/>
      <c r="F7644" s="142"/>
      <c r="G7644" s="140"/>
    </row>
    <row r="7645" spans="2:7" hidden="1">
      <c r="B7645" s="140"/>
      <c r="C7645" s="140"/>
      <c r="D7645" s="140"/>
      <c r="E7645" s="142"/>
      <c r="F7645" s="142"/>
      <c r="G7645" s="140"/>
    </row>
    <row r="7646" spans="2:7" hidden="1">
      <c r="B7646" s="140"/>
      <c r="C7646" s="140"/>
      <c r="D7646" s="140"/>
      <c r="E7646" s="142"/>
      <c r="F7646" s="142"/>
      <c r="G7646" s="140"/>
    </row>
    <row r="7647" spans="2:7" hidden="1">
      <c r="B7647" s="140"/>
      <c r="C7647" s="140"/>
      <c r="D7647" s="140"/>
      <c r="E7647" s="142"/>
      <c r="F7647" s="142"/>
      <c r="G7647" s="140"/>
    </row>
    <row r="7648" spans="2:7" hidden="1">
      <c r="B7648" s="140"/>
      <c r="C7648" s="140"/>
      <c r="D7648" s="140"/>
      <c r="E7648" s="142"/>
      <c r="F7648" s="142"/>
      <c r="G7648" s="140"/>
    </row>
    <row r="7649" spans="2:7" hidden="1">
      <c r="B7649" s="140"/>
      <c r="C7649" s="140"/>
      <c r="D7649" s="140"/>
      <c r="E7649" s="142"/>
      <c r="F7649" s="142"/>
      <c r="G7649" s="140"/>
    </row>
    <row r="7650" spans="2:7" hidden="1">
      <c r="B7650" s="140"/>
      <c r="C7650" s="140"/>
      <c r="D7650" s="140"/>
      <c r="E7650" s="142"/>
      <c r="F7650" s="142"/>
      <c r="G7650" s="140"/>
    </row>
    <row r="7651" spans="2:7" hidden="1">
      <c r="B7651" s="140"/>
      <c r="C7651" s="140"/>
      <c r="D7651" s="140"/>
      <c r="E7651" s="142"/>
      <c r="F7651" s="142"/>
      <c r="G7651" s="140"/>
    </row>
    <row r="7652" spans="2:7" hidden="1">
      <c r="B7652" s="140"/>
      <c r="C7652" s="140"/>
      <c r="D7652" s="140"/>
      <c r="E7652" s="142"/>
      <c r="F7652" s="142"/>
      <c r="G7652" s="140"/>
    </row>
    <row r="7653" spans="2:7" hidden="1">
      <c r="B7653" s="140"/>
      <c r="C7653" s="140"/>
      <c r="D7653" s="140"/>
      <c r="E7653" s="142"/>
      <c r="F7653" s="142"/>
      <c r="G7653" s="140"/>
    </row>
    <row r="7654" spans="2:7" hidden="1">
      <c r="B7654" s="140"/>
      <c r="C7654" s="140"/>
      <c r="D7654" s="140"/>
      <c r="E7654" s="142"/>
      <c r="F7654" s="142"/>
      <c r="G7654" s="140"/>
    </row>
    <row r="7655" spans="2:7" hidden="1">
      <c r="B7655" s="140"/>
      <c r="C7655" s="140"/>
      <c r="D7655" s="140"/>
      <c r="E7655" s="142"/>
      <c r="F7655" s="142"/>
      <c r="G7655" s="140"/>
    </row>
    <row r="7656" spans="2:7" hidden="1">
      <c r="B7656" s="140"/>
      <c r="C7656" s="140"/>
      <c r="D7656" s="140"/>
      <c r="E7656" s="142"/>
      <c r="F7656" s="142"/>
      <c r="G7656" s="140"/>
    </row>
    <row r="7657" spans="2:7" hidden="1">
      <c r="B7657" s="140"/>
      <c r="C7657" s="140"/>
      <c r="D7657" s="140"/>
      <c r="E7657" s="142"/>
      <c r="F7657" s="142"/>
      <c r="G7657" s="140"/>
    </row>
    <row r="7658" spans="2:7" hidden="1">
      <c r="B7658" s="140"/>
      <c r="C7658" s="140"/>
      <c r="D7658" s="140"/>
      <c r="E7658" s="142"/>
      <c r="F7658" s="142"/>
      <c r="G7658" s="140"/>
    </row>
    <row r="7659" spans="2:7" hidden="1">
      <c r="B7659" s="140"/>
      <c r="C7659" s="140"/>
      <c r="D7659" s="140"/>
      <c r="E7659" s="142"/>
      <c r="F7659" s="142"/>
      <c r="G7659" s="140"/>
    </row>
    <row r="7660" spans="2:7" hidden="1">
      <c r="B7660" s="140"/>
      <c r="C7660" s="140"/>
      <c r="D7660" s="140"/>
      <c r="E7660" s="142"/>
      <c r="F7660" s="142"/>
      <c r="G7660" s="140"/>
    </row>
    <row r="7661" spans="2:7" hidden="1">
      <c r="B7661" s="140"/>
      <c r="C7661" s="140"/>
      <c r="D7661" s="140"/>
      <c r="E7661" s="142"/>
      <c r="F7661" s="142"/>
      <c r="G7661" s="140"/>
    </row>
    <row r="7662" spans="2:7" hidden="1">
      <c r="B7662" s="140"/>
      <c r="C7662" s="140"/>
      <c r="D7662" s="140"/>
      <c r="E7662" s="142"/>
      <c r="F7662" s="142"/>
      <c r="G7662" s="140"/>
    </row>
    <row r="7663" spans="2:7" hidden="1">
      <c r="B7663" s="140"/>
      <c r="C7663" s="140"/>
      <c r="D7663" s="140"/>
      <c r="E7663" s="142"/>
      <c r="F7663" s="142"/>
      <c r="G7663" s="140"/>
    </row>
    <row r="7664" spans="2:7" hidden="1">
      <c r="B7664" s="140"/>
      <c r="C7664" s="140"/>
      <c r="D7664" s="140"/>
      <c r="E7664" s="142"/>
      <c r="F7664" s="142"/>
      <c r="G7664" s="140"/>
    </row>
    <row r="7665" spans="2:7" hidden="1">
      <c r="B7665" s="140"/>
      <c r="C7665" s="140"/>
      <c r="D7665" s="140"/>
      <c r="E7665" s="142"/>
      <c r="F7665" s="142"/>
      <c r="G7665" s="140"/>
    </row>
    <row r="7666" spans="2:7" hidden="1">
      <c r="B7666" s="140"/>
      <c r="C7666" s="140"/>
      <c r="D7666" s="140"/>
      <c r="E7666" s="142"/>
      <c r="F7666" s="142"/>
      <c r="G7666" s="140"/>
    </row>
    <row r="7667" spans="2:7" hidden="1">
      <c r="B7667" s="140"/>
      <c r="C7667" s="140"/>
      <c r="D7667" s="140"/>
      <c r="E7667" s="142"/>
      <c r="F7667" s="142"/>
      <c r="G7667" s="140"/>
    </row>
    <row r="7668" spans="2:7" hidden="1">
      <c r="B7668" s="140"/>
      <c r="C7668" s="140"/>
      <c r="D7668" s="140"/>
      <c r="E7668" s="142"/>
      <c r="F7668" s="142"/>
      <c r="G7668" s="140"/>
    </row>
    <row r="7669" spans="2:7" hidden="1">
      <c r="B7669" s="140"/>
      <c r="C7669" s="140"/>
      <c r="D7669" s="140"/>
      <c r="E7669" s="142"/>
      <c r="F7669" s="142"/>
      <c r="G7669" s="140"/>
    </row>
    <row r="7670" spans="2:7" hidden="1">
      <c r="B7670" s="140"/>
      <c r="C7670" s="140"/>
      <c r="D7670" s="140"/>
      <c r="E7670" s="142"/>
      <c r="F7670" s="142"/>
      <c r="G7670" s="140"/>
    </row>
    <row r="7671" spans="2:7" hidden="1">
      <c r="B7671" s="140"/>
      <c r="C7671" s="140"/>
      <c r="D7671" s="140"/>
      <c r="E7671" s="142"/>
      <c r="F7671" s="142"/>
      <c r="G7671" s="140"/>
    </row>
    <row r="7672" spans="2:7" hidden="1">
      <c r="B7672" s="140"/>
      <c r="C7672" s="140"/>
      <c r="D7672" s="140"/>
      <c r="E7672" s="142"/>
      <c r="F7672" s="142"/>
      <c r="G7672" s="140"/>
    </row>
    <row r="7673" spans="2:7" hidden="1">
      <c r="B7673" s="140"/>
      <c r="C7673" s="140"/>
      <c r="D7673" s="140"/>
      <c r="E7673" s="142"/>
      <c r="F7673" s="142"/>
      <c r="G7673" s="140"/>
    </row>
    <row r="7674" spans="2:7" hidden="1">
      <c r="B7674" s="140"/>
      <c r="C7674" s="140"/>
      <c r="D7674" s="140"/>
      <c r="E7674" s="142"/>
      <c r="F7674" s="142"/>
      <c r="G7674" s="140"/>
    </row>
    <row r="7675" spans="2:7" hidden="1">
      <c r="B7675" s="140"/>
      <c r="C7675" s="140"/>
      <c r="D7675" s="140"/>
      <c r="E7675" s="142"/>
      <c r="F7675" s="142"/>
      <c r="G7675" s="140"/>
    </row>
    <row r="7676" spans="2:7" hidden="1">
      <c r="B7676" s="140"/>
      <c r="C7676" s="140"/>
      <c r="D7676" s="140"/>
      <c r="E7676" s="142"/>
      <c r="F7676" s="142"/>
      <c r="G7676" s="140"/>
    </row>
    <row r="7677" spans="2:7" hidden="1">
      <c r="B7677" s="140"/>
      <c r="C7677" s="140"/>
      <c r="D7677" s="140"/>
      <c r="E7677" s="142"/>
      <c r="F7677" s="142"/>
      <c r="G7677" s="140"/>
    </row>
    <row r="7678" spans="2:7" hidden="1">
      <c r="B7678" s="140"/>
      <c r="C7678" s="140"/>
      <c r="D7678" s="140"/>
      <c r="E7678" s="142"/>
      <c r="F7678" s="142"/>
      <c r="G7678" s="140"/>
    </row>
    <row r="7679" spans="2:7" hidden="1">
      <c r="B7679" s="140"/>
      <c r="C7679" s="140"/>
      <c r="D7679" s="140"/>
      <c r="E7679" s="142"/>
      <c r="F7679" s="142"/>
      <c r="G7679" s="140"/>
    </row>
    <row r="7680" spans="2:7" hidden="1">
      <c r="B7680" s="140"/>
      <c r="C7680" s="140"/>
      <c r="D7680" s="140"/>
      <c r="E7680" s="142"/>
      <c r="F7680" s="142"/>
      <c r="G7680" s="140"/>
    </row>
    <row r="7681" spans="2:7" hidden="1">
      <c r="B7681" s="140"/>
      <c r="C7681" s="140"/>
      <c r="D7681" s="140"/>
      <c r="E7681" s="142"/>
      <c r="F7681" s="142"/>
      <c r="G7681" s="140"/>
    </row>
    <row r="7682" spans="2:7" hidden="1">
      <c r="B7682" s="140"/>
      <c r="C7682" s="140"/>
      <c r="D7682" s="140"/>
      <c r="E7682" s="142"/>
      <c r="F7682" s="142"/>
      <c r="G7682" s="140"/>
    </row>
    <row r="7683" spans="2:7" hidden="1">
      <c r="B7683" s="140"/>
      <c r="C7683" s="140"/>
      <c r="D7683" s="140"/>
      <c r="E7683" s="142"/>
      <c r="F7683" s="142"/>
      <c r="G7683" s="140"/>
    </row>
    <row r="7684" spans="2:7" hidden="1">
      <c r="B7684" s="140"/>
      <c r="C7684" s="140"/>
      <c r="D7684" s="140"/>
      <c r="E7684" s="142"/>
      <c r="F7684" s="142"/>
      <c r="G7684" s="140"/>
    </row>
    <row r="7685" spans="2:7" hidden="1">
      <c r="B7685" s="140"/>
      <c r="C7685" s="140"/>
      <c r="D7685" s="140"/>
      <c r="E7685" s="142"/>
      <c r="F7685" s="142"/>
      <c r="G7685" s="140"/>
    </row>
    <row r="7686" spans="2:7" hidden="1">
      <c r="B7686" s="140"/>
      <c r="C7686" s="140"/>
      <c r="D7686" s="140"/>
      <c r="E7686" s="142"/>
      <c r="F7686" s="142"/>
      <c r="G7686" s="140"/>
    </row>
    <row r="7687" spans="2:7" hidden="1">
      <c r="B7687" s="140"/>
      <c r="C7687" s="140"/>
      <c r="D7687" s="140"/>
      <c r="E7687" s="142"/>
      <c r="F7687" s="142"/>
      <c r="G7687" s="140"/>
    </row>
    <row r="7688" spans="2:7" hidden="1">
      <c r="B7688" s="140"/>
      <c r="C7688" s="140"/>
      <c r="D7688" s="140"/>
      <c r="E7688" s="142"/>
      <c r="F7688" s="142"/>
      <c r="G7688" s="140"/>
    </row>
    <row r="7689" spans="2:7" hidden="1">
      <c r="B7689" s="140"/>
      <c r="C7689" s="140"/>
      <c r="D7689" s="140"/>
      <c r="E7689" s="142"/>
      <c r="F7689" s="142"/>
      <c r="G7689" s="140"/>
    </row>
    <row r="7690" spans="2:7" hidden="1">
      <c r="B7690" s="140"/>
      <c r="C7690" s="140"/>
      <c r="D7690" s="140"/>
      <c r="E7690" s="142"/>
      <c r="F7690" s="142"/>
      <c r="G7690" s="140"/>
    </row>
    <row r="7691" spans="2:7" hidden="1">
      <c r="B7691" s="140"/>
      <c r="C7691" s="140"/>
      <c r="D7691" s="140"/>
      <c r="E7691" s="142"/>
      <c r="F7691" s="142"/>
      <c r="G7691" s="140"/>
    </row>
    <row r="7692" spans="2:7" hidden="1">
      <c r="B7692" s="140"/>
      <c r="C7692" s="140"/>
      <c r="D7692" s="140"/>
      <c r="E7692" s="142"/>
      <c r="F7692" s="142"/>
      <c r="G7692" s="140"/>
    </row>
    <row r="7693" spans="2:7" hidden="1">
      <c r="B7693" s="140"/>
      <c r="C7693" s="140"/>
      <c r="D7693" s="140"/>
      <c r="E7693" s="142"/>
      <c r="F7693" s="142"/>
      <c r="G7693" s="140"/>
    </row>
    <row r="7694" spans="2:7" hidden="1">
      <c r="B7694" s="140"/>
      <c r="C7694" s="140"/>
      <c r="D7694" s="140"/>
      <c r="E7694" s="142"/>
      <c r="F7694" s="142"/>
      <c r="G7694" s="140"/>
    </row>
    <row r="7695" spans="2:7" hidden="1">
      <c r="B7695" s="140"/>
      <c r="C7695" s="140"/>
      <c r="D7695" s="140"/>
      <c r="E7695" s="142"/>
      <c r="F7695" s="142"/>
      <c r="G7695" s="140"/>
    </row>
    <row r="7696" spans="2:7" hidden="1">
      <c r="B7696" s="140"/>
      <c r="C7696" s="140"/>
      <c r="D7696" s="140"/>
      <c r="E7696" s="142"/>
      <c r="F7696" s="142"/>
      <c r="G7696" s="140"/>
    </row>
    <row r="7697" spans="2:7" hidden="1">
      <c r="B7697" s="140"/>
      <c r="C7697" s="140"/>
      <c r="D7697" s="140"/>
      <c r="E7697" s="142"/>
      <c r="F7697" s="142"/>
      <c r="G7697" s="140"/>
    </row>
    <row r="7698" spans="2:7" hidden="1">
      <c r="B7698" s="140"/>
      <c r="C7698" s="140"/>
      <c r="D7698" s="140"/>
      <c r="E7698" s="142"/>
      <c r="F7698" s="142"/>
      <c r="G7698" s="140"/>
    </row>
    <row r="7699" spans="2:7" hidden="1">
      <c r="B7699" s="140"/>
      <c r="C7699" s="140"/>
      <c r="D7699" s="140"/>
      <c r="E7699" s="142"/>
      <c r="F7699" s="142"/>
      <c r="G7699" s="140"/>
    </row>
    <row r="7700" spans="2:7" hidden="1">
      <c r="B7700" s="140"/>
      <c r="C7700" s="140"/>
      <c r="D7700" s="140"/>
      <c r="E7700" s="142"/>
      <c r="F7700" s="142"/>
      <c r="G7700" s="140"/>
    </row>
    <row r="7701" spans="2:7" hidden="1">
      <c r="B7701" s="140"/>
      <c r="C7701" s="140"/>
      <c r="D7701" s="140"/>
      <c r="E7701" s="142"/>
      <c r="F7701" s="142"/>
      <c r="G7701" s="140"/>
    </row>
    <row r="7702" spans="2:7" hidden="1">
      <c r="B7702" s="140"/>
      <c r="C7702" s="140"/>
      <c r="D7702" s="140"/>
      <c r="E7702" s="142"/>
      <c r="F7702" s="142"/>
      <c r="G7702" s="140"/>
    </row>
    <row r="7703" spans="2:7" hidden="1">
      <c r="B7703" s="140"/>
      <c r="C7703" s="140"/>
      <c r="D7703" s="140"/>
      <c r="E7703" s="142"/>
      <c r="F7703" s="142"/>
      <c r="G7703" s="140"/>
    </row>
    <row r="7704" spans="2:7" hidden="1">
      <c r="B7704" s="140"/>
      <c r="C7704" s="140"/>
      <c r="D7704" s="140"/>
      <c r="E7704" s="142"/>
      <c r="F7704" s="142"/>
      <c r="G7704" s="140"/>
    </row>
    <row r="7705" spans="2:7" hidden="1">
      <c r="B7705" s="140"/>
      <c r="C7705" s="140"/>
      <c r="D7705" s="140"/>
      <c r="E7705" s="142"/>
      <c r="F7705" s="142"/>
      <c r="G7705" s="140"/>
    </row>
    <row r="7706" spans="2:7" hidden="1">
      <c r="B7706" s="140"/>
      <c r="C7706" s="140"/>
      <c r="D7706" s="140"/>
      <c r="E7706" s="142"/>
      <c r="F7706" s="142"/>
      <c r="G7706" s="140"/>
    </row>
    <row r="7707" spans="2:7" hidden="1">
      <c r="B7707" s="140"/>
      <c r="C7707" s="140"/>
      <c r="D7707" s="140"/>
      <c r="E7707" s="142"/>
      <c r="F7707" s="142"/>
      <c r="G7707" s="140"/>
    </row>
    <row r="7708" spans="2:7" hidden="1">
      <c r="B7708" s="140"/>
      <c r="C7708" s="140"/>
      <c r="D7708" s="140"/>
      <c r="E7708" s="142"/>
      <c r="F7708" s="142"/>
      <c r="G7708" s="140"/>
    </row>
    <row r="7709" spans="2:7" hidden="1">
      <c r="B7709" s="140"/>
      <c r="C7709" s="140"/>
      <c r="D7709" s="140"/>
      <c r="E7709" s="142"/>
      <c r="F7709" s="142"/>
      <c r="G7709" s="140"/>
    </row>
    <row r="7710" spans="2:7" hidden="1">
      <c r="B7710" s="140"/>
      <c r="C7710" s="140"/>
      <c r="D7710" s="140"/>
      <c r="E7710" s="142"/>
      <c r="F7710" s="142"/>
      <c r="G7710" s="140"/>
    </row>
    <row r="7711" spans="2:7" hidden="1">
      <c r="B7711" s="140"/>
      <c r="C7711" s="140"/>
      <c r="D7711" s="140"/>
      <c r="E7711" s="142"/>
      <c r="F7711" s="142"/>
      <c r="G7711" s="140"/>
    </row>
    <row r="7712" spans="2:7" hidden="1">
      <c r="B7712" s="140"/>
      <c r="C7712" s="140"/>
      <c r="D7712" s="140"/>
      <c r="E7712" s="142"/>
      <c r="F7712" s="142"/>
      <c r="G7712" s="140"/>
    </row>
    <row r="7713" spans="2:7" hidden="1">
      <c r="B7713" s="140"/>
      <c r="C7713" s="140"/>
      <c r="D7713" s="140"/>
      <c r="E7713" s="142"/>
      <c r="F7713" s="142"/>
      <c r="G7713" s="140"/>
    </row>
    <row r="7714" spans="2:7" hidden="1">
      <c r="B7714" s="140"/>
      <c r="C7714" s="140"/>
      <c r="D7714" s="140"/>
      <c r="E7714" s="142"/>
      <c r="F7714" s="142"/>
      <c r="G7714" s="140"/>
    </row>
    <row r="7715" spans="2:7" hidden="1">
      <c r="B7715" s="140"/>
      <c r="C7715" s="140"/>
      <c r="D7715" s="140"/>
      <c r="E7715" s="142"/>
      <c r="F7715" s="142"/>
      <c r="G7715" s="140"/>
    </row>
    <row r="7716" spans="2:7" hidden="1">
      <c r="B7716" s="140"/>
      <c r="C7716" s="140"/>
      <c r="D7716" s="140"/>
      <c r="E7716" s="142"/>
      <c r="F7716" s="142"/>
      <c r="G7716" s="140"/>
    </row>
    <row r="7717" spans="2:7" hidden="1">
      <c r="B7717" s="140"/>
      <c r="C7717" s="140"/>
      <c r="D7717" s="140"/>
      <c r="E7717" s="142"/>
      <c r="F7717" s="142"/>
      <c r="G7717" s="140"/>
    </row>
    <row r="7718" spans="2:7" hidden="1">
      <c r="B7718" s="140"/>
      <c r="C7718" s="140"/>
      <c r="D7718" s="140"/>
      <c r="E7718" s="142"/>
      <c r="F7718" s="142"/>
      <c r="G7718" s="140"/>
    </row>
    <row r="7719" spans="2:7" hidden="1">
      <c r="B7719" s="140"/>
      <c r="C7719" s="140"/>
      <c r="D7719" s="140"/>
      <c r="E7719" s="142"/>
      <c r="F7719" s="142"/>
      <c r="G7719" s="140"/>
    </row>
    <row r="7720" spans="2:7" hidden="1">
      <c r="B7720" s="140"/>
      <c r="C7720" s="140"/>
      <c r="D7720" s="140"/>
      <c r="E7720" s="142"/>
      <c r="F7720" s="142"/>
      <c r="G7720" s="140"/>
    </row>
    <row r="7721" spans="2:7" hidden="1">
      <c r="B7721" s="140"/>
      <c r="C7721" s="140"/>
      <c r="D7721" s="140"/>
      <c r="E7721" s="142"/>
      <c r="F7721" s="142"/>
      <c r="G7721" s="140"/>
    </row>
    <row r="7722" spans="2:7" hidden="1">
      <c r="B7722" s="140"/>
      <c r="C7722" s="140"/>
      <c r="D7722" s="140"/>
      <c r="E7722" s="142"/>
      <c r="F7722" s="142"/>
      <c r="G7722" s="140"/>
    </row>
    <row r="7723" spans="2:7" hidden="1">
      <c r="B7723" s="140"/>
      <c r="C7723" s="140"/>
      <c r="D7723" s="140"/>
      <c r="E7723" s="142"/>
      <c r="F7723" s="142"/>
      <c r="G7723" s="140"/>
    </row>
    <row r="7724" spans="2:7" hidden="1">
      <c r="B7724" s="140"/>
      <c r="C7724" s="140"/>
      <c r="D7724" s="140"/>
      <c r="E7724" s="142"/>
      <c r="F7724" s="142"/>
      <c r="G7724" s="140"/>
    </row>
    <row r="7725" spans="2:7" hidden="1">
      <c r="B7725" s="140"/>
      <c r="C7725" s="140"/>
      <c r="D7725" s="140"/>
      <c r="E7725" s="142"/>
      <c r="F7725" s="142"/>
      <c r="G7725" s="140"/>
    </row>
    <row r="7726" spans="2:7" hidden="1">
      <c r="B7726" s="140"/>
      <c r="C7726" s="140"/>
      <c r="D7726" s="140"/>
      <c r="E7726" s="142"/>
      <c r="F7726" s="142"/>
      <c r="G7726" s="140"/>
    </row>
    <row r="7727" spans="2:7" hidden="1">
      <c r="B7727" s="140"/>
      <c r="C7727" s="140"/>
      <c r="D7727" s="140"/>
      <c r="E7727" s="142"/>
      <c r="F7727" s="142"/>
      <c r="G7727" s="140"/>
    </row>
    <row r="7728" spans="2:7" hidden="1">
      <c r="B7728" s="140"/>
      <c r="C7728" s="140"/>
      <c r="D7728" s="140"/>
      <c r="E7728" s="142"/>
      <c r="F7728" s="142"/>
      <c r="G7728" s="140"/>
    </row>
    <row r="7729" spans="2:7" hidden="1">
      <c r="B7729" s="140"/>
      <c r="C7729" s="140"/>
      <c r="D7729" s="140"/>
      <c r="E7729" s="142"/>
      <c r="F7729" s="142"/>
      <c r="G7729" s="140"/>
    </row>
    <row r="7730" spans="2:7" hidden="1">
      <c r="B7730" s="140"/>
      <c r="C7730" s="140"/>
      <c r="D7730" s="140"/>
      <c r="E7730" s="142"/>
      <c r="F7730" s="142"/>
      <c r="G7730" s="140"/>
    </row>
    <row r="7731" spans="2:7" hidden="1">
      <c r="B7731" s="140"/>
      <c r="C7731" s="140"/>
      <c r="D7731" s="140"/>
      <c r="E7731" s="142"/>
      <c r="F7731" s="142"/>
      <c r="G7731" s="140"/>
    </row>
    <row r="7732" spans="2:7" hidden="1">
      <c r="B7732" s="140"/>
      <c r="C7732" s="140"/>
      <c r="D7732" s="140"/>
      <c r="E7732" s="142"/>
      <c r="F7732" s="142"/>
      <c r="G7732" s="140"/>
    </row>
    <row r="7733" spans="2:7" hidden="1">
      <c r="B7733" s="140"/>
      <c r="C7733" s="140"/>
      <c r="D7733" s="140"/>
      <c r="E7733" s="142"/>
      <c r="F7733" s="142"/>
      <c r="G7733" s="140"/>
    </row>
    <row r="7734" spans="2:7" hidden="1">
      <c r="B7734" s="140"/>
      <c r="C7734" s="140"/>
      <c r="D7734" s="140"/>
      <c r="E7734" s="142"/>
      <c r="F7734" s="142"/>
      <c r="G7734" s="140"/>
    </row>
    <row r="7735" spans="2:7" hidden="1">
      <c r="B7735" s="140"/>
      <c r="C7735" s="140"/>
      <c r="D7735" s="140"/>
      <c r="E7735" s="142"/>
      <c r="F7735" s="142"/>
      <c r="G7735" s="140"/>
    </row>
    <row r="7736" spans="2:7" hidden="1">
      <c r="B7736" s="140"/>
      <c r="C7736" s="140"/>
      <c r="D7736" s="140"/>
      <c r="E7736" s="142"/>
      <c r="F7736" s="142"/>
      <c r="G7736" s="140"/>
    </row>
    <row r="7737" spans="2:7" hidden="1">
      <c r="B7737" s="140"/>
      <c r="C7737" s="140"/>
      <c r="D7737" s="140"/>
      <c r="E7737" s="142"/>
      <c r="F7737" s="142"/>
      <c r="G7737" s="140"/>
    </row>
    <row r="7738" spans="2:7" hidden="1">
      <c r="B7738" s="140"/>
      <c r="C7738" s="140"/>
      <c r="D7738" s="140"/>
      <c r="E7738" s="142"/>
      <c r="F7738" s="142"/>
      <c r="G7738" s="140"/>
    </row>
    <row r="7739" spans="2:7" hidden="1">
      <c r="B7739" s="140"/>
      <c r="C7739" s="140"/>
      <c r="D7739" s="140"/>
      <c r="E7739" s="142"/>
      <c r="F7739" s="142"/>
      <c r="G7739" s="140"/>
    </row>
    <row r="7740" spans="2:7" hidden="1">
      <c r="B7740" s="140"/>
      <c r="C7740" s="140"/>
      <c r="D7740" s="140"/>
      <c r="E7740" s="142"/>
      <c r="F7740" s="142"/>
      <c r="G7740" s="140"/>
    </row>
    <row r="7741" spans="2:7" hidden="1">
      <c r="B7741" s="140"/>
      <c r="C7741" s="140"/>
      <c r="D7741" s="140"/>
      <c r="E7741" s="142"/>
      <c r="F7741" s="142"/>
      <c r="G7741" s="140"/>
    </row>
    <row r="7742" spans="2:7" hidden="1">
      <c r="B7742" s="140"/>
      <c r="C7742" s="140"/>
      <c r="D7742" s="140"/>
      <c r="E7742" s="142"/>
      <c r="F7742" s="142"/>
      <c r="G7742" s="140"/>
    </row>
    <row r="7743" spans="2:7" hidden="1">
      <c r="B7743" s="140"/>
      <c r="C7743" s="140"/>
      <c r="D7743" s="140"/>
      <c r="E7743" s="142"/>
      <c r="F7743" s="142"/>
      <c r="G7743" s="140"/>
    </row>
    <row r="7744" spans="2:7" hidden="1">
      <c r="B7744" s="140"/>
      <c r="C7744" s="140"/>
      <c r="D7744" s="140"/>
      <c r="E7744" s="142"/>
      <c r="F7744" s="142"/>
      <c r="G7744" s="140"/>
    </row>
    <row r="7745" spans="2:7" hidden="1">
      <c r="B7745" s="140"/>
      <c r="C7745" s="140"/>
      <c r="D7745" s="140"/>
      <c r="E7745" s="142"/>
      <c r="F7745" s="142"/>
      <c r="G7745" s="140"/>
    </row>
    <row r="7746" spans="2:7" hidden="1">
      <c r="B7746" s="140"/>
      <c r="C7746" s="140"/>
      <c r="D7746" s="140"/>
      <c r="E7746" s="142"/>
      <c r="F7746" s="142"/>
      <c r="G7746" s="140"/>
    </row>
    <row r="7747" spans="2:7" hidden="1">
      <c r="B7747" s="140"/>
      <c r="C7747" s="140"/>
      <c r="D7747" s="140"/>
      <c r="E7747" s="142"/>
      <c r="F7747" s="142"/>
      <c r="G7747" s="140"/>
    </row>
    <row r="7748" spans="2:7" hidden="1">
      <c r="B7748" s="140"/>
      <c r="C7748" s="140"/>
      <c r="D7748" s="140"/>
      <c r="E7748" s="142"/>
      <c r="F7748" s="142"/>
      <c r="G7748" s="140"/>
    </row>
    <row r="7749" spans="2:7" hidden="1">
      <c r="B7749" s="140"/>
      <c r="C7749" s="140"/>
      <c r="D7749" s="140"/>
      <c r="E7749" s="142"/>
      <c r="F7749" s="142"/>
      <c r="G7749" s="140"/>
    </row>
    <row r="7750" spans="2:7" hidden="1">
      <c r="B7750" s="140"/>
      <c r="C7750" s="140"/>
      <c r="D7750" s="140"/>
      <c r="E7750" s="142"/>
      <c r="F7750" s="142"/>
      <c r="G7750" s="140"/>
    </row>
    <row r="7751" spans="2:7" hidden="1">
      <c r="B7751" s="140"/>
      <c r="C7751" s="140"/>
      <c r="D7751" s="140"/>
      <c r="E7751" s="142"/>
      <c r="F7751" s="142"/>
      <c r="G7751" s="140"/>
    </row>
    <row r="7752" spans="2:7" hidden="1">
      <c r="B7752" s="140"/>
      <c r="C7752" s="140"/>
      <c r="D7752" s="140"/>
      <c r="E7752" s="142"/>
      <c r="F7752" s="142"/>
      <c r="G7752" s="140"/>
    </row>
    <row r="7753" spans="2:7" hidden="1">
      <c r="B7753" s="140"/>
      <c r="C7753" s="140"/>
      <c r="D7753" s="140"/>
      <c r="E7753" s="142"/>
      <c r="F7753" s="142"/>
      <c r="G7753" s="140"/>
    </row>
    <row r="7754" spans="2:7" hidden="1">
      <c r="B7754" s="140"/>
      <c r="C7754" s="140"/>
      <c r="D7754" s="140"/>
      <c r="E7754" s="142"/>
      <c r="F7754" s="142"/>
      <c r="G7754" s="140"/>
    </row>
    <row r="7755" spans="2:7" hidden="1">
      <c r="B7755" s="140"/>
      <c r="C7755" s="140"/>
      <c r="D7755" s="140"/>
      <c r="E7755" s="142"/>
      <c r="F7755" s="142"/>
      <c r="G7755" s="140"/>
    </row>
    <row r="7756" spans="2:7" hidden="1">
      <c r="B7756" s="140"/>
      <c r="C7756" s="140"/>
      <c r="D7756" s="140"/>
      <c r="E7756" s="142"/>
      <c r="F7756" s="142"/>
      <c r="G7756" s="140"/>
    </row>
    <row r="7757" spans="2:7" hidden="1">
      <c r="B7757" s="140"/>
      <c r="C7757" s="140"/>
      <c r="D7757" s="140"/>
      <c r="E7757" s="142"/>
      <c r="F7757" s="142"/>
      <c r="G7757" s="140"/>
    </row>
    <row r="7758" spans="2:7" hidden="1">
      <c r="B7758" s="140"/>
      <c r="C7758" s="140"/>
      <c r="D7758" s="140"/>
      <c r="E7758" s="142"/>
      <c r="F7758" s="142"/>
      <c r="G7758" s="140"/>
    </row>
    <row r="7759" spans="2:7" hidden="1">
      <c r="B7759" s="140"/>
      <c r="C7759" s="140"/>
      <c r="D7759" s="140"/>
      <c r="E7759" s="142"/>
      <c r="F7759" s="142"/>
      <c r="G7759" s="140"/>
    </row>
    <row r="7760" spans="2:7" hidden="1">
      <c r="B7760" s="140"/>
      <c r="C7760" s="140"/>
      <c r="D7760" s="140"/>
      <c r="E7760" s="142"/>
      <c r="F7760" s="142"/>
      <c r="G7760" s="140"/>
    </row>
    <row r="7761" spans="2:7" hidden="1">
      <c r="B7761" s="140"/>
      <c r="C7761" s="140"/>
      <c r="D7761" s="140"/>
      <c r="E7761" s="142"/>
      <c r="F7761" s="142"/>
      <c r="G7761" s="140"/>
    </row>
    <row r="7762" spans="2:7" hidden="1">
      <c r="B7762" s="140"/>
      <c r="C7762" s="140"/>
      <c r="D7762" s="140"/>
      <c r="E7762" s="142"/>
      <c r="F7762" s="142"/>
      <c r="G7762" s="140"/>
    </row>
    <row r="7763" spans="2:7" hidden="1">
      <c r="B7763" s="140"/>
      <c r="C7763" s="140"/>
      <c r="D7763" s="140"/>
      <c r="E7763" s="142"/>
      <c r="F7763" s="142"/>
      <c r="G7763" s="140"/>
    </row>
    <row r="7764" spans="2:7" hidden="1">
      <c r="B7764" s="140"/>
      <c r="C7764" s="140"/>
      <c r="D7764" s="140"/>
      <c r="E7764" s="142"/>
      <c r="F7764" s="142"/>
      <c r="G7764" s="140"/>
    </row>
    <row r="7765" spans="2:7" hidden="1">
      <c r="B7765" s="140"/>
      <c r="C7765" s="140"/>
      <c r="D7765" s="140"/>
      <c r="E7765" s="142"/>
      <c r="F7765" s="142"/>
      <c r="G7765" s="140"/>
    </row>
    <row r="7766" spans="2:7" hidden="1">
      <c r="B7766" s="140"/>
      <c r="C7766" s="140"/>
      <c r="D7766" s="140"/>
      <c r="E7766" s="142"/>
      <c r="F7766" s="142"/>
      <c r="G7766" s="140"/>
    </row>
    <row r="7767" spans="2:7" hidden="1">
      <c r="B7767" s="140"/>
      <c r="C7767" s="140"/>
      <c r="D7767" s="140"/>
      <c r="E7767" s="142"/>
      <c r="F7767" s="142"/>
      <c r="G7767" s="140"/>
    </row>
    <row r="7768" spans="2:7" hidden="1">
      <c r="B7768" s="140"/>
      <c r="C7768" s="140"/>
      <c r="D7768" s="140"/>
      <c r="E7768" s="142"/>
      <c r="F7768" s="142"/>
      <c r="G7768" s="140"/>
    </row>
    <row r="7769" spans="2:7" hidden="1">
      <c r="B7769" s="140"/>
      <c r="C7769" s="140"/>
      <c r="D7769" s="140"/>
      <c r="E7769" s="142"/>
      <c r="F7769" s="142"/>
      <c r="G7769" s="140"/>
    </row>
    <row r="7770" spans="2:7" hidden="1">
      <c r="B7770" s="140"/>
      <c r="C7770" s="140"/>
      <c r="D7770" s="140"/>
      <c r="E7770" s="142"/>
      <c r="F7770" s="142"/>
      <c r="G7770" s="140"/>
    </row>
    <row r="7771" spans="2:7" hidden="1">
      <c r="B7771" s="140"/>
      <c r="C7771" s="140"/>
      <c r="D7771" s="140"/>
      <c r="E7771" s="142"/>
      <c r="F7771" s="142"/>
      <c r="G7771" s="140"/>
    </row>
    <row r="7772" spans="2:7" hidden="1">
      <c r="B7772" s="140"/>
      <c r="C7772" s="140"/>
      <c r="D7772" s="140"/>
      <c r="E7772" s="142"/>
      <c r="F7772" s="142"/>
      <c r="G7772" s="140"/>
    </row>
    <row r="7773" spans="2:7" hidden="1">
      <c r="B7773" s="140"/>
      <c r="C7773" s="140"/>
      <c r="D7773" s="140"/>
      <c r="E7773" s="142"/>
      <c r="F7773" s="142"/>
      <c r="G7773" s="140"/>
    </row>
    <row r="7774" spans="2:7" hidden="1">
      <c r="B7774" s="140"/>
      <c r="C7774" s="140"/>
      <c r="D7774" s="140"/>
      <c r="E7774" s="142"/>
      <c r="F7774" s="142"/>
      <c r="G7774" s="140"/>
    </row>
    <row r="7775" spans="2:7" hidden="1">
      <c r="B7775" s="140"/>
      <c r="C7775" s="140"/>
      <c r="D7775" s="140"/>
      <c r="E7775" s="142"/>
      <c r="F7775" s="142"/>
      <c r="G7775" s="140"/>
    </row>
    <row r="7776" spans="2:7" hidden="1">
      <c r="B7776" s="140"/>
      <c r="C7776" s="140"/>
      <c r="D7776" s="140"/>
      <c r="E7776" s="142"/>
      <c r="F7776" s="142"/>
      <c r="G7776" s="140"/>
    </row>
    <row r="7777" spans="2:7" hidden="1">
      <c r="B7777" s="140"/>
      <c r="C7777" s="140"/>
      <c r="D7777" s="140"/>
      <c r="E7777" s="142"/>
      <c r="F7777" s="142"/>
      <c r="G7777" s="140"/>
    </row>
    <row r="7778" spans="2:7" hidden="1">
      <c r="B7778" s="140"/>
      <c r="C7778" s="140"/>
      <c r="D7778" s="140"/>
      <c r="E7778" s="142"/>
      <c r="F7778" s="142"/>
      <c r="G7778" s="140"/>
    </row>
    <row r="7779" spans="2:7" hidden="1">
      <c r="B7779" s="140"/>
      <c r="C7779" s="140"/>
      <c r="D7779" s="140"/>
      <c r="E7779" s="142"/>
      <c r="F7779" s="142"/>
      <c r="G7779" s="140"/>
    </row>
    <row r="7780" spans="2:7" hidden="1">
      <c r="B7780" s="140"/>
      <c r="C7780" s="140"/>
      <c r="D7780" s="140"/>
      <c r="E7780" s="142"/>
      <c r="F7780" s="142"/>
      <c r="G7780" s="140"/>
    </row>
    <row r="7781" spans="2:7" hidden="1">
      <c r="B7781" s="140"/>
      <c r="C7781" s="140"/>
      <c r="D7781" s="140"/>
      <c r="E7781" s="142"/>
      <c r="F7781" s="142"/>
      <c r="G7781" s="140"/>
    </row>
    <row r="7782" spans="2:7" hidden="1">
      <c r="B7782" s="140"/>
      <c r="C7782" s="140"/>
      <c r="D7782" s="140"/>
      <c r="E7782" s="142"/>
      <c r="F7782" s="142"/>
      <c r="G7782" s="140"/>
    </row>
    <row r="7783" spans="2:7" hidden="1">
      <c r="B7783" s="140"/>
      <c r="C7783" s="140"/>
      <c r="D7783" s="140"/>
      <c r="E7783" s="142"/>
      <c r="F7783" s="142"/>
      <c r="G7783" s="140"/>
    </row>
    <row r="7784" spans="2:7" hidden="1">
      <c r="B7784" s="140"/>
      <c r="C7784" s="140"/>
      <c r="D7784" s="140"/>
      <c r="E7784" s="142"/>
      <c r="F7784" s="142"/>
      <c r="G7784" s="140"/>
    </row>
    <row r="7785" spans="2:7" hidden="1">
      <c r="B7785" s="140"/>
      <c r="C7785" s="140"/>
      <c r="D7785" s="140"/>
      <c r="E7785" s="142"/>
      <c r="F7785" s="142"/>
      <c r="G7785" s="140"/>
    </row>
    <row r="7786" spans="2:7" hidden="1">
      <c r="B7786" s="140"/>
      <c r="C7786" s="140"/>
      <c r="D7786" s="140"/>
      <c r="E7786" s="142"/>
      <c r="F7786" s="142"/>
      <c r="G7786" s="140"/>
    </row>
    <row r="7787" spans="2:7" hidden="1">
      <c r="B7787" s="140"/>
      <c r="C7787" s="140"/>
      <c r="D7787" s="140"/>
      <c r="E7787" s="142"/>
      <c r="F7787" s="142"/>
      <c r="G7787" s="140"/>
    </row>
    <row r="7788" spans="2:7" hidden="1">
      <c r="B7788" s="140"/>
      <c r="C7788" s="140"/>
      <c r="D7788" s="140"/>
      <c r="E7788" s="142"/>
      <c r="F7788" s="142"/>
      <c r="G7788" s="140"/>
    </row>
    <row r="7789" spans="2:7" hidden="1">
      <c r="B7789" s="140"/>
      <c r="C7789" s="140"/>
      <c r="D7789" s="140"/>
      <c r="E7789" s="142"/>
      <c r="F7789" s="142"/>
      <c r="G7789" s="140"/>
    </row>
    <row r="7790" spans="2:7" hidden="1">
      <c r="B7790" s="140"/>
      <c r="C7790" s="140"/>
      <c r="D7790" s="140"/>
      <c r="E7790" s="142"/>
      <c r="F7790" s="142"/>
      <c r="G7790" s="140"/>
    </row>
    <row r="7791" spans="2:7" hidden="1">
      <c r="B7791" s="140"/>
      <c r="C7791" s="140"/>
      <c r="D7791" s="140"/>
      <c r="E7791" s="142"/>
      <c r="F7791" s="142"/>
      <c r="G7791" s="140"/>
    </row>
    <row r="7792" spans="2:7" hidden="1">
      <c r="B7792" s="140"/>
      <c r="C7792" s="140"/>
      <c r="D7792" s="140"/>
      <c r="E7792" s="142"/>
      <c r="F7792" s="142"/>
      <c r="G7792" s="140"/>
    </row>
    <row r="7793" spans="2:7" hidden="1">
      <c r="B7793" s="140"/>
      <c r="C7793" s="140"/>
      <c r="D7793" s="140"/>
      <c r="E7793" s="142"/>
      <c r="F7793" s="142"/>
      <c r="G7793" s="140"/>
    </row>
    <row r="7794" spans="2:7" hidden="1">
      <c r="B7794" s="140"/>
      <c r="C7794" s="140"/>
      <c r="D7794" s="140"/>
      <c r="E7794" s="142"/>
      <c r="F7794" s="142"/>
      <c r="G7794" s="140"/>
    </row>
    <row r="7795" spans="2:7" hidden="1">
      <c r="B7795" s="140"/>
      <c r="C7795" s="140"/>
      <c r="D7795" s="140"/>
      <c r="E7795" s="142"/>
      <c r="F7795" s="142"/>
      <c r="G7795" s="140"/>
    </row>
    <row r="7796" spans="2:7" hidden="1">
      <c r="B7796" s="140"/>
      <c r="C7796" s="140"/>
      <c r="D7796" s="140"/>
      <c r="E7796" s="142"/>
      <c r="F7796" s="142"/>
      <c r="G7796" s="140"/>
    </row>
    <row r="7797" spans="2:7" hidden="1">
      <c r="B7797" s="140"/>
      <c r="C7797" s="140"/>
      <c r="D7797" s="140"/>
      <c r="E7797" s="142"/>
      <c r="F7797" s="142"/>
      <c r="G7797" s="140"/>
    </row>
    <row r="7798" spans="2:7" hidden="1">
      <c r="B7798" s="140"/>
      <c r="C7798" s="140"/>
      <c r="D7798" s="140"/>
      <c r="E7798" s="142"/>
      <c r="F7798" s="142"/>
      <c r="G7798" s="140"/>
    </row>
    <row r="7799" spans="2:7" hidden="1">
      <c r="B7799" s="140"/>
      <c r="C7799" s="140"/>
      <c r="D7799" s="140"/>
      <c r="E7799" s="142"/>
      <c r="F7799" s="142"/>
      <c r="G7799" s="140"/>
    </row>
    <row r="7800" spans="2:7" hidden="1">
      <c r="B7800" s="140"/>
      <c r="C7800" s="140"/>
      <c r="D7800" s="140"/>
      <c r="E7800" s="142"/>
      <c r="F7800" s="142"/>
      <c r="G7800" s="140"/>
    </row>
    <row r="7801" spans="2:7" hidden="1">
      <c r="B7801" s="140"/>
      <c r="C7801" s="140"/>
      <c r="D7801" s="140"/>
      <c r="E7801" s="142"/>
      <c r="F7801" s="142"/>
      <c r="G7801" s="140"/>
    </row>
    <row r="7802" spans="2:7" hidden="1">
      <c r="B7802" s="140"/>
      <c r="C7802" s="140"/>
      <c r="D7802" s="140"/>
      <c r="E7802" s="142"/>
      <c r="F7802" s="142"/>
      <c r="G7802" s="140"/>
    </row>
    <row r="7803" spans="2:7" hidden="1">
      <c r="B7803" s="140"/>
      <c r="C7803" s="140"/>
      <c r="D7803" s="140"/>
      <c r="E7803" s="142"/>
      <c r="F7803" s="142"/>
      <c r="G7803" s="140"/>
    </row>
    <row r="7804" spans="2:7" hidden="1">
      <c r="B7804" s="140"/>
      <c r="C7804" s="140"/>
      <c r="D7804" s="140"/>
      <c r="E7804" s="142"/>
      <c r="F7804" s="142"/>
      <c r="G7804" s="140"/>
    </row>
    <row r="7805" spans="2:7" hidden="1">
      <c r="B7805" s="140"/>
      <c r="C7805" s="140"/>
      <c r="D7805" s="140"/>
      <c r="E7805" s="142"/>
      <c r="F7805" s="142"/>
      <c r="G7805" s="140"/>
    </row>
    <row r="7806" spans="2:7" hidden="1">
      <c r="B7806" s="140"/>
      <c r="C7806" s="140"/>
      <c r="D7806" s="140"/>
      <c r="E7806" s="142"/>
      <c r="F7806" s="142"/>
      <c r="G7806" s="140"/>
    </row>
    <row r="7807" spans="2:7" hidden="1">
      <c r="B7807" s="140"/>
      <c r="C7807" s="140"/>
      <c r="D7807" s="140"/>
      <c r="E7807" s="142"/>
      <c r="F7807" s="142"/>
      <c r="G7807" s="140"/>
    </row>
    <row r="7808" spans="2:7" hidden="1">
      <c r="B7808" s="140"/>
      <c r="C7808" s="140"/>
      <c r="D7808" s="140"/>
      <c r="E7808" s="142"/>
      <c r="F7808" s="142"/>
      <c r="G7808" s="140"/>
    </row>
    <row r="7809" spans="2:7" hidden="1">
      <c r="B7809" s="140"/>
      <c r="C7809" s="140"/>
      <c r="D7809" s="140"/>
      <c r="E7809" s="142"/>
      <c r="F7809" s="142"/>
      <c r="G7809" s="140"/>
    </row>
    <row r="7810" spans="2:7" hidden="1">
      <c r="B7810" s="140"/>
      <c r="C7810" s="140"/>
      <c r="D7810" s="140"/>
      <c r="E7810" s="142"/>
      <c r="F7810" s="142"/>
      <c r="G7810" s="140"/>
    </row>
    <row r="7811" spans="2:7" hidden="1">
      <c r="B7811" s="140"/>
      <c r="C7811" s="140"/>
      <c r="D7811" s="140"/>
      <c r="E7811" s="142"/>
      <c r="F7811" s="142"/>
      <c r="G7811" s="140"/>
    </row>
    <row r="7812" spans="2:7" hidden="1">
      <c r="B7812" s="140"/>
      <c r="C7812" s="140"/>
      <c r="D7812" s="140"/>
      <c r="E7812" s="142"/>
      <c r="F7812" s="142"/>
      <c r="G7812" s="140"/>
    </row>
    <row r="7813" spans="2:7" hidden="1">
      <c r="B7813" s="140"/>
      <c r="C7813" s="140"/>
      <c r="D7813" s="140"/>
      <c r="E7813" s="142"/>
      <c r="F7813" s="142"/>
      <c r="G7813" s="140"/>
    </row>
    <row r="7814" spans="2:7" hidden="1">
      <c r="B7814" s="140"/>
      <c r="C7814" s="140"/>
      <c r="D7814" s="140"/>
      <c r="E7814" s="142"/>
      <c r="F7814" s="142"/>
      <c r="G7814" s="140"/>
    </row>
    <row r="7815" spans="2:7" hidden="1">
      <c r="B7815" s="140"/>
      <c r="C7815" s="140"/>
      <c r="D7815" s="140"/>
      <c r="E7815" s="142"/>
      <c r="F7815" s="142"/>
      <c r="G7815" s="140"/>
    </row>
    <row r="7816" spans="2:7" hidden="1">
      <c r="B7816" s="140"/>
      <c r="C7816" s="140"/>
      <c r="D7816" s="140"/>
      <c r="E7816" s="142"/>
      <c r="F7816" s="142"/>
      <c r="G7816" s="140"/>
    </row>
    <row r="7817" spans="2:7" hidden="1">
      <c r="B7817" s="140"/>
      <c r="C7817" s="140"/>
      <c r="D7817" s="140"/>
      <c r="E7817" s="142"/>
      <c r="F7817" s="142"/>
      <c r="G7817" s="140"/>
    </row>
    <row r="7818" spans="2:7" hidden="1">
      <c r="B7818" s="140"/>
      <c r="C7818" s="140"/>
      <c r="D7818" s="140"/>
      <c r="E7818" s="142"/>
      <c r="F7818" s="142"/>
      <c r="G7818" s="140"/>
    </row>
    <row r="7819" spans="2:7" hidden="1">
      <c r="B7819" s="140"/>
      <c r="C7819" s="140"/>
      <c r="D7819" s="140"/>
      <c r="E7819" s="142"/>
      <c r="F7819" s="142"/>
      <c r="G7819" s="140"/>
    </row>
    <row r="7820" spans="2:7" hidden="1">
      <c r="B7820" s="140"/>
      <c r="C7820" s="140"/>
      <c r="D7820" s="140"/>
      <c r="E7820" s="142"/>
      <c r="F7820" s="142"/>
      <c r="G7820" s="140"/>
    </row>
    <row r="7821" spans="2:7" hidden="1">
      <c r="B7821" s="140"/>
      <c r="C7821" s="140"/>
      <c r="D7821" s="140"/>
      <c r="E7821" s="142"/>
      <c r="F7821" s="142"/>
      <c r="G7821" s="140"/>
    </row>
    <row r="7822" spans="2:7" hidden="1">
      <c r="B7822" s="140"/>
      <c r="C7822" s="140"/>
      <c r="D7822" s="140"/>
      <c r="E7822" s="142"/>
      <c r="F7822" s="142"/>
      <c r="G7822" s="140"/>
    </row>
    <row r="7823" spans="2:7" hidden="1">
      <c r="B7823" s="140"/>
      <c r="C7823" s="140"/>
      <c r="D7823" s="140"/>
      <c r="E7823" s="142"/>
      <c r="F7823" s="142"/>
      <c r="G7823" s="140"/>
    </row>
    <row r="7824" spans="2:7" hidden="1">
      <c r="B7824" s="140"/>
      <c r="C7824" s="140"/>
      <c r="D7824" s="140"/>
      <c r="E7824" s="142"/>
      <c r="F7824" s="142"/>
      <c r="G7824" s="140"/>
    </row>
    <row r="7825" spans="2:7" hidden="1">
      <c r="B7825" s="140"/>
      <c r="C7825" s="140"/>
      <c r="D7825" s="140"/>
      <c r="E7825" s="142"/>
      <c r="F7825" s="142"/>
      <c r="G7825" s="140"/>
    </row>
    <row r="7826" spans="2:7" hidden="1">
      <c r="B7826" s="140"/>
      <c r="C7826" s="140"/>
      <c r="D7826" s="140"/>
      <c r="E7826" s="142"/>
      <c r="F7826" s="142"/>
      <c r="G7826" s="140"/>
    </row>
    <row r="7827" spans="2:7" hidden="1">
      <c r="B7827" s="140"/>
      <c r="C7827" s="140"/>
      <c r="D7827" s="140"/>
      <c r="E7827" s="142"/>
      <c r="F7827" s="142"/>
      <c r="G7827" s="140"/>
    </row>
    <row r="7828" spans="2:7" hidden="1">
      <c r="B7828" s="140"/>
      <c r="C7828" s="140"/>
      <c r="D7828" s="140"/>
      <c r="E7828" s="142"/>
      <c r="F7828" s="142"/>
      <c r="G7828" s="140"/>
    </row>
    <row r="7829" spans="2:7" hidden="1">
      <c r="B7829" s="140"/>
      <c r="C7829" s="140"/>
      <c r="D7829" s="140"/>
      <c r="E7829" s="142"/>
      <c r="F7829" s="142"/>
      <c r="G7829" s="140"/>
    </row>
    <row r="7830" spans="2:7" hidden="1">
      <c r="B7830" s="140"/>
      <c r="C7830" s="140"/>
      <c r="D7830" s="140"/>
      <c r="E7830" s="142"/>
      <c r="F7830" s="142"/>
      <c r="G7830" s="140"/>
    </row>
    <row r="7831" spans="2:7" hidden="1">
      <c r="B7831" s="140"/>
      <c r="C7831" s="140"/>
      <c r="D7831" s="140"/>
      <c r="E7831" s="142"/>
      <c r="F7831" s="142"/>
      <c r="G7831" s="140"/>
    </row>
    <row r="7832" spans="2:7" hidden="1">
      <c r="B7832" s="140"/>
      <c r="C7832" s="140"/>
      <c r="D7832" s="140"/>
      <c r="E7832" s="142"/>
      <c r="F7832" s="142"/>
      <c r="G7832" s="140"/>
    </row>
    <row r="7833" spans="2:7" hidden="1">
      <c r="B7833" s="140"/>
      <c r="C7833" s="140"/>
      <c r="D7833" s="140"/>
      <c r="E7833" s="142"/>
      <c r="F7833" s="142"/>
      <c r="G7833" s="140"/>
    </row>
    <row r="7834" spans="2:7" hidden="1">
      <c r="B7834" s="140"/>
      <c r="C7834" s="140"/>
      <c r="D7834" s="140"/>
      <c r="E7834" s="142"/>
      <c r="F7834" s="142"/>
      <c r="G7834" s="140"/>
    </row>
    <row r="7835" spans="2:7" hidden="1">
      <c r="B7835" s="140"/>
      <c r="C7835" s="140"/>
      <c r="D7835" s="140"/>
      <c r="E7835" s="142"/>
      <c r="F7835" s="142"/>
      <c r="G7835" s="140"/>
    </row>
    <row r="7836" spans="2:7" hidden="1">
      <c r="B7836" s="140"/>
      <c r="C7836" s="140"/>
      <c r="D7836" s="140"/>
      <c r="E7836" s="142"/>
      <c r="F7836" s="142"/>
      <c r="G7836" s="140"/>
    </row>
    <row r="7837" spans="2:7" hidden="1">
      <c r="B7837" s="140"/>
      <c r="C7837" s="140"/>
      <c r="D7837" s="140"/>
      <c r="E7837" s="142"/>
      <c r="F7837" s="142"/>
      <c r="G7837" s="140"/>
    </row>
    <row r="7838" spans="2:7" hidden="1">
      <c r="B7838" s="140"/>
      <c r="C7838" s="140"/>
      <c r="D7838" s="140"/>
      <c r="E7838" s="142"/>
      <c r="F7838" s="142"/>
      <c r="G7838" s="140"/>
    </row>
    <row r="7839" spans="2:7" hidden="1">
      <c r="B7839" s="140"/>
      <c r="C7839" s="140"/>
      <c r="D7839" s="140"/>
      <c r="E7839" s="142"/>
      <c r="F7839" s="142"/>
      <c r="G7839" s="140"/>
    </row>
    <row r="7840" spans="2:7" hidden="1">
      <c r="B7840" s="140"/>
      <c r="C7840" s="140"/>
      <c r="D7840" s="140"/>
      <c r="E7840" s="142"/>
      <c r="F7840" s="142"/>
      <c r="G7840" s="140"/>
    </row>
    <row r="7841" spans="2:7" hidden="1">
      <c r="B7841" s="140"/>
      <c r="C7841" s="140"/>
      <c r="D7841" s="140"/>
      <c r="E7841" s="142"/>
      <c r="F7841" s="142"/>
      <c r="G7841" s="140"/>
    </row>
    <row r="7842" spans="2:7" hidden="1">
      <c r="B7842" s="140"/>
      <c r="C7842" s="140"/>
      <c r="D7842" s="140"/>
      <c r="E7842" s="142"/>
      <c r="F7842" s="142"/>
      <c r="G7842" s="140"/>
    </row>
    <row r="7843" spans="2:7" hidden="1">
      <c r="B7843" s="140"/>
      <c r="C7843" s="140"/>
      <c r="D7843" s="140"/>
      <c r="E7843" s="142"/>
      <c r="F7843" s="142"/>
      <c r="G7843" s="140"/>
    </row>
    <row r="7844" spans="2:7" hidden="1">
      <c r="B7844" s="140"/>
      <c r="C7844" s="140"/>
      <c r="D7844" s="140"/>
      <c r="E7844" s="142"/>
      <c r="F7844" s="142"/>
      <c r="G7844" s="140"/>
    </row>
    <row r="7845" spans="2:7" hidden="1">
      <c r="B7845" s="140"/>
      <c r="C7845" s="140"/>
      <c r="D7845" s="140"/>
      <c r="E7845" s="142"/>
      <c r="F7845" s="142"/>
      <c r="G7845" s="140"/>
    </row>
    <row r="7846" spans="2:7" hidden="1">
      <c r="B7846" s="140"/>
      <c r="C7846" s="140"/>
      <c r="D7846" s="140"/>
      <c r="E7846" s="142"/>
      <c r="F7846" s="142"/>
      <c r="G7846" s="140"/>
    </row>
    <row r="7847" spans="2:7" hidden="1">
      <c r="B7847" s="140"/>
      <c r="C7847" s="140"/>
      <c r="D7847" s="140"/>
      <c r="E7847" s="142"/>
      <c r="F7847" s="142"/>
      <c r="G7847" s="140"/>
    </row>
    <row r="7848" spans="2:7" hidden="1">
      <c r="B7848" s="140"/>
      <c r="C7848" s="140"/>
      <c r="D7848" s="140"/>
      <c r="E7848" s="142"/>
      <c r="F7848" s="142"/>
      <c r="G7848" s="140"/>
    </row>
    <row r="7849" spans="2:7" hidden="1">
      <c r="B7849" s="140"/>
      <c r="C7849" s="140"/>
      <c r="D7849" s="140"/>
      <c r="E7849" s="142"/>
      <c r="F7849" s="142"/>
      <c r="G7849" s="140"/>
    </row>
    <row r="7850" spans="2:7" hidden="1">
      <c r="B7850" s="140"/>
      <c r="C7850" s="140"/>
      <c r="D7850" s="140"/>
      <c r="E7850" s="142"/>
      <c r="F7850" s="142"/>
      <c r="G7850" s="140"/>
    </row>
    <row r="7851" spans="2:7" hidden="1">
      <c r="B7851" s="140"/>
      <c r="C7851" s="140"/>
      <c r="D7851" s="140"/>
      <c r="E7851" s="142"/>
      <c r="F7851" s="142"/>
      <c r="G7851" s="140"/>
    </row>
    <row r="7852" spans="2:7" hidden="1">
      <c r="B7852" s="140"/>
      <c r="C7852" s="140"/>
      <c r="D7852" s="140"/>
      <c r="E7852" s="142"/>
      <c r="F7852" s="142"/>
      <c r="G7852" s="140"/>
    </row>
    <row r="7853" spans="2:7" hidden="1">
      <c r="B7853" s="140"/>
      <c r="C7853" s="140"/>
      <c r="D7853" s="140"/>
      <c r="E7853" s="142"/>
      <c r="F7853" s="142"/>
      <c r="G7853" s="140"/>
    </row>
    <row r="7854" spans="2:7" hidden="1">
      <c r="B7854" s="140"/>
      <c r="C7854" s="140"/>
      <c r="D7854" s="140"/>
      <c r="E7854" s="142"/>
      <c r="F7854" s="142"/>
      <c r="G7854" s="140"/>
    </row>
    <row r="7855" spans="2:7" hidden="1">
      <c r="B7855" s="140"/>
      <c r="C7855" s="140"/>
      <c r="D7855" s="140"/>
      <c r="E7855" s="142"/>
      <c r="F7855" s="142"/>
      <c r="G7855" s="140"/>
    </row>
    <row r="7856" spans="2:7" hidden="1">
      <c r="B7856" s="140"/>
      <c r="C7856" s="140"/>
      <c r="D7856" s="140"/>
      <c r="E7856" s="142"/>
      <c r="F7856" s="142"/>
      <c r="G7856" s="140"/>
    </row>
    <row r="7857" spans="2:7" hidden="1">
      <c r="B7857" s="140"/>
      <c r="C7857" s="140"/>
      <c r="D7857" s="140"/>
      <c r="E7857" s="142"/>
      <c r="F7857" s="142"/>
      <c r="G7857" s="140"/>
    </row>
    <row r="7858" spans="2:7" hidden="1">
      <c r="B7858" s="140"/>
      <c r="C7858" s="140"/>
      <c r="D7858" s="140"/>
      <c r="E7858" s="142"/>
      <c r="F7858" s="142"/>
      <c r="G7858" s="140"/>
    </row>
    <row r="7859" spans="2:7" hidden="1">
      <c r="B7859" s="140"/>
      <c r="C7859" s="140"/>
      <c r="D7859" s="140"/>
      <c r="E7859" s="142"/>
      <c r="F7859" s="142"/>
      <c r="G7859" s="140"/>
    </row>
    <row r="7860" spans="2:7" hidden="1">
      <c r="B7860" s="140"/>
      <c r="C7860" s="140"/>
      <c r="D7860" s="140"/>
      <c r="E7860" s="142"/>
      <c r="F7860" s="142"/>
      <c r="G7860" s="140"/>
    </row>
    <row r="7861" spans="2:7" hidden="1">
      <c r="B7861" s="140"/>
      <c r="C7861" s="140"/>
      <c r="D7861" s="140"/>
      <c r="E7861" s="142"/>
      <c r="F7861" s="142"/>
      <c r="G7861" s="140"/>
    </row>
    <row r="7862" spans="2:7" hidden="1">
      <c r="B7862" s="140"/>
      <c r="C7862" s="140"/>
      <c r="D7862" s="140"/>
      <c r="E7862" s="142"/>
      <c r="F7862" s="142"/>
      <c r="G7862" s="140"/>
    </row>
    <row r="7863" spans="2:7" hidden="1">
      <c r="B7863" s="140"/>
      <c r="C7863" s="140"/>
      <c r="D7863" s="140"/>
      <c r="E7863" s="142"/>
      <c r="F7863" s="142"/>
      <c r="G7863" s="140"/>
    </row>
    <row r="7864" spans="2:7" hidden="1">
      <c r="B7864" s="140"/>
      <c r="C7864" s="140"/>
      <c r="D7864" s="140"/>
      <c r="E7864" s="142"/>
      <c r="F7864" s="142"/>
      <c r="G7864" s="140"/>
    </row>
    <row r="7865" spans="2:7" hidden="1">
      <c r="B7865" s="140"/>
      <c r="C7865" s="140"/>
      <c r="D7865" s="140"/>
      <c r="E7865" s="142"/>
      <c r="F7865" s="142"/>
      <c r="G7865" s="140"/>
    </row>
    <row r="7866" spans="2:7" hidden="1">
      <c r="B7866" s="140"/>
      <c r="C7866" s="140"/>
      <c r="D7866" s="140"/>
      <c r="E7866" s="142"/>
      <c r="F7866" s="142"/>
      <c r="G7866" s="140"/>
    </row>
    <row r="7867" spans="2:7" hidden="1">
      <c r="B7867" s="140"/>
      <c r="C7867" s="140"/>
      <c r="D7867" s="140"/>
      <c r="E7867" s="142"/>
      <c r="F7867" s="142"/>
      <c r="G7867" s="140"/>
    </row>
    <row r="7868" spans="2:7" hidden="1">
      <c r="B7868" s="140"/>
      <c r="C7868" s="140"/>
      <c r="D7868" s="140"/>
      <c r="E7868" s="142"/>
      <c r="F7868" s="142"/>
      <c r="G7868" s="140"/>
    </row>
    <row r="7869" spans="2:7" hidden="1">
      <c r="B7869" s="140"/>
      <c r="C7869" s="140"/>
      <c r="D7869" s="140"/>
      <c r="E7869" s="142"/>
      <c r="F7869" s="142"/>
      <c r="G7869" s="140"/>
    </row>
    <row r="7870" spans="2:7" hidden="1">
      <c r="B7870" s="140"/>
      <c r="C7870" s="140"/>
      <c r="D7870" s="140"/>
      <c r="E7870" s="142"/>
      <c r="F7870" s="142"/>
      <c r="G7870" s="140"/>
    </row>
    <row r="7871" spans="2:7" hidden="1">
      <c r="B7871" s="140"/>
      <c r="C7871" s="140"/>
      <c r="D7871" s="140"/>
      <c r="E7871" s="142"/>
      <c r="F7871" s="142"/>
      <c r="G7871" s="140"/>
    </row>
    <row r="7872" spans="2:7" hidden="1">
      <c r="B7872" s="140"/>
      <c r="C7872" s="140"/>
      <c r="D7872" s="140"/>
      <c r="E7872" s="142"/>
      <c r="F7872" s="142"/>
      <c r="G7872" s="140"/>
    </row>
    <row r="7873" spans="2:7" hidden="1">
      <c r="B7873" s="140"/>
      <c r="C7873" s="140"/>
      <c r="D7873" s="140"/>
      <c r="E7873" s="142"/>
      <c r="F7873" s="142"/>
      <c r="G7873" s="140"/>
    </row>
    <row r="7874" spans="2:7" hidden="1">
      <c r="B7874" s="140"/>
      <c r="C7874" s="140"/>
      <c r="D7874" s="140"/>
      <c r="E7874" s="142"/>
      <c r="F7874" s="142"/>
      <c r="G7874" s="140"/>
    </row>
    <row r="7875" spans="2:7" hidden="1">
      <c r="B7875" s="140"/>
      <c r="C7875" s="140"/>
      <c r="D7875" s="140"/>
      <c r="E7875" s="142"/>
      <c r="F7875" s="142"/>
      <c r="G7875" s="140"/>
    </row>
    <row r="7876" spans="2:7" hidden="1">
      <c r="B7876" s="140"/>
      <c r="C7876" s="140"/>
      <c r="D7876" s="140"/>
      <c r="E7876" s="142"/>
      <c r="F7876" s="142"/>
      <c r="G7876" s="140"/>
    </row>
    <row r="7877" spans="2:7" hidden="1">
      <c r="B7877" s="140"/>
      <c r="C7877" s="140"/>
      <c r="D7877" s="140"/>
      <c r="E7877" s="142"/>
      <c r="F7877" s="142"/>
      <c r="G7877" s="140"/>
    </row>
    <row r="7878" spans="2:7" hidden="1">
      <c r="B7878" s="140"/>
      <c r="C7878" s="140"/>
      <c r="D7878" s="140"/>
      <c r="E7878" s="142"/>
      <c r="F7878" s="142"/>
      <c r="G7878" s="140"/>
    </row>
    <row r="7879" spans="2:7" hidden="1">
      <c r="B7879" s="140"/>
      <c r="C7879" s="140"/>
      <c r="D7879" s="140"/>
      <c r="E7879" s="142"/>
      <c r="F7879" s="142"/>
      <c r="G7879" s="140"/>
    </row>
    <row r="7880" spans="2:7" hidden="1">
      <c r="B7880" s="140"/>
      <c r="C7880" s="140"/>
      <c r="D7880" s="140"/>
      <c r="E7880" s="142"/>
      <c r="F7880" s="142"/>
      <c r="G7880" s="140"/>
    </row>
    <row r="7881" spans="2:7" hidden="1">
      <c r="B7881" s="140"/>
      <c r="C7881" s="140"/>
      <c r="D7881" s="140"/>
      <c r="E7881" s="142"/>
      <c r="F7881" s="142"/>
      <c r="G7881" s="140"/>
    </row>
    <row r="7882" spans="2:7" hidden="1">
      <c r="B7882" s="140"/>
      <c r="C7882" s="140"/>
      <c r="D7882" s="140"/>
      <c r="E7882" s="142"/>
      <c r="F7882" s="142"/>
      <c r="G7882" s="140"/>
    </row>
    <row r="7883" spans="2:7" hidden="1">
      <c r="B7883" s="140"/>
      <c r="C7883" s="140"/>
      <c r="D7883" s="140"/>
      <c r="E7883" s="142"/>
      <c r="F7883" s="142"/>
      <c r="G7883" s="140"/>
    </row>
    <row r="7884" spans="2:7" hidden="1">
      <c r="B7884" s="140"/>
      <c r="C7884" s="140"/>
      <c r="D7884" s="140"/>
      <c r="E7884" s="142"/>
      <c r="F7884" s="142"/>
      <c r="G7884" s="140"/>
    </row>
    <row r="7885" spans="2:7" hidden="1">
      <c r="B7885" s="140"/>
      <c r="C7885" s="140"/>
      <c r="D7885" s="140"/>
      <c r="E7885" s="142"/>
      <c r="F7885" s="142"/>
      <c r="G7885" s="140"/>
    </row>
    <row r="7886" spans="2:7" hidden="1">
      <c r="B7886" s="140"/>
      <c r="C7886" s="140"/>
      <c r="D7886" s="140"/>
      <c r="E7886" s="142"/>
      <c r="F7886" s="142"/>
      <c r="G7886" s="140"/>
    </row>
    <row r="7887" spans="2:7" hidden="1">
      <c r="B7887" s="140"/>
      <c r="C7887" s="140"/>
      <c r="D7887" s="140"/>
      <c r="E7887" s="142"/>
      <c r="F7887" s="142"/>
      <c r="G7887" s="140"/>
    </row>
    <row r="7888" spans="2:7" hidden="1">
      <c r="B7888" s="140"/>
      <c r="C7888" s="140"/>
      <c r="D7888" s="140"/>
      <c r="E7888" s="142"/>
      <c r="F7888" s="142"/>
      <c r="G7888" s="140"/>
    </row>
    <row r="7889" spans="2:7" hidden="1">
      <c r="B7889" s="140"/>
      <c r="C7889" s="140"/>
      <c r="D7889" s="140"/>
      <c r="E7889" s="142"/>
      <c r="F7889" s="142"/>
      <c r="G7889" s="140"/>
    </row>
    <row r="7890" spans="2:7" hidden="1">
      <c r="B7890" s="140"/>
      <c r="C7890" s="140"/>
      <c r="D7890" s="140"/>
      <c r="E7890" s="142"/>
      <c r="F7890" s="142"/>
      <c r="G7890" s="140"/>
    </row>
    <row r="7891" spans="2:7" hidden="1">
      <c r="B7891" s="140"/>
      <c r="C7891" s="140"/>
      <c r="D7891" s="140"/>
      <c r="E7891" s="142"/>
      <c r="F7891" s="142"/>
      <c r="G7891" s="140"/>
    </row>
    <row r="7892" spans="2:7" hidden="1">
      <c r="B7892" s="140"/>
      <c r="C7892" s="140"/>
      <c r="D7892" s="140"/>
      <c r="E7892" s="142"/>
      <c r="F7892" s="142"/>
      <c r="G7892" s="140"/>
    </row>
    <row r="7893" spans="2:7" hidden="1">
      <c r="B7893" s="140"/>
      <c r="C7893" s="140"/>
      <c r="D7893" s="140"/>
      <c r="E7893" s="142"/>
      <c r="F7893" s="142"/>
      <c r="G7893" s="140"/>
    </row>
    <row r="7894" spans="2:7" hidden="1">
      <c r="B7894" s="140"/>
      <c r="C7894" s="140"/>
      <c r="D7894" s="140"/>
      <c r="E7894" s="142"/>
      <c r="F7894" s="142"/>
      <c r="G7894" s="140"/>
    </row>
    <row r="7895" spans="2:7" hidden="1">
      <c r="B7895" s="140"/>
      <c r="C7895" s="140"/>
      <c r="D7895" s="140"/>
      <c r="E7895" s="142"/>
      <c r="F7895" s="142"/>
      <c r="G7895" s="140"/>
    </row>
    <row r="7896" spans="2:7" hidden="1">
      <c r="B7896" s="140"/>
      <c r="C7896" s="140"/>
      <c r="D7896" s="140"/>
      <c r="E7896" s="142"/>
      <c r="F7896" s="142"/>
      <c r="G7896" s="140"/>
    </row>
    <row r="7897" spans="2:7" hidden="1">
      <c r="B7897" s="140"/>
      <c r="C7897" s="140"/>
      <c r="D7897" s="140"/>
      <c r="E7897" s="142"/>
      <c r="F7897" s="142"/>
      <c r="G7897" s="140"/>
    </row>
    <row r="7898" spans="2:7" hidden="1">
      <c r="B7898" s="140"/>
      <c r="C7898" s="140"/>
      <c r="D7898" s="140"/>
      <c r="E7898" s="142"/>
      <c r="F7898" s="142"/>
      <c r="G7898" s="140"/>
    </row>
    <row r="7899" spans="2:7" hidden="1">
      <c r="B7899" s="140"/>
      <c r="C7899" s="140"/>
      <c r="D7899" s="140"/>
      <c r="E7899" s="142"/>
      <c r="F7899" s="142"/>
      <c r="G7899" s="140"/>
    </row>
    <row r="7900" spans="2:7" hidden="1">
      <c r="B7900" s="140"/>
      <c r="C7900" s="140"/>
      <c r="D7900" s="140"/>
      <c r="E7900" s="142"/>
      <c r="F7900" s="142"/>
      <c r="G7900" s="140"/>
    </row>
    <row r="7901" spans="2:7" hidden="1">
      <c r="B7901" s="140"/>
      <c r="C7901" s="140"/>
      <c r="D7901" s="140"/>
      <c r="E7901" s="142"/>
      <c r="F7901" s="142"/>
      <c r="G7901" s="140"/>
    </row>
    <row r="7902" spans="2:7" hidden="1">
      <c r="B7902" s="140"/>
      <c r="C7902" s="140"/>
      <c r="D7902" s="140"/>
      <c r="E7902" s="142"/>
      <c r="F7902" s="142"/>
      <c r="G7902" s="140"/>
    </row>
    <row r="7903" spans="2:7" hidden="1">
      <c r="B7903" s="140"/>
      <c r="C7903" s="140"/>
      <c r="D7903" s="140"/>
      <c r="E7903" s="142"/>
      <c r="F7903" s="142"/>
      <c r="G7903" s="140"/>
    </row>
    <row r="7904" spans="2:7" hidden="1">
      <c r="B7904" s="140"/>
      <c r="C7904" s="140"/>
      <c r="D7904" s="140"/>
      <c r="E7904" s="142"/>
      <c r="F7904" s="142"/>
      <c r="G7904" s="140"/>
    </row>
    <row r="7905" spans="2:7" hidden="1">
      <c r="B7905" s="140"/>
      <c r="C7905" s="140"/>
      <c r="D7905" s="140"/>
      <c r="E7905" s="142"/>
      <c r="F7905" s="142"/>
      <c r="G7905" s="140"/>
    </row>
    <row r="7906" spans="2:7" hidden="1">
      <c r="B7906" s="140"/>
      <c r="C7906" s="140"/>
      <c r="D7906" s="140"/>
      <c r="E7906" s="142"/>
      <c r="F7906" s="142"/>
      <c r="G7906" s="140"/>
    </row>
    <row r="7907" spans="2:7" hidden="1">
      <c r="B7907" s="140"/>
      <c r="C7907" s="140"/>
      <c r="D7907" s="140"/>
      <c r="E7907" s="142"/>
      <c r="F7907" s="142"/>
      <c r="G7907" s="140"/>
    </row>
    <row r="7908" spans="2:7" hidden="1">
      <c r="B7908" s="140"/>
      <c r="C7908" s="140"/>
      <c r="D7908" s="140"/>
      <c r="E7908" s="142"/>
      <c r="F7908" s="142"/>
      <c r="G7908" s="140"/>
    </row>
    <row r="7909" spans="2:7" hidden="1">
      <c r="B7909" s="140"/>
      <c r="C7909" s="140"/>
      <c r="D7909" s="140"/>
      <c r="E7909" s="142"/>
      <c r="F7909" s="142"/>
      <c r="G7909" s="140"/>
    </row>
    <row r="7910" spans="2:7" hidden="1">
      <c r="B7910" s="140"/>
      <c r="C7910" s="140"/>
      <c r="D7910" s="140"/>
      <c r="E7910" s="142"/>
      <c r="F7910" s="142"/>
      <c r="G7910" s="140"/>
    </row>
    <row r="7911" spans="2:7" hidden="1">
      <c r="B7911" s="140"/>
      <c r="C7911" s="140"/>
      <c r="D7911" s="140"/>
      <c r="E7911" s="142"/>
      <c r="F7911" s="142"/>
      <c r="G7911" s="140"/>
    </row>
    <row r="7912" spans="2:7" hidden="1">
      <c r="B7912" s="140"/>
      <c r="C7912" s="140"/>
      <c r="D7912" s="140"/>
      <c r="E7912" s="142"/>
      <c r="F7912" s="142"/>
      <c r="G7912" s="140"/>
    </row>
    <row r="7913" spans="2:7" hidden="1">
      <c r="B7913" s="140"/>
      <c r="C7913" s="140"/>
      <c r="D7913" s="140"/>
      <c r="E7913" s="142"/>
      <c r="F7913" s="142"/>
      <c r="G7913" s="140"/>
    </row>
    <row r="7914" spans="2:7" hidden="1">
      <c r="B7914" s="140"/>
      <c r="C7914" s="140"/>
      <c r="D7914" s="140"/>
      <c r="E7914" s="142"/>
      <c r="F7914" s="142"/>
      <c r="G7914" s="140"/>
    </row>
    <row r="7915" spans="2:7" hidden="1">
      <c r="B7915" s="140"/>
      <c r="C7915" s="140"/>
      <c r="D7915" s="140"/>
      <c r="E7915" s="142"/>
      <c r="F7915" s="142"/>
      <c r="G7915" s="140"/>
    </row>
    <row r="7916" spans="2:7" hidden="1">
      <c r="B7916" s="140"/>
      <c r="C7916" s="140"/>
      <c r="D7916" s="140"/>
      <c r="E7916" s="142"/>
      <c r="F7916" s="142"/>
      <c r="G7916" s="140"/>
    </row>
    <row r="7917" spans="2:7" hidden="1">
      <c r="B7917" s="140"/>
      <c r="C7917" s="140"/>
      <c r="D7917" s="140"/>
      <c r="E7917" s="142"/>
      <c r="F7917" s="142"/>
      <c r="G7917" s="140"/>
    </row>
    <row r="7918" spans="2:7" hidden="1">
      <c r="B7918" s="140"/>
      <c r="C7918" s="140"/>
      <c r="D7918" s="140"/>
      <c r="E7918" s="142"/>
      <c r="F7918" s="142"/>
      <c r="G7918" s="140"/>
    </row>
    <row r="7919" spans="2:7" hidden="1">
      <c r="B7919" s="140"/>
      <c r="C7919" s="140"/>
      <c r="D7919" s="140"/>
      <c r="E7919" s="142"/>
      <c r="F7919" s="142"/>
      <c r="G7919" s="140"/>
    </row>
    <row r="7920" spans="2:7" hidden="1">
      <c r="B7920" s="140"/>
      <c r="C7920" s="140"/>
      <c r="D7920" s="140"/>
      <c r="E7920" s="142"/>
      <c r="F7920" s="142"/>
      <c r="G7920" s="140"/>
    </row>
    <row r="7921" spans="2:7" hidden="1">
      <c r="B7921" s="140"/>
      <c r="C7921" s="140"/>
      <c r="D7921" s="140"/>
      <c r="E7921" s="142"/>
      <c r="F7921" s="142"/>
      <c r="G7921" s="140"/>
    </row>
    <row r="7922" spans="2:7" hidden="1">
      <c r="B7922" s="140"/>
      <c r="C7922" s="140"/>
      <c r="D7922" s="140"/>
      <c r="E7922" s="142"/>
      <c r="F7922" s="142"/>
      <c r="G7922" s="140"/>
    </row>
    <row r="7923" spans="2:7" hidden="1">
      <c r="B7923" s="140"/>
      <c r="C7923" s="140"/>
      <c r="D7923" s="140"/>
      <c r="E7923" s="142"/>
      <c r="F7923" s="142"/>
      <c r="G7923" s="140"/>
    </row>
    <row r="7924" spans="2:7" hidden="1">
      <c r="B7924" s="140"/>
      <c r="C7924" s="140"/>
      <c r="D7924" s="140"/>
      <c r="E7924" s="142"/>
      <c r="F7924" s="142"/>
      <c r="G7924" s="140"/>
    </row>
    <row r="7925" spans="2:7" hidden="1">
      <c r="B7925" s="140"/>
      <c r="C7925" s="140"/>
      <c r="D7925" s="140"/>
      <c r="E7925" s="142"/>
      <c r="F7925" s="142"/>
      <c r="G7925" s="140"/>
    </row>
    <row r="7926" spans="2:7" hidden="1">
      <c r="B7926" s="140"/>
      <c r="C7926" s="140"/>
      <c r="D7926" s="140"/>
      <c r="E7926" s="142"/>
      <c r="F7926" s="142"/>
      <c r="G7926" s="140"/>
    </row>
    <row r="7927" spans="2:7" hidden="1">
      <c r="B7927" s="140"/>
      <c r="C7927" s="140"/>
      <c r="D7927" s="140"/>
      <c r="E7927" s="142"/>
      <c r="F7927" s="142"/>
      <c r="G7927" s="140"/>
    </row>
    <row r="7928" spans="2:7" hidden="1">
      <c r="B7928" s="140"/>
      <c r="C7928" s="140"/>
      <c r="D7928" s="140"/>
      <c r="E7928" s="142"/>
      <c r="F7928" s="142"/>
      <c r="G7928" s="140"/>
    </row>
    <row r="7929" spans="2:7" hidden="1">
      <c r="B7929" s="140"/>
      <c r="C7929" s="140"/>
      <c r="D7929" s="140"/>
      <c r="E7929" s="142"/>
      <c r="F7929" s="142"/>
      <c r="G7929" s="140"/>
    </row>
    <row r="7930" spans="2:7" hidden="1">
      <c r="B7930" s="140"/>
      <c r="C7930" s="140"/>
      <c r="D7930" s="140"/>
      <c r="E7930" s="142"/>
      <c r="F7930" s="142"/>
      <c r="G7930" s="140"/>
    </row>
    <row r="7931" spans="2:7" hidden="1">
      <c r="B7931" s="140"/>
      <c r="C7931" s="140"/>
      <c r="D7931" s="140"/>
      <c r="E7931" s="142"/>
      <c r="F7931" s="142"/>
      <c r="G7931" s="140"/>
    </row>
    <row r="7932" spans="2:7" hidden="1">
      <c r="B7932" s="140"/>
      <c r="C7932" s="140"/>
      <c r="D7932" s="140"/>
      <c r="E7932" s="142"/>
      <c r="F7932" s="142"/>
      <c r="G7932" s="140"/>
    </row>
    <row r="7933" spans="2:7" hidden="1">
      <c r="B7933" s="140"/>
      <c r="C7933" s="140"/>
      <c r="D7933" s="140"/>
      <c r="E7933" s="142"/>
      <c r="F7933" s="142"/>
      <c r="G7933" s="140"/>
    </row>
    <row r="7934" spans="2:7" hidden="1">
      <c r="B7934" s="140"/>
      <c r="C7934" s="140"/>
      <c r="D7934" s="140"/>
      <c r="E7934" s="142"/>
      <c r="F7934" s="142"/>
      <c r="G7934" s="140"/>
    </row>
    <row r="7935" spans="2:7" hidden="1">
      <c r="B7935" s="140"/>
      <c r="C7935" s="140"/>
      <c r="D7935" s="140"/>
      <c r="E7935" s="142"/>
      <c r="F7935" s="142"/>
      <c r="G7935" s="140"/>
    </row>
    <row r="7936" spans="2:7" hidden="1">
      <c r="B7936" s="140"/>
      <c r="C7936" s="140"/>
      <c r="D7936" s="140"/>
      <c r="E7936" s="142"/>
      <c r="F7936" s="142"/>
      <c r="G7936" s="140"/>
    </row>
    <row r="7937" spans="2:7" hidden="1">
      <c r="B7937" s="140"/>
      <c r="C7937" s="140"/>
      <c r="D7937" s="140"/>
      <c r="E7937" s="142"/>
      <c r="F7937" s="142"/>
      <c r="G7937" s="140"/>
    </row>
    <row r="7938" spans="2:7" hidden="1">
      <c r="B7938" s="140"/>
      <c r="C7938" s="140"/>
      <c r="D7938" s="140"/>
      <c r="E7938" s="142"/>
      <c r="F7938" s="142"/>
      <c r="G7938" s="140"/>
    </row>
    <row r="7939" spans="2:7" hidden="1">
      <c r="B7939" s="140"/>
      <c r="C7939" s="140"/>
      <c r="D7939" s="140"/>
      <c r="E7939" s="142"/>
      <c r="F7939" s="142"/>
      <c r="G7939" s="140"/>
    </row>
    <row r="7940" spans="2:7" hidden="1">
      <c r="B7940" s="140"/>
      <c r="C7940" s="140"/>
      <c r="D7940" s="140"/>
      <c r="E7940" s="142"/>
      <c r="F7940" s="142"/>
      <c r="G7940" s="140"/>
    </row>
    <row r="7941" spans="2:7" hidden="1">
      <c r="B7941" s="140"/>
      <c r="C7941" s="140"/>
      <c r="D7941" s="140"/>
      <c r="E7941" s="142"/>
      <c r="F7941" s="142"/>
      <c r="G7941" s="140"/>
    </row>
    <row r="7942" spans="2:7" hidden="1">
      <c r="B7942" s="140"/>
      <c r="C7942" s="140"/>
      <c r="D7942" s="140"/>
      <c r="E7942" s="142"/>
      <c r="F7942" s="142"/>
      <c r="G7942" s="140"/>
    </row>
    <row r="7943" spans="2:7" hidden="1">
      <c r="B7943" s="140"/>
      <c r="C7943" s="140"/>
      <c r="D7943" s="140"/>
      <c r="E7943" s="142"/>
      <c r="F7943" s="142"/>
      <c r="G7943" s="140"/>
    </row>
    <row r="7944" spans="2:7" hidden="1">
      <c r="B7944" s="140"/>
      <c r="C7944" s="140"/>
      <c r="D7944" s="140"/>
      <c r="E7944" s="142"/>
      <c r="F7944" s="142"/>
      <c r="G7944" s="140"/>
    </row>
    <row r="7945" spans="2:7" hidden="1">
      <c r="B7945" s="140"/>
      <c r="C7945" s="140"/>
      <c r="D7945" s="140"/>
      <c r="E7945" s="142"/>
      <c r="F7945" s="142"/>
      <c r="G7945" s="140"/>
    </row>
    <row r="7946" spans="2:7" hidden="1">
      <c r="B7946" s="140"/>
      <c r="C7946" s="140"/>
      <c r="D7946" s="140"/>
      <c r="E7946" s="142"/>
      <c r="F7946" s="142"/>
      <c r="G7946" s="140"/>
    </row>
    <row r="7947" spans="2:7" hidden="1">
      <c r="B7947" s="140"/>
      <c r="C7947" s="140"/>
      <c r="D7947" s="140"/>
      <c r="E7947" s="142"/>
      <c r="F7947" s="142"/>
      <c r="G7947" s="140"/>
    </row>
    <row r="7948" spans="2:7" hidden="1">
      <c r="B7948" s="140"/>
      <c r="C7948" s="140"/>
      <c r="D7948" s="140"/>
      <c r="E7948" s="142"/>
      <c r="F7948" s="142"/>
      <c r="G7948" s="140"/>
    </row>
    <row r="7949" spans="2:7" hidden="1">
      <c r="B7949" s="140"/>
      <c r="C7949" s="140"/>
      <c r="D7949" s="140"/>
      <c r="E7949" s="142"/>
      <c r="F7949" s="142"/>
      <c r="G7949" s="140"/>
    </row>
    <row r="7950" spans="2:7" hidden="1">
      <c r="B7950" s="140"/>
      <c r="C7950" s="140"/>
      <c r="D7950" s="140"/>
      <c r="E7950" s="142"/>
      <c r="F7950" s="142"/>
      <c r="G7950" s="140"/>
    </row>
    <row r="7951" spans="2:7" hidden="1">
      <c r="B7951" s="140"/>
      <c r="C7951" s="140"/>
      <c r="D7951" s="140"/>
      <c r="E7951" s="142"/>
      <c r="F7951" s="142"/>
      <c r="G7951" s="140"/>
    </row>
    <row r="7952" spans="2:7" hidden="1">
      <c r="B7952" s="140"/>
      <c r="C7952" s="140"/>
      <c r="D7952" s="140"/>
      <c r="E7952" s="142"/>
      <c r="F7952" s="142"/>
      <c r="G7952" s="140"/>
    </row>
    <row r="7953" spans="2:7" hidden="1">
      <c r="B7953" s="140"/>
      <c r="C7953" s="140"/>
      <c r="D7953" s="140"/>
      <c r="E7953" s="142"/>
      <c r="F7953" s="142"/>
      <c r="G7953" s="140"/>
    </row>
    <row r="7954" spans="2:7" hidden="1">
      <c r="B7954" s="140"/>
      <c r="C7954" s="140"/>
      <c r="D7954" s="140"/>
      <c r="E7954" s="142"/>
      <c r="F7954" s="142"/>
      <c r="G7954" s="140"/>
    </row>
    <row r="7955" spans="2:7" hidden="1">
      <c r="B7955" s="140"/>
      <c r="C7955" s="140"/>
      <c r="D7955" s="140"/>
      <c r="E7955" s="142"/>
      <c r="F7955" s="142"/>
      <c r="G7955" s="140"/>
    </row>
    <row r="7956" spans="2:7" hidden="1">
      <c r="B7956" s="140"/>
      <c r="C7956" s="140"/>
      <c r="D7956" s="140"/>
      <c r="E7956" s="142"/>
      <c r="F7956" s="142"/>
      <c r="G7956" s="140"/>
    </row>
    <row r="7957" spans="2:7" hidden="1">
      <c r="B7957" s="140"/>
      <c r="C7957" s="140"/>
      <c r="D7957" s="140"/>
      <c r="E7957" s="142"/>
      <c r="F7957" s="142"/>
      <c r="G7957" s="140"/>
    </row>
    <row r="7958" spans="2:7" hidden="1">
      <c r="B7958" s="140"/>
      <c r="C7958" s="140"/>
      <c r="D7958" s="140"/>
      <c r="E7958" s="142"/>
      <c r="F7958" s="142"/>
      <c r="G7958" s="140"/>
    </row>
    <row r="7959" spans="2:7" hidden="1">
      <c r="B7959" s="140"/>
      <c r="C7959" s="140"/>
      <c r="D7959" s="140"/>
      <c r="E7959" s="142"/>
      <c r="F7959" s="142"/>
      <c r="G7959" s="140"/>
    </row>
    <row r="7960" spans="2:7" hidden="1">
      <c r="B7960" s="140"/>
      <c r="C7960" s="140"/>
      <c r="D7960" s="140"/>
      <c r="E7960" s="142"/>
      <c r="F7960" s="142"/>
      <c r="G7960" s="140"/>
    </row>
    <row r="7961" spans="2:7" hidden="1">
      <c r="B7961" s="140"/>
      <c r="C7961" s="140"/>
      <c r="D7961" s="140"/>
      <c r="E7961" s="142"/>
      <c r="F7961" s="142"/>
      <c r="G7961" s="140"/>
    </row>
    <row r="7962" spans="2:7" hidden="1">
      <c r="B7962" s="140"/>
      <c r="C7962" s="140"/>
      <c r="D7962" s="140"/>
      <c r="E7962" s="142"/>
      <c r="F7962" s="142"/>
      <c r="G7962" s="140"/>
    </row>
    <row r="7963" spans="2:7" hidden="1">
      <c r="B7963" s="140"/>
      <c r="C7963" s="140"/>
      <c r="D7963" s="140"/>
      <c r="E7963" s="142"/>
      <c r="F7963" s="142"/>
      <c r="G7963" s="140"/>
    </row>
    <row r="7964" spans="2:7" hidden="1">
      <c r="B7964" s="140"/>
      <c r="C7964" s="140"/>
      <c r="D7964" s="140"/>
      <c r="E7964" s="142"/>
      <c r="F7964" s="142"/>
      <c r="G7964" s="140"/>
    </row>
    <row r="7965" spans="2:7" hidden="1">
      <c r="B7965" s="140"/>
      <c r="C7965" s="140"/>
      <c r="D7965" s="140"/>
      <c r="E7965" s="142"/>
      <c r="F7965" s="142"/>
      <c r="G7965" s="140"/>
    </row>
    <row r="7966" spans="2:7" hidden="1">
      <c r="B7966" s="140"/>
      <c r="C7966" s="140"/>
      <c r="D7966" s="140"/>
      <c r="E7966" s="142"/>
      <c r="F7966" s="142"/>
      <c r="G7966" s="140"/>
    </row>
    <row r="7967" spans="2:7" hidden="1">
      <c r="B7967" s="140"/>
      <c r="C7967" s="140"/>
      <c r="D7967" s="140"/>
      <c r="E7967" s="142"/>
      <c r="F7967" s="142"/>
      <c r="G7967" s="140"/>
    </row>
    <row r="7968" spans="2:7" hidden="1">
      <c r="B7968" s="140"/>
      <c r="C7968" s="140"/>
      <c r="D7968" s="140"/>
      <c r="E7968" s="142"/>
      <c r="F7968" s="142"/>
      <c r="G7968" s="140"/>
    </row>
    <row r="7969" spans="2:7" hidden="1">
      <c r="B7969" s="140"/>
      <c r="C7969" s="140"/>
      <c r="D7969" s="140"/>
      <c r="E7969" s="142"/>
      <c r="F7969" s="142"/>
      <c r="G7969" s="140"/>
    </row>
    <row r="7970" spans="2:7" hidden="1">
      <c r="B7970" s="140"/>
      <c r="C7970" s="140"/>
      <c r="D7970" s="140"/>
      <c r="E7970" s="142"/>
      <c r="F7970" s="142"/>
      <c r="G7970" s="140"/>
    </row>
    <row r="7971" spans="2:7" hidden="1">
      <c r="B7971" s="140"/>
      <c r="C7971" s="140"/>
      <c r="D7971" s="140"/>
      <c r="E7971" s="142"/>
      <c r="F7971" s="142"/>
      <c r="G7971" s="140"/>
    </row>
    <row r="7972" spans="2:7" hidden="1">
      <c r="B7972" s="140"/>
      <c r="C7972" s="140"/>
      <c r="D7972" s="140"/>
      <c r="E7972" s="142"/>
      <c r="F7972" s="142"/>
      <c r="G7972" s="140"/>
    </row>
    <row r="7973" spans="2:7" hidden="1">
      <c r="B7973" s="140"/>
      <c r="C7973" s="140"/>
      <c r="D7973" s="140"/>
      <c r="E7973" s="142"/>
      <c r="F7973" s="142"/>
      <c r="G7973" s="140"/>
    </row>
    <row r="7974" spans="2:7" hidden="1">
      <c r="B7974" s="140"/>
      <c r="C7974" s="140"/>
      <c r="D7974" s="140"/>
      <c r="E7974" s="142"/>
      <c r="F7974" s="142"/>
      <c r="G7974" s="140"/>
    </row>
    <row r="7975" spans="2:7" hidden="1">
      <c r="B7975" s="140"/>
      <c r="C7975" s="140"/>
      <c r="D7975" s="140"/>
      <c r="E7975" s="142"/>
      <c r="F7975" s="142"/>
      <c r="G7975" s="140"/>
    </row>
    <row r="7976" spans="2:7" hidden="1">
      <c r="B7976" s="140"/>
      <c r="C7976" s="140"/>
      <c r="D7976" s="140"/>
      <c r="E7976" s="142"/>
      <c r="F7976" s="142"/>
      <c r="G7976" s="140"/>
    </row>
    <row r="7977" spans="2:7" hidden="1">
      <c r="B7977" s="140"/>
      <c r="C7977" s="140"/>
      <c r="D7977" s="140"/>
      <c r="E7977" s="142"/>
      <c r="F7977" s="142"/>
      <c r="G7977" s="140"/>
    </row>
    <row r="7978" spans="2:7" hidden="1">
      <c r="B7978" s="140"/>
      <c r="C7978" s="140"/>
      <c r="D7978" s="140"/>
      <c r="E7978" s="142"/>
      <c r="F7978" s="142"/>
      <c r="G7978" s="140"/>
    </row>
    <row r="7979" spans="2:7" hidden="1">
      <c r="B7979" s="140"/>
      <c r="C7979" s="140"/>
      <c r="D7979" s="140"/>
      <c r="E7979" s="142"/>
      <c r="F7979" s="142"/>
      <c r="G7979" s="140"/>
    </row>
    <row r="7980" spans="2:7" hidden="1">
      <c r="B7980" s="140"/>
      <c r="C7980" s="140"/>
      <c r="D7980" s="140"/>
      <c r="E7980" s="142"/>
      <c r="F7980" s="142"/>
      <c r="G7980" s="140"/>
    </row>
    <row r="7981" spans="2:7" hidden="1">
      <c r="B7981" s="140"/>
      <c r="C7981" s="140"/>
      <c r="D7981" s="140"/>
      <c r="E7981" s="142"/>
      <c r="F7981" s="142"/>
      <c r="G7981" s="140"/>
    </row>
    <row r="7982" spans="2:7" hidden="1">
      <c r="B7982" s="140"/>
      <c r="C7982" s="140"/>
      <c r="D7982" s="140"/>
      <c r="E7982" s="142"/>
      <c r="F7982" s="142"/>
      <c r="G7982" s="140"/>
    </row>
    <row r="7983" spans="2:7" hidden="1">
      <c r="B7983" s="140"/>
      <c r="C7983" s="140"/>
      <c r="D7983" s="140"/>
      <c r="E7983" s="142"/>
      <c r="F7983" s="142"/>
      <c r="G7983" s="140"/>
    </row>
    <row r="7984" spans="2:7" hidden="1">
      <c r="B7984" s="140"/>
      <c r="C7984" s="140"/>
      <c r="D7984" s="140"/>
      <c r="E7984" s="142"/>
      <c r="F7984" s="142"/>
      <c r="G7984" s="140"/>
    </row>
    <row r="7985" spans="2:7" hidden="1">
      <c r="B7985" s="140"/>
      <c r="C7985" s="140"/>
      <c r="D7985" s="140"/>
      <c r="E7985" s="142"/>
      <c r="F7985" s="142"/>
      <c r="G7985" s="140"/>
    </row>
    <row r="7986" spans="2:7" hidden="1">
      <c r="B7986" s="140"/>
      <c r="C7986" s="140"/>
      <c r="D7986" s="140"/>
      <c r="E7986" s="142"/>
      <c r="F7986" s="142"/>
      <c r="G7986" s="140"/>
    </row>
    <row r="7987" spans="2:7" hidden="1">
      <c r="B7987" s="140"/>
      <c r="C7987" s="140"/>
      <c r="D7987" s="140"/>
      <c r="E7987" s="142"/>
      <c r="F7987" s="142"/>
      <c r="G7987" s="140"/>
    </row>
    <row r="7988" spans="2:7" hidden="1">
      <c r="B7988" s="140"/>
      <c r="C7988" s="140"/>
      <c r="D7988" s="140"/>
      <c r="E7988" s="142"/>
      <c r="F7988" s="142"/>
      <c r="G7988" s="140"/>
    </row>
    <row r="7989" spans="2:7" hidden="1">
      <c r="B7989" s="140"/>
      <c r="C7989" s="140"/>
      <c r="D7989" s="140"/>
      <c r="E7989" s="142"/>
      <c r="F7989" s="142"/>
      <c r="G7989" s="140"/>
    </row>
    <row r="7990" spans="2:7" hidden="1">
      <c r="B7990" s="140"/>
      <c r="C7990" s="140"/>
      <c r="D7990" s="140"/>
      <c r="E7990" s="142"/>
      <c r="F7990" s="142"/>
      <c r="G7990" s="140"/>
    </row>
    <row r="7991" spans="2:7" hidden="1">
      <c r="B7991" s="140"/>
      <c r="C7991" s="140"/>
      <c r="D7991" s="140"/>
      <c r="E7991" s="142"/>
      <c r="F7991" s="142"/>
      <c r="G7991" s="140"/>
    </row>
    <row r="7992" spans="2:7" hidden="1">
      <c r="B7992" s="140"/>
      <c r="C7992" s="140"/>
      <c r="D7992" s="140"/>
      <c r="E7992" s="142"/>
      <c r="F7992" s="142"/>
      <c r="G7992" s="140"/>
    </row>
    <row r="7993" spans="2:7" hidden="1">
      <c r="B7993" s="140"/>
      <c r="C7993" s="140"/>
      <c r="D7993" s="140"/>
      <c r="E7993" s="142"/>
      <c r="F7993" s="142"/>
      <c r="G7993" s="140"/>
    </row>
    <row r="7994" spans="2:7" hidden="1">
      <c r="B7994" s="140"/>
      <c r="C7994" s="140"/>
      <c r="D7994" s="140"/>
      <c r="E7994" s="142"/>
      <c r="F7994" s="142"/>
      <c r="G7994" s="140"/>
    </row>
    <row r="7995" spans="2:7" hidden="1">
      <c r="B7995" s="140"/>
      <c r="C7995" s="140"/>
      <c r="D7995" s="140"/>
      <c r="E7995" s="142"/>
      <c r="F7995" s="142"/>
      <c r="G7995" s="140"/>
    </row>
    <row r="7996" spans="2:7" hidden="1">
      <c r="B7996" s="140"/>
      <c r="C7996" s="140"/>
      <c r="D7996" s="140"/>
      <c r="E7996" s="142"/>
      <c r="F7996" s="142"/>
      <c r="G7996" s="140"/>
    </row>
    <row r="7997" spans="2:7" hidden="1">
      <c r="B7997" s="140"/>
      <c r="C7997" s="140"/>
      <c r="D7997" s="140"/>
      <c r="E7997" s="142"/>
      <c r="F7997" s="142"/>
      <c r="G7997" s="140"/>
    </row>
    <row r="7998" spans="2:7" hidden="1">
      <c r="B7998" s="140"/>
      <c r="C7998" s="140"/>
      <c r="D7998" s="140"/>
      <c r="E7998" s="142"/>
      <c r="F7998" s="142"/>
      <c r="G7998" s="140"/>
    </row>
    <row r="7999" spans="2:7" hidden="1">
      <c r="B7999" s="140"/>
      <c r="C7999" s="140"/>
      <c r="D7999" s="140"/>
      <c r="E7999" s="142"/>
      <c r="F7999" s="142"/>
      <c r="G7999" s="140"/>
    </row>
    <row r="8000" spans="2:7" hidden="1">
      <c r="B8000" s="140"/>
      <c r="C8000" s="140"/>
      <c r="D8000" s="140"/>
      <c r="E8000" s="142"/>
      <c r="F8000" s="142"/>
      <c r="G8000" s="140"/>
    </row>
    <row r="8001" spans="2:7" hidden="1">
      <c r="B8001" s="140"/>
      <c r="C8001" s="140"/>
      <c r="D8001" s="140"/>
      <c r="E8001" s="142"/>
      <c r="F8001" s="142"/>
      <c r="G8001" s="140"/>
    </row>
    <row r="8002" spans="2:7" hidden="1">
      <c r="B8002" s="140"/>
      <c r="C8002" s="140"/>
      <c r="D8002" s="140"/>
      <c r="E8002" s="142"/>
      <c r="F8002" s="142"/>
      <c r="G8002" s="140"/>
    </row>
    <row r="8003" spans="2:7" hidden="1">
      <c r="B8003" s="140"/>
      <c r="C8003" s="140"/>
      <c r="D8003" s="140"/>
      <c r="E8003" s="142"/>
      <c r="F8003" s="142"/>
      <c r="G8003" s="140"/>
    </row>
    <row r="8004" spans="2:7" hidden="1">
      <c r="B8004" s="140"/>
      <c r="C8004" s="140"/>
      <c r="D8004" s="140"/>
      <c r="E8004" s="142"/>
      <c r="F8004" s="142"/>
      <c r="G8004" s="140"/>
    </row>
    <row r="8005" spans="2:7" hidden="1">
      <c r="B8005" s="140"/>
      <c r="C8005" s="140"/>
      <c r="D8005" s="140"/>
      <c r="E8005" s="142"/>
      <c r="F8005" s="142"/>
      <c r="G8005" s="140"/>
    </row>
    <row r="8006" spans="2:7" hidden="1">
      <c r="B8006" s="140"/>
      <c r="C8006" s="140"/>
      <c r="D8006" s="140"/>
      <c r="E8006" s="142"/>
      <c r="F8006" s="142"/>
      <c r="G8006" s="140"/>
    </row>
    <row r="8007" spans="2:7" hidden="1">
      <c r="B8007" s="140"/>
      <c r="C8007" s="140"/>
      <c r="D8007" s="140"/>
      <c r="E8007" s="142"/>
      <c r="F8007" s="142"/>
      <c r="G8007" s="140"/>
    </row>
    <row r="8008" spans="2:7" hidden="1">
      <c r="B8008" s="140"/>
      <c r="C8008" s="140"/>
      <c r="D8008" s="140"/>
      <c r="E8008" s="142"/>
      <c r="F8008" s="142"/>
      <c r="G8008" s="140"/>
    </row>
    <row r="8009" spans="2:7" hidden="1">
      <c r="B8009" s="140"/>
      <c r="C8009" s="140"/>
      <c r="D8009" s="140"/>
      <c r="E8009" s="142"/>
      <c r="F8009" s="142"/>
      <c r="G8009" s="140"/>
    </row>
    <row r="8010" spans="2:7" hidden="1">
      <c r="B8010" s="140"/>
      <c r="C8010" s="140"/>
      <c r="D8010" s="140"/>
      <c r="E8010" s="142"/>
      <c r="F8010" s="142"/>
      <c r="G8010" s="140"/>
    </row>
    <row r="8011" spans="2:7" hidden="1">
      <c r="B8011" s="140"/>
      <c r="C8011" s="140"/>
      <c r="D8011" s="140"/>
      <c r="E8011" s="142"/>
      <c r="F8011" s="142"/>
      <c r="G8011" s="140"/>
    </row>
    <row r="8012" spans="2:7" hidden="1">
      <c r="B8012" s="140"/>
      <c r="C8012" s="140"/>
      <c r="D8012" s="140"/>
      <c r="E8012" s="142"/>
      <c r="F8012" s="142"/>
      <c r="G8012" s="140"/>
    </row>
    <row r="8013" spans="2:7" hidden="1">
      <c r="B8013" s="140"/>
      <c r="C8013" s="140"/>
      <c r="D8013" s="140"/>
      <c r="E8013" s="142"/>
      <c r="F8013" s="142"/>
      <c r="G8013" s="140"/>
    </row>
    <row r="8014" spans="2:7" hidden="1">
      <c r="B8014" s="140"/>
      <c r="C8014" s="140"/>
      <c r="D8014" s="140"/>
      <c r="E8014" s="142"/>
      <c r="F8014" s="142"/>
      <c r="G8014" s="140"/>
    </row>
    <row r="8015" spans="2:7" hidden="1">
      <c r="B8015" s="140"/>
      <c r="C8015" s="140"/>
      <c r="D8015" s="140"/>
      <c r="E8015" s="142"/>
      <c r="F8015" s="142"/>
      <c r="G8015" s="140"/>
    </row>
    <row r="8016" spans="2:7" hidden="1">
      <c r="B8016" s="140"/>
      <c r="C8016" s="140"/>
      <c r="D8016" s="140"/>
      <c r="E8016" s="142"/>
      <c r="F8016" s="142"/>
      <c r="G8016" s="140"/>
    </row>
    <row r="8017" spans="2:7" hidden="1">
      <c r="B8017" s="140"/>
      <c r="C8017" s="140"/>
      <c r="D8017" s="140"/>
      <c r="E8017" s="142"/>
      <c r="F8017" s="142"/>
      <c r="G8017" s="140"/>
    </row>
    <row r="8018" spans="2:7" hidden="1">
      <c r="B8018" s="140"/>
      <c r="C8018" s="140"/>
      <c r="D8018" s="140"/>
      <c r="E8018" s="142"/>
      <c r="F8018" s="142"/>
      <c r="G8018" s="140"/>
    </row>
    <row r="8019" spans="2:7" hidden="1">
      <c r="B8019" s="140"/>
      <c r="C8019" s="140"/>
      <c r="D8019" s="140"/>
      <c r="E8019" s="142"/>
      <c r="F8019" s="142"/>
      <c r="G8019" s="140"/>
    </row>
    <row r="8020" spans="2:7" hidden="1">
      <c r="B8020" s="140"/>
      <c r="C8020" s="140"/>
      <c r="D8020" s="140"/>
      <c r="E8020" s="142"/>
      <c r="F8020" s="142"/>
      <c r="G8020" s="140"/>
    </row>
    <row r="8021" spans="2:7" hidden="1">
      <c r="B8021" s="140"/>
      <c r="C8021" s="140"/>
      <c r="D8021" s="140"/>
      <c r="E8021" s="142"/>
      <c r="F8021" s="142"/>
      <c r="G8021" s="140"/>
    </row>
    <row r="8022" spans="2:7" hidden="1">
      <c r="B8022" s="140"/>
      <c r="C8022" s="140"/>
      <c r="D8022" s="140"/>
      <c r="E8022" s="142"/>
      <c r="F8022" s="142"/>
      <c r="G8022" s="140"/>
    </row>
    <row r="8023" spans="2:7" hidden="1">
      <c r="B8023" s="140"/>
      <c r="C8023" s="140"/>
      <c r="D8023" s="140"/>
      <c r="E8023" s="142"/>
      <c r="F8023" s="142"/>
      <c r="G8023" s="140"/>
    </row>
    <row r="8024" spans="2:7" hidden="1">
      <c r="B8024" s="140"/>
      <c r="C8024" s="140"/>
      <c r="D8024" s="140"/>
      <c r="E8024" s="142"/>
      <c r="F8024" s="142"/>
      <c r="G8024" s="140"/>
    </row>
    <row r="8025" spans="2:7" hidden="1">
      <c r="B8025" s="140"/>
      <c r="C8025" s="140"/>
      <c r="D8025" s="140"/>
      <c r="E8025" s="142"/>
      <c r="F8025" s="142"/>
      <c r="G8025" s="140"/>
    </row>
    <row r="8026" spans="2:7" hidden="1">
      <c r="B8026" s="140"/>
      <c r="C8026" s="140"/>
      <c r="D8026" s="140"/>
      <c r="E8026" s="142"/>
      <c r="F8026" s="142"/>
      <c r="G8026" s="140"/>
    </row>
    <row r="8027" spans="2:7" hidden="1">
      <c r="B8027" s="140"/>
      <c r="C8027" s="140"/>
      <c r="D8027" s="140"/>
      <c r="E8027" s="142"/>
      <c r="F8027" s="142"/>
      <c r="G8027" s="140"/>
    </row>
    <row r="8028" spans="2:7" hidden="1">
      <c r="B8028" s="140"/>
      <c r="C8028" s="140"/>
      <c r="D8028" s="140"/>
      <c r="E8028" s="142"/>
      <c r="F8028" s="142"/>
      <c r="G8028" s="140"/>
    </row>
    <row r="8029" spans="2:7" hidden="1">
      <c r="B8029" s="140"/>
      <c r="C8029" s="140"/>
      <c r="D8029" s="140"/>
      <c r="E8029" s="142"/>
      <c r="F8029" s="142"/>
      <c r="G8029" s="140"/>
    </row>
    <row r="8030" spans="2:7" hidden="1">
      <c r="B8030" s="140"/>
      <c r="C8030" s="140"/>
      <c r="D8030" s="140"/>
      <c r="E8030" s="142"/>
      <c r="F8030" s="142"/>
      <c r="G8030" s="140"/>
    </row>
    <row r="8031" spans="2:7" hidden="1">
      <c r="B8031" s="140"/>
      <c r="C8031" s="140"/>
      <c r="D8031" s="140"/>
      <c r="E8031" s="142"/>
      <c r="F8031" s="142"/>
      <c r="G8031" s="140"/>
    </row>
    <row r="8032" spans="2:7" hidden="1">
      <c r="B8032" s="140"/>
      <c r="C8032" s="140"/>
      <c r="D8032" s="140"/>
      <c r="E8032" s="142"/>
      <c r="F8032" s="142"/>
      <c r="G8032" s="140"/>
    </row>
    <row r="8033" spans="2:7" hidden="1">
      <c r="B8033" s="140"/>
      <c r="C8033" s="140"/>
      <c r="D8033" s="140"/>
      <c r="E8033" s="142"/>
      <c r="F8033" s="142"/>
      <c r="G8033" s="140"/>
    </row>
    <row r="8034" spans="2:7" hidden="1">
      <c r="B8034" s="140"/>
      <c r="C8034" s="140"/>
      <c r="D8034" s="140"/>
      <c r="E8034" s="142"/>
      <c r="F8034" s="142"/>
      <c r="G8034" s="140"/>
    </row>
    <row r="8035" spans="2:7" hidden="1">
      <c r="B8035" s="140"/>
      <c r="C8035" s="140"/>
      <c r="D8035" s="140"/>
      <c r="E8035" s="142"/>
      <c r="F8035" s="142"/>
      <c r="G8035" s="140"/>
    </row>
    <row r="8036" spans="2:7" hidden="1">
      <c r="B8036" s="140"/>
      <c r="C8036" s="140"/>
      <c r="D8036" s="140"/>
      <c r="E8036" s="142"/>
      <c r="F8036" s="142"/>
      <c r="G8036" s="140"/>
    </row>
    <row r="8037" spans="2:7" hidden="1">
      <c r="B8037" s="140"/>
      <c r="C8037" s="140"/>
      <c r="D8037" s="140"/>
      <c r="E8037" s="142"/>
      <c r="F8037" s="142"/>
      <c r="G8037" s="140"/>
    </row>
    <row r="8038" spans="2:7" hidden="1">
      <c r="B8038" s="140"/>
      <c r="C8038" s="140"/>
      <c r="D8038" s="140"/>
      <c r="E8038" s="142"/>
      <c r="F8038" s="142"/>
      <c r="G8038" s="140"/>
    </row>
    <row r="8039" spans="2:7" hidden="1">
      <c r="B8039" s="140"/>
      <c r="C8039" s="140"/>
      <c r="D8039" s="140"/>
      <c r="E8039" s="142"/>
      <c r="F8039" s="142"/>
      <c r="G8039" s="140"/>
    </row>
    <row r="8040" spans="2:7" hidden="1">
      <c r="B8040" s="140"/>
      <c r="C8040" s="140"/>
      <c r="D8040" s="140"/>
      <c r="E8040" s="142"/>
      <c r="F8040" s="142"/>
      <c r="G8040" s="140"/>
    </row>
    <row r="8041" spans="2:7" hidden="1">
      <c r="B8041" s="140"/>
      <c r="C8041" s="140"/>
      <c r="D8041" s="140"/>
      <c r="E8041" s="142"/>
      <c r="F8041" s="142"/>
      <c r="G8041" s="140"/>
    </row>
    <row r="8042" spans="2:7" hidden="1">
      <c r="B8042" s="140"/>
      <c r="C8042" s="140"/>
      <c r="D8042" s="140"/>
      <c r="E8042" s="142"/>
      <c r="F8042" s="142"/>
      <c r="G8042" s="140"/>
    </row>
    <row r="8043" spans="2:7" hidden="1">
      <c r="B8043" s="140"/>
      <c r="C8043" s="140"/>
      <c r="D8043" s="140"/>
      <c r="E8043" s="142"/>
      <c r="F8043" s="142"/>
      <c r="G8043" s="140"/>
    </row>
    <row r="8044" spans="2:7" hidden="1">
      <c r="B8044" s="140"/>
      <c r="C8044" s="140"/>
      <c r="D8044" s="140"/>
      <c r="E8044" s="142"/>
      <c r="F8044" s="142"/>
      <c r="G8044" s="140"/>
    </row>
    <row r="8045" spans="2:7" hidden="1">
      <c r="B8045" s="140"/>
      <c r="C8045" s="140"/>
      <c r="D8045" s="140"/>
      <c r="E8045" s="142"/>
      <c r="F8045" s="142"/>
      <c r="G8045" s="140"/>
    </row>
    <row r="8046" spans="2:7" hidden="1">
      <c r="B8046" s="140"/>
      <c r="C8046" s="140"/>
      <c r="D8046" s="140"/>
      <c r="E8046" s="142"/>
      <c r="F8046" s="142"/>
      <c r="G8046" s="140"/>
    </row>
    <row r="8047" spans="2:7" hidden="1">
      <c r="B8047" s="140"/>
      <c r="C8047" s="140"/>
      <c r="D8047" s="140"/>
      <c r="E8047" s="142"/>
      <c r="F8047" s="142"/>
      <c r="G8047" s="140"/>
    </row>
    <row r="8048" spans="2:7" hidden="1">
      <c r="B8048" s="140"/>
      <c r="C8048" s="140"/>
      <c r="D8048" s="140"/>
      <c r="E8048" s="142"/>
      <c r="F8048" s="142"/>
      <c r="G8048" s="140"/>
    </row>
    <row r="8049" spans="2:7" hidden="1">
      <c r="B8049" s="140"/>
      <c r="C8049" s="140"/>
      <c r="D8049" s="140"/>
      <c r="E8049" s="142"/>
      <c r="F8049" s="142"/>
      <c r="G8049" s="140"/>
    </row>
    <row r="8050" spans="2:7" hidden="1">
      <c r="B8050" s="140"/>
      <c r="C8050" s="140"/>
      <c r="D8050" s="140"/>
      <c r="E8050" s="142"/>
      <c r="F8050" s="142"/>
      <c r="G8050" s="140"/>
    </row>
    <row r="8051" spans="2:7" hidden="1">
      <c r="B8051" s="140"/>
      <c r="C8051" s="140"/>
      <c r="D8051" s="140"/>
      <c r="E8051" s="142"/>
      <c r="F8051" s="142"/>
      <c r="G8051" s="140"/>
    </row>
    <row r="8052" spans="2:7" hidden="1">
      <c r="B8052" s="140"/>
      <c r="C8052" s="140"/>
      <c r="D8052" s="140"/>
      <c r="E8052" s="142"/>
      <c r="F8052" s="142"/>
      <c r="G8052" s="140"/>
    </row>
    <row r="8053" spans="2:7" hidden="1">
      <c r="B8053" s="140"/>
      <c r="C8053" s="140"/>
      <c r="D8053" s="140"/>
      <c r="E8053" s="142"/>
      <c r="F8053" s="142"/>
      <c r="G8053" s="140"/>
    </row>
    <row r="8054" spans="2:7" hidden="1">
      <c r="B8054" s="140"/>
      <c r="C8054" s="140"/>
      <c r="D8054" s="140"/>
      <c r="E8054" s="142"/>
      <c r="F8054" s="142"/>
      <c r="G8054" s="140"/>
    </row>
    <row r="8055" spans="2:7" hidden="1">
      <c r="B8055" s="140"/>
      <c r="C8055" s="140"/>
      <c r="D8055" s="140"/>
      <c r="E8055" s="142"/>
      <c r="F8055" s="142"/>
      <c r="G8055" s="140"/>
    </row>
    <row r="8056" spans="2:7" hidden="1">
      <c r="B8056" s="140"/>
      <c r="C8056" s="140"/>
      <c r="D8056" s="140"/>
      <c r="E8056" s="142"/>
      <c r="F8056" s="142"/>
      <c r="G8056" s="140"/>
    </row>
    <row r="8057" spans="2:7" hidden="1">
      <c r="B8057" s="140"/>
      <c r="C8057" s="140"/>
      <c r="D8057" s="140"/>
      <c r="E8057" s="142"/>
      <c r="F8057" s="142"/>
      <c r="G8057" s="140"/>
    </row>
    <row r="8058" spans="2:7" hidden="1">
      <c r="B8058" s="140"/>
      <c r="C8058" s="140"/>
      <c r="D8058" s="140"/>
      <c r="E8058" s="142"/>
      <c r="F8058" s="142"/>
      <c r="G8058" s="140"/>
    </row>
    <row r="8059" spans="2:7" hidden="1">
      <c r="B8059" s="140"/>
      <c r="C8059" s="140"/>
      <c r="D8059" s="140"/>
      <c r="E8059" s="142"/>
      <c r="F8059" s="142"/>
      <c r="G8059" s="140"/>
    </row>
    <row r="8060" spans="2:7" hidden="1">
      <c r="B8060" s="140"/>
      <c r="C8060" s="140"/>
      <c r="D8060" s="140"/>
      <c r="E8060" s="142"/>
      <c r="F8060" s="142"/>
      <c r="G8060" s="140"/>
    </row>
    <row r="8061" spans="2:7" hidden="1">
      <c r="B8061" s="140"/>
      <c r="C8061" s="140"/>
      <c r="D8061" s="140"/>
      <c r="E8061" s="142"/>
      <c r="F8061" s="142"/>
      <c r="G8061" s="140"/>
    </row>
    <row r="8062" spans="2:7" hidden="1">
      <c r="B8062" s="140"/>
      <c r="C8062" s="140"/>
      <c r="D8062" s="140"/>
      <c r="E8062" s="142"/>
      <c r="F8062" s="142"/>
      <c r="G8062" s="140"/>
    </row>
    <row r="8063" spans="2:7" hidden="1">
      <c r="B8063" s="140"/>
      <c r="C8063" s="140"/>
      <c r="D8063" s="140"/>
      <c r="E8063" s="142"/>
      <c r="F8063" s="142"/>
      <c r="G8063" s="140"/>
    </row>
    <row r="8064" spans="2:7" hidden="1">
      <c r="B8064" s="140"/>
      <c r="C8064" s="140"/>
      <c r="D8064" s="140"/>
      <c r="E8064" s="142"/>
      <c r="F8064" s="142"/>
      <c r="G8064" s="140"/>
    </row>
    <row r="8065" spans="2:7" hidden="1">
      <c r="B8065" s="140"/>
      <c r="C8065" s="140"/>
      <c r="D8065" s="140"/>
      <c r="E8065" s="142"/>
      <c r="F8065" s="142"/>
      <c r="G8065" s="140"/>
    </row>
    <row r="8066" spans="2:7" hidden="1">
      <c r="B8066" s="140"/>
      <c r="C8066" s="140"/>
      <c r="D8066" s="140"/>
      <c r="E8066" s="142"/>
      <c r="F8066" s="142"/>
      <c r="G8066" s="140"/>
    </row>
    <row r="8067" spans="2:7" hidden="1">
      <c r="B8067" s="140"/>
      <c r="C8067" s="140"/>
      <c r="D8067" s="140"/>
      <c r="E8067" s="142"/>
      <c r="F8067" s="142"/>
      <c r="G8067" s="140"/>
    </row>
    <row r="8068" spans="2:7" hidden="1">
      <c r="B8068" s="140"/>
      <c r="C8068" s="140"/>
      <c r="D8068" s="140"/>
      <c r="E8068" s="142"/>
      <c r="F8068" s="142"/>
      <c r="G8068" s="140"/>
    </row>
    <row r="8069" spans="2:7" hidden="1">
      <c r="B8069" s="140"/>
      <c r="C8069" s="140"/>
      <c r="D8069" s="140"/>
      <c r="E8069" s="142"/>
      <c r="F8069" s="142"/>
      <c r="G8069" s="140"/>
    </row>
    <row r="8070" spans="2:7" hidden="1">
      <c r="B8070" s="140"/>
      <c r="C8070" s="140"/>
      <c r="D8070" s="140"/>
      <c r="E8070" s="142"/>
      <c r="F8070" s="142"/>
      <c r="G8070" s="140"/>
    </row>
    <row r="8071" spans="2:7" hidden="1">
      <c r="B8071" s="140"/>
      <c r="C8071" s="140"/>
      <c r="D8071" s="140"/>
      <c r="E8071" s="142"/>
      <c r="F8071" s="142"/>
      <c r="G8071" s="140"/>
    </row>
    <row r="8072" spans="2:7" hidden="1">
      <c r="B8072" s="140"/>
      <c r="C8072" s="140"/>
      <c r="D8072" s="140"/>
      <c r="E8072" s="142"/>
      <c r="F8072" s="142"/>
      <c r="G8072" s="140"/>
    </row>
    <row r="8073" spans="2:7" hidden="1">
      <c r="B8073" s="140"/>
      <c r="C8073" s="140"/>
      <c r="D8073" s="140"/>
      <c r="E8073" s="142"/>
      <c r="F8073" s="142"/>
      <c r="G8073" s="140"/>
    </row>
    <row r="8074" spans="2:7" hidden="1">
      <c r="B8074" s="140"/>
      <c r="C8074" s="140"/>
      <c r="D8074" s="140"/>
      <c r="E8074" s="142"/>
      <c r="F8074" s="142"/>
      <c r="G8074" s="140"/>
    </row>
    <row r="8075" spans="2:7" hidden="1">
      <c r="B8075" s="140"/>
      <c r="C8075" s="140"/>
      <c r="D8075" s="140"/>
      <c r="E8075" s="142"/>
      <c r="F8075" s="142"/>
      <c r="G8075" s="140"/>
    </row>
    <row r="8076" spans="2:7" hidden="1">
      <c r="B8076" s="140"/>
      <c r="C8076" s="140"/>
      <c r="D8076" s="140"/>
      <c r="E8076" s="142"/>
      <c r="F8076" s="142"/>
      <c r="G8076" s="140"/>
    </row>
    <row r="8077" spans="2:7" hidden="1">
      <c r="B8077" s="140"/>
      <c r="C8077" s="140"/>
      <c r="D8077" s="140"/>
      <c r="E8077" s="142"/>
      <c r="F8077" s="142"/>
      <c r="G8077" s="140"/>
    </row>
    <row r="8078" spans="2:7" hidden="1">
      <c r="B8078" s="140"/>
      <c r="C8078" s="140"/>
      <c r="D8078" s="140"/>
      <c r="E8078" s="142"/>
      <c r="F8078" s="142"/>
      <c r="G8078" s="140"/>
    </row>
    <row r="8079" spans="2:7" hidden="1">
      <c r="B8079" s="140"/>
      <c r="C8079" s="140"/>
      <c r="D8079" s="140"/>
      <c r="E8079" s="142"/>
      <c r="F8079" s="142"/>
      <c r="G8079" s="140"/>
    </row>
    <row r="8080" spans="2:7" hidden="1">
      <c r="B8080" s="140"/>
      <c r="C8080" s="140"/>
      <c r="D8080" s="140"/>
      <c r="E8080" s="142"/>
      <c r="F8080" s="142"/>
      <c r="G8080" s="140"/>
    </row>
    <row r="8081" spans="2:7" hidden="1">
      <c r="B8081" s="140"/>
      <c r="C8081" s="140"/>
      <c r="D8081" s="140"/>
      <c r="E8081" s="142"/>
      <c r="F8081" s="142"/>
      <c r="G8081" s="140"/>
    </row>
    <row r="8082" spans="2:7" hidden="1">
      <c r="B8082" s="140"/>
      <c r="C8082" s="140"/>
      <c r="D8082" s="140"/>
      <c r="E8082" s="142"/>
      <c r="F8082" s="142"/>
      <c r="G8082" s="140"/>
    </row>
    <row r="8083" spans="2:7" hidden="1">
      <c r="B8083" s="140"/>
      <c r="C8083" s="140"/>
      <c r="D8083" s="140"/>
      <c r="E8083" s="142"/>
      <c r="F8083" s="142"/>
      <c r="G8083" s="140"/>
    </row>
    <row r="8084" spans="2:7" hidden="1">
      <c r="B8084" s="140"/>
      <c r="C8084" s="140"/>
      <c r="D8084" s="140"/>
      <c r="E8084" s="142"/>
      <c r="F8084" s="142"/>
      <c r="G8084" s="140"/>
    </row>
    <row r="8085" spans="2:7" hidden="1">
      <c r="B8085" s="140"/>
      <c r="C8085" s="140"/>
      <c r="D8085" s="140"/>
      <c r="E8085" s="142"/>
      <c r="F8085" s="142"/>
      <c r="G8085" s="140"/>
    </row>
    <row r="8086" spans="2:7" hidden="1">
      <c r="B8086" s="140"/>
      <c r="C8086" s="140"/>
      <c r="D8086" s="140"/>
      <c r="E8086" s="142"/>
      <c r="F8086" s="142"/>
      <c r="G8086" s="140"/>
    </row>
    <row r="8087" spans="2:7" hidden="1">
      <c r="B8087" s="140"/>
      <c r="C8087" s="140"/>
      <c r="D8087" s="140"/>
      <c r="E8087" s="142"/>
      <c r="F8087" s="142"/>
      <c r="G8087" s="140"/>
    </row>
    <row r="8088" spans="2:7" hidden="1">
      <c r="B8088" s="140"/>
      <c r="C8088" s="140"/>
      <c r="D8088" s="140"/>
      <c r="E8088" s="142"/>
      <c r="F8088" s="142"/>
      <c r="G8088" s="140"/>
    </row>
    <row r="8089" spans="2:7" hidden="1">
      <c r="B8089" s="140"/>
      <c r="C8089" s="140"/>
      <c r="D8089" s="140"/>
      <c r="E8089" s="142"/>
      <c r="F8089" s="142"/>
      <c r="G8089" s="140"/>
    </row>
    <row r="8090" spans="2:7" hidden="1">
      <c r="B8090" s="140"/>
      <c r="C8090" s="140"/>
      <c r="D8090" s="140"/>
      <c r="E8090" s="142"/>
      <c r="F8090" s="142"/>
      <c r="G8090" s="140"/>
    </row>
    <row r="8091" spans="2:7" hidden="1">
      <c r="B8091" s="140"/>
      <c r="C8091" s="140"/>
      <c r="D8091" s="140"/>
      <c r="E8091" s="142"/>
      <c r="F8091" s="142"/>
      <c r="G8091" s="140"/>
    </row>
    <row r="8092" spans="2:7" hidden="1">
      <c r="B8092" s="140"/>
      <c r="C8092" s="140"/>
      <c r="D8092" s="140"/>
      <c r="E8092" s="142"/>
      <c r="F8092" s="142"/>
      <c r="G8092" s="140"/>
    </row>
    <row r="8093" spans="2:7" hidden="1">
      <c r="B8093" s="140"/>
      <c r="C8093" s="140"/>
      <c r="D8093" s="140"/>
      <c r="E8093" s="142"/>
      <c r="F8093" s="142"/>
      <c r="G8093" s="140"/>
    </row>
    <row r="8094" spans="2:7" hidden="1">
      <c r="B8094" s="140"/>
      <c r="C8094" s="140"/>
      <c r="D8094" s="140"/>
      <c r="E8094" s="142"/>
      <c r="F8094" s="142"/>
      <c r="G8094" s="140"/>
    </row>
    <row r="8095" spans="2:7" hidden="1">
      <c r="B8095" s="140"/>
      <c r="C8095" s="140"/>
      <c r="D8095" s="140"/>
      <c r="E8095" s="142"/>
      <c r="F8095" s="142"/>
      <c r="G8095" s="140"/>
    </row>
    <row r="8096" spans="2:7" hidden="1">
      <c r="B8096" s="140"/>
      <c r="C8096" s="140"/>
      <c r="D8096" s="140"/>
      <c r="E8096" s="142"/>
      <c r="F8096" s="142"/>
      <c r="G8096" s="140"/>
    </row>
    <row r="8097" spans="2:7" hidden="1">
      <c r="B8097" s="140"/>
      <c r="C8097" s="140"/>
      <c r="D8097" s="140"/>
      <c r="E8097" s="142"/>
      <c r="F8097" s="142"/>
      <c r="G8097" s="140"/>
    </row>
    <row r="8098" spans="2:7" hidden="1">
      <c r="B8098" s="140"/>
      <c r="C8098" s="140"/>
      <c r="D8098" s="140"/>
      <c r="E8098" s="142"/>
      <c r="F8098" s="142"/>
      <c r="G8098" s="140"/>
    </row>
    <row r="8099" spans="2:7" hidden="1">
      <c r="B8099" s="140"/>
      <c r="C8099" s="140"/>
      <c r="D8099" s="140"/>
      <c r="E8099" s="142"/>
      <c r="F8099" s="142"/>
      <c r="G8099" s="140"/>
    </row>
    <row r="8100" spans="2:7" hidden="1">
      <c r="B8100" s="140"/>
      <c r="C8100" s="140"/>
      <c r="D8100" s="140"/>
      <c r="E8100" s="142"/>
      <c r="F8100" s="142"/>
      <c r="G8100" s="140"/>
    </row>
    <row r="8101" spans="2:7" hidden="1">
      <c r="B8101" s="140"/>
      <c r="C8101" s="140"/>
      <c r="D8101" s="140"/>
      <c r="E8101" s="142"/>
      <c r="F8101" s="142"/>
      <c r="G8101" s="140"/>
    </row>
    <row r="8102" spans="2:7" hidden="1">
      <c r="B8102" s="140"/>
      <c r="C8102" s="140"/>
      <c r="D8102" s="140"/>
      <c r="E8102" s="142"/>
      <c r="F8102" s="142"/>
      <c r="G8102" s="140"/>
    </row>
    <row r="8103" spans="2:7" hidden="1">
      <c r="B8103" s="140"/>
      <c r="C8103" s="140"/>
      <c r="D8103" s="140"/>
      <c r="E8103" s="142"/>
      <c r="F8103" s="142"/>
      <c r="G8103" s="140"/>
    </row>
    <row r="8104" spans="2:7" hidden="1">
      <c r="B8104" s="140"/>
      <c r="C8104" s="140"/>
      <c r="D8104" s="140"/>
      <c r="E8104" s="142"/>
      <c r="F8104" s="142"/>
      <c r="G8104" s="140"/>
    </row>
    <row r="8105" spans="2:7" hidden="1">
      <c r="B8105" s="140"/>
      <c r="C8105" s="140"/>
      <c r="D8105" s="140"/>
      <c r="E8105" s="142"/>
      <c r="F8105" s="142"/>
      <c r="G8105" s="140"/>
    </row>
    <row r="8106" spans="2:7" hidden="1">
      <c r="B8106" s="140"/>
      <c r="C8106" s="140"/>
      <c r="D8106" s="140"/>
      <c r="E8106" s="142"/>
      <c r="F8106" s="142"/>
      <c r="G8106" s="140"/>
    </row>
    <row r="8107" spans="2:7" hidden="1">
      <c r="B8107" s="140"/>
      <c r="C8107" s="140"/>
      <c r="D8107" s="140"/>
      <c r="E8107" s="142"/>
      <c r="F8107" s="142"/>
      <c r="G8107" s="140"/>
    </row>
    <row r="8108" spans="2:7" hidden="1">
      <c r="B8108" s="140"/>
      <c r="C8108" s="140"/>
      <c r="D8108" s="140"/>
      <c r="E8108" s="142"/>
      <c r="F8108" s="142"/>
      <c r="G8108" s="140"/>
    </row>
    <row r="8109" spans="2:7" hidden="1">
      <c r="B8109" s="140"/>
      <c r="C8109" s="140"/>
      <c r="D8109" s="140"/>
      <c r="E8109" s="142"/>
      <c r="F8109" s="142"/>
      <c r="G8109" s="140"/>
    </row>
    <row r="8110" spans="2:7" hidden="1">
      <c r="B8110" s="140"/>
      <c r="C8110" s="140"/>
      <c r="D8110" s="140"/>
      <c r="E8110" s="142"/>
      <c r="F8110" s="142"/>
      <c r="G8110" s="140"/>
    </row>
    <row r="8111" spans="2:7" hidden="1">
      <c r="B8111" s="140"/>
      <c r="C8111" s="140"/>
      <c r="D8111" s="140"/>
      <c r="E8111" s="142"/>
      <c r="F8111" s="142"/>
      <c r="G8111" s="140"/>
    </row>
    <row r="8112" spans="2:7" hidden="1">
      <c r="B8112" s="140"/>
      <c r="C8112" s="140"/>
      <c r="D8112" s="140"/>
      <c r="E8112" s="142"/>
      <c r="F8112" s="142"/>
      <c r="G8112" s="140"/>
    </row>
    <row r="8113" spans="2:7" hidden="1">
      <c r="B8113" s="140"/>
      <c r="C8113" s="140"/>
      <c r="D8113" s="140"/>
      <c r="E8113" s="142"/>
      <c r="F8113" s="142"/>
      <c r="G8113" s="140"/>
    </row>
    <row r="8114" spans="2:7" hidden="1">
      <c r="B8114" s="140"/>
      <c r="C8114" s="140"/>
      <c r="D8114" s="140"/>
      <c r="E8114" s="142"/>
      <c r="F8114" s="142"/>
      <c r="G8114" s="140"/>
    </row>
    <row r="8115" spans="2:7" hidden="1">
      <c r="B8115" s="140"/>
      <c r="C8115" s="140"/>
      <c r="D8115" s="140"/>
      <c r="E8115" s="142"/>
      <c r="F8115" s="142"/>
      <c r="G8115" s="140"/>
    </row>
    <row r="8116" spans="2:7" hidden="1">
      <c r="B8116" s="140"/>
      <c r="C8116" s="140"/>
      <c r="D8116" s="140"/>
      <c r="E8116" s="142"/>
      <c r="F8116" s="142"/>
      <c r="G8116" s="140"/>
    </row>
    <row r="8117" spans="2:7" hidden="1">
      <c r="B8117" s="140"/>
      <c r="C8117" s="140"/>
      <c r="D8117" s="140"/>
      <c r="E8117" s="142"/>
      <c r="F8117" s="142"/>
      <c r="G8117" s="140"/>
    </row>
    <row r="8118" spans="2:7" hidden="1">
      <c r="B8118" s="140"/>
      <c r="C8118" s="140"/>
      <c r="D8118" s="140"/>
      <c r="E8118" s="142"/>
      <c r="F8118" s="142"/>
      <c r="G8118" s="140"/>
    </row>
    <row r="8119" spans="2:7" hidden="1">
      <c r="B8119" s="140"/>
      <c r="C8119" s="140"/>
      <c r="D8119" s="140"/>
      <c r="E8119" s="142"/>
      <c r="F8119" s="142"/>
      <c r="G8119" s="140"/>
    </row>
    <row r="8120" spans="2:7" hidden="1">
      <c r="B8120" s="140"/>
      <c r="C8120" s="140"/>
      <c r="D8120" s="140"/>
      <c r="E8120" s="142"/>
      <c r="F8120" s="142"/>
      <c r="G8120" s="140"/>
    </row>
    <row r="8121" spans="2:7" hidden="1">
      <c r="B8121" s="140"/>
      <c r="C8121" s="140"/>
      <c r="D8121" s="140"/>
      <c r="E8121" s="142"/>
      <c r="F8121" s="142"/>
      <c r="G8121" s="140"/>
    </row>
    <row r="8122" spans="2:7" hidden="1">
      <c r="B8122" s="140"/>
      <c r="C8122" s="140"/>
      <c r="D8122" s="140"/>
      <c r="E8122" s="142"/>
      <c r="F8122" s="142"/>
      <c r="G8122" s="140"/>
    </row>
    <row r="8123" spans="2:7" hidden="1">
      <c r="B8123" s="140"/>
      <c r="C8123" s="140"/>
      <c r="D8123" s="140"/>
      <c r="E8123" s="142"/>
      <c r="F8123" s="142"/>
      <c r="G8123" s="140"/>
    </row>
    <row r="8124" spans="2:7" hidden="1">
      <c r="B8124" s="140"/>
      <c r="C8124" s="140"/>
      <c r="D8124" s="140"/>
      <c r="E8124" s="142"/>
      <c r="F8124" s="142"/>
      <c r="G8124" s="140"/>
    </row>
    <row r="8125" spans="2:7" hidden="1">
      <c r="B8125" s="140"/>
      <c r="C8125" s="140"/>
      <c r="D8125" s="140"/>
      <c r="E8125" s="142"/>
      <c r="F8125" s="142"/>
      <c r="G8125" s="140"/>
    </row>
    <row r="8126" spans="2:7" hidden="1">
      <c r="B8126" s="140"/>
      <c r="C8126" s="140"/>
      <c r="D8126" s="140"/>
      <c r="E8126" s="142"/>
      <c r="F8126" s="142"/>
      <c r="G8126" s="140"/>
    </row>
    <row r="8127" spans="2:7" hidden="1">
      <c r="B8127" s="140"/>
      <c r="C8127" s="140"/>
      <c r="D8127" s="140"/>
      <c r="E8127" s="142"/>
      <c r="F8127" s="142"/>
      <c r="G8127" s="140"/>
    </row>
    <row r="8128" spans="2:7" hidden="1">
      <c r="B8128" s="140"/>
      <c r="C8128" s="140"/>
      <c r="D8128" s="140"/>
      <c r="E8128" s="142"/>
      <c r="F8128" s="142"/>
      <c r="G8128" s="140"/>
    </row>
    <row r="8129" spans="2:7" hidden="1">
      <c r="B8129" s="140"/>
      <c r="C8129" s="140"/>
      <c r="D8129" s="140"/>
      <c r="E8129" s="142"/>
      <c r="F8129" s="142"/>
      <c r="G8129" s="140"/>
    </row>
    <row r="8130" spans="2:7" hidden="1">
      <c r="B8130" s="140"/>
      <c r="C8130" s="140"/>
      <c r="D8130" s="140"/>
      <c r="E8130" s="142"/>
      <c r="F8130" s="142"/>
      <c r="G8130" s="140"/>
    </row>
    <row r="8131" spans="2:7" hidden="1">
      <c r="B8131" s="140"/>
      <c r="C8131" s="140"/>
      <c r="D8131" s="140"/>
      <c r="E8131" s="142"/>
      <c r="F8131" s="142"/>
      <c r="G8131" s="140"/>
    </row>
    <row r="8132" spans="2:7" hidden="1">
      <c r="B8132" s="140"/>
      <c r="C8132" s="140"/>
      <c r="D8132" s="140"/>
      <c r="E8132" s="142"/>
      <c r="F8132" s="142"/>
      <c r="G8132" s="140"/>
    </row>
    <row r="8133" spans="2:7" hidden="1">
      <c r="B8133" s="140"/>
      <c r="C8133" s="140"/>
      <c r="D8133" s="140"/>
      <c r="E8133" s="142"/>
      <c r="F8133" s="142"/>
      <c r="G8133" s="140"/>
    </row>
    <row r="8134" spans="2:7" hidden="1">
      <c r="B8134" s="140"/>
      <c r="C8134" s="140"/>
      <c r="D8134" s="140"/>
      <c r="E8134" s="142"/>
      <c r="F8134" s="142"/>
      <c r="G8134" s="140"/>
    </row>
    <row r="8135" spans="2:7" hidden="1">
      <c r="B8135" s="140"/>
      <c r="C8135" s="140"/>
      <c r="D8135" s="140"/>
      <c r="E8135" s="142"/>
      <c r="F8135" s="142"/>
      <c r="G8135" s="140"/>
    </row>
    <row r="8136" spans="2:7" hidden="1">
      <c r="B8136" s="140"/>
      <c r="C8136" s="140"/>
      <c r="D8136" s="140"/>
      <c r="E8136" s="142"/>
      <c r="F8136" s="142"/>
      <c r="G8136" s="140"/>
    </row>
    <row r="8137" spans="2:7" hidden="1">
      <c r="B8137" s="140"/>
      <c r="C8137" s="140"/>
      <c r="D8137" s="140"/>
      <c r="E8137" s="142"/>
      <c r="F8137" s="142"/>
      <c r="G8137" s="140"/>
    </row>
    <row r="8138" spans="2:7" hidden="1">
      <c r="B8138" s="140"/>
      <c r="C8138" s="140"/>
      <c r="D8138" s="140"/>
      <c r="E8138" s="142"/>
      <c r="F8138" s="142"/>
      <c r="G8138" s="140"/>
    </row>
    <row r="8139" spans="2:7" hidden="1">
      <c r="B8139" s="140"/>
      <c r="C8139" s="140"/>
      <c r="D8139" s="140"/>
      <c r="E8139" s="142"/>
      <c r="F8139" s="142"/>
      <c r="G8139" s="140"/>
    </row>
    <row r="8140" spans="2:7" hidden="1">
      <c r="B8140" s="140"/>
      <c r="C8140" s="140"/>
      <c r="D8140" s="140"/>
      <c r="E8140" s="142"/>
      <c r="F8140" s="142"/>
      <c r="G8140" s="140"/>
    </row>
    <row r="8141" spans="2:7" hidden="1">
      <c r="B8141" s="140"/>
      <c r="C8141" s="140"/>
      <c r="D8141" s="140"/>
      <c r="E8141" s="142"/>
      <c r="F8141" s="142"/>
      <c r="G8141" s="140"/>
    </row>
    <row r="8142" spans="2:7" hidden="1">
      <c r="B8142" s="140"/>
      <c r="C8142" s="140"/>
      <c r="D8142" s="140"/>
      <c r="E8142" s="142"/>
      <c r="F8142" s="142"/>
      <c r="G8142" s="140"/>
    </row>
    <row r="8143" spans="2:7" hidden="1">
      <c r="B8143" s="140"/>
      <c r="C8143" s="140"/>
      <c r="D8143" s="140"/>
      <c r="E8143" s="142"/>
      <c r="F8143" s="142"/>
      <c r="G8143" s="140"/>
    </row>
    <row r="8144" spans="2:7" hidden="1">
      <c r="B8144" s="140"/>
      <c r="C8144" s="140"/>
      <c r="D8144" s="140"/>
      <c r="E8144" s="142"/>
      <c r="F8144" s="142"/>
      <c r="G8144" s="140"/>
    </row>
    <row r="8145" spans="2:7" hidden="1">
      <c r="B8145" s="140"/>
      <c r="C8145" s="140"/>
      <c r="D8145" s="140"/>
      <c r="E8145" s="142"/>
      <c r="F8145" s="142"/>
      <c r="G8145" s="140"/>
    </row>
    <row r="8146" spans="2:7" hidden="1">
      <c r="B8146" s="140"/>
      <c r="C8146" s="140"/>
      <c r="D8146" s="140"/>
      <c r="E8146" s="142"/>
      <c r="F8146" s="142"/>
      <c r="G8146" s="140"/>
    </row>
    <row r="8147" spans="2:7" hidden="1">
      <c r="B8147" s="140"/>
      <c r="C8147" s="140"/>
      <c r="D8147" s="140"/>
      <c r="E8147" s="142"/>
      <c r="F8147" s="142"/>
      <c r="G8147" s="140"/>
    </row>
    <row r="8148" spans="2:7" hidden="1">
      <c r="B8148" s="140"/>
      <c r="C8148" s="140"/>
      <c r="D8148" s="140"/>
      <c r="E8148" s="142"/>
      <c r="F8148" s="142"/>
      <c r="G8148" s="140"/>
    </row>
    <row r="8149" spans="2:7" hidden="1">
      <c r="B8149" s="140"/>
      <c r="C8149" s="140"/>
      <c r="D8149" s="140"/>
      <c r="E8149" s="142"/>
      <c r="F8149" s="142"/>
      <c r="G8149" s="140"/>
    </row>
    <row r="8150" spans="2:7" hidden="1">
      <c r="B8150" s="140"/>
      <c r="C8150" s="140"/>
      <c r="D8150" s="140"/>
      <c r="E8150" s="142"/>
      <c r="F8150" s="142"/>
      <c r="G8150" s="140"/>
    </row>
    <row r="8151" spans="2:7" hidden="1">
      <c r="B8151" s="140"/>
      <c r="C8151" s="140"/>
      <c r="D8151" s="140"/>
      <c r="E8151" s="142"/>
      <c r="F8151" s="142"/>
      <c r="G8151" s="140"/>
    </row>
    <row r="8152" spans="2:7" hidden="1">
      <c r="B8152" s="140"/>
      <c r="C8152" s="140"/>
      <c r="D8152" s="140"/>
      <c r="E8152" s="142"/>
      <c r="F8152" s="142"/>
      <c r="G8152" s="140"/>
    </row>
    <row r="8153" spans="2:7" hidden="1">
      <c r="B8153" s="140"/>
      <c r="C8153" s="140"/>
      <c r="D8153" s="140"/>
      <c r="E8153" s="142"/>
      <c r="F8153" s="142"/>
      <c r="G8153" s="140"/>
    </row>
    <row r="8154" spans="2:7" hidden="1">
      <c r="B8154" s="140"/>
      <c r="C8154" s="140"/>
      <c r="D8154" s="140"/>
      <c r="E8154" s="142"/>
      <c r="F8154" s="142"/>
      <c r="G8154" s="140"/>
    </row>
    <row r="8155" spans="2:7" hidden="1">
      <c r="B8155" s="140"/>
      <c r="C8155" s="140"/>
      <c r="D8155" s="140"/>
      <c r="E8155" s="142"/>
      <c r="F8155" s="142"/>
      <c r="G8155" s="140"/>
    </row>
    <row r="8156" spans="2:7" hidden="1">
      <c r="B8156" s="140"/>
      <c r="C8156" s="140"/>
      <c r="D8156" s="140"/>
      <c r="E8156" s="142"/>
      <c r="F8156" s="142"/>
      <c r="G8156" s="140"/>
    </row>
    <row r="8157" spans="2:7" hidden="1">
      <c r="B8157" s="140"/>
      <c r="C8157" s="140"/>
      <c r="D8157" s="140"/>
      <c r="E8157" s="142"/>
      <c r="F8157" s="142"/>
      <c r="G8157" s="140"/>
    </row>
    <row r="8158" spans="2:7" hidden="1">
      <c r="B8158" s="140"/>
      <c r="C8158" s="140"/>
      <c r="D8158" s="140"/>
      <c r="E8158" s="142"/>
      <c r="F8158" s="142"/>
      <c r="G8158" s="140"/>
    </row>
    <row r="8159" spans="2:7" hidden="1">
      <c r="B8159" s="140"/>
      <c r="C8159" s="140"/>
      <c r="D8159" s="140"/>
      <c r="E8159" s="142"/>
      <c r="F8159" s="142"/>
      <c r="G8159" s="140"/>
    </row>
    <row r="8160" spans="2:7" hidden="1">
      <c r="B8160" s="140"/>
      <c r="C8160" s="140"/>
      <c r="D8160" s="140"/>
      <c r="E8160" s="142"/>
      <c r="F8160" s="142"/>
      <c r="G8160" s="140"/>
    </row>
    <row r="8161" spans="2:7" hidden="1">
      <c r="B8161" s="140"/>
      <c r="C8161" s="140"/>
      <c r="D8161" s="140"/>
      <c r="E8161" s="142"/>
      <c r="F8161" s="142"/>
      <c r="G8161" s="140"/>
    </row>
    <row r="8162" spans="2:7" hidden="1">
      <c r="B8162" s="140"/>
      <c r="C8162" s="140"/>
      <c r="D8162" s="140"/>
      <c r="E8162" s="142"/>
      <c r="F8162" s="142"/>
      <c r="G8162" s="140"/>
    </row>
    <row r="8163" spans="2:7" hidden="1">
      <c r="B8163" s="140"/>
      <c r="C8163" s="140"/>
      <c r="D8163" s="140"/>
      <c r="E8163" s="142"/>
      <c r="F8163" s="142"/>
      <c r="G8163" s="140"/>
    </row>
    <row r="8164" spans="2:7" hidden="1">
      <c r="B8164" s="140"/>
      <c r="C8164" s="140"/>
      <c r="D8164" s="140"/>
      <c r="E8164" s="142"/>
      <c r="F8164" s="142"/>
      <c r="G8164" s="140"/>
    </row>
    <row r="8165" spans="2:7" hidden="1">
      <c r="B8165" s="140"/>
      <c r="C8165" s="140"/>
      <c r="D8165" s="140"/>
      <c r="E8165" s="142"/>
      <c r="F8165" s="142"/>
      <c r="G8165" s="140"/>
    </row>
    <row r="8166" spans="2:7" hidden="1">
      <c r="B8166" s="140"/>
      <c r="C8166" s="140"/>
      <c r="D8166" s="140"/>
      <c r="E8166" s="142"/>
      <c r="F8166" s="142"/>
      <c r="G8166" s="140"/>
    </row>
    <row r="8167" spans="2:7" hidden="1">
      <c r="B8167" s="140"/>
      <c r="C8167" s="140"/>
      <c r="D8167" s="140"/>
      <c r="E8167" s="142"/>
      <c r="F8167" s="142"/>
      <c r="G8167" s="140"/>
    </row>
    <row r="8168" spans="2:7" hidden="1">
      <c r="B8168" s="140"/>
      <c r="C8168" s="140"/>
      <c r="D8168" s="140"/>
      <c r="E8168" s="142"/>
      <c r="F8168" s="142"/>
      <c r="G8168" s="140"/>
    </row>
    <row r="8169" spans="2:7" hidden="1">
      <c r="B8169" s="140"/>
      <c r="C8169" s="140"/>
      <c r="D8169" s="140"/>
      <c r="E8169" s="142"/>
      <c r="F8169" s="142"/>
      <c r="G8169" s="140"/>
    </row>
    <row r="8170" spans="2:7" hidden="1">
      <c r="B8170" s="140"/>
      <c r="C8170" s="140"/>
      <c r="D8170" s="140"/>
      <c r="E8170" s="142"/>
      <c r="F8170" s="142"/>
      <c r="G8170" s="140"/>
    </row>
    <row r="8171" spans="2:7" hidden="1">
      <c r="B8171" s="140"/>
      <c r="C8171" s="140"/>
      <c r="D8171" s="140"/>
      <c r="E8171" s="142"/>
      <c r="F8171" s="142"/>
      <c r="G8171" s="140"/>
    </row>
    <row r="8172" spans="2:7" hidden="1">
      <c r="B8172" s="140"/>
      <c r="C8172" s="140"/>
      <c r="D8172" s="140"/>
      <c r="E8172" s="142"/>
      <c r="F8172" s="142"/>
      <c r="G8172" s="140"/>
    </row>
    <row r="8173" spans="2:7" hidden="1">
      <c r="B8173" s="140"/>
      <c r="C8173" s="140"/>
      <c r="D8173" s="140"/>
      <c r="E8173" s="142"/>
      <c r="F8173" s="142"/>
      <c r="G8173" s="140"/>
    </row>
    <row r="8174" spans="2:7" hidden="1">
      <c r="B8174" s="140"/>
      <c r="C8174" s="140"/>
      <c r="D8174" s="140"/>
      <c r="E8174" s="142"/>
      <c r="F8174" s="142"/>
      <c r="G8174" s="140"/>
    </row>
    <row r="8175" spans="2:7" hidden="1">
      <c r="B8175" s="140"/>
      <c r="C8175" s="140"/>
      <c r="D8175" s="140"/>
      <c r="E8175" s="142"/>
      <c r="F8175" s="142"/>
      <c r="G8175" s="140"/>
    </row>
    <row r="8176" spans="2:7" hidden="1">
      <c r="B8176" s="140"/>
      <c r="C8176" s="140"/>
      <c r="D8176" s="140"/>
      <c r="E8176" s="142"/>
      <c r="F8176" s="142"/>
      <c r="G8176" s="140"/>
    </row>
    <row r="8177" spans="2:7" hidden="1">
      <c r="B8177" s="140"/>
      <c r="C8177" s="140"/>
      <c r="D8177" s="140"/>
      <c r="E8177" s="142"/>
      <c r="F8177" s="142"/>
      <c r="G8177" s="140"/>
    </row>
    <row r="8178" spans="2:7" hidden="1">
      <c r="B8178" s="140"/>
      <c r="C8178" s="140"/>
      <c r="D8178" s="140"/>
      <c r="E8178" s="142"/>
      <c r="F8178" s="142"/>
      <c r="G8178" s="140"/>
    </row>
    <row r="8179" spans="2:7" hidden="1">
      <c r="B8179" s="140"/>
      <c r="C8179" s="140"/>
      <c r="D8179" s="140"/>
      <c r="E8179" s="142"/>
      <c r="F8179" s="142"/>
      <c r="G8179" s="140"/>
    </row>
    <row r="8180" spans="2:7" hidden="1">
      <c r="B8180" s="140"/>
      <c r="C8180" s="140"/>
      <c r="D8180" s="140"/>
      <c r="E8180" s="142"/>
      <c r="F8180" s="142"/>
      <c r="G8180" s="140"/>
    </row>
    <row r="8181" spans="2:7" hidden="1">
      <c r="B8181" s="140"/>
      <c r="C8181" s="140"/>
      <c r="D8181" s="140"/>
      <c r="E8181" s="142"/>
      <c r="F8181" s="142"/>
      <c r="G8181" s="140"/>
    </row>
    <row r="8182" spans="2:7" hidden="1">
      <c r="B8182" s="140"/>
      <c r="C8182" s="140"/>
      <c r="D8182" s="140"/>
      <c r="E8182" s="142"/>
      <c r="F8182" s="142"/>
      <c r="G8182" s="140"/>
    </row>
    <row r="8183" spans="2:7" hidden="1">
      <c r="B8183" s="140"/>
      <c r="C8183" s="140"/>
      <c r="D8183" s="140"/>
      <c r="E8183" s="142"/>
      <c r="F8183" s="142"/>
      <c r="G8183" s="140"/>
    </row>
    <row r="8184" spans="2:7" hidden="1">
      <c r="B8184" s="140"/>
      <c r="C8184" s="140"/>
      <c r="D8184" s="140"/>
      <c r="E8184" s="142"/>
      <c r="F8184" s="142"/>
      <c r="G8184" s="140"/>
    </row>
    <row r="8185" spans="2:7" hidden="1">
      <c r="B8185" s="140"/>
      <c r="C8185" s="140"/>
      <c r="D8185" s="140"/>
      <c r="E8185" s="142"/>
      <c r="F8185" s="142"/>
      <c r="G8185" s="140"/>
    </row>
    <row r="8186" spans="2:7" hidden="1">
      <c r="B8186" s="140"/>
      <c r="C8186" s="140"/>
      <c r="D8186" s="140"/>
      <c r="E8186" s="142"/>
      <c r="F8186" s="142"/>
      <c r="G8186" s="140"/>
    </row>
    <row r="8187" spans="2:7" hidden="1">
      <c r="B8187" s="140"/>
      <c r="C8187" s="140"/>
      <c r="D8187" s="140"/>
      <c r="E8187" s="142"/>
      <c r="F8187" s="142"/>
      <c r="G8187" s="140"/>
    </row>
    <row r="8188" spans="2:7" hidden="1">
      <c r="B8188" s="140"/>
      <c r="C8188" s="140"/>
      <c r="D8188" s="140"/>
      <c r="E8188" s="142"/>
      <c r="F8188" s="142"/>
      <c r="G8188" s="140"/>
    </row>
    <row r="8189" spans="2:7" hidden="1">
      <c r="B8189" s="140"/>
      <c r="C8189" s="140"/>
      <c r="D8189" s="140"/>
      <c r="E8189" s="142"/>
      <c r="F8189" s="142"/>
      <c r="G8189" s="140"/>
    </row>
    <row r="8190" spans="2:7" hidden="1">
      <c r="B8190" s="140"/>
      <c r="C8190" s="140"/>
      <c r="D8190" s="140"/>
      <c r="E8190" s="142"/>
      <c r="F8190" s="142"/>
      <c r="G8190" s="140"/>
    </row>
    <row r="8191" spans="2:7" hidden="1">
      <c r="B8191" s="140"/>
      <c r="C8191" s="140"/>
      <c r="D8191" s="140"/>
      <c r="E8191" s="142"/>
      <c r="F8191" s="142"/>
      <c r="G8191" s="140"/>
    </row>
    <row r="8192" spans="2:7" hidden="1">
      <c r="B8192" s="140"/>
      <c r="C8192" s="140"/>
      <c r="D8192" s="140"/>
      <c r="E8192" s="142"/>
      <c r="F8192" s="142"/>
      <c r="G8192" s="140"/>
    </row>
    <row r="8193" spans="2:7" hidden="1">
      <c r="B8193" s="140"/>
      <c r="C8193" s="140"/>
      <c r="D8193" s="140"/>
      <c r="E8193" s="142"/>
      <c r="F8193" s="142"/>
      <c r="G8193" s="140"/>
    </row>
    <row r="8194" spans="2:7" hidden="1">
      <c r="B8194" s="140"/>
      <c r="C8194" s="140"/>
      <c r="D8194" s="140"/>
      <c r="E8194" s="142"/>
      <c r="F8194" s="142"/>
      <c r="G8194" s="140"/>
    </row>
    <row r="8195" spans="2:7" hidden="1">
      <c r="B8195" s="140"/>
      <c r="C8195" s="140"/>
      <c r="D8195" s="140"/>
      <c r="E8195" s="142"/>
      <c r="F8195" s="142"/>
      <c r="G8195" s="140"/>
    </row>
    <row r="8196" spans="2:7" hidden="1">
      <c r="B8196" s="140"/>
      <c r="C8196" s="140"/>
      <c r="D8196" s="140"/>
      <c r="E8196" s="142"/>
      <c r="F8196" s="142"/>
      <c r="G8196" s="140"/>
    </row>
    <row r="8197" spans="2:7" hidden="1">
      <c r="B8197" s="140"/>
      <c r="C8197" s="140"/>
      <c r="D8197" s="140"/>
      <c r="E8197" s="142"/>
      <c r="F8197" s="142"/>
      <c r="G8197" s="140"/>
    </row>
    <row r="8198" spans="2:7" hidden="1">
      <c r="B8198" s="140"/>
      <c r="C8198" s="140"/>
      <c r="D8198" s="140"/>
      <c r="E8198" s="142"/>
      <c r="F8198" s="142"/>
      <c r="G8198" s="140"/>
    </row>
    <row r="8199" spans="2:7" hidden="1">
      <c r="B8199" s="140"/>
      <c r="C8199" s="140"/>
      <c r="D8199" s="140"/>
      <c r="E8199" s="142"/>
      <c r="F8199" s="142"/>
      <c r="G8199" s="140"/>
    </row>
    <row r="8200" spans="2:7" hidden="1">
      <c r="B8200" s="140"/>
      <c r="C8200" s="140"/>
      <c r="D8200" s="140"/>
      <c r="E8200" s="142"/>
      <c r="F8200" s="142"/>
      <c r="G8200" s="140"/>
    </row>
    <row r="8201" spans="2:7" hidden="1">
      <c r="B8201" s="140"/>
      <c r="C8201" s="140"/>
      <c r="D8201" s="140"/>
      <c r="E8201" s="142"/>
      <c r="F8201" s="142"/>
      <c r="G8201" s="140"/>
    </row>
    <row r="8202" spans="2:7" hidden="1">
      <c r="B8202" s="140"/>
      <c r="C8202" s="140"/>
      <c r="D8202" s="140"/>
      <c r="E8202" s="142"/>
      <c r="F8202" s="142"/>
      <c r="G8202" s="140"/>
    </row>
    <row r="8203" spans="2:7" hidden="1">
      <c r="B8203" s="140"/>
      <c r="C8203" s="140"/>
      <c r="D8203" s="140"/>
      <c r="E8203" s="142"/>
      <c r="F8203" s="142"/>
      <c r="G8203" s="140"/>
    </row>
    <row r="8204" spans="2:7" hidden="1">
      <c r="B8204" s="140"/>
      <c r="C8204" s="140"/>
      <c r="D8204" s="140"/>
      <c r="E8204" s="142"/>
      <c r="F8204" s="142"/>
      <c r="G8204" s="140"/>
    </row>
    <row r="8205" spans="2:7" hidden="1">
      <c r="B8205" s="140"/>
      <c r="C8205" s="140"/>
      <c r="D8205" s="140"/>
      <c r="E8205" s="142"/>
      <c r="F8205" s="142"/>
      <c r="G8205" s="140"/>
    </row>
    <row r="8206" spans="2:7" hidden="1">
      <c r="B8206" s="140"/>
      <c r="C8206" s="140"/>
      <c r="D8206" s="140"/>
      <c r="E8206" s="142"/>
      <c r="F8206" s="142"/>
      <c r="G8206" s="140"/>
    </row>
    <row r="8207" spans="2:7" hidden="1">
      <c r="B8207" s="140"/>
      <c r="C8207" s="140"/>
      <c r="D8207" s="140"/>
      <c r="E8207" s="142"/>
      <c r="F8207" s="142"/>
      <c r="G8207" s="140"/>
    </row>
    <row r="8208" spans="2:7" hidden="1">
      <c r="B8208" s="140"/>
      <c r="C8208" s="140"/>
      <c r="D8208" s="140"/>
      <c r="E8208" s="142"/>
      <c r="F8208" s="142"/>
      <c r="G8208" s="140"/>
    </row>
    <row r="8209" spans="2:7" hidden="1">
      <c r="B8209" s="140"/>
      <c r="C8209" s="140"/>
      <c r="D8209" s="140"/>
      <c r="E8209" s="142"/>
      <c r="F8209" s="142"/>
      <c r="G8209" s="140"/>
    </row>
    <row r="8210" spans="2:7" hidden="1">
      <c r="B8210" s="140"/>
      <c r="C8210" s="140"/>
      <c r="D8210" s="140"/>
      <c r="E8210" s="142"/>
      <c r="F8210" s="142"/>
      <c r="G8210" s="140"/>
    </row>
    <row r="8211" spans="2:7" hidden="1">
      <c r="B8211" s="140"/>
      <c r="C8211" s="140"/>
      <c r="D8211" s="140"/>
      <c r="E8211" s="142"/>
      <c r="F8211" s="142"/>
      <c r="G8211" s="140"/>
    </row>
    <row r="8212" spans="2:7" hidden="1">
      <c r="B8212" s="140"/>
      <c r="C8212" s="140"/>
      <c r="D8212" s="140"/>
      <c r="E8212" s="142"/>
      <c r="F8212" s="142"/>
      <c r="G8212" s="140"/>
    </row>
    <row r="8213" spans="2:7" hidden="1">
      <c r="B8213" s="140"/>
      <c r="C8213" s="140"/>
      <c r="D8213" s="140"/>
      <c r="E8213" s="142"/>
      <c r="F8213" s="142"/>
      <c r="G8213" s="140"/>
    </row>
    <row r="8214" spans="2:7" hidden="1">
      <c r="B8214" s="140"/>
      <c r="C8214" s="140"/>
      <c r="D8214" s="140"/>
      <c r="E8214" s="142"/>
      <c r="F8214" s="142"/>
      <c r="G8214" s="140"/>
    </row>
    <row r="8215" spans="2:7" hidden="1">
      <c r="B8215" s="140"/>
      <c r="C8215" s="140"/>
      <c r="D8215" s="140"/>
      <c r="E8215" s="142"/>
      <c r="F8215" s="142"/>
      <c r="G8215" s="140"/>
    </row>
    <row r="8216" spans="2:7" hidden="1">
      <c r="B8216" s="140"/>
      <c r="C8216" s="140"/>
      <c r="D8216" s="140"/>
      <c r="E8216" s="142"/>
      <c r="F8216" s="142"/>
      <c r="G8216" s="140"/>
    </row>
    <row r="8217" spans="2:7" hidden="1">
      <c r="B8217" s="140"/>
      <c r="C8217" s="140"/>
      <c r="D8217" s="140"/>
      <c r="E8217" s="142"/>
      <c r="F8217" s="142"/>
      <c r="G8217" s="140"/>
    </row>
    <row r="8218" spans="2:7" hidden="1">
      <c r="B8218" s="140"/>
      <c r="C8218" s="140"/>
      <c r="D8218" s="140"/>
      <c r="E8218" s="142"/>
      <c r="F8218" s="142"/>
      <c r="G8218" s="140"/>
    </row>
    <row r="8219" spans="2:7" hidden="1">
      <c r="B8219" s="140"/>
      <c r="C8219" s="140"/>
      <c r="D8219" s="140"/>
      <c r="E8219" s="142"/>
      <c r="F8219" s="142"/>
      <c r="G8219" s="140"/>
    </row>
    <row r="8220" spans="2:7" hidden="1">
      <c r="B8220" s="140"/>
      <c r="C8220" s="140"/>
      <c r="D8220" s="140"/>
      <c r="E8220" s="142"/>
      <c r="F8220" s="142"/>
      <c r="G8220" s="140"/>
    </row>
    <row r="8221" spans="2:7" hidden="1">
      <c r="B8221" s="140"/>
      <c r="C8221" s="140"/>
      <c r="D8221" s="140"/>
      <c r="E8221" s="142"/>
      <c r="F8221" s="142"/>
      <c r="G8221" s="140"/>
    </row>
    <row r="8222" spans="2:7" hidden="1">
      <c r="B8222" s="140"/>
      <c r="C8222" s="140"/>
      <c r="D8222" s="140"/>
      <c r="E8222" s="142"/>
      <c r="F8222" s="142"/>
      <c r="G8222" s="140"/>
    </row>
    <row r="8223" spans="2:7" hidden="1">
      <c r="B8223" s="140"/>
      <c r="C8223" s="140"/>
      <c r="D8223" s="140"/>
      <c r="E8223" s="142"/>
      <c r="F8223" s="142"/>
      <c r="G8223" s="140"/>
    </row>
    <row r="8224" spans="2:7" hidden="1">
      <c r="B8224" s="140"/>
      <c r="C8224" s="140"/>
      <c r="D8224" s="140"/>
      <c r="E8224" s="142"/>
      <c r="F8224" s="142"/>
      <c r="G8224" s="140"/>
    </row>
    <row r="8225" spans="2:7" hidden="1">
      <c r="B8225" s="140"/>
      <c r="C8225" s="140"/>
      <c r="D8225" s="140"/>
      <c r="E8225" s="142"/>
      <c r="F8225" s="142"/>
      <c r="G8225" s="140"/>
    </row>
    <row r="8226" spans="2:7" hidden="1">
      <c r="B8226" s="140"/>
      <c r="C8226" s="140"/>
      <c r="D8226" s="140"/>
      <c r="E8226" s="142"/>
      <c r="F8226" s="142"/>
      <c r="G8226" s="140"/>
    </row>
    <row r="8227" spans="2:7" hidden="1">
      <c r="B8227" s="140"/>
      <c r="C8227" s="140"/>
      <c r="D8227" s="140"/>
      <c r="E8227" s="142"/>
      <c r="F8227" s="142"/>
      <c r="G8227" s="140"/>
    </row>
    <row r="8228" spans="2:7" hidden="1">
      <c r="B8228" s="140"/>
      <c r="C8228" s="140"/>
      <c r="D8228" s="140"/>
      <c r="E8228" s="142"/>
      <c r="F8228" s="142"/>
      <c r="G8228" s="140"/>
    </row>
    <row r="8229" spans="2:7" hidden="1">
      <c r="B8229" s="140"/>
      <c r="C8229" s="140"/>
      <c r="D8229" s="140"/>
      <c r="E8229" s="142"/>
      <c r="F8229" s="142"/>
      <c r="G8229" s="140"/>
    </row>
    <row r="8230" spans="2:7" hidden="1">
      <c r="B8230" s="140"/>
      <c r="C8230" s="140"/>
      <c r="D8230" s="140"/>
      <c r="E8230" s="142"/>
      <c r="F8230" s="142"/>
      <c r="G8230" s="140"/>
    </row>
    <row r="8231" spans="2:7" hidden="1">
      <c r="B8231" s="140"/>
      <c r="C8231" s="140"/>
      <c r="D8231" s="140"/>
      <c r="E8231" s="142"/>
      <c r="F8231" s="142"/>
      <c r="G8231" s="140"/>
    </row>
    <row r="8232" spans="2:7" hidden="1">
      <c r="B8232" s="140"/>
      <c r="C8232" s="140"/>
      <c r="D8232" s="140"/>
      <c r="E8232" s="142"/>
      <c r="F8232" s="142"/>
      <c r="G8232" s="140"/>
    </row>
    <row r="8233" spans="2:7" hidden="1">
      <c r="B8233" s="140"/>
      <c r="C8233" s="140"/>
      <c r="D8233" s="140"/>
      <c r="E8233" s="142"/>
      <c r="F8233" s="142"/>
      <c r="G8233" s="140"/>
    </row>
    <row r="8234" spans="2:7" hidden="1">
      <c r="B8234" s="140"/>
      <c r="C8234" s="140"/>
      <c r="D8234" s="140"/>
      <c r="E8234" s="142"/>
      <c r="F8234" s="142"/>
      <c r="G8234" s="140"/>
    </row>
    <row r="8235" spans="2:7" hidden="1">
      <c r="B8235" s="140"/>
      <c r="C8235" s="140"/>
      <c r="D8235" s="140"/>
      <c r="E8235" s="142"/>
      <c r="F8235" s="142"/>
      <c r="G8235" s="140"/>
    </row>
    <row r="8236" spans="2:7" hidden="1">
      <c r="B8236" s="140"/>
      <c r="C8236" s="140"/>
      <c r="D8236" s="140"/>
      <c r="E8236" s="142"/>
      <c r="F8236" s="142"/>
      <c r="G8236" s="140"/>
    </row>
    <row r="8237" spans="2:7" hidden="1">
      <c r="B8237" s="140"/>
      <c r="C8237" s="140"/>
      <c r="D8237" s="140"/>
      <c r="E8237" s="142"/>
      <c r="F8237" s="142"/>
      <c r="G8237" s="140"/>
    </row>
    <row r="8238" spans="2:7" hidden="1">
      <c r="B8238" s="140"/>
      <c r="C8238" s="140"/>
      <c r="D8238" s="140"/>
      <c r="E8238" s="142"/>
      <c r="F8238" s="142"/>
      <c r="G8238" s="140"/>
    </row>
    <row r="8239" spans="2:7" hidden="1">
      <c r="B8239" s="140"/>
      <c r="C8239" s="140"/>
      <c r="D8239" s="140"/>
      <c r="E8239" s="142"/>
      <c r="F8239" s="142"/>
      <c r="G8239" s="140"/>
    </row>
    <row r="8240" spans="2:7" hidden="1">
      <c r="B8240" s="140"/>
      <c r="C8240" s="140"/>
      <c r="D8240" s="140"/>
      <c r="E8240" s="142"/>
      <c r="F8240" s="142"/>
      <c r="G8240" s="140"/>
    </row>
    <row r="8241" spans="2:7" hidden="1">
      <c r="B8241" s="140"/>
      <c r="C8241" s="140"/>
      <c r="D8241" s="140"/>
      <c r="E8241" s="142"/>
      <c r="F8241" s="142"/>
      <c r="G8241" s="140"/>
    </row>
    <row r="8242" spans="2:7" hidden="1">
      <c r="B8242" s="140"/>
      <c r="C8242" s="140"/>
      <c r="D8242" s="140"/>
      <c r="E8242" s="142"/>
      <c r="F8242" s="142"/>
      <c r="G8242" s="140"/>
    </row>
    <row r="8243" spans="2:7" hidden="1">
      <c r="B8243" s="140"/>
      <c r="C8243" s="140"/>
      <c r="D8243" s="140"/>
      <c r="E8243" s="142"/>
      <c r="F8243" s="142"/>
      <c r="G8243" s="140"/>
    </row>
    <row r="8244" spans="2:7" hidden="1">
      <c r="B8244" s="140"/>
      <c r="C8244" s="140"/>
      <c r="D8244" s="140"/>
      <c r="E8244" s="142"/>
      <c r="F8244" s="142"/>
      <c r="G8244" s="140"/>
    </row>
    <row r="8245" spans="2:7" hidden="1">
      <c r="B8245" s="140"/>
      <c r="C8245" s="140"/>
      <c r="D8245" s="140"/>
      <c r="E8245" s="142"/>
      <c r="F8245" s="142"/>
      <c r="G8245" s="140"/>
    </row>
    <row r="8246" spans="2:7" hidden="1">
      <c r="B8246" s="140"/>
      <c r="C8246" s="140"/>
      <c r="D8246" s="140"/>
      <c r="E8246" s="142"/>
      <c r="F8246" s="142"/>
      <c r="G8246" s="140"/>
    </row>
    <row r="8247" spans="2:7" hidden="1">
      <c r="B8247" s="140"/>
      <c r="C8247" s="140"/>
      <c r="D8247" s="140"/>
      <c r="E8247" s="142"/>
      <c r="F8247" s="142"/>
      <c r="G8247" s="140"/>
    </row>
    <row r="8248" spans="2:7" hidden="1">
      <c r="B8248" s="140"/>
      <c r="C8248" s="140"/>
      <c r="D8248" s="140"/>
      <c r="E8248" s="142"/>
      <c r="F8248" s="142"/>
      <c r="G8248" s="140"/>
    </row>
    <row r="8249" spans="2:7" hidden="1">
      <c r="B8249" s="140"/>
      <c r="C8249" s="140"/>
      <c r="D8249" s="140"/>
      <c r="E8249" s="142"/>
      <c r="F8249" s="142"/>
      <c r="G8249" s="140"/>
    </row>
    <row r="8250" spans="2:7" hidden="1">
      <c r="B8250" s="140"/>
      <c r="C8250" s="140"/>
      <c r="D8250" s="140"/>
      <c r="E8250" s="142"/>
      <c r="F8250" s="142"/>
      <c r="G8250" s="140"/>
    </row>
    <row r="8251" spans="2:7" hidden="1">
      <c r="B8251" s="140"/>
      <c r="C8251" s="140"/>
      <c r="D8251" s="140"/>
      <c r="E8251" s="142"/>
      <c r="F8251" s="142"/>
      <c r="G8251" s="140"/>
    </row>
    <row r="8252" spans="2:7" hidden="1">
      <c r="B8252" s="140"/>
      <c r="C8252" s="140"/>
      <c r="D8252" s="140"/>
      <c r="E8252" s="142"/>
      <c r="F8252" s="142"/>
      <c r="G8252" s="140"/>
    </row>
    <row r="8253" spans="2:7" hidden="1">
      <c r="B8253" s="140"/>
      <c r="C8253" s="140"/>
      <c r="D8253" s="140"/>
      <c r="E8253" s="142"/>
      <c r="F8253" s="142"/>
      <c r="G8253" s="140"/>
    </row>
    <row r="8254" spans="2:7" hidden="1">
      <c r="B8254" s="140"/>
      <c r="C8254" s="140"/>
      <c r="D8254" s="140"/>
      <c r="E8254" s="142"/>
      <c r="F8254" s="142"/>
      <c r="G8254" s="140"/>
    </row>
    <row r="8255" spans="2:7" hidden="1">
      <c r="B8255" s="140"/>
      <c r="C8255" s="140"/>
      <c r="D8255" s="140"/>
      <c r="E8255" s="142"/>
      <c r="F8255" s="142"/>
      <c r="G8255" s="140"/>
    </row>
    <row r="8256" spans="2:7" hidden="1">
      <c r="B8256" s="140"/>
      <c r="C8256" s="140"/>
      <c r="D8256" s="140"/>
      <c r="E8256" s="142"/>
      <c r="F8256" s="142"/>
      <c r="G8256" s="140"/>
    </row>
    <row r="8257" spans="2:7" hidden="1">
      <c r="B8257" s="140"/>
      <c r="C8257" s="140"/>
      <c r="D8257" s="140"/>
      <c r="E8257" s="142"/>
      <c r="F8257" s="142"/>
      <c r="G8257" s="140"/>
    </row>
    <row r="8258" spans="2:7" hidden="1">
      <c r="B8258" s="140"/>
      <c r="C8258" s="140"/>
      <c r="D8258" s="140"/>
      <c r="E8258" s="142"/>
      <c r="F8258" s="142"/>
      <c r="G8258" s="140"/>
    </row>
    <row r="8259" spans="2:7" hidden="1">
      <c r="B8259" s="140"/>
      <c r="C8259" s="140"/>
      <c r="D8259" s="140"/>
      <c r="E8259" s="142"/>
      <c r="F8259" s="142"/>
      <c r="G8259" s="140"/>
    </row>
    <row r="8260" spans="2:7" hidden="1">
      <c r="B8260" s="140"/>
      <c r="C8260" s="140"/>
      <c r="D8260" s="140"/>
      <c r="E8260" s="142"/>
      <c r="F8260" s="142"/>
      <c r="G8260" s="140"/>
    </row>
    <row r="8261" spans="2:7" hidden="1">
      <c r="B8261" s="140"/>
      <c r="C8261" s="140"/>
      <c r="D8261" s="140"/>
      <c r="E8261" s="142"/>
      <c r="F8261" s="142"/>
      <c r="G8261" s="140"/>
    </row>
    <row r="8262" spans="2:7" hidden="1">
      <c r="B8262" s="140"/>
      <c r="C8262" s="140"/>
      <c r="D8262" s="140"/>
      <c r="E8262" s="142"/>
      <c r="F8262" s="142"/>
      <c r="G8262" s="140"/>
    </row>
    <row r="8263" spans="2:7" hidden="1">
      <c r="B8263" s="140"/>
      <c r="C8263" s="140"/>
      <c r="D8263" s="140"/>
      <c r="E8263" s="142"/>
      <c r="F8263" s="142"/>
      <c r="G8263" s="140"/>
    </row>
    <row r="8264" spans="2:7" hidden="1">
      <c r="B8264" s="140"/>
      <c r="C8264" s="140"/>
      <c r="D8264" s="140"/>
      <c r="E8264" s="142"/>
      <c r="F8264" s="142"/>
      <c r="G8264" s="140"/>
    </row>
    <row r="8265" spans="2:7" hidden="1">
      <c r="B8265" s="140"/>
      <c r="C8265" s="140"/>
      <c r="D8265" s="140"/>
      <c r="E8265" s="142"/>
      <c r="F8265" s="142"/>
      <c r="G8265" s="140"/>
    </row>
    <row r="8266" spans="2:7" hidden="1">
      <c r="B8266" s="140"/>
      <c r="C8266" s="140"/>
      <c r="D8266" s="140"/>
      <c r="E8266" s="142"/>
      <c r="F8266" s="142"/>
      <c r="G8266" s="140"/>
    </row>
    <row r="8267" spans="2:7" hidden="1">
      <c r="B8267" s="140"/>
      <c r="C8267" s="140"/>
      <c r="D8267" s="140"/>
      <c r="E8267" s="142"/>
      <c r="F8267" s="142"/>
      <c r="G8267" s="140"/>
    </row>
    <row r="8268" spans="2:7" hidden="1">
      <c r="B8268" s="140"/>
      <c r="C8268" s="140"/>
      <c r="D8268" s="140"/>
      <c r="E8268" s="142"/>
      <c r="F8268" s="142"/>
      <c r="G8268" s="140"/>
    </row>
    <row r="8269" spans="2:7" hidden="1">
      <c r="B8269" s="140"/>
      <c r="C8269" s="140"/>
      <c r="D8269" s="140"/>
      <c r="E8269" s="142"/>
      <c r="F8269" s="142"/>
      <c r="G8269" s="140"/>
    </row>
    <row r="8270" spans="2:7" hidden="1">
      <c r="B8270" s="140"/>
      <c r="C8270" s="140"/>
      <c r="D8270" s="140"/>
      <c r="E8270" s="142"/>
      <c r="F8270" s="142"/>
      <c r="G8270" s="140"/>
    </row>
    <row r="8271" spans="2:7" hidden="1">
      <c r="B8271" s="140"/>
      <c r="C8271" s="140"/>
      <c r="D8271" s="140"/>
      <c r="E8271" s="142"/>
      <c r="F8271" s="142"/>
      <c r="G8271" s="140"/>
    </row>
    <row r="8272" spans="2:7" hidden="1">
      <c r="B8272" s="140"/>
      <c r="C8272" s="140"/>
      <c r="D8272" s="140"/>
      <c r="E8272" s="142"/>
      <c r="F8272" s="142"/>
      <c r="G8272" s="140"/>
    </row>
    <row r="8273" spans="2:7" hidden="1">
      <c r="B8273" s="140"/>
      <c r="C8273" s="140"/>
      <c r="D8273" s="140"/>
      <c r="E8273" s="142"/>
      <c r="F8273" s="142"/>
      <c r="G8273" s="140"/>
    </row>
    <row r="8274" spans="2:7" hidden="1">
      <c r="B8274" s="140"/>
      <c r="C8274" s="140"/>
      <c r="D8274" s="140"/>
      <c r="E8274" s="142"/>
      <c r="F8274" s="142"/>
      <c r="G8274" s="140"/>
    </row>
    <row r="8275" spans="2:7" hidden="1">
      <c r="B8275" s="140"/>
      <c r="C8275" s="140"/>
      <c r="D8275" s="140"/>
      <c r="E8275" s="142"/>
      <c r="F8275" s="142"/>
      <c r="G8275" s="140"/>
    </row>
    <row r="8276" spans="2:7" hidden="1">
      <c r="B8276" s="140"/>
      <c r="C8276" s="140"/>
      <c r="D8276" s="140"/>
      <c r="E8276" s="142"/>
      <c r="F8276" s="142"/>
      <c r="G8276" s="140"/>
    </row>
    <row r="8277" spans="2:7" hidden="1">
      <c r="B8277" s="140"/>
      <c r="C8277" s="140"/>
      <c r="D8277" s="140"/>
      <c r="E8277" s="142"/>
      <c r="F8277" s="142"/>
      <c r="G8277" s="140"/>
    </row>
    <row r="8278" spans="2:7" hidden="1">
      <c r="B8278" s="140"/>
      <c r="C8278" s="140"/>
      <c r="D8278" s="140"/>
      <c r="E8278" s="142"/>
      <c r="F8278" s="142"/>
      <c r="G8278" s="140"/>
    </row>
    <row r="8279" spans="2:7" hidden="1">
      <c r="B8279" s="140"/>
      <c r="C8279" s="140"/>
      <c r="D8279" s="140"/>
      <c r="E8279" s="142"/>
      <c r="F8279" s="142"/>
      <c r="G8279" s="140"/>
    </row>
    <row r="8280" spans="2:7" hidden="1">
      <c r="B8280" s="140"/>
      <c r="C8280" s="140"/>
      <c r="D8280" s="140"/>
      <c r="E8280" s="142"/>
      <c r="F8280" s="142"/>
      <c r="G8280" s="140"/>
    </row>
    <row r="8281" spans="2:7" hidden="1">
      <c r="B8281" s="140"/>
      <c r="C8281" s="140"/>
      <c r="D8281" s="140"/>
      <c r="E8281" s="142"/>
      <c r="F8281" s="142"/>
      <c r="G8281" s="140"/>
    </row>
    <row r="8282" spans="2:7" hidden="1">
      <c r="B8282" s="140"/>
      <c r="C8282" s="140"/>
      <c r="D8282" s="140"/>
      <c r="E8282" s="142"/>
      <c r="F8282" s="142"/>
      <c r="G8282" s="140"/>
    </row>
    <row r="8283" spans="2:7" hidden="1">
      <c r="B8283" s="140"/>
      <c r="C8283" s="140"/>
      <c r="D8283" s="140"/>
      <c r="E8283" s="142"/>
      <c r="F8283" s="142"/>
      <c r="G8283" s="140"/>
    </row>
    <row r="8284" spans="2:7" hidden="1">
      <c r="B8284" s="140"/>
      <c r="C8284" s="140"/>
      <c r="D8284" s="140"/>
      <c r="E8284" s="142"/>
      <c r="F8284" s="142"/>
      <c r="G8284" s="140"/>
    </row>
    <row r="8285" spans="2:7" hidden="1">
      <c r="B8285" s="140"/>
      <c r="C8285" s="140"/>
      <c r="D8285" s="140"/>
      <c r="E8285" s="142"/>
      <c r="F8285" s="142"/>
      <c r="G8285" s="140"/>
    </row>
    <row r="8286" spans="2:7" hidden="1">
      <c r="B8286" s="140"/>
      <c r="C8286" s="140"/>
      <c r="D8286" s="140"/>
      <c r="E8286" s="142"/>
      <c r="F8286" s="142"/>
      <c r="G8286" s="140"/>
    </row>
    <row r="8287" spans="2:7" hidden="1">
      <c r="B8287" s="140"/>
      <c r="C8287" s="140"/>
      <c r="D8287" s="140"/>
      <c r="E8287" s="142"/>
      <c r="F8287" s="142"/>
      <c r="G8287" s="140"/>
    </row>
    <row r="8288" spans="2:7" hidden="1">
      <c r="B8288" s="140"/>
      <c r="C8288" s="140"/>
      <c r="D8288" s="140"/>
      <c r="E8288" s="142"/>
      <c r="F8288" s="142"/>
      <c r="G8288" s="140"/>
    </row>
    <row r="8289" spans="2:7" hidden="1">
      <c r="B8289" s="140"/>
      <c r="C8289" s="140"/>
      <c r="D8289" s="140"/>
      <c r="E8289" s="142"/>
      <c r="F8289" s="142"/>
      <c r="G8289" s="140"/>
    </row>
    <row r="8290" spans="2:7" hidden="1">
      <c r="B8290" s="140"/>
      <c r="C8290" s="140"/>
      <c r="D8290" s="140"/>
      <c r="E8290" s="142"/>
      <c r="F8290" s="142"/>
      <c r="G8290" s="140"/>
    </row>
    <row r="8291" spans="2:7" hidden="1">
      <c r="B8291" s="140"/>
      <c r="C8291" s="140"/>
      <c r="D8291" s="140"/>
      <c r="E8291" s="142"/>
      <c r="F8291" s="142"/>
      <c r="G8291" s="140"/>
    </row>
    <row r="8292" spans="2:7" hidden="1">
      <c r="B8292" s="140"/>
      <c r="C8292" s="140"/>
      <c r="D8292" s="140"/>
      <c r="E8292" s="142"/>
      <c r="F8292" s="142"/>
      <c r="G8292" s="140"/>
    </row>
    <row r="8293" spans="2:7" hidden="1">
      <c r="B8293" s="140"/>
      <c r="C8293" s="140"/>
      <c r="D8293" s="140"/>
      <c r="E8293" s="142"/>
      <c r="F8293" s="142"/>
      <c r="G8293" s="140"/>
    </row>
    <row r="8294" spans="2:7" hidden="1">
      <c r="B8294" s="140"/>
      <c r="C8294" s="140"/>
      <c r="D8294" s="140"/>
      <c r="E8294" s="142"/>
      <c r="F8294" s="142"/>
      <c r="G8294" s="140"/>
    </row>
    <row r="8295" spans="2:7" hidden="1">
      <c r="B8295" s="140"/>
      <c r="C8295" s="140"/>
      <c r="D8295" s="140"/>
      <c r="E8295" s="142"/>
      <c r="F8295" s="142"/>
      <c r="G8295" s="140"/>
    </row>
    <row r="8296" spans="2:7" hidden="1">
      <c r="B8296" s="140"/>
      <c r="C8296" s="140"/>
      <c r="D8296" s="140"/>
      <c r="E8296" s="142"/>
      <c r="F8296" s="142"/>
      <c r="G8296" s="140"/>
    </row>
    <row r="8297" spans="2:7" hidden="1">
      <c r="B8297" s="140"/>
      <c r="C8297" s="140"/>
      <c r="D8297" s="140"/>
      <c r="E8297" s="142"/>
      <c r="F8297" s="142"/>
      <c r="G8297" s="140"/>
    </row>
    <row r="8298" spans="2:7" hidden="1">
      <c r="B8298" s="140"/>
      <c r="C8298" s="140"/>
      <c r="D8298" s="140"/>
      <c r="E8298" s="142"/>
      <c r="F8298" s="142"/>
      <c r="G8298" s="140"/>
    </row>
    <row r="8299" spans="2:7" hidden="1">
      <c r="B8299" s="140"/>
      <c r="C8299" s="140"/>
      <c r="D8299" s="140"/>
      <c r="E8299" s="142"/>
      <c r="F8299" s="142"/>
      <c r="G8299" s="140"/>
    </row>
    <row r="8300" spans="2:7" hidden="1">
      <c r="B8300" s="140"/>
      <c r="C8300" s="140"/>
      <c r="D8300" s="140"/>
      <c r="E8300" s="142"/>
      <c r="F8300" s="142"/>
      <c r="G8300" s="140"/>
    </row>
    <row r="8301" spans="2:7" hidden="1">
      <c r="B8301" s="140"/>
      <c r="C8301" s="140"/>
      <c r="D8301" s="140"/>
      <c r="E8301" s="142"/>
      <c r="F8301" s="142"/>
      <c r="G8301" s="140"/>
    </row>
    <row r="8302" spans="2:7" hidden="1">
      <c r="B8302" s="140"/>
      <c r="C8302" s="140"/>
      <c r="D8302" s="140"/>
      <c r="E8302" s="142"/>
      <c r="F8302" s="142"/>
      <c r="G8302" s="140"/>
    </row>
    <row r="8303" spans="2:7" hidden="1">
      <c r="B8303" s="140"/>
      <c r="C8303" s="140"/>
      <c r="D8303" s="140"/>
      <c r="E8303" s="142"/>
      <c r="F8303" s="142"/>
      <c r="G8303" s="140"/>
    </row>
    <row r="8304" spans="2:7" hidden="1">
      <c r="B8304" s="140"/>
      <c r="C8304" s="140"/>
      <c r="D8304" s="140"/>
      <c r="E8304" s="142"/>
      <c r="F8304" s="142"/>
      <c r="G8304" s="140"/>
    </row>
    <row r="8305" spans="2:7" hidden="1">
      <c r="B8305" s="140"/>
      <c r="C8305" s="140"/>
      <c r="D8305" s="140"/>
      <c r="E8305" s="142"/>
      <c r="F8305" s="142"/>
      <c r="G8305" s="140"/>
    </row>
    <row r="8306" spans="2:7" hidden="1">
      <c r="B8306" s="140"/>
      <c r="C8306" s="140"/>
      <c r="D8306" s="140"/>
      <c r="E8306" s="142"/>
      <c r="F8306" s="142"/>
      <c r="G8306" s="140"/>
    </row>
    <row r="8307" spans="2:7" hidden="1">
      <c r="B8307" s="140"/>
      <c r="C8307" s="140"/>
      <c r="D8307" s="140"/>
      <c r="E8307" s="142"/>
      <c r="F8307" s="142"/>
      <c r="G8307" s="140"/>
    </row>
    <row r="8308" spans="2:7" hidden="1">
      <c r="B8308" s="140"/>
      <c r="C8308" s="140"/>
      <c r="D8308" s="140"/>
      <c r="E8308" s="142"/>
      <c r="F8308" s="142"/>
      <c r="G8308" s="140"/>
    </row>
    <row r="8309" spans="2:7" hidden="1">
      <c r="B8309" s="140"/>
      <c r="C8309" s="140"/>
      <c r="D8309" s="140"/>
      <c r="E8309" s="142"/>
      <c r="F8309" s="142"/>
      <c r="G8309" s="140"/>
    </row>
    <row r="8310" spans="2:7" hidden="1">
      <c r="B8310" s="140"/>
      <c r="C8310" s="140"/>
      <c r="D8310" s="140"/>
      <c r="E8310" s="142"/>
      <c r="F8310" s="142"/>
      <c r="G8310" s="140"/>
    </row>
    <row r="8311" spans="2:7" hidden="1">
      <c r="B8311" s="140"/>
      <c r="C8311" s="140"/>
      <c r="D8311" s="140"/>
      <c r="E8311" s="142"/>
      <c r="F8311" s="142"/>
      <c r="G8311" s="140"/>
    </row>
    <row r="8312" spans="2:7" hidden="1">
      <c r="B8312" s="140"/>
      <c r="C8312" s="140"/>
      <c r="D8312" s="140"/>
      <c r="E8312" s="142"/>
      <c r="F8312" s="142"/>
      <c r="G8312" s="140"/>
    </row>
    <row r="8313" spans="2:7" hidden="1">
      <c r="B8313" s="140"/>
      <c r="C8313" s="140"/>
      <c r="D8313" s="140"/>
      <c r="E8313" s="142"/>
      <c r="F8313" s="142"/>
      <c r="G8313" s="140"/>
    </row>
    <row r="8314" spans="2:7" hidden="1">
      <c r="B8314" s="140"/>
      <c r="C8314" s="140"/>
      <c r="D8314" s="140"/>
      <c r="E8314" s="142"/>
      <c r="F8314" s="142"/>
      <c r="G8314" s="140"/>
    </row>
    <row r="8315" spans="2:7" hidden="1">
      <c r="B8315" s="140"/>
      <c r="C8315" s="140"/>
      <c r="D8315" s="140"/>
      <c r="E8315" s="142"/>
      <c r="F8315" s="142"/>
      <c r="G8315" s="140"/>
    </row>
    <row r="8316" spans="2:7" hidden="1">
      <c r="B8316" s="140"/>
      <c r="C8316" s="140"/>
      <c r="D8316" s="140"/>
      <c r="E8316" s="142"/>
      <c r="F8316" s="142"/>
      <c r="G8316" s="140"/>
    </row>
    <row r="8317" spans="2:7" hidden="1">
      <c r="B8317" s="140"/>
      <c r="C8317" s="140"/>
      <c r="D8317" s="140"/>
      <c r="E8317" s="142"/>
      <c r="F8317" s="142"/>
      <c r="G8317" s="140"/>
    </row>
    <row r="8318" spans="2:7" hidden="1">
      <c r="B8318" s="140"/>
      <c r="C8318" s="140"/>
      <c r="D8318" s="140"/>
      <c r="E8318" s="142"/>
      <c r="F8318" s="142"/>
      <c r="G8318" s="140"/>
    </row>
    <row r="8319" spans="2:7" hidden="1">
      <c r="B8319" s="140"/>
      <c r="C8319" s="140"/>
      <c r="D8319" s="140"/>
      <c r="E8319" s="142"/>
      <c r="F8319" s="142"/>
      <c r="G8319" s="140"/>
    </row>
    <row r="8320" spans="2:7" hidden="1">
      <c r="B8320" s="140"/>
      <c r="C8320" s="140"/>
      <c r="D8320" s="140"/>
      <c r="E8320" s="142"/>
      <c r="F8320" s="142"/>
      <c r="G8320" s="140"/>
    </row>
    <row r="8321" spans="2:7" hidden="1">
      <c r="B8321" s="140"/>
      <c r="C8321" s="140"/>
      <c r="D8321" s="140"/>
      <c r="E8321" s="142"/>
      <c r="F8321" s="142"/>
      <c r="G8321" s="140"/>
    </row>
    <row r="8322" spans="2:7" hidden="1">
      <c r="B8322" s="140"/>
      <c r="C8322" s="140"/>
      <c r="D8322" s="140"/>
      <c r="E8322" s="142"/>
      <c r="F8322" s="142"/>
      <c r="G8322" s="140"/>
    </row>
    <row r="8323" spans="2:7" hidden="1">
      <c r="B8323" s="140"/>
      <c r="C8323" s="140"/>
      <c r="D8323" s="140"/>
      <c r="E8323" s="142"/>
      <c r="F8323" s="142"/>
      <c r="G8323" s="140"/>
    </row>
    <row r="8324" spans="2:7" hidden="1">
      <c r="B8324" s="140"/>
      <c r="C8324" s="140"/>
      <c r="D8324" s="140"/>
      <c r="E8324" s="142"/>
      <c r="F8324" s="142"/>
      <c r="G8324" s="140"/>
    </row>
    <row r="8325" spans="2:7" hidden="1">
      <c r="B8325" s="140"/>
      <c r="C8325" s="140"/>
      <c r="D8325" s="140"/>
      <c r="E8325" s="142"/>
      <c r="F8325" s="142"/>
      <c r="G8325" s="140"/>
    </row>
    <row r="8326" spans="2:7" hidden="1">
      <c r="B8326" s="140"/>
      <c r="C8326" s="140"/>
      <c r="D8326" s="140"/>
      <c r="E8326" s="142"/>
      <c r="F8326" s="142"/>
      <c r="G8326" s="140"/>
    </row>
    <row r="8327" spans="2:7" hidden="1">
      <c r="B8327" s="140"/>
      <c r="C8327" s="140"/>
      <c r="D8327" s="140"/>
      <c r="E8327" s="142"/>
      <c r="F8327" s="142"/>
      <c r="G8327" s="140"/>
    </row>
    <row r="8328" spans="2:7" hidden="1">
      <c r="B8328" s="140"/>
      <c r="C8328" s="140"/>
      <c r="D8328" s="140"/>
      <c r="E8328" s="142"/>
      <c r="F8328" s="142"/>
      <c r="G8328" s="140"/>
    </row>
    <row r="8329" spans="2:7" hidden="1">
      <c r="B8329" s="140"/>
      <c r="C8329" s="140"/>
      <c r="D8329" s="140"/>
      <c r="E8329" s="142"/>
      <c r="F8329" s="142"/>
      <c r="G8329" s="140"/>
    </row>
    <row r="8330" spans="2:7" hidden="1">
      <c r="B8330" s="140"/>
      <c r="C8330" s="140"/>
      <c r="D8330" s="140"/>
      <c r="E8330" s="142"/>
      <c r="F8330" s="142"/>
      <c r="G8330" s="140"/>
    </row>
    <row r="8331" spans="2:7" hidden="1">
      <c r="B8331" s="140"/>
      <c r="C8331" s="140"/>
      <c r="D8331" s="140"/>
      <c r="E8331" s="142"/>
      <c r="F8331" s="142"/>
      <c r="G8331" s="140"/>
    </row>
    <row r="8332" spans="2:7" hidden="1">
      <c r="B8332" s="140"/>
      <c r="C8332" s="140"/>
      <c r="D8332" s="140"/>
      <c r="E8332" s="142"/>
      <c r="F8332" s="142"/>
      <c r="G8332" s="140"/>
    </row>
    <row r="8333" spans="2:7" hidden="1">
      <c r="B8333" s="140"/>
      <c r="C8333" s="140"/>
      <c r="D8333" s="140"/>
      <c r="E8333" s="142"/>
      <c r="F8333" s="142"/>
      <c r="G8333" s="140"/>
    </row>
    <row r="8334" spans="2:7" hidden="1">
      <c r="B8334" s="140"/>
      <c r="C8334" s="140"/>
      <c r="D8334" s="140"/>
      <c r="E8334" s="142"/>
      <c r="F8334" s="142"/>
      <c r="G8334" s="140"/>
    </row>
    <row r="8335" spans="2:7" hidden="1">
      <c r="B8335" s="140"/>
      <c r="C8335" s="140"/>
      <c r="D8335" s="140"/>
      <c r="E8335" s="142"/>
      <c r="F8335" s="142"/>
      <c r="G8335" s="140"/>
    </row>
    <row r="8336" spans="2:7" hidden="1">
      <c r="B8336" s="140"/>
      <c r="C8336" s="140"/>
      <c r="D8336" s="140"/>
      <c r="E8336" s="142"/>
      <c r="F8336" s="142"/>
      <c r="G8336" s="140"/>
    </row>
    <row r="8337" spans="2:7" hidden="1">
      <c r="B8337" s="140"/>
      <c r="C8337" s="140"/>
      <c r="D8337" s="140"/>
      <c r="E8337" s="142"/>
      <c r="F8337" s="142"/>
      <c r="G8337" s="140"/>
    </row>
    <row r="8338" spans="2:7" hidden="1">
      <c r="B8338" s="140"/>
      <c r="C8338" s="140"/>
      <c r="D8338" s="140"/>
      <c r="E8338" s="142"/>
      <c r="F8338" s="142"/>
      <c r="G8338" s="140"/>
    </row>
    <row r="8339" spans="2:7" hidden="1">
      <c r="B8339" s="140"/>
      <c r="C8339" s="140"/>
      <c r="D8339" s="140"/>
      <c r="E8339" s="142"/>
      <c r="F8339" s="142"/>
      <c r="G8339" s="140"/>
    </row>
    <row r="8340" spans="2:7" hidden="1">
      <c r="B8340" s="140"/>
      <c r="C8340" s="140"/>
      <c r="D8340" s="140"/>
      <c r="E8340" s="142"/>
      <c r="F8340" s="142"/>
      <c r="G8340" s="140"/>
    </row>
    <row r="8341" spans="2:7" hidden="1">
      <c r="B8341" s="140"/>
      <c r="C8341" s="140"/>
      <c r="D8341" s="140"/>
      <c r="E8341" s="142"/>
      <c r="F8341" s="142"/>
      <c r="G8341" s="140"/>
    </row>
    <row r="8342" spans="2:7" hidden="1">
      <c r="B8342" s="140"/>
      <c r="C8342" s="140"/>
      <c r="D8342" s="140"/>
      <c r="E8342" s="142"/>
      <c r="F8342" s="142"/>
      <c r="G8342" s="140"/>
    </row>
    <row r="8343" spans="2:7" hidden="1">
      <c r="B8343" s="140"/>
      <c r="C8343" s="140"/>
      <c r="D8343" s="140"/>
      <c r="E8343" s="142"/>
      <c r="F8343" s="142"/>
      <c r="G8343" s="140"/>
    </row>
    <row r="8344" spans="2:7" hidden="1">
      <c r="B8344" s="140"/>
      <c r="C8344" s="140"/>
      <c r="D8344" s="140"/>
      <c r="E8344" s="142"/>
      <c r="F8344" s="142"/>
      <c r="G8344" s="140"/>
    </row>
    <row r="8345" spans="2:7" hidden="1">
      <c r="B8345" s="140"/>
      <c r="C8345" s="140"/>
      <c r="D8345" s="140"/>
      <c r="E8345" s="142"/>
      <c r="F8345" s="142"/>
      <c r="G8345" s="140"/>
    </row>
    <row r="8346" spans="2:7" hidden="1">
      <c r="B8346" s="140"/>
      <c r="C8346" s="140"/>
      <c r="D8346" s="140"/>
      <c r="E8346" s="142"/>
      <c r="F8346" s="142"/>
      <c r="G8346" s="140"/>
    </row>
    <row r="8347" spans="2:7" hidden="1">
      <c r="B8347" s="140"/>
      <c r="C8347" s="140"/>
      <c r="D8347" s="140"/>
      <c r="E8347" s="142"/>
      <c r="F8347" s="142"/>
      <c r="G8347" s="140"/>
    </row>
    <row r="8348" spans="2:7" hidden="1">
      <c r="B8348" s="140"/>
      <c r="C8348" s="140"/>
      <c r="D8348" s="140"/>
      <c r="E8348" s="142"/>
      <c r="F8348" s="142"/>
      <c r="G8348" s="140"/>
    </row>
    <row r="8349" spans="2:7" hidden="1">
      <c r="B8349" s="140"/>
      <c r="C8349" s="140"/>
      <c r="D8349" s="140"/>
      <c r="E8349" s="142"/>
      <c r="F8349" s="142"/>
      <c r="G8349" s="140"/>
    </row>
    <row r="8350" spans="2:7" hidden="1">
      <c r="B8350" s="140"/>
      <c r="C8350" s="140"/>
      <c r="D8350" s="140"/>
      <c r="E8350" s="142"/>
      <c r="F8350" s="142"/>
      <c r="G8350" s="140"/>
    </row>
    <row r="8351" spans="2:7" hidden="1">
      <c r="B8351" s="140"/>
      <c r="C8351" s="140"/>
      <c r="D8351" s="140"/>
      <c r="E8351" s="142"/>
      <c r="F8351" s="142"/>
      <c r="G8351" s="140"/>
    </row>
    <row r="8352" spans="2:7" hidden="1">
      <c r="B8352" s="140"/>
      <c r="C8352" s="140"/>
      <c r="D8352" s="140"/>
      <c r="E8352" s="142"/>
      <c r="F8352" s="142"/>
      <c r="G8352" s="140"/>
    </row>
    <row r="8353" spans="2:7" hidden="1">
      <c r="B8353" s="140"/>
      <c r="C8353" s="140"/>
      <c r="D8353" s="140"/>
      <c r="E8353" s="142"/>
      <c r="F8353" s="142"/>
      <c r="G8353" s="140"/>
    </row>
    <row r="8354" spans="2:7" hidden="1">
      <c r="B8354" s="140"/>
      <c r="C8354" s="140"/>
      <c r="D8354" s="140"/>
      <c r="E8354" s="142"/>
      <c r="F8354" s="142"/>
      <c r="G8354" s="140"/>
    </row>
    <row r="8355" spans="2:7" hidden="1">
      <c r="B8355" s="140"/>
      <c r="C8355" s="140"/>
      <c r="D8355" s="140"/>
      <c r="E8355" s="142"/>
      <c r="F8355" s="142"/>
      <c r="G8355" s="140"/>
    </row>
    <row r="8356" spans="2:7" hidden="1">
      <c r="B8356" s="140"/>
      <c r="C8356" s="140"/>
      <c r="D8356" s="140"/>
      <c r="E8356" s="142"/>
      <c r="F8356" s="142"/>
      <c r="G8356" s="140"/>
    </row>
    <row r="8357" spans="2:7" hidden="1">
      <c r="B8357" s="140"/>
      <c r="C8357" s="140"/>
      <c r="D8357" s="140"/>
      <c r="E8357" s="142"/>
      <c r="F8357" s="142"/>
      <c r="G8357" s="140"/>
    </row>
    <row r="8358" spans="2:7" hidden="1">
      <c r="B8358" s="140"/>
      <c r="C8358" s="140"/>
      <c r="D8358" s="140"/>
      <c r="E8358" s="142"/>
      <c r="F8358" s="142"/>
      <c r="G8358" s="140"/>
    </row>
    <row r="8359" spans="2:7" hidden="1">
      <c r="B8359" s="140"/>
      <c r="C8359" s="140"/>
      <c r="D8359" s="140"/>
      <c r="E8359" s="142"/>
      <c r="F8359" s="142"/>
      <c r="G8359" s="140"/>
    </row>
    <row r="8360" spans="2:7" hidden="1">
      <c r="B8360" s="140"/>
      <c r="C8360" s="140"/>
      <c r="D8360" s="140"/>
      <c r="E8360" s="142"/>
      <c r="F8360" s="142"/>
      <c r="G8360" s="140"/>
    </row>
    <row r="8361" spans="2:7" hidden="1">
      <c r="B8361" s="140"/>
      <c r="C8361" s="140"/>
      <c r="D8361" s="140"/>
      <c r="E8361" s="142"/>
      <c r="F8361" s="142"/>
      <c r="G8361" s="140"/>
    </row>
    <row r="8362" spans="2:7" hidden="1">
      <c r="B8362" s="140"/>
      <c r="C8362" s="140"/>
      <c r="D8362" s="140"/>
      <c r="E8362" s="142"/>
      <c r="F8362" s="142"/>
      <c r="G8362" s="140"/>
    </row>
    <row r="8363" spans="2:7" hidden="1">
      <c r="B8363" s="140"/>
      <c r="C8363" s="140"/>
      <c r="D8363" s="140"/>
      <c r="E8363" s="142"/>
      <c r="F8363" s="142"/>
      <c r="G8363" s="140"/>
    </row>
    <row r="8364" spans="2:7" hidden="1">
      <c r="B8364" s="140"/>
      <c r="C8364" s="140"/>
      <c r="D8364" s="140"/>
      <c r="E8364" s="142"/>
      <c r="F8364" s="142"/>
      <c r="G8364" s="140"/>
    </row>
    <row r="8365" spans="2:7" hidden="1">
      <c r="B8365" s="140"/>
      <c r="C8365" s="140"/>
      <c r="D8365" s="140"/>
      <c r="E8365" s="142"/>
      <c r="F8365" s="142"/>
      <c r="G8365" s="140"/>
    </row>
    <row r="8366" spans="2:7" hidden="1">
      <c r="B8366" s="140"/>
      <c r="C8366" s="140"/>
      <c r="D8366" s="140"/>
      <c r="E8366" s="142"/>
      <c r="F8366" s="142"/>
      <c r="G8366" s="140"/>
    </row>
    <row r="8367" spans="2:7" hidden="1">
      <c r="B8367" s="140"/>
      <c r="C8367" s="140"/>
      <c r="D8367" s="140"/>
      <c r="E8367" s="142"/>
      <c r="F8367" s="142"/>
      <c r="G8367" s="140"/>
    </row>
    <row r="8368" spans="2:7" hidden="1">
      <c r="B8368" s="140"/>
      <c r="C8368" s="140"/>
      <c r="D8368" s="140"/>
      <c r="E8368" s="142"/>
      <c r="F8368" s="142"/>
      <c r="G8368" s="140"/>
    </row>
    <row r="8369" spans="2:7" hidden="1">
      <c r="B8369" s="140"/>
      <c r="C8369" s="140"/>
      <c r="D8369" s="140"/>
      <c r="E8369" s="142"/>
      <c r="F8369" s="142"/>
      <c r="G8369" s="140"/>
    </row>
    <row r="8370" spans="2:7" hidden="1">
      <c r="B8370" s="140"/>
      <c r="C8370" s="140"/>
      <c r="D8370" s="140"/>
      <c r="E8370" s="142"/>
      <c r="F8370" s="142"/>
      <c r="G8370" s="140"/>
    </row>
    <row r="8371" spans="2:7" hidden="1">
      <c r="B8371" s="140"/>
      <c r="C8371" s="140"/>
      <c r="D8371" s="140"/>
      <c r="E8371" s="142"/>
      <c r="F8371" s="142"/>
      <c r="G8371" s="140"/>
    </row>
    <row r="8372" spans="2:7" hidden="1">
      <c r="B8372" s="140"/>
      <c r="C8372" s="140"/>
      <c r="D8372" s="140"/>
      <c r="E8372" s="142"/>
      <c r="F8372" s="142"/>
      <c r="G8372" s="140"/>
    </row>
    <row r="8373" spans="2:7" hidden="1">
      <c r="B8373" s="140"/>
      <c r="C8373" s="140"/>
      <c r="D8373" s="140"/>
      <c r="E8373" s="142"/>
      <c r="F8373" s="142"/>
      <c r="G8373" s="140"/>
    </row>
    <row r="8374" spans="2:7" hidden="1">
      <c r="B8374" s="140"/>
      <c r="C8374" s="140"/>
      <c r="D8374" s="140"/>
      <c r="E8374" s="142"/>
      <c r="F8374" s="142"/>
      <c r="G8374" s="140"/>
    </row>
    <row r="8375" spans="2:7" hidden="1">
      <c r="B8375" s="140"/>
      <c r="C8375" s="140"/>
      <c r="D8375" s="140"/>
      <c r="E8375" s="142"/>
      <c r="F8375" s="142"/>
      <c r="G8375" s="140"/>
    </row>
    <row r="8376" spans="2:7" hidden="1">
      <c r="B8376" s="140"/>
      <c r="C8376" s="140"/>
      <c r="D8376" s="140"/>
      <c r="E8376" s="142"/>
      <c r="F8376" s="142"/>
      <c r="G8376" s="140"/>
    </row>
    <row r="8377" spans="2:7" hidden="1">
      <c r="B8377" s="140"/>
      <c r="C8377" s="140"/>
      <c r="D8377" s="140"/>
      <c r="E8377" s="142"/>
      <c r="F8377" s="142"/>
      <c r="G8377" s="140"/>
    </row>
    <row r="8378" spans="2:7" hidden="1">
      <c r="B8378" s="140"/>
      <c r="C8378" s="140"/>
      <c r="D8378" s="140"/>
      <c r="E8378" s="142"/>
      <c r="F8378" s="142"/>
      <c r="G8378" s="140"/>
    </row>
    <row r="8379" spans="2:7" hidden="1">
      <c r="B8379" s="140"/>
      <c r="C8379" s="140"/>
      <c r="D8379" s="140"/>
      <c r="E8379" s="142"/>
      <c r="F8379" s="142"/>
      <c r="G8379" s="140"/>
    </row>
    <row r="8380" spans="2:7" hidden="1">
      <c r="B8380" s="140"/>
      <c r="C8380" s="140"/>
      <c r="D8380" s="140"/>
      <c r="E8380" s="142"/>
      <c r="F8380" s="142"/>
      <c r="G8380" s="140"/>
    </row>
    <row r="8381" spans="2:7" hidden="1">
      <c r="B8381" s="140"/>
      <c r="C8381" s="140"/>
      <c r="D8381" s="140"/>
      <c r="E8381" s="142"/>
      <c r="F8381" s="142"/>
      <c r="G8381" s="140"/>
    </row>
    <row r="8382" spans="2:7" hidden="1">
      <c r="B8382" s="140"/>
      <c r="C8382" s="140"/>
      <c r="D8382" s="140"/>
      <c r="E8382" s="142"/>
      <c r="F8382" s="142"/>
      <c r="G8382" s="140"/>
    </row>
    <row r="8383" spans="2:7" hidden="1">
      <c r="B8383" s="140"/>
      <c r="C8383" s="140"/>
      <c r="D8383" s="140"/>
      <c r="E8383" s="142"/>
      <c r="F8383" s="142"/>
      <c r="G8383" s="140"/>
    </row>
    <row r="8384" spans="2:7" hidden="1">
      <c r="B8384" s="140"/>
      <c r="C8384" s="140"/>
      <c r="D8384" s="140"/>
      <c r="E8384" s="142"/>
      <c r="F8384" s="142"/>
      <c r="G8384" s="140"/>
    </row>
    <row r="8385" spans="2:7" hidden="1">
      <c r="B8385" s="140"/>
      <c r="C8385" s="140"/>
      <c r="D8385" s="140"/>
      <c r="E8385" s="142"/>
      <c r="F8385" s="142"/>
      <c r="G8385" s="140"/>
    </row>
    <row r="8386" spans="2:7" hidden="1">
      <c r="B8386" s="140"/>
      <c r="C8386" s="140"/>
      <c r="D8386" s="140"/>
      <c r="E8386" s="142"/>
      <c r="F8386" s="142"/>
      <c r="G8386" s="140"/>
    </row>
    <row r="8387" spans="2:7" hidden="1">
      <c r="B8387" s="140"/>
      <c r="C8387" s="140"/>
      <c r="D8387" s="140"/>
      <c r="E8387" s="142"/>
      <c r="F8387" s="142"/>
      <c r="G8387" s="140"/>
    </row>
    <row r="8388" spans="2:7" hidden="1">
      <c r="B8388" s="140"/>
      <c r="C8388" s="140"/>
      <c r="D8388" s="140"/>
      <c r="E8388" s="142"/>
      <c r="F8388" s="142"/>
      <c r="G8388" s="140"/>
    </row>
    <row r="8389" spans="2:7" hidden="1">
      <c r="B8389" s="140"/>
      <c r="C8389" s="140"/>
      <c r="D8389" s="140"/>
      <c r="E8389" s="142"/>
      <c r="F8389" s="142"/>
      <c r="G8389" s="140"/>
    </row>
    <row r="8390" spans="2:7" hidden="1">
      <c r="B8390" s="140"/>
      <c r="C8390" s="140"/>
      <c r="D8390" s="140"/>
      <c r="E8390" s="142"/>
      <c r="F8390" s="142"/>
      <c r="G8390" s="140"/>
    </row>
    <row r="8391" spans="2:7" hidden="1">
      <c r="B8391" s="140"/>
      <c r="C8391" s="140"/>
      <c r="D8391" s="140"/>
      <c r="E8391" s="142"/>
      <c r="F8391" s="142"/>
      <c r="G8391" s="140"/>
    </row>
    <row r="8392" spans="2:7" hidden="1">
      <c r="B8392" s="140"/>
      <c r="C8392" s="140"/>
      <c r="D8392" s="140"/>
      <c r="E8392" s="142"/>
      <c r="F8392" s="142"/>
      <c r="G8392" s="140"/>
    </row>
    <row r="8393" spans="2:7" hidden="1">
      <c r="B8393" s="140"/>
      <c r="C8393" s="140"/>
      <c r="D8393" s="140"/>
      <c r="E8393" s="142"/>
      <c r="F8393" s="142"/>
      <c r="G8393" s="140"/>
    </row>
    <row r="8394" spans="2:7" hidden="1">
      <c r="B8394" s="140"/>
      <c r="C8394" s="140"/>
      <c r="D8394" s="140"/>
      <c r="E8394" s="142"/>
      <c r="F8394" s="142"/>
      <c r="G8394" s="140"/>
    </row>
    <row r="8395" spans="2:7" hidden="1">
      <c r="B8395" s="140"/>
      <c r="C8395" s="140"/>
      <c r="D8395" s="140"/>
      <c r="E8395" s="142"/>
      <c r="F8395" s="142"/>
      <c r="G8395" s="140"/>
    </row>
    <row r="8396" spans="2:7" hidden="1">
      <c r="B8396" s="140"/>
      <c r="C8396" s="140"/>
      <c r="D8396" s="140"/>
      <c r="E8396" s="142"/>
      <c r="F8396" s="142"/>
      <c r="G8396" s="140"/>
    </row>
    <row r="8397" spans="2:7" hidden="1">
      <c r="B8397" s="140"/>
      <c r="C8397" s="140"/>
      <c r="D8397" s="140"/>
      <c r="E8397" s="142"/>
      <c r="F8397" s="142"/>
      <c r="G8397" s="140"/>
    </row>
    <row r="8398" spans="2:7" hidden="1">
      <c r="B8398" s="140"/>
      <c r="C8398" s="140"/>
      <c r="D8398" s="140"/>
      <c r="E8398" s="142"/>
      <c r="F8398" s="142"/>
      <c r="G8398" s="140"/>
    </row>
    <row r="8399" spans="2:7" hidden="1">
      <c r="B8399" s="140"/>
      <c r="C8399" s="140"/>
      <c r="D8399" s="140"/>
      <c r="E8399" s="142"/>
      <c r="F8399" s="142"/>
      <c r="G8399" s="140"/>
    </row>
    <row r="8400" spans="2:7" hidden="1">
      <c r="B8400" s="140"/>
      <c r="C8400" s="140"/>
      <c r="D8400" s="140"/>
      <c r="E8400" s="142"/>
      <c r="F8400" s="142"/>
      <c r="G8400" s="140"/>
    </row>
    <row r="8401" spans="2:7" hidden="1">
      <c r="B8401" s="140"/>
      <c r="C8401" s="140"/>
      <c r="D8401" s="140"/>
      <c r="E8401" s="142"/>
      <c r="F8401" s="142"/>
      <c r="G8401" s="140"/>
    </row>
    <row r="8402" spans="2:7" hidden="1">
      <c r="B8402" s="140"/>
      <c r="C8402" s="140"/>
      <c r="D8402" s="140"/>
      <c r="E8402" s="142"/>
      <c r="F8402" s="142"/>
      <c r="G8402" s="140"/>
    </row>
    <row r="8403" spans="2:7" hidden="1">
      <c r="B8403" s="140"/>
      <c r="C8403" s="140"/>
      <c r="D8403" s="140"/>
      <c r="E8403" s="142"/>
      <c r="F8403" s="142"/>
      <c r="G8403" s="140"/>
    </row>
    <row r="8404" spans="2:7" hidden="1">
      <c r="B8404" s="140"/>
      <c r="C8404" s="140"/>
      <c r="D8404" s="140"/>
      <c r="E8404" s="142"/>
      <c r="F8404" s="142"/>
      <c r="G8404" s="140"/>
    </row>
    <row r="8405" spans="2:7" hidden="1">
      <c r="B8405" s="140"/>
      <c r="C8405" s="140"/>
      <c r="D8405" s="140"/>
      <c r="E8405" s="142"/>
      <c r="F8405" s="142"/>
      <c r="G8405" s="140"/>
    </row>
    <row r="8406" spans="2:7" hidden="1">
      <c r="B8406" s="140"/>
      <c r="C8406" s="140"/>
      <c r="D8406" s="140"/>
      <c r="E8406" s="142"/>
      <c r="F8406" s="142"/>
      <c r="G8406" s="140"/>
    </row>
    <row r="8407" spans="2:7" hidden="1">
      <c r="B8407" s="140"/>
      <c r="C8407" s="140"/>
      <c r="D8407" s="140"/>
      <c r="E8407" s="142"/>
      <c r="F8407" s="142"/>
      <c r="G8407" s="140"/>
    </row>
    <row r="8408" spans="2:7" hidden="1">
      <c r="B8408" s="140"/>
      <c r="C8408" s="140"/>
      <c r="D8408" s="140"/>
      <c r="E8408" s="142"/>
      <c r="F8408" s="142"/>
      <c r="G8408" s="140"/>
    </row>
    <row r="8409" spans="2:7" hidden="1">
      <c r="B8409" s="140"/>
      <c r="C8409" s="140"/>
      <c r="D8409" s="140"/>
      <c r="E8409" s="142"/>
      <c r="F8409" s="142"/>
      <c r="G8409" s="140"/>
    </row>
    <row r="8410" spans="2:7" hidden="1">
      <c r="B8410" s="140"/>
      <c r="C8410" s="140"/>
      <c r="D8410" s="140"/>
      <c r="E8410" s="142"/>
      <c r="F8410" s="142"/>
      <c r="G8410" s="140"/>
    </row>
    <row r="8411" spans="2:7" hidden="1">
      <c r="B8411" s="140"/>
      <c r="C8411" s="140"/>
      <c r="D8411" s="140"/>
      <c r="E8411" s="142"/>
      <c r="F8411" s="142"/>
      <c r="G8411" s="140"/>
    </row>
    <row r="8412" spans="2:7" hidden="1">
      <c r="B8412" s="140"/>
      <c r="C8412" s="140"/>
      <c r="D8412" s="140"/>
      <c r="E8412" s="142"/>
      <c r="F8412" s="142"/>
      <c r="G8412" s="140"/>
    </row>
    <row r="8413" spans="2:7" hidden="1">
      <c r="B8413" s="140"/>
      <c r="C8413" s="140"/>
      <c r="D8413" s="140"/>
      <c r="E8413" s="142"/>
      <c r="F8413" s="142"/>
      <c r="G8413" s="140"/>
    </row>
    <row r="8414" spans="2:7" hidden="1">
      <c r="B8414" s="140"/>
      <c r="C8414" s="140"/>
      <c r="D8414" s="140"/>
      <c r="E8414" s="142"/>
      <c r="F8414" s="142"/>
      <c r="G8414" s="140"/>
    </row>
    <row r="8415" spans="2:7" hidden="1">
      <c r="B8415" s="140"/>
      <c r="C8415" s="140"/>
      <c r="D8415" s="140"/>
      <c r="E8415" s="142"/>
      <c r="F8415" s="142"/>
      <c r="G8415" s="140"/>
    </row>
    <row r="8416" spans="2:7" hidden="1">
      <c r="B8416" s="140"/>
      <c r="C8416" s="140"/>
      <c r="D8416" s="140"/>
      <c r="E8416" s="142"/>
      <c r="F8416" s="142"/>
      <c r="G8416" s="140"/>
    </row>
    <row r="8417" spans="2:7" hidden="1">
      <c r="B8417" s="140"/>
      <c r="C8417" s="140"/>
      <c r="D8417" s="140"/>
      <c r="E8417" s="142"/>
      <c r="F8417" s="142"/>
      <c r="G8417" s="140"/>
    </row>
    <row r="8418" spans="2:7" hidden="1">
      <c r="B8418" s="140"/>
      <c r="C8418" s="140"/>
      <c r="D8418" s="140"/>
      <c r="E8418" s="142"/>
      <c r="F8418" s="142"/>
      <c r="G8418" s="140"/>
    </row>
    <row r="8419" spans="2:7" hidden="1">
      <c r="B8419" s="140"/>
      <c r="C8419" s="140"/>
      <c r="D8419" s="140"/>
      <c r="E8419" s="142"/>
      <c r="F8419" s="142"/>
      <c r="G8419" s="140"/>
    </row>
    <row r="8420" spans="2:7" hidden="1">
      <c r="B8420" s="140"/>
      <c r="C8420" s="140"/>
      <c r="D8420" s="140"/>
      <c r="E8420" s="142"/>
      <c r="F8420" s="142"/>
      <c r="G8420" s="140"/>
    </row>
    <row r="8421" spans="2:7" hidden="1">
      <c r="B8421" s="140"/>
      <c r="C8421" s="140"/>
      <c r="D8421" s="140"/>
      <c r="E8421" s="142"/>
      <c r="F8421" s="142"/>
      <c r="G8421" s="140"/>
    </row>
    <row r="8422" spans="2:7" hidden="1">
      <c r="B8422" s="140"/>
      <c r="C8422" s="140"/>
      <c r="D8422" s="140"/>
      <c r="E8422" s="142"/>
      <c r="F8422" s="142"/>
      <c r="G8422" s="140"/>
    </row>
    <row r="8423" spans="2:7" hidden="1">
      <c r="B8423" s="140"/>
      <c r="C8423" s="140"/>
      <c r="D8423" s="140"/>
      <c r="E8423" s="142"/>
      <c r="F8423" s="142"/>
      <c r="G8423" s="140"/>
    </row>
    <row r="8424" spans="2:7" hidden="1">
      <c r="B8424" s="140"/>
      <c r="C8424" s="140"/>
      <c r="D8424" s="140"/>
      <c r="E8424" s="142"/>
      <c r="F8424" s="142"/>
      <c r="G8424" s="140"/>
    </row>
    <row r="8425" spans="2:7" hidden="1">
      <c r="B8425" s="140"/>
      <c r="C8425" s="140"/>
      <c r="D8425" s="140"/>
      <c r="E8425" s="142"/>
      <c r="F8425" s="142"/>
      <c r="G8425" s="140"/>
    </row>
    <row r="8426" spans="2:7" hidden="1">
      <c r="B8426" s="140"/>
      <c r="C8426" s="140"/>
      <c r="D8426" s="140"/>
      <c r="E8426" s="142"/>
      <c r="F8426" s="142"/>
      <c r="G8426" s="140"/>
    </row>
    <row r="8427" spans="2:7" hidden="1">
      <c r="B8427" s="140"/>
      <c r="C8427" s="140"/>
      <c r="D8427" s="140"/>
      <c r="E8427" s="142"/>
      <c r="F8427" s="142"/>
      <c r="G8427" s="140"/>
    </row>
    <row r="8428" spans="2:7" hidden="1">
      <c r="B8428" s="140"/>
      <c r="C8428" s="140"/>
      <c r="D8428" s="140"/>
      <c r="E8428" s="142"/>
      <c r="F8428" s="142"/>
      <c r="G8428" s="140"/>
    </row>
    <row r="8429" spans="2:7" hidden="1">
      <c r="B8429" s="140"/>
      <c r="C8429" s="140"/>
      <c r="D8429" s="140"/>
      <c r="E8429" s="142"/>
      <c r="F8429" s="142"/>
      <c r="G8429" s="140"/>
    </row>
    <row r="8430" spans="2:7" hidden="1">
      <c r="B8430" s="140"/>
      <c r="C8430" s="140"/>
      <c r="D8430" s="140"/>
      <c r="E8430" s="142"/>
      <c r="F8430" s="142"/>
      <c r="G8430" s="140"/>
    </row>
    <row r="8431" spans="2:7" hidden="1">
      <c r="B8431" s="140"/>
      <c r="C8431" s="140"/>
      <c r="D8431" s="140"/>
      <c r="E8431" s="142"/>
      <c r="F8431" s="142"/>
      <c r="G8431" s="140"/>
    </row>
    <row r="8432" spans="2:7" hidden="1">
      <c r="B8432" s="140"/>
      <c r="C8432" s="140"/>
      <c r="D8432" s="140"/>
      <c r="E8432" s="142"/>
      <c r="F8432" s="142"/>
      <c r="G8432" s="140"/>
    </row>
    <row r="8433" spans="2:7" hidden="1">
      <c r="B8433" s="140"/>
      <c r="C8433" s="140"/>
      <c r="D8433" s="140"/>
      <c r="E8433" s="142"/>
      <c r="F8433" s="142"/>
      <c r="G8433" s="140"/>
    </row>
    <row r="8434" spans="2:7" hidden="1">
      <c r="B8434" s="140"/>
      <c r="C8434" s="140"/>
      <c r="D8434" s="140"/>
      <c r="E8434" s="142"/>
      <c r="F8434" s="142"/>
      <c r="G8434" s="140"/>
    </row>
    <row r="8435" spans="2:7" hidden="1">
      <c r="B8435" s="140"/>
      <c r="C8435" s="140"/>
      <c r="D8435" s="140"/>
      <c r="E8435" s="142"/>
      <c r="F8435" s="142"/>
      <c r="G8435" s="140"/>
    </row>
    <row r="8436" spans="2:7" hidden="1">
      <c r="B8436" s="140"/>
      <c r="C8436" s="140"/>
      <c r="D8436" s="140"/>
      <c r="E8436" s="142"/>
      <c r="F8436" s="142"/>
      <c r="G8436" s="140"/>
    </row>
    <row r="8437" spans="2:7" hidden="1">
      <c r="B8437" s="140"/>
      <c r="C8437" s="140"/>
      <c r="D8437" s="140"/>
      <c r="E8437" s="142"/>
      <c r="F8437" s="142"/>
      <c r="G8437" s="140"/>
    </row>
    <row r="8438" spans="2:7" hidden="1">
      <c r="B8438" s="140"/>
      <c r="C8438" s="140"/>
      <c r="D8438" s="140"/>
      <c r="E8438" s="142"/>
      <c r="F8438" s="142"/>
      <c r="G8438" s="140"/>
    </row>
    <row r="8439" spans="2:7" hidden="1">
      <c r="B8439" s="140"/>
      <c r="C8439" s="140"/>
      <c r="D8439" s="140"/>
      <c r="E8439" s="142"/>
      <c r="F8439" s="142"/>
      <c r="G8439" s="140"/>
    </row>
    <row r="8440" spans="2:7" hidden="1">
      <c r="B8440" s="140"/>
      <c r="C8440" s="140"/>
      <c r="D8440" s="140"/>
      <c r="E8440" s="142"/>
      <c r="F8440" s="142"/>
      <c r="G8440" s="140"/>
    </row>
    <row r="8441" spans="2:7" hidden="1">
      <c r="B8441" s="140"/>
      <c r="C8441" s="140"/>
      <c r="D8441" s="140"/>
      <c r="E8441" s="142"/>
      <c r="F8441" s="142"/>
      <c r="G8441" s="140"/>
    </row>
    <row r="8442" spans="2:7" hidden="1">
      <c r="B8442" s="140"/>
      <c r="C8442" s="140"/>
      <c r="D8442" s="140"/>
      <c r="E8442" s="142"/>
      <c r="F8442" s="142"/>
      <c r="G8442" s="140"/>
    </row>
    <row r="8443" spans="2:7" hidden="1">
      <c r="B8443" s="140"/>
      <c r="C8443" s="140"/>
      <c r="D8443" s="140"/>
      <c r="E8443" s="142"/>
      <c r="F8443" s="142"/>
      <c r="G8443" s="140"/>
    </row>
    <row r="8444" spans="2:7" hidden="1">
      <c r="B8444" s="140"/>
      <c r="C8444" s="140"/>
      <c r="D8444" s="140"/>
      <c r="E8444" s="142"/>
      <c r="F8444" s="142"/>
      <c r="G8444" s="140"/>
    </row>
    <row r="8445" spans="2:7" hidden="1">
      <c r="B8445" s="140"/>
      <c r="C8445" s="140"/>
      <c r="D8445" s="140"/>
      <c r="E8445" s="142"/>
      <c r="F8445" s="142"/>
      <c r="G8445" s="140"/>
    </row>
    <row r="8446" spans="2:7" hidden="1">
      <c r="B8446" s="140"/>
      <c r="C8446" s="140"/>
      <c r="D8446" s="140"/>
      <c r="E8446" s="142"/>
      <c r="F8446" s="142"/>
      <c r="G8446" s="140"/>
    </row>
    <row r="8447" spans="2:7" hidden="1">
      <c r="B8447" s="140"/>
      <c r="C8447" s="140"/>
      <c r="D8447" s="140"/>
      <c r="E8447" s="142"/>
      <c r="F8447" s="142"/>
      <c r="G8447" s="140"/>
    </row>
    <row r="8448" spans="2:7" hidden="1">
      <c r="B8448" s="140"/>
      <c r="C8448" s="140"/>
      <c r="D8448" s="140"/>
      <c r="E8448" s="142"/>
      <c r="F8448" s="142"/>
      <c r="G8448" s="140"/>
    </row>
    <row r="8449" spans="2:7" hidden="1">
      <c r="B8449" s="140"/>
      <c r="C8449" s="140"/>
      <c r="D8449" s="140"/>
      <c r="E8449" s="142"/>
      <c r="F8449" s="142"/>
      <c r="G8449" s="140"/>
    </row>
    <row r="8450" spans="2:7" hidden="1">
      <c r="B8450" s="140"/>
      <c r="C8450" s="140"/>
      <c r="D8450" s="140"/>
      <c r="E8450" s="142"/>
      <c r="F8450" s="142"/>
      <c r="G8450" s="140"/>
    </row>
    <row r="8451" spans="2:7" hidden="1">
      <c r="B8451" s="140"/>
      <c r="C8451" s="140"/>
      <c r="D8451" s="140"/>
      <c r="E8451" s="142"/>
      <c r="F8451" s="142"/>
      <c r="G8451" s="140"/>
    </row>
    <row r="8452" spans="2:7" hidden="1">
      <c r="B8452" s="140"/>
      <c r="C8452" s="140"/>
      <c r="D8452" s="140"/>
      <c r="E8452" s="142"/>
      <c r="F8452" s="142"/>
      <c r="G8452" s="140"/>
    </row>
    <row r="8453" spans="2:7" hidden="1">
      <c r="B8453" s="140"/>
      <c r="C8453" s="140"/>
      <c r="D8453" s="140"/>
      <c r="E8453" s="142"/>
      <c r="F8453" s="142"/>
      <c r="G8453" s="140"/>
    </row>
    <row r="8454" spans="2:7" hidden="1">
      <c r="B8454" s="140"/>
      <c r="C8454" s="140"/>
      <c r="D8454" s="140"/>
      <c r="E8454" s="142"/>
      <c r="F8454" s="142"/>
      <c r="G8454" s="140"/>
    </row>
    <row r="8455" spans="2:7" hidden="1">
      <c r="B8455" s="140"/>
      <c r="C8455" s="140"/>
      <c r="D8455" s="140"/>
      <c r="E8455" s="142"/>
      <c r="F8455" s="142"/>
      <c r="G8455" s="140"/>
    </row>
    <row r="8456" spans="2:7" hidden="1">
      <c r="B8456" s="140"/>
      <c r="C8456" s="140"/>
      <c r="D8456" s="140"/>
      <c r="E8456" s="142"/>
      <c r="F8456" s="142"/>
      <c r="G8456" s="140"/>
    </row>
    <row r="8457" spans="2:7" hidden="1">
      <c r="B8457" s="140"/>
      <c r="C8457" s="140"/>
      <c r="D8457" s="140"/>
      <c r="E8457" s="142"/>
      <c r="F8457" s="142"/>
      <c r="G8457" s="140"/>
    </row>
    <row r="8458" spans="2:7" hidden="1">
      <c r="B8458" s="140"/>
      <c r="C8458" s="140"/>
      <c r="D8458" s="140"/>
      <c r="E8458" s="142"/>
      <c r="F8458" s="142"/>
      <c r="G8458" s="140"/>
    </row>
    <row r="8459" spans="2:7" hidden="1">
      <c r="B8459" s="140"/>
      <c r="C8459" s="140"/>
      <c r="D8459" s="140"/>
      <c r="E8459" s="142"/>
      <c r="F8459" s="142"/>
      <c r="G8459" s="140"/>
    </row>
    <row r="8460" spans="2:7" hidden="1">
      <c r="B8460" s="140"/>
      <c r="C8460" s="140"/>
      <c r="D8460" s="140"/>
      <c r="E8460" s="142"/>
      <c r="F8460" s="142"/>
      <c r="G8460" s="140"/>
    </row>
    <row r="8461" spans="2:7" hidden="1">
      <c r="B8461" s="140"/>
      <c r="C8461" s="140"/>
      <c r="D8461" s="140"/>
      <c r="E8461" s="142"/>
      <c r="F8461" s="142"/>
      <c r="G8461" s="140"/>
    </row>
    <row r="8462" spans="2:7" hidden="1">
      <c r="B8462" s="140"/>
      <c r="C8462" s="140"/>
      <c r="D8462" s="140"/>
      <c r="E8462" s="142"/>
      <c r="F8462" s="142"/>
      <c r="G8462" s="140"/>
    </row>
    <row r="8463" spans="2:7" hidden="1">
      <c r="B8463" s="140"/>
      <c r="C8463" s="140"/>
      <c r="D8463" s="140"/>
      <c r="E8463" s="142"/>
      <c r="F8463" s="142"/>
      <c r="G8463" s="140"/>
    </row>
    <row r="8464" spans="2:7" hidden="1">
      <c r="B8464" s="140"/>
      <c r="C8464" s="140"/>
      <c r="D8464" s="140"/>
      <c r="E8464" s="142"/>
      <c r="F8464" s="142"/>
      <c r="G8464" s="140"/>
    </row>
    <row r="8465" spans="2:7" hidden="1">
      <c r="B8465" s="140"/>
      <c r="C8465" s="140"/>
      <c r="D8465" s="140"/>
      <c r="E8465" s="142"/>
      <c r="F8465" s="142"/>
      <c r="G8465" s="140"/>
    </row>
    <row r="8466" spans="2:7" hidden="1">
      <c r="B8466" s="140"/>
      <c r="C8466" s="140"/>
      <c r="D8466" s="140"/>
      <c r="E8466" s="142"/>
      <c r="F8466" s="142"/>
      <c r="G8466" s="140"/>
    </row>
    <row r="8467" spans="2:7" hidden="1">
      <c r="B8467" s="140"/>
      <c r="C8467" s="140"/>
      <c r="D8467" s="140"/>
      <c r="E8467" s="142"/>
      <c r="F8467" s="142"/>
      <c r="G8467" s="140"/>
    </row>
    <row r="8468" spans="2:7" hidden="1">
      <c r="B8468" s="140"/>
      <c r="C8468" s="140"/>
      <c r="D8468" s="140"/>
      <c r="E8468" s="142"/>
      <c r="F8468" s="142"/>
      <c r="G8468" s="140"/>
    </row>
    <row r="8469" spans="2:7" hidden="1">
      <c r="B8469" s="140"/>
      <c r="C8469" s="140"/>
      <c r="D8469" s="140"/>
      <c r="E8469" s="142"/>
      <c r="F8469" s="142"/>
      <c r="G8469" s="140"/>
    </row>
    <row r="8470" spans="2:7" hidden="1">
      <c r="B8470" s="140"/>
      <c r="C8470" s="140"/>
      <c r="D8470" s="140"/>
      <c r="E8470" s="142"/>
      <c r="F8470" s="142"/>
      <c r="G8470" s="140"/>
    </row>
    <row r="8471" spans="2:7" hidden="1">
      <c r="B8471" s="140"/>
      <c r="C8471" s="140"/>
      <c r="D8471" s="140"/>
      <c r="E8471" s="142"/>
      <c r="F8471" s="142"/>
      <c r="G8471" s="140"/>
    </row>
    <row r="8472" spans="2:7" hidden="1">
      <c r="B8472" s="140"/>
      <c r="C8472" s="140"/>
      <c r="D8472" s="140"/>
      <c r="E8472" s="142"/>
      <c r="F8472" s="142"/>
      <c r="G8472" s="140"/>
    </row>
    <row r="8473" spans="2:7" hidden="1">
      <c r="B8473" s="140"/>
      <c r="C8473" s="140"/>
      <c r="D8473" s="140"/>
      <c r="E8473" s="142"/>
      <c r="F8473" s="142"/>
      <c r="G8473" s="140"/>
    </row>
    <row r="8474" spans="2:7" hidden="1">
      <c r="B8474" s="140"/>
      <c r="C8474" s="140"/>
      <c r="D8474" s="140"/>
      <c r="E8474" s="142"/>
      <c r="F8474" s="142"/>
      <c r="G8474" s="140"/>
    </row>
    <row r="8475" spans="2:7" hidden="1">
      <c r="B8475" s="140"/>
      <c r="C8475" s="140"/>
      <c r="D8475" s="140"/>
      <c r="E8475" s="142"/>
      <c r="F8475" s="142"/>
      <c r="G8475" s="140"/>
    </row>
    <row r="8476" spans="2:7" hidden="1">
      <c r="B8476" s="140"/>
      <c r="C8476" s="140"/>
      <c r="D8476" s="140"/>
      <c r="E8476" s="142"/>
      <c r="F8476" s="142"/>
      <c r="G8476" s="140"/>
    </row>
    <row r="8477" spans="2:7" hidden="1">
      <c r="B8477" s="140"/>
      <c r="C8477" s="140"/>
      <c r="D8477" s="140"/>
      <c r="E8477" s="142"/>
      <c r="F8477" s="142"/>
      <c r="G8477" s="140"/>
    </row>
    <row r="8478" spans="2:7" hidden="1">
      <c r="B8478" s="140"/>
      <c r="C8478" s="140"/>
      <c r="D8478" s="140"/>
      <c r="E8478" s="142"/>
      <c r="F8478" s="142"/>
      <c r="G8478" s="140"/>
    </row>
    <row r="8479" spans="2:7" hidden="1">
      <c r="B8479" s="140"/>
      <c r="C8479" s="140"/>
      <c r="D8479" s="140"/>
      <c r="E8479" s="142"/>
      <c r="F8479" s="142"/>
      <c r="G8479" s="140"/>
    </row>
    <row r="8480" spans="2:7" hidden="1">
      <c r="B8480" s="140"/>
      <c r="C8480" s="140"/>
      <c r="D8480" s="140"/>
      <c r="E8480" s="142"/>
      <c r="F8480" s="142"/>
      <c r="G8480" s="140"/>
    </row>
    <row r="8481" spans="2:7" hidden="1">
      <c r="B8481" s="140"/>
      <c r="C8481" s="140"/>
      <c r="D8481" s="140"/>
      <c r="E8481" s="142"/>
      <c r="F8481" s="142"/>
      <c r="G8481" s="140"/>
    </row>
    <row r="8482" spans="2:7" hidden="1">
      <c r="B8482" s="140"/>
      <c r="C8482" s="140"/>
      <c r="D8482" s="140"/>
      <c r="E8482" s="142"/>
      <c r="F8482" s="142"/>
      <c r="G8482" s="140"/>
    </row>
    <row r="8483" spans="2:7" hidden="1">
      <c r="B8483" s="140"/>
      <c r="C8483" s="140"/>
      <c r="D8483" s="140"/>
      <c r="E8483" s="142"/>
      <c r="F8483" s="142"/>
      <c r="G8483" s="140"/>
    </row>
    <row r="8484" spans="2:7" hidden="1">
      <c r="B8484" s="140"/>
      <c r="C8484" s="140"/>
      <c r="D8484" s="140"/>
      <c r="E8484" s="142"/>
      <c r="F8484" s="142"/>
      <c r="G8484" s="140"/>
    </row>
    <row r="8485" spans="2:7" hidden="1">
      <c r="B8485" s="140"/>
      <c r="C8485" s="140"/>
      <c r="D8485" s="140"/>
      <c r="E8485" s="142"/>
      <c r="F8485" s="142"/>
      <c r="G8485" s="140"/>
    </row>
    <row r="8486" spans="2:7" hidden="1">
      <c r="B8486" s="140"/>
      <c r="C8486" s="140"/>
      <c r="D8486" s="140"/>
      <c r="E8486" s="142"/>
      <c r="F8486" s="142"/>
      <c r="G8486" s="140"/>
    </row>
    <row r="8487" spans="2:7" hidden="1">
      <c r="B8487" s="140"/>
      <c r="C8487" s="140"/>
      <c r="D8487" s="140"/>
      <c r="E8487" s="142"/>
      <c r="F8487" s="142"/>
      <c r="G8487" s="140"/>
    </row>
    <row r="8488" spans="2:7" hidden="1">
      <c r="B8488" s="140"/>
      <c r="C8488" s="140"/>
      <c r="D8488" s="140"/>
      <c r="E8488" s="142"/>
      <c r="F8488" s="142"/>
      <c r="G8488" s="140"/>
    </row>
    <row r="8489" spans="2:7" hidden="1">
      <c r="B8489" s="140"/>
      <c r="C8489" s="140"/>
      <c r="D8489" s="140"/>
      <c r="E8489" s="142"/>
      <c r="F8489" s="142"/>
      <c r="G8489" s="140"/>
    </row>
    <row r="8490" spans="2:7" hidden="1">
      <c r="B8490" s="140"/>
      <c r="C8490" s="140"/>
      <c r="D8490" s="140"/>
      <c r="E8490" s="142"/>
      <c r="F8490" s="142"/>
      <c r="G8490" s="140"/>
    </row>
    <row r="8491" spans="2:7" hidden="1">
      <c r="B8491" s="140"/>
      <c r="C8491" s="140"/>
      <c r="D8491" s="140"/>
      <c r="E8491" s="142"/>
      <c r="F8491" s="142"/>
      <c r="G8491" s="140"/>
    </row>
    <row r="8492" spans="2:7" hidden="1">
      <c r="B8492" s="140"/>
      <c r="C8492" s="140"/>
      <c r="D8492" s="140"/>
      <c r="E8492" s="142"/>
      <c r="F8492" s="142"/>
      <c r="G8492" s="140"/>
    </row>
    <row r="8493" spans="2:7" hidden="1">
      <c r="B8493" s="140"/>
      <c r="C8493" s="140"/>
      <c r="D8493" s="140"/>
      <c r="E8493" s="142"/>
      <c r="F8493" s="142"/>
      <c r="G8493" s="140"/>
    </row>
    <row r="8494" spans="2:7" hidden="1">
      <c r="B8494" s="140"/>
      <c r="C8494" s="140"/>
      <c r="D8494" s="140"/>
      <c r="E8494" s="142"/>
      <c r="F8494" s="142"/>
      <c r="G8494" s="140"/>
    </row>
    <row r="8495" spans="2:7" hidden="1">
      <c r="B8495" s="140"/>
      <c r="C8495" s="140"/>
      <c r="D8495" s="140"/>
      <c r="E8495" s="142"/>
      <c r="F8495" s="142"/>
      <c r="G8495" s="140"/>
    </row>
    <row r="8496" spans="2:7" hidden="1">
      <c r="B8496" s="140"/>
      <c r="C8496" s="140"/>
      <c r="D8496" s="140"/>
      <c r="E8496" s="142"/>
      <c r="F8496" s="142"/>
      <c r="G8496" s="140"/>
    </row>
    <row r="8497" spans="2:7" hidden="1">
      <c r="B8497" s="140"/>
      <c r="C8497" s="140"/>
      <c r="D8497" s="140"/>
      <c r="E8497" s="142"/>
      <c r="F8497" s="142"/>
      <c r="G8497" s="140"/>
    </row>
    <row r="8498" spans="2:7" hidden="1">
      <c r="B8498" s="140"/>
      <c r="C8498" s="140"/>
      <c r="D8498" s="140"/>
      <c r="E8498" s="142"/>
      <c r="F8498" s="142"/>
      <c r="G8498" s="140"/>
    </row>
    <row r="8499" spans="2:7" hidden="1">
      <c r="B8499" s="140"/>
      <c r="C8499" s="140"/>
      <c r="D8499" s="140"/>
      <c r="E8499" s="142"/>
      <c r="F8499" s="142"/>
      <c r="G8499" s="140"/>
    </row>
    <row r="8500" spans="2:7" hidden="1">
      <c r="B8500" s="140"/>
      <c r="C8500" s="140"/>
      <c r="D8500" s="140"/>
      <c r="E8500" s="142"/>
      <c r="F8500" s="142"/>
      <c r="G8500" s="140"/>
    </row>
    <row r="8501" spans="2:7" hidden="1">
      <c r="B8501" s="140"/>
      <c r="C8501" s="140"/>
      <c r="D8501" s="140"/>
      <c r="E8501" s="142"/>
      <c r="F8501" s="142"/>
      <c r="G8501" s="140"/>
    </row>
    <row r="8502" spans="2:7" hidden="1">
      <c r="B8502" s="140"/>
      <c r="C8502" s="140"/>
      <c r="D8502" s="140"/>
      <c r="E8502" s="142"/>
      <c r="F8502" s="142"/>
      <c r="G8502" s="140"/>
    </row>
    <row r="8503" spans="2:7" hidden="1">
      <c r="B8503" s="140"/>
      <c r="C8503" s="140"/>
      <c r="D8503" s="140"/>
      <c r="E8503" s="142"/>
      <c r="F8503" s="142"/>
      <c r="G8503" s="140"/>
    </row>
    <row r="8504" spans="2:7" hidden="1">
      <c r="B8504" s="140"/>
      <c r="C8504" s="140"/>
      <c r="D8504" s="140"/>
      <c r="E8504" s="142"/>
      <c r="F8504" s="142"/>
      <c r="G8504" s="140"/>
    </row>
    <row r="8505" spans="2:7" hidden="1">
      <c r="B8505" s="140"/>
      <c r="C8505" s="140"/>
      <c r="D8505" s="140"/>
      <c r="E8505" s="142"/>
      <c r="F8505" s="142"/>
      <c r="G8505" s="140"/>
    </row>
    <row r="8506" spans="2:7" hidden="1">
      <c r="B8506" s="140"/>
      <c r="C8506" s="140"/>
      <c r="D8506" s="140"/>
      <c r="E8506" s="142"/>
      <c r="F8506" s="142"/>
      <c r="G8506" s="140"/>
    </row>
    <row r="8507" spans="2:7" hidden="1">
      <c r="B8507" s="140"/>
      <c r="C8507" s="140"/>
      <c r="D8507" s="140"/>
      <c r="E8507" s="142"/>
      <c r="F8507" s="142"/>
      <c r="G8507" s="140"/>
    </row>
    <row r="8508" spans="2:7" hidden="1">
      <c r="B8508" s="140"/>
      <c r="C8508" s="140"/>
      <c r="D8508" s="140"/>
      <c r="E8508" s="142"/>
      <c r="F8508" s="142"/>
      <c r="G8508" s="140"/>
    </row>
    <row r="8509" spans="2:7" hidden="1">
      <c r="B8509" s="140"/>
      <c r="C8509" s="140"/>
      <c r="D8509" s="140"/>
      <c r="E8509" s="142"/>
      <c r="F8509" s="142"/>
      <c r="G8509" s="140"/>
    </row>
    <row r="8510" spans="2:7" hidden="1">
      <c r="B8510" s="140"/>
      <c r="C8510" s="140"/>
      <c r="D8510" s="140"/>
      <c r="E8510" s="142"/>
      <c r="F8510" s="142"/>
      <c r="G8510" s="140"/>
    </row>
    <row r="8511" spans="2:7" hidden="1">
      <c r="B8511" s="140"/>
      <c r="C8511" s="140"/>
      <c r="D8511" s="140"/>
      <c r="E8511" s="142"/>
      <c r="F8511" s="142"/>
      <c r="G8511" s="140"/>
    </row>
    <row r="8512" spans="2:7" hidden="1">
      <c r="B8512" s="140"/>
      <c r="C8512" s="140"/>
      <c r="D8512" s="140"/>
      <c r="E8512" s="142"/>
      <c r="F8512" s="142"/>
      <c r="G8512" s="140"/>
    </row>
    <row r="8513" spans="2:7" hidden="1">
      <c r="B8513" s="140"/>
      <c r="C8513" s="140"/>
      <c r="D8513" s="140"/>
      <c r="E8513" s="142"/>
      <c r="F8513" s="142"/>
      <c r="G8513" s="140"/>
    </row>
    <row r="8514" spans="2:7" hidden="1">
      <c r="B8514" s="140"/>
      <c r="C8514" s="140"/>
      <c r="D8514" s="140"/>
      <c r="E8514" s="142"/>
      <c r="F8514" s="142"/>
      <c r="G8514" s="140"/>
    </row>
    <row r="8515" spans="2:7" hidden="1">
      <c r="B8515" s="140"/>
      <c r="C8515" s="140"/>
      <c r="D8515" s="140"/>
      <c r="E8515" s="142"/>
      <c r="F8515" s="142"/>
      <c r="G8515" s="140"/>
    </row>
    <row r="8516" spans="2:7" hidden="1">
      <c r="B8516" s="140"/>
      <c r="C8516" s="140"/>
      <c r="D8516" s="140"/>
      <c r="E8516" s="142"/>
      <c r="F8516" s="142"/>
      <c r="G8516" s="140"/>
    </row>
    <row r="8517" spans="2:7" hidden="1">
      <c r="B8517" s="140"/>
      <c r="C8517" s="140"/>
      <c r="D8517" s="140"/>
      <c r="E8517" s="142"/>
      <c r="F8517" s="142"/>
      <c r="G8517" s="140"/>
    </row>
    <row r="8518" spans="2:7" hidden="1">
      <c r="B8518" s="140"/>
      <c r="C8518" s="140"/>
      <c r="D8518" s="140"/>
      <c r="E8518" s="142"/>
      <c r="F8518" s="142"/>
      <c r="G8518" s="140"/>
    </row>
    <row r="8519" spans="2:7" hidden="1">
      <c r="B8519" s="140"/>
      <c r="C8519" s="140"/>
      <c r="D8519" s="140"/>
      <c r="E8519" s="142"/>
      <c r="F8519" s="142"/>
      <c r="G8519" s="140"/>
    </row>
    <row r="8520" spans="2:7" hidden="1">
      <c r="B8520" s="140"/>
      <c r="C8520" s="140"/>
      <c r="D8520" s="140"/>
      <c r="E8520" s="142"/>
      <c r="F8520" s="142"/>
      <c r="G8520" s="140"/>
    </row>
    <row r="8521" spans="2:7" hidden="1">
      <c r="B8521" s="140"/>
      <c r="C8521" s="140"/>
      <c r="D8521" s="140"/>
      <c r="E8521" s="142"/>
      <c r="F8521" s="142"/>
      <c r="G8521" s="140"/>
    </row>
    <row r="8522" spans="2:7" hidden="1">
      <c r="B8522" s="140"/>
      <c r="C8522" s="140"/>
      <c r="D8522" s="140"/>
      <c r="E8522" s="142"/>
      <c r="F8522" s="142"/>
      <c r="G8522" s="140"/>
    </row>
    <row r="8523" spans="2:7" hidden="1">
      <c r="B8523" s="140"/>
      <c r="C8523" s="140"/>
      <c r="D8523" s="140"/>
      <c r="E8523" s="142"/>
      <c r="F8523" s="142"/>
      <c r="G8523" s="140"/>
    </row>
    <row r="8524" spans="2:7" hidden="1">
      <c r="B8524" s="140"/>
      <c r="C8524" s="140"/>
      <c r="D8524" s="140"/>
      <c r="E8524" s="142"/>
      <c r="F8524" s="142"/>
      <c r="G8524" s="140"/>
    </row>
    <row r="8525" spans="2:7" hidden="1">
      <c r="B8525" s="140"/>
      <c r="C8525" s="140"/>
      <c r="D8525" s="140"/>
      <c r="E8525" s="142"/>
      <c r="F8525" s="142"/>
      <c r="G8525" s="140"/>
    </row>
    <row r="8526" spans="2:7" hidden="1">
      <c r="B8526" s="140"/>
      <c r="C8526" s="140"/>
      <c r="D8526" s="140"/>
      <c r="E8526" s="142"/>
      <c r="F8526" s="142"/>
      <c r="G8526" s="140"/>
    </row>
    <row r="8527" spans="2:7" hidden="1">
      <c r="B8527" s="140"/>
      <c r="C8527" s="140"/>
      <c r="D8527" s="140"/>
      <c r="E8527" s="142"/>
      <c r="F8527" s="142"/>
      <c r="G8527" s="140"/>
    </row>
    <row r="8528" spans="2:7" hidden="1">
      <c r="B8528" s="140"/>
      <c r="C8528" s="140"/>
      <c r="D8528" s="140"/>
      <c r="E8528" s="142"/>
      <c r="F8528" s="142"/>
      <c r="G8528" s="140"/>
    </row>
    <row r="8529" spans="2:7" hidden="1">
      <c r="B8529" s="140"/>
      <c r="C8529" s="140"/>
      <c r="D8529" s="140"/>
      <c r="E8529" s="142"/>
      <c r="F8529" s="142"/>
      <c r="G8529" s="140"/>
    </row>
    <row r="8530" spans="2:7" hidden="1">
      <c r="B8530" s="140"/>
      <c r="C8530" s="140"/>
      <c r="D8530" s="140"/>
      <c r="E8530" s="142"/>
      <c r="F8530" s="142"/>
      <c r="G8530" s="140"/>
    </row>
    <row r="8531" spans="2:7" hidden="1">
      <c r="B8531" s="140"/>
      <c r="C8531" s="140"/>
      <c r="D8531" s="140"/>
      <c r="E8531" s="142"/>
      <c r="F8531" s="142"/>
      <c r="G8531" s="140"/>
    </row>
    <row r="8532" spans="2:7" hidden="1">
      <c r="B8532" s="140"/>
      <c r="C8532" s="140"/>
      <c r="D8532" s="140"/>
      <c r="E8532" s="142"/>
      <c r="F8532" s="142"/>
      <c r="G8532" s="140"/>
    </row>
    <row r="8533" spans="2:7" hidden="1">
      <c r="B8533" s="140"/>
      <c r="C8533" s="140"/>
      <c r="D8533" s="140"/>
      <c r="E8533" s="142"/>
      <c r="F8533" s="142"/>
      <c r="G8533" s="140"/>
    </row>
    <row r="8534" spans="2:7" hidden="1">
      <c r="B8534" s="140"/>
      <c r="C8534" s="140"/>
      <c r="D8534" s="140"/>
      <c r="E8534" s="142"/>
      <c r="F8534" s="142"/>
      <c r="G8534" s="140"/>
    </row>
    <row r="8535" spans="2:7" hidden="1">
      <c r="B8535" s="140"/>
      <c r="C8535" s="140"/>
      <c r="D8535" s="140"/>
      <c r="E8535" s="142"/>
      <c r="F8535" s="142"/>
      <c r="G8535" s="140"/>
    </row>
    <row r="8536" spans="2:7" hidden="1">
      <c r="B8536" s="140"/>
      <c r="C8536" s="140"/>
      <c r="D8536" s="140"/>
      <c r="E8536" s="142"/>
      <c r="F8536" s="142"/>
      <c r="G8536" s="140"/>
    </row>
    <row r="8537" spans="2:7" hidden="1">
      <c r="B8537" s="140"/>
      <c r="C8537" s="140"/>
      <c r="D8537" s="140"/>
      <c r="E8537" s="142"/>
      <c r="F8537" s="142"/>
      <c r="G8537" s="140"/>
    </row>
    <row r="8538" spans="2:7" hidden="1">
      <c r="B8538" s="140"/>
      <c r="C8538" s="140"/>
      <c r="D8538" s="140"/>
      <c r="E8538" s="142"/>
      <c r="F8538" s="142"/>
      <c r="G8538" s="140"/>
    </row>
    <row r="8539" spans="2:7" hidden="1">
      <c r="B8539" s="140"/>
      <c r="C8539" s="140"/>
      <c r="D8539" s="140"/>
      <c r="E8539" s="142"/>
      <c r="F8539" s="142"/>
      <c r="G8539" s="140"/>
    </row>
    <row r="8540" spans="2:7" hidden="1">
      <c r="B8540" s="140"/>
      <c r="C8540" s="140"/>
      <c r="D8540" s="140"/>
      <c r="E8540" s="142"/>
      <c r="F8540" s="142"/>
      <c r="G8540" s="140"/>
    </row>
    <row r="8541" spans="2:7" hidden="1">
      <c r="B8541" s="140"/>
      <c r="C8541" s="140"/>
      <c r="D8541" s="140"/>
      <c r="E8541" s="142"/>
      <c r="F8541" s="142"/>
      <c r="G8541" s="140"/>
    </row>
    <row r="8542" spans="2:7" hidden="1">
      <c r="B8542" s="140"/>
      <c r="C8542" s="140"/>
      <c r="D8542" s="140"/>
      <c r="E8542" s="142"/>
      <c r="F8542" s="142"/>
      <c r="G8542" s="140"/>
    </row>
    <row r="8543" spans="2:7" hidden="1">
      <c r="B8543" s="140"/>
      <c r="C8543" s="140"/>
      <c r="D8543" s="140"/>
      <c r="E8543" s="142"/>
      <c r="F8543" s="142"/>
      <c r="G8543" s="140"/>
    </row>
    <row r="8544" spans="2:7" hidden="1">
      <c r="B8544" s="140"/>
      <c r="C8544" s="140"/>
      <c r="D8544" s="140"/>
      <c r="E8544" s="142"/>
      <c r="F8544" s="142"/>
      <c r="G8544" s="140"/>
    </row>
    <row r="8545" spans="2:7" hidden="1">
      <c r="B8545" s="140"/>
      <c r="C8545" s="140"/>
      <c r="D8545" s="140"/>
      <c r="E8545" s="142"/>
      <c r="F8545" s="142"/>
      <c r="G8545" s="140"/>
    </row>
    <row r="8546" spans="2:7" hidden="1">
      <c r="B8546" s="140"/>
      <c r="C8546" s="140"/>
      <c r="D8546" s="140"/>
      <c r="E8546" s="142"/>
      <c r="F8546" s="142"/>
      <c r="G8546" s="140"/>
    </row>
    <row r="8547" spans="2:7" hidden="1">
      <c r="B8547" s="140"/>
      <c r="C8547" s="140"/>
      <c r="D8547" s="140"/>
      <c r="E8547" s="142"/>
      <c r="F8547" s="142"/>
      <c r="G8547" s="140"/>
    </row>
    <row r="8548" spans="2:7" hidden="1">
      <c r="B8548" s="140"/>
      <c r="C8548" s="140"/>
      <c r="D8548" s="140"/>
      <c r="E8548" s="142"/>
      <c r="F8548" s="142"/>
      <c r="G8548" s="140"/>
    </row>
    <row r="8549" spans="2:7" hidden="1">
      <c r="B8549" s="140"/>
      <c r="C8549" s="140"/>
      <c r="D8549" s="140"/>
      <c r="E8549" s="142"/>
      <c r="F8549" s="142"/>
      <c r="G8549" s="140"/>
    </row>
    <row r="8550" spans="2:7" hidden="1">
      <c r="B8550" s="140"/>
      <c r="C8550" s="140"/>
      <c r="D8550" s="140"/>
      <c r="E8550" s="142"/>
      <c r="F8550" s="142"/>
      <c r="G8550" s="140"/>
    </row>
    <row r="8551" spans="2:7" hidden="1">
      <c r="B8551" s="140"/>
      <c r="C8551" s="140"/>
      <c r="D8551" s="140"/>
      <c r="E8551" s="142"/>
      <c r="F8551" s="142"/>
      <c r="G8551" s="140"/>
    </row>
    <row r="8552" spans="2:7" hidden="1">
      <c r="B8552" s="140"/>
      <c r="C8552" s="140"/>
      <c r="D8552" s="140"/>
      <c r="E8552" s="142"/>
      <c r="F8552" s="142"/>
      <c r="G8552" s="140"/>
    </row>
    <row r="8553" spans="2:7" hidden="1">
      <c r="B8553" s="140"/>
      <c r="C8553" s="140"/>
      <c r="D8553" s="140"/>
      <c r="E8553" s="142"/>
      <c r="F8553" s="142"/>
      <c r="G8553" s="140"/>
    </row>
    <row r="8554" spans="2:7" hidden="1">
      <c r="B8554" s="140"/>
      <c r="C8554" s="140"/>
      <c r="D8554" s="140"/>
      <c r="E8554" s="142"/>
      <c r="F8554" s="142"/>
      <c r="G8554" s="140"/>
    </row>
    <row r="8555" spans="2:7" hidden="1">
      <c r="B8555" s="140"/>
      <c r="C8555" s="140"/>
      <c r="D8555" s="140"/>
      <c r="E8555" s="142"/>
      <c r="F8555" s="142"/>
      <c r="G8555" s="140"/>
    </row>
    <row r="8556" spans="2:7" hidden="1">
      <c r="B8556" s="140"/>
      <c r="C8556" s="140"/>
      <c r="D8556" s="140"/>
      <c r="E8556" s="142"/>
      <c r="F8556" s="142"/>
      <c r="G8556" s="140"/>
    </row>
    <row r="8557" spans="2:7" hidden="1">
      <c r="B8557" s="140"/>
      <c r="C8557" s="140"/>
      <c r="D8557" s="140"/>
      <c r="E8557" s="142"/>
      <c r="F8557" s="142"/>
      <c r="G8557" s="140"/>
    </row>
    <row r="8558" spans="2:7" hidden="1">
      <c r="B8558" s="140"/>
      <c r="C8558" s="140"/>
      <c r="D8558" s="140"/>
      <c r="E8558" s="142"/>
      <c r="F8558" s="142"/>
      <c r="G8558" s="140"/>
    </row>
    <row r="8559" spans="2:7" hidden="1">
      <c r="B8559" s="140"/>
      <c r="C8559" s="140"/>
      <c r="D8559" s="140"/>
      <c r="E8559" s="142"/>
      <c r="F8559" s="142"/>
      <c r="G8559" s="140"/>
    </row>
    <row r="8560" spans="2:7" hidden="1">
      <c r="B8560" s="140"/>
      <c r="C8560" s="140"/>
      <c r="D8560" s="140"/>
      <c r="E8560" s="142"/>
      <c r="F8560" s="142"/>
      <c r="G8560" s="140"/>
    </row>
    <row r="8561" spans="2:7" hidden="1">
      <c r="B8561" s="140"/>
      <c r="C8561" s="140"/>
      <c r="D8561" s="140"/>
      <c r="E8561" s="142"/>
      <c r="F8561" s="142"/>
      <c r="G8561" s="140"/>
    </row>
    <row r="8562" spans="2:7" hidden="1">
      <c r="B8562" s="140"/>
      <c r="C8562" s="140"/>
      <c r="D8562" s="140"/>
      <c r="E8562" s="142"/>
      <c r="F8562" s="142"/>
      <c r="G8562" s="140"/>
    </row>
    <row r="8563" spans="2:7" hidden="1">
      <c r="B8563" s="140"/>
      <c r="C8563" s="140"/>
      <c r="D8563" s="140"/>
      <c r="E8563" s="142"/>
      <c r="F8563" s="142"/>
      <c r="G8563" s="140"/>
    </row>
    <row r="8564" spans="2:7" hidden="1">
      <c r="B8564" s="140"/>
      <c r="C8564" s="140"/>
      <c r="D8564" s="140"/>
      <c r="E8564" s="142"/>
      <c r="F8564" s="142"/>
      <c r="G8564" s="140"/>
    </row>
    <row r="8565" spans="2:7" hidden="1">
      <c r="B8565" s="140"/>
      <c r="C8565" s="140"/>
      <c r="D8565" s="140"/>
      <c r="E8565" s="142"/>
      <c r="F8565" s="142"/>
      <c r="G8565" s="140"/>
    </row>
    <row r="8566" spans="2:7" hidden="1">
      <c r="B8566" s="140"/>
      <c r="C8566" s="140"/>
      <c r="D8566" s="140"/>
      <c r="E8566" s="142"/>
      <c r="F8566" s="142"/>
      <c r="G8566" s="140"/>
    </row>
    <row r="8567" spans="2:7" hidden="1">
      <c r="B8567" s="140"/>
      <c r="C8567" s="140"/>
      <c r="D8567" s="140"/>
      <c r="E8567" s="142"/>
      <c r="F8567" s="142"/>
      <c r="G8567" s="140"/>
    </row>
    <row r="8568" spans="2:7" hidden="1">
      <c r="B8568" s="140"/>
      <c r="C8568" s="140"/>
      <c r="D8568" s="140"/>
      <c r="E8568" s="142"/>
      <c r="F8568" s="142"/>
      <c r="G8568" s="140"/>
    </row>
    <row r="8569" spans="2:7" hidden="1">
      <c r="B8569" s="140"/>
      <c r="C8569" s="140"/>
      <c r="D8569" s="140"/>
      <c r="E8569" s="142"/>
      <c r="F8569" s="142"/>
      <c r="G8569" s="140"/>
    </row>
    <row r="8570" spans="2:7" hidden="1">
      <c r="B8570" s="140"/>
      <c r="C8570" s="140"/>
      <c r="D8570" s="140"/>
      <c r="E8570" s="142"/>
      <c r="F8570" s="142"/>
      <c r="G8570" s="140"/>
    </row>
    <row r="8571" spans="2:7" hidden="1">
      <c r="B8571" s="140"/>
      <c r="C8571" s="140"/>
      <c r="D8571" s="140"/>
      <c r="E8571" s="142"/>
      <c r="F8571" s="142"/>
      <c r="G8571" s="140"/>
    </row>
    <row r="8572" spans="2:7" hidden="1">
      <c r="B8572" s="140"/>
      <c r="C8572" s="140"/>
      <c r="D8572" s="140"/>
      <c r="E8572" s="142"/>
      <c r="F8572" s="142"/>
      <c r="G8572" s="140"/>
    </row>
    <row r="8573" spans="2:7" hidden="1">
      <c r="B8573" s="140"/>
      <c r="C8573" s="140"/>
      <c r="D8573" s="140"/>
      <c r="E8573" s="142"/>
      <c r="F8573" s="142"/>
      <c r="G8573" s="140"/>
    </row>
    <row r="8574" spans="2:7" hidden="1">
      <c r="B8574" s="140"/>
      <c r="C8574" s="140"/>
      <c r="D8574" s="140"/>
      <c r="E8574" s="142"/>
      <c r="F8574" s="142"/>
      <c r="G8574" s="140"/>
    </row>
    <row r="8575" spans="2:7" hidden="1">
      <c r="B8575" s="140"/>
      <c r="C8575" s="140"/>
      <c r="D8575" s="140"/>
      <c r="E8575" s="142"/>
      <c r="F8575" s="142"/>
      <c r="G8575" s="140"/>
    </row>
    <row r="8576" spans="2:7" hidden="1">
      <c r="B8576" s="140"/>
      <c r="C8576" s="140"/>
      <c r="D8576" s="140"/>
      <c r="E8576" s="142"/>
      <c r="F8576" s="142"/>
      <c r="G8576" s="140"/>
    </row>
    <row r="8577" spans="2:7" hidden="1">
      <c r="B8577" s="140"/>
      <c r="C8577" s="140"/>
      <c r="D8577" s="140"/>
      <c r="E8577" s="142"/>
      <c r="F8577" s="142"/>
      <c r="G8577" s="140"/>
    </row>
    <row r="8578" spans="2:7" hidden="1">
      <c r="B8578" s="140"/>
      <c r="C8578" s="140"/>
      <c r="D8578" s="140"/>
      <c r="E8578" s="142"/>
      <c r="F8578" s="142"/>
      <c r="G8578" s="140"/>
    </row>
    <row r="8579" spans="2:7" hidden="1">
      <c r="B8579" s="140"/>
      <c r="C8579" s="140"/>
      <c r="D8579" s="140"/>
      <c r="E8579" s="142"/>
      <c r="F8579" s="142"/>
      <c r="G8579" s="140"/>
    </row>
    <row r="8580" spans="2:7" hidden="1">
      <c r="B8580" s="140"/>
      <c r="C8580" s="140"/>
      <c r="D8580" s="140"/>
      <c r="E8580" s="142"/>
      <c r="F8580" s="142"/>
      <c r="G8580" s="140"/>
    </row>
    <row r="8581" spans="2:7" hidden="1">
      <c r="B8581" s="140"/>
      <c r="C8581" s="140"/>
      <c r="D8581" s="140"/>
      <c r="E8581" s="142"/>
      <c r="F8581" s="142"/>
      <c r="G8581" s="140"/>
    </row>
    <row r="8582" spans="2:7" hidden="1">
      <c r="B8582" s="140"/>
      <c r="C8582" s="140"/>
      <c r="D8582" s="140"/>
      <c r="E8582" s="142"/>
      <c r="F8582" s="142"/>
      <c r="G8582" s="140"/>
    </row>
    <row r="8583" spans="2:7" hidden="1">
      <c r="B8583" s="140"/>
      <c r="C8583" s="140"/>
      <c r="D8583" s="140"/>
      <c r="E8583" s="142"/>
      <c r="F8583" s="142"/>
      <c r="G8583" s="140"/>
    </row>
    <row r="8584" spans="2:7" hidden="1">
      <c r="B8584" s="140"/>
      <c r="C8584" s="140"/>
      <c r="D8584" s="140"/>
      <c r="E8584" s="142"/>
      <c r="F8584" s="142"/>
      <c r="G8584" s="140"/>
    </row>
    <row r="8585" spans="2:7" hidden="1">
      <c r="B8585" s="140"/>
      <c r="C8585" s="140"/>
      <c r="D8585" s="140"/>
      <c r="E8585" s="142"/>
      <c r="F8585" s="142"/>
      <c r="G8585" s="140"/>
    </row>
    <row r="8586" spans="2:7" hidden="1">
      <c r="B8586" s="140"/>
      <c r="C8586" s="140"/>
      <c r="D8586" s="140"/>
      <c r="E8586" s="142"/>
      <c r="F8586" s="142"/>
      <c r="G8586" s="140"/>
    </row>
    <row r="8587" spans="2:7" hidden="1">
      <c r="B8587" s="140"/>
      <c r="C8587" s="140"/>
      <c r="D8587" s="140"/>
      <c r="E8587" s="142"/>
      <c r="F8587" s="142"/>
      <c r="G8587" s="140"/>
    </row>
    <row r="8588" spans="2:7" hidden="1">
      <c r="B8588" s="140"/>
      <c r="C8588" s="140"/>
      <c r="D8588" s="140"/>
      <c r="E8588" s="142"/>
      <c r="F8588" s="142"/>
      <c r="G8588" s="140"/>
    </row>
    <row r="8589" spans="2:7" hidden="1">
      <c r="B8589" s="140"/>
      <c r="C8589" s="140"/>
      <c r="D8589" s="140"/>
      <c r="E8589" s="142"/>
      <c r="F8589" s="142"/>
      <c r="G8589" s="140"/>
    </row>
    <row r="8590" spans="2:7" hidden="1">
      <c r="B8590" s="140"/>
      <c r="C8590" s="140"/>
      <c r="D8590" s="140"/>
      <c r="E8590" s="142"/>
      <c r="F8590" s="142"/>
      <c r="G8590" s="140"/>
    </row>
    <row r="8591" spans="2:7" hidden="1">
      <c r="B8591" s="140"/>
      <c r="C8591" s="140"/>
      <c r="D8591" s="140"/>
      <c r="E8591" s="142"/>
      <c r="F8591" s="142"/>
      <c r="G8591" s="140"/>
    </row>
    <row r="8592" spans="2:7" hidden="1">
      <c r="B8592" s="140"/>
      <c r="C8592" s="140"/>
      <c r="D8592" s="140"/>
      <c r="E8592" s="142"/>
      <c r="F8592" s="142"/>
      <c r="G8592" s="140"/>
    </row>
    <row r="8593" spans="2:7" hidden="1">
      <c r="B8593" s="140"/>
      <c r="C8593" s="140"/>
      <c r="D8593" s="140"/>
      <c r="E8593" s="142"/>
      <c r="F8593" s="142"/>
      <c r="G8593" s="140"/>
    </row>
    <row r="8594" spans="2:7" hidden="1">
      <c r="B8594" s="140"/>
      <c r="C8594" s="140"/>
      <c r="D8594" s="140"/>
      <c r="E8594" s="142"/>
      <c r="F8594" s="142"/>
      <c r="G8594" s="140"/>
    </row>
    <row r="8595" spans="2:7" hidden="1">
      <c r="B8595" s="140"/>
      <c r="C8595" s="140"/>
      <c r="D8595" s="140"/>
      <c r="E8595" s="142"/>
      <c r="F8595" s="142"/>
      <c r="G8595" s="140"/>
    </row>
    <row r="8596" spans="2:7" hidden="1">
      <c r="B8596" s="140"/>
      <c r="C8596" s="140"/>
      <c r="D8596" s="140"/>
      <c r="E8596" s="142"/>
      <c r="F8596" s="142"/>
      <c r="G8596" s="140"/>
    </row>
    <row r="8597" spans="2:7" hidden="1">
      <c r="B8597" s="140"/>
      <c r="C8597" s="140"/>
      <c r="D8597" s="140"/>
      <c r="E8597" s="142"/>
      <c r="F8597" s="142"/>
      <c r="G8597" s="140"/>
    </row>
    <row r="8598" spans="2:7" hidden="1">
      <c r="B8598" s="140"/>
      <c r="C8598" s="140"/>
      <c r="D8598" s="140"/>
      <c r="E8598" s="142"/>
      <c r="F8598" s="142"/>
      <c r="G8598" s="140"/>
    </row>
    <row r="8599" spans="2:7" hidden="1">
      <c r="B8599" s="140"/>
      <c r="C8599" s="140"/>
      <c r="D8599" s="140"/>
      <c r="E8599" s="142"/>
      <c r="F8599" s="142"/>
      <c r="G8599" s="140"/>
    </row>
    <row r="8600" spans="2:7" hidden="1">
      <c r="B8600" s="140"/>
      <c r="C8600" s="140"/>
      <c r="D8600" s="140"/>
      <c r="E8600" s="142"/>
      <c r="F8600" s="142"/>
      <c r="G8600" s="140"/>
    </row>
    <row r="8601" spans="2:7" hidden="1">
      <c r="B8601" s="140"/>
      <c r="C8601" s="140"/>
      <c r="D8601" s="140"/>
      <c r="E8601" s="142"/>
      <c r="F8601" s="142"/>
      <c r="G8601" s="140"/>
    </row>
    <row r="8602" spans="2:7" hidden="1">
      <c r="B8602" s="140"/>
      <c r="C8602" s="140"/>
      <c r="D8602" s="140"/>
      <c r="E8602" s="142"/>
      <c r="F8602" s="142"/>
      <c r="G8602" s="140"/>
    </row>
    <row r="8603" spans="2:7" hidden="1">
      <c r="B8603" s="140"/>
      <c r="C8603" s="140"/>
      <c r="D8603" s="140"/>
      <c r="E8603" s="142"/>
      <c r="F8603" s="142"/>
      <c r="G8603" s="140"/>
    </row>
    <row r="8604" spans="2:7" hidden="1">
      <c r="B8604" s="140"/>
      <c r="C8604" s="140"/>
      <c r="D8604" s="140"/>
      <c r="E8604" s="142"/>
      <c r="F8604" s="142"/>
      <c r="G8604" s="140"/>
    </row>
    <row r="8605" spans="2:7" hidden="1">
      <c r="B8605" s="140"/>
      <c r="C8605" s="140"/>
      <c r="D8605" s="140"/>
      <c r="E8605" s="142"/>
      <c r="F8605" s="142"/>
      <c r="G8605" s="140"/>
    </row>
    <row r="8606" spans="2:7" hidden="1">
      <c r="B8606" s="140"/>
      <c r="C8606" s="140"/>
      <c r="D8606" s="140"/>
      <c r="E8606" s="142"/>
      <c r="F8606" s="142"/>
      <c r="G8606" s="140"/>
    </row>
    <row r="8607" spans="2:7" hidden="1">
      <c r="B8607" s="140"/>
      <c r="C8607" s="140"/>
      <c r="D8607" s="140"/>
      <c r="E8607" s="142"/>
      <c r="F8607" s="142"/>
      <c r="G8607" s="140"/>
    </row>
    <row r="8608" spans="2:7" hidden="1">
      <c r="B8608" s="140"/>
      <c r="C8608" s="140"/>
      <c r="D8608" s="140"/>
      <c r="E8608" s="142"/>
      <c r="F8608" s="142"/>
      <c r="G8608" s="140"/>
    </row>
    <row r="8609" spans="2:7" hidden="1">
      <c r="B8609" s="140"/>
      <c r="C8609" s="140"/>
      <c r="D8609" s="140"/>
      <c r="E8609" s="142"/>
      <c r="F8609" s="142"/>
      <c r="G8609" s="140"/>
    </row>
    <row r="8610" spans="2:7" hidden="1">
      <c r="B8610" s="140"/>
      <c r="C8610" s="140"/>
      <c r="D8610" s="140"/>
      <c r="E8610" s="142"/>
      <c r="F8610" s="142"/>
      <c r="G8610" s="140"/>
    </row>
    <row r="8611" spans="2:7" hidden="1">
      <c r="B8611" s="140"/>
      <c r="C8611" s="140"/>
      <c r="D8611" s="140"/>
      <c r="E8611" s="142"/>
      <c r="F8611" s="142"/>
      <c r="G8611" s="140"/>
    </row>
    <row r="8612" spans="2:7" hidden="1">
      <c r="B8612" s="140"/>
      <c r="C8612" s="140"/>
      <c r="D8612" s="140"/>
      <c r="E8612" s="142"/>
      <c r="F8612" s="142"/>
      <c r="G8612" s="140"/>
    </row>
    <row r="8613" spans="2:7" hidden="1">
      <c r="B8613" s="140"/>
      <c r="C8613" s="140"/>
      <c r="D8613" s="140"/>
      <c r="E8613" s="142"/>
      <c r="F8613" s="142"/>
      <c r="G8613" s="140"/>
    </row>
    <row r="8614" spans="2:7" hidden="1">
      <c r="B8614" s="140"/>
      <c r="C8614" s="140"/>
      <c r="D8614" s="140"/>
      <c r="E8614" s="142"/>
      <c r="F8614" s="142"/>
      <c r="G8614" s="140"/>
    </row>
    <row r="8615" spans="2:7" hidden="1">
      <c r="B8615" s="140"/>
      <c r="C8615" s="140"/>
      <c r="D8615" s="140"/>
      <c r="E8615" s="142"/>
      <c r="F8615" s="142"/>
      <c r="G8615" s="140"/>
    </row>
    <row r="8616" spans="2:7" hidden="1">
      <c r="B8616" s="140"/>
      <c r="C8616" s="140"/>
      <c r="D8616" s="140"/>
      <c r="E8616" s="142"/>
      <c r="F8616" s="142"/>
      <c r="G8616" s="140"/>
    </row>
    <row r="8617" spans="2:7" hidden="1">
      <c r="B8617" s="140"/>
      <c r="C8617" s="140"/>
      <c r="D8617" s="140"/>
      <c r="E8617" s="142"/>
      <c r="F8617" s="142"/>
      <c r="G8617" s="140"/>
    </row>
    <row r="8618" spans="2:7" hidden="1">
      <c r="B8618" s="140"/>
      <c r="C8618" s="140"/>
      <c r="D8618" s="140"/>
      <c r="E8618" s="142"/>
      <c r="F8618" s="142"/>
      <c r="G8618" s="140"/>
    </row>
    <row r="8619" spans="2:7" hidden="1">
      <c r="B8619" s="140"/>
      <c r="C8619" s="140"/>
      <c r="D8619" s="140"/>
      <c r="E8619" s="142"/>
      <c r="F8619" s="142"/>
      <c r="G8619" s="140"/>
    </row>
    <row r="8620" spans="2:7" hidden="1">
      <c r="B8620" s="140"/>
      <c r="C8620" s="140"/>
      <c r="D8620" s="140"/>
      <c r="E8620" s="142"/>
      <c r="F8620" s="142"/>
      <c r="G8620" s="140"/>
    </row>
    <row r="8621" spans="2:7" hidden="1">
      <c r="B8621" s="140"/>
      <c r="C8621" s="140"/>
      <c r="D8621" s="140"/>
      <c r="E8621" s="142"/>
      <c r="F8621" s="142"/>
      <c r="G8621" s="140"/>
    </row>
    <row r="8622" spans="2:7" hidden="1">
      <c r="B8622" s="140"/>
      <c r="C8622" s="140"/>
      <c r="D8622" s="140"/>
      <c r="E8622" s="142"/>
      <c r="F8622" s="142"/>
      <c r="G8622" s="140"/>
    </row>
    <row r="8623" spans="2:7" hidden="1">
      <c r="B8623" s="140"/>
      <c r="C8623" s="140"/>
      <c r="D8623" s="140"/>
      <c r="E8623" s="142"/>
      <c r="F8623" s="142"/>
      <c r="G8623" s="140"/>
    </row>
    <row r="8624" spans="2:7" hidden="1">
      <c r="B8624" s="140"/>
      <c r="C8624" s="140"/>
      <c r="D8624" s="140"/>
      <c r="E8624" s="142"/>
      <c r="F8624" s="142"/>
      <c r="G8624" s="140"/>
    </row>
    <row r="8625" spans="2:7" hidden="1">
      <c r="B8625" s="140"/>
      <c r="C8625" s="140"/>
      <c r="D8625" s="140"/>
      <c r="E8625" s="142"/>
      <c r="F8625" s="142"/>
      <c r="G8625" s="140"/>
    </row>
    <row r="8626" spans="2:7" hidden="1">
      <c r="B8626" s="140"/>
      <c r="C8626" s="140"/>
      <c r="D8626" s="140"/>
      <c r="E8626" s="142"/>
      <c r="F8626" s="142"/>
      <c r="G8626" s="140"/>
    </row>
    <row r="8627" spans="2:7" hidden="1">
      <c r="B8627" s="140"/>
      <c r="C8627" s="140"/>
      <c r="D8627" s="140"/>
      <c r="E8627" s="142"/>
      <c r="F8627" s="142"/>
      <c r="G8627" s="140"/>
    </row>
    <row r="8628" spans="2:7" hidden="1">
      <c r="B8628" s="140"/>
      <c r="C8628" s="140"/>
      <c r="D8628" s="140"/>
      <c r="E8628" s="142"/>
      <c r="F8628" s="142"/>
      <c r="G8628" s="140"/>
    </row>
    <row r="8629" spans="2:7" hidden="1">
      <c r="B8629" s="140"/>
      <c r="C8629" s="140"/>
      <c r="D8629" s="140"/>
      <c r="E8629" s="142"/>
      <c r="F8629" s="142"/>
      <c r="G8629" s="140"/>
    </row>
    <row r="8630" spans="2:7" hidden="1">
      <c r="B8630" s="140"/>
      <c r="C8630" s="140"/>
      <c r="D8630" s="140"/>
      <c r="E8630" s="142"/>
      <c r="F8630" s="142"/>
      <c r="G8630" s="140"/>
    </row>
    <row r="8631" spans="2:7" hidden="1">
      <c r="B8631" s="140"/>
      <c r="C8631" s="140"/>
      <c r="D8631" s="140"/>
      <c r="E8631" s="142"/>
      <c r="F8631" s="142"/>
      <c r="G8631" s="140"/>
    </row>
    <row r="8632" spans="2:7" hidden="1">
      <c r="B8632" s="140"/>
      <c r="C8632" s="140"/>
      <c r="D8632" s="140"/>
      <c r="E8632" s="142"/>
      <c r="F8632" s="142"/>
      <c r="G8632" s="140"/>
    </row>
    <row r="8633" spans="2:7" hidden="1">
      <c r="B8633" s="140"/>
      <c r="C8633" s="140"/>
      <c r="D8633" s="140"/>
      <c r="E8633" s="142"/>
      <c r="F8633" s="142"/>
      <c r="G8633" s="140"/>
    </row>
    <row r="8634" spans="2:7" hidden="1">
      <c r="B8634" s="140"/>
      <c r="C8634" s="140"/>
      <c r="D8634" s="140"/>
      <c r="E8634" s="142"/>
      <c r="F8634" s="142"/>
      <c r="G8634" s="140"/>
    </row>
    <row r="8635" spans="2:7" hidden="1">
      <c r="B8635" s="140"/>
      <c r="C8635" s="140"/>
      <c r="D8635" s="140"/>
      <c r="E8635" s="142"/>
      <c r="F8635" s="142"/>
      <c r="G8635" s="140"/>
    </row>
    <row r="8636" spans="2:7" hidden="1">
      <c r="B8636" s="140"/>
      <c r="C8636" s="140"/>
      <c r="D8636" s="140"/>
      <c r="E8636" s="142"/>
      <c r="F8636" s="142"/>
      <c r="G8636" s="140"/>
    </row>
    <row r="8637" spans="2:7" hidden="1">
      <c r="B8637" s="140"/>
      <c r="C8637" s="140"/>
      <c r="D8637" s="140"/>
      <c r="E8637" s="142"/>
      <c r="F8637" s="142"/>
      <c r="G8637" s="140"/>
    </row>
    <row r="8638" spans="2:7" hidden="1">
      <c r="B8638" s="140"/>
      <c r="C8638" s="140"/>
      <c r="D8638" s="140"/>
      <c r="E8638" s="142"/>
      <c r="F8638" s="142"/>
      <c r="G8638" s="140"/>
    </row>
    <row r="8639" spans="2:7" hidden="1">
      <c r="B8639" s="140"/>
      <c r="C8639" s="140"/>
      <c r="D8639" s="140"/>
      <c r="E8639" s="142"/>
      <c r="F8639" s="142"/>
      <c r="G8639" s="140"/>
    </row>
    <row r="8640" spans="2:7" hidden="1">
      <c r="B8640" s="140"/>
      <c r="C8640" s="140"/>
      <c r="D8640" s="140"/>
      <c r="E8640" s="142"/>
      <c r="F8640" s="142"/>
      <c r="G8640" s="140"/>
    </row>
    <row r="8641" spans="2:7" hidden="1">
      <c r="B8641" s="140"/>
      <c r="C8641" s="140"/>
      <c r="D8641" s="140"/>
      <c r="E8641" s="142"/>
      <c r="F8641" s="142"/>
      <c r="G8641" s="140"/>
    </row>
    <row r="8642" spans="2:7" hidden="1">
      <c r="B8642" s="140"/>
      <c r="C8642" s="140"/>
      <c r="D8642" s="140"/>
      <c r="E8642" s="142"/>
      <c r="F8642" s="142"/>
      <c r="G8642" s="140"/>
    </row>
    <row r="8643" spans="2:7" hidden="1">
      <c r="B8643" s="140"/>
      <c r="C8643" s="140"/>
      <c r="D8643" s="140"/>
      <c r="E8643" s="142"/>
      <c r="F8643" s="142"/>
      <c r="G8643" s="140"/>
    </row>
    <row r="8644" spans="2:7" hidden="1">
      <c r="B8644" s="140"/>
      <c r="C8644" s="140"/>
      <c r="D8644" s="140"/>
      <c r="E8644" s="142"/>
      <c r="F8644" s="142"/>
      <c r="G8644" s="140"/>
    </row>
    <row r="8645" spans="2:7" hidden="1">
      <c r="B8645" s="140"/>
      <c r="C8645" s="140"/>
      <c r="D8645" s="140"/>
      <c r="E8645" s="142"/>
      <c r="F8645" s="142"/>
      <c r="G8645" s="140"/>
    </row>
    <row r="8646" spans="2:7" hidden="1">
      <c r="B8646" s="140"/>
      <c r="C8646" s="140"/>
      <c r="D8646" s="140"/>
      <c r="E8646" s="142"/>
      <c r="F8646" s="142"/>
      <c r="G8646" s="140"/>
    </row>
    <row r="8647" spans="2:7" hidden="1">
      <c r="B8647" s="140"/>
      <c r="C8647" s="140"/>
      <c r="D8647" s="140"/>
      <c r="E8647" s="142"/>
      <c r="F8647" s="142"/>
      <c r="G8647" s="140"/>
    </row>
    <row r="8648" spans="2:7" hidden="1">
      <c r="B8648" s="140"/>
      <c r="C8648" s="140"/>
      <c r="D8648" s="140"/>
      <c r="E8648" s="142"/>
      <c r="F8648" s="142"/>
      <c r="G8648" s="140"/>
    </row>
    <row r="8649" spans="2:7" hidden="1">
      <c r="B8649" s="140"/>
      <c r="C8649" s="140"/>
      <c r="D8649" s="140"/>
      <c r="E8649" s="142"/>
      <c r="F8649" s="142"/>
      <c r="G8649" s="140"/>
    </row>
    <row r="8650" spans="2:7" hidden="1">
      <c r="B8650" s="140"/>
      <c r="C8650" s="140"/>
      <c r="D8650" s="140"/>
      <c r="E8650" s="142"/>
      <c r="F8650" s="142"/>
      <c r="G8650" s="140"/>
    </row>
    <row r="8651" spans="2:7" hidden="1">
      <c r="B8651" s="140"/>
      <c r="C8651" s="140"/>
      <c r="D8651" s="140"/>
      <c r="E8651" s="142"/>
      <c r="F8651" s="142"/>
      <c r="G8651" s="140"/>
    </row>
    <row r="8652" spans="2:7" hidden="1">
      <c r="B8652" s="140"/>
      <c r="C8652" s="140"/>
      <c r="D8652" s="140"/>
      <c r="E8652" s="142"/>
      <c r="F8652" s="142"/>
      <c r="G8652" s="140"/>
    </row>
    <row r="8653" spans="2:7" hidden="1">
      <c r="B8653" s="140"/>
      <c r="C8653" s="140"/>
      <c r="D8653" s="140"/>
      <c r="E8653" s="142"/>
      <c r="F8653" s="142"/>
      <c r="G8653" s="140"/>
    </row>
    <row r="8654" spans="2:7" hidden="1">
      <c r="B8654" s="140"/>
      <c r="C8654" s="140"/>
      <c r="D8654" s="140"/>
      <c r="E8654" s="142"/>
      <c r="F8654" s="142"/>
      <c r="G8654" s="140"/>
    </row>
    <row r="8655" spans="2:7" hidden="1">
      <c r="B8655" s="140"/>
      <c r="C8655" s="140"/>
      <c r="D8655" s="140"/>
      <c r="E8655" s="142"/>
      <c r="F8655" s="142"/>
      <c r="G8655" s="140"/>
    </row>
    <row r="8656" spans="2:7" hidden="1">
      <c r="B8656" s="140"/>
      <c r="C8656" s="140"/>
      <c r="D8656" s="140"/>
      <c r="E8656" s="142"/>
      <c r="F8656" s="142"/>
      <c r="G8656" s="140"/>
    </row>
    <row r="8657" spans="2:7" hidden="1">
      <c r="B8657" s="140"/>
      <c r="C8657" s="140"/>
      <c r="D8657" s="140"/>
      <c r="E8657" s="142"/>
      <c r="F8657" s="142"/>
      <c r="G8657" s="140"/>
    </row>
    <row r="8658" spans="2:7" hidden="1">
      <c r="B8658" s="140"/>
      <c r="C8658" s="140"/>
      <c r="D8658" s="140"/>
      <c r="E8658" s="142"/>
      <c r="F8658" s="142"/>
      <c r="G8658" s="140"/>
    </row>
    <row r="8659" spans="2:7" hidden="1">
      <c r="B8659" s="140"/>
      <c r="C8659" s="140"/>
      <c r="D8659" s="140"/>
      <c r="E8659" s="142"/>
      <c r="F8659" s="142"/>
      <c r="G8659" s="140"/>
    </row>
    <row r="8660" spans="2:7" hidden="1">
      <c r="B8660" s="140"/>
      <c r="C8660" s="140"/>
      <c r="D8660" s="140"/>
      <c r="E8660" s="142"/>
      <c r="F8660" s="142"/>
      <c r="G8660" s="140"/>
    </row>
    <row r="8661" spans="2:7" hidden="1">
      <c r="B8661" s="140"/>
      <c r="C8661" s="140"/>
      <c r="D8661" s="140"/>
      <c r="E8661" s="142"/>
      <c r="F8661" s="142"/>
      <c r="G8661" s="140"/>
    </row>
    <row r="8662" spans="2:7" hidden="1">
      <c r="B8662" s="140"/>
      <c r="C8662" s="140"/>
      <c r="D8662" s="140"/>
      <c r="E8662" s="142"/>
      <c r="F8662" s="142"/>
      <c r="G8662" s="140"/>
    </row>
    <row r="8663" spans="2:7" hidden="1">
      <c r="B8663" s="140"/>
      <c r="C8663" s="140"/>
      <c r="D8663" s="140"/>
      <c r="E8663" s="142"/>
      <c r="F8663" s="142"/>
      <c r="G8663" s="140"/>
    </row>
    <row r="8664" spans="2:7" hidden="1">
      <c r="B8664" s="140"/>
      <c r="C8664" s="140"/>
      <c r="D8664" s="140"/>
      <c r="E8664" s="142"/>
      <c r="F8664" s="142"/>
      <c r="G8664" s="140"/>
    </row>
    <row r="8665" spans="2:7" hidden="1">
      <c r="B8665" s="140"/>
      <c r="C8665" s="140"/>
      <c r="D8665" s="140"/>
      <c r="E8665" s="142"/>
      <c r="F8665" s="142"/>
      <c r="G8665" s="140"/>
    </row>
    <row r="8666" spans="2:7" hidden="1">
      <c r="B8666" s="140"/>
      <c r="C8666" s="140"/>
      <c r="D8666" s="140"/>
      <c r="E8666" s="142"/>
      <c r="F8666" s="142"/>
      <c r="G8666" s="140"/>
    </row>
    <row r="8667" spans="2:7" hidden="1">
      <c r="B8667" s="140"/>
      <c r="C8667" s="140"/>
      <c r="D8667" s="140"/>
      <c r="E8667" s="142"/>
      <c r="F8667" s="142"/>
      <c r="G8667" s="140"/>
    </row>
    <row r="8668" spans="2:7" hidden="1">
      <c r="B8668" s="140"/>
      <c r="C8668" s="140"/>
      <c r="D8668" s="140"/>
      <c r="E8668" s="142"/>
      <c r="F8668" s="142"/>
      <c r="G8668" s="140"/>
    </row>
    <row r="8669" spans="2:7" hidden="1">
      <c r="B8669" s="140"/>
      <c r="C8669" s="140"/>
      <c r="D8669" s="140"/>
      <c r="E8669" s="142"/>
      <c r="F8669" s="142"/>
      <c r="G8669" s="140"/>
    </row>
    <row r="8670" spans="2:7" hidden="1">
      <c r="B8670" s="140"/>
      <c r="C8670" s="140"/>
      <c r="D8670" s="140"/>
      <c r="E8670" s="142"/>
      <c r="F8670" s="142"/>
      <c r="G8670" s="140"/>
    </row>
    <row r="8671" spans="2:7" hidden="1">
      <c r="B8671" s="140"/>
      <c r="C8671" s="140"/>
      <c r="D8671" s="140"/>
      <c r="E8671" s="142"/>
      <c r="F8671" s="142"/>
      <c r="G8671" s="140"/>
    </row>
    <row r="8672" spans="2:7" hidden="1">
      <c r="B8672" s="140"/>
      <c r="C8672" s="140"/>
      <c r="D8672" s="140"/>
      <c r="E8672" s="142"/>
      <c r="F8672" s="142"/>
      <c r="G8672" s="140"/>
    </row>
    <row r="8673" spans="2:7" hidden="1">
      <c r="B8673" s="140"/>
      <c r="C8673" s="140"/>
      <c r="D8673" s="140"/>
      <c r="E8673" s="142"/>
      <c r="F8673" s="142"/>
      <c r="G8673" s="140"/>
    </row>
    <row r="8674" spans="2:7" hidden="1">
      <c r="B8674" s="140"/>
      <c r="C8674" s="140"/>
      <c r="D8674" s="140"/>
      <c r="E8674" s="142"/>
      <c r="F8674" s="142"/>
      <c r="G8674" s="140"/>
    </row>
    <row r="8675" spans="2:7" hidden="1">
      <c r="B8675" s="140"/>
      <c r="C8675" s="140"/>
      <c r="D8675" s="140"/>
      <c r="E8675" s="142"/>
      <c r="F8675" s="142"/>
      <c r="G8675" s="140"/>
    </row>
    <row r="8676" spans="2:7" hidden="1">
      <c r="B8676" s="140"/>
      <c r="C8676" s="140"/>
      <c r="D8676" s="140"/>
      <c r="E8676" s="142"/>
      <c r="F8676" s="142"/>
      <c r="G8676" s="140"/>
    </row>
    <row r="8677" spans="2:7" hidden="1">
      <c r="B8677" s="140"/>
      <c r="C8677" s="140"/>
      <c r="D8677" s="140"/>
      <c r="E8677" s="142"/>
      <c r="F8677" s="142"/>
      <c r="G8677" s="140"/>
    </row>
    <row r="8678" spans="2:7" hidden="1">
      <c r="B8678" s="140"/>
      <c r="C8678" s="140"/>
      <c r="D8678" s="140"/>
      <c r="E8678" s="142"/>
      <c r="F8678" s="142"/>
      <c r="G8678" s="140"/>
    </row>
    <row r="8679" spans="2:7" hidden="1">
      <c r="B8679" s="140"/>
      <c r="C8679" s="140"/>
      <c r="D8679" s="140"/>
      <c r="E8679" s="142"/>
      <c r="F8679" s="142"/>
      <c r="G8679" s="140"/>
    </row>
    <row r="8680" spans="2:7" hidden="1">
      <c r="B8680" s="140"/>
      <c r="C8680" s="140"/>
      <c r="D8680" s="140"/>
      <c r="E8680" s="142"/>
      <c r="F8680" s="142"/>
      <c r="G8680" s="140"/>
    </row>
    <row r="8681" spans="2:7" hidden="1">
      <c r="B8681" s="140"/>
      <c r="C8681" s="140"/>
      <c r="D8681" s="140"/>
      <c r="E8681" s="142"/>
      <c r="F8681" s="142"/>
      <c r="G8681" s="140"/>
    </row>
    <row r="8682" spans="2:7" hidden="1">
      <c r="B8682" s="140"/>
      <c r="C8682" s="140"/>
      <c r="D8682" s="140"/>
      <c r="E8682" s="142"/>
      <c r="F8682" s="142"/>
      <c r="G8682" s="140"/>
    </row>
    <row r="8683" spans="2:7" hidden="1">
      <c r="B8683" s="140"/>
      <c r="C8683" s="140"/>
      <c r="D8683" s="140"/>
      <c r="E8683" s="142"/>
      <c r="F8683" s="142"/>
      <c r="G8683" s="140"/>
    </row>
    <row r="8684" spans="2:7" hidden="1">
      <c r="B8684" s="140"/>
      <c r="C8684" s="140"/>
      <c r="D8684" s="140"/>
      <c r="E8684" s="142"/>
      <c r="F8684" s="142"/>
      <c r="G8684" s="140"/>
    </row>
    <row r="8685" spans="2:7" hidden="1">
      <c r="B8685" s="140"/>
      <c r="C8685" s="140"/>
      <c r="D8685" s="140"/>
      <c r="E8685" s="142"/>
      <c r="F8685" s="142"/>
      <c r="G8685" s="140"/>
    </row>
    <row r="8686" spans="2:7" hidden="1">
      <c r="B8686" s="140"/>
      <c r="C8686" s="140"/>
      <c r="D8686" s="140"/>
      <c r="E8686" s="142"/>
      <c r="F8686" s="142"/>
      <c r="G8686" s="140"/>
    </row>
    <row r="8687" spans="2:7" hidden="1">
      <c r="B8687" s="140"/>
      <c r="C8687" s="140"/>
      <c r="D8687" s="140"/>
      <c r="E8687" s="142"/>
      <c r="F8687" s="142"/>
      <c r="G8687" s="140"/>
    </row>
    <row r="8688" spans="2:7" hidden="1">
      <c r="B8688" s="140"/>
      <c r="C8688" s="140"/>
      <c r="D8688" s="140"/>
      <c r="E8688" s="142"/>
      <c r="F8688" s="142"/>
      <c r="G8688" s="140"/>
    </row>
    <row r="8689" spans="2:7" hidden="1">
      <c r="B8689" s="140"/>
      <c r="C8689" s="140"/>
      <c r="D8689" s="140"/>
      <c r="E8689" s="142"/>
      <c r="F8689" s="142"/>
      <c r="G8689" s="140"/>
    </row>
    <row r="8690" spans="2:7" hidden="1">
      <c r="B8690" s="140"/>
      <c r="C8690" s="140"/>
      <c r="D8690" s="140"/>
      <c r="E8690" s="142"/>
      <c r="F8690" s="142"/>
      <c r="G8690" s="140"/>
    </row>
    <row r="8691" spans="2:7" hidden="1">
      <c r="B8691" s="140"/>
      <c r="C8691" s="140"/>
      <c r="D8691" s="140"/>
      <c r="E8691" s="142"/>
      <c r="F8691" s="142"/>
      <c r="G8691" s="140"/>
    </row>
    <row r="8692" spans="2:7" hidden="1">
      <c r="B8692" s="140"/>
      <c r="C8692" s="140"/>
      <c r="D8692" s="140"/>
      <c r="E8692" s="142"/>
      <c r="F8692" s="142"/>
      <c r="G8692" s="140"/>
    </row>
    <row r="8693" spans="2:7" hidden="1">
      <c r="B8693" s="140"/>
      <c r="C8693" s="140"/>
      <c r="D8693" s="140"/>
      <c r="E8693" s="142"/>
      <c r="F8693" s="142"/>
      <c r="G8693" s="140"/>
    </row>
    <row r="8694" spans="2:7" hidden="1">
      <c r="B8694" s="140"/>
      <c r="C8694" s="140"/>
      <c r="D8694" s="140"/>
      <c r="E8694" s="142"/>
      <c r="F8694" s="142"/>
      <c r="G8694" s="140"/>
    </row>
    <row r="8695" spans="2:7" hidden="1">
      <c r="B8695" s="140"/>
      <c r="C8695" s="140"/>
      <c r="D8695" s="140"/>
      <c r="E8695" s="142"/>
      <c r="F8695" s="142"/>
      <c r="G8695" s="140"/>
    </row>
    <row r="8696" spans="2:7" hidden="1">
      <c r="B8696" s="140"/>
      <c r="C8696" s="140"/>
      <c r="D8696" s="140"/>
      <c r="E8696" s="142"/>
      <c r="F8696" s="142"/>
      <c r="G8696" s="140"/>
    </row>
    <row r="8697" spans="2:7" hidden="1">
      <c r="B8697" s="140"/>
      <c r="C8697" s="140"/>
      <c r="D8697" s="140"/>
      <c r="E8697" s="142"/>
      <c r="F8697" s="142"/>
      <c r="G8697" s="140"/>
    </row>
    <row r="8698" spans="2:7" hidden="1">
      <c r="B8698" s="140"/>
      <c r="C8698" s="140"/>
      <c r="D8698" s="140"/>
      <c r="E8698" s="142"/>
      <c r="F8698" s="142"/>
      <c r="G8698" s="140"/>
    </row>
    <row r="8699" spans="2:7" hidden="1">
      <c r="B8699" s="140"/>
      <c r="C8699" s="140"/>
      <c r="D8699" s="140"/>
      <c r="E8699" s="142"/>
      <c r="F8699" s="142"/>
      <c r="G8699" s="140"/>
    </row>
    <row r="8700" spans="2:7" hidden="1">
      <c r="B8700" s="140"/>
      <c r="C8700" s="140"/>
      <c r="D8700" s="140"/>
      <c r="E8700" s="142"/>
      <c r="F8700" s="142"/>
      <c r="G8700" s="140"/>
    </row>
    <row r="8701" spans="2:7" hidden="1">
      <c r="B8701" s="140"/>
      <c r="C8701" s="140"/>
      <c r="D8701" s="140"/>
      <c r="E8701" s="142"/>
      <c r="F8701" s="142"/>
      <c r="G8701" s="140"/>
    </row>
    <row r="8702" spans="2:7" hidden="1">
      <c r="B8702" s="140"/>
      <c r="C8702" s="140"/>
      <c r="D8702" s="140"/>
      <c r="E8702" s="142"/>
      <c r="F8702" s="142"/>
      <c r="G8702" s="140"/>
    </row>
    <row r="8703" spans="2:7" hidden="1">
      <c r="B8703" s="140"/>
      <c r="C8703" s="140"/>
      <c r="D8703" s="140"/>
      <c r="E8703" s="142"/>
      <c r="F8703" s="142"/>
      <c r="G8703" s="140"/>
    </row>
    <row r="8704" spans="2:7" hidden="1">
      <c r="B8704" s="140"/>
      <c r="C8704" s="140"/>
      <c r="D8704" s="140"/>
      <c r="E8704" s="142"/>
      <c r="F8704" s="142"/>
      <c r="G8704" s="140"/>
    </row>
    <row r="8705" spans="2:7" hidden="1">
      <c r="B8705" s="140"/>
      <c r="C8705" s="140"/>
      <c r="D8705" s="140"/>
      <c r="E8705" s="142"/>
      <c r="F8705" s="142"/>
      <c r="G8705" s="140"/>
    </row>
    <row r="8706" spans="2:7" hidden="1">
      <c r="B8706" s="140"/>
      <c r="C8706" s="140"/>
      <c r="D8706" s="140"/>
      <c r="E8706" s="142"/>
      <c r="F8706" s="142"/>
      <c r="G8706" s="140"/>
    </row>
    <row r="8707" spans="2:7" hidden="1">
      <c r="B8707" s="140"/>
      <c r="C8707" s="140"/>
      <c r="D8707" s="140"/>
      <c r="E8707" s="142"/>
      <c r="F8707" s="142"/>
      <c r="G8707" s="140"/>
    </row>
    <row r="8708" spans="2:7" hidden="1">
      <c r="B8708" s="140"/>
      <c r="C8708" s="140"/>
      <c r="D8708" s="140"/>
      <c r="E8708" s="142"/>
      <c r="F8708" s="142"/>
      <c r="G8708" s="140"/>
    </row>
    <row r="8709" spans="2:7" hidden="1">
      <c r="B8709" s="140"/>
      <c r="C8709" s="140"/>
      <c r="D8709" s="140"/>
      <c r="E8709" s="142"/>
      <c r="F8709" s="142"/>
      <c r="G8709" s="140"/>
    </row>
    <row r="8710" spans="2:7" hidden="1">
      <c r="B8710" s="140"/>
      <c r="C8710" s="140"/>
      <c r="D8710" s="140"/>
      <c r="E8710" s="142"/>
      <c r="F8710" s="142"/>
      <c r="G8710" s="140"/>
    </row>
    <row r="8711" spans="2:7" hidden="1">
      <c r="B8711" s="140"/>
      <c r="C8711" s="140"/>
      <c r="D8711" s="140"/>
      <c r="E8711" s="142"/>
      <c r="F8711" s="142"/>
      <c r="G8711" s="140"/>
    </row>
    <row r="8712" spans="2:7" hidden="1">
      <c r="B8712" s="140"/>
      <c r="C8712" s="140"/>
      <c r="D8712" s="140"/>
      <c r="E8712" s="142"/>
      <c r="F8712" s="142"/>
      <c r="G8712" s="140"/>
    </row>
    <row r="8713" spans="2:7" hidden="1">
      <c r="B8713" s="140"/>
      <c r="C8713" s="140"/>
      <c r="D8713" s="140"/>
      <c r="E8713" s="142"/>
      <c r="F8713" s="142"/>
      <c r="G8713" s="140"/>
    </row>
    <row r="8714" spans="2:7" hidden="1">
      <c r="B8714" s="140"/>
      <c r="C8714" s="140"/>
      <c r="D8714" s="140"/>
      <c r="E8714" s="142"/>
      <c r="F8714" s="142"/>
      <c r="G8714" s="140"/>
    </row>
    <row r="8715" spans="2:7" hidden="1">
      <c r="B8715" s="140"/>
      <c r="C8715" s="140"/>
      <c r="D8715" s="140"/>
      <c r="E8715" s="142"/>
      <c r="F8715" s="142"/>
      <c r="G8715" s="140"/>
    </row>
    <row r="8716" spans="2:7" hidden="1">
      <c r="B8716" s="140"/>
      <c r="C8716" s="140"/>
      <c r="D8716" s="140"/>
      <c r="E8716" s="142"/>
      <c r="F8716" s="142"/>
      <c r="G8716" s="140"/>
    </row>
    <row r="8717" spans="2:7" hidden="1">
      <c r="B8717" s="140"/>
      <c r="C8717" s="140"/>
      <c r="D8717" s="140"/>
      <c r="E8717" s="142"/>
      <c r="F8717" s="142"/>
      <c r="G8717" s="140"/>
    </row>
    <row r="8718" spans="2:7" hidden="1">
      <c r="B8718" s="140"/>
      <c r="C8718" s="140"/>
      <c r="D8718" s="140"/>
      <c r="E8718" s="142"/>
      <c r="F8718" s="142"/>
      <c r="G8718" s="140"/>
    </row>
    <row r="8719" spans="2:7" hidden="1">
      <c r="B8719" s="140"/>
      <c r="C8719" s="140"/>
      <c r="D8719" s="140"/>
      <c r="E8719" s="142"/>
      <c r="F8719" s="142"/>
      <c r="G8719" s="140"/>
    </row>
    <row r="8720" spans="2:7" hidden="1">
      <c r="B8720" s="140"/>
      <c r="C8720" s="140"/>
      <c r="D8720" s="140"/>
      <c r="E8720" s="142"/>
      <c r="F8720" s="142"/>
      <c r="G8720" s="140"/>
    </row>
    <row r="8721" spans="2:7" hidden="1">
      <c r="B8721" s="140"/>
      <c r="C8721" s="140"/>
      <c r="D8721" s="140"/>
      <c r="E8721" s="142"/>
      <c r="F8721" s="142"/>
      <c r="G8721" s="140"/>
    </row>
    <row r="8722" spans="2:7" hidden="1">
      <c r="B8722" s="140"/>
      <c r="C8722" s="140"/>
      <c r="D8722" s="140"/>
      <c r="E8722" s="142"/>
      <c r="F8722" s="142"/>
      <c r="G8722" s="140"/>
    </row>
    <row r="8723" spans="2:7" hidden="1">
      <c r="B8723" s="140"/>
      <c r="C8723" s="140"/>
      <c r="D8723" s="140"/>
      <c r="E8723" s="142"/>
      <c r="F8723" s="142"/>
      <c r="G8723" s="140"/>
    </row>
    <row r="8724" spans="2:7" hidden="1">
      <c r="B8724" s="140"/>
      <c r="C8724" s="140"/>
      <c r="D8724" s="140"/>
      <c r="E8724" s="142"/>
      <c r="F8724" s="142"/>
      <c r="G8724" s="140"/>
    </row>
    <row r="8725" spans="2:7" hidden="1">
      <c r="B8725" s="140"/>
      <c r="C8725" s="140"/>
      <c r="D8725" s="140"/>
      <c r="E8725" s="142"/>
      <c r="F8725" s="142"/>
      <c r="G8725" s="140"/>
    </row>
    <row r="8726" spans="2:7" hidden="1">
      <c r="B8726" s="140"/>
      <c r="C8726" s="140"/>
      <c r="D8726" s="140"/>
      <c r="E8726" s="142"/>
      <c r="F8726" s="142"/>
      <c r="G8726" s="140"/>
    </row>
    <row r="8727" spans="2:7" hidden="1">
      <c r="B8727" s="140"/>
      <c r="C8727" s="140"/>
      <c r="D8727" s="140"/>
      <c r="E8727" s="142"/>
      <c r="F8727" s="142"/>
      <c r="G8727" s="140"/>
    </row>
    <row r="8728" spans="2:7" hidden="1">
      <c r="B8728" s="140"/>
      <c r="C8728" s="140"/>
      <c r="D8728" s="140"/>
      <c r="E8728" s="142"/>
      <c r="F8728" s="142"/>
      <c r="G8728" s="140"/>
    </row>
    <row r="8729" spans="2:7" hidden="1">
      <c r="B8729" s="140"/>
      <c r="C8729" s="140"/>
      <c r="D8729" s="140"/>
      <c r="E8729" s="142"/>
      <c r="F8729" s="142"/>
      <c r="G8729" s="140"/>
    </row>
    <row r="8730" spans="2:7" hidden="1">
      <c r="B8730" s="140"/>
      <c r="C8730" s="140"/>
      <c r="D8730" s="140"/>
      <c r="E8730" s="142"/>
      <c r="F8730" s="142"/>
      <c r="G8730" s="140"/>
    </row>
    <row r="8731" spans="2:7" hidden="1">
      <c r="B8731" s="140"/>
      <c r="C8731" s="140"/>
      <c r="D8731" s="140"/>
      <c r="E8731" s="142"/>
      <c r="F8731" s="142"/>
      <c r="G8731" s="140"/>
    </row>
    <row r="8732" spans="2:7" hidden="1">
      <c r="B8732" s="140"/>
      <c r="C8732" s="140"/>
      <c r="D8732" s="140"/>
      <c r="E8732" s="142"/>
      <c r="F8732" s="142"/>
      <c r="G8732" s="140"/>
    </row>
    <row r="8733" spans="2:7" hidden="1">
      <c r="B8733" s="140"/>
      <c r="C8733" s="140"/>
      <c r="D8733" s="140"/>
      <c r="E8733" s="142"/>
      <c r="F8733" s="142"/>
      <c r="G8733" s="140"/>
    </row>
    <row r="8734" spans="2:7" hidden="1">
      <c r="B8734" s="140"/>
      <c r="C8734" s="140"/>
      <c r="D8734" s="140"/>
      <c r="E8734" s="142"/>
      <c r="F8734" s="142"/>
      <c r="G8734" s="140"/>
    </row>
    <row r="8735" spans="2:7" hidden="1">
      <c r="B8735" s="140"/>
      <c r="C8735" s="140"/>
      <c r="D8735" s="140"/>
      <c r="E8735" s="142"/>
      <c r="F8735" s="142"/>
      <c r="G8735" s="140"/>
    </row>
    <row r="8736" spans="2:7" hidden="1">
      <c r="B8736" s="140"/>
      <c r="C8736" s="140"/>
      <c r="D8736" s="140"/>
      <c r="E8736" s="142"/>
      <c r="F8736" s="142"/>
      <c r="G8736" s="140"/>
    </row>
    <row r="8737" spans="2:7" hidden="1">
      <c r="B8737" s="140"/>
      <c r="C8737" s="140"/>
      <c r="D8737" s="140"/>
      <c r="E8737" s="142"/>
      <c r="F8737" s="142"/>
      <c r="G8737" s="140"/>
    </row>
    <row r="8738" spans="2:7" hidden="1">
      <c r="B8738" s="140"/>
      <c r="C8738" s="140"/>
      <c r="D8738" s="140"/>
      <c r="E8738" s="142"/>
      <c r="F8738" s="142"/>
      <c r="G8738" s="140"/>
    </row>
    <row r="8739" spans="2:7" hidden="1">
      <c r="B8739" s="140"/>
      <c r="C8739" s="140"/>
      <c r="D8739" s="140"/>
      <c r="E8739" s="142"/>
      <c r="F8739" s="142"/>
      <c r="G8739" s="140"/>
    </row>
    <row r="8740" spans="2:7" hidden="1">
      <c r="B8740" s="140"/>
      <c r="C8740" s="140"/>
      <c r="D8740" s="140"/>
      <c r="E8740" s="142"/>
      <c r="F8740" s="142"/>
      <c r="G8740" s="140"/>
    </row>
    <row r="8741" spans="2:7" hidden="1">
      <c r="B8741" s="140"/>
      <c r="C8741" s="140"/>
      <c r="D8741" s="140"/>
      <c r="E8741" s="142"/>
      <c r="F8741" s="142"/>
      <c r="G8741" s="140"/>
    </row>
    <row r="8742" spans="2:7" hidden="1">
      <c r="B8742" s="140"/>
      <c r="C8742" s="140"/>
      <c r="D8742" s="140"/>
      <c r="E8742" s="142"/>
      <c r="F8742" s="142"/>
      <c r="G8742" s="140"/>
    </row>
    <row r="8743" spans="2:7" hidden="1">
      <c r="B8743" s="140"/>
      <c r="C8743" s="140"/>
      <c r="D8743" s="140"/>
      <c r="E8743" s="142"/>
      <c r="F8743" s="142"/>
      <c r="G8743" s="140"/>
    </row>
    <row r="8744" spans="2:7" hidden="1">
      <c r="B8744" s="140"/>
      <c r="C8744" s="140"/>
      <c r="D8744" s="140"/>
      <c r="E8744" s="142"/>
      <c r="F8744" s="142"/>
      <c r="G8744" s="140"/>
    </row>
    <row r="8745" spans="2:7" hidden="1">
      <c r="B8745" s="140"/>
      <c r="C8745" s="140"/>
      <c r="D8745" s="140"/>
      <c r="E8745" s="142"/>
      <c r="F8745" s="142"/>
      <c r="G8745" s="140"/>
    </row>
    <row r="8746" spans="2:7" hidden="1">
      <c r="B8746" s="140"/>
      <c r="C8746" s="140"/>
      <c r="D8746" s="140"/>
      <c r="E8746" s="142"/>
      <c r="F8746" s="142"/>
      <c r="G8746" s="140"/>
    </row>
    <row r="8747" spans="2:7" hidden="1">
      <c r="B8747" s="140"/>
      <c r="C8747" s="140"/>
      <c r="D8747" s="140"/>
      <c r="E8747" s="142"/>
      <c r="F8747" s="142"/>
      <c r="G8747" s="140"/>
    </row>
    <row r="8748" spans="2:7" hidden="1">
      <c r="B8748" s="140"/>
      <c r="C8748" s="140"/>
      <c r="D8748" s="140"/>
      <c r="E8748" s="142"/>
      <c r="F8748" s="142"/>
      <c r="G8748" s="140"/>
    </row>
    <row r="8749" spans="2:7" hidden="1">
      <c r="B8749" s="140"/>
      <c r="C8749" s="140"/>
      <c r="D8749" s="140"/>
      <c r="E8749" s="142"/>
      <c r="F8749" s="142"/>
      <c r="G8749" s="140"/>
    </row>
    <row r="8750" spans="2:7" hidden="1">
      <c r="B8750" s="140"/>
      <c r="C8750" s="140"/>
      <c r="D8750" s="140"/>
      <c r="E8750" s="142"/>
      <c r="F8750" s="142"/>
      <c r="G8750" s="140"/>
    </row>
    <row r="8751" spans="2:7" hidden="1">
      <c r="B8751" s="140"/>
      <c r="C8751" s="140"/>
      <c r="D8751" s="140"/>
      <c r="E8751" s="142"/>
      <c r="F8751" s="142"/>
      <c r="G8751" s="140"/>
    </row>
    <row r="8752" spans="2:7" hidden="1">
      <c r="B8752" s="140"/>
      <c r="C8752" s="140"/>
      <c r="D8752" s="140"/>
      <c r="E8752" s="142"/>
      <c r="F8752" s="142"/>
      <c r="G8752" s="140"/>
    </row>
    <row r="8753" spans="2:7" hidden="1">
      <c r="B8753" s="140"/>
      <c r="C8753" s="140"/>
      <c r="D8753" s="140"/>
      <c r="E8753" s="142"/>
      <c r="F8753" s="142"/>
      <c r="G8753" s="140"/>
    </row>
    <row r="8754" spans="2:7" hidden="1">
      <c r="B8754" s="140"/>
      <c r="C8754" s="140"/>
      <c r="D8754" s="140"/>
      <c r="E8754" s="142"/>
      <c r="F8754" s="142"/>
      <c r="G8754" s="140"/>
    </row>
    <row r="8755" spans="2:7" hidden="1">
      <c r="B8755" s="140"/>
      <c r="C8755" s="140"/>
      <c r="D8755" s="140"/>
      <c r="E8755" s="142"/>
      <c r="F8755" s="142"/>
      <c r="G8755" s="140"/>
    </row>
    <row r="8756" spans="2:7" hidden="1">
      <c r="B8756" s="140"/>
      <c r="C8756" s="140"/>
      <c r="D8756" s="140"/>
      <c r="E8756" s="142"/>
      <c r="F8756" s="142"/>
      <c r="G8756" s="140"/>
    </row>
    <row r="8757" spans="2:7" hidden="1">
      <c r="B8757" s="140"/>
      <c r="C8757" s="140"/>
      <c r="D8757" s="140"/>
      <c r="E8757" s="142"/>
      <c r="F8757" s="142"/>
      <c r="G8757" s="140"/>
    </row>
    <row r="8758" spans="2:7" hidden="1">
      <c r="B8758" s="140"/>
      <c r="C8758" s="140"/>
      <c r="D8758" s="140"/>
      <c r="E8758" s="142"/>
      <c r="F8758" s="142"/>
      <c r="G8758" s="140"/>
    </row>
    <row r="8759" spans="2:7" hidden="1">
      <c r="B8759" s="140"/>
      <c r="C8759" s="140"/>
      <c r="D8759" s="140"/>
      <c r="E8759" s="142"/>
      <c r="F8759" s="142"/>
      <c r="G8759" s="140"/>
    </row>
    <row r="8760" spans="2:7" hidden="1">
      <c r="B8760" s="140"/>
      <c r="C8760" s="140"/>
      <c r="D8760" s="140"/>
      <c r="E8760" s="142"/>
      <c r="F8760" s="142"/>
      <c r="G8760" s="140"/>
    </row>
    <row r="8761" spans="2:7" hidden="1">
      <c r="B8761" s="140"/>
      <c r="C8761" s="140"/>
      <c r="D8761" s="140"/>
      <c r="E8761" s="142"/>
      <c r="F8761" s="142"/>
      <c r="G8761" s="140"/>
    </row>
    <row r="8762" spans="2:7" hidden="1">
      <c r="B8762" s="140"/>
      <c r="C8762" s="140"/>
      <c r="D8762" s="140"/>
      <c r="E8762" s="142"/>
      <c r="F8762" s="142"/>
      <c r="G8762" s="140"/>
    </row>
    <row r="8763" spans="2:7" hidden="1">
      <c r="B8763" s="140"/>
      <c r="C8763" s="140"/>
      <c r="D8763" s="140"/>
      <c r="E8763" s="142"/>
      <c r="F8763" s="142"/>
      <c r="G8763" s="140"/>
    </row>
    <row r="8764" spans="2:7" hidden="1">
      <c r="B8764" s="140"/>
      <c r="C8764" s="140"/>
      <c r="D8764" s="140"/>
      <c r="E8764" s="142"/>
      <c r="F8764" s="142"/>
      <c r="G8764" s="140"/>
    </row>
    <row r="8765" spans="2:7" hidden="1">
      <c r="B8765" s="140"/>
      <c r="C8765" s="140"/>
      <c r="D8765" s="140"/>
      <c r="E8765" s="142"/>
      <c r="F8765" s="142"/>
      <c r="G8765" s="140"/>
    </row>
    <row r="8766" spans="2:7" hidden="1">
      <c r="B8766" s="140"/>
      <c r="C8766" s="140"/>
      <c r="D8766" s="140"/>
      <c r="E8766" s="142"/>
      <c r="F8766" s="142"/>
      <c r="G8766" s="140"/>
    </row>
    <row r="8767" spans="2:7" hidden="1">
      <c r="B8767" s="140"/>
      <c r="C8767" s="140"/>
      <c r="D8767" s="140"/>
      <c r="E8767" s="142"/>
      <c r="F8767" s="142"/>
      <c r="G8767" s="140"/>
    </row>
    <row r="8768" spans="2:7" hidden="1">
      <c r="B8768" s="140"/>
      <c r="C8768" s="140"/>
      <c r="D8768" s="140"/>
      <c r="E8768" s="142"/>
      <c r="F8768" s="142"/>
      <c r="G8768" s="140"/>
    </row>
    <row r="8769" spans="2:7" hidden="1">
      <c r="B8769" s="140"/>
      <c r="C8769" s="140"/>
      <c r="D8769" s="140"/>
      <c r="E8769" s="142"/>
      <c r="F8769" s="142"/>
      <c r="G8769" s="140"/>
    </row>
    <row r="8770" spans="2:7" hidden="1">
      <c r="B8770" s="140"/>
      <c r="C8770" s="140"/>
      <c r="D8770" s="140"/>
      <c r="E8770" s="142"/>
      <c r="F8770" s="142"/>
      <c r="G8770" s="140"/>
    </row>
    <row r="8771" spans="2:7" hidden="1">
      <c r="B8771" s="140"/>
      <c r="C8771" s="140"/>
      <c r="D8771" s="140"/>
      <c r="E8771" s="142"/>
      <c r="F8771" s="142"/>
      <c r="G8771" s="140"/>
    </row>
    <row r="8772" spans="2:7" hidden="1">
      <c r="B8772" s="140"/>
      <c r="C8772" s="140"/>
      <c r="D8772" s="140"/>
      <c r="E8772" s="142"/>
      <c r="F8772" s="142"/>
      <c r="G8772" s="140"/>
    </row>
    <row r="8773" spans="2:7" hidden="1">
      <c r="B8773" s="140"/>
      <c r="C8773" s="140"/>
      <c r="D8773" s="140"/>
      <c r="E8773" s="142"/>
      <c r="F8773" s="142"/>
      <c r="G8773" s="140"/>
    </row>
    <row r="8774" spans="2:7" hidden="1">
      <c r="B8774" s="140"/>
      <c r="C8774" s="140"/>
      <c r="D8774" s="140"/>
      <c r="E8774" s="142"/>
      <c r="F8774" s="142"/>
      <c r="G8774" s="140"/>
    </row>
    <row r="8775" spans="2:7" hidden="1">
      <c r="B8775" s="140"/>
      <c r="C8775" s="140"/>
      <c r="D8775" s="140"/>
      <c r="E8775" s="142"/>
      <c r="F8775" s="142"/>
      <c r="G8775" s="140"/>
    </row>
    <row r="8776" spans="2:7" hidden="1">
      <c r="B8776" s="140"/>
      <c r="C8776" s="140"/>
      <c r="D8776" s="140"/>
      <c r="E8776" s="142"/>
      <c r="F8776" s="142"/>
      <c r="G8776" s="140"/>
    </row>
    <row r="8777" spans="2:7" hidden="1">
      <c r="B8777" s="140"/>
      <c r="C8777" s="140"/>
      <c r="D8777" s="140"/>
      <c r="E8777" s="142"/>
      <c r="F8777" s="142"/>
      <c r="G8777" s="140"/>
    </row>
    <row r="8778" spans="2:7" hidden="1">
      <c r="B8778" s="140"/>
      <c r="C8778" s="140"/>
      <c r="D8778" s="140"/>
      <c r="E8778" s="142"/>
      <c r="F8778" s="142"/>
      <c r="G8778" s="140"/>
    </row>
    <row r="8779" spans="2:7" hidden="1">
      <c r="B8779" s="140"/>
      <c r="C8779" s="140"/>
      <c r="D8779" s="140"/>
      <c r="E8779" s="142"/>
      <c r="F8779" s="142"/>
      <c r="G8779" s="140"/>
    </row>
    <row r="8780" spans="2:7" hidden="1">
      <c r="B8780" s="140"/>
      <c r="C8780" s="140"/>
      <c r="D8780" s="140"/>
      <c r="E8780" s="142"/>
      <c r="F8780" s="142"/>
      <c r="G8780" s="140"/>
    </row>
    <row r="8781" spans="2:7" hidden="1">
      <c r="B8781" s="140"/>
      <c r="C8781" s="140"/>
      <c r="D8781" s="140"/>
      <c r="E8781" s="142"/>
      <c r="F8781" s="142"/>
      <c r="G8781" s="140"/>
    </row>
    <row r="8782" spans="2:7" hidden="1">
      <c r="B8782" s="140"/>
      <c r="C8782" s="140"/>
      <c r="D8782" s="140"/>
      <c r="E8782" s="142"/>
      <c r="F8782" s="142"/>
      <c r="G8782" s="140"/>
    </row>
    <row r="8783" spans="2:7" hidden="1">
      <c r="B8783" s="140"/>
      <c r="C8783" s="140"/>
      <c r="D8783" s="140"/>
      <c r="E8783" s="142"/>
      <c r="F8783" s="142"/>
      <c r="G8783" s="140"/>
    </row>
    <row r="8784" spans="2:7" hidden="1">
      <c r="B8784" s="140"/>
      <c r="C8784" s="140"/>
      <c r="D8784" s="140"/>
      <c r="E8784" s="142"/>
      <c r="F8784" s="142"/>
      <c r="G8784" s="140"/>
    </row>
    <row r="8785" spans="2:7" hidden="1">
      <c r="B8785" s="140"/>
      <c r="C8785" s="140"/>
      <c r="D8785" s="140"/>
      <c r="E8785" s="142"/>
      <c r="F8785" s="142"/>
      <c r="G8785" s="140"/>
    </row>
    <row r="8786" spans="2:7" hidden="1">
      <c r="B8786" s="140"/>
      <c r="C8786" s="140"/>
      <c r="D8786" s="140"/>
      <c r="E8786" s="142"/>
      <c r="F8786" s="142"/>
      <c r="G8786" s="140"/>
    </row>
    <row r="8787" spans="2:7" hidden="1">
      <c r="B8787" s="140"/>
      <c r="C8787" s="140"/>
      <c r="D8787" s="140"/>
      <c r="E8787" s="142"/>
      <c r="F8787" s="142"/>
      <c r="G8787" s="140"/>
    </row>
    <row r="8788" spans="2:7" hidden="1">
      <c r="B8788" s="140"/>
      <c r="C8788" s="140"/>
      <c r="D8788" s="140"/>
      <c r="E8788" s="142"/>
      <c r="F8788" s="142"/>
      <c r="G8788" s="140"/>
    </row>
    <row r="8789" spans="2:7" hidden="1">
      <c r="B8789" s="140"/>
      <c r="C8789" s="140"/>
      <c r="D8789" s="140"/>
      <c r="E8789" s="142"/>
      <c r="F8789" s="142"/>
      <c r="G8789" s="140"/>
    </row>
    <row r="8790" spans="2:7" hidden="1">
      <c r="B8790" s="140"/>
      <c r="C8790" s="140"/>
      <c r="D8790" s="140"/>
      <c r="E8790" s="142"/>
      <c r="F8790" s="142"/>
      <c r="G8790" s="140"/>
    </row>
    <row r="8791" spans="2:7" hidden="1">
      <c r="B8791" s="140"/>
      <c r="C8791" s="140"/>
      <c r="D8791" s="140"/>
      <c r="E8791" s="142"/>
      <c r="F8791" s="142"/>
      <c r="G8791" s="140"/>
    </row>
    <row r="8792" spans="2:7" hidden="1">
      <c r="B8792" s="140"/>
      <c r="C8792" s="140"/>
      <c r="D8792" s="140"/>
      <c r="E8792" s="142"/>
      <c r="F8792" s="142"/>
      <c r="G8792" s="140"/>
    </row>
    <row r="8793" spans="2:7" hidden="1">
      <c r="B8793" s="140"/>
      <c r="C8793" s="140"/>
      <c r="D8793" s="140"/>
      <c r="E8793" s="142"/>
      <c r="F8793" s="142"/>
      <c r="G8793" s="140"/>
    </row>
    <row r="8794" spans="2:7" hidden="1">
      <c r="B8794" s="140"/>
      <c r="C8794" s="140"/>
      <c r="D8794" s="140"/>
      <c r="E8794" s="142"/>
      <c r="F8794" s="142"/>
      <c r="G8794" s="140"/>
    </row>
    <row r="8795" spans="2:7" hidden="1">
      <c r="B8795" s="140"/>
      <c r="C8795" s="140"/>
      <c r="D8795" s="140"/>
      <c r="E8795" s="142"/>
      <c r="F8795" s="142"/>
      <c r="G8795" s="140"/>
    </row>
    <row r="8796" spans="2:7" hidden="1">
      <c r="B8796" s="140"/>
      <c r="C8796" s="140"/>
      <c r="D8796" s="140"/>
      <c r="E8796" s="142"/>
      <c r="F8796" s="142"/>
      <c r="G8796" s="140"/>
    </row>
    <row r="8797" spans="2:7" hidden="1">
      <c r="B8797" s="140"/>
      <c r="C8797" s="140"/>
      <c r="D8797" s="140"/>
      <c r="E8797" s="142"/>
      <c r="F8797" s="142"/>
      <c r="G8797" s="140"/>
    </row>
    <row r="8798" spans="2:7" hidden="1">
      <c r="B8798" s="140"/>
      <c r="C8798" s="140"/>
      <c r="D8798" s="140"/>
      <c r="E8798" s="142"/>
      <c r="F8798" s="142"/>
      <c r="G8798" s="140"/>
    </row>
    <row r="8799" spans="2:7" hidden="1">
      <c r="B8799" s="140"/>
      <c r="C8799" s="140"/>
      <c r="D8799" s="140"/>
      <c r="E8799" s="142"/>
      <c r="F8799" s="142"/>
      <c r="G8799" s="140"/>
    </row>
    <row r="8800" spans="2:7" hidden="1">
      <c r="B8800" s="140"/>
      <c r="C8800" s="140"/>
      <c r="D8800" s="140"/>
      <c r="E8800" s="142"/>
      <c r="F8800" s="142"/>
      <c r="G8800" s="140"/>
    </row>
    <row r="8801" spans="2:7" hidden="1">
      <c r="B8801" s="140"/>
      <c r="C8801" s="140"/>
      <c r="D8801" s="140"/>
      <c r="E8801" s="142"/>
      <c r="F8801" s="142"/>
      <c r="G8801" s="140"/>
    </row>
    <row r="8802" spans="2:7" hidden="1">
      <c r="B8802" s="140"/>
      <c r="C8802" s="140"/>
      <c r="D8802" s="140"/>
      <c r="E8802" s="142"/>
      <c r="F8802" s="142"/>
      <c r="G8802" s="140"/>
    </row>
    <row r="8803" spans="2:7" hidden="1">
      <c r="B8803" s="140"/>
      <c r="C8803" s="140"/>
      <c r="D8803" s="140"/>
      <c r="E8803" s="142"/>
      <c r="F8803" s="142"/>
      <c r="G8803" s="140"/>
    </row>
    <row r="8804" spans="2:7" hidden="1">
      <c r="B8804" s="140"/>
      <c r="C8804" s="140"/>
      <c r="D8804" s="140"/>
      <c r="E8804" s="142"/>
      <c r="F8804" s="142"/>
      <c r="G8804" s="140"/>
    </row>
    <row r="8805" spans="2:7" hidden="1">
      <c r="B8805" s="140"/>
      <c r="C8805" s="140"/>
      <c r="D8805" s="140"/>
      <c r="E8805" s="142"/>
      <c r="F8805" s="142"/>
      <c r="G8805" s="140"/>
    </row>
    <row r="8806" spans="2:7" hidden="1">
      <c r="B8806" s="140"/>
      <c r="C8806" s="140"/>
      <c r="D8806" s="140"/>
      <c r="E8806" s="142"/>
      <c r="F8806" s="142"/>
      <c r="G8806" s="140"/>
    </row>
    <row r="8807" spans="2:7" hidden="1">
      <c r="B8807" s="140"/>
      <c r="C8807" s="140"/>
      <c r="D8807" s="140"/>
      <c r="E8807" s="142"/>
      <c r="F8807" s="142"/>
      <c r="G8807" s="140"/>
    </row>
    <row r="8808" spans="2:7" hidden="1">
      <c r="B8808" s="140"/>
      <c r="C8808" s="140"/>
      <c r="D8808" s="140"/>
      <c r="E8808" s="142"/>
      <c r="F8808" s="142"/>
      <c r="G8808" s="140"/>
    </row>
    <row r="8809" spans="2:7" hidden="1">
      <c r="B8809" s="140"/>
      <c r="C8809" s="140"/>
      <c r="D8809" s="140"/>
      <c r="E8809" s="142"/>
      <c r="F8809" s="142"/>
      <c r="G8809" s="140"/>
    </row>
    <row r="8810" spans="2:7" hidden="1">
      <c r="B8810" s="140"/>
      <c r="C8810" s="140"/>
      <c r="D8810" s="140"/>
      <c r="E8810" s="142"/>
      <c r="F8810" s="142"/>
      <c r="G8810" s="140"/>
    </row>
    <row r="8811" spans="2:7" hidden="1">
      <c r="B8811" s="140"/>
      <c r="C8811" s="140"/>
      <c r="D8811" s="140"/>
      <c r="E8811" s="142"/>
      <c r="F8811" s="142"/>
      <c r="G8811" s="140"/>
    </row>
    <row r="8812" spans="2:7" hidden="1">
      <c r="B8812" s="140"/>
      <c r="C8812" s="140"/>
      <c r="D8812" s="140"/>
      <c r="E8812" s="142"/>
      <c r="F8812" s="142"/>
      <c r="G8812" s="140"/>
    </row>
    <row r="8813" spans="2:7" hidden="1">
      <c r="B8813" s="140"/>
      <c r="C8813" s="140"/>
      <c r="D8813" s="140"/>
      <c r="E8813" s="142"/>
      <c r="F8813" s="142"/>
      <c r="G8813" s="140"/>
    </row>
    <row r="8814" spans="2:7" hidden="1">
      <c r="B8814" s="140"/>
      <c r="C8814" s="140"/>
      <c r="D8814" s="140"/>
      <c r="E8814" s="142"/>
      <c r="F8814" s="142"/>
      <c r="G8814" s="140"/>
    </row>
    <row r="8815" spans="2:7" hidden="1">
      <c r="B8815" s="140"/>
      <c r="C8815" s="140"/>
      <c r="D8815" s="140"/>
      <c r="E8815" s="142"/>
      <c r="F8815" s="142"/>
      <c r="G8815" s="140"/>
    </row>
    <row r="8816" spans="2:7" hidden="1">
      <c r="B8816" s="140"/>
      <c r="C8816" s="140"/>
      <c r="D8816" s="140"/>
      <c r="E8816" s="142"/>
      <c r="F8816" s="142"/>
      <c r="G8816" s="140"/>
    </row>
    <row r="8817" spans="2:7" hidden="1">
      <c r="B8817" s="140"/>
      <c r="C8817" s="140"/>
      <c r="D8817" s="140"/>
      <c r="E8817" s="142"/>
      <c r="F8817" s="142"/>
      <c r="G8817" s="140"/>
    </row>
    <row r="8818" spans="2:7" hidden="1">
      <c r="B8818" s="140"/>
      <c r="C8818" s="140"/>
      <c r="D8818" s="140"/>
      <c r="E8818" s="142"/>
      <c r="F8818" s="142"/>
      <c r="G8818" s="140"/>
    </row>
    <row r="8819" spans="2:7" hidden="1">
      <c r="B8819" s="140"/>
      <c r="C8819" s="140"/>
      <c r="D8819" s="140"/>
      <c r="E8819" s="142"/>
      <c r="F8819" s="142"/>
      <c r="G8819" s="140"/>
    </row>
    <row r="8820" spans="2:7" hidden="1">
      <c r="B8820" s="140"/>
      <c r="C8820" s="140"/>
      <c r="D8820" s="140"/>
      <c r="E8820" s="142"/>
      <c r="F8820" s="142"/>
      <c r="G8820" s="140"/>
    </row>
    <row r="8821" spans="2:7" hidden="1">
      <c r="B8821" s="140"/>
      <c r="C8821" s="140"/>
      <c r="D8821" s="140"/>
      <c r="E8821" s="142"/>
      <c r="F8821" s="142"/>
      <c r="G8821" s="140"/>
    </row>
    <row r="8822" spans="2:7" hidden="1">
      <c r="B8822" s="140"/>
      <c r="C8822" s="140"/>
      <c r="D8822" s="140"/>
      <c r="E8822" s="142"/>
      <c r="F8822" s="142"/>
      <c r="G8822" s="140"/>
    </row>
    <row r="8823" spans="2:7" hidden="1">
      <c r="B8823" s="140"/>
      <c r="C8823" s="140"/>
      <c r="D8823" s="140"/>
      <c r="E8823" s="142"/>
      <c r="F8823" s="142"/>
      <c r="G8823" s="140"/>
    </row>
    <row r="8824" spans="2:7" hidden="1">
      <c r="B8824" s="140"/>
      <c r="C8824" s="140"/>
      <c r="D8824" s="140"/>
      <c r="E8824" s="142"/>
      <c r="F8824" s="142"/>
      <c r="G8824" s="140"/>
    </row>
    <row r="8825" spans="2:7" hidden="1">
      <c r="B8825" s="140"/>
      <c r="C8825" s="140"/>
      <c r="D8825" s="140"/>
      <c r="E8825" s="142"/>
      <c r="F8825" s="142"/>
      <c r="G8825" s="140"/>
    </row>
    <row r="8826" spans="2:7" hidden="1">
      <c r="B8826" s="140"/>
      <c r="C8826" s="140"/>
      <c r="D8826" s="140"/>
      <c r="E8826" s="142"/>
      <c r="F8826" s="142"/>
      <c r="G8826" s="140"/>
    </row>
    <row r="8827" spans="2:7" hidden="1">
      <c r="B8827" s="140"/>
      <c r="C8827" s="140"/>
      <c r="D8827" s="140"/>
      <c r="E8827" s="142"/>
      <c r="F8827" s="142"/>
      <c r="G8827" s="140"/>
    </row>
    <row r="8828" spans="2:7" hidden="1">
      <c r="B8828" s="140"/>
      <c r="C8828" s="140"/>
      <c r="D8828" s="140"/>
      <c r="E8828" s="142"/>
      <c r="F8828" s="142"/>
      <c r="G8828" s="140"/>
    </row>
    <row r="8829" spans="2:7" hidden="1">
      <c r="B8829" s="140"/>
      <c r="C8829" s="140"/>
      <c r="D8829" s="140"/>
      <c r="E8829" s="142"/>
      <c r="F8829" s="142"/>
      <c r="G8829" s="140"/>
    </row>
    <row r="8830" spans="2:7" hidden="1">
      <c r="B8830" s="140"/>
      <c r="C8830" s="140"/>
      <c r="D8830" s="140"/>
      <c r="E8830" s="142"/>
      <c r="F8830" s="142"/>
      <c r="G8830" s="140"/>
    </row>
    <row r="8831" spans="2:7" hidden="1">
      <c r="B8831" s="140"/>
      <c r="C8831" s="140"/>
      <c r="D8831" s="140"/>
      <c r="E8831" s="142"/>
      <c r="F8831" s="142"/>
      <c r="G8831" s="140"/>
    </row>
    <row r="8832" spans="2:7" hidden="1">
      <c r="B8832" s="140"/>
      <c r="C8832" s="140"/>
      <c r="D8832" s="140"/>
      <c r="E8832" s="142"/>
      <c r="F8832" s="142"/>
      <c r="G8832" s="140"/>
    </row>
    <row r="8833" spans="2:7" hidden="1">
      <c r="B8833" s="140"/>
      <c r="C8833" s="140"/>
      <c r="D8833" s="140"/>
      <c r="E8833" s="142"/>
      <c r="F8833" s="142"/>
      <c r="G8833" s="140"/>
    </row>
    <row r="8834" spans="2:7" hidden="1">
      <c r="B8834" s="140"/>
      <c r="C8834" s="140"/>
      <c r="D8834" s="140"/>
      <c r="E8834" s="142"/>
      <c r="F8834" s="142"/>
      <c r="G8834" s="140"/>
    </row>
    <row r="8835" spans="2:7" hidden="1">
      <c r="B8835" s="140"/>
      <c r="C8835" s="140"/>
      <c r="D8835" s="140"/>
      <c r="E8835" s="142"/>
      <c r="F8835" s="142"/>
      <c r="G8835" s="140"/>
    </row>
    <row r="8836" spans="2:7" hidden="1">
      <c r="B8836" s="140"/>
      <c r="C8836" s="140"/>
      <c r="D8836" s="140"/>
      <c r="E8836" s="142"/>
      <c r="F8836" s="142"/>
      <c r="G8836" s="140"/>
    </row>
    <row r="8837" spans="2:7" hidden="1">
      <c r="B8837" s="140"/>
      <c r="C8837" s="140"/>
      <c r="D8837" s="140"/>
      <c r="E8837" s="142"/>
      <c r="F8837" s="142"/>
      <c r="G8837" s="140"/>
    </row>
    <row r="8838" spans="2:7" hidden="1">
      <c r="B8838" s="140"/>
      <c r="C8838" s="140"/>
      <c r="D8838" s="140"/>
      <c r="E8838" s="142"/>
      <c r="F8838" s="142"/>
      <c r="G8838" s="140"/>
    </row>
    <row r="8839" spans="2:7" hidden="1">
      <c r="B8839" s="140"/>
      <c r="C8839" s="140"/>
      <c r="D8839" s="140"/>
      <c r="E8839" s="142"/>
      <c r="F8839" s="142"/>
      <c r="G8839" s="140"/>
    </row>
    <row r="8840" spans="2:7" hidden="1">
      <c r="B8840" s="140"/>
      <c r="C8840" s="140"/>
      <c r="D8840" s="140"/>
      <c r="E8840" s="142"/>
      <c r="F8840" s="142"/>
      <c r="G8840" s="140"/>
    </row>
    <row r="8841" spans="2:7" hidden="1">
      <c r="B8841" s="140"/>
      <c r="C8841" s="140"/>
      <c r="D8841" s="140"/>
      <c r="E8841" s="142"/>
      <c r="F8841" s="142"/>
      <c r="G8841" s="140"/>
    </row>
    <row r="8842" spans="2:7" hidden="1">
      <c r="B8842" s="140"/>
      <c r="C8842" s="140"/>
      <c r="D8842" s="140"/>
      <c r="E8842" s="142"/>
      <c r="F8842" s="142"/>
      <c r="G8842" s="140"/>
    </row>
    <row r="8843" spans="2:7" hidden="1">
      <c r="B8843" s="140"/>
      <c r="C8843" s="140"/>
      <c r="D8843" s="140"/>
      <c r="E8843" s="142"/>
      <c r="F8843" s="142"/>
      <c r="G8843" s="140"/>
    </row>
    <row r="8844" spans="2:7" hidden="1">
      <c r="B8844" s="140"/>
      <c r="C8844" s="140"/>
      <c r="D8844" s="140"/>
      <c r="E8844" s="142"/>
      <c r="F8844" s="142"/>
      <c r="G8844" s="140"/>
    </row>
    <row r="8845" spans="2:7" hidden="1">
      <c r="B8845" s="140"/>
      <c r="C8845" s="140"/>
      <c r="D8845" s="140"/>
      <c r="E8845" s="142"/>
      <c r="F8845" s="142"/>
      <c r="G8845" s="140"/>
    </row>
    <row r="8846" spans="2:7" hidden="1">
      <c r="B8846" s="140"/>
      <c r="C8846" s="140"/>
      <c r="D8846" s="140"/>
      <c r="E8846" s="142"/>
      <c r="F8846" s="142"/>
      <c r="G8846" s="140"/>
    </row>
    <row r="8847" spans="2:7" hidden="1">
      <c r="B8847" s="140"/>
      <c r="C8847" s="140"/>
      <c r="D8847" s="140"/>
      <c r="E8847" s="142"/>
      <c r="F8847" s="142"/>
      <c r="G8847" s="140"/>
    </row>
    <row r="8848" spans="2:7" hidden="1">
      <c r="B8848" s="140"/>
      <c r="C8848" s="140"/>
      <c r="D8848" s="140"/>
      <c r="E8848" s="142"/>
      <c r="F8848" s="142"/>
      <c r="G8848" s="140"/>
    </row>
    <row r="8849" spans="2:7" hidden="1">
      <c r="B8849" s="140"/>
      <c r="C8849" s="140"/>
      <c r="D8849" s="140"/>
      <c r="E8849" s="142"/>
      <c r="F8849" s="142"/>
      <c r="G8849" s="140"/>
    </row>
    <row r="8850" spans="2:7" hidden="1">
      <c r="B8850" s="140"/>
      <c r="C8850" s="140"/>
      <c r="D8850" s="140"/>
      <c r="E8850" s="142"/>
      <c r="F8850" s="142"/>
      <c r="G8850" s="140"/>
    </row>
    <row r="8851" spans="2:7" hidden="1">
      <c r="B8851" s="140"/>
      <c r="C8851" s="140"/>
      <c r="D8851" s="140"/>
      <c r="E8851" s="142"/>
      <c r="F8851" s="142"/>
      <c r="G8851" s="140"/>
    </row>
    <row r="8852" spans="2:7" hidden="1">
      <c r="B8852" s="140"/>
      <c r="C8852" s="140"/>
      <c r="D8852" s="140"/>
      <c r="E8852" s="142"/>
      <c r="F8852" s="142"/>
      <c r="G8852" s="140"/>
    </row>
    <row r="8853" spans="2:7" hidden="1">
      <c r="B8853" s="140"/>
      <c r="C8853" s="140"/>
      <c r="D8853" s="140"/>
      <c r="E8853" s="142"/>
      <c r="F8853" s="142"/>
      <c r="G8853" s="140"/>
    </row>
    <row r="8854" spans="2:7" hidden="1">
      <c r="B8854" s="140"/>
      <c r="C8854" s="140"/>
      <c r="D8854" s="140"/>
      <c r="E8854" s="142"/>
      <c r="F8854" s="142"/>
      <c r="G8854" s="140"/>
    </row>
    <row r="8855" spans="2:7" hidden="1">
      <c r="B8855" s="140"/>
      <c r="C8855" s="140"/>
      <c r="D8855" s="140"/>
      <c r="E8855" s="142"/>
      <c r="F8855" s="142"/>
      <c r="G8855" s="140"/>
    </row>
    <row r="8856" spans="2:7" hidden="1">
      <c r="B8856" s="140"/>
      <c r="C8856" s="140"/>
      <c r="D8856" s="140"/>
      <c r="E8856" s="142"/>
      <c r="F8856" s="142"/>
      <c r="G8856" s="140"/>
    </row>
    <row r="8857" spans="2:7" hidden="1">
      <c r="B8857" s="140"/>
      <c r="C8857" s="140"/>
      <c r="D8857" s="140"/>
      <c r="E8857" s="142"/>
      <c r="F8857" s="142"/>
      <c r="G8857" s="140"/>
    </row>
    <row r="8858" spans="2:7" hidden="1">
      <c r="B8858" s="140"/>
      <c r="C8858" s="140"/>
      <c r="D8858" s="140"/>
      <c r="E8858" s="142"/>
      <c r="F8858" s="142"/>
      <c r="G8858" s="140"/>
    </row>
    <row r="8859" spans="2:7" hidden="1">
      <c r="B8859" s="140"/>
      <c r="C8859" s="140"/>
      <c r="D8859" s="140"/>
      <c r="E8859" s="142"/>
      <c r="F8859" s="142"/>
      <c r="G8859" s="140"/>
    </row>
    <row r="8860" spans="2:7" hidden="1">
      <c r="B8860" s="140"/>
      <c r="C8860" s="140"/>
      <c r="D8860" s="140"/>
      <c r="E8860" s="142"/>
      <c r="F8860" s="142"/>
      <c r="G8860" s="140"/>
    </row>
    <row r="8861" spans="2:7" hidden="1">
      <c r="B8861" s="140"/>
      <c r="C8861" s="140"/>
      <c r="D8861" s="140"/>
      <c r="E8861" s="142"/>
      <c r="F8861" s="142"/>
      <c r="G8861" s="140"/>
    </row>
    <row r="8862" spans="2:7" hidden="1">
      <c r="B8862" s="140"/>
      <c r="C8862" s="140"/>
      <c r="D8862" s="140"/>
      <c r="E8862" s="142"/>
      <c r="F8862" s="142"/>
      <c r="G8862" s="140"/>
    </row>
    <row r="8863" spans="2:7" hidden="1">
      <c r="B8863" s="140"/>
      <c r="C8863" s="140"/>
      <c r="D8863" s="140"/>
      <c r="E8863" s="142"/>
      <c r="F8863" s="142"/>
      <c r="G8863" s="140"/>
    </row>
    <row r="8864" spans="2:7" hidden="1">
      <c r="B8864" s="140"/>
      <c r="C8864" s="140"/>
      <c r="D8864" s="140"/>
      <c r="E8864" s="142"/>
      <c r="F8864" s="142"/>
      <c r="G8864" s="140"/>
    </row>
    <row r="8865" spans="2:7" hidden="1">
      <c r="B8865" s="140"/>
      <c r="C8865" s="140"/>
      <c r="D8865" s="140"/>
      <c r="E8865" s="142"/>
      <c r="F8865" s="142"/>
      <c r="G8865" s="140"/>
    </row>
    <row r="8866" spans="2:7" hidden="1">
      <c r="B8866" s="140"/>
      <c r="C8866" s="140"/>
      <c r="D8866" s="140"/>
      <c r="E8866" s="142"/>
      <c r="F8866" s="142"/>
      <c r="G8866" s="140"/>
    </row>
    <row r="8867" spans="2:7" hidden="1">
      <c r="B8867" s="140"/>
      <c r="C8867" s="140"/>
      <c r="D8867" s="140"/>
      <c r="E8867" s="142"/>
      <c r="F8867" s="142"/>
      <c r="G8867" s="140"/>
    </row>
    <row r="8868" spans="2:7" hidden="1">
      <c r="B8868" s="140"/>
      <c r="C8868" s="140"/>
      <c r="D8868" s="140"/>
      <c r="E8868" s="142"/>
      <c r="F8868" s="142"/>
      <c r="G8868" s="140"/>
    </row>
    <row r="8869" spans="2:7" hidden="1">
      <c r="B8869" s="140"/>
      <c r="C8869" s="140"/>
      <c r="D8869" s="140"/>
      <c r="E8869" s="142"/>
      <c r="F8869" s="142"/>
      <c r="G8869" s="140"/>
    </row>
    <row r="8870" spans="2:7" hidden="1">
      <c r="B8870" s="140"/>
      <c r="C8870" s="140"/>
      <c r="D8870" s="140"/>
      <c r="E8870" s="142"/>
      <c r="F8870" s="142"/>
      <c r="G8870" s="140"/>
    </row>
    <row r="8871" spans="2:7" hidden="1">
      <c r="B8871" s="140"/>
      <c r="C8871" s="140"/>
      <c r="D8871" s="140"/>
      <c r="E8871" s="142"/>
      <c r="F8871" s="142"/>
      <c r="G8871" s="140"/>
    </row>
    <row r="8872" spans="2:7" hidden="1">
      <c r="B8872" s="140"/>
      <c r="C8872" s="140"/>
      <c r="D8872" s="140"/>
      <c r="E8872" s="142"/>
      <c r="F8872" s="142"/>
      <c r="G8872" s="140"/>
    </row>
    <row r="8873" spans="2:7" hidden="1">
      <c r="B8873" s="140"/>
      <c r="C8873" s="140"/>
      <c r="D8873" s="140"/>
      <c r="E8873" s="142"/>
      <c r="F8873" s="142"/>
      <c r="G8873" s="140"/>
    </row>
    <row r="8874" spans="2:7" hidden="1">
      <c r="B8874" s="140"/>
      <c r="C8874" s="140"/>
      <c r="D8874" s="140"/>
      <c r="E8874" s="142"/>
      <c r="F8874" s="142"/>
      <c r="G8874" s="140"/>
    </row>
    <row r="8875" spans="2:7" hidden="1">
      <c r="B8875" s="140"/>
      <c r="C8875" s="140"/>
      <c r="D8875" s="140"/>
      <c r="E8875" s="142"/>
      <c r="F8875" s="142"/>
      <c r="G8875" s="140"/>
    </row>
    <row r="8876" spans="2:7" hidden="1">
      <c r="B8876" s="140"/>
      <c r="C8876" s="140"/>
      <c r="D8876" s="140"/>
      <c r="E8876" s="142"/>
      <c r="F8876" s="142"/>
      <c r="G8876" s="140"/>
    </row>
    <row r="8877" spans="2:7" hidden="1">
      <c r="B8877" s="140"/>
      <c r="C8877" s="140"/>
      <c r="D8877" s="140"/>
      <c r="E8877" s="142"/>
      <c r="F8877" s="142"/>
      <c r="G8877" s="140"/>
    </row>
    <row r="8878" spans="2:7" hidden="1">
      <c r="B8878" s="140"/>
      <c r="C8878" s="140"/>
      <c r="D8878" s="140"/>
      <c r="E8878" s="142"/>
      <c r="F8878" s="142"/>
      <c r="G8878" s="140"/>
    </row>
    <row r="8879" spans="2:7" hidden="1">
      <c r="B8879" s="140"/>
      <c r="C8879" s="140"/>
      <c r="D8879" s="140"/>
      <c r="E8879" s="142"/>
      <c r="F8879" s="142"/>
      <c r="G8879" s="140"/>
    </row>
    <row r="8880" spans="2:7" hidden="1">
      <c r="B8880" s="140"/>
      <c r="C8880" s="140"/>
      <c r="D8880" s="140"/>
      <c r="E8880" s="142"/>
      <c r="F8880" s="142"/>
      <c r="G8880" s="140"/>
    </row>
    <row r="8881" spans="2:7" hidden="1">
      <c r="B8881" s="140"/>
      <c r="C8881" s="140"/>
      <c r="D8881" s="140"/>
      <c r="E8881" s="142"/>
      <c r="F8881" s="142"/>
      <c r="G8881" s="140"/>
    </row>
    <row r="8882" spans="2:7" hidden="1">
      <c r="B8882" s="140"/>
      <c r="C8882" s="140"/>
      <c r="D8882" s="140"/>
      <c r="E8882" s="142"/>
      <c r="F8882" s="142"/>
      <c r="G8882" s="140"/>
    </row>
    <row r="8883" spans="2:7" hidden="1">
      <c r="B8883" s="140"/>
      <c r="C8883" s="140"/>
      <c r="D8883" s="140"/>
      <c r="E8883" s="142"/>
      <c r="F8883" s="142"/>
      <c r="G8883" s="140"/>
    </row>
    <row r="8884" spans="2:7" hidden="1">
      <c r="B8884" s="140"/>
      <c r="C8884" s="140"/>
      <c r="D8884" s="140"/>
      <c r="E8884" s="142"/>
      <c r="F8884" s="142"/>
      <c r="G8884" s="140"/>
    </row>
    <row r="8885" spans="2:7" hidden="1">
      <c r="B8885" s="140"/>
      <c r="C8885" s="140"/>
      <c r="D8885" s="140"/>
      <c r="E8885" s="142"/>
      <c r="F8885" s="142"/>
      <c r="G8885" s="140"/>
    </row>
    <row r="8886" spans="2:7" hidden="1">
      <c r="B8886" s="140"/>
      <c r="C8886" s="140"/>
      <c r="D8886" s="140"/>
      <c r="E8886" s="142"/>
      <c r="F8886" s="142"/>
      <c r="G8886" s="140"/>
    </row>
    <row r="8887" spans="2:7" hidden="1">
      <c r="B8887" s="140"/>
      <c r="C8887" s="140"/>
      <c r="D8887" s="140"/>
      <c r="E8887" s="142"/>
      <c r="F8887" s="142"/>
      <c r="G8887" s="140"/>
    </row>
    <row r="8888" spans="2:7" hidden="1">
      <c r="B8888" s="140"/>
      <c r="C8888" s="140"/>
      <c r="D8888" s="140"/>
      <c r="E8888" s="142"/>
      <c r="F8888" s="142"/>
      <c r="G8888" s="140"/>
    </row>
    <row r="8889" spans="2:7" hidden="1">
      <c r="B8889" s="140"/>
      <c r="C8889" s="140"/>
      <c r="D8889" s="140"/>
      <c r="E8889" s="142"/>
      <c r="F8889" s="142"/>
      <c r="G8889" s="140"/>
    </row>
    <row r="8890" spans="2:7" hidden="1">
      <c r="B8890" s="140"/>
      <c r="C8890" s="140"/>
      <c r="D8890" s="140"/>
      <c r="E8890" s="142"/>
      <c r="F8890" s="142"/>
      <c r="G8890" s="140"/>
    </row>
    <row r="8891" spans="2:7" hidden="1">
      <c r="B8891" s="140"/>
      <c r="C8891" s="140"/>
      <c r="D8891" s="140"/>
      <c r="E8891" s="142"/>
      <c r="F8891" s="142"/>
      <c r="G8891" s="140"/>
    </row>
    <row r="8892" spans="2:7" hidden="1">
      <c r="B8892" s="140"/>
      <c r="C8892" s="140"/>
      <c r="D8892" s="140"/>
      <c r="E8892" s="142"/>
      <c r="F8892" s="142"/>
      <c r="G8892" s="140"/>
    </row>
    <row r="8893" spans="2:7" hidden="1">
      <c r="B8893" s="140"/>
      <c r="C8893" s="140"/>
      <c r="D8893" s="140"/>
      <c r="E8893" s="142"/>
      <c r="F8893" s="142"/>
      <c r="G8893" s="140"/>
    </row>
    <row r="8894" spans="2:7" hidden="1">
      <c r="B8894" s="140"/>
      <c r="C8894" s="140"/>
      <c r="D8894" s="140"/>
      <c r="E8894" s="142"/>
      <c r="F8894" s="142"/>
      <c r="G8894" s="140"/>
    </row>
    <row r="8895" spans="2:7" hidden="1">
      <c r="B8895" s="140"/>
      <c r="C8895" s="140"/>
      <c r="D8895" s="140"/>
      <c r="E8895" s="142"/>
      <c r="F8895" s="142"/>
      <c r="G8895" s="140"/>
    </row>
    <row r="8896" spans="2:7" hidden="1">
      <c r="B8896" s="140"/>
      <c r="C8896" s="140"/>
      <c r="D8896" s="140"/>
      <c r="E8896" s="142"/>
      <c r="F8896" s="142"/>
      <c r="G8896" s="140"/>
    </row>
    <row r="8897" spans="2:7" hidden="1">
      <c r="B8897" s="140"/>
      <c r="C8897" s="140"/>
      <c r="D8897" s="140"/>
      <c r="E8897" s="142"/>
      <c r="F8897" s="142"/>
      <c r="G8897" s="140"/>
    </row>
    <row r="8898" spans="2:7" hidden="1">
      <c r="B8898" s="140"/>
      <c r="C8898" s="140"/>
      <c r="D8898" s="140"/>
      <c r="E8898" s="142"/>
      <c r="F8898" s="142"/>
      <c r="G8898" s="140"/>
    </row>
    <row r="8899" spans="2:7" hidden="1">
      <c r="B8899" s="140"/>
      <c r="C8899" s="140"/>
      <c r="D8899" s="140"/>
      <c r="E8899" s="142"/>
      <c r="F8899" s="142"/>
      <c r="G8899" s="140"/>
    </row>
    <row r="8900" spans="2:7" hidden="1">
      <c r="B8900" s="140"/>
      <c r="C8900" s="140"/>
      <c r="D8900" s="140"/>
      <c r="E8900" s="142"/>
      <c r="F8900" s="142"/>
      <c r="G8900" s="140"/>
    </row>
    <row r="8901" spans="2:7" hidden="1">
      <c r="B8901" s="140"/>
      <c r="C8901" s="140"/>
      <c r="D8901" s="140"/>
      <c r="E8901" s="142"/>
      <c r="F8901" s="142"/>
      <c r="G8901" s="140"/>
    </row>
    <row r="8902" spans="2:7" hidden="1">
      <c r="B8902" s="140"/>
      <c r="C8902" s="140"/>
      <c r="D8902" s="140"/>
      <c r="E8902" s="142"/>
      <c r="F8902" s="142"/>
      <c r="G8902" s="140"/>
    </row>
    <row r="8903" spans="2:7" hidden="1">
      <c r="B8903" s="140"/>
      <c r="C8903" s="140"/>
      <c r="D8903" s="140"/>
      <c r="E8903" s="142"/>
      <c r="F8903" s="142"/>
      <c r="G8903" s="140"/>
    </row>
    <row r="8904" spans="2:7" hidden="1">
      <c r="B8904" s="140"/>
      <c r="C8904" s="140"/>
      <c r="D8904" s="140"/>
      <c r="E8904" s="142"/>
      <c r="F8904" s="142"/>
      <c r="G8904" s="140"/>
    </row>
    <row r="8905" spans="2:7" hidden="1">
      <c r="B8905" s="140"/>
      <c r="C8905" s="140"/>
      <c r="D8905" s="140"/>
      <c r="E8905" s="142"/>
      <c r="F8905" s="142"/>
      <c r="G8905" s="140"/>
    </row>
    <row r="8906" spans="2:7" hidden="1">
      <c r="B8906" s="140"/>
      <c r="C8906" s="140"/>
      <c r="D8906" s="140"/>
      <c r="E8906" s="142"/>
      <c r="F8906" s="142"/>
      <c r="G8906" s="140"/>
    </row>
    <row r="8907" spans="2:7" hidden="1">
      <c r="B8907" s="140"/>
      <c r="C8907" s="140"/>
      <c r="D8907" s="140"/>
      <c r="E8907" s="142"/>
      <c r="F8907" s="142"/>
      <c r="G8907" s="140"/>
    </row>
    <row r="8908" spans="2:7" hidden="1">
      <c r="B8908" s="140"/>
      <c r="C8908" s="140"/>
      <c r="D8908" s="140"/>
      <c r="E8908" s="142"/>
      <c r="F8908" s="142"/>
      <c r="G8908" s="140"/>
    </row>
    <row r="8909" spans="2:7" hidden="1">
      <c r="B8909" s="140"/>
      <c r="C8909" s="140"/>
      <c r="D8909" s="140"/>
      <c r="E8909" s="142"/>
      <c r="F8909" s="142"/>
      <c r="G8909" s="140"/>
    </row>
    <row r="8910" spans="2:7" hidden="1">
      <c r="B8910" s="140"/>
      <c r="C8910" s="140"/>
      <c r="D8910" s="140"/>
      <c r="E8910" s="142"/>
      <c r="F8910" s="142"/>
      <c r="G8910" s="140"/>
    </row>
    <row r="8911" spans="2:7" hidden="1">
      <c r="B8911" s="140"/>
      <c r="C8911" s="140"/>
      <c r="D8911" s="140"/>
      <c r="E8911" s="142"/>
      <c r="F8911" s="142"/>
      <c r="G8911" s="140"/>
    </row>
    <row r="8912" spans="2:7" hidden="1">
      <c r="B8912" s="140"/>
      <c r="C8912" s="140"/>
      <c r="D8912" s="140"/>
      <c r="E8912" s="142"/>
      <c r="F8912" s="142"/>
      <c r="G8912" s="140"/>
    </row>
    <row r="8913" spans="2:7" hidden="1">
      <c r="B8913" s="140"/>
      <c r="C8913" s="140"/>
      <c r="D8913" s="140"/>
      <c r="E8913" s="142"/>
      <c r="F8913" s="142"/>
      <c r="G8913" s="140"/>
    </row>
    <row r="8914" spans="2:7" hidden="1">
      <c r="B8914" s="140"/>
      <c r="C8914" s="140"/>
      <c r="D8914" s="140"/>
      <c r="E8914" s="142"/>
      <c r="F8914" s="142"/>
      <c r="G8914" s="140"/>
    </row>
    <row r="8915" spans="2:7" hidden="1">
      <c r="B8915" s="140"/>
      <c r="C8915" s="140"/>
      <c r="D8915" s="140"/>
      <c r="E8915" s="142"/>
      <c r="F8915" s="142"/>
      <c r="G8915" s="140"/>
    </row>
    <row r="8916" spans="2:7" hidden="1">
      <c r="B8916" s="140"/>
      <c r="C8916" s="140"/>
      <c r="D8916" s="140"/>
      <c r="E8916" s="142"/>
      <c r="F8916" s="142"/>
      <c r="G8916" s="140"/>
    </row>
    <row r="8917" spans="2:7" hidden="1">
      <c r="B8917" s="140"/>
      <c r="C8917" s="140"/>
      <c r="D8917" s="140"/>
      <c r="E8917" s="142"/>
      <c r="F8917" s="142"/>
      <c r="G8917" s="140"/>
    </row>
    <row r="8918" spans="2:7" hidden="1">
      <c r="B8918" s="140"/>
      <c r="C8918" s="140"/>
      <c r="D8918" s="140"/>
      <c r="E8918" s="142"/>
      <c r="F8918" s="142"/>
      <c r="G8918" s="140"/>
    </row>
    <row r="8919" spans="2:7" hidden="1">
      <c r="B8919" s="140"/>
      <c r="C8919" s="140"/>
      <c r="D8919" s="140"/>
      <c r="E8919" s="142"/>
      <c r="F8919" s="142"/>
      <c r="G8919" s="140"/>
    </row>
    <row r="8920" spans="2:7" hidden="1">
      <c r="B8920" s="140"/>
      <c r="C8920" s="140"/>
      <c r="D8920" s="140"/>
      <c r="E8920" s="142"/>
      <c r="F8920" s="142"/>
      <c r="G8920" s="140"/>
    </row>
    <row r="8921" spans="2:7" hidden="1">
      <c r="B8921" s="140"/>
      <c r="C8921" s="140"/>
      <c r="D8921" s="140"/>
      <c r="E8921" s="142"/>
      <c r="F8921" s="142"/>
      <c r="G8921" s="140"/>
    </row>
    <row r="8922" spans="2:7" hidden="1">
      <c r="B8922" s="140"/>
      <c r="C8922" s="140"/>
      <c r="D8922" s="140"/>
      <c r="E8922" s="142"/>
      <c r="F8922" s="142"/>
      <c r="G8922" s="140"/>
    </row>
    <row r="8923" spans="2:7" hidden="1">
      <c r="B8923" s="140"/>
      <c r="C8923" s="140"/>
      <c r="D8923" s="140"/>
      <c r="E8923" s="142"/>
      <c r="F8923" s="142"/>
      <c r="G8923" s="140"/>
    </row>
    <row r="8924" spans="2:7" hidden="1">
      <c r="B8924" s="140"/>
      <c r="C8924" s="140"/>
      <c r="D8924" s="140"/>
      <c r="E8924" s="142"/>
      <c r="F8924" s="142"/>
      <c r="G8924" s="140"/>
    </row>
    <row r="8925" spans="2:7" hidden="1">
      <c r="B8925" s="140"/>
      <c r="C8925" s="140"/>
      <c r="D8925" s="140"/>
      <c r="E8925" s="142"/>
      <c r="F8925" s="142"/>
      <c r="G8925" s="140"/>
    </row>
    <row r="8926" spans="2:7" hidden="1">
      <c r="B8926" s="140"/>
      <c r="C8926" s="140"/>
      <c r="D8926" s="140"/>
      <c r="E8926" s="142"/>
      <c r="F8926" s="142"/>
      <c r="G8926" s="140"/>
    </row>
    <row r="8927" spans="2:7" hidden="1">
      <c r="B8927" s="140"/>
      <c r="C8927" s="140"/>
      <c r="D8927" s="140"/>
      <c r="E8927" s="142"/>
      <c r="F8927" s="142"/>
      <c r="G8927" s="140"/>
    </row>
    <row r="8928" spans="2:7" hidden="1">
      <c r="B8928" s="140"/>
      <c r="C8928" s="140"/>
      <c r="D8928" s="140"/>
      <c r="E8928" s="142"/>
      <c r="F8928" s="142"/>
      <c r="G8928" s="140"/>
    </row>
    <row r="8929" spans="2:7" hidden="1">
      <c r="B8929" s="140"/>
      <c r="C8929" s="140"/>
      <c r="D8929" s="140"/>
      <c r="E8929" s="142"/>
      <c r="F8929" s="142"/>
      <c r="G8929" s="140"/>
    </row>
    <row r="8930" spans="2:7" hidden="1">
      <c r="B8930" s="140"/>
      <c r="C8930" s="140"/>
      <c r="D8930" s="140"/>
      <c r="E8930" s="142"/>
      <c r="F8930" s="142"/>
      <c r="G8930" s="140"/>
    </row>
    <row r="8931" spans="2:7" hidden="1">
      <c r="B8931" s="140"/>
      <c r="C8931" s="140"/>
      <c r="D8931" s="140"/>
      <c r="E8931" s="142"/>
      <c r="F8931" s="142"/>
      <c r="G8931" s="140"/>
    </row>
    <row r="8932" spans="2:7" hidden="1">
      <c r="B8932" s="140"/>
      <c r="C8932" s="140"/>
      <c r="D8932" s="140"/>
      <c r="E8932" s="142"/>
      <c r="F8932" s="142"/>
      <c r="G8932" s="140"/>
    </row>
    <row r="8933" spans="2:7" hidden="1">
      <c r="B8933" s="140"/>
      <c r="C8933" s="140"/>
      <c r="D8933" s="140"/>
      <c r="E8933" s="142"/>
      <c r="F8933" s="142"/>
      <c r="G8933" s="140"/>
    </row>
    <row r="8934" spans="2:7" hidden="1">
      <c r="B8934" s="140"/>
      <c r="C8934" s="140"/>
      <c r="D8934" s="140"/>
      <c r="E8934" s="142"/>
      <c r="F8934" s="142"/>
      <c r="G8934" s="140"/>
    </row>
    <row r="8935" spans="2:7" hidden="1">
      <c r="B8935" s="140"/>
      <c r="C8935" s="140"/>
      <c r="D8935" s="140"/>
      <c r="E8935" s="142"/>
      <c r="F8935" s="142"/>
      <c r="G8935" s="140"/>
    </row>
    <row r="8936" spans="2:7" hidden="1">
      <c r="B8936" s="140"/>
      <c r="C8936" s="140"/>
      <c r="D8936" s="140"/>
      <c r="E8936" s="142"/>
      <c r="F8936" s="142"/>
      <c r="G8936" s="140"/>
    </row>
    <row r="8937" spans="2:7" hidden="1">
      <c r="B8937" s="140"/>
      <c r="C8937" s="140"/>
      <c r="D8937" s="140"/>
      <c r="E8937" s="142"/>
      <c r="F8937" s="142"/>
      <c r="G8937" s="140"/>
    </row>
    <row r="8938" spans="2:7" hidden="1">
      <c r="B8938" s="140"/>
      <c r="C8938" s="140"/>
      <c r="D8938" s="140"/>
      <c r="E8938" s="142"/>
      <c r="F8938" s="142"/>
      <c r="G8938" s="140"/>
    </row>
    <row r="8939" spans="2:7" hidden="1">
      <c r="B8939" s="140"/>
      <c r="C8939" s="140"/>
      <c r="D8939" s="140"/>
      <c r="E8939" s="142"/>
      <c r="F8939" s="142"/>
      <c r="G8939" s="140"/>
    </row>
    <row r="8940" spans="2:7" hidden="1">
      <c r="B8940" s="140"/>
      <c r="C8940" s="140"/>
      <c r="D8940" s="140"/>
      <c r="E8940" s="142"/>
      <c r="F8940" s="142"/>
      <c r="G8940" s="140"/>
    </row>
    <row r="8941" spans="2:7" hidden="1">
      <c r="B8941" s="140"/>
      <c r="C8941" s="140"/>
      <c r="D8941" s="140"/>
      <c r="E8941" s="142"/>
      <c r="F8941" s="142"/>
      <c r="G8941" s="140"/>
    </row>
    <row r="8942" spans="2:7" hidden="1">
      <c r="B8942" s="140"/>
      <c r="C8942" s="140"/>
      <c r="D8942" s="140"/>
      <c r="E8942" s="142"/>
      <c r="F8942" s="142"/>
      <c r="G8942" s="140"/>
    </row>
    <row r="8943" spans="2:7" hidden="1">
      <c r="B8943" s="140"/>
      <c r="C8943" s="140"/>
      <c r="D8943" s="140"/>
      <c r="E8943" s="142"/>
      <c r="F8943" s="142"/>
      <c r="G8943" s="140"/>
    </row>
    <row r="8944" spans="2:7" hidden="1">
      <c r="B8944" s="140"/>
      <c r="C8944" s="140"/>
      <c r="D8944" s="140"/>
      <c r="E8944" s="142"/>
      <c r="F8944" s="142"/>
      <c r="G8944" s="140"/>
    </row>
    <row r="8945" spans="2:7" hidden="1">
      <c r="B8945" s="140"/>
      <c r="C8945" s="140"/>
      <c r="D8945" s="140"/>
      <c r="E8945" s="142"/>
      <c r="F8945" s="142"/>
      <c r="G8945" s="140"/>
    </row>
    <row r="8946" spans="2:7" hidden="1">
      <c r="B8946" s="140"/>
      <c r="C8946" s="140"/>
      <c r="D8946" s="140"/>
      <c r="E8946" s="142"/>
      <c r="F8946" s="142"/>
      <c r="G8946" s="140"/>
    </row>
    <row r="8947" spans="2:7" hidden="1">
      <c r="B8947" s="140"/>
      <c r="C8947" s="140"/>
      <c r="D8947" s="140"/>
      <c r="E8947" s="142"/>
      <c r="F8947" s="142"/>
      <c r="G8947" s="140"/>
    </row>
    <row r="8948" spans="2:7" hidden="1">
      <c r="B8948" s="140"/>
      <c r="C8948" s="140"/>
      <c r="D8948" s="140"/>
      <c r="E8948" s="142"/>
      <c r="F8948" s="142"/>
      <c r="G8948" s="140"/>
    </row>
    <row r="8949" spans="2:7" hidden="1">
      <c r="B8949" s="140"/>
      <c r="C8949" s="140"/>
      <c r="D8949" s="140"/>
      <c r="E8949" s="142"/>
      <c r="F8949" s="142"/>
      <c r="G8949" s="140"/>
    </row>
    <row r="8950" spans="2:7" hidden="1">
      <c r="B8950" s="140"/>
      <c r="C8950" s="140"/>
      <c r="D8950" s="140"/>
      <c r="E8950" s="142"/>
      <c r="F8950" s="142"/>
      <c r="G8950" s="140"/>
    </row>
    <row r="8951" spans="2:7" hidden="1">
      <c r="B8951" s="140"/>
      <c r="C8951" s="140"/>
      <c r="D8951" s="140"/>
      <c r="E8951" s="142"/>
      <c r="F8951" s="142"/>
      <c r="G8951" s="140"/>
    </row>
    <row r="8952" spans="2:7" hidden="1">
      <c r="B8952" s="140"/>
      <c r="C8952" s="140"/>
      <c r="D8952" s="140"/>
      <c r="E8952" s="142"/>
      <c r="F8952" s="142"/>
      <c r="G8952" s="140"/>
    </row>
    <row r="8953" spans="2:7" hidden="1">
      <c r="B8953" s="140"/>
      <c r="C8953" s="140"/>
      <c r="D8953" s="140"/>
      <c r="E8953" s="142"/>
      <c r="F8953" s="142"/>
      <c r="G8953" s="140"/>
    </row>
    <row r="8954" spans="2:7" hidden="1">
      <c r="B8954" s="140"/>
      <c r="C8954" s="140"/>
      <c r="D8954" s="140"/>
      <c r="E8954" s="142"/>
      <c r="F8954" s="142"/>
      <c r="G8954" s="140"/>
    </row>
    <row r="8955" spans="2:7" hidden="1">
      <c r="B8955" s="140"/>
      <c r="C8955" s="140"/>
      <c r="D8955" s="140"/>
      <c r="E8955" s="142"/>
      <c r="F8955" s="142"/>
      <c r="G8955" s="140"/>
    </row>
    <row r="8956" spans="2:7" hidden="1">
      <c r="B8956" s="140"/>
      <c r="C8956" s="140"/>
      <c r="D8956" s="140"/>
      <c r="E8956" s="142"/>
      <c r="F8956" s="142"/>
      <c r="G8956" s="140"/>
    </row>
    <row r="8957" spans="2:7" hidden="1">
      <c r="B8957" s="140"/>
      <c r="C8957" s="140"/>
      <c r="D8957" s="140"/>
      <c r="E8957" s="142"/>
      <c r="F8957" s="142"/>
      <c r="G8957" s="140"/>
    </row>
    <row r="8958" spans="2:7" hidden="1">
      <c r="B8958" s="140"/>
      <c r="C8958" s="140"/>
      <c r="D8958" s="140"/>
      <c r="E8958" s="142"/>
      <c r="F8958" s="142"/>
      <c r="G8958" s="140"/>
    </row>
    <row r="8959" spans="2:7" hidden="1">
      <c r="B8959" s="140"/>
      <c r="C8959" s="140"/>
      <c r="D8959" s="140"/>
      <c r="E8959" s="142"/>
      <c r="F8959" s="142"/>
      <c r="G8959" s="140"/>
    </row>
    <row r="8960" spans="2:7" hidden="1">
      <c r="B8960" s="140"/>
      <c r="C8960" s="140"/>
      <c r="D8960" s="140"/>
      <c r="E8960" s="142"/>
      <c r="F8960" s="142"/>
      <c r="G8960" s="140"/>
    </row>
    <row r="8961" spans="2:7" hidden="1">
      <c r="B8961" s="140"/>
      <c r="C8961" s="140"/>
      <c r="D8961" s="140"/>
      <c r="E8961" s="142"/>
      <c r="F8961" s="142"/>
      <c r="G8961" s="140"/>
    </row>
    <row r="8962" spans="2:7" hidden="1">
      <c r="B8962" s="140"/>
      <c r="C8962" s="140"/>
      <c r="D8962" s="140"/>
      <c r="E8962" s="142"/>
      <c r="F8962" s="142"/>
      <c r="G8962" s="140"/>
    </row>
    <row r="8963" spans="2:7" hidden="1">
      <c r="B8963" s="140"/>
      <c r="C8963" s="140"/>
      <c r="D8963" s="140"/>
      <c r="E8963" s="142"/>
      <c r="F8963" s="142"/>
      <c r="G8963" s="140"/>
    </row>
    <row r="8964" spans="2:7" hidden="1">
      <c r="B8964" s="140"/>
      <c r="C8964" s="140"/>
      <c r="D8964" s="140"/>
      <c r="E8964" s="142"/>
      <c r="F8964" s="142"/>
      <c r="G8964" s="140"/>
    </row>
    <row r="8965" spans="2:7" hidden="1">
      <c r="B8965" s="140"/>
      <c r="C8965" s="140"/>
      <c r="D8965" s="140"/>
      <c r="E8965" s="142"/>
      <c r="F8965" s="142"/>
      <c r="G8965" s="140"/>
    </row>
    <row r="8966" spans="2:7" hidden="1">
      <c r="B8966" s="140"/>
      <c r="C8966" s="140"/>
      <c r="D8966" s="140"/>
      <c r="E8966" s="142"/>
      <c r="F8966" s="142"/>
      <c r="G8966" s="140"/>
    </row>
    <row r="8967" spans="2:7" hidden="1">
      <c r="B8967" s="140"/>
      <c r="C8967" s="140"/>
      <c r="D8967" s="140"/>
      <c r="E8967" s="142"/>
      <c r="F8967" s="142"/>
      <c r="G8967" s="140"/>
    </row>
    <row r="8968" spans="2:7" hidden="1">
      <c r="B8968" s="140"/>
      <c r="C8968" s="140"/>
      <c r="D8968" s="140"/>
      <c r="E8968" s="142"/>
      <c r="F8968" s="142"/>
      <c r="G8968" s="140"/>
    </row>
    <row r="8969" spans="2:7" hidden="1">
      <c r="B8969" s="140"/>
      <c r="C8969" s="140"/>
      <c r="D8969" s="140"/>
      <c r="E8969" s="142"/>
      <c r="F8969" s="142"/>
      <c r="G8969" s="140"/>
    </row>
    <row r="8970" spans="2:7" hidden="1">
      <c r="B8970" s="140"/>
      <c r="C8970" s="140"/>
      <c r="D8970" s="140"/>
      <c r="E8970" s="142"/>
      <c r="F8970" s="142"/>
      <c r="G8970" s="140"/>
    </row>
    <row r="8971" spans="2:7" hidden="1">
      <c r="B8971" s="140"/>
      <c r="C8971" s="140"/>
      <c r="D8971" s="140"/>
      <c r="E8971" s="142"/>
      <c r="F8971" s="142"/>
      <c r="G8971" s="140"/>
    </row>
    <row r="8972" spans="2:7" hidden="1">
      <c r="B8972" s="140"/>
      <c r="C8972" s="140"/>
      <c r="D8972" s="140"/>
      <c r="E8972" s="142"/>
      <c r="F8972" s="142"/>
      <c r="G8972" s="140"/>
    </row>
    <row r="8973" spans="2:7" hidden="1">
      <c r="B8973" s="140"/>
      <c r="C8973" s="140"/>
      <c r="D8973" s="140"/>
      <c r="E8973" s="142"/>
      <c r="F8973" s="142"/>
      <c r="G8973" s="140"/>
    </row>
    <row r="8974" spans="2:7" hidden="1">
      <c r="B8974" s="140"/>
      <c r="C8974" s="140"/>
      <c r="D8974" s="140"/>
      <c r="E8974" s="142"/>
      <c r="F8974" s="142"/>
      <c r="G8974" s="140"/>
    </row>
    <row r="8975" spans="2:7" hidden="1">
      <c r="B8975" s="140"/>
      <c r="C8975" s="140"/>
      <c r="D8975" s="140"/>
      <c r="E8975" s="142"/>
      <c r="F8975" s="142"/>
      <c r="G8975" s="140"/>
    </row>
    <row r="8976" spans="2:7" hidden="1">
      <c r="B8976" s="140"/>
      <c r="C8976" s="140"/>
      <c r="D8976" s="140"/>
      <c r="E8976" s="142"/>
      <c r="F8976" s="142"/>
      <c r="G8976" s="140"/>
    </row>
    <row r="8977" spans="2:7" hidden="1">
      <c r="B8977" s="140"/>
      <c r="C8977" s="140"/>
      <c r="D8977" s="140"/>
      <c r="E8977" s="142"/>
      <c r="F8977" s="142"/>
      <c r="G8977" s="140"/>
    </row>
    <row r="8978" spans="2:7" hidden="1">
      <c r="B8978" s="140"/>
      <c r="C8978" s="140"/>
      <c r="D8978" s="140"/>
      <c r="E8978" s="142"/>
      <c r="F8978" s="142"/>
      <c r="G8978" s="140"/>
    </row>
    <row r="8979" spans="2:7" hidden="1">
      <c r="B8979" s="140"/>
      <c r="C8979" s="140"/>
      <c r="D8979" s="140"/>
      <c r="E8979" s="142"/>
      <c r="F8979" s="142"/>
      <c r="G8979" s="140"/>
    </row>
    <row r="8980" spans="2:7" hidden="1">
      <c r="B8980" s="140"/>
      <c r="C8980" s="140"/>
      <c r="D8980" s="140"/>
      <c r="E8980" s="142"/>
      <c r="F8980" s="142"/>
      <c r="G8980" s="140"/>
    </row>
    <row r="8981" spans="2:7" hidden="1">
      <c r="B8981" s="140"/>
      <c r="C8981" s="140"/>
      <c r="D8981" s="140"/>
      <c r="E8981" s="142"/>
      <c r="F8981" s="142"/>
      <c r="G8981" s="140"/>
    </row>
    <row r="8982" spans="2:7" hidden="1">
      <c r="B8982" s="140"/>
      <c r="C8982" s="140"/>
      <c r="D8982" s="140"/>
      <c r="E8982" s="142"/>
      <c r="F8982" s="142"/>
      <c r="G8982" s="140"/>
    </row>
    <row r="8983" spans="2:7" hidden="1">
      <c r="B8983" s="140"/>
      <c r="C8983" s="140"/>
      <c r="D8983" s="140"/>
      <c r="E8983" s="142"/>
      <c r="F8983" s="142"/>
      <c r="G8983" s="140"/>
    </row>
    <row r="8984" spans="2:7" hidden="1">
      <c r="B8984" s="140"/>
      <c r="C8984" s="140"/>
      <c r="D8984" s="140"/>
      <c r="E8984" s="142"/>
      <c r="F8984" s="142"/>
      <c r="G8984" s="140"/>
    </row>
    <row r="8985" spans="2:7" hidden="1">
      <c r="B8985" s="140"/>
      <c r="C8985" s="140"/>
      <c r="D8985" s="140"/>
      <c r="E8985" s="142"/>
      <c r="F8985" s="142"/>
      <c r="G8985" s="140"/>
    </row>
    <row r="8986" spans="2:7" hidden="1">
      <c r="B8986" s="140"/>
      <c r="C8986" s="140"/>
      <c r="D8986" s="140"/>
      <c r="E8986" s="142"/>
      <c r="F8986" s="142"/>
      <c r="G8986" s="140"/>
    </row>
    <row r="8987" spans="2:7" hidden="1">
      <c r="B8987" s="140"/>
      <c r="C8987" s="140"/>
      <c r="D8987" s="140"/>
      <c r="E8987" s="142"/>
      <c r="F8987" s="142"/>
      <c r="G8987" s="140"/>
    </row>
    <row r="8988" spans="2:7" hidden="1">
      <c r="B8988" s="140"/>
      <c r="C8988" s="140"/>
      <c r="D8988" s="140"/>
      <c r="E8988" s="142"/>
      <c r="F8988" s="142"/>
      <c r="G8988" s="140"/>
    </row>
    <row r="8989" spans="2:7" hidden="1">
      <c r="B8989" s="140"/>
      <c r="C8989" s="140"/>
      <c r="D8989" s="140"/>
      <c r="E8989" s="142"/>
      <c r="F8989" s="142"/>
      <c r="G8989" s="140"/>
    </row>
    <row r="8990" spans="2:7" hidden="1">
      <c r="B8990" s="140"/>
      <c r="C8990" s="140"/>
      <c r="D8990" s="140"/>
      <c r="E8990" s="142"/>
      <c r="F8990" s="142"/>
      <c r="G8990" s="140"/>
    </row>
    <row r="8991" spans="2:7" hidden="1">
      <c r="B8991" s="140"/>
      <c r="C8991" s="140"/>
      <c r="D8991" s="140"/>
      <c r="E8991" s="142"/>
      <c r="F8991" s="142"/>
      <c r="G8991" s="140"/>
    </row>
    <row r="8992" spans="2:7" hidden="1">
      <c r="B8992" s="140"/>
      <c r="C8992" s="140"/>
      <c r="D8992" s="140"/>
      <c r="E8992" s="142"/>
      <c r="F8992" s="142"/>
      <c r="G8992" s="140"/>
    </row>
    <row r="8993" spans="2:7" hidden="1">
      <c r="B8993" s="140"/>
      <c r="C8993" s="140"/>
      <c r="D8993" s="140"/>
      <c r="E8993" s="142"/>
      <c r="F8993" s="142"/>
      <c r="G8993" s="140"/>
    </row>
    <row r="8994" spans="2:7" hidden="1">
      <c r="B8994" s="140"/>
      <c r="C8994" s="140"/>
      <c r="D8994" s="140"/>
      <c r="E8994" s="142"/>
      <c r="F8994" s="142"/>
      <c r="G8994" s="140"/>
    </row>
    <row r="8995" spans="2:7" hidden="1">
      <c r="B8995" s="140"/>
      <c r="C8995" s="140"/>
      <c r="D8995" s="140"/>
      <c r="E8995" s="142"/>
      <c r="F8995" s="142"/>
      <c r="G8995" s="140"/>
    </row>
    <row r="8996" spans="2:7" hidden="1">
      <c r="B8996" s="140"/>
      <c r="C8996" s="140"/>
      <c r="D8996" s="140"/>
      <c r="E8996" s="142"/>
      <c r="F8996" s="142"/>
      <c r="G8996" s="140"/>
    </row>
    <row r="8997" spans="2:7" hidden="1">
      <c r="B8997" s="140"/>
      <c r="C8997" s="140"/>
      <c r="D8997" s="140"/>
      <c r="E8997" s="142"/>
      <c r="F8997" s="142"/>
      <c r="G8997" s="140"/>
    </row>
    <row r="8998" spans="2:7" hidden="1">
      <c r="B8998" s="140"/>
      <c r="C8998" s="140"/>
      <c r="D8998" s="140"/>
      <c r="E8998" s="142"/>
      <c r="F8998" s="142"/>
      <c r="G8998" s="140"/>
    </row>
    <row r="8999" spans="2:7" hidden="1">
      <c r="B8999" s="140"/>
      <c r="C8999" s="140"/>
      <c r="D8999" s="140"/>
      <c r="E8999" s="142"/>
      <c r="F8999" s="142"/>
      <c r="G8999" s="140"/>
    </row>
    <row r="9000" spans="2:7" hidden="1">
      <c r="B9000" s="140"/>
      <c r="C9000" s="140"/>
      <c r="D9000" s="140"/>
      <c r="E9000" s="142"/>
      <c r="F9000" s="142"/>
      <c r="G9000" s="140"/>
    </row>
    <row r="9001" spans="2:7" hidden="1">
      <c r="B9001" s="140"/>
      <c r="C9001" s="140"/>
      <c r="D9001" s="140"/>
      <c r="E9001" s="142"/>
      <c r="F9001" s="142"/>
      <c r="G9001" s="140"/>
    </row>
    <row r="9002" spans="2:7" hidden="1">
      <c r="B9002" s="140"/>
      <c r="C9002" s="140"/>
      <c r="D9002" s="140"/>
      <c r="E9002" s="142"/>
      <c r="F9002" s="142"/>
      <c r="G9002" s="140"/>
    </row>
    <row r="9003" spans="2:7" hidden="1">
      <c r="B9003" s="140"/>
      <c r="C9003" s="140"/>
      <c r="D9003" s="140"/>
      <c r="E9003" s="142"/>
      <c r="F9003" s="142"/>
      <c r="G9003" s="140"/>
    </row>
    <row r="9004" spans="2:7" hidden="1">
      <c r="B9004" s="140"/>
      <c r="C9004" s="140"/>
      <c r="D9004" s="140"/>
      <c r="E9004" s="142"/>
      <c r="F9004" s="142"/>
      <c r="G9004" s="140"/>
    </row>
    <row r="9005" spans="2:7" hidden="1">
      <c r="B9005" s="140"/>
      <c r="C9005" s="140"/>
      <c r="D9005" s="140"/>
      <c r="E9005" s="142"/>
      <c r="F9005" s="142"/>
      <c r="G9005" s="140"/>
    </row>
    <row r="9006" spans="2:7" hidden="1">
      <c r="B9006" s="140"/>
      <c r="C9006" s="140"/>
      <c r="D9006" s="140"/>
      <c r="E9006" s="142"/>
      <c r="F9006" s="142"/>
      <c r="G9006" s="140"/>
    </row>
    <row r="9007" spans="2:7" hidden="1">
      <c r="B9007" s="140"/>
      <c r="C9007" s="140"/>
      <c r="D9007" s="140"/>
      <c r="E9007" s="142"/>
      <c r="F9007" s="142"/>
      <c r="G9007" s="140"/>
    </row>
    <row r="9008" spans="2:7" hidden="1">
      <c r="B9008" s="140"/>
      <c r="C9008" s="140"/>
      <c r="D9008" s="140"/>
      <c r="E9008" s="142"/>
      <c r="F9008" s="142"/>
      <c r="G9008" s="140"/>
    </row>
    <row r="9009" spans="2:7" hidden="1">
      <c r="B9009" s="140"/>
      <c r="C9009" s="140"/>
      <c r="D9009" s="140"/>
      <c r="E9009" s="142"/>
      <c r="F9009" s="142"/>
      <c r="G9009" s="140"/>
    </row>
    <row r="9010" spans="2:7" hidden="1">
      <c r="B9010" s="140"/>
      <c r="C9010" s="140"/>
      <c r="D9010" s="140"/>
      <c r="E9010" s="142"/>
      <c r="F9010" s="142"/>
      <c r="G9010" s="140"/>
    </row>
    <row r="9011" spans="2:7" hidden="1">
      <c r="B9011" s="140"/>
      <c r="C9011" s="140"/>
      <c r="D9011" s="140"/>
      <c r="E9011" s="142"/>
      <c r="F9011" s="142"/>
      <c r="G9011" s="140"/>
    </row>
    <row r="9012" spans="2:7" hidden="1">
      <c r="B9012" s="140"/>
      <c r="C9012" s="140"/>
      <c r="D9012" s="140"/>
      <c r="E9012" s="142"/>
      <c r="F9012" s="142"/>
      <c r="G9012" s="140"/>
    </row>
    <row r="9013" spans="2:7" hidden="1">
      <c r="B9013" s="140"/>
      <c r="C9013" s="140"/>
      <c r="D9013" s="140"/>
      <c r="E9013" s="142"/>
      <c r="F9013" s="142"/>
      <c r="G9013" s="140"/>
    </row>
    <row r="9014" spans="2:7" hidden="1">
      <c r="B9014" s="140"/>
      <c r="C9014" s="140"/>
      <c r="D9014" s="140"/>
      <c r="E9014" s="142"/>
      <c r="F9014" s="142"/>
      <c r="G9014" s="140"/>
    </row>
    <row r="9015" spans="2:7" hidden="1">
      <c r="B9015" s="140"/>
      <c r="C9015" s="140"/>
      <c r="D9015" s="140"/>
      <c r="E9015" s="142"/>
      <c r="F9015" s="142"/>
      <c r="G9015" s="140"/>
    </row>
    <row r="9016" spans="2:7" hidden="1">
      <c r="B9016" s="140"/>
      <c r="C9016" s="140"/>
      <c r="D9016" s="140"/>
      <c r="E9016" s="142"/>
      <c r="F9016" s="142"/>
      <c r="G9016" s="140"/>
    </row>
    <row r="9017" spans="2:7" hidden="1">
      <c r="B9017" s="140"/>
      <c r="C9017" s="140"/>
      <c r="D9017" s="140"/>
      <c r="E9017" s="142"/>
      <c r="F9017" s="142"/>
      <c r="G9017" s="140"/>
    </row>
    <row r="9018" spans="2:7" hidden="1">
      <c r="B9018" s="140"/>
      <c r="C9018" s="140"/>
      <c r="D9018" s="140"/>
      <c r="E9018" s="142"/>
      <c r="F9018" s="142"/>
      <c r="G9018" s="140"/>
    </row>
    <row r="9019" spans="2:7" hidden="1">
      <c r="B9019" s="140"/>
      <c r="C9019" s="140"/>
      <c r="D9019" s="140"/>
      <c r="E9019" s="142"/>
      <c r="F9019" s="142"/>
      <c r="G9019" s="140"/>
    </row>
    <row r="9020" spans="2:7" hidden="1">
      <c r="B9020" s="140"/>
      <c r="C9020" s="140"/>
      <c r="D9020" s="140"/>
      <c r="E9020" s="142"/>
      <c r="F9020" s="142"/>
      <c r="G9020" s="140"/>
    </row>
    <row r="9021" spans="2:7" hidden="1">
      <c r="B9021" s="140"/>
      <c r="C9021" s="140"/>
      <c r="D9021" s="140"/>
      <c r="E9021" s="142"/>
      <c r="F9021" s="142"/>
      <c r="G9021" s="140"/>
    </row>
    <row r="9022" spans="2:7" hidden="1">
      <c r="B9022" s="140"/>
      <c r="C9022" s="140"/>
      <c r="D9022" s="140"/>
      <c r="E9022" s="142"/>
      <c r="F9022" s="142"/>
      <c r="G9022" s="140"/>
    </row>
    <row r="9023" spans="2:7" hidden="1">
      <c r="B9023" s="140"/>
      <c r="C9023" s="140"/>
      <c r="D9023" s="140"/>
      <c r="E9023" s="142"/>
      <c r="F9023" s="142"/>
      <c r="G9023" s="140"/>
    </row>
    <row r="9024" spans="2:7" hidden="1">
      <c r="B9024" s="140"/>
      <c r="C9024" s="140"/>
      <c r="D9024" s="140"/>
      <c r="E9024" s="142"/>
      <c r="F9024" s="142"/>
      <c r="G9024" s="140"/>
    </row>
    <row r="9025" spans="2:7" hidden="1">
      <c r="B9025" s="140"/>
      <c r="C9025" s="140"/>
      <c r="D9025" s="140"/>
      <c r="E9025" s="142"/>
      <c r="F9025" s="142"/>
      <c r="G9025" s="140"/>
    </row>
    <row r="9026" spans="2:7" hidden="1">
      <c r="B9026" s="140"/>
      <c r="C9026" s="140"/>
      <c r="D9026" s="140"/>
      <c r="E9026" s="142"/>
      <c r="F9026" s="142"/>
      <c r="G9026" s="140"/>
    </row>
    <row r="9027" spans="2:7" hidden="1">
      <c r="B9027" s="140"/>
      <c r="C9027" s="140"/>
      <c r="D9027" s="140"/>
      <c r="E9027" s="142"/>
      <c r="F9027" s="142"/>
      <c r="G9027" s="140"/>
    </row>
    <row r="9028" spans="2:7" hidden="1">
      <c r="B9028" s="140"/>
      <c r="C9028" s="140"/>
      <c r="D9028" s="140"/>
      <c r="E9028" s="142"/>
      <c r="F9028" s="142"/>
      <c r="G9028" s="140"/>
    </row>
    <row r="9029" spans="2:7" hidden="1">
      <c r="B9029" s="140"/>
      <c r="C9029" s="140"/>
      <c r="D9029" s="140"/>
      <c r="E9029" s="142"/>
      <c r="F9029" s="142"/>
      <c r="G9029" s="140"/>
    </row>
    <row r="9030" spans="2:7" hidden="1">
      <c r="B9030" s="140"/>
      <c r="C9030" s="140"/>
      <c r="D9030" s="140"/>
      <c r="E9030" s="142"/>
      <c r="F9030" s="142"/>
      <c r="G9030" s="140"/>
    </row>
    <row r="9031" spans="2:7" hidden="1">
      <c r="B9031" s="140"/>
      <c r="C9031" s="140"/>
      <c r="D9031" s="140"/>
      <c r="E9031" s="142"/>
      <c r="F9031" s="142"/>
      <c r="G9031" s="140"/>
    </row>
    <row r="9032" spans="2:7" hidden="1">
      <c r="B9032" s="140"/>
      <c r="C9032" s="140"/>
      <c r="D9032" s="140"/>
      <c r="E9032" s="142"/>
      <c r="F9032" s="142"/>
      <c r="G9032" s="140"/>
    </row>
    <row r="9033" spans="2:7" hidden="1">
      <c r="B9033" s="140"/>
      <c r="C9033" s="140"/>
      <c r="D9033" s="140"/>
      <c r="E9033" s="142"/>
      <c r="F9033" s="142"/>
      <c r="G9033" s="140"/>
    </row>
    <row r="9034" spans="2:7" hidden="1">
      <c r="B9034" s="140"/>
      <c r="C9034" s="140"/>
      <c r="D9034" s="140"/>
      <c r="E9034" s="142"/>
      <c r="F9034" s="142"/>
      <c r="G9034" s="140"/>
    </row>
    <row r="9035" spans="2:7" hidden="1">
      <c r="B9035" s="140"/>
      <c r="C9035" s="140"/>
      <c r="D9035" s="140"/>
      <c r="E9035" s="142"/>
      <c r="F9035" s="142"/>
      <c r="G9035" s="140"/>
    </row>
    <row r="9036" spans="2:7" hidden="1">
      <c r="B9036" s="140"/>
      <c r="C9036" s="140"/>
      <c r="D9036" s="140"/>
      <c r="E9036" s="142"/>
      <c r="F9036" s="142"/>
      <c r="G9036" s="140"/>
    </row>
    <row r="9037" spans="2:7" hidden="1">
      <c r="B9037" s="140"/>
      <c r="C9037" s="140"/>
      <c r="D9037" s="140"/>
      <c r="E9037" s="142"/>
      <c r="F9037" s="142"/>
      <c r="G9037" s="140"/>
    </row>
    <row r="9038" spans="2:7" hidden="1">
      <c r="B9038" s="140"/>
      <c r="C9038" s="140"/>
      <c r="D9038" s="140"/>
      <c r="E9038" s="142"/>
      <c r="F9038" s="142"/>
      <c r="G9038" s="140"/>
    </row>
    <row r="9039" spans="2:7" hidden="1">
      <c r="B9039" s="140"/>
      <c r="C9039" s="140"/>
      <c r="D9039" s="140"/>
      <c r="E9039" s="142"/>
      <c r="F9039" s="142"/>
      <c r="G9039" s="140"/>
    </row>
    <row r="9040" spans="2:7" hidden="1">
      <c r="B9040" s="140"/>
      <c r="C9040" s="140"/>
      <c r="D9040" s="140"/>
      <c r="E9040" s="142"/>
      <c r="F9040" s="142"/>
      <c r="G9040" s="140"/>
    </row>
    <row r="9041" spans="2:7" hidden="1">
      <c r="B9041" s="140"/>
      <c r="C9041" s="140"/>
      <c r="D9041" s="140"/>
      <c r="E9041" s="142"/>
      <c r="F9041" s="142"/>
      <c r="G9041" s="140"/>
    </row>
    <row r="9042" spans="2:7" hidden="1">
      <c r="B9042" s="140"/>
      <c r="C9042" s="140"/>
      <c r="D9042" s="140"/>
      <c r="E9042" s="142"/>
      <c r="F9042" s="142"/>
      <c r="G9042" s="140"/>
    </row>
    <row r="9043" spans="2:7" hidden="1">
      <c r="B9043" s="140"/>
      <c r="C9043" s="140"/>
      <c r="D9043" s="140"/>
      <c r="E9043" s="142"/>
      <c r="F9043" s="142"/>
      <c r="G9043" s="140"/>
    </row>
    <row r="9044" spans="2:7" hidden="1">
      <c r="B9044" s="140"/>
      <c r="C9044" s="140"/>
      <c r="D9044" s="140"/>
      <c r="E9044" s="142"/>
      <c r="F9044" s="142"/>
      <c r="G9044" s="140"/>
    </row>
    <row r="9045" spans="2:7" hidden="1">
      <c r="B9045" s="140"/>
      <c r="C9045" s="140"/>
      <c r="D9045" s="140"/>
      <c r="E9045" s="142"/>
      <c r="F9045" s="142"/>
      <c r="G9045" s="140"/>
    </row>
    <row r="9046" spans="2:7" hidden="1">
      <c r="B9046" s="140"/>
      <c r="C9046" s="140"/>
      <c r="D9046" s="140"/>
      <c r="E9046" s="142"/>
      <c r="F9046" s="142"/>
      <c r="G9046" s="140"/>
    </row>
    <row r="9047" spans="2:7" hidden="1">
      <c r="B9047" s="140"/>
      <c r="C9047" s="140"/>
      <c r="D9047" s="140"/>
      <c r="E9047" s="142"/>
      <c r="F9047" s="142"/>
      <c r="G9047" s="140"/>
    </row>
    <row r="9048" spans="2:7" hidden="1">
      <c r="B9048" s="140"/>
      <c r="C9048" s="140"/>
      <c r="D9048" s="140"/>
      <c r="E9048" s="142"/>
      <c r="F9048" s="142"/>
      <c r="G9048" s="140"/>
    </row>
    <row r="9049" spans="2:7" hidden="1">
      <c r="B9049" s="140"/>
      <c r="C9049" s="140"/>
      <c r="D9049" s="140"/>
      <c r="E9049" s="142"/>
      <c r="F9049" s="142"/>
      <c r="G9049" s="140"/>
    </row>
    <row r="9050" spans="2:7" hidden="1">
      <c r="B9050" s="140"/>
      <c r="C9050" s="140"/>
      <c r="D9050" s="140"/>
      <c r="E9050" s="142"/>
      <c r="F9050" s="142"/>
      <c r="G9050" s="140"/>
    </row>
    <row r="9051" spans="2:7" hidden="1">
      <c r="B9051" s="140"/>
      <c r="C9051" s="140"/>
      <c r="D9051" s="140"/>
      <c r="E9051" s="142"/>
      <c r="F9051" s="142"/>
      <c r="G9051" s="140"/>
    </row>
    <row r="9052" spans="2:7" hidden="1">
      <c r="B9052" s="140"/>
      <c r="C9052" s="140"/>
      <c r="D9052" s="140"/>
      <c r="E9052" s="142"/>
      <c r="F9052" s="142"/>
      <c r="G9052" s="140"/>
    </row>
    <row r="9053" spans="2:7" hidden="1">
      <c r="B9053" s="140"/>
      <c r="C9053" s="140"/>
      <c r="D9053" s="140"/>
      <c r="E9053" s="142"/>
      <c r="F9053" s="142"/>
      <c r="G9053" s="140"/>
    </row>
    <row r="9054" spans="2:7" hidden="1">
      <c r="B9054" s="140"/>
      <c r="C9054" s="140"/>
      <c r="D9054" s="140"/>
      <c r="E9054" s="142"/>
      <c r="F9054" s="142"/>
      <c r="G9054" s="140"/>
    </row>
    <row r="9055" spans="2:7" hidden="1">
      <c r="B9055" s="140"/>
      <c r="C9055" s="140"/>
      <c r="D9055" s="140"/>
      <c r="E9055" s="142"/>
      <c r="F9055" s="142"/>
      <c r="G9055" s="140"/>
    </row>
    <row r="9056" spans="2:7" hidden="1">
      <c r="B9056" s="140"/>
      <c r="C9056" s="140"/>
      <c r="D9056" s="140"/>
      <c r="E9056" s="142"/>
      <c r="F9056" s="142"/>
      <c r="G9056" s="140"/>
    </row>
    <row r="9057" spans="2:7" hidden="1">
      <c r="B9057" s="140"/>
      <c r="C9057" s="140"/>
      <c r="D9057" s="140"/>
      <c r="E9057" s="142"/>
      <c r="F9057" s="142"/>
      <c r="G9057" s="140"/>
    </row>
    <row r="9058" spans="2:7" hidden="1">
      <c r="B9058" s="140"/>
      <c r="C9058" s="140"/>
      <c r="D9058" s="140"/>
      <c r="E9058" s="142"/>
      <c r="F9058" s="142"/>
      <c r="G9058" s="140"/>
    </row>
    <row r="9059" spans="2:7" hidden="1">
      <c r="B9059" s="140"/>
      <c r="C9059" s="140"/>
      <c r="D9059" s="140"/>
      <c r="E9059" s="142"/>
      <c r="F9059" s="142"/>
      <c r="G9059" s="140"/>
    </row>
    <row r="9060" spans="2:7" hidden="1">
      <c r="B9060" s="140"/>
      <c r="C9060" s="140"/>
      <c r="D9060" s="140"/>
      <c r="E9060" s="142"/>
      <c r="F9060" s="142"/>
      <c r="G9060" s="140"/>
    </row>
    <row r="9061" spans="2:7" hidden="1">
      <c r="B9061" s="140"/>
      <c r="C9061" s="140"/>
      <c r="D9061" s="140"/>
      <c r="E9061" s="142"/>
      <c r="F9061" s="142"/>
      <c r="G9061" s="140"/>
    </row>
    <row r="9062" spans="2:7" hidden="1">
      <c r="B9062" s="140"/>
      <c r="C9062" s="140"/>
      <c r="D9062" s="140"/>
      <c r="E9062" s="142"/>
      <c r="F9062" s="142"/>
      <c r="G9062" s="140"/>
    </row>
    <row r="9063" spans="2:7" hidden="1">
      <c r="B9063" s="140"/>
      <c r="C9063" s="140"/>
      <c r="D9063" s="140"/>
      <c r="E9063" s="142"/>
      <c r="F9063" s="142"/>
      <c r="G9063" s="140"/>
    </row>
    <row r="9064" spans="2:7" hidden="1">
      <c r="B9064" s="140"/>
      <c r="C9064" s="140"/>
      <c r="D9064" s="140"/>
      <c r="E9064" s="142"/>
      <c r="F9064" s="142"/>
      <c r="G9064" s="140"/>
    </row>
    <row r="9065" spans="2:7" hidden="1">
      <c r="B9065" s="140"/>
      <c r="C9065" s="140"/>
      <c r="D9065" s="140"/>
      <c r="E9065" s="142"/>
      <c r="F9065" s="142"/>
      <c r="G9065" s="140"/>
    </row>
    <row r="9066" spans="2:7" hidden="1">
      <c r="B9066" s="140"/>
      <c r="C9066" s="140"/>
      <c r="D9066" s="140"/>
      <c r="E9066" s="142"/>
      <c r="F9066" s="142"/>
      <c r="G9066" s="140"/>
    </row>
    <row r="9067" spans="2:7" hidden="1">
      <c r="B9067" s="140"/>
      <c r="C9067" s="140"/>
      <c r="D9067" s="140"/>
      <c r="E9067" s="142"/>
      <c r="F9067" s="142"/>
      <c r="G9067" s="140"/>
    </row>
    <row r="9068" spans="2:7" hidden="1">
      <c r="B9068" s="140"/>
      <c r="C9068" s="140"/>
      <c r="D9068" s="140"/>
      <c r="E9068" s="142"/>
      <c r="F9068" s="142"/>
      <c r="G9068" s="140"/>
    </row>
    <row r="9069" spans="2:7" hidden="1">
      <c r="B9069" s="140"/>
      <c r="C9069" s="140"/>
      <c r="D9069" s="140"/>
      <c r="E9069" s="142"/>
      <c r="F9069" s="142"/>
      <c r="G9069" s="140"/>
    </row>
    <row r="9070" spans="2:7" hidden="1">
      <c r="B9070" s="140"/>
      <c r="C9070" s="140"/>
      <c r="D9070" s="140"/>
      <c r="E9070" s="142"/>
      <c r="F9070" s="142"/>
      <c r="G9070" s="140"/>
    </row>
    <row r="9071" spans="2:7" hidden="1">
      <c r="B9071" s="140"/>
      <c r="C9071" s="140"/>
      <c r="D9071" s="140"/>
      <c r="E9071" s="142"/>
      <c r="F9071" s="142"/>
      <c r="G9071" s="140"/>
    </row>
    <row r="9072" spans="2:7" hidden="1">
      <c r="B9072" s="140"/>
      <c r="C9072" s="140"/>
      <c r="D9072" s="140"/>
      <c r="E9072" s="142"/>
      <c r="F9072" s="142"/>
      <c r="G9072" s="140"/>
    </row>
    <row r="9073" spans="2:7" hidden="1">
      <c r="B9073" s="140"/>
      <c r="C9073" s="140"/>
      <c r="D9073" s="140"/>
      <c r="E9073" s="142"/>
      <c r="F9073" s="142"/>
      <c r="G9073" s="140"/>
    </row>
    <row r="9074" spans="2:7" hidden="1">
      <c r="B9074" s="140"/>
      <c r="C9074" s="140"/>
      <c r="D9074" s="140"/>
      <c r="E9074" s="142"/>
      <c r="F9074" s="142"/>
      <c r="G9074" s="140"/>
    </row>
    <row r="9075" spans="2:7" hidden="1">
      <c r="B9075" s="140"/>
      <c r="C9075" s="140"/>
      <c r="D9075" s="140"/>
      <c r="E9075" s="142"/>
      <c r="F9075" s="142"/>
      <c r="G9075" s="140"/>
    </row>
    <row r="9076" spans="2:7" hidden="1">
      <c r="B9076" s="140"/>
      <c r="C9076" s="140"/>
      <c r="D9076" s="140"/>
      <c r="E9076" s="142"/>
      <c r="F9076" s="142"/>
      <c r="G9076" s="140"/>
    </row>
    <row r="9077" spans="2:7" hidden="1">
      <c r="B9077" s="140"/>
      <c r="C9077" s="140"/>
      <c r="D9077" s="140"/>
      <c r="E9077" s="142"/>
      <c r="F9077" s="142"/>
      <c r="G9077" s="140"/>
    </row>
    <row r="9078" spans="2:7" hidden="1">
      <c r="B9078" s="140"/>
      <c r="C9078" s="140"/>
      <c r="D9078" s="140"/>
      <c r="E9078" s="142"/>
      <c r="F9078" s="142"/>
      <c r="G9078" s="140"/>
    </row>
    <row r="9079" spans="2:7" hidden="1">
      <c r="B9079" s="140"/>
      <c r="C9079" s="140"/>
      <c r="D9079" s="140"/>
      <c r="E9079" s="142"/>
      <c r="F9079" s="142"/>
      <c r="G9079" s="140"/>
    </row>
    <row r="9080" spans="2:7" hidden="1">
      <c r="B9080" s="140"/>
      <c r="C9080" s="140"/>
      <c r="D9080" s="140"/>
      <c r="E9080" s="142"/>
      <c r="F9080" s="142"/>
      <c r="G9080" s="140"/>
    </row>
    <row r="9081" spans="2:7" hidden="1">
      <c r="B9081" s="140"/>
      <c r="C9081" s="140"/>
      <c r="D9081" s="140"/>
      <c r="E9081" s="142"/>
      <c r="F9081" s="142"/>
      <c r="G9081" s="140"/>
    </row>
    <row r="9082" spans="2:7" hidden="1">
      <c r="B9082" s="140"/>
      <c r="C9082" s="140"/>
      <c r="D9082" s="140"/>
      <c r="E9082" s="142"/>
      <c r="F9082" s="142"/>
      <c r="G9082" s="140"/>
    </row>
    <row r="9083" spans="2:7" hidden="1">
      <c r="B9083" s="140"/>
      <c r="C9083" s="140"/>
      <c r="D9083" s="140"/>
      <c r="E9083" s="142"/>
      <c r="F9083" s="142"/>
      <c r="G9083" s="140"/>
    </row>
    <row r="9084" spans="2:7" hidden="1">
      <c r="B9084" s="140"/>
      <c r="C9084" s="140"/>
      <c r="D9084" s="140"/>
      <c r="E9084" s="142"/>
      <c r="F9084" s="142"/>
      <c r="G9084" s="140"/>
    </row>
    <row r="9085" spans="2:7" hidden="1">
      <c r="B9085" s="140"/>
      <c r="C9085" s="140"/>
      <c r="D9085" s="140"/>
      <c r="E9085" s="142"/>
      <c r="F9085" s="142"/>
      <c r="G9085" s="140"/>
    </row>
    <row r="9086" spans="2:7" hidden="1">
      <c r="B9086" s="140"/>
      <c r="C9086" s="140"/>
      <c r="D9086" s="140"/>
      <c r="E9086" s="142"/>
      <c r="F9086" s="142"/>
      <c r="G9086" s="140"/>
    </row>
    <row r="9087" spans="2:7" hidden="1">
      <c r="B9087" s="140"/>
      <c r="C9087" s="140"/>
      <c r="D9087" s="140"/>
      <c r="E9087" s="142"/>
      <c r="F9087" s="142"/>
      <c r="G9087" s="140"/>
    </row>
    <row r="9088" spans="2:7" hidden="1">
      <c r="B9088" s="140"/>
      <c r="C9088" s="140"/>
      <c r="D9088" s="140"/>
      <c r="E9088" s="142"/>
      <c r="F9088" s="142"/>
      <c r="G9088" s="140"/>
    </row>
    <row r="9089" spans="2:7" hidden="1">
      <c r="B9089" s="140"/>
      <c r="C9089" s="140"/>
      <c r="D9089" s="140"/>
      <c r="E9089" s="142"/>
      <c r="F9089" s="142"/>
      <c r="G9089" s="140"/>
    </row>
    <row r="9090" spans="2:7" hidden="1">
      <c r="B9090" s="140"/>
      <c r="C9090" s="140"/>
      <c r="D9090" s="140"/>
      <c r="E9090" s="142"/>
      <c r="F9090" s="142"/>
      <c r="G9090" s="140"/>
    </row>
    <row r="9091" spans="2:7" hidden="1">
      <c r="B9091" s="140"/>
      <c r="C9091" s="140"/>
      <c r="D9091" s="140"/>
      <c r="E9091" s="142"/>
      <c r="F9091" s="142"/>
      <c r="G9091" s="140"/>
    </row>
    <row r="9092" spans="2:7" hidden="1">
      <c r="B9092" s="140"/>
      <c r="C9092" s="140"/>
      <c r="D9092" s="140"/>
      <c r="E9092" s="142"/>
      <c r="F9092" s="142"/>
      <c r="G9092" s="140"/>
    </row>
    <row r="9093" spans="2:7" hidden="1">
      <c r="B9093" s="140"/>
      <c r="C9093" s="140"/>
      <c r="D9093" s="140"/>
      <c r="E9093" s="142"/>
      <c r="F9093" s="142"/>
      <c r="G9093" s="140"/>
    </row>
    <row r="9094" spans="2:7" hidden="1">
      <c r="B9094" s="140"/>
      <c r="C9094" s="140"/>
      <c r="D9094" s="140"/>
      <c r="E9094" s="142"/>
      <c r="F9094" s="142"/>
      <c r="G9094" s="140"/>
    </row>
    <row r="9095" spans="2:7" hidden="1">
      <c r="B9095" s="140"/>
      <c r="C9095" s="140"/>
      <c r="D9095" s="140"/>
      <c r="E9095" s="142"/>
      <c r="F9095" s="142"/>
      <c r="G9095" s="140"/>
    </row>
    <row r="9096" spans="2:7" hidden="1">
      <c r="B9096" s="140"/>
      <c r="C9096" s="140"/>
      <c r="D9096" s="140"/>
      <c r="E9096" s="142"/>
      <c r="F9096" s="142"/>
      <c r="G9096" s="140"/>
    </row>
    <row r="9097" spans="2:7" hidden="1">
      <c r="B9097" s="140"/>
      <c r="C9097" s="140"/>
      <c r="D9097" s="140"/>
      <c r="E9097" s="142"/>
      <c r="F9097" s="142"/>
      <c r="G9097" s="140"/>
    </row>
    <row r="9098" spans="2:7" hidden="1">
      <c r="B9098" s="140"/>
      <c r="C9098" s="140"/>
      <c r="D9098" s="140"/>
      <c r="E9098" s="142"/>
      <c r="F9098" s="142"/>
      <c r="G9098" s="140"/>
    </row>
    <row r="9099" spans="2:7" hidden="1">
      <c r="B9099" s="140"/>
      <c r="C9099" s="140"/>
      <c r="D9099" s="140"/>
      <c r="E9099" s="142"/>
      <c r="F9099" s="142"/>
      <c r="G9099" s="140"/>
    </row>
    <row r="9100" spans="2:7" hidden="1">
      <c r="B9100" s="140"/>
      <c r="C9100" s="140"/>
      <c r="D9100" s="140"/>
      <c r="E9100" s="142"/>
      <c r="F9100" s="142"/>
      <c r="G9100" s="140"/>
    </row>
    <row r="9101" spans="2:7" hidden="1">
      <c r="B9101" s="140"/>
      <c r="C9101" s="140"/>
      <c r="D9101" s="140"/>
      <c r="E9101" s="142"/>
      <c r="F9101" s="142"/>
      <c r="G9101" s="140"/>
    </row>
    <row r="9102" spans="2:7" hidden="1">
      <c r="B9102" s="140"/>
      <c r="C9102" s="140"/>
      <c r="D9102" s="140"/>
      <c r="E9102" s="142"/>
      <c r="F9102" s="142"/>
      <c r="G9102" s="140"/>
    </row>
    <row r="9103" spans="2:7" hidden="1">
      <c r="B9103" s="140"/>
      <c r="C9103" s="140"/>
      <c r="D9103" s="140"/>
      <c r="E9103" s="142"/>
      <c r="F9103" s="142"/>
      <c r="G9103" s="140"/>
    </row>
    <row r="9104" spans="2:7" hidden="1">
      <c r="B9104" s="140"/>
      <c r="C9104" s="140"/>
      <c r="D9104" s="140"/>
      <c r="E9104" s="142"/>
      <c r="F9104" s="142"/>
      <c r="G9104" s="140"/>
    </row>
    <row r="9105" spans="2:7" hidden="1">
      <c r="B9105" s="140"/>
      <c r="C9105" s="140"/>
      <c r="D9105" s="140"/>
      <c r="E9105" s="142"/>
      <c r="F9105" s="142"/>
      <c r="G9105" s="140"/>
    </row>
    <row r="9106" spans="2:7" hidden="1">
      <c r="B9106" s="140"/>
      <c r="C9106" s="140"/>
      <c r="D9106" s="140"/>
      <c r="E9106" s="142"/>
      <c r="F9106" s="142"/>
      <c r="G9106" s="140"/>
    </row>
    <row r="9107" spans="2:7" hidden="1">
      <c r="B9107" s="140"/>
      <c r="C9107" s="140"/>
      <c r="D9107" s="140"/>
      <c r="E9107" s="142"/>
      <c r="F9107" s="142"/>
      <c r="G9107" s="140"/>
    </row>
    <row r="9108" spans="2:7" hidden="1">
      <c r="B9108" s="140"/>
      <c r="C9108" s="140"/>
      <c r="D9108" s="140"/>
      <c r="E9108" s="142"/>
      <c r="F9108" s="142"/>
      <c r="G9108" s="140"/>
    </row>
    <row r="9109" spans="2:7" hidden="1">
      <c r="B9109" s="140"/>
      <c r="C9109" s="140"/>
      <c r="D9109" s="140"/>
      <c r="E9109" s="142"/>
      <c r="F9109" s="142"/>
      <c r="G9109" s="140"/>
    </row>
    <row r="9110" spans="2:7" hidden="1">
      <c r="B9110" s="140"/>
      <c r="C9110" s="140"/>
      <c r="D9110" s="140"/>
      <c r="E9110" s="142"/>
      <c r="F9110" s="142"/>
      <c r="G9110" s="140"/>
    </row>
    <row r="9111" spans="2:7" hidden="1">
      <c r="B9111" s="140"/>
      <c r="C9111" s="140"/>
      <c r="D9111" s="140"/>
      <c r="E9111" s="142"/>
      <c r="F9111" s="142"/>
      <c r="G9111" s="140"/>
    </row>
    <row r="9112" spans="2:7" hidden="1">
      <c r="B9112" s="140"/>
      <c r="C9112" s="140"/>
      <c r="D9112" s="140"/>
      <c r="E9112" s="142"/>
      <c r="F9112" s="142"/>
      <c r="G9112" s="140"/>
    </row>
    <row r="9113" spans="2:7" hidden="1">
      <c r="B9113" s="140"/>
      <c r="C9113" s="140"/>
      <c r="D9113" s="140"/>
      <c r="E9113" s="142"/>
      <c r="F9113" s="142"/>
      <c r="G9113" s="140"/>
    </row>
    <row r="9114" spans="2:7" hidden="1">
      <c r="B9114" s="140"/>
      <c r="C9114" s="140"/>
      <c r="D9114" s="140"/>
      <c r="E9114" s="142"/>
      <c r="F9114" s="142"/>
      <c r="G9114" s="140"/>
    </row>
    <row r="9115" spans="2:7" hidden="1">
      <c r="B9115" s="140"/>
      <c r="C9115" s="140"/>
      <c r="D9115" s="140"/>
      <c r="E9115" s="142"/>
      <c r="F9115" s="142"/>
      <c r="G9115" s="140"/>
    </row>
    <row r="9116" spans="2:7" hidden="1">
      <c r="B9116" s="140"/>
      <c r="C9116" s="140"/>
      <c r="D9116" s="140"/>
      <c r="E9116" s="142"/>
      <c r="F9116" s="142"/>
      <c r="G9116" s="140"/>
    </row>
    <row r="9117" spans="2:7" hidden="1">
      <c r="B9117" s="140"/>
      <c r="C9117" s="140"/>
      <c r="D9117" s="140"/>
      <c r="E9117" s="142"/>
      <c r="F9117" s="142"/>
      <c r="G9117" s="140"/>
    </row>
    <row r="9118" spans="2:7" hidden="1">
      <c r="B9118" s="140"/>
      <c r="C9118" s="140"/>
      <c r="D9118" s="140"/>
      <c r="E9118" s="142"/>
      <c r="F9118" s="142"/>
      <c r="G9118" s="140"/>
    </row>
    <row r="9119" spans="2:7" hidden="1">
      <c r="B9119" s="140"/>
      <c r="C9119" s="140"/>
      <c r="D9119" s="140"/>
      <c r="E9119" s="142"/>
      <c r="F9119" s="142"/>
      <c r="G9119" s="140"/>
    </row>
    <row r="9120" spans="2:7" hidden="1">
      <c r="B9120" s="140"/>
      <c r="C9120" s="140"/>
      <c r="D9120" s="140"/>
      <c r="E9120" s="142"/>
      <c r="F9120" s="142"/>
      <c r="G9120" s="140"/>
    </row>
    <row r="9121" spans="2:7" hidden="1">
      <c r="B9121" s="140"/>
      <c r="C9121" s="140"/>
      <c r="D9121" s="140"/>
      <c r="E9121" s="142"/>
      <c r="F9121" s="142"/>
      <c r="G9121" s="140"/>
    </row>
    <row r="9122" spans="2:7" hidden="1">
      <c r="B9122" s="140"/>
      <c r="C9122" s="140"/>
      <c r="D9122" s="140"/>
      <c r="E9122" s="142"/>
      <c r="F9122" s="142"/>
      <c r="G9122" s="140"/>
    </row>
    <row r="9123" spans="2:7" hidden="1">
      <c r="B9123" s="140"/>
      <c r="C9123" s="140"/>
      <c r="D9123" s="140"/>
      <c r="E9123" s="142"/>
      <c r="F9123" s="142"/>
      <c r="G9123" s="140"/>
    </row>
    <row r="9124" spans="2:7" hidden="1">
      <c r="B9124" s="140"/>
      <c r="C9124" s="140"/>
      <c r="D9124" s="140"/>
      <c r="E9124" s="142"/>
      <c r="F9124" s="142"/>
      <c r="G9124" s="140"/>
    </row>
    <row r="9125" spans="2:7" hidden="1">
      <c r="B9125" s="140"/>
      <c r="C9125" s="140"/>
      <c r="D9125" s="140"/>
      <c r="E9125" s="142"/>
      <c r="F9125" s="142"/>
      <c r="G9125" s="140"/>
    </row>
    <row r="9126" spans="2:7" hidden="1">
      <c r="B9126" s="140"/>
      <c r="C9126" s="140"/>
      <c r="D9126" s="140"/>
      <c r="E9126" s="142"/>
      <c r="F9126" s="142"/>
      <c r="G9126" s="140"/>
    </row>
    <row r="9127" spans="2:7" hidden="1">
      <c r="B9127" s="140"/>
      <c r="C9127" s="140"/>
      <c r="D9127" s="140"/>
      <c r="E9127" s="142"/>
      <c r="F9127" s="142"/>
      <c r="G9127" s="140"/>
    </row>
    <row r="9128" spans="2:7" hidden="1">
      <c r="B9128" s="140"/>
      <c r="C9128" s="140"/>
      <c r="D9128" s="140"/>
      <c r="E9128" s="142"/>
      <c r="F9128" s="142"/>
      <c r="G9128" s="140"/>
    </row>
    <row r="9129" spans="2:7" hidden="1">
      <c r="B9129" s="140"/>
      <c r="C9129" s="140"/>
      <c r="D9129" s="140"/>
      <c r="E9129" s="142"/>
      <c r="F9129" s="142"/>
      <c r="G9129" s="140"/>
    </row>
    <row r="9130" spans="2:7" hidden="1">
      <c r="B9130" s="140"/>
      <c r="C9130" s="140"/>
      <c r="D9130" s="140"/>
      <c r="E9130" s="142"/>
      <c r="F9130" s="142"/>
      <c r="G9130" s="140"/>
    </row>
    <row r="9131" spans="2:7" hidden="1">
      <c r="B9131" s="140"/>
      <c r="C9131" s="140"/>
      <c r="D9131" s="140"/>
      <c r="E9131" s="142"/>
      <c r="F9131" s="142"/>
      <c r="G9131" s="140"/>
    </row>
    <row r="9132" spans="2:7" hidden="1">
      <c r="B9132" s="140"/>
      <c r="C9132" s="140"/>
      <c r="D9132" s="140"/>
      <c r="E9132" s="142"/>
      <c r="F9132" s="142"/>
      <c r="G9132" s="140"/>
    </row>
    <row r="9133" spans="2:7" hidden="1">
      <c r="B9133" s="140"/>
      <c r="C9133" s="140"/>
      <c r="D9133" s="140"/>
      <c r="E9133" s="142"/>
      <c r="F9133" s="142"/>
      <c r="G9133" s="140"/>
    </row>
    <row r="9134" spans="2:7" hidden="1">
      <c r="B9134" s="140"/>
      <c r="C9134" s="140"/>
      <c r="D9134" s="140"/>
      <c r="E9134" s="142"/>
      <c r="F9134" s="142"/>
      <c r="G9134" s="140"/>
    </row>
    <row r="9135" spans="2:7" hidden="1">
      <c r="B9135" s="140"/>
      <c r="C9135" s="140"/>
      <c r="D9135" s="140"/>
      <c r="E9135" s="142"/>
      <c r="F9135" s="142"/>
      <c r="G9135" s="140"/>
    </row>
    <row r="9136" spans="2:7" hidden="1">
      <c r="B9136" s="140"/>
      <c r="C9136" s="140"/>
      <c r="D9136" s="140"/>
      <c r="E9136" s="142"/>
      <c r="F9136" s="142"/>
      <c r="G9136" s="140"/>
    </row>
    <row r="9137" spans="2:7" hidden="1">
      <c r="B9137" s="140"/>
      <c r="C9137" s="140"/>
      <c r="D9137" s="140"/>
      <c r="E9137" s="142"/>
      <c r="F9137" s="142"/>
      <c r="G9137" s="140"/>
    </row>
    <row r="9138" spans="2:7" hidden="1">
      <c r="B9138" s="140"/>
      <c r="C9138" s="140"/>
      <c r="D9138" s="140"/>
      <c r="E9138" s="142"/>
      <c r="F9138" s="142"/>
      <c r="G9138" s="140"/>
    </row>
    <row r="9139" spans="2:7" hidden="1">
      <c r="B9139" s="140"/>
      <c r="C9139" s="140"/>
      <c r="D9139" s="140"/>
      <c r="E9139" s="142"/>
      <c r="F9139" s="142"/>
      <c r="G9139" s="140"/>
    </row>
    <row r="9140" spans="2:7" hidden="1">
      <c r="B9140" s="140"/>
      <c r="C9140" s="140"/>
      <c r="D9140" s="140"/>
      <c r="E9140" s="142"/>
      <c r="F9140" s="142"/>
      <c r="G9140" s="140"/>
    </row>
    <row r="9141" spans="2:7" hidden="1">
      <c r="B9141" s="140"/>
      <c r="C9141" s="140"/>
      <c r="D9141" s="140"/>
      <c r="E9141" s="142"/>
      <c r="F9141" s="142"/>
      <c r="G9141" s="140"/>
    </row>
    <row r="9142" spans="2:7" hidden="1">
      <c r="B9142" s="140"/>
      <c r="C9142" s="140"/>
      <c r="D9142" s="140"/>
      <c r="E9142" s="142"/>
      <c r="F9142" s="142"/>
      <c r="G9142" s="140"/>
    </row>
    <row r="9143" spans="2:7" hidden="1">
      <c r="B9143" s="140"/>
      <c r="C9143" s="140"/>
      <c r="D9143" s="140"/>
      <c r="E9143" s="142"/>
      <c r="F9143" s="142"/>
      <c r="G9143" s="140"/>
    </row>
    <row r="9144" spans="2:7" hidden="1">
      <c r="B9144" s="140"/>
      <c r="C9144" s="140"/>
      <c r="D9144" s="140"/>
      <c r="E9144" s="142"/>
      <c r="F9144" s="142"/>
      <c r="G9144" s="140"/>
    </row>
    <row r="9145" spans="2:7" hidden="1">
      <c r="B9145" s="140"/>
      <c r="C9145" s="140"/>
      <c r="D9145" s="140"/>
      <c r="E9145" s="142"/>
      <c r="F9145" s="142"/>
      <c r="G9145" s="140"/>
    </row>
    <row r="9146" spans="2:7" hidden="1">
      <c r="B9146" s="140"/>
      <c r="C9146" s="140"/>
      <c r="D9146" s="140"/>
      <c r="E9146" s="142"/>
      <c r="F9146" s="142"/>
      <c r="G9146" s="140"/>
    </row>
    <row r="9147" spans="2:7" hidden="1">
      <c r="B9147" s="140"/>
      <c r="C9147" s="140"/>
      <c r="D9147" s="140"/>
      <c r="E9147" s="142"/>
      <c r="F9147" s="142"/>
      <c r="G9147" s="140"/>
    </row>
    <row r="9148" spans="2:7" hidden="1">
      <c r="B9148" s="140"/>
      <c r="C9148" s="140"/>
      <c r="D9148" s="140"/>
      <c r="E9148" s="142"/>
      <c r="F9148" s="142"/>
      <c r="G9148" s="140"/>
    </row>
    <row r="9149" spans="2:7" hidden="1">
      <c r="B9149" s="140"/>
      <c r="C9149" s="140"/>
      <c r="D9149" s="140"/>
      <c r="E9149" s="142"/>
      <c r="F9149" s="142"/>
      <c r="G9149" s="140"/>
    </row>
    <row r="9150" spans="2:7" hidden="1">
      <c r="B9150" s="140"/>
      <c r="C9150" s="140"/>
      <c r="D9150" s="140"/>
      <c r="E9150" s="142"/>
      <c r="F9150" s="142"/>
      <c r="G9150" s="140"/>
    </row>
    <row r="9151" spans="2:7" hidden="1">
      <c r="B9151" s="140"/>
      <c r="C9151" s="140"/>
      <c r="D9151" s="140"/>
      <c r="E9151" s="142"/>
      <c r="F9151" s="142"/>
      <c r="G9151" s="140"/>
    </row>
    <row r="9152" spans="2:7" hidden="1">
      <c r="B9152" s="140"/>
      <c r="C9152" s="140"/>
      <c r="D9152" s="140"/>
      <c r="E9152" s="142"/>
      <c r="F9152" s="142"/>
      <c r="G9152" s="140"/>
    </row>
    <row r="9153" spans="2:7" hidden="1">
      <c r="B9153" s="140"/>
      <c r="C9153" s="140"/>
      <c r="D9153" s="140"/>
      <c r="E9153" s="142"/>
      <c r="F9153" s="142"/>
      <c r="G9153" s="140"/>
    </row>
    <row r="9154" spans="2:7" hidden="1">
      <c r="B9154" s="140"/>
      <c r="C9154" s="140"/>
      <c r="D9154" s="140"/>
      <c r="E9154" s="142"/>
      <c r="F9154" s="142"/>
      <c r="G9154" s="140"/>
    </row>
    <row r="9155" spans="2:7" hidden="1">
      <c r="B9155" s="140"/>
      <c r="C9155" s="140"/>
      <c r="D9155" s="140"/>
      <c r="E9155" s="142"/>
      <c r="F9155" s="142"/>
      <c r="G9155" s="140"/>
    </row>
    <row r="9156" spans="2:7" hidden="1">
      <c r="B9156" s="140"/>
      <c r="C9156" s="140"/>
      <c r="D9156" s="140"/>
      <c r="E9156" s="142"/>
      <c r="F9156" s="142"/>
      <c r="G9156" s="140"/>
    </row>
    <row r="9157" spans="2:7" hidden="1">
      <c r="B9157" s="140"/>
      <c r="C9157" s="140"/>
      <c r="D9157" s="140"/>
      <c r="E9157" s="142"/>
      <c r="F9157" s="142"/>
      <c r="G9157" s="140"/>
    </row>
    <row r="9158" spans="2:7" hidden="1">
      <c r="B9158" s="140"/>
      <c r="C9158" s="140"/>
      <c r="D9158" s="140"/>
      <c r="E9158" s="142"/>
      <c r="F9158" s="142"/>
      <c r="G9158" s="140"/>
    </row>
    <row r="9159" spans="2:7" hidden="1">
      <c r="B9159" s="140"/>
      <c r="C9159" s="140"/>
      <c r="D9159" s="140"/>
      <c r="E9159" s="142"/>
      <c r="F9159" s="142"/>
      <c r="G9159" s="140"/>
    </row>
    <row r="9160" spans="2:7" hidden="1">
      <c r="B9160" s="140"/>
      <c r="C9160" s="140"/>
      <c r="D9160" s="140"/>
      <c r="E9160" s="142"/>
      <c r="F9160" s="142"/>
      <c r="G9160" s="140"/>
    </row>
    <row r="9161" spans="2:7" hidden="1">
      <c r="B9161" s="140"/>
      <c r="C9161" s="140"/>
      <c r="D9161" s="140"/>
      <c r="E9161" s="142"/>
      <c r="F9161" s="142"/>
      <c r="G9161" s="140"/>
    </row>
    <row r="9162" spans="2:7" hidden="1">
      <c r="B9162" s="140"/>
      <c r="C9162" s="140"/>
      <c r="D9162" s="140"/>
      <c r="E9162" s="142"/>
      <c r="F9162" s="142"/>
      <c r="G9162" s="140"/>
    </row>
    <row r="9163" spans="2:7" hidden="1">
      <c r="B9163" s="140"/>
      <c r="C9163" s="140"/>
      <c r="D9163" s="140"/>
      <c r="E9163" s="142"/>
      <c r="F9163" s="142"/>
      <c r="G9163" s="140"/>
    </row>
    <row r="9164" spans="2:7" hidden="1">
      <c r="B9164" s="140"/>
      <c r="C9164" s="140"/>
      <c r="D9164" s="140"/>
      <c r="E9164" s="142"/>
      <c r="F9164" s="142"/>
      <c r="G9164" s="140"/>
    </row>
    <row r="9165" spans="2:7" hidden="1">
      <c r="B9165" s="140"/>
      <c r="C9165" s="140"/>
      <c r="D9165" s="140"/>
      <c r="E9165" s="142"/>
      <c r="F9165" s="142"/>
      <c r="G9165" s="140"/>
    </row>
    <row r="9166" spans="2:7" hidden="1">
      <c r="B9166" s="140"/>
      <c r="C9166" s="140"/>
      <c r="D9166" s="140"/>
      <c r="E9166" s="142"/>
      <c r="F9166" s="142"/>
      <c r="G9166" s="140"/>
    </row>
    <row r="9167" spans="2:7" hidden="1">
      <c r="B9167" s="140"/>
      <c r="C9167" s="140"/>
      <c r="D9167" s="140"/>
      <c r="E9167" s="142"/>
      <c r="F9167" s="142"/>
      <c r="G9167" s="140"/>
    </row>
    <row r="9168" spans="2:7" hidden="1">
      <c r="B9168" s="140"/>
      <c r="C9168" s="140"/>
      <c r="D9168" s="140"/>
      <c r="E9168" s="142"/>
      <c r="F9168" s="142"/>
      <c r="G9168" s="140"/>
    </row>
    <row r="9169" spans="2:7" hidden="1">
      <c r="B9169" s="140"/>
      <c r="C9169" s="140"/>
      <c r="D9169" s="140"/>
      <c r="E9169" s="142"/>
      <c r="F9169" s="142"/>
      <c r="G9169" s="140"/>
    </row>
    <row r="9170" spans="2:7" hidden="1">
      <c r="B9170" s="140"/>
      <c r="C9170" s="140"/>
      <c r="D9170" s="140"/>
      <c r="E9170" s="142"/>
      <c r="F9170" s="142"/>
      <c r="G9170" s="140"/>
    </row>
    <row r="9171" spans="2:7" hidden="1">
      <c r="B9171" s="140"/>
      <c r="C9171" s="140"/>
      <c r="D9171" s="140"/>
      <c r="E9171" s="142"/>
      <c r="F9171" s="142"/>
      <c r="G9171" s="140"/>
    </row>
    <row r="9172" spans="2:7" hidden="1">
      <c r="B9172" s="140"/>
      <c r="C9172" s="140"/>
      <c r="D9172" s="140"/>
      <c r="E9172" s="142"/>
      <c r="F9172" s="142"/>
      <c r="G9172" s="140"/>
    </row>
    <row r="9173" spans="2:7" hidden="1">
      <c r="B9173" s="140"/>
      <c r="C9173" s="140"/>
      <c r="D9173" s="140"/>
      <c r="E9173" s="142"/>
      <c r="F9173" s="142"/>
      <c r="G9173" s="140"/>
    </row>
    <row r="9174" spans="2:7" hidden="1">
      <c r="B9174" s="140"/>
      <c r="C9174" s="140"/>
      <c r="D9174" s="140"/>
      <c r="E9174" s="142"/>
      <c r="F9174" s="142"/>
      <c r="G9174" s="140"/>
    </row>
    <row r="9175" spans="2:7" hidden="1">
      <c r="B9175" s="140"/>
      <c r="C9175" s="140"/>
      <c r="D9175" s="140"/>
      <c r="E9175" s="142"/>
      <c r="F9175" s="142"/>
      <c r="G9175" s="140"/>
    </row>
    <row r="9176" spans="2:7" hidden="1">
      <c r="B9176" s="140"/>
      <c r="C9176" s="140"/>
      <c r="D9176" s="140"/>
      <c r="E9176" s="142"/>
      <c r="F9176" s="142"/>
      <c r="G9176" s="140"/>
    </row>
    <row r="9177" spans="2:7" hidden="1">
      <c r="B9177" s="140"/>
      <c r="C9177" s="140"/>
      <c r="D9177" s="140"/>
      <c r="E9177" s="142"/>
      <c r="F9177" s="142"/>
      <c r="G9177" s="140"/>
    </row>
    <row r="9178" spans="2:7" hidden="1">
      <c r="B9178" s="140"/>
      <c r="C9178" s="140"/>
      <c r="D9178" s="140"/>
      <c r="E9178" s="142"/>
      <c r="F9178" s="142"/>
      <c r="G9178" s="140"/>
    </row>
    <row r="9179" spans="2:7" hidden="1">
      <c r="B9179" s="140"/>
      <c r="C9179" s="140"/>
      <c r="D9179" s="140"/>
      <c r="E9179" s="142"/>
      <c r="F9179" s="142"/>
      <c r="G9179" s="140"/>
    </row>
    <row r="9180" spans="2:7" hidden="1">
      <c r="B9180" s="140"/>
      <c r="C9180" s="140"/>
      <c r="D9180" s="140"/>
      <c r="E9180" s="142"/>
      <c r="F9180" s="142"/>
      <c r="G9180" s="140"/>
    </row>
    <row r="9181" spans="2:7" hidden="1">
      <c r="B9181" s="140"/>
      <c r="C9181" s="140"/>
      <c r="D9181" s="140"/>
      <c r="E9181" s="142"/>
      <c r="F9181" s="142"/>
      <c r="G9181" s="140"/>
    </row>
    <row r="9182" spans="2:7" hidden="1">
      <c r="B9182" s="140"/>
      <c r="C9182" s="140"/>
      <c r="D9182" s="140"/>
      <c r="E9182" s="142"/>
      <c r="F9182" s="142"/>
      <c r="G9182" s="140"/>
    </row>
    <row r="9183" spans="2:7" hidden="1">
      <c r="B9183" s="140"/>
      <c r="C9183" s="140"/>
      <c r="D9183" s="140"/>
      <c r="E9183" s="142"/>
      <c r="F9183" s="142"/>
      <c r="G9183" s="140"/>
    </row>
    <row r="9184" spans="2:7" hidden="1">
      <c r="B9184" s="140"/>
      <c r="C9184" s="140"/>
      <c r="D9184" s="140"/>
      <c r="E9184" s="142"/>
      <c r="F9184" s="142"/>
      <c r="G9184" s="140"/>
    </row>
    <row r="9185" spans="2:7" hidden="1">
      <c r="B9185" s="140"/>
      <c r="C9185" s="140"/>
      <c r="D9185" s="140"/>
      <c r="E9185" s="142"/>
      <c r="F9185" s="142"/>
      <c r="G9185" s="140"/>
    </row>
    <row r="9186" spans="2:7" hidden="1">
      <c r="B9186" s="140"/>
      <c r="C9186" s="140"/>
      <c r="D9186" s="140"/>
      <c r="E9186" s="142"/>
      <c r="F9186" s="142"/>
      <c r="G9186" s="140"/>
    </row>
    <row r="9187" spans="2:7" hidden="1">
      <c r="B9187" s="140"/>
      <c r="C9187" s="140"/>
      <c r="D9187" s="140"/>
      <c r="E9187" s="142"/>
      <c r="F9187" s="142"/>
      <c r="G9187" s="140"/>
    </row>
    <row r="9188" spans="2:7" hidden="1">
      <c r="B9188" s="140"/>
      <c r="C9188" s="140"/>
      <c r="D9188" s="140"/>
      <c r="E9188" s="142"/>
      <c r="F9188" s="142"/>
      <c r="G9188" s="140"/>
    </row>
    <row r="9189" spans="2:7" hidden="1">
      <c r="B9189" s="140"/>
      <c r="C9189" s="140"/>
      <c r="D9189" s="140"/>
      <c r="E9189" s="142"/>
      <c r="F9189" s="142"/>
      <c r="G9189" s="140"/>
    </row>
    <row r="9190" spans="2:7" hidden="1">
      <c r="B9190" s="140"/>
      <c r="C9190" s="140"/>
      <c r="D9190" s="140"/>
      <c r="E9190" s="142"/>
      <c r="F9190" s="142"/>
      <c r="G9190" s="140"/>
    </row>
    <row r="9191" spans="2:7" hidden="1">
      <c r="B9191" s="140"/>
      <c r="C9191" s="140"/>
      <c r="D9191" s="140"/>
      <c r="E9191" s="142"/>
      <c r="F9191" s="142"/>
      <c r="G9191" s="140"/>
    </row>
    <row r="9192" spans="2:7" hidden="1">
      <c r="B9192" s="140"/>
      <c r="C9192" s="140"/>
      <c r="D9192" s="140"/>
      <c r="E9192" s="142"/>
      <c r="F9192" s="142"/>
      <c r="G9192" s="140"/>
    </row>
    <row r="9193" spans="2:7" hidden="1">
      <c r="B9193" s="140"/>
      <c r="C9193" s="140"/>
      <c r="D9193" s="140"/>
      <c r="E9193" s="142"/>
      <c r="F9193" s="142"/>
      <c r="G9193" s="140"/>
    </row>
    <row r="9194" spans="2:7" hidden="1">
      <c r="B9194" s="140"/>
      <c r="C9194" s="140"/>
      <c r="D9194" s="140"/>
      <c r="E9194" s="142"/>
      <c r="F9194" s="142"/>
      <c r="G9194" s="140"/>
    </row>
    <row r="9195" spans="2:7" hidden="1">
      <c r="B9195" s="140"/>
      <c r="C9195" s="140"/>
      <c r="D9195" s="140"/>
      <c r="E9195" s="142"/>
      <c r="F9195" s="142"/>
      <c r="G9195" s="140"/>
    </row>
    <row r="9196" spans="2:7" hidden="1">
      <c r="B9196" s="140"/>
      <c r="C9196" s="140"/>
      <c r="D9196" s="140"/>
      <c r="E9196" s="142"/>
      <c r="F9196" s="142"/>
      <c r="G9196" s="140"/>
    </row>
    <row r="9197" spans="2:7" hidden="1">
      <c r="B9197" s="140"/>
      <c r="C9197" s="140"/>
      <c r="D9197" s="140"/>
      <c r="E9197" s="142"/>
      <c r="F9197" s="142"/>
      <c r="G9197" s="140"/>
    </row>
    <row r="9198" spans="2:7" hidden="1">
      <c r="B9198" s="140"/>
      <c r="C9198" s="140"/>
      <c r="D9198" s="140"/>
      <c r="E9198" s="142"/>
      <c r="F9198" s="142"/>
      <c r="G9198" s="140"/>
    </row>
    <row r="9199" spans="2:7" hidden="1">
      <c r="B9199" s="140"/>
      <c r="C9199" s="140"/>
      <c r="D9199" s="140"/>
      <c r="E9199" s="142"/>
      <c r="F9199" s="142"/>
      <c r="G9199" s="140"/>
    </row>
    <row r="9200" spans="2:7" hidden="1">
      <c r="B9200" s="140"/>
      <c r="C9200" s="140"/>
      <c r="D9200" s="140"/>
      <c r="E9200" s="142"/>
      <c r="F9200" s="142"/>
      <c r="G9200" s="140"/>
    </row>
    <row r="9201" spans="2:7" hidden="1">
      <c r="B9201" s="140"/>
      <c r="C9201" s="140"/>
      <c r="D9201" s="140"/>
      <c r="E9201" s="142"/>
      <c r="F9201" s="142"/>
      <c r="G9201" s="140"/>
    </row>
    <row r="9202" spans="2:7" hidden="1">
      <c r="B9202" s="140"/>
      <c r="C9202" s="140"/>
      <c r="D9202" s="140"/>
      <c r="E9202" s="142"/>
      <c r="F9202" s="142"/>
      <c r="G9202" s="140"/>
    </row>
    <row r="9203" spans="2:7" hidden="1">
      <c r="B9203" s="140"/>
      <c r="C9203" s="140"/>
      <c r="D9203" s="140"/>
      <c r="E9203" s="142"/>
      <c r="F9203" s="142"/>
      <c r="G9203" s="140"/>
    </row>
    <row r="9204" spans="2:7" hidden="1">
      <c r="B9204" s="140"/>
      <c r="C9204" s="140"/>
      <c r="D9204" s="140"/>
      <c r="E9204" s="142"/>
      <c r="F9204" s="142"/>
      <c r="G9204" s="140"/>
    </row>
    <row r="9205" spans="2:7" hidden="1">
      <c r="B9205" s="140"/>
      <c r="C9205" s="140"/>
      <c r="D9205" s="140"/>
      <c r="E9205" s="142"/>
      <c r="F9205" s="142"/>
      <c r="G9205" s="140"/>
    </row>
    <row r="9206" spans="2:7" hidden="1">
      <c r="B9206" s="140"/>
      <c r="C9206" s="140"/>
      <c r="D9206" s="140"/>
      <c r="E9206" s="142"/>
      <c r="F9206" s="142"/>
      <c r="G9206" s="140"/>
    </row>
    <row r="9207" spans="2:7" hidden="1">
      <c r="B9207" s="140"/>
      <c r="C9207" s="140"/>
      <c r="D9207" s="140"/>
      <c r="E9207" s="142"/>
      <c r="F9207" s="142"/>
      <c r="G9207" s="140"/>
    </row>
    <row r="9208" spans="2:7" hidden="1">
      <c r="B9208" s="140"/>
      <c r="C9208" s="140"/>
      <c r="D9208" s="140"/>
      <c r="E9208" s="142"/>
      <c r="F9208" s="142"/>
      <c r="G9208" s="140"/>
    </row>
    <row r="9209" spans="2:7" hidden="1">
      <c r="B9209" s="140"/>
      <c r="C9209" s="140"/>
      <c r="D9209" s="140"/>
      <c r="E9209" s="142"/>
      <c r="F9209" s="142"/>
      <c r="G9209" s="140"/>
    </row>
    <row r="9210" spans="2:7" hidden="1">
      <c r="B9210" s="140"/>
      <c r="C9210" s="140"/>
      <c r="D9210" s="140"/>
      <c r="E9210" s="142"/>
      <c r="F9210" s="142"/>
      <c r="G9210" s="140"/>
    </row>
    <row r="9211" spans="2:7" hidden="1">
      <c r="B9211" s="140"/>
      <c r="C9211" s="140"/>
      <c r="D9211" s="140"/>
      <c r="E9211" s="142"/>
      <c r="F9211" s="142"/>
      <c r="G9211" s="140"/>
    </row>
    <row r="9212" spans="2:7" hidden="1">
      <c r="B9212" s="140"/>
      <c r="C9212" s="140"/>
      <c r="D9212" s="140"/>
      <c r="E9212" s="142"/>
      <c r="F9212" s="142"/>
      <c r="G9212" s="140"/>
    </row>
    <row r="9213" spans="2:7" hidden="1">
      <c r="B9213" s="140"/>
      <c r="C9213" s="140"/>
      <c r="D9213" s="140"/>
      <c r="E9213" s="142"/>
      <c r="F9213" s="142"/>
      <c r="G9213" s="140"/>
    </row>
    <row r="9214" spans="2:7" hidden="1">
      <c r="B9214" s="140"/>
      <c r="C9214" s="140"/>
      <c r="D9214" s="140"/>
      <c r="E9214" s="142"/>
      <c r="F9214" s="142"/>
      <c r="G9214" s="140"/>
    </row>
    <row r="9215" spans="2:7" hidden="1">
      <c r="B9215" s="140"/>
      <c r="C9215" s="140"/>
      <c r="D9215" s="140"/>
      <c r="E9215" s="142"/>
      <c r="F9215" s="142"/>
      <c r="G9215" s="140"/>
    </row>
    <row r="9216" spans="2:7" hidden="1">
      <c r="B9216" s="140"/>
      <c r="C9216" s="140"/>
      <c r="D9216" s="140"/>
      <c r="E9216" s="142"/>
      <c r="F9216" s="142"/>
      <c r="G9216" s="140"/>
    </row>
    <row r="9217" spans="2:7" hidden="1">
      <c r="B9217" s="140"/>
      <c r="C9217" s="140"/>
      <c r="D9217" s="140"/>
      <c r="E9217" s="142"/>
      <c r="F9217" s="142"/>
      <c r="G9217" s="140"/>
    </row>
    <row r="9218" spans="2:7" hidden="1">
      <c r="B9218" s="140"/>
      <c r="C9218" s="140"/>
      <c r="D9218" s="140"/>
      <c r="E9218" s="142"/>
      <c r="F9218" s="142"/>
      <c r="G9218" s="140"/>
    </row>
    <row r="9219" spans="2:7" hidden="1">
      <c r="B9219" s="140"/>
      <c r="C9219" s="140"/>
      <c r="D9219" s="140"/>
      <c r="E9219" s="142"/>
      <c r="F9219" s="142"/>
      <c r="G9219" s="140"/>
    </row>
    <row r="9220" spans="2:7" hidden="1">
      <c r="B9220" s="140"/>
      <c r="C9220" s="140"/>
      <c r="D9220" s="140"/>
      <c r="E9220" s="142"/>
      <c r="F9220" s="142"/>
      <c r="G9220" s="140"/>
    </row>
    <row r="9221" spans="2:7" hidden="1">
      <c r="B9221" s="140"/>
      <c r="C9221" s="140"/>
      <c r="D9221" s="140"/>
      <c r="E9221" s="142"/>
      <c r="F9221" s="142"/>
      <c r="G9221" s="140"/>
    </row>
    <row r="9222" spans="2:7" hidden="1">
      <c r="B9222" s="140"/>
      <c r="C9222" s="140"/>
      <c r="D9222" s="140"/>
      <c r="E9222" s="142"/>
      <c r="F9222" s="142"/>
      <c r="G9222" s="140"/>
    </row>
    <row r="9223" spans="2:7" hidden="1">
      <c r="B9223" s="140"/>
      <c r="C9223" s="140"/>
      <c r="D9223" s="140"/>
      <c r="E9223" s="142"/>
      <c r="F9223" s="142"/>
      <c r="G9223" s="140"/>
    </row>
    <row r="9224" spans="2:7" hidden="1">
      <c r="B9224" s="140"/>
      <c r="C9224" s="140"/>
      <c r="D9224" s="140"/>
      <c r="E9224" s="142"/>
      <c r="F9224" s="142"/>
      <c r="G9224" s="140"/>
    </row>
    <row r="9225" spans="2:7" hidden="1">
      <c r="B9225" s="140"/>
      <c r="C9225" s="140"/>
      <c r="D9225" s="140"/>
      <c r="E9225" s="142"/>
      <c r="F9225" s="142"/>
      <c r="G9225" s="140"/>
    </row>
    <row r="9226" spans="2:7" hidden="1">
      <c r="B9226" s="140"/>
      <c r="C9226" s="140"/>
      <c r="D9226" s="140"/>
      <c r="E9226" s="142"/>
      <c r="F9226" s="142"/>
      <c r="G9226" s="140"/>
    </row>
    <row r="9227" spans="2:7" hidden="1">
      <c r="B9227" s="140"/>
      <c r="C9227" s="140"/>
      <c r="D9227" s="140"/>
      <c r="E9227" s="142"/>
      <c r="F9227" s="142"/>
      <c r="G9227" s="140"/>
    </row>
    <row r="9228" spans="2:7" hidden="1">
      <c r="B9228" s="140"/>
      <c r="C9228" s="140"/>
      <c r="D9228" s="140"/>
      <c r="E9228" s="142"/>
      <c r="F9228" s="142"/>
      <c r="G9228" s="140"/>
    </row>
    <row r="9229" spans="2:7" hidden="1">
      <c r="B9229" s="140"/>
      <c r="C9229" s="140"/>
      <c r="D9229" s="140"/>
      <c r="E9229" s="142"/>
      <c r="F9229" s="142"/>
      <c r="G9229" s="140"/>
    </row>
    <row r="9230" spans="2:7" hidden="1">
      <c r="B9230" s="140"/>
      <c r="C9230" s="140"/>
      <c r="D9230" s="140"/>
      <c r="E9230" s="142"/>
      <c r="F9230" s="142"/>
      <c r="G9230" s="140"/>
    </row>
    <row r="9231" spans="2:7" hidden="1">
      <c r="B9231" s="140"/>
      <c r="C9231" s="140"/>
      <c r="D9231" s="140"/>
      <c r="E9231" s="142"/>
      <c r="F9231" s="142"/>
      <c r="G9231" s="140"/>
    </row>
    <row r="9232" spans="2:7" hidden="1">
      <c r="B9232" s="140"/>
      <c r="C9232" s="140"/>
      <c r="D9232" s="140"/>
      <c r="E9232" s="142"/>
      <c r="F9232" s="142"/>
      <c r="G9232" s="140"/>
    </row>
    <row r="9233" spans="2:7" hidden="1">
      <c r="B9233" s="140"/>
      <c r="C9233" s="140"/>
      <c r="D9233" s="140"/>
      <c r="E9233" s="142"/>
      <c r="F9233" s="142"/>
      <c r="G9233" s="140"/>
    </row>
    <row r="9234" spans="2:7" hidden="1">
      <c r="B9234" s="140"/>
      <c r="C9234" s="140"/>
      <c r="D9234" s="140"/>
      <c r="E9234" s="142"/>
      <c r="F9234" s="142"/>
      <c r="G9234" s="140"/>
    </row>
    <row r="9235" spans="2:7" hidden="1">
      <c r="B9235" s="140"/>
      <c r="C9235" s="140"/>
      <c r="D9235" s="140"/>
      <c r="E9235" s="142"/>
      <c r="F9235" s="142"/>
      <c r="G9235" s="140"/>
    </row>
    <row r="9236" spans="2:7" hidden="1">
      <c r="B9236" s="140"/>
      <c r="C9236" s="140"/>
      <c r="D9236" s="140"/>
      <c r="E9236" s="142"/>
      <c r="F9236" s="142"/>
      <c r="G9236" s="140"/>
    </row>
    <row r="9237" spans="2:7" hidden="1">
      <c r="B9237" s="140"/>
      <c r="C9237" s="140"/>
      <c r="D9237" s="140"/>
      <c r="E9237" s="142"/>
      <c r="F9237" s="142"/>
      <c r="G9237" s="140"/>
    </row>
    <row r="9238" spans="2:7" hidden="1">
      <c r="B9238" s="140"/>
      <c r="C9238" s="140"/>
      <c r="D9238" s="140"/>
      <c r="E9238" s="142"/>
      <c r="F9238" s="142"/>
      <c r="G9238" s="140"/>
    </row>
    <row r="9239" spans="2:7" hidden="1">
      <c r="B9239" s="140"/>
      <c r="C9239" s="140"/>
      <c r="D9239" s="140"/>
      <c r="E9239" s="142"/>
      <c r="F9239" s="142"/>
      <c r="G9239" s="140"/>
    </row>
    <row r="9240" spans="2:7" hidden="1">
      <c r="B9240" s="140"/>
      <c r="C9240" s="140"/>
      <c r="D9240" s="140"/>
      <c r="E9240" s="142"/>
      <c r="F9240" s="142"/>
      <c r="G9240" s="140"/>
    </row>
    <row r="9241" spans="2:7" hidden="1">
      <c r="B9241" s="140"/>
      <c r="C9241" s="140"/>
      <c r="D9241" s="140"/>
      <c r="E9241" s="142"/>
      <c r="F9241" s="142"/>
      <c r="G9241" s="140"/>
    </row>
    <row r="9242" spans="2:7" hidden="1">
      <c r="B9242" s="140"/>
      <c r="C9242" s="140"/>
      <c r="D9242" s="140"/>
      <c r="E9242" s="142"/>
      <c r="F9242" s="142"/>
      <c r="G9242" s="140"/>
    </row>
    <row r="9243" spans="2:7" hidden="1">
      <c r="B9243" s="140"/>
      <c r="C9243" s="140"/>
      <c r="D9243" s="140"/>
      <c r="E9243" s="142"/>
      <c r="F9243" s="142"/>
      <c r="G9243" s="140"/>
    </row>
    <row r="9244" spans="2:7" hidden="1">
      <c r="B9244" s="140"/>
      <c r="C9244" s="140"/>
      <c r="D9244" s="140"/>
      <c r="E9244" s="142"/>
      <c r="F9244" s="142"/>
      <c r="G9244" s="140"/>
    </row>
    <row r="9245" spans="2:7" hidden="1">
      <c r="B9245" s="140"/>
      <c r="C9245" s="140"/>
      <c r="D9245" s="140"/>
      <c r="E9245" s="142"/>
      <c r="F9245" s="142"/>
      <c r="G9245" s="140"/>
    </row>
    <row r="9246" spans="2:7" hidden="1">
      <c r="B9246" s="140"/>
      <c r="C9246" s="140"/>
      <c r="D9246" s="140"/>
      <c r="E9246" s="142"/>
      <c r="F9246" s="142"/>
      <c r="G9246" s="140"/>
    </row>
    <row r="9247" spans="2:7" hidden="1">
      <c r="B9247" s="140"/>
      <c r="C9247" s="140"/>
      <c r="D9247" s="140"/>
      <c r="E9247" s="142"/>
      <c r="F9247" s="142"/>
      <c r="G9247" s="140"/>
    </row>
    <row r="9248" spans="2:7" hidden="1">
      <c r="B9248" s="140"/>
      <c r="C9248" s="140"/>
      <c r="D9248" s="140"/>
      <c r="E9248" s="142"/>
      <c r="F9248" s="142"/>
      <c r="G9248" s="140"/>
    </row>
    <row r="9249" spans="2:7" hidden="1">
      <c r="B9249" s="140"/>
      <c r="C9249" s="140"/>
      <c r="D9249" s="140"/>
      <c r="E9249" s="142"/>
      <c r="F9249" s="142"/>
      <c r="G9249" s="140"/>
    </row>
    <row r="9250" spans="2:7" hidden="1">
      <c r="B9250" s="140"/>
      <c r="C9250" s="140"/>
      <c r="D9250" s="140"/>
      <c r="E9250" s="142"/>
      <c r="F9250" s="142"/>
      <c r="G9250" s="140"/>
    </row>
    <row r="9251" spans="2:7" hidden="1">
      <c r="B9251" s="140"/>
      <c r="C9251" s="140"/>
      <c r="D9251" s="140"/>
      <c r="E9251" s="142"/>
      <c r="F9251" s="142"/>
      <c r="G9251" s="140"/>
    </row>
    <row r="9252" spans="2:7" hidden="1">
      <c r="B9252" s="140"/>
      <c r="C9252" s="140"/>
      <c r="D9252" s="140"/>
      <c r="E9252" s="142"/>
      <c r="F9252" s="142"/>
      <c r="G9252" s="140"/>
    </row>
    <row r="9253" spans="2:7" hidden="1">
      <c r="B9253" s="140"/>
      <c r="C9253" s="140"/>
      <c r="D9253" s="140"/>
      <c r="E9253" s="142"/>
      <c r="F9253" s="142"/>
      <c r="G9253" s="140"/>
    </row>
    <row r="9254" spans="2:7" hidden="1">
      <c r="B9254" s="140"/>
      <c r="C9254" s="140"/>
      <c r="D9254" s="140"/>
      <c r="E9254" s="142"/>
      <c r="F9254" s="142"/>
      <c r="G9254" s="140"/>
    </row>
    <row r="9255" spans="2:7" hidden="1">
      <c r="B9255" s="140"/>
      <c r="C9255" s="140"/>
      <c r="D9255" s="140"/>
      <c r="E9255" s="142"/>
      <c r="F9255" s="142"/>
      <c r="G9255" s="140"/>
    </row>
    <row r="9256" spans="2:7" hidden="1">
      <c r="B9256" s="140"/>
      <c r="C9256" s="140"/>
      <c r="D9256" s="140"/>
      <c r="E9256" s="142"/>
      <c r="F9256" s="142"/>
      <c r="G9256" s="140"/>
    </row>
    <row r="9257" spans="2:7" hidden="1">
      <c r="B9257" s="140"/>
      <c r="C9257" s="140"/>
      <c r="D9257" s="140"/>
      <c r="E9257" s="142"/>
      <c r="F9257" s="142"/>
      <c r="G9257" s="140"/>
    </row>
    <row r="9258" spans="2:7" hidden="1">
      <c r="B9258" s="140"/>
      <c r="C9258" s="140"/>
      <c r="D9258" s="140"/>
      <c r="E9258" s="142"/>
      <c r="F9258" s="142"/>
      <c r="G9258" s="140"/>
    </row>
    <row r="9259" spans="2:7" hidden="1">
      <c r="B9259" s="140"/>
      <c r="C9259" s="140"/>
      <c r="D9259" s="140"/>
      <c r="E9259" s="142"/>
      <c r="F9259" s="142"/>
      <c r="G9259" s="140"/>
    </row>
    <row r="9260" spans="2:7" hidden="1">
      <c r="B9260" s="140"/>
      <c r="C9260" s="140"/>
      <c r="D9260" s="140"/>
      <c r="E9260" s="142"/>
      <c r="F9260" s="142"/>
      <c r="G9260" s="140"/>
    </row>
    <row r="9261" spans="2:7" hidden="1">
      <c r="B9261" s="140"/>
      <c r="C9261" s="140"/>
      <c r="D9261" s="140"/>
      <c r="E9261" s="142"/>
      <c r="F9261" s="142"/>
      <c r="G9261" s="140"/>
    </row>
    <row r="9262" spans="2:7" hidden="1">
      <c r="B9262" s="140"/>
      <c r="C9262" s="140"/>
      <c r="D9262" s="140"/>
      <c r="E9262" s="142"/>
      <c r="F9262" s="142"/>
      <c r="G9262" s="140"/>
    </row>
    <row r="9263" spans="2:7" hidden="1">
      <c r="B9263" s="140"/>
      <c r="C9263" s="140"/>
      <c r="D9263" s="140"/>
      <c r="E9263" s="142"/>
      <c r="F9263" s="142"/>
      <c r="G9263" s="140"/>
    </row>
    <row r="9264" spans="2:7" hidden="1">
      <c r="B9264" s="140"/>
      <c r="C9264" s="140"/>
      <c r="D9264" s="140"/>
      <c r="E9264" s="142"/>
      <c r="F9264" s="142"/>
      <c r="G9264" s="140"/>
    </row>
    <row r="9265" spans="2:7" hidden="1">
      <c r="B9265" s="140"/>
      <c r="C9265" s="140"/>
      <c r="D9265" s="140"/>
      <c r="E9265" s="142"/>
      <c r="F9265" s="142"/>
      <c r="G9265" s="140"/>
    </row>
    <row r="9266" spans="2:7" hidden="1">
      <c r="B9266" s="140"/>
      <c r="C9266" s="140"/>
      <c r="D9266" s="140"/>
      <c r="E9266" s="142"/>
      <c r="F9266" s="142"/>
      <c r="G9266" s="140"/>
    </row>
    <row r="9267" spans="2:7" hidden="1">
      <c r="B9267" s="140"/>
      <c r="C9267" s="140"/>
      <c r="D9267" s="140"/>
      <c r="E9267" s="142"/>
      <c r="F9267" s="142"/>
      <c r="G9267" s="140"/>
    </row>
    <row r="9268" spans="2:7" hidden="1">
      <c r="B9268" s="140"/>
      <c r="C9268" s="140"/>
      <c r="D9268" s="140"/>
      <c r="E9268" s="142"/>
      <c r="F9268" s="142"/>
      <c r="G9268" s="140"/>
    </row>
    <row r="9269" spans="2:7" hidden="1">
      <c r="B9269" s="140"/>
      <c r="C9269" s="140"/>
      <c r="D9269" s="140"/>
      <c r="E9269" s="142"/>
      <c r="F9269" s="142"/>
      <c r="G9269" s="140"/>
    </row>
    <row r="9270" spans="2:7" hidden="1">
      <c r="B9270" s="140"/>
      <c r="C9270" s="140"/>
      <c r="D9270" s="140"/>
      <c r="E9270" s="142"/>
      <c r="F9270" s="142"/>
      <c r="G9270" s="140"/>
    </row>
    <row r="9271" spans="2:7" hidden="1">
      <c r="B9271" s="140"/>
      <c r="C9271" s="140"/>
      <c r="D9271" s="140"/>
      <c r="E9271" s="142"/>
      <c r="F9271" s="142"/>
      <c r="G9271" s="140"/>
    </row>
    <row r="9272" spans="2:7" hidden="1">
      <c r="B9272" s="140"/>
      <c r="C9272" s="140"/>
      <c r="D9272" s="140"/>
      <c r="E9272" s="142"/>
      <c r="F9272" s="142"/>
      <c r="G9272" s="140"/>
    </row>
    <row r="9273" spans="2:7" hidden="1">
      <c r="B9273" s="140"/>
      <c r="C9273" s="140"/>
      <c r="D9273" s="140"/>
      <c r="E9273" s="142"/>
      <c r="F9273" s="142"/>
      <c r="G9273" s="140"/>
    </row>
    <row r="9274" spans="2:7" hidden="1">
      <c r="B9274" s="140"/>
      <c r="C9274" s="140"/>
      <c r="D9274" s="140"/>
      <c r="E9274" s="142"/>
      <c r="F9274" s="142"/>
      <c r="G9274" s="140"/>
    </row>
    <row r="9275" spans="2:7" hidden="1">
      <c r="B9275" s="140"/>
      <c r="C9275" s="140"/>
      <c r="D9275" s="140"/>
      <c r="E9275" s="142"/>
      <c r="F9275" s="142"/>
      <c r="G9275" s="140"/>
    </row>
    <row r="9276" spans="2:7" hidden="1">
      <c r="B9276" s="140"/>
      <c r="C9276" s="140"/>
      <c r="D9276" s="140"/>
      <c r="E9276" s="142"/>
      <c r="F9276" s="142"/>
      <c r="G9276" s="140"/>
    </row>
    <row r="9277" spans="2:7" hidden="1">
      <c r="B9277" s="140"/>
      <c r="C9277" s="140"/>
      <c r="D9277" s="140"/>
      <c r="E9277" s="142"/>
      <c r="F9277" s="142"/>
      <c r="G9277" s="140"/>
    </row>
    <row r="9278" spans="2:7" hidden="1">
      <c r="B9278" s="140"/>
      <c r="C9278" s="140"/>
      <c r="D9278" s="140"/>
      <c r="E9278" s="142"/>
      <c r="F9278" s="142"/>
      <c r="G9278" s="140"/>
    </row>
    <row r="9279" spans="2:7" hidden="1">
      <c r="B9279" s="140"/>
      <c r="C9279" s="140"/>
      <c r="D9279" s="140"/>
      <c r="E9279" s="142"/>
      <c r="F9279" s="142"/>
      <c r="G9279" s="140"/>
    </row>
    <row r="9280" spans="2:7" hidden="1">
      <c r="B9280" s="140"/>
      <c r="C9280" s="140"/>
      <c r="D9280" s="140"/>
      <c r="E9280" s="142"/>
      <c r="F9280" s="142"/>
      <c r="G9280" s="140"/>
    </row>
    <row r="9281" spans="2:7" hidden="1">
      <c r="B9281" s="140"/>
      <c r="C9281" s="140"/>
      <c r="D9281" s="140"/>
      <c r="E9281" s="142"/>
      <c r="F9281" s="142"/>
      <c r="G9281" s="140"/>
    </row>
    <row r="9282" spans="2:7" hidden="1">
      <c r="B9282" s="140"/>
      <c r="C9282" s="140"/>
      <c r="D9282" s="140"/>
      <c r="E9282" s="142"/>
      <c r="F9282" s="142"/>
      <c r="G9282" s="140"/>
    </row>
    <row r="9283" spans="2:7" hidden="1">
      <c r="B9283" s="140"/>
      <c r="C9283" s="140"/>
      <c r="D9283" s="140"/>
      <c r="E9283" s="142"/>
      <c r="F9283" s="142"/>
      <c r="G9283" s="140"/>
    </row>
    <row r="9284" spans="2:7" hidden="1">
      <c r="B9284" s="140"/>
      <c r="C9284" s="140"/>
      <c r="D9284" s="140"/>
      <c r="E9284" s="142"/>
      <c r="F9284" s="142"/>
      <c r="G9284" s="140"/>
    </row>
    <row r="9285" spans="2:7" hidden="1">
      <c r="B9285" s="140"/>
      <c r="C9285" s="140"/>
      <c r="D9285" s="140"/>
      <c r="E9285" s="142"/>
      <c r="F9285" s="142"/>
      <c r="G9285" s="140"/>
    </row>
    <row r="9286" spans="2:7" hidden="1">
      <c r="B9286" s="140"/>
      <c r="C9286" s="140"/>
      <c r="D9286" s="140"/>
      <c r="E9286" s="142"/>
      <c r="F9286" s="142"/>
      <c r="G9286" s="140"/>
    </row>
    <row r="9287" spans="2:7" hidden="1">
      <c r="B9287" s="140"/>
      <c r="C9287" s="140"/>
      <c r="D9287" s="140"/>
      <c r="E9287" s="142"/>
      <c r="F9287" s="142"/>
      <c r="G9287" s="140"/>
    </row>
    <row r="9288" spans="2:7" hidden="1">
      <c r="B9288" s="140"/>
      <c r="C9288" s="140"/>
      <c r="D9288" s="140"/>
      <c r="E9288" s="142"/>
      <c r="F9288" s="142"/>
      <c r="G9288" s="140"/>
    </row>
    <row r="9289" spans="2:7" hidden="1">
      <c r="B9289" s="140"/>
      <c r="C9289" s="140"/>
      <c r="D9289" s="140"/>
      <c r="E9289" s="142"/>
      <c r="F9289" s="142"/>
      <c r="G9289" s="140"/>
    </row>
    <row r="9290" spans="2:7" hidden="1">
      <c r="B9290" s="140"/>
      <c r="C9290" s="140"/>
      <c r="D9290" s="140"/>
      <c r="E9290" s="142"/>
      <c r="F9290" s="142"/>
      <c r="G9290" s="140"/>
    </row>
    <row r="9291" spans="2:7" hidden="1">
      <c r="B9291" s="140"/>
      <c r="C9291" s="140"/>
      <c r="D9291" s="140"/>
      <c r="E9291" s="142"/>
      <c r="F9291" s="142"/>
      <c r="G9291" s="140"/>
    </row>
    <row r="9292" spans="2:7" hidden="1">
      <c r="B9292" s="140"/>
      <c r="C9292" s="140"/>
      <c r="D9292" s="140"/>
      <c r="E9292" s="142"/>
      <c r="F9292" s="142"/>
      <c r="G9292" s="140"/>
    </row>
    <row r="9293" spans="2:7" hidden="1">
      <c r="B9293" s="140"/>
      <c r="C9293" s="140"/>
      <c r="D9293" s="140"/>
      <c r="E9293" s="142"/>
      <c r="F9293" s="142"/>
      <c r="G9293" s="140"/>
    </row>
    <row r="9294" spans="2:7" hidden="1">
      <c r="B9294" s="140"/>
      <c r="C9294" s="140"/>
      <c r="D9294" s="140"/>
      <c r="E9294" s="142"/>
      <c r="F9294" s="142"/>
      <c r="G9294" s="140"/>
    </row>
    <row r="9295" spans="2:7" hidden="1">
      <c r="B9295" s="140"/>
      <c r="C9295" s="140"/>
      <c r="D9295" s="140"/>
      <c r="E9295" s="142"/>
      <c r="F9295" s="142"/>
      <c r="G9295" s="140"/>
    </row>
    <row r="9296" spans="2:7" hidden="1">
      <c r="B9296" s="140"/>
      <c r="C9296" s="140"/>
      <c r="D9296" s="140"/>
      <c r="E9296" s="142"/>
      <c r="F9296" s="142"/>
      <c r="G9296" s="140"/>
    </row>
    <row r="9297" spans="2:7" hidden="1">
      <c r="B9297" s="140"/>
      <c r="C9297" s="140"/>
      <c r="D9297" s="140"/>
      <c r="E9297" s="142"/>
      <c r="F9297" s="142"/>
      <c r="G9297" s="140"/>
    </row>
    <row r="9298" spans="2:7" hidden="1">
      <c r="B9298" s="140"/>
      <c r="C9298" s="140"/>
      <c r="D9298" s="140"/>
      <c r="E9298" s="142"/>
      <c r="F9298" s="142"/>
      <c r="G9298" s="140"/>
    </row>
    <row r="9299" spans="2:7" hidden="1">
      <c r="B9299" s="140"/>
      <c r="C9299" s="140"/>
      <c r="D9299" s="140"/>
      <c r="E9299" s="142"/>
      <c r="F9299" s="142"/>
      <c r="G9299" s="140"/>
    </row>
    <row r="9300" spans="2:7" hidden="1">
      <c r="B9300" s="140"/>
      <c r="C9300" s="140"/>
      <c r="D9300" s="140"/>
      <c r="E9300" s="142"/>
      <c r="F9300" s="142"/>
      <c r="G9300" s="140"/>
    </row>
    <row r="9301" spans="2:7" hidden="1">
      <c r="B9301" s="140"/>
      <c r="C9301" s="140"/>
      <c r="D9301" s="140"/>
      <c r="E9301" s="142"/>
      <c r="F9301" s="142"/>
      <c r="G9301" s="140"/>
    </row>
    <row r="9302" spans="2:7" hidden="1">
      <c r="B9302" s="140"/>
      <c r="C9302" s="140"/>
      <c r="D9302" s="140"/>
      <c r="E9302" s="142"/>
      <c r="F9302" s="142"/>
      <c r="G9302" s="140"/>
    </row>
    <row r="9303" spans="2:7" hidden="1">
      <c r="B9303" s="140"/>
      <c r="C9303" s="140"/>
      <c r="D9303" s="140"/>
      <c r="E9303" s="142"/>
      <c r="F9303" s="142"/>
      <c r="G9303" s="140"/>
    </row>
    <row r="9304" spans="2:7" hidden="1">
      <c r="B9304" s="140"/>
      <c r="C9304" s="140"/>
      <c r="D9304" s="140"/>
      <c r="E9304" s="142"/>
      <c r="F9304" s="142"/>
      <c r="G9304" s="140"/>
    </row>
    <row r="9305" spans="2:7" hidden="1">
      <c r="B9305" s="140"/>
      <c r="C9305" s="140"/>
      <c r="D9305" s="140"/>
      <c r="E9305" s="142"/>
      <c r="F9305" s="142"/>
      <c r="G9305" s="140"/>
    </row>
    <row r="9306" spans="2:7" hidden="1">
      <c r="B9306" s="140"/>
      <c r="C9306" s="140"/>
      <c r="D9306" s="140"/>
      <c r="E9306" s="142"/>
      <c r="F9306" s="142"/>
      <c r="G9306" s="140"/>
    </row>
    <row r="9307" spans="2:7" hidden="1">
      <c r="B9307" s="140"/>
      <c r="C9307" s="140"/>
      <c r="D9307" s="140"/>
      <c r="E9307" s="142"/>
      <c r="F9307" s="142"/>
      <c r="G9307" s="140"/>
    </row>
    <row r="9308" spans="2:7" hidden="1">
      <c r="B9308" s="140"/>
      <c r="C9308" s="140"/>
      <c r="D9308" s="140"/>
      <c r="E9308" s="142"/>
      <c r="F9308" s="142"/>
      <c r="G9308" s="140"/>
    </row>
    <row r="9309" spans="2:7" hidden="1">
      <c r="B9309" s="140"/>
      <c r="C9309" s="140"/>
      <c r="D9309" s="140"/>
      <c r="E9309" s="142"/>
      <c r="F9309" s="142"/>
      <c r="G9309" s="140"/>
    </row>
    <row r="9310" spans="2:7" hidden="1">
      <c r="B9310" s="140"/>
      <c r="C9310" s="140"/>
      <c r="D9310" s="140"/>
      <c r="E9310" s="142"/>
      <c r="F9310" s="142"/>
      <c r="G9310" s="140"/>
    </row>
    <row r="9311" spans="2:7" hidden="1">
      <c r="B9311" s="140"/>
      <c r="C9311" s="140"/>
      <c r="D9311" s="140"/>
      <c r="E9311" s="142"/>
      <c r="F9311" s="142"/>
      <c r="G9311" s="140"/>
    </row>
    <row r="9312" spans="2:7" hidden="1">
      <c r="B9312" s="140"/>
      <c r="C9312" s="140"/>
      <c r="D9312" s="140"/>
      <c r="E9312" s="142"/>
      <c r="F9312" s="142"/>
      <c r="G9312" s="140"/>
    </row>
    <row r="9313" spans="2:7" hidden="1">
      <c r="B9313" s="140"/>
      <c r="C9313" s="140"/>
      <c r="D9313" s="140"/>
      <c r="E9313" s="142"/>
      <c r="F9313" s="142"/>
      <c r="G9313" s="140"/>
    </row>
    <row r="9314" spans="2:7" hidden="1">
      <c r="B9314" s="140"/>
      <c r="C9314" s="140"/>
      <c r="D9314" s="140"/>
      <c r="E9314" s="142"/>
      <c r="F9314" s="142"/>
      <c r="G9314" s="140"/>
    </row>
    <row r="9315" spans="2:7" hidden="1">
      <c r="B9315" s="140"/>
      <c r="C9315" s="140"/>
      <c r="D9315" s="140"/>
      <c r="E9315" s="142"/>
      <c r="F9315" s="142"/>
      <c r="G9315" s="140"/>
    </row>
    <row r="9316" spans="2:7" hidden="1">
      <c r="B9316" s="140"/>
      <c r="C9316" s="140"/>
      <c r="D9316" s="140"/>
      <c r="E9316" s="142"/>
      <c r="F9316" s="142"/>
      <c r="G9316" s="140"/>
    </row>
    <row r="9317" spans="2:7" hidden="1">
      <c r="B9317" s="140"/>
      <c r="C9317" s="140"/>
      <c r="D9317" s="140"/>
      <c r="E9317" s="142"/>
      <c r="F9317" s="142"/>
      <c r="G9317" s="140"/>
    </row>
    <row r="9318" spans="2:7" hidden="1">
      <c r="B9318" s="140"/>
      <c r="C9318" s="140"/>
      <c r="D9318" s="140"/>
      <c r="E9318" s="142"/>
      <c r="F9318" s="142"/>
      <c r="G9318" s="140"/>
    </row>
    <row r="9319" spans="2:7" hidden="1">
      <c r="B9319" s="140"/>
      <c r="C9319" s="140"/>
      <c r="D9319" s="140"/>
      <c r="E9319" s="142"/>
      <c r="F9319" s="142"/>
      <c r="G9319" s="140"/>
    </row>
    <row r="9320" spans="2:7" hidden="1">
      <c r="B9320" s="140"/>
      <c r="C9320" s="140"/>
      <c r="D9320" s="140"/>
      <c r="E9320" s="142"/>
      <c r="F9320" s="142"/>
      <c r="G9320" s="140"/>
    </row>
    <row r="9321" spans="2:7" hidden="1">
      <c r="B9321" s="140"/>
      <c r="C9321" s="140"/>
      <c r="D9321" s="140"/>
      <c r="E9321" s="142"/>
      <c r="F9321" s="142"/>
      <c r="G9321" s="140"/>
    </row>
    <row r="9322" spans="2:7" hidden="1">
      <c r="B9322" s="140"/>
      <c r="C9322" s="140"/>
      <c r="D9322" s="140"/>
      <c r="E9322" s="142"/>
      <c r="F9322" s="142"/>
      <c r="G9322" s="140"/>
    </row>
    <row r="9323" spans="2:7" hidden="1">
      <c r="B9323" s="140"/>
      <c r="C9323" s="140"/>
      <c r="D9323" s="140"/>
      <c r="E9323" s="142"/>
      <c r="F9323" s="142"/>
      <c r="G9323" s="140"/>
    </row>
    <row r="9324" spans="2:7" hidden="1">
      <c r="B9324" s="140"/>
      <c r="C9324" s="140"/>
      <c r="D9324" s="140"/>
      <c r="E9324" s="142"/>
      <c r="F9324" s="142"/>
      <c r="G9324" s="140"/>
    </row>
    <row r="9325" spans="2:7" hidden="1">
      <c r="B9325" s="140"/>
      <c r="C9325" s="140"/>
      <c r="D9325" s="140"/>
      <c r="E9325" s="142"/>
      <c r="F9325" s="142"/>
      <c r="G9325" s="140"/>
    </row>
    <row r="9326" spans="2:7" hidden="1">
      <c r="B9326" s="140"/>
      <c r="C9326" s="140"/>
      <c r="D9326" s="140"/>
      <c r="E9326" s="142"/>
      <c r="F9326" s="142"/>
      <c r="G9326" s="140"/>
    </row>
    <row r="9327" spans="2:7" hidden="1">
      <c r="B9327" s="140"/>
      <c r="C9327" s="140"/>
      <c r="D9327" s="140"/>
      <c r="E9327" s="142"/>
      <c r="F9327" s="142"/>
      <c r="G9327" s="140"/>
    </row>
    <row r="9328" spans="2:7" hidden="1">
      <c r="B9328" s="140"/>
      <c r="C9328" s="140"/>
      <c r="D9328" s="140"/>
      <c r="E9328" s="142"/>
      <c r="F9328" s="142"/>
      <c r="G9328" s="140"/>
    </row>
    <row r="9329" spans="2:7" hidden="1">
      <c r="B9329" s="140"/>
      <c r="C9329" s="140"/>
      <c r="D9329" s="140"/>
      <c r="E9329" s="142"/>
      <c r="F9329" s="142"/>
      <c r="G9329" s="140"/>
    </row>
    <row r="9330" spans="2:7" hidden="1">
      <c r="B9330" s="140"/>
      <c r="C9330" s="140"/>
      <c r="D9330" s="140"/>
      <c r="E9330" s="142"/>
      <c r="F9330" s="142"/>
      <c r="G9330" s="140"/>
    </row>
    <row r="9331" spans="2:7" hidden="1">
      <c r="B9331" s="140"/>
      <c r="C9331" s="140"/>
      <c r="D9331" s="140"/>
      <c r="E9331" s="142"/>
      <c r="F9331" s="142"/>
      <c r="G9331" s="140"/>
    </row>
    <row r="9332" spans="2:7" hidden="1">
      <c r="B9332" s="140"/>
      <c r="C9332" s="140"/>
      <c r="D9332" s="140"/>
      <c r="E9332" s="142"/>
      <c r="F9332" s="142"/>
      <c r="G9332" s="140"/>
    </row>
    <row r="9333" spans="2:7" hidden="1">
      <c r="B9333" s="140"/>
      <c r="C9333" s="140"/>
      <c r="D9333" s="140"/>
      <c r="E9333" s="142"/>
      <c r="F9333" s="142"/>
      <c r="G9333" s="140"/>
    </row>
    <row r="9334" spans="2:7" hidden="1">
      <c r="B9334" s="140"/>
      <c r="C9334" s="140"/>
      <c r="D9334" s="140"/>
      <c r="E9334" s="142"/>
      <c r="F9334" s="142"/>
      <c r="G9334" s="140"/>
    </row>
    <row r="9335" spans="2:7" hidden="1">
      <c r="B9335" s="140"/>
      <c r="C9335" s="140"/>
      <c r="D9335" s="140"/>
      <c r="E9335" s="142"/>
      <c r="F9335" s="142"/>
      <c r="G9335" s="140"/>
    </row>
    <row r="9336" spans="2:7" hidden="1">
      <c r="B9336" s="140"/>
      <c r="C9336" s="140"/>
      <c r="D9336" s="140"/>
      <c r="E9336" s="142"/>
      <c r="F9336" s="142"/>
      <c r="G9336" s="140"/>
    </row>
    <row r="9337" spans="2:7" hidden="1">
      <c r="B9337" s="140"/>
      <c r="C9337" s="140"/>
      <c r="D9337" s="140"/>
      <c r="E9337" s="142"/>
      <c r="F9337" s="142"/>
      <c r="G9337" s="140"/>
    </row>
    <row r="9338" spans="2:7" hidden="1">
      <c r="B9338" s="140"/>
      <c r="C9338" s="140"/>
      <c r="D9338" s="140"/>
      <c r="E9338" s="142"/>
      <c r="F9338" s="142"/>
      <c r="G9338" s="140"/>
    </row>
    <row r="9339" spans="2:7" hidden="1">
      <c r="B9339" s="140"/>
      <c r="C9339" s="140"/>
      <c r="D9339" s="140"/>
      <c r="E9339" s="142"/>
      <c r="F9339" s="142"/>
      <c r="G9339" s="140"/>
    </row>
    <row r="9340" spans="2:7" hidden="1">
      <c r="B9340" s="140"/>
      <c r="C9340" s="140"/>
      <c r="D9340" s="140"/>
      <c r="E9340" s="142"/>
      <c r="F9340" s="142"/>
      <c r="G9340" s="140"/>
    </row>
    <row r="9341" spans="2:7" hidden="1">
      <c r="B9341" s="140"/>
      <c r="C9341" s="140"/>
      <c r="D9341" s="140"/>
      <c r="E9341" s="142"/>
      <c r="F9341" s="142"/>
      <c r="G9341" s="140"/>
    </row>
    <row r="9342" spans="2:7" hidden="1">
      <c r="B9342" s="140"/>
      <c r="C9342" s="140"/>
      <c r="D9342" s="140"/>
      <c r="E9342" s="142"/>
      <c r="F9342" s="142"/>
      <c r="G9342" s="140"/>
    </row>
    <row r="9343" spans="2:7" hidden="1">
      <c r="B9343" s="140"/>
      <c r="C9343" s="140"/>
      <c r="D9343" s="140"/>
      <c r="E9343" s="142"/>
      <c r="F9343" s="142"/>
      <c r="G9343" s="140"/>
    </row>
    <row r="9344" spans="2:7" hidden="1">
      <c r="B9344" s="140"/>
      <c r="C9344" s="140"/>
      <c r="D9344" s="140"/>
      <c r="E9344" s="142"/>
      <c r="F9344" s="142"/>
      <c r="G9344" s="140"/>
    </row>
    <row r="9345" spans="2:7" hidden="1">
      <c r="B9345" s="140"/>
      <c r="C9345" s="140"/>
      <c r="D9345" s="140"/>
      <c r="E9345" s="142"/>
      <c r="F9345" s="142"/>
      <c r="G9345" s="140"/>
    </row>
    <row r="9346" spans="2:7" hidden="1">
      <c r="B9346" s="140"/>
      <c r="C9346" s="140"/>
      <c r="D9346" s="140"/>
      <c r="E9346" s="142"/>
      <c r="F9346" s="142"/>
      <c r="G9346" s="140"/>
    </row>
    <row r="9347" spans="2:7" hidden="1">
      <c r="B9347" s="140"/>
      <c r="C9347" s="140"/>
      <c r="D9347" s="140"/>
      <c r="E9347" s="142"/>
      <c r="F9347" s="142"/>
      <c r="G9347" s="140"/>
    </row>
    <row r="9348" spans="2:7" hidden="1">
      <c r="B9348" s="140"/>
      <c r="C9348" s="140"/>
      <c r="D9348" s="140"/>
      <c r="E9348" s="142"/>
      <c r="F9348" s="142"/>
      <c r="G9348" s="140"/>
    </row>
    <row r="9349" spans="2:7" hidden="1">
      <c r="B9349" s="140"/>
      <c r="C9349" s="140"/>
      <c r="D9349" s="140"/>
      <c r="E9349" s="142"/>
      <c r="F9349" s="142"/>
      <c r="G9349" s="140"/>
    </row>
    <row r="9350" spans="2:7" hidden="1">
      <c r="B9350" s="140"/>
      <c r="C9350" s="140"/>
      <c r="D9350" s="140"/>
      <c r="E9350" s="142"/>
      <c r="F9350" s="142"/>
      <c r="G9350" s="140"/>
    </row>
    <row r="9351" spans="2:7" hidden="1">
      <c r="B9351" s="140"/>
      <c r="C9351" s="140"/>
      <c r="D9351" s="140"/>
      <c r="E9351" s="142"/>
      <c r="F9351" s="142"/>
      <c r="G9351" s="140"/>
    </row>
    <row r="9352" spans="2:7" hidden="1">
      <c r="B9352" s="140"/>
      <c r="C9352" s="140"/>
      <c r="D9352" s="140"/>
      <c r="E9352" s="142"/>
      <c r="F9352" s="142"/>
      <c r="G9352" s="140"/>
    </row>
    <row r="9353" spans="2:7" hidden="1">
      <c r="B9353" s="140"/>
      <c r="C9353" s="140"/>
      <c r="D9353" s="140"/>
      <c r="E9353" s="142"/>
      <c r="F9353" s="142"/>
      <c r="G9353" s="140"/>
    </row>
    <row r="9354" spans="2:7" hidden="1">
      <c r="B9354" s="140"/>
      <c r="C9354" s="140"/>
      <c r="D9354" s="140"/>
      <c r="E9354" s="142"/>
      <c r="F9354" s="142"/>
      <c r="G9354" s="140"/>
    </row>
    <row r="9355" spans="2:7" hidden="1">
      <c r="B9355" s="140"/>
      <c r="C9355" s="140"/>
      <c r="D9355" s="140"/>
      <c r="E9355" s="142"/>
      <c r="F9355" s="142"/>
      <c r="G9355" s="140"/>
    </row>
    <row r="9356" spans="2:7" hidden="1">
      <c r="B9356" s="140"/>
      <c r="C9356" s="140"/>
      <c r="D9356" s="140"/>
      <c r="E9356" s="142"/>
      <c r="F9356" s="142"/>
      <c r="G9356" s="140"/>
    </row>
    <row r="9357" spans="2:7" hidden="1">
      <c r="B9357" s="140"/>
      <c r="C9357" s="140"/>
      <c r="D9357" s="140"/>
      <c r="E9357" s="142"/>
      <c r="F9357" s="142"/>
      <c r="G9357" s="140"/>
    </row>
    <row r="9358" spans="2:7" hidden="1">
      <c r="B9358" s="140"/>
      <c r="C9358" s="140"/>
      <c r="D9358" s="140"/>
      <c r="E9358" s="142"/>
      <c r="F9358" s="142"/>
      <c r="G9358" s="140"/>
    </row>
    <row r="9359" spans="2:7" hidden="1">
      <c r="B9359" s="140"/>
      <c r="C9359" s="140"/>
      <c r="D9359" s="140"/>
      <c r="E9359" s="142"/>
      <c r="F9359" s="142"/>
      <c r="G9359" s="140"/>
    </row>
    <row r="9360" spans="2:7" hidden="1">
      <c r="B9360" s="140"/>
      <c r="C9360" s="140"/>
      <c r="D9360" s="140"/>
      <c r="E9360" s="142"/>
      <c r="F9360" s="142"/>
      <c r="G9360" s="140"/>
    </row>
    <row r="9361" spans="2:7" hidden="1">
      <c r="B9361" s="140"/>
      <c r="C9361" s="140"/>
      <c r="D9361" s="140"/>
      <c r="E9361" s="142"/>
      <c r="F9361" s="142"/>
      <c r="G9361" s="140"/>
    </row>
    <row r="9362" spans="2:7" hidden="1">
      <c r="B9362" s="140"/>
      <c r="C9362" s="140"/>
      <c r="D9362" s="140"/>
      <c r="E9362" s="142"/>
      <c r="F9362" s="142"/>
      <c r="G9362" s="140"/>
    </row>
    <row r="9363" spans="2:7" hidden="1">
      <c r="B9363" s="140"/>
      <c r="C9363" s="140"/>
      <c r="D9363" s="140"/>
      <c r="E9363" s="142"/>
      <c r="F9363" s="142"/>
      <c r="G9363" s="140"/>
    </row>
    <row r="9364" spans="2:7" hidden="1">
      <c r="B9364" s="140"/>
      <c r="C9364" s="140"/>
      <c r="D9364" s="140"/>
      <c r="E9364" s="142"/>
      <c r="F9364" s="142"/>
      <c r="G9364" s="140"/>
    </row>
    <row r="9365" spans="2:7" hidden="1">
      <c r="B9365" s="140"/>
      <c r="C9365" s="140"/>
      <c r="D9365" s="140"/>
      <c r="E9365" s="142"/>
      <c r="F9365" s="142"/>
      <c r="G9365" s="140"/>
    </row>
    <row r="9366" spans="2:7" hidden="1">
      <c r="B9366" s="140"/>
      <c r="C9366" s="140"/>
      <c r="D9366" s="140"/>
      <c r="E9366" s="142"/>
      <c r="F9366" s="142"/>
      <c r="G9366" s="140"/>
    </row>
    <row r="9367" spans="2:7" hidden="1">
      <c r="B9367" s="140"/>
      <c r="C9367" s="140"/>
      <c r="D9367" s="140"/>
      <c r="E9367" s="142"/>
      <c r="F9367" s="142"/>
      <c r="G9367" s="140"/>
    </row>
    <row r="9368" spans="2:7" hidden="1">
      <c r="B9368" s="140"/>
      <c r="C9368" s="140"/>
      <c r="D9368" s="140"/>
      <c r="E9368" s="142"/>
      <c r="F9368" s="142"/>
      <c r="G9368" s="140"/>
    </row>
    <row r="9369" spans="2:7" hidden="1">
      <c r="B9369" s="140"/>
      <c r="C9369" s="140"/>
      <c r="D9369" s="140"/>
      <c r="E9369" s="142"/>
      <c r="F9369" s="142"/>
      <c r="G9369" s="140"/>
    </row>
    <row r="9370" spans="2:7" hidden="1">
      <c r="B9370" s="140"/>
      <c r="C9370" s="140"/>
      <c r="D9370" s="140"/>
      <c r="E9370" s="142"/>
      <c r="F9370" s="142"/>
      <c r="G9370" s="140"/>
    </row>
    <row r="9371" spans="2:7" hidden="1">
      <c r="B9371" s="140"/>
      <c r="C9371" s="140"/>
      <c r="D9371" s="140"/>
      <c r="E9371" s="142"/>
      <c r="F9371" s="142"/>
      <c r="G9371" s="140"/>
    </row>
    <row r="9372" spans="2:7" hidden="1">
      <c r="B9372" s="140"/>
      <c r="C9372" s="140"/>
      <c r="D9372" s="140"/>
      <c r="E9372" s="142"/>
      <c r="F9372" s="142"/>
      <c r="G9372" s="140"/>
    </row>
    <row r="9373" spans="2:7" hidden="1">
      <c r="B9373" s="140"/>
      <c r="C9373" s="140"/>
      <c r="D9373" s="140"/>
      <c r="E9373" s="142"/>
      <c r="F9373" s="142"/>
      <c r="G9373" s="140"/>
    </row>
    <row r="9374" spans="2:7" hidden="1">
      <c r="B9374" s="140"/>
      <c r="C9374" s="140"/>
      <c r="D9374" s="140"/>
      <c r="E9374" s="142"/>
      <c r="F9374" s="142"/>
      <c r="G9374" s="140"/>
    </row>
    <row r="9375" spans="2:7" hidden="1">
      <c r="B9375" s="140"/>
      <c r="C9375" s="140"/>
      <c r="D9375" s="140"/>
      <c r="E9375" s="142"/>
      <c r="F9375" s="142"/>
      <c r="G9375" s="140"/>
    </row>
    <row r="9376" spans="2:7" hidden="1">
      <c r="B9376" s="140"/>
      <c r="C9376" s="140"/>
      <c r="D9376" s="140"/>
      <c r="E9376" s="142"/>
      <c r="F9376" s="142"/>
      <c r="G9376" s="140"/>
    </row>
    <row r="9377" spans="2:7" hidden="1">
      <c r="B9377" s="140"/>
      <c r="C9377" s="140"/>
      <c r="D9377" s="140"/>
      <c r="E9377" s="142"/>
      <c r="F9377" s="142"/>
      <c r="G9377" s="140"/>
    </row>
    <row r="9378" spans="2:7" hidden="1">
      <c r="B9378" s="140"/>
      <c r="C9378" s="140"/>
      <c r="D9378" s="140"/>
      <c r="E9378" s="142"/>
      <c r="F9378" s="142"/>
      <c r="G9378" s="140"/>
    </row>
    <row r="9379" spans="2:7" hidden="1">
      <c r="B9379" s="140"/>
      <c r="C9379" s="140"/>
      <c r="D9379" s="140"/>
      <c r="E9379" s="142"/>
      <c r="F9379" s="142"/>
      <c r="G9379" s="140"/>
    </row>
    <row r="9380" spans="2:7" hidden="1">
      <c r="B9380" s="140"/>
      <c r="C9380" s="140"/>
      <c r="D9380" s="140"/>
      <c r="E9380" s="142"/>
      <c r="F9380" s="142"/>
      <c r="G9380" s="140"/>
    </row>
    <row r="9381" spans="2:7" hidden="1">
      <c r="B9381" s="140"/>
      <c r="C9381" s="140"/>
      <c r="D9381" s="140"/>
      <c r="E9381" s="142"/>
      <c r="F9381" s="142"/>
      <c r="G9381" s="140"/>
    </row>
    <row r="9382" spans="2:7" hidden="1">
      <c r="B9382" s="140"/>
      <c r="C9382" s="140"/>
      <c r="D9382" s="140"/>
      <c r="E9382" s="142"/>
      <c r="F9382" s="142"/>
      <c r="G9382" s="140"/>
    </row>
    <row r="9383" spans="2:7" hidden="1">
      <c r="B9383" s="140"/>
      <c r="C9383" s="140"/>
      <c r="D9383" s="140"/>
      <c r="E9383" s="142"/>
      <c r="F9383" s="142"/>
      <c r="G9383" s="140"/>
    </row>
    <row r="9384" spans="2:7" hidden="1">
      <c r="B9384" s="140"/>
      <c r="C9384" s="140"/>
      <c r="D9384" s="140"/>
      <c r="E9384" s="142"/>
      <c r="F9384" s="142"/>
      <c r="G9384" s="140"/>
    </row>
    <row r="9385" spans="2:7" hidden="1">
      <c r="B9385" s="140"/>
      <c r="C9385" s="140"/>
      <c r="D9385" s="140"/>
      <c r="E9385" s="142"/>
      <c r="F9385" s="142"/>
      <c r="G9385" s="140"/>
    </row>
    <row r="9386" spans="2:7" hidden="1">
      <c r="B9386" s="140"/>
      <c r="C9386" s="140"/>
      <c r="D9386" s="140"/>
      <c r="E9386" s="142"/>
      <c r="F9386" s="142"/>
      <c r="G9386" s="140"/>
    </row>
    <row r="9387" spans="2:7" hidden="1">
      <c r="B9387" s="140"/>
      <c r="C9387" s="140"/>
      <c r="D9387" s="140"/>
      <c r="E9387" s="142"/>
      <c r="F9387" s="142"/>
      <c r="G9387" s="140"/>
    </row>
    <row r="9388" spans="2:7" hidden="1">
      <c r="B9388" s="140"/>
      <c r="C9388" s="140"/>
      <c r="D9388" s="140"/>
      <c r="E9388" s="142"/>
      <c r="F9388" s="142"/>
      <c r="G9388" s="140"/>
    </row>
    <row r="9389" spans="2:7" hidden="1">
      <c r="B9389" s="140"/>
      <c r="C9389" s="140"/>
      <c r="D9389" s="140"/>
      <c r="E9389" s="142"/>
      <c r="F9389" s="142"/>
      <c r="G9389" s="140"/>
    </row>
    <row r="9390" spans="2:7" hidden="1">
      <c r="B9390" s="140"/>
      <c r="C9390" s="140"/>
      <c r="D9390" s="140"/>
      <c r="E9390" s="142"/>
      <c r="F9390" s="142"/>
      <c r="G9390" s="140"/>
    </row>
    <row r="9391" spans="2:7" hidden="1">
      <c r="B9391" s="140"/>
      <c r="C9391" s="140"/>
      <c r="D9391" s="140"/>
      <c r="E9391" s="142"/>
      <c r="F9391" s="142"/>
      <c r="G9391" s="140"/>
    </row>
    <row r="9392" spans="2:7" hidden="1">
      <c r="B9392" s="140"/>
      <c r="C9392" s="140"/>
      <c r="D9392" s="140"/>
      <c r="E9392" s="142"/>
      <c r="F9392" s="142"/>
      <c r="G9392" s="140"/>
    </row>
    <row r="9393" spans="2:7" hidden="1">
      <c r="B9393" s="140"/>
      <c r="C9393" s="140"/>
      <c r="D9393" s="140"/>
      <c r="E9393" s="142"/>
      <c r="F9393" s="142"/>
      <c r="G9393" s="140"/>
    </row>
    <row r="9394" spans="2:7" hidden="1">
      <c r="B9394" s="140"/>
      <c r="C9394" s="140"/>
      <c r="D9394" s="140"/>
      <c r="E9394" s="142"/>
      <c r="F9394" s="142"/>
      <c r="G9394" s="140"/>
    </row>
    <row r="9395" spans="2:7" hidden="1">
      <c r="B9395" s="140"/>
      <c r="C9395" s="140"/>
      <c r="D9395" s="140"/>
      <c r="E9395" s="142"/>
      <c r="F9395" s="142"/>
      <c r="G9395" s="140"/>
    </row>
    <row r="9396" spans="2:7" hidden="1">
      <c r="B9396" s="140"/>
      <c r="C9396" s="140"/>
      <c r="D9396" s="140"/>
      <c r="E9396" s="142"/>
      <c r="F9396" s="142"/>
      <c r="G9396" s="140"/>
    </row>
    <row r="9397" spans="2:7" hidden="1">
      <c r="B9397" s="140"/>
      <c r="C9397" s="140"/>
      <c r="D9397" s="140"/>
      <c r="E9397" s="142"/>
      <c r="F9397" s="142"/>
      <c r="G9397" s="140"/>
    </row>
    <row r="9398" spans="2:7" hidden="1">
      <c r="B9398" s="140"/>
      <c r="C9398" s="140"/>
      <c r="D9398" s="140"/>
      <c r="E9398" s="142"/>
      <c r="F9398" s="142"/>
      <c r="G9398" s="140"/>
    </row>
    <row r="9399" spans="2:7" hidden="1">
      <c r="B9399" s="140"/>
      <c r="C9399" s="140"/>
      <c r="D9399" s="140"/>
      <c r="E9399" s="142"/>
      <c r="F9399" s="142"/>
      <c r="G9399" s="140"/>
    </row>
    <row r="9400" spans="2:7" hidden="1">
      <c r="B9400" s="140"/>
      <c r="C9400" s="140"/>
      <c r="D9400" s="140"/>
      <c r="E9400" s="142"/>
      <c r="F9400" s="142"/>
      <c r="G9400" s="140"/>
    </row>
    <row r="9401" spans="2:7" hidden="1">
      <c r="B9401" s="140"/>
      <c r="C9401" s="140"/>
      <c r="D9401" s="140"/>
      <c r="E9401" s="142"/>
      <c r="F9401" s="142"/>
      <c r="G9401" s="140"/>
    </row>
    <row r="9402" spans="2:7" hidden="1">
      <c r="B9402" s="140"/>
      <c r="C9402" s="140"/>
      <c r="D9402" s="140"/>
      <c r="E9402" s="142"/>
      <c r="F9402" s="142"/>
      <c r="G9402" s="140"/>
    </row>
    <row r="9403" spans="2:7" hidden="1">
      <c r="B9403" s="140"/>
      <c r="C9403" s="140"/>
      <c r="D9403" s="140"/>
      <c r="E9403" s="142"/>
      <c r="F9403" s="142"/>
      <c r="G9403" s="140"/>
    </row>
    <row r="9404" spans="2:7" hidden="1">
      <c r="B9404" s="140"/>
      <c r="C9404" s="140"/>
      <c r="D9404" s="140"/>
      <c r="E9404" s="142"/>
      <c r="F9404" s="142"/>
      <c r="G9404" s="140"/>
    </row>
    <row r="9405" spans="2:7" hidden="1">
      <c r="B9405" s="140"/>
      <c r="C9405" s="140"/>
      <c r="D9405" s="140"/>
      <c r="E9405" s="142"/>
      <c r="F9405" s="142"/>
      <c r="G9405" s="140"/>
    </row>
    <row r="9406" spans="2:7" hidden="1">
      <c r="B9406" s="140"/>
      <c r="C9406" s="140"/>
      <c r="D9406" s="140"/>
      <c r="E9406" s="142"/>
      <c r="F9406" s="142"/>
      <c r="G9406" s="140"/>
    </row>
    <row r="9407" spans="2:7" hidden="1">
      <c r="B9407" s="140"/>
      <c r="C9407" s="140"/>
      <c r="D9407" s="140"/>
      <c r="E9407" s="142"/>
      <c r="F9407" s="142"/>
      <c r="G9407" s="140"/>
    </row>
    <row r="9408" spans="2:7" hidden="1">
      <c r="B9408" s="140"/>
      <c r="C9408" s="140"/>
      <c r="D9408" s="140"/>
      <c r="E9408" s="142"/>
      <c r="F9408" s="142"/>
      <c r="G9408" s="140"/>
    </row>
    <row r="9409" spans="2:7" hidden="1">
      <c r="B9409" s="140"/>
      <c r="C9409" s="140"/>
      <c r="D9409" s="140"/>
      <c r="E9409" s="142"/>
      <c r="F9409" s="142"/>
      <c r="G9409" s="140"/>
    </row>
    <row r="9410" spans="2:7" hidden="1">
      <c r="B9410" s="140"/>
      <c r="C9410" s="140"/>
      <c r="D9410" s="140"/>
      <c r="E9410" s="142"/>
      <c r="F9410" s="142"/>
      <c r="G9410" s="140"/>
    </row>
    <row r="9411" spans="2:7" hidden="1">
      <c r="B9411" s="140"/>
      <c r="C9411" s="140"/>
      <c r="D9411" s="140"/>
      <c r="E9411" s="142"/>
      <c r="F9411" s="142"/>
      <c r="G9411" s="140"/>
    </row>
    <row r="9412" spans="2:7" hidden="1">
      <c r="B9412" s="140"/>
      <c r="C9412" s="140"/>
      <c r="D9412" s="140"/>
      <c r="E9412" s="142"/>
      <c r="F9412" s="142"/>
      <c r="G9412" s="140"/>
    </row>
    <row r="9413" spans="2:7" hidden="1">
      <c r="B9413" s="140"/>
      <c r="C9413" s="140"/>
      <c r="D9413" s="140"/>
      <c r="E9413" s="142"/>
      <c r="F9413" s="142"/>
      <c r="G9413" s="140"/>
    </row>
    <row r="9414" spans="2:7" hidden="1">
      <c r="B9414" s="140"/>
      <c r="C9414" s="140"/>
      <c r="D9414" s="140"/>
      <c r="E9414" s="142"/>
      <c r="F9414" s="142"/>
      <c r="G9414" s="140"/>
    </row>
    <row r="9415" spans="2:7" hidden="1">
      <c r="B9415" s="140"/>
      <c r="C9415" s="140"/>
      <c r="D9415" s="140"/>
      <c r="E9415" s="142"/>
      <c r="F9415" s="142"/>
      <c r="G9415" s="140"/>
    </row>
    <row r="9416" spans="2:7" hidden="1">
      <c r="B9416" s="140"/>
      <c r="C9416" s="140"/>
      <c r="D9416" s="140"/>
      <c r="E9416" s="142"/>
      <c r="F9416" s="142"/>
      <c r="G9416" s="140"/>
    </row>
    <row r="9417" spans="2:7" hidden="1">
      <c r="B9417" s="140"/>
      <c r="C9417" s="140"/>
      <c r="D9417" s="140"/>
      <c r="E9417" s="142"/>
      <c r="F9417" s="142"/>
      <c r="G9417" s="140"/>
    </row>
    <row r="9418" spans="2:7" hidden="1">
      <c r="B9418" s="140"/>
      <c r="C9418" s="140"/>
      <c r="D9418" s="140"/>
      <c r="E9418" s="142"/>
      <c r="F9418" s="142"/>
      <c r="G9418" s="140"/>
    </row>
    <row r="9419" spans="2:7" hidden="1">
      <c r="B9419" s="140"/>
      <c r="C9419" s="140"/>
      <c r="D9419" s="140"/>
      <c r="E9419" s="142"/>
      <c r="F9419" s="142"/>
      <c r="G9419" s="140"/>
    </row>
    <row r="9420" spans="2:7" hidden="1">
      <c r="B9420" s="140"/>
      <c r="C9420" s="140"/>
      <c r="D9420" s="140"/>
      <c r="E9420" s="142"/>
      <c r="F9420" s="142"/>
      <c r="G9420" s="140"/>
    </row>
    <row r="9421" spans="2:7" hidden="1">
      <c r="B9421" s="140"/>
      <c r="C9421" s="140"/>
      <c r="D9421" s="140"/>
      <c r="E9421" s="142"/>
      <c r="F9421" s="142"/>
      <c r="G9421" s="140"/>
    </row>
    <row r="9422" spans="2:7" hidden="1">
      <c r="B9422" s="140"/>
      <c r="C9422" s="140"/>
      <c r="D9422" s="140"/>
      <c r="E9422" s="142"/>
      <c r="F9422" s="142"/>
      <c r="G9422" s="140"/>
    </row>
    <row r="9423" spans="2:7" hidden="1">
      <c r="B9423" s="140"/>
      <c r="C9423" s="140"/>
      <c r="D9423" s="140"/>
      <c r="E9423" s="142"/>
      <c r="F9423" s="142"/>
      <c r="G9423" s="140"/>
    </row>
    <row r="9424" spans="2:7" hidden="1">
      <c r="B9424" s="140"/>
      <c r="C9424" s="140"/>
      <c r="D9424" s="140"/>
      <c r="E9424" s="142"/>
      <c r="F9424" s="142"/>
      <c r="G9424" s="140"/>
    </row>
    <row r="9425" spans="2:7" hidden="1">
      <c r="B9425" s="140"/>
      <c r="C9425" s="140"/>
      <c r="D9425" s="140"/>
      <c r="E9425" s="142"/>
      <c r="F9425" s="142"/>
      <c r="G9425" s="140"/>
    </row>
    <row r="9426" spans="2:7" hidden="1">
      <c r="B9426" s="140"/>
      <c r="C9426" s="140"/>
      <c r="D9426" s="140"/>
      <c r="E9426" s="142"/>
      <c r="F9426" s="142"/>
      <c r="G9426" s="140"/>
    </row>
    <row r="9427" spans="2:7" hidden="1">
      <c r="B9427" s="140"/>
      <c r="C9427" s="140"/>
      <c r="D9427" s="140"/>
      <c r="E9427" s="142"/>
      <c r="F9427" s="142"/>
      <c r="G9427" s="140"/>
    </row>
    <row r="9428" spans="2:7" hidden="1">
      <c r="B9428" s="140"/>
      <c r="C9428" s="140"/>
      <c r="D9428" s="140"/>
      <c r="E9428" s="142"/>
      <c r="F9428" s="142"/>
      <c r="G9428" s="140"/>
    </row>
    <row r="9429" spans="2:7" hidden="1">
      <c r="B9429" s="140"/>
      <c r="C9429" s="140"/>
      <c r="D9429" s="140"/>
      <c r="E9429" s="142"/>
      <c r="F9429" s="142"/>
      <c r="G9429" s="140"/>
    </row>
    <row r="9430" spans="2:7" hidden="1">
      <c r="B9430" s="140"/>
      <c r="C9430" s="140"/>
      <c r="D9430" s="140"/>
      <c r="E9430" s="142"/>
      <c r="F9430" s="142"/>
      <c r="G9430" s="140"/>
    </row>
    <row r="9431" spans="2:7" hidden="1">
      <c r="B9431" s="140"/>
      <c r="C9431" s="140"/>
      <c r="D9431" s="140"/>
      <c r="E9431" s="142"/>
      <c r="F9431" s="142"/>
      <c r="G9431" s="140"/>
    </row>
    <row r="9432" spans="2:7" hidden="1">
      <c r="B9432" s="140"/>
      <c r="C9432" s="140"/>
      <c r="D9432" s="140"/>
      <c r="E9432" s="142"/>
      <c r="F9432" s="142"/>
      <c r="G9432" s="140"/>
    </row>
    <row r="9433" spans="2:7" hidden="1">
      <c r="B9433" s="140"/>
      <c r="C9433" s="140"/>
      <c r="D9433" s="140"/>
      <c r="E9433" s="142"/>
      <c r="F9433" s="142"/>
      <c r="G9433" s="140"/>
    </row>
    <row r="9434" spans="2:7" hidden="1">
      <c r="B9434" s="140"/>
      <c r="C9434" s="140"/>
      <c r="D9434" s="140"/>
      <c r="E9434" s="142"/>
      <c r="F9434" s="142"/>
      <c r="G9434" s="140"/>
    </row>
    <row r="9435" spans="2:7" hidden="1">
      <c r="B9435" s="140"/>
      <c r="C9435" s="140"/>
      <c r="D9435" s="140"/>
      <c r="E9435" s="142"/>
      <c r="F9435" s="142"/>
      <c r="G9435" s="140"/>
    </row>
    <row r="9436" spans="2:7" hidden="1">
      <c r="B9436" s="140"/>
      <c r="C9436" s="140"/>
      <c r="D9436" s="140"/>
      <c r="E9436" s="142"/>
      <c r="F9436" s="142"/>
      <c r="G9436" s="140"/>
    </row>
    <row r="9437" spans="2:7" hidden="1">
      <c r="B9437" s="140"/>
      <c r="C9437" s="140"/>
      <c r="D9437" s="140"/>
      <c r="E9437" s="142"/>
      <c r="F9437" s="142"/>
      <c r="G9437" s="140"/>
    </row>
    <row r="9438" spans="2:7" hidden="1">
      <c r="B9438" s="140"/>
      <c r="C9438" s="140"/>
      <c r="D9438" s="140"/>
      <c r="E9438" s="142"/>
      <c r="F9438" s="142"/>
      <c r="G9438" s="140"/>
    </row>
    <row r="9439" spans="2:7" hidden="1">
      <c r="B9439" s="140"/>
      <c r="C9439" s="140"/>
      <c r="D9439" s="140"/>
      <c r="E9439" s="142"/>
      <c r="F9439" s="142"/>
      <c r="G9439" s="140"/>
    </row>
    <row r="9440" spans="2:7" hidden="1">
      <c r="B9440" s="140"/>
      <c r="C9440" s="140"/>
      <c r="D9440" s="140"/>
      <c r="E9440" s="142"/>
      <c r="F9440" s="142"/>
      <c r="G9440" s="140"/>
    </row>
    <row r="9441" spans="2:7" hidden="1">
      <c r="B9441" s="140"/>
      <c r="C9441" s="140"/>
      <c r="D9441" s="140"/>
      <c r="E9441" s="142"/>
      <c r="F9441" s="142"/>
      <c r="G9441" s="140"/>
    </row>
    <row r="9442" spans="2:7" hidden="1">
      <c r="B9442" s="140"/>
      <c r="C9442" s="140"/>
      <c r="D9442" s="140"/>
      <c r="E9442" s="142"/>
      <c r="F9442" s="142"/>
      <c r="G9442" s="140"/>
    </row>
    <row r="9443" spans="2:7" hidden="1">
      <c r="B9443" s="140"/>
      <c r="C9443" s="140"/>
      <c r="D9443" s="140"/>
      <c r="E9443" s="142"/>
      <c r="F9443" s="142"/>
      <c r="G9443" s="140"/>
    </row>
    <row r="9444" spans="2:7" hidden="1">
      <c r="B9444" s="140"/>
      <c r="C9444" s="140"/>
      <c r="D9444" s="140"/>
      <c r="E9444" s="142"/>
      <c r="F9444" s="142"/>
      <c r="G9444" s="140"/>
    </row>
    <row r="9445" spans="2:7" hidden="1">
      <c r="B9445" s="140"/>
      <c r="C9445" s="140"/>
      <c r="D9445" s="140"/>
      <c r="E9445" s="142"/>
      <c r="F9445" s="142"/>
      <c r="G9445" s="140"/>
    </row>
    <row r="9446" spans="2:7" hidden="1">
      <c r="B9446" s="140"/>
      <c r="C9446" s="140"/>
      <c r="D9446" s="140"/>
      <c r="E9446" s="142"/>
      <c r="F9446" s="142"/>
      <c r="G9446" s="140"/>
    </row>
    <row r="9447" spans="2:7" hidden="1">
      <c r="B9447" s="140"/>
      <c r="C9447" s="140"/>
      <c r="D9447" s="140"/>
      <c r="E9447" s="142"/>
      <c r="F9447" s="142"/>
      <c r="G9447" s="140"/>
    </row>
    <row r="9448" spans="2:7" hidden="1">
      <c r="B9448" s="140"/>
      <c r="C9448" s="140"/>
      <c r="D9448" s="140"/>
      <c r="E9448" s="142"/>
      <c r="F9448" s="142"/>
      <c r="G9448" s="140"/>
    </row>
    <row r="9449" spans="2:7" hidden="1">
      <c r="B9449" s="140"/>
      <c r="C9449" s="140"/>
      <c r="D9449" s="140"/>
      <c r="E9449" s="142"/>
      <c r="F9449" s="142"/>
      <c r="G9449" s="140"/>
    </row>
    <row r="9450" spans="2:7" hidden="1">
      <c r="B9450" s="140"/>
      <c r="C9450" s="140"/>
      <c r="D9450" s="140"/>
      <c r="E9450" s="142"/>
      <c r="F9450" s="142"/>
      <c r="G9450" s="140"/>
    </row>
    <row r="9451" spans="2:7" hidden="1">
      <c r="B9451" s="140"/>
      <c r="C9451" s="140"/>
      <c r="D9451" s="140"/>
      <c r="E9451" s="142"/>
      <c r="F9451" s="142"/>
      <c r="G9451" s="140"/>
    </row>
    <row r="9452" spans="2:7" hidden="1">
      <c r="B9452" s="140"/>
      <c r="C9452" s="140"/>
      <c r="D9452" s="140"/>
      <c r="E9452" s="142"/>
      <c r="F9452" s="142"/>
      <c r="G9452" s="140"/>
    </row>
    <row r="9453" spans="2:7" hidden="1">
      <c r="B9453" s="140"/>
      <c r="C9453" s="140"/>
      <c r="D9453" s="140"/>
      <c r="E9453" s="142"/>
      <c r="F9453" s="142"/>
      <c r="G9453" s="140"/>
    </row>
    <row r="9454" spans="2:7" hidden="1">
      <c r="B9454" s="140"/>
      <c r="C9454" s="140"/>
      <c r="D9454" s="140"/>
      <c r="E9454" s="142"/>
      <c r="F9454" s="142"/>
      <c r="G9454" s="140"/>
    </row>
    <row r="9455" spans="2:7" hidden="1">
      <c r="B9455" s="140"/>
      <c r="C9455" s="140"/>
      <c r="D9455" s="140"/>
      <c r="E9455" s="142"/>
      <c r="F9455" s="142"/>
      <c r="G9455" s="140"/>
    </row>
    <row r="9456" spans="2:7" hidden="1">
      <c r="B9456" s="140"/>
      <c r="C9456" s="140"/>
      <c r="D9456" s="140"/>
      <c r="E9456" s="142"/>
      <c r="F9456" s="142"/>
      <c r="G9456" s="140"/>
    </row>
    <row r="9457" spans="2:7" hidden="1">
      <c r="B9457" s="140"/>
      <c r="C9457" s="140"/>
      <c r="D9457" s="140"/>
      <c r="E9457" s="142"/>
      <c r="F9457" s="142"/>
      <c r="G9457" s="140"/>
    </row>
    <row r="9458" spans="2:7" hidden="1">
      <c r="B9458" s="140"/>
      <c r="C9458" s="140"/>
      <c r="D9458" s="140"/>
      <c r="E9458" s="142"/>
      <c r="F9458" s="142"/>
      <c r="G9458" s="140"/>
    </row>
    <row r="9459" spans="2:7" hidden="1">
      <c r="B9459" s="140"/>
      <c r="C9459" s="140"/>
      <c r="D9459" s="140"/>
      <c r="E9459" s="142"/>
      <c r="F9459" s="142"/>
      <c r="G9459" s="140"/>
    </row>
    <row r="9460" spans="2:7" hidden="1">
      <c r="B9460" s="140"/>
      <c r="C9460" s="140"/>
      <c r="D9460" s="140"/>
      <c r="E9460" s="142"/>
      <c r="F9460" s="142"/>
      <c r="G9460" s="140"/>
    </row>
    <row r="9461" spans="2:7" hidden="1">
      <c r="B9461" s="140"/>
      <c r="C9461" s="140"/>
      <c r="D9461" s="140"/>
      <c r="E9461" s="142"/>
      <c r="F9461" s="142"/>
      <c r="G9461" s="140"/>
    </row>
    <row r="9462" spans="2:7" hidden="1">
      <c r="B9462" s="140"/>
      <c r="C9462" s="140"/>
      <c r="D9462" s="140"/>
      <c r="E9462" s="142"/>
      <c r="F9462" s="142"/>
      <c r="G9462" s="140"/>
    </row>
    <row r="9463" spans="2:7" hidden="1">
      <c r="B9463" s="140"/>
      <c r="C9463" s="140"/>
      <c r="D9463" s="140"/>
      <c r="E9463" s="142"/>
      <c r="F9463" s="142"/>
      <c r="G9463" s="140"/>
    </row>
    <row r="9464" spans="2:7" hidden="1">
      <c r="B9464" s="140"/>
      <c r="C9464" s="140"/>
      <c r="D9464" s="140"/>
      <c r="E9464" s="142"/>
      <c r="F9464" s="142"/>
      <c r="G9464" s="140"/>
    </row>
    <row r="9465" spans="2:7" hidden="1">
      <c r="B9465" s="140"/>
      <c r="C9465" s="140"/>
      <c r="D9465" s="140"/>
      <c r="E9465" s="142"/>
      <c r="F9465" s="142"/>
      <c r="G9465" s="140"/>
    </row>
    <row r="9466" spans="2:7" hidden="1">
      <c r="B9466" s="140"/>
      <c r="C9466" s="140"/>
      <c r="D9466" s="140"/>
      <c r="E9466" s="142"/>
      <c r="F9466" s="142"/>
      <c r="G9466" s="140"/>
    </row>
    <row r="9467" spans="2:7" hidden="1">
      <c r="B9467" s="140"/>
      <c r="C9467" s="140"/>
      <c r="D9467" s="140"/>
      <c r="E9467" s="142"/>
      <c r="F9467" s="142"/>
      <c r="G9467" s="140"/>
    </row>
    <row r="9468" spans="2:7" hidden="1">
      <c r="B9468" s="140"/>
      <c r="C9468" s="140"/>
      <c r="D9468" s="140"/>
      <c r="E9468" s="142"/>
      <c r="F9468" s="142"/>
      <c r="G9468" s="140"/>
    </row>
    <row r="9469" spans="2:7" hidden="1">
      <c r="B9469" s="140"/>
      <c r="C9469" s="140"/>
      <c r="D9469" s="140"/>
      <c r="E9469" s="142"/>
      <c r="F9469" s="142"/>
      <c r="G9469" s="140"/>
    </row>
    <row r="9470" spans="2:7" hidden="1">
      <c r="B9470" s="140"/>
      <c r="C9470" s="140"/>
      <c r="D9470" s="140"/>
      <c r="E9470" s="142"/>
      <c r="F9470" s="142"/>
      <c r="G9470" s="140"/>
    </row>
    <row r="9471" spans="2:7" hidden="1">
      <c r="B9471" s="140"/>
      <c r="C9471" s="140"/>
      <c r="D9471" s="140"/>
      <c r="E9471" s="142"/>
      <c r="F9471" s="142"/>
      <c r="G9471" s="140"/>
    </row>
    <row r="9472" spans="2:7" hidden="1">
      <c r="B9472" s="140"/>
      <c r="C9472" s="140"/>
      <c r="D9472" s="140"/>
      <c r="E9472" s="142"/>
      <c r="F9472" s="142"/>
      <c r="G9472" s="140"/>
    </row>
    <row r="9473" spans="2:7" hidden="1">
      <c r="B9473" s="140"/>
      <c r="C9473" s="140"/>
      <c r="D9473" s="140"/>
      <c r="E9473" s="142"/>
      <c r="F9473" s="142"/>
      <c r="G9473" s="140"/>
    </row>
    <row r="9474" spans="2:7" hidden="1">
      <c r="B9474" s="140"/>
      <c r="C9474" s="140"/>
      <c r="D9474" s="140"/>
      <c r="E9474" s="142"/>
      <c r="F9474" s="142"/>
      <c r="G9474" s="140"/>
    </row>
    <row r="9475" spans="2:7" hidden="1">
      <c r="B9475" s="140"/>
      <c r="C9475" s="140"/>
      <c r="D9475" s="140"/>
      <c r="E9475" s="142"/>
      <c r="F9475" s="142"/>
      <c r="G9475" s="140"/>
    </row>
    <row r="9476" spans="2:7" hidden="1">
      <c r="B9476" s="140"/>
      <c r="C9476" s="140"/>
      <c r="D9476" s="140"/>
      <c r="E9476" s="142"/>
      <c r="F9476" s="142"/>
      <c r="G9476" s="140"/>
    </row>
    <row r="9477" spans="2:7" hidden="1">
      <c r="B9477" s="140"/>
      <c r="C9477" s="140"/>
      <c r="D9477" s="140"/>
      <c r="E9477" s="142"/>
      <c r="F9477" s="142"/>
      <c r="G9477" s="140"/>
    </row>
    <row r="9478" spans="2:7" hidden="1">
      <c r="B9478" s="140"/>
      <c r="C9478" s="140"/>
      <c r="D9478" s="140"/>
      <c r="E9478" s="142"/>
      <c r="F9478" s="142"/>
      <c r="G9478" s="140"/>
    </row>
    <row r="9479" spans="2:7" hidden="1">
      <c r="B9479" s="140"/>
      <c r="C9479" s="140"/>
      <c r="D9479" s="140"/>
      <c r="E9479" s="142"/>
      <c r="F9479" s="142"/>
      <c r="G9479" s="140"/>
    </row>
    <row r="9480" spans="2:7" hidden="1">
      <c r="B9480" s="140"/>
      <c r="C9480" s="140"/>
      <c r="D9480" s="140"/>
      <c r="E9480" s="142"/>
      <c r="F9480" s="142"/>
      <c r="G9480" s="140"/>
    </row>
    <row r="9481" spans="2:7" hidden="1">
      <c r="B9481" s="140"/>
      <c r="C9481" s="140"/>
      <c r="D9481" s="140"/>
      <c r="E9481" s="142"/>
      <c r="F9481" s="142"/>
      <c r="G9481" s="140"/>
    </row>
    <row r="9482" spans="2:7" hidden="1">
      <c r="B9482" s="140"/>
      <c r="C9482" s="140"/>
      <c r="D9482" s="140"/>
      <c r="E9482" s="142"/>
      <c r="F9482" s="142"/>
      <c r="G9482" s="140"/>
    </row>
    <row r="9483" spans="2:7" hidden="1">
      <c r="B9483" s="140"/>
      <c r="C9483" s="140"/>
      <c r="D9483" s="140"/>
      <c r="E9483" s="142"/>
      <c r="F9483" s="142"/>
      <c r="G9483" s="140"/>
    </row>
    <row r="9484" spans="2:7" hidden="1">
      <c r="B9484" s="140"/>
      <c r="C9484" s="140"/>
      <c r="D9484" s="140"/>
      <c r="E9484" s="142"/>
      <c r="F9484" s="142"/>
      <c r="G9484" s="140"/>
    </row>
    <row r="9485" spans="2:7" hidden="1">
      <c r="B9485" s="140"/>
      <c r="C9485" s="140"/>
      <c r="D9485" s="140"/>
      <c r="E9485" s="142"/>
      <c r="F9485" s="142"/>
      <c r="G9485" s="140"/>
    </row>
    <row r="9486" spans="2:7" hidden="1">
      <c r="B9486" s="140"/>
      <c r="C9486" s="140"/>
      <c r="D9486" s="140"/>
      <c r="E9486" s="142"/>
      <c r="F9486" s="142"/>
      <c r="G9486" s="140"/>
    </row>
    <row r="9487" spans="2:7" hidden="1">
      <c r="B9487" s="140"/>
      <c r="C9487" s="140"/>
      <c r="D9487" s="140"/>
      <c r="E9487" s="142"/>
      <c r="F9487" s="142"/>
      <c r="G9487" s="140"/>
    </row>
    <row r="9488" spans="2:7" hidden="1">
      <c r="B9488" s="140"/>
      <c r="C9488" s="140"/>
      <c r="D9488" s="140"/>
      <c r="E9488" s="142"/>
      <c r="F9488" s="142"/>
      <c r="G9488" s="140"/>
    </row>
    <row r="9489" spans="2:7" hidden="1">
      <c r="B9489" s="140"/>
      <c r="C9489" s="140"/>
      <c r="D9489" s="140"/>
      <c r="E9489" s="142"/>
      <c r="F9489" s="142"/>
      <c r="G9489" s="140"/>
    </row>
    <row r="9490" spans="2:7" hidden="1">
      <c r="B9490" s="140"/>
      <c r="C9490" s="140"/>
      <c r="D9490" s="140"/>
      <c r="E9490" s="142"/>
      <c r="F9490" s="142"/>
      <c r="G9490" s="140"/>
    </row>
    <row r="9491" spans="2:7" hidden="1">
      <c r="B9491" s="140"/>
      <c r="C9491" s="140"/>
      <c r="D9491" s="140"/>
      <c r="E9491" s="142"/>
      <c r="F9491" s="142"/>
      <c r="G9491" s="140"/>
    </row>
    <row r="9492" spans="2:7" hidden="1">
      <c r="B9492" s="140"/>
      <c r="C9492" s="140"/>
      <c r="D9492" s="140"/>
      <c r="E9492" s="142"/>
      <c r="F9492" s="142"/>
      <c r="G9492" s="140"/>
    </row>
    <row r="9493" spans="2:7" hidden="1">
      <c r="B9493" s="140"/>
      <c r="C9493" s="140"/>
      <c r="D9493" s="140"/>
      <c r="E9493" s="142"/>
      <c r="F9493" s="142"/>
      <c r="G9493" s="140"/>
    </row>
    <row r="9494" spans="2:7" hidden="1">
      <c r="B9494" s="140"/>
      <c r="C9494" s="140"/>
      <c r="D9494" s="140"/>
      <c r="E9494" s="142"/>
      <c r="F9494" s="142"/>
      <c r="G9494" s="140"/>
    </row>
    <row r="9495" spans="2:7" hidden="1">
      <c r="B9495" s="140"/>
      <c r="C9495" s="140"/>
      <c r="D9495" s="140"/>
      <c r="E9495" s="142"/>
      <c r="F9495" s="142"/>
      <c r="G9495" s="140"/>
    </row>
    <row r="9496" spans="2:7" hidden="1">
      <c r="B9496" s="140"/>
      <c r="C9496" s="140"/>
      <c r="D9496" s="140"/>
      <c r="E9496" s="142"/>
      <c r="F9496" s="142"/>
      <c r="G9496" s="140"/>
    </row>
    <row r="9497" spans="2:7" hidden="1">
      <c r="B9497" s="140"/>
      <c r="C9497" s="140"/>
      <c r="D9497" s="140"/>
      <c r="E9497" s="142"/>
      <c r="F9497" s="142"/>
      <c r="G9497" s="140"/>
    </row>
    <row r="9498" spans="2:7" hidden="1">
      <c r="B9498" s="140"/>
      <c r="C9498" s="140"/>
      <c r="D9498" s="140"/>
      <c r="E9498" s="142"/>
      <c r="F9498" s="142"/>
      <c r="G9498" s="140"/>
    </row>
    <row r="9499" spans="2:7" hidden="1">
      <c r="B9499" s="140"/>
      <c r="C9499" s="140"/>
      <c r="D9499" s="140"/>
      <c r="E9499" s="142"/>
      <c r="F9499" s="142"/>
      <c r="G9499" s="140"/>
    </row>
    <row r="9500" spans="2:7" hidden="1">
      <c r="B9500" s="140"/>
      <c r="C9500" s="140"/>
      <c r="D9500" s="140"/>
      <c r="E9500" s="142"/>
      <c r="F9500" s="142"/>
      <c r="G9500" s="140"/>
    </row>
    <row r="9501" spans="2:7" hidden="1">
      <c r="B9501" s="140"/>
      <c r="C9501" s="140"/>
      <c r="D9501" s="140"/>
      <c r="E9501" s="142"/>
      <c r="F9501" s="142"/>
      <c r="G9501" s="140"/>
    </row>
    <row r="9502" spans="2:7" hidden="1">
      <c r="B9502" s="140"/>
      <c r="C9502" s="140"/>
      <c r="D9502" s="140"/>
      <c r="E9502" s="142"/>
      <c r="F9502" s="142"/>
      <c r="G9502" s="140"/>
    </row>
    <row r="9503" spans="2:7" hidden="1">
      <c r="B9503" s="140"/>
      <c r="C9503" s="140"/>
      <c r="D9503" s="140"/>
      <c r="E9503" s="142"/>
      <c r="F9503" s="142"/>
      <c r="G9503" s="140"/>
    </row>
    <row r="9504" spans="2:7" hidden="1">
      <c r="B9504" s="140"/>
      <c r="C9504" s="140"/>
      <c r="D9504" s="140"/>
      <c r="E9504" s="142"/>
      <c r="F9504" s="142"/>
      <c r="G9504" s="140"/>
    </row>
    <row r="9505" spans="2:7" hidden="1">
      <c r="B9505" s="140"/>
      <c r="C9505" s="140"/>
      <c r="D9505" s="140"/>
      <c r="E9505" s="142"/>
      <c r="F9505" s="142"/>
      <c r="G9505" s="140"/>
    </row>
    <row r="9506" spans="2:7" hidden="1">
      <c r="B9506" s="140"/>
      <c r="C9506" s="140"/>
      <c r="D9506" s="140"/>
      <c r="E9506" s="142"/>
      <c r="F9506" s="142"/>
      <c r="G9506" s="140"/>
    </row>
    <row r="9507" spans="2:7" hidden="1">
      <c r="B9507" s="140"/>
      <c r="C9507" s="140"/>
      <c r="D9507" s="140"/>
      <c r="E9507" s="142"/>
      <c r="F9507" s="142"/>
      <c r="G9507" s="140"/>
    </row>
    <row r="9508" spans="2:7" hidden="1">
      <c r="B9508" s="140"/>
      <c r="C9508" s="140"/>
      <c r="D9508" s="140"/>
      <c r="E9508" s="142"/>
      <c r="F9508" s="142"/>
      <c r="G9508" s="140"/>
    </row>
    <row r="9509" spans="2:7" hidden="1">
      <c r="B9509" s="140"/>
      <c r="C9509" s="140"/>
      <c r="D9509" s="140"/>
      <c r="E9509" s="142"/>
      <c r="F9509" s="142"/>
      <c r="G9509" s="140"/>
    </row>
    <row r="9510" spans="2:7" hidden="1">
      <c r="B9510" s="140"/>
      <c r="C9510" s="140"/>
      <c r="D9510" s="140"/>
      <c r="E9510" s="142"/>
      <c r="F9510" s="142"/>
      <c r="G9510" s="140"/>
    </row>
    <row r="9511" spans="2:7" hidden="1">
      <c r="B9511" s="140"/>
      <c r="C9511" s="140"/>
      <c r="D9511" s="140"/>
      <c r="E9511" s="142"/>
      <c r="F9511" s="142"/>
      <c r="G9511" s="140"/>
    </row>
    <row r="9512" spans="2:7" hidden="1">
      <c r="B9512" s="140"/>
      <c r="C9512" s="140"/>
      <c r="D9512" s="140"/>
      <c r="E9512" s="142"/>
      <c r="F9512" s="142"/>
      <c r="G9512" s="140"/>
    </row>
    <row r="9513" spans="2:7" hidden="1">
      <c r="B9513" s="140"/>
      <c r="C9513" s="140"/>
      <c r="D9513" s="140"/>
      <c r="E9513" s="142"/>
      <c r="F9513" s="142"/>
      <c r="G9513" s="140"/>
    </row>
    <row r="9514" spans="2:7" hidden="1">
      <c r="B9514" s="140"/>
      <c r="C9514" s="140"/>
      <c r="D9514" s="140"/>
      <c r="E9514" s="142"/>
      <c r="F9514" s="142"/>
      <c r="G9514" s="140"/>
    </row>
    <row r="9515" spans="2:7" hidden="1">
      <c r="B9515" s="140"/>
      <c r="C9515" s="140"/>
      <c r="D9515" s="140"/>
      <c r="E9515" s="142"/>
      <c r="F9515" s="142"/>
      <c r="G9515" s="140"/>
    </row>
    <row r="9516" spans="2:7" hidden="1">
      <c r="B9516" s="140"/>
      <c r="C9516" s="140"/>
      <c r="D9516" s="140"/>
      <c r="E9516" s="142"/>
      <c r="F9516" s="142"/>
      <c r="G9516" s="140"/>
    </row>
    <row r="9517" spans="2:7" hidden="1">
      <c r="B9517" s="140"/>
      <c r="C9517" s="140"/>
      <c r="D9517" s="140"/>
      <c r="E9517" s="142"/>
      <c r="F9517" s="142"/>
      <c r="G9517" s="140"/>
    </row>
    <row r="9518" spans="2:7" hidden="1">
      <c r="B9518" s="140"/>
      <c r="C9518" s="140"/>
      <c r="D9518" s="140"/>
      <c r="E9518" s="142"/>
      <c r="F9518" s="142"/>
      <c r="G9518" s="140"/>
    </row>
    <row r="9519" spans="2:7" hidden="1">
      <c r="B9519" s="140"/>
      <c r="C9519" s="140"/>
      <c r="D9519" s="140"/>
      <c r="E9519" s="142"/>
      <c r="F9519" s="142"/>
      <c r="G9519" s="140"/>
    </row>
    <row r="9520" spans="2:7" hidden="1">
      <c r="B9520" s="140"/>
      <c r="C9520" s="140"/>
      <c r="D9520" s="140"/>
      <c r="E9520" s="142"/>
      <c r="F9520" s="142"/>
      <c r="G9520" s="140"/>
    </row>
    <row r="9521" spans="2:7" hidden="1">
      <c r="B9521" s="140"/>
      <c r="C9521" s="140"/>
      <c r="D9521" s="140"/>
      <c r="E9521" s="142"/>
      <c r="F9521" s="142"/>
      <c r="G9521" s="140"/>
    </row>
    <row r="9522" spans="2:7" hidden="1">
      <c r="B9522" s="140"/>
      <c r="C9522" s="140"/>
      <c r="D9522" s="140"/>
      <c r="E9522" s="142"/>
      <c r="F9522" s="142"/>
      <c r="G9522" s="140"/>
    </row>
    <row r="9523" spans="2:7" hidden="1">
      <c r="B9523" s="140"/>
      <c r="C9523" s="140"/>
      <c r="D9523" s="140"/>
      <c r="E9523" s="142"/>
      <c r="F9523" s="142"/>
      <c r="G9523" s="140"/>
    </row>
    <row r="9524" spans="2:7" hidden="1">
      <c r="B9524" s="140"/>
      <c r="C9524" s="140"/>
      <c r="D9524" s="140"/>
      <c r="E9524" s="142"/>
      <c r="F9524" s="142"/>
      <c r="G9524" s="140"/>
    </row>
    <row r="9525" spans="2:7" hidden="1">
      <c r="B9525" s="140"/>
      <c r="C9525" s="140"/>
      <c r="D9525" s="140"/>
      <c r="E9525" s="142"/>
      <c r="F9525" s="142"/>
      <c r="G9525" s="140"/>
    </row>
    <row r="9526" spans="2:7" hidden="1">
      <c r="B9526" s="140"/>
      <c r="C9526" s="140"/>
      <c r="D9526" s="140"/>
      <c r="E9526" s="142"/>
      <c r="F9526" s="142"/>
      <c r="G9526" s="140"/>
    </row>
    <row r="9527" spans="2:7" hidden="1">
      <c r="B9527" s="140"/>
      <c r="C9527" s="140"/>
      <c r="D9527" s="140"/>
      <c r="E9527" s="142"/>
      <c r="F9527" s="142"/>
      <c r="G9527" s="140"/>
    </row>
    <row r="9528" spans="2:7" hidden="1">
      <c r="B9528" s="140"/>
      <c r="C9528" s="140"/>
      <c r="D9528" s="140"/>
      <c r="E9528" s="142"/>
      <c r="F9528" s="142"/>
      <c r="G9528" s="140"/>
    </row>
    <row r="9529" spans="2:7" hidden="1">
      <c r="B9529" s="140"/>
      <c r="C9529" s="140"/>
      <c r="D9529" s="140"/>
      <c r="E9529" s="142"/>
      <c r="F9529" s="142"/>
      <c r="G9529" s="140"/>
    </row>
    <row r="9530" spans="2:7" hidden="1">
      <c r="B9530" s="140"/>
      <c r="C9530" s="140"/>
      <c r="D9530" s="140"/>
      <c r="E9530" s="142"/>
      <c r="F9530" s="142"/>
      <c r="G9530" s="140"/>
    </row>
    <row r="9531" spans="2:7" hidden="1">
      <c r="B9531" s="140"/>
      <c r="C9531" s="140"/>
      <c r="D9531" s="140"/>
      <c r="E9531" s="142"/>
      <c r="F9531" s="142"/>
      <c r="G9531" s="140"/>
    </row>
    <row r="9532" spans="2:7" hidden="1">
      <c r="B9532" s="140"/>
      <c r="C9532" s="140"/>
      <c r="D9532" s="140"/>
      <c r="E9532" s="142"/>
      <c r="F9532" s="142"/>
      <c r="G9532" s="140"/>
    </row>
    <row r="9533" spans="2:7" hidden="1">
      <c r="B9533" s="140"/>
      <c r="C9533" s="140"/>
      <c r="D9533" s="140"/>
      <c r="E9533" s="142"/>
      <c r="F9533" s="142"/>
      <c r="G9533" s="140"/>
    </row>
    <row r="9534" spans="2:7" hidden="1">
      <c r="B9534" s="140"/>
      <c r="C9534" s="140"/>
      <c r="D9534" s="140"/>
      <c r="E9534" s="142"/>
      <c r="F9534" s="142"/>
      <c r="G9534" s="140"/>
    </row>
    <row r="9535" spans="2:7" hidden="1">
      <c r="B9535" s="140"/>
      <c r="C9535" s="140"/>
      <c r="D9535" s="140"/>
      <c r="E9535" s="142"/>
      <c r="F9535" s="142"/>
      <c r="G9535" s="140"/>
    </row>
    <row r="9536" spans="2:7" hidden="1">
      <c r="B9536" s="140"/>
      <c r="C9536" s="140"/>
      <c r="D9536" s="140"/>
      <c r="E9536" s="142"/>
      <c r="F9536" s="142"/>
      <c r="G9536" s="140"/>
    </row>
    <row r="9537" spans="2:7" hidden="1">
      <c r="B9537" s="140"/>
      <c r="C9537" s="140"/>
      <c r="D9537" s="140"/>
      <c r="E9537" s="142"/>
      <c r="F9537" s="142"/>
      <c r="G9537" s="140"/>
    </row>
    <row r="9538" spans="2:7" hidden="1">
      <c r="B9538" s="140"/>
      <c r="C9538" s="140"/>
      <c r="D9538" s="140"/>
      <c r="E9538" s="142"/>
      <c r="F9538" s="142"/>
      <c r="G9538" s="140"/>
    </row>
    <row r="9539" spans="2:7" hidden="1">
      <c r="B9539" s="140"/>
      <c r="C9539" s="140"/>
      <c r="D9539" s="140"/>
      <c r="E9539" s="142"/>
      <c r="F9539" s="142"/>
      <c r="G9539" s="140"/>
    </row>
    <row r="9540" spans="2:7" hidden="1">
      <c r="B9540" s="140"/>
      <c r="C9540" s="140"/>
      <c r="D9540" s="140"/>
      <c r="E9540" s="142"/>
      <c r="F9540" s="142"/>
      <c r="G9540" s="140"/>
    </row>
    <row r="9541" spans="2:7" hidden="1">
      <c r="B9541" s="140"/>
      <c r="C9541" s="140"/>
      <c r="D9541" s="140"/>
      <c r="E9541" s="142"/>
      <c r="F9541" s="142"/>
      <c r="G9541" s="140"/>
    </row>
    <row r="9542" spans="2:7" hidden="1">
      <c r="B9542" s="140"/>
      <c r="C9542" s="140"/>
      <c r="D9542" s="140"/>
      <c r="E9542" s="142"/>
      <c r="F9542" s="142"/>
      <c r="G9542" s="140"/>
    </row>
    <row r="9543" spans="2:7" hidden="1">
      <c r="B9543" s="140"/>
      <c r="C9543" s="140"/>
      <c r="D9543" s="140"/>
      <c r="E9543" s="142"/>
      <c r="F9543" s="142"/>
      <c r="G9543" s="140"/>
    </row>
    <row r="9544" spans="2:7" hidden="1">
      <c r="B9544" s="140"/>
      <c r="C9544" s="140"/>
      <c r="D9544" s="140"/>
      <c r="E9544" s="142"/>
      <c r="F9544" s="142"/>
      <c r="G9544" s="140"/>
    </row>
    <row r="9545" spans="2:7" hidden="1">
      <c r="B9545" s="140"/>
      <c r="C9545" s="140"/>
      <c r="D9545" s="140"/>
      <c r="E9545" s="142"/>
      <c r="F9545" s="142"/>
      <c r="G9545" s="140"/>
    </row>
    <row r="9546" spans="2:7" hidden="1">
      <c r="B9546" s="140"/>
      <c r="C9546" s="140"/>
      <c r="D9546" s="140"/>
      <c r="E9546" s="142"/>
      <c r="F9546" s="142"/>
      <c r="G9546" s="140"/>
    </row>
    <row r="9547" spans="2:7" hidden="1">
      <c r="B9547" s="140"/>
      <c r="C9547" s="140"/>
      <c r="D9547" s="140"/>
      <c r="E9547" s="142"/>
      <c r="F9547" s="142"/>
      <c r="G9547" s="140"/>
    </row>
    <row r="9548" spans="2:7" hidden="1">
      <c r="B9548" s="140"/>
      <c r="C9548" s="140"/>
      <c r="D9548" s="140"/>
      <c r="E9548" s="142"/>
      <c r="F9548" s="142"/>
      <c r="G9548" s="140"/>
    </row>
    <row r="9549" spans="2:7" hidden="1">
      <c r="B9549" s="140"/>
      <c r="C9549" s="140"/>
      <c r="D9549" s="140"/>
      <c r="E9549" s="142"/>
      <c r="F9549" s="142"/>
      <c r="G9549" s="140"/>
    </row>
    <row r="9550" spans="2:7" hidden="1">
      <c r="B9550" s="140"/>
      <c r="C9550" s="140"/>
      <c r="D9550" s="140"/>
      <c r="E9550" s="142"/>
      <c r="F9550" s="142"/>
      <c r="G9550" s="140"/>
    </row>
    <row r="9551" spans="2:7" hidden="1">
      <c r="B9551" s="140"/>
      <c r="C9551" s="140"/>
      <c r="D9551" s="140"/>
      <c r="E9551" s="142"/>
      <c r="F9551" s="142"/>
      <c r="G9551" s="140"/>
    </row>
    <row r="9552" spans="2:7" hidden="1">
      <c r="B9552" s="140"/>
      <c r="C9552" s="140"/>
      <c r="D9552" s="140"/>
      <c r="E9552" s="142"/>
      <c r="F9552" s="142"/>
      <c r="G9552" s="140"/>
    </row>
    <row r="9553" spans="2:7" hidden="1">
      <c r="B9553" s="140"/>
      <c r="C9553" s="140"/>
      <c r="D9553" s="140"/>
      <c r="E9553" s="142"/>
      <c r="F9553" s="142"/>
      <c r="G9553" s="140"/>
    </row>
    <row r="9554" spans="2:7" hidden="1">
      <c r="B9554" s="140"/>
      <c r="C9554" s="140"/>
      <c r="D9554" s="140"/>
      <c r="E9554" s="142"/>
      <c r="F9554" s="142"/>
      <c r="G9554" s="140"/>
    </row>
    <row r="9555" spans="2:7" hidden="1">
      <c r="B9555" s="140"/>
      <c r="C9555" s="140"/>
      <c r="D9555" s="140"/>
      <c r="E9555" s="142"/>
      <c r="F9555" s="142"/>
      <c r="G9555" s="140"/>
    </row>
    <row r="9556" spans="2:7" hidden="1">
      <c r="B9556" s="140"/>
      <c r="C9556" s="140"/>
      <c r="D9556" s="140"/>
      <c r="E9556" s="142"/>
      <c r="F9556" s="142"/>
      <c r="G9556" s="140"/>
    </row>
    <row r="9557" spans="2:7" hidden="1">
      <c r="B9557" s="140"/>
      <c r="C9557" s="140"/>
      <c r="D9557" s="140"/>
      <c r="E9557" s="142"/>
      <c r="F9557" s="142"/>
      <c r="G9557" s="140"/>
    </row>
    <row r="9558" spans="2:7" hidden="1">
      <c r="B9558" s="140"/>
      <c r="C9558" s="140"/>
      <c r="D9558" s="140"/>
      <c r="E9558" s="142"/>
      <c r="F9558" s="142"/>
      <c r="G9558" s="140"/>
    </row>
    <row r="9559" spans="2:7" hidden="1">
      <c r="B9559" s="140"/>
      <c r="C9559" s="140"/>
      <c r="D9559" s="140"/>
      <c r="E9559" s="142"/>
      <c r="F9559" s="142"/>
      <c r="G9559" s="140"/>
    </row>
    <row r="9560" spans="2:7" hidden="1">
      <c r="B9560" s="140"/>
      <c r="C9560" s="140"/>
      <c r="D9560" s="140"/>
      <c r="E9560" s="142"/>
      <c r="F9560" s="142"/>
      <c r="G9560" s="140"/>
    </row>
    <row r="9561" spans="2:7" hidden="1">
      <c r="B9561" s="140"/>
      <c r="C9561" s="140"/>
      <c r="D9561" s="140"/>
      <c r="E9561" s="142"/>
      <c r="F9561" s="142"/>
      <c r="G9561" s="140"/>
    </row>
    <row r="9562" spans="2:7" hidden="1">
      <c r="B9562" s="140"/>
      <c r="C9562" s="140"/>
      <c r="D9562" s="140"/>
      <c r="E9562" s="142"/>
      <c r="F9562" s="142"/>
      <c r="G9562" s="140"/>
    </row>
    <row r="9563" spans="2:7" hidden="1">
      <c r="B9563" s="140"/>
      <c r="C9563" s="140"/>
      <c r="D9563" s="140"/>
      <c r="E9563" s="142"/>
      <c r="F9563" s="142"/>
      <c r="G9563" s="140"/>
    </row>
    <row r="9564" spans="2:7" hidden="1">
      <c r="B9564" s="140"/>
      <c r="C9564" s="140"/>
      <c r="D9564" s="140"/>
      <c r="E9564" s="142"/>
      <c r="F9564" s="142"/>
      <c r="G9564" s="140"/>
    </row>
    <row r="9565" spans="2:7" hidden="1">
      <c r="B9565" s="140"/>
      <c r="C9565" s="140"/>
      <c r="D9565" s="140"/>
      <c r="E9565" s="142"/>
      <c r="F9565" s="142"/>
      <c r="G9565" s="140"/>
    </row>
    <row r="9566" spans="2:7" hidden="1">
      <c r="B9566" s="140"/>
      <c r="C9566" s="140"/>
      <c r="D9566" s="140"/>
      <c r="E9566" s="142"/>
      <c r="F9566" s="142"/>
      <c r="G9566" s="140"/>
    </row>
    <row r="9567" spans="2:7" hidden="1">
      <c r="B9567" s="140"/>
      <c r="C9567" s="140"/>
      <c r="D9567" s="140"/>
      <c r="E9567" s="142"/>
      <c r="F9567" s="142"/>
      <c r="G9567" s="140"/>
    </row>
    <row r="9568" spans="2:7" hidden="1">
      <c r="B9568" s="140"/>
      <c r="C9568" s="140"/>
      <c r="D9568" s="140"/>
      <c r="E9568" s="142"/>
      <c r="F9568" s="142"/>
      <c r="G9568" s="140"/>
    </row>
    <row r="9569" spans="2:7" hidden="1">
      <c r="B9569" s="140"/>
      <c r="C9569" s="140"/>
      <c r="D9569" s="140"/>
      <c r="E9569" s="142"/>
      <c r="F9569" s="142"/>
      <c r="G9569" s="140"/>
    </row>
    <row r="9570" spans="2:7" hidden="1">
      <c r="B9570" s="140"/>
      <c r="C9570" s="140"/>
      <c r="D9570" s="140"/>
      <c r="E9570" s="142"/>
      <c r="F9570" s="142"/>
      <c r="G9570" s="140"/>
    </row>
    <row r="9571" spans="2:7" hidden="1">
      <c r="B9571" s="140"/>
      <c r="C9571" s="140"/>
      <c r="D9571" s="140"/>
      <c r="E9571" s="142"/>
      <c r="F9571" s="142"/>
      <c r="G9571" s="140"/>
    </row>
    <row r="9572" spans="2:7" hidden="1">
      <c r="B9572" s="140"/>
      <c r="C9572" s="140"/>
      <c r="D9572" s="140"/>
      <c r="E9572" s="142"/>
      <c r="F9572" s="142"/>
      <c r="G9572" s="140"/>
    </row>
    <row r="9573" spans="2:7" hidden="1">
      <c r="B9573" s="140"/>
      <c r="C9573" s="140"/>
      <c r="D9573" s="140"/>
      <c r="E9573" s="142"/>
      <c r="F9573" s="142"/>
      <c r="G9573" s="140"/>
    </row>
    <row r="9574" spans="2:7" hidden="1">
      <c r="B9574" s="140"/>
      <c r="C9574" s="140"/>
      <c r="D9574" s="140"/>
      <c r="E9574" s="142"/>
      <c r="F9574" s="142"/>
      <c r="G9574" s="140"/>
    </row>
    <row r="9575" spans="2:7" hidden="1">
      <c r="B9575" s="140"/>
      <c r="C9575" s="140"/>
      <c r="D9575" s="140"/>
      <c r="E9575" s="142"/>
      <c r="F9575" s="142"/>
      <c r="G9575" s="140"/>
    </row>
    <row r="9576" spans="2:7" hidden="1">
      <c r="B9576" s="140"/>
      <c r="C9576" s="140"/>
      <c r="D9576" s="140"/>
      <c r="E9576" s="142"/>
      <c r="F9576" s="142"/>
      <c r="G9576" s="140"/>
    </row>
    <row r="9577" spans="2:7" hidden="1">
      <c r="B9577" s="140"/>
      <c r="C9577" s="140"/>
      <c r="D9577" s="140"/>
      <c r="E9577" s="142"/>
      <c r="F9577" s="142"/>
      <c r="G9577" s="140"/>
    </row>
    <row r="9578" spans="2:7" hidden="1">
      <c r="B9578" s="140"/>
      <c r="C9578" s="140"/>
      <c r="D9578" s="140"/>
      <c r="E9578" s="142"/>
      <c r="F9578" s="142"/>
      <c r="G9578" s="140"/>
    </row>
    <row r="9579" spans="2:7" hidden="1">
      <c r="B9579" s="140"/>
      <c r="C9579" s="140"/>
      <c r="D9579" s="140"/>
      <c r="E9579" s="142"/>
      <c r="F9579" s="142"/>
      <c r="G9579" s="140"/>
    </row>
    <row r="9580" spans="2:7" hidden="1">
      <c r="B9580" s="140"/>
      <c r="C9580" s="140"/>
      <c r="D9580" s="140"/>
      <c r="E9580" s="142"/>
      <c r="F9580" s="142"/>
      <c r="G9580" s="140"/>
    </row>
    <row r="9581" spans="2:7" hidden="1">
      <c r="B9581" s="140"/>
      <c r="C9581" s="140"/>
      <c r="D9581" s="140"/>
      <c r="E9581" s="142"/>
      <c r="F9581" s="142"/>
      <c r="G9581" s="140"/>
    </row>
    <row r="9582" spans="2:7" hidden="1">
      <c r="B9582" s="140"/>
      <c r="C9582" s="140"/>
      <c r="D9582" s="140"/>
      <c r="E9582" s="142"/>
      <c r="F9582" s="142"/>
      <c r="G9582" s="140"/>
    </row>
    <row r="9583" spans="2:7" hidden="1">
      <c r="B9583" s="140"/>
      <c r="C9583" s="140"/>
      <c r="D9583" s="140"/>
      <c r="E9583" s="142"/>
      <c r="F9583" s="142"/>
      <c r="G9583" s="140"/>
    </row>
    <row r="9584" spans="2:7" hidden="1">
      <c r="B9584" s="140"/>
      <c r="C9584" s="140"/>
      <c r="D9584" s="140"/>
      <c r="E9584" s="142"/>
      <c r="F9584" s="142"/>
      <c r="G9584" s="140"/>
    </row>
    <row r="9585" spans="2:7" hidden="1">
      <c r="B9585" s="140"/>
      <c r="C9585" s="140"/>
      <c r="D9585" s="140"/>
      <c r="E9585" s="142"/>
      <c r="F9585" s="142"/>
      <c r="G9585" s="140"/>
    </row>
    <row r="9586" spans="2:7" hidden="1">
      <c r="B9586" s="140"/>
      <c r="C9586" s="140"/>
      <c r="D9586" s="140"/>
      <c r="E9586" s="142"/>
      <c r="F9586" s="142"/>
      <c r="G9586" s="140"/>
    </row>
    <row r="9587" spans="2:7" hidden="1">
      <c r="B9587" s="140"/>
      <c r="C9587" s="140"/>
      <c r="D9587" s="140"/>
      <c r="E9587" s="142"/>
      <c r="F9587" s="142"/>
      <c r="G9587" s="140"/>
    </row>
    <row r="9588" spans="2:7" hidden="1">
      <c r="B9588" s="140"/>
      <c r="C9588" s="140"/>
      <c r="D9588" s="140"/>
      <c r="E9588" s="142"/>
      <c r="F9588" s="142"/>
      <c r="G9588" s="140"/>
    </row>
    <row r="9589" spans="2:7" hidden="1">
      <c r="B9589" s="140"/>
      <c r="C9589" s="140"/>
      <c r="D9589" s="140"/>
      <c r="E9589" s="142"/>
      <c r="F9589" s="142"/>
      <c r="G9589" s="140"/>
    </row>
    <row r="9590" spans="2:7" hidden="1">
      <c r="B9590" s="140"/>
      <c r="C9590" s="140"/>
      <c r="D9590" s="140"/>
      <c r="E9590" s="142"/>
      <c r="F9590" s="142"/>
      <c r="G9590" s="140"/>
    </row>
    <row r="9591" spans="2:7" hidden="1">
      <c r="B9591" s="140"/>
      <c r="C9591" s="140"/>
      <c r="D9591" s="140"/>
      <c r="E9591" s="142"/>
      <c r="F9591" s="142"/>
      <c r="G9591" s="140"/>
    </row>
    <row r="9592" spans="2:7" hidden="1">
      <c r="B9592" s="140"/>
      <c r="C9592" s="140"/>
      <c r="D9592" s="140"/>
      <c r="E9592" s="142"/>
      <c r="F9592" s="142"/>
      <c r="G9592" s="140"/>
    </row>
    <row r="9593" spans="2:7" hidden="1">
      <c r="B9593" s="140"/>
      <c r="C9593" s="140"/>
      <c r="D9593" s="140"/>
      <c r="E9593" s="142"/>
      <c r="F9593" s="142"/>
      <c r="G9593" s="140"/>
    </row>
    <row r="9594" spans="2:7" hidden="1">
      <c r="B9594" s="140"/>
      <c r="C9594" s="140"/>
      <c r="D9594" s="140"/>
      <c r="E9594" s="142"/>
      <c r="F9594" s="142"/>
      <c r="G9594" s="140"/>
    </row>
    <row r="9595" spans="2:7" hidden="1">
      <c r="B9595" s="140"/>
      <c r="C9595" s="140"/>
      <c r="D9595" s="140"/>
      <c r="E9595" s="142"/>
      <c r="F9595" s="142"/>
      <c r="G9595" s="140"/>
    </row>
    <row r="9596" spans="2:7" hidden="1">
      <c r="B9596" s="140"/>
      <c r="C9596" s="140"/>
      <c r="D9596" s="140"/>
      <c r="E9596" s="142"/>
      <c r="F9596" s="142"/>
      <c r="G9596" s="140"/>
    </row>
    <row r="9597" spans="2:7" hidden="1">
      <c r="B9597" s="140"/>
      <c r="C9597" s="140"/>
      <c r="D9597" s="140"/>
      <c r="E9597" s="142"/>
      <c r="F9597" s="142"/>
      <c r="G9597" s="140"/>
    </row>
    <row r="9598" spans="2:7" hidden="1">
      <c r="B9598" s="140"/>
      <c r="C9598" s="140"/>
      <c r="D9598" s="140"/>
      <c r="E9598" s="142"/>
      <c r="F9598" s="142"/>
      <c r="G9598" s="140"/>
    </row>
    <row r="9599" spans="2:7" hidden="1">
      <c r="B9599" s="140"/>
      <c r="C9599" s="140"/>
      <c r="D9599" s="140"/>
      <c r="E9599" s="142"/>
      <c r="F9599" s="142"/>
      <c r="G9599" s="140"/>
    </row>
    <row r="9600" spans="2:7" hidden="1">
      <c r="B9600" s="140"/>
      <c r="C9600" s="140"/>
      <c r="D9600" s="140"/>
      <c r="E9600" s="142"/>
      <c r="F9600" s="142"/>
      <c r="G9600" s="140"/>
    </row>
    <row r="9601" spans="2:7" hidden="1">
      <c r="B9601" s="140"/>
      <c r="C9601" s="140"/>
      <c r="D9601" s="140"/>
      <c r="E9601" s="142"/>
      <c r="F9601" s="142"/>
      <c r="G9601" s="140"/>
    </row>
    <row r="9602" spans="2:7" hidden="1">
      <c r="B9602" s="140"/>
      <c r="C9602" s="140"/>
      <c r="D9602" s="140"/>
      <c r="E9602" s="142"/>
      <c r="F9602" s="142"/>
      <c r="G9602" s="140"/>
    </row>
    <row r="9603" spans="2:7" hidden="1">
      <c r="B9603" s="140"/>
      <c r="C9603" s="140"/>
      <c r="D9603" s="140"/>
      <c r="E9603" s="142"/>
      <c r="F9603" s="142"/>
      <c r="G9603" s="140"/>
    </row>
    <row r="9604" spans="2:7" hidden="1">
      <c r="B9604" s="140"/>
      <c r="C9604" s="140"/>
      <c r="D9604" s="140"/>
      <c r="E9604" s="142"/>
      <c r="F9604" s="142"/>
      <c r="G9604" s="140"/>
    </row>
    <row r="9605" spans="2:7" hidden="1">
      <c r="B9605" s="140"/>
      <c r="C9605" s="140"/>
      <c r="D9605" s="140"/>
      <c r="E9605" s="142"/>
      <c r="F9605" s="142"/>
      <c r="G9605" s="140"/>
    </row>
    <row r="9606" spans="2:7" hidden="1">
      <c r="B9606" s="140"/>
      <c r="C9606" s="140"/>
      <c r="D9606" s="140"/>
      <c r="E9606" s="142"/>
      <c r="F9606" s="142"/>
      <c r="G9606" s="140"/>
    </row>
    <row r="9607" spans="2:7" hidden="1">
      <c r="B9607" s="140"/>
      <c r="C9607" s="140"/>
      <c r="D9607" s="140"/>
      <c r="E9607" s="142"/>
      <c r="F9607" s="142"/>
      <c r="G9607" s="140"/>
    </row>
    <row r="9608" spans="2:7" hidden="1">
      <c r="B9608" s="140"/>
      <c r="C9608" s="140"/>
      <c r="D9608" s="140"/>
      <c r="E9608" s="142"/>
      <c r="F9608" s="142"/>
      <c r="G9608" s="140"/>
    </row>
    <row r="9609" spans="2:7" hidden="1">
      <c r="B9609" s="140"/>
      <c r="C9609" s="140"/>
      <c r="D9609" s="140"/>
      <c r="E9609" s="142"/>
      <c r="F9609" s="142"/>
      <c r="G9609" s="140"/>
    </row>
    <row r="9610" spans="2:7" hidden="1">
      <c r="B9610" s="140"/>
      <c r="C9610" s="140"/>
      <c r="D9610" s="140"/>
      <c r="E9610" s="142"/>
      <c r="F9610" s="142"/>
      <c r="G9610" s="140"/>
    </row>
    <row r="9611" spans="2:7" hidden="1">
      <c r="B9611" s="140"/>
      <c r="C9611" s="140"/>
      <c r="D9611" s="140"/>
      <c r="E9611" s="142"/>
      <c r="F9611" s="142"/>
      <c r="G9611" s="140"/>
    </row>
    <row r="9612" spans="2:7" hidden="1">
      <c r="B9612" s="140"/>
      <c r="C9612" s="140"/>
      <c r="D9612" s="140"/>
      <c r="E9612" s="142"/>
      <c r="F9612" s="142"/>
      <c r="G9612" s="140"/>
    </row>
    <row r="9613" spans="2:7" hidden="1">
      <c r="B9613" s="140"/>
      <c r="C9613" s="140"/>
      <c r="D9613" s="140"/>
      <c r="E9613" s="142"/>
      <c r="F9613" s="142"/>
      <c r="G9613" s="140"/>
    </row>
    <row r="9614" spans="2:7" hidden="1">
      <c r="B9614" s="140"/>
      <c r="C9614" s="140"/>
      <c r="D9614" s="140"/>
      <c r="E9614" s="142"/>
      <c r="F9614" s="142"/>
      <c r="G9614" s="140"/>
    </row>
    <row r="9615" spans="2:7" hidden="1">
      <c r="B9615" s="140"/>
      <c r="C9615" s="140"/>
      <c r="D9615" s="140"/>
      <c r="E9615" s="142"/>
      <c r="F9615" s="142"/>
      <c r="G9615" s="140"/>
    </row>
    <row r="9616" spans="2:7" hidden="1">
      <c r="B9616" s="140"/>
      <c r="C9616" s="140"/>
      <c r="D9616" s="140"/>
      <c r="E9616" s="142"/>
      <c r="F9616" s="142"/>
      <c r="G9616" s="140"/>
    </row>
    <row r="9617" spans="2:7" hidden="1">
      <c r="B9617" s="140"/>
      <c r="C9617" s="140"/>
      <c r="D9617" s="140"/>
      <c r="E9617" s="142"/>
      <c r="F9617" s="142"/>
      <c r="G9617" s="140"/>
    </row>
    <row r="9618" spans="2:7" hidden="1">
      <c r="B9618" s="140"/>
      <c r="C9618" s="140"/>
      <c r="D9618" s="140"/>
      <c r="E9618" s="142"/>
      <c r="F9618" s="142"/>
      <c r="G9618" s="140"/>
    </row>
    <row r="9619" spans="2:7" hidden="1">
      <c r="B9619" s="140"/>
      <c r="C9619" s="140"/>
      <c r="D9619" s="140"/>
      <c r="E9619" s="142"/>
      <c r="F9619" s="142"/>
      <c r="G9619" s="140"/>
    </row>
    <row r="9620" spans="2:7" hidden="1">
      <c r="B9620" s="140"/>
      <c r="C9620" s="140"/>
      <c r="D9620" s="140"/>
      <c r="E9620" s="142"/>
      <c r="F9620" s="142"/>
      <c r="G9620" s="140"/>
    </row>
    <row r="9621" spans="2:7" hidden="1">
      <c r="B9621" s="140"/>
      <c r="C9621" s="140"/>
      <c r="D9621" s="140"/>
      <c r="E9621" s="142"/>
      <c r="F9621" s="142"/>
      <c r="G9621" s="140"/>
    </row>
    <row r="9622" spans="2:7" hidden="1">
      <c r="B9622" s="140"/>
      <c r="C9622" s="140"/>
      <c r="D9622" s="140"/>
      <c r="E9622" s="142"/>
      <c r="F9622" s="142"/>
      <c r="G9622" s="140"/>
    </row>
    <row r="9623" spans="2:7" hidden="1">
      <c r="B9623" s="140"/>
      <c r="C9623" s="140"/>
      <c r="D9623" s="140"/>
      <c r="E9623" s="142"/>
      <c r="F9623" s="142"/>
      <c r="G9623" s="140"/>
    </row>
    <row r="9624" spans="2:7" hidden="1">
      <c r="B9624" s="140"/>
      <c r="C9624" s="140"/>
      <c r="D9624" s="140"/>
      <c r="E9624" s="142"/>
      <c r="F9624" s="142"/>
      <c r="G9624" s="140"/>
    </row>
    <row r="9625" spans="2:7" hidden="1">
      <c r="B9625" s="140"/>
      <c r="C9625" s="140"/>
      <c r="D9625" s="140"/>
      <c r="E9625" s="142"/>
      <c r="F9625" s="142"/>
      <c r="G9625" s="140"/>
    </row>
    <row r="9626" spans="2:7" hidden="1">
      <c r="B9626" s="140"/>
      <c r="C9626" s="140"/>
      <c r="D9626" s="140"/>
      <c r="E9626" s="142"/>
      <c r="F9626" s="142"/>
      <c r="G9626" s="140"/>
    </row>
    <row r="9627" spans="2:7" hidden="1">
      <c r="B9627" s="140"/>
      <c r="C9627" s="140"/>
      <c r="D9627" s="140"/>
      <c r="E9627" s="142"/>
      <c r="F9627" s="142"/>
      <c r="G9627" s="140"/>
    </row>
    <row r="9628" spans="2:7" hidden="1">
      <c r="B9628" s="140"/>
      <c r="C9628" s="140"/>
      <c r="D9628" s="140"/>
      <c r="E9628" s="142"/>
      <c r="F9628" s="142"/>
      <c r="G9628" s="140"/>
    </row>
    <row r="9629" spans="2:7" hidden="1">
      <c r="B9629" s="140"/>
      <c r="C9629" s="140"/>
      <c r="D9629" s="140"/>
      <c r="E9629" s="142"/>
      <c r="F9629" s="142"/>
      <c r="G9629" s="140"/>
    </row>
    <row r="9630" spans="2:7" hidden="1">
      <c r="B9630" s="140"/>
      <c r="C9630" s="140"/>
      <c r="D9630" s="140"/>
      <c r="E9630" s="142"/>
      <c r="F9630" s="142"/>
      <c r="G9630" s="140"/>
    </row>
    <row r="9631" spans="2:7" hidden="1">
      <c r="B9631" s="140"/>
      <c r="C9631" s="140"/>
      <c r="D9631" s="140"/>
      <c r="E9631" s="142"/>
      <c r="F9631" s="142"/>
      <c r="G9631" s="140"/>
    </row>
    <row r="9632" spans="2:7" hidden="1">
      <c r="B9632" s="140"/>
      <c r="C9632" s="140"/>
      <c r="D9632" s="140"/>
      <c r="E9632" s="142"/>
      <c r="F9632" s="142"/>
      <c r="G9632" s="140"/>
    </row>
    <row r="9633" spans="2:7" hidden="1">
      <c r="B9633" s="140"/>
      <c r="C9633" s="140"/>
      <c r="D9633" s="140"/>
      <c r="E9633" s="142"/>
      <c r="F9633" s="142"/>
      <c r="G9633" s="140"/>
    </row>
    <row r="9634" spans="2:7" hidden="1">
      <c r="B9634" s="140"/>
      <c r="C9634" s="140"/>
      <c r="D9634" s="140"/>
      <c r="E9634" s="142"/>
      <c r="F9634" s="142"/>
      <c r="G9634" s="140"/>
    </row>
    <row r="9635" spans="2:7" hidden="1">
      <c r="B9635" s="140"/>
      <c r="C9635" s="140"/>
      <c r="D9635" s="140"/>
      <c r="E9635" s="142"/>
      <c r="F9635" s="142"/>
      <c r="G9635" s="140"/>
    </row>
    <row r="9636" spans="2:7" hidden="1">
      <c r="B9636" s="140"/>
      <c r="C9636" s="140"/>
      <c r="D9636" s="140"/>
      <c r="E9636" s="142"/>
      <c r="F9636" s="142"/>
      <c r="G9636" s="140"/>
    </row>
    <row r="9637" spans="2:7" hidden="1">
      <c r="B9637" s="140"/>
      <c r="C9637" s="140"/>
      <c r="D9637" s="140"/>
      <c r="E9637" s="142"/>
      <c r="F9637" s="142"/>
      <c r="G9637" s="140"/>
    </row>
    <row r="9638" spans="2:7" hidden="1">
      <c r="B9638" s="140"/>
      <c r="C9638" s="140"/>
      <c r="D9638" s="140"/>
      <c r="E9638" s="142"/>
      <c r="F9638" s="142"/>
      <c r="G9638" s="140"/>
    </row>
    <row r="9639" spans="2:7" hidden="1">
      <c r="B9639" s="140"/>
      <c r="C9639" s="140"/>
      <c r="D9639" s="140"/>
      <c r="E9639" s="142"/>
      <c r="F9639" s="142"/>
      <c r="G9639" s="140"/>
    </row>
    <row r="9640" spans="2:7" hidden="1">
      <c r="B9640" s="140"/>
      <c r="C9640" s="140"/>
      <c r="D9640" s="140"/>
      <c r="E9640" s="142"/>
      <c r="F9640" s="142"/>
      <c r="G9640" s="140"/>
    </row>
    <row r="9641" spans="2:7" hidden="1">
      <c r="B9641" s="140"/>
      <c r="C9641" s="140"/>
      <c r="D9641" s="140"/>
      <c r="E9641" s="142"/>
      <c r="F9641" s="142"/>
      <c r="G9641" s="140"/>
    </row>
    <row r="9642" spans="2:7" hidden="1">
      <c r="B9642" s="140"/>
      <c r="C9642" s="140"/>
      <c r="D9642" s="140"/>
      <c r="E9642" s="142"/>
      <c r="F9642" s="142"/>
      <c r="G9642" s="140"/>
    </row>
    <row r="9643" spans="2:7" hidden="1">
      <c r="B9643" s="140"/>
      <c r="C9643" s="140"/>
      <c r="D9643" s="140"/>
      <c r="E9643" s="142"/>
      <c r="F9643" s="142"/>
      <c r="G9643" s="140"/>
    </row>
    <row r="9644" spans="2:7" hidden="1">
      <c r="B9644" s="140"/>
      <c r="C9644" s="140"/>
      <c r="D9644" s="140"/>
      <c r="E9644" s="142"/>
      <c r="F9644" s="142"/>
      <c r="G9644" s="140"/>
    </row>
    <row r="9645" spans="2:7" hidden="1">
      <c r="B9645" s="140"/>
      <c r="C9645" s="140"/>
      <c r="D9645" s="140"/>
      <c r="E9645" s="142"/>
      <c r="F9645" s="142"/>
      <c r="G9645" s="140"/>
    </row>
    <row r="9646" spans="2:7" hidden="1">
      <c r="B9646" s="140"/>
      <c r="C9646" s="140"/>
      <c r="D9646" s="140"/>
      <c r="E9646" s="142"/>
      <c r="F9646" s="142"/>
      <c r="G9646" s="140"/>
    </row>
    <row r="9647" spans="2:7" hidden="1">
      <c r="B9647" s="140"/>
      <c r="C9647" s="140"/>
      <c r="D9647" s="140"/>
      <c r="E9647" s="142"/>
      <c r="F9647" s="142"/>
      <c r="G9647" s="140"/>
    </row>
    <row r="9648" spans="2:7" hidden="1">
      <c r="B9648" s="140"/>
      <c r="C9648" s="140"/>
      <c r="D9648" s="140"/>
      <c r="E9648" s="142"/>
      <c r="F9648" s="142"/>
      <c r="G9648" s="140"/>
    </row>
    <row r="9649" spans="2:7" hidden="1">
      <c r="B9649" s="140"/>
      <c r="C9649" s="140"/>
      <c r="D9649" s="140"/>
      <c r="E9649" s="142"/>
      <c r="F9649" s="142"/>
      <c r="G9649" s="140"/>
    </row>
    <row r="9650" spans="2:7" hidden="1">
      <c r="B9650" s="140"/>
      <c r="C9650" s="140"/>
      <c r="D9650" s="140"/>
      <c r="E9650" s="142"/>
      <c r="F9650" s="142"/>
      <c r="G9650" s="140"/>
    </row>
    <row r="9651" spans="2:7" hidden="1">
      <c r="B9651" s="140"/>
      <c r="C9651" s="140"/>
      <c r="D9651" s="140"/>
      <c r="E9651" s="142"/>
      <c r="F9651" s="142"/>
      <c r="G9651" s="140"/>
    </row>
    <row r="9652" spans="2:7" hidden="1">
      <c r="B9652" s="140"/>
      <c r="C9652" s="140"/>
      <c r="D9652" s="140"/>
      <c r="E9652" s="142"/>
      <c r="F9652" s="142"/>
      <c r="G9652" s="140"/>
    </row>
    <row r="9653" spans="2:7" hidden="1">
      <c r="B9653" s="140"/>
      <c r="C9653" s="140"/>
      <c r="D9653" s="140"/>
      <c r="E9653" s="142"/>
      <c r="F9653" s="142"/>
      <c r="G9653" s="140"/>
    </row>
    <row r="9654" spans="2:7" hidden="1">
      <c r="B9654" s="140"/>
      <c r="C9654" s="140"/>
      <c r="D9654" s="140"/>
      <c r="E9654" s="142"/>
      <c r="F9654" s="142"/>
      <c r="G9654" s="140"/>
    </row>
    <row r="9655" spans="2:7" hidden="1">
      <c r="B9655" s="140"/>
      <c r="C9655" s="140"/>
      <c r="D9655" s="140"/>
      <c r="E9655" s="142"/>
      <c r="F9655" s="142"/>
      <c r="G9655" s="140"/>
    </row>
    <row r="9656" spans="2:7" hidden="1">
      <c r="B9656" s="140"/>
      <c r="C9656" s="140"/>
      <c r="D9656" s="140"/>
      <c r="E9656" s="142"/>
      <c r="F9656" s="142"/>
      <c r="G9656" s="140"/>
    </row>
    <row r="9657" spans="2:7" hidden="1">
      <c r="B9657" s="140"/>
      <c r="C9657" s="140"/>
      <c r="D9657" s="140"/>
      <c r="E9657" s="142"/>
      <c r="F9657" s="142"/>
      <c r="G9657" s="140"/>
    </row>
    <row r="9658" spans="2:7" hidden="1">
      <c r="B9658" s="140"/>
      <c r="C9658" s="140"/>
      <c r="D9658" s="140"/>
      <c r="E9658" s="142"/>
      <c r="F9658" s="142"/>
      <c r="G9658" s="140"/>
    </row>
    <row r="9659" spans="2:7" hidden="1">
      <c r="B9659" s="140"/>
      <c r="C9659" s="140"/>
      <c r="D9659" s="140"/>
      <c r="E9659" s="142"/>
      <c r="F9659" s="142"/>
      <c r="G9659" s="140"/>
    </row>
    <row r="9660" spans="2:7" hidden="1">
      <c r="B9660" s="140"/>
      <c r="C9660" s="140"/>
      <c r="D9660" s="140"/>
      <c r="E9660" s="142"/>
      <c r="F9660" s="142"/>
      <c r="G9660" s="140"/>
    </row>
    <row r="9661" spans="2:7" hidden="1">
      <c r="B9661" s="140"/>
      <c r="C9661" s="140"/>
      <c r="D9661" s="140"/>
      <c r="E9661" s="142"/>
      <c r="F9661" s="142"/>
      <c r="G9661" s="140"/>
    </row>
    <row r="9662" spans="2:7" hidden="1">
      <c r="B9662" s="140"/>
      <c r="C9662" s="140"/>
      <c r="D9662" s="140"/>
      <c r="E9662" s="142"/>
      <c r="F9662" s="142"/>
      <c r="G9662" s="140"/>
    </row>
    <row r="9663" spans="2:7" hidden="1">
      <c r="B9663" s="140"/>
      <c r="C9663" s="140"/>
      <c r="D9663" s="140"/>
      <c r="E9663" s="142"/>
      <c r="F9663" s="142"/>
      <c r="G9663" s="140"/>
    </row>
    <row r="9664" spans="2:7" hidden="1">
      <c r="B9664" s="140"/>
      <c r="C9664" s="140"/>
      <c r="D9664" s="140"/>
      <c r="E9664" s="142"/>
      <c r="F9664" s="142"/>
      <c r="G9664" s="140"/>
    </row>
    <row r="9665" spans="2:7" hidden="1">
      <c r="B9665" s="140"/>
      <c r="C9665" s="140"/>
      <c r="D9665" s="140"/>
      <c r="E9665" s="142"/>
      <c r="F9665" s="142"/>
      <c r="G9665" s="140"/>
    </row>
    <row r="9666" spans="2:7" hidden="1">
      <c r="B9666" s="140"/>
      <c r="C9666" s="140"/>
      <c r="D9666" s="140"/>
      <c r="E9666" s="142"/>
      <c r="F9666" s="142"/>
      <c r="G9666" s="140"/>
    </row>
    <row r="9667" spans="2:7" hidden="1">
      <c r="B9667" s="140"/>
      <c r="C9667" s="140"/>
      <c r="D9667" s="140"/>
      <c r="E9667" s="142"/>
      <c r="F9667" s="142"/>
      <c r="G9667" s="140"/>
    </row>
    <row r="9668" spans="2:7" hidden="1">
      <c r="B9668" s="140"/>
      <c r="C9668" s="140"/>
      <c r="D9668" s="140"/>
      <c r="E9668" s="142"/>
      <c r="F9668" s="142"/>
      <c r="G9668" s="140"/>
    </row>
    <row r="9669" spans="2:7" hidden="1">
      <c r="B9669" s="140"/>
      <c r="C9669" s="140"/>
      <c r="D9669" s="140"/>
      <c r="E9669" s="142"/>
      <c r="F9669" s="142"/>
      <c r="G9669" s="140"/>
    </row>
    <row r="9670" spans="2:7" hidden="1">
      <c r="B9670" s="140"/>
      <c r="C9670" s="140"/>
      <c r="D9670" s="140"/>
      <c r="E9670" s="142"/>
      <c r="F9670" s="142"/>
      <c r="G9670" s="140"/>
    </row>
    <row r="9671" spans="2:7" hidden="1">
      <c r="B9671" s="140"/>
      <c r="C9671" s="140"/>
      <c r="D9671" s="140"/>
      <c r="E9671" s="142"/>
      <c r="F9671" s="142"/>
      <c r="G9671" s="140"/>
    </row>
    <row r="9672" spans="2:7" hidden="1">
      <c r="B9672" s="140"/>
      <c r="C9672" s="140"/>
      <c r="D9672" s="140"/>
      <c r="E9672" s="142"/>
      <c r="F9672" s="142"/>
      <c r="G9672" s="140"/>
    </row>
    <row r="9673" spans="2:7" hidden="1">
      <c r="B9673" s="140"/>
      <c r="C9673" s="140"/>
      <c r="D9673" s="140"/>
      <c r="E9673" s="142"/>
      <c r="F9673" s="142"/>
      <c r="G9673" s="140"/>
    </row>
    <row r="9674" spans="2:7" hidden="1">
      <c r="B9674" s="140"/>
      <c r="C9674" s="140"/>
      <c r="D9674" s="140"/>
      <c r="E9674" s="142"/>
      <c r="F9674" s="142"/>
      <c r="G9674" s="140"/>
    </row>
    <row r="9675" spans="2:7" hidden="1">
      <c r="B9675" s="140"/>
      <c r="C9675" s="140"/>
      <c r="D9675" s="140"/>
      <c r="E9675" s="142"/>
      <c r="F9675" s="142"/>
      <c r="G9675" s="140"/>
    </row>
    <row r="9676" spans="2:7" hidden="1">
      <c r="B9676" s="140"/>
      <c r="C9676" s="140"/>
      <c r="D9676" s="140"/>
      <c r="E9676" s="142"/>
      <c r="F9676" s="142"/>
      <c r="G9676" s="140"/>
    </row>
    <row r="9677" spans="2:7" hidden="1">
      <c r="B9677" s="140"/>
      <c r="C9677" s="140"/>
      <c r="D9677" s="140"/>
      <c r="E9677" s="142"/>
      <c r="F9677" s="142"/>
      <c r="G9677" s="140"/>
    </row>
    <row r="9678" spans="2:7" hidden="1">
      <c r="B9678" s="140"/>
      <c r="C9678" s="140"/>
      <c r="D9678" s="140"/>
      <c r="E9678" s="142"/>
      <c r="F9678" s="142"/>
      <c r="G9678" s="140"/>
    </row>
    <row r="9679" spans="2:7" hidden="1">
      <c r="B9679" s="140"/>
      <c r="C9679" s="140"/>
      <c r="D9679" s="140"/>
      <c r="E9679" s="142"/>
      <c r="F9679" s="142"/>
      <c r="G9679" s="140"/>
    </row>
    <row r="9680" spans="2:7" hidden="1">
      <c r="B9680" s="140"/>
      <c r="C9680" s="140"/>
      <c r="D9680" s="140"/>
      <c r="E9680" s="142"/>
      <c r="F9680" s="142"/>
      <c r="G9680" s="140"/>
    </row>
    <row r="9681" spans="2:7" hidden="1">
      <c r="B9681" s="140"/>
      <c r="C9681" s="140"/>
      <c r="D9681" s="140"/>
      <c r="E9681" s="142"/>
      <c r="F9681" s="142"/>
      <c r="G9681" s="140"/>
    </row>
    <row r="9682" spans="2:7" hidden="1">
      <c r="B9682" s="140"/>
      <c r="C9682" s="140"/>
      <c r="D9682" s="140"/>
      <c r="E9682" s="142"/>
      <c r="F9682" s="142"/>
      <c r="G9682" s="140"/>
    </row>
    <row r="9683" spans="2:7" hidden="1">
      <c r="B9683" s="140"/>
      <c r="C9683" s="140"/>
      <c r="D9683" s="140"/>
      <c r="E9683" s="142"/>
      <c r="F9683" s="142"/>
      <c r="G9683" s="140"/>
    </row>
    <row r="9684" spans="2:7" hidden="1">
      <c r="B9684" s="140"/>
      <c r="C9684" s="140"/>
      <c r="D9684" s="140"/>
      <c r="E9684" s="142"/>
      <c r="F9684" s="142"/>
      <c r="G9684" s="140"/>
    </row>
    <row r="9685" spans="2:7" hidden="1">
      <c r="B9685" s="140"/>
      <c r="C9685" s="140"/>
      <c r="D9685" s="140"/>
      <c r="E9685" s="142"/>
      <c r="F9685" s="142"/>
      <c r="G9685" s="140"/>
    </row>
    <row r="9686" spans="2:7" hidden="1">
      <c r="B9686" s="140"/>
      <c r="C9686" s="140"/>
      <c r="D9686" s="140"/>
      <c r="E9686" s="142"/>
      <c r="F9686" s="142"/>
      <c r="G9686" s="140"/>
    </row>
    <row r="9687" spans="2:7" hidden="1">
      <c r="B9687" s="140"/>
      <c r="C9687" s="140"/>
      <c r="D9687" s="140"/>
      <c r="E9687" s="142"/>
      <c r="F9687" s="142"/>
      <c r="G9687" s="140"/>
    </row>
    <row r="9688" spans="2:7" hidden="1">
      <c r="B9688" s="140"/>
      <c r="C9688" s="140"/>
      <c r="D9688" s="140"/>
      <c r="E9688" s="142"/>
      <c r="F9688" s="142"/>
      <c r="G9688" s="140"/>
    </row>
    <row r="9689" spans="2:7" hidden="1">
      <c r="B9689" s="140"/>
      <c r="C9689" s="140"/>
      <c r="D9689" s="140"/>
      <c r="E9689" s="142"/>
      <c r="F9689" s="142"/>
      <c r="G9689" s="140"/>
    </row>
    <row r="9690" spans="2:7" hidden="1">
      <c r="B9690" s="140"/>
      <c r="C9690" s="140"/>
      <c r="D9690" s="140"/>
      <c r="E9690" s="142"/>
      <c r="F9690" s="142"/>
      <c r="G9690" s="140"/>
    </row>
    <row r="9691" spans="2:7" hidden="1">
      <c r="B9691" s="140"/>
      <c r="C9691" s="140"/>
      <c r="D9691" s="140"/>
      <c r="E9691" s="142"/>
      <c r="F9691" s="142"/>
      <c r="G9691" s="140"/>
    </row>
    <row r="9692" spans="2:7" hidden="1">
      <c r="B9692" s="140"/>
      <c r="C9692" s="140"/>
      <c r="D9692" s="140"/>
      <c r="E9692" s="142"/>
      <c r="F9692" s="142"/>
      <c r="G9692" s="140"/>
    </row>
    <row r="9693" spans="2:7" hidden="1">
      <c r="B9693" s="140"/>
      <c r="C9693" s="140"/>
      <c r="D9693" s="140"/>
      <c r="E9693" s="142"/>
      <c r="F9693" s="142"/>
      <c r="G9693" s="140"/>
    </row>
    <row r="9694" spans="2:7" hidden="1">
      <c r="B9694" s="140"/>
      <c r="C9694" s="140"/>
      <c r="D9694" s="140"/>
      <c r="E9694" s="142"/>
      <c r="F9694" s="142"/>
      <c r="G9694" s="140"/>
    </row>
    <row r="9695" spans="2:7" hidden="1">
      <c r="B9695" s="140"/>
      <c r="C9695" s="140"/>
      <c r="D9695" s="140"/>
      <c r="E9695" s="142"/>
      <c r="F9695" s="142"/>
      <c r="G9695" s="140"/>
    </row>
    <row r="9696" spans="2:7" hidden="1">
      <c r="B9696" s="140"/>
      <c r="C9696" s="140"/>
      <c r="D9696" s="140"/>
      <c r="E9696" s="142"/>
      <c r="F9696" s="142"/>
      <c r="G9696" s="140"/>
    </row>
    <row r="9697" spans="2:7" hidden="1">
      <c r="B9697" s="140"/>
      <c r="C9697" s="140"/>
      <c r="D9697" s="140"/>
      <c r="E9697" s="142"/>
      <c r="F9697" s="142"/>
      <c r="G9697" s="140"/>
    </row>
    <row r="9698" spans="2:7" hidden="1">
      <c r="B9698" s="140"/>
      <c r="C9698" s="140"/>
      <c r="D9698" s="140"/>
      <c r="E9698" s="142"/>
      <c r="F9698" s="142"/>
      <c r="G9698" s="140"/>
    </row>
    <row r="9699" spans="2:7" hidden="1">
      <c r="B9699" s="140"/>
      <c r="C9699" s="140"/>
      <c r="D9699" s="140"/>
      <c r="E9699" s="142"/>
      <c r="F9699" s="142"/>
      <c r="G9699" s="140"/>
    </row>
    <row r="9700" spans="2:7" hidden="1">
      <c r="B9700" s="140"/>
      <c r="C9700" s="140"/>
      <c r="D9700" s="140"/>
      <c r="E9700" s="142"/>
      <c r="F9700" s="142"/>
      <c r="G9700" s="140"/>
    </row>
    <row r="9701" spans="2:7" hidden="1">
      <c r="B9701" s="140"/>
      <c r="C9701" s="140"/>
      <c r="D9701" s="140"/>
      <c r="E9701" s="142"/>
      <c r="F9701" s="142"/>
      <c r="G9701" s="140"/>
    </row>
    <row r="9702" spans="2:7" hidden="1">
      <c r="B9702" s="140"/>
      <c r="C9702" s="140"/>
      <c r="D9702" s="140"/>
      <c r="E9702" s="142"/>
      <c r="F9702" s="142"/>
      <c r="G9702" s="140"/>
    </row>
    <row r="9703" spans="2:7" hidden="1">
      <c r="B9703" s="140"/>
      <c r="C9703" s="140"/>
      <c r="D9703" s="140"/>
      <c r="E9703" s="142"/>
      <c r="F9703" s="142"/>
      <c r="G9703" s="140"/>
    </row>
    <row r="9704" spans="2:7" hidden="1">
      <c r="B9704" s="140"/>
      <c r="C9704" s="140"/>
      <c r="D9704" s="140"/>
      <c r="E9704" s="142"/>
      <c r="F9704" s="142"/>
      <c r="G9704" s="140"/>
    </row>
    <row r="9705" spans="2:7" hidden="1">
      <c r="B9705" s="140"/>
      <c r="C9705" s="140"/>
      <c r="D9705" s="140"/>
      <c r="E9705" s="142"/>
      <c r="F9705" s="142"/>
      <c r="G9705" s="140"/>
    </row>
    <row r="9706" spans="2:7" hidden="1">
      <c r="B9706" s="140"/>
      <c r="C9706" s="140"/>
      <c r="D9706" s="140"/>
      <c r="E9706" s="142"/>
      <c r="F9706" s="142"/>
      <c r="G9706" s="140"/>
    </row>
    <row r="9707" spans="2:7" hidden="1">
      <c r="B9707" s="140"/>
      <c r="C9707" s="140"/>
      <c r="D9707" s="140"/>
      <c r="E9707" s="142"/>
      <c r="F9707" s="142"/>
      <c r="G9707" s="140"/>
    </row>
    <row r="9708" spans="2:7" hidden="1">
      <c r="B9708" s="140"/>
      <c r="C9708" s="140"/>
      <c r="D9708" s="140"/>
      <c r="E9708" s="142"/>
      <c r="F9708" s="142"/>
      <c r="G9708" s="140"/>
    </row>
    <row r="9709" spans="2:7" hidden="1">
      <c r="B9709" s="140"/>
      <c r="C9709" s="140"/>
      <c r="D9709" s="140"/>
      <c r="E9709" s="142"/>
      <c r="F9709" s="142"/>
      <c r="G9709" s="140"/>
    </row>
    <row r="9710" spans="2:7" hidden="1">
      <c r="B9710" s="140"/>
      <c r="C9710" s="140"/>
      <c r="D9710" s="140"/>
      <c r="E9710" s="142"/>
      <c r="F9710" s="142"/>
      <c r="G9710" s="140"/>
    </row>
    <row r="9711" spans="2:7" hidden="1">
      <c r="B9711" s="140"/>
      <c r="C9711" s="140"/>
      <c r="D9711" s="140"/>
      <c r="E9711" s="142"/>
      <c r="F9711" s="142"/>
      <c r="G9711" s="140"/>
    </row>
    <row r="9712" spans="2:7" hidden="1">
      <c r="B9712" s="140"/>
      <c r="C9712" s="140"/>
      <c r="D9712" s="140"/>
      <c r="E9712" s="142"/>
      <c r="F9712" s="142"/>
      <c r="G9712" s="140"/>
    </row>
    <row r="9713" spans="2:7" hidden="1">
      <c r="B9713" s="140"/>
      <c r="C9713" s="140"/>
      <c r="D9713" s="140"/>
      <c r="E9713" s="142"/>
      <c r="F9713" s="142"/>
      <c r="G9713" s="140"/>
    </row>
    <row r="9714" spans="2:7" hidden="1">
      <c r="B9714" s="140"/>
      <c r="C9714" s="140"/>
      <c r="D9714" s="140"/>
      <c r="E9714" s="142"/>
      <c r="F9714" s="142"/>
      <c r="G9714" s="140"/>
    </row>
    <row r="9715" spans="2:7" hidden="1">
      <c r="B9715" s="140"/>
      <c r="C9715" s="140"/>
      <c r="D9715" s="140"/>
      <c r="E9715" s="142"/>
      <c r="F9715" s="142"/>
      <c r="G9715" s="140"/>
    </row>
    <row r="9716" spans="2:7" hidden="1">
      <c r="B9716" s="140"/>
      <c r="C9716" s="140"/>
      <c r="D9716" s="140"/>
      <c r="E9716" s="142"/>
      <c r="F9716" s="142"/>
      <c r="G9716" s="140"/>
    </row>
    <row r="9717" spans="2:7" hidden="1">
      <c r="B9717" s="140"/>
      <c r="C9717" s="140"/>
      <c r="D9717" s="140"/>
      <c r="E9717" s="142"/>
      <c r="F9717" s="142"/>
      <c r="G9717" s="140"/>
    </row>
    <row r="9718" spans="2:7" hidden="1">
      <c r="B9718" s="140"/>
      <c r="C9718" s="140"/>
      <c r="D9718" s="140"/>
      <c r="E9718" s="142"/>
      <c r="F9718" s="142"/>
      <c r="G9718" s="140"/>
    </row>
    <row r="9719" spans="2:7" hidden="1">
      <c r="B9719" s="140"/>
      <c r="C9719" s="140"/>
      <c r="D9719" s="140"/>
      <c r="E9719" s="142"/>
      <c r="F9719" s="142"/>
      <c r="G9719" s="140"/>
    </row>
    <row r="9720" spans="2:7" hidden="1">
      <c r="B9720" s="140"/>
      <c r="C9720" s="140"/>
      <c r="D9720" s="140"/>
      <c r="E9720" s="142"/>
      <c r="F9720" s="142"/>
      <c r="G9720" s="140"/>
    </row>
    <row r="9721" spans="2:7" hidden="1">
      <c r="B9721" s="140"/>
      <c r="C9721" s="140"/>
      <c r="D9721" s="140"/>
      <c r="E9721" s="142"/>
      <c r="F9721" s="142"/>
      <c r="G9721" s="140"/>
    </row>
    <row r="9722" spans="2:7" hidden="1">
      <c r="B9722" s="140"/>
      <c r="C9722" s="140"/>
      <c r="D9722" s="140"/>
      <c r="E9722" s="142"/>
      <c r="F9722" s="142"/>
      <c r="G9722" s="140"/>
    </row>
    <row r="9723" spans="2:7" hidden="1">
      <c r="B9723" s="140"/>
      <c r="C9723" s="140"/>
      <c r="D9723" s="140"/>
      <c r="E9723" s="142"/>
      <c r="F9723" s="142"/>
      <c r="G9723" s="140"/>
    </row>
    <row r="9724" spans="2:7" hidden="1">
      <c r="B9724" s="140"/>
      <c r="C9724" s="140"/>
      <c r="D9724" s="140"/>
      <c r="E9724" s="142"/>
      <c r="F9724" s="142"/>
      <c r="G9724" s="140"/>
    </row>
    <row r="9725" spans="2:7" hidden="1">
      <c r="B9725" s="140"/>
      <c r="C9725" s="140"/>
      <c r="D9725" s="140"/>
      <c r="E9725" s="142"/>
      <c r="F9725" s="142"/>
      <c r="G9725" s="140"/>
    </row>
    <row r="9726" spans="2:7" hidden="1">
      <c r="B9726" s="140"/>
      <c r="C9726" s="140"/>
      <c r="D9726" s="140"/>
      <c r="E9726" s="142"/>
      <c r="F9726" s="142"/>
      <c r="G9726" s="140"/>
    </row>
    <row r="9727" spans="2:7" hidden="1">
      <c r="B9727" s="140"/>
      <c r="C9727" s="140"/>
      <c r="D9727" s="140"/>
      <c r="E9727" s="142"/>
      <c r="F9727" s="142"/>
      <c r="G9727" s="140"/>
    </row>
    <row r="9728" spans="2:7" hidden="1">
      <c r="B9728" s="140"/>
      <c r="C9728" s="140"/>
      <c r="D9728" s="140"/>
      <c r="E9728" s="142"/>
      <c r="F9728" s="142"/>
      <c r="G9728" s="140"/>
    </row>
    <row r="9729" spans="2:7" hidden="1">
      <c r="B9729" s="140"/>
      <c r="C9729" s="140"/>
      <c r="D9729" s="140"/>
      <c r="E9729" s="142"/>
      <c r="F9729" s="142"/>
      <c r="G9729" s="140"/>
    </row>
    <row r="9730" spans="2:7" hidden="1">
      <c r="B9730" s="140"/>
      <c r="C9730" s="140"/>
      <c r="D9730" s="140"/>
      <c r="E9730" s="142"/>
      <c r="F9730" s="142"/>
      <c r="G9730" s="140"/>
    </row>
    <row r="9731" spans="2:7" hidden="1">
      <c r="B9731" s="140"/>
      <c r="C9731" s="140"/>
      <c r="D9731" s="140"/>
      <c r="E9731" s="142"/>
      <c r="F9731" s="142"/>
      <c r="G9731" s="140"/>
    </row>
    <row r="9732" spans="2:7" hidden="1">
      <c r="B9732" s="140"/>
      <c r="C9732" s="140"/>
      <c r="D9732" s="140"/>
      <c r="E9732" s="142"/>
      <c r="F9732" s="142"/>
      <c r="G9732" s="140"/>
    </row>
    <row r="9733" spans="2:7" hidden="1">
      <c r="B9733" s="140"/>
      <c r="C9733" s="140"/>
      <c r="D9733" s="140"/>
      <c r="E9733" s="142"/>
      <c r="F9733" s="142"/>
      <c r="G9733" s="140"/>
    </row>
    <row r="9734" spans="2:7" hidden="1">
      <c r="B9734" s="140"/>
      <c r="C9734" s="140"/>
      <c r="D9734" s="140"/>
      <c r="E9734" s="142"/>
      <c r="F9734" s="142"/>
      <c r="G9734" s="140"/>
    </row>
    <row r="9735" spans="2:7" hidden="1">
      <c r="B9735" s="140"/>
      <c r="C9735" s="140"/>
      <c r="D9735" s="140"/>
      <c r="E9735" s="142"/>
      <c r="F9735" s="142"/>
      <c r="G9735" s="140"/>
    </row>
    <row r="9736" spans="2:7" hidden="1">
      <c r="B9736" s="140"/>
      <c r="C9736" s="140"/>
      <c r="D9736" s="140"/>
      <c r="E9736" s="142"/>
      <c r="F9736" s="142"/>
      <c r="G9736" s="140"/>
    </row>
    <row r="9737" spans="2:7" hidden="1">
      <c r="B9737" s="140"/>
      <c r="C9737" s="140"/>
      <c r="D9737" s="140"/>
      <c r="E9737" s="142"/>
      <c r="F9737" s="142"/>
      <c r="G9737" s="140"/>
    </row>
    <row r="9738" spans="2:7" hidden="1">
      <c r="B9738" s="140"/>
      <c r="C9738" s="140"/>
      <c r="D9738" s="140"/>
      <c r="E9738" s="142"/>
      <c r="F9738" s="142"/>
      <c r="G9738" s="140"/>
    </row>
    <row r="9739" spans="2:7" hidden="1">
      <c r="B9739" s="140"/>
      <c r="C9739" s="140"/>
      <c r="D9739" s="140"/>
      <c r="E9739" s="142"/>
      <c r="F9739" s="142"/>
      <c r="G9739" s="140"/>
    </row>
    <row r="9740" spans="2:7" hidden="1">
      <c r="B9740" s="140"/>
      <c r="C9740" s="140"/>
      <c r="D9740" s="140"/>
      <c r="E9740" s="142"/>
      <c r="F9740" s="142"/>
      <c r="G9740" s="140"/>
    </row>
    <row r="9741" spans="2:7" hidden="1">
      <c r="B9741" s="140"/>
      <c r="C9741" s="140"/>
      <c r="D9741" s="140"/>
      <c r="E9741" s="142"/>
      <c r="F9741" s="142"/>
      <c r="G9741" s="140"/>
    </row>
    <row r="9742" spans="2:7" hidden="1">
      <c r="B9742" s="140"/>
      <c r="C9742" s="140"/>
      <c r="D9742" s="140"/>
      <c r="E9742" s="142"/>
      <c r="F9742" s="142"/>
      <c r="G9742" s="140"/>
    </row>
    <row r="9743" spans="2:7" hidden="1">
      <c r="B9743" s="140"/>
      <c r="C9743" s="140"/>
      <c r="D9743" s="140"/>
      <c r="E9743" s="142"/>
      <c r="F9743" s="142"/>
      <c r="G9743" s="140"/>
    </row>
    <row r="9744" spans="2:7" hidden="1">
      <c r="B9744" s="140"/>
      <c r="C9744" s="140"/>
      <c r="D9744" s="140"/>
      <c r="E9744" s="142"/>
      <c r="F9744" s="142"/>
      <c r="G9744" s="140"/>
    </row>
    <row r="9745" spans="2:7" hidden="1">
      <c r="B9745" s="140"/>
      <c r="C9745" s="140"/>
      <c r="D9745" s="140"/>
      <c r="E9745" s="142"/>
      <c r="F9745" s="142"/>
      <c r="G9745" s="140"/>
    </row>
    <row r="9746" spans="2:7" hidden="1">
      <c r="B9746" s="140"/>
      <c r="C9746" s="140"/>
      <c r="D9746" s="140"/>
      <c r="E9746" s="142"/>
      <c r="F9746" s="142"/>
      <c r="G9746" s="140"/>
    </row>
    <row r="9747" spans="2:7" hidden="1">
      <c r="B9747" s="140"/>
      <c r="C9747" s="140"/>
      <c r="D9747" s="140"/>
      <c r="E9747" s="142"/>
      <c r="F9747" s="142"/>
      <c r="G9747" s="140"/>
    </row>
    <row r="9748" spans="2:7" hidden="1">
      <c r="B9748" s="140"/>
      <c r="C9748" s="140"/>
      <c r="D9748" s="140"/>
      <c r="E9748" s="142"/>
      <c r="F9748" s="142"/>
      <c r="G9748" s="140"/>
    </row>
    <row r="9749" spans="2:7" hidden="1">
      <c r="B9749" s="140"/>
      <c r="C9749" s="140"/>
      <c r="D9749" s="140"/>
      <c r="E9749" s="142"/>
      <c r="F9749" s="142"/>
      <c r="G9749" s="140"/>
    </row>
    <row r="9750" spans="2:7" hidden="1">
      <c r="B9750" s="140"/>
      <c r="C9750" s="140"/>
      <c r="D9750" s="140"/>
      <c r="E9750" s="142"/>
      <c r="F9750" s="142"/>
      <c r="G9750" s="140"/>
    </row>
    <row r="9751" spans="2:7" hidden="1">
      <c r="B9751" s="140"/>
      <c r="C9751" s="140"/>
      <c r="D9751" s="140"/>
      <c r="E9751" s="142"/>
      <c r="F9751" s="142"/>
      <c r="G9751" s="140"/>
    </row>
    <row r="9752" spans="2:7" hidden="1">
      <c r="B9752" s="140"/>
      <c r="C9752" s="140"/>
      <c r="D9752" s="140"/>
      <c r="E9752" s="142"/>
      <c r="F9752" s="142"/>
      <c r="G9752" s="140"/>
    </row>
    <row r="9753" spans="2:7" hidden="1">
      <c r="B9753" s="140"/>
      <c r="C9753" s="140"/>
      <c r="D9753" s="140"/>
      <c r="E9753" s="142"/>
      <c r="F9753" s="142"/>
      <c r="G9753" s="140"/>
    </row>
    <row r="9754" spans="2:7" hidden="1">
      <c r="B9754" s="140"/>
      <c r="C9754" s="140"/>
      <c r="D9754" s="140"/>
      <c r="E9754" s="142"/>
      <c r="F9754" s="142"/>
      <c r="G9754" s="140"/>
    </row>
    <row r="9755" spans="2:7" hidden="1">
      <c r="B9755" s="140"/>
      <c r="C9755" s="140"/>
      <c r="D9755" s="140"/>
      <c r="E9755" s="142"/>
      <c r="F9755" s="142"/>
      <c r="G9755" s="140"/>
    </row>
    <row r="9756" spans="2:7" hidden="1">
      <c r="B9756" s="140"/>
      <c r="C9756" s="140"/>
      <c r="D9756" s="140"/>
      <c r="E9756" s="142"/>
      <c r="F9756" s="142"/>
      <c r="G9756" s="140"/>
    </row>
    <row r="9757" spans="2:7" hidden="1">
      <c r="B9757" s="140"/>
      <c r="C9757" s="140"/>
      <c r="D9757" s="140"/>
      <c r="E9757" s="142"/>
      <c r="F9757" s="142"/>
      <c r="G9757" s="140"/>
    </row>
    <row r="9758" spans="2:7" hidden="1">
      <c r="B9758" s="140"/>
      <c r="C9758" s="140"/>
      <c r="D9758" s="140"/>
      <c r="E9758" s="142"/>
      <c r="F9758" s="142"/>
      <c r="G9758" s="140"/>
    </row>
    <row r="9759" spans="2:7" hidden="1">
      <c r="B9759" s="140"/>
      <c r="C9759" s="140"/>
      <c r="D9759" s="140"/>
      <c r="E9759" s="142"/>
      <c r="F9759" s="142"/>
      <c r="G9759" s="140"/>
    </row>
    <row r="9760" spans="2:7" hidden="1">
      <c r="B9760" s="140"/>
      <c r="C9760" s="140"/>
      <c r="D9760" s="140"/>
      <c r="E9760" s="142"/>
      <c r="F9760" s="142"/>
      <c r="G9760" s="140"/>
    </row>
    <row r="9761" spans="2:7" hidden="1">
      <c r="B9761" s="140"/>
      <c r="C9761" s="140"/>
      <c r="D9761" s="140"/>
      <c r="E9761" s="142"/>
      <c r="F9761" s="142"/>
      <c r="G9761" s="140"/>
    </row>
    <row r="9762" spans="2:7" hidden="1">
      <c r="B9762" s="140"/>
      <c r="C9762" s="140"/>
      <c r="D9762" s="140"/>
      <c r="E9762" s="142"/>
      <c r="F9762" s="142"/>
      <c r="G9762" s="140"/>
    </row>
    <row r="9763" spans="2:7" hidden="1">
      <c r="B9763" s="140"/>
      <c r="C9763" s="140"/>
      <c r="D9763" s="140"/>
      <c r="E9763" s="142"/>
      <c r="F9763" s="142"/>
      <c r="G9763" s="140"/>
    </row>
    <row r="9764" spans="2:7" hidden="1">
      <c r="B9764" s="140"/>
      <c r="C9764" s="140"/>
      <c r="D9764" s="140"/>
      <c r="E9764" s="142"/>
      <c r="F9764" s="142"/>
      <c r="G9764" s="140"/>
    </row>
    <row r="9765" spans="2:7" hidden="1">
      <c r="B9765" s="140"/>
      <c r="C9765" s="140"/>
      <c r="D9765" s="140"/>
      <c r="E9765" s="142"/>
      <c r="F9765" s="142"/>
      <c r="G9765" s="140"/>
    </row>
    <row r="9766" spans="2:7" hidden="1">
      <c r="B9766" s="140"/>
      <c r="C9766" s="140"/>
      <c r="D9766" s="140"/>
      <c r="E9766" s="142"/>
      <c r="F9766" s="142"/>
      <c r="G9766" s="140"/>
    </row>
    <row r="9767" spans="2:7" hidden="1">
      <c r="B9767" s="140"/>
      <c r="C9767" s="140"/>
      <c r="D9767" s="140"/>
      <c r="E9767" s="142"/>
      <c r="F9767" s="142"/>
      <c r="G9767" s="140"/>
    </row>
    <row r="9768" spans="2:7" hidden="1">
      <c r="B9768" s="140"/>
      <c r="C9768" s="140"/>
      <c r="D9768" s="140"/>
      <c r="E9768" s="142"/>
      <c r="F9768" s="142"/>
      <c r="G9768" s="140"/>
    </row>
    <row r="9769" spans="2:7" hidden="1">
      <c r="B9769" s="140"/>
      <c r="C9769" s="140"/>
      <c r="D9769" s="140"/>
      <c r="E9769" s="142"/>
      <c r="F9769" s="142"/>
      <c r="G9769" s="140"/>
    </row>
    <row r="9770" spans="2:7" hidden="1">
      <c r="B9770" s="140"/>
      <c r="C9770" s="140"/>
      <c r="D9770" s="140"/>
      <c r="E9770" s="142"/>
      <c r="F9770" s="142"/>
      <c r="G9770" s="140"/>
    </row>
    <row r="9771" spans="2:7" hidden="1">
      <c r="B9771" s="140"/>
      <c r="C9771" s="140"/>
      <c r="D9771" s="140"/>
      <c r="E9771" s="142"/>
      <c r="F9771" s="142"/>
      <c r="G9771" s="140"/>
    </row>
    <row r="9772" spans="2:7" hidden="1">
      <c r="B9772" s="140"/>
      <c r="C9772" s="140"/>
      <c r="D9772" s="140"/>
      <c r="E9772" s="142"/>
      <c r="F9772" s="142"/>
      <c r="G9772" s="140"/>
    </row>
    <row r="9773" spans="2:7" hidden="1">
      <c r="B9773" s="140"/>
      <c r="C9773" s="140"/>
      <c r="D9773" s="140"/>
      <c r="E9773" s="142"/>
      <c r="F9773" s="142"/>
      <c r="G9773" s="140"/>
    </row>
    <row r="9774" spans="2:7" hidden="1">
      <c r="B9774" s="140"/>
      <c r="C9774" s="140"/>
      <c r="D9774" s="140"/>
      <c r="E9774" s="142"/>
      <c r="F9774" s="142"/>
      <c r="G9774" s="140"/>
    </row>
    <row r="9775" spans="2:7" hidden="1">
      <c r="B9775" s="140"/>
      <c r="C9775" s="140"/>
      <c r="D9775" s="140"/>
      <c r="E9775" s="142"/>
      <c r="F9775" s="142"/>
      <c r="G9775" s="140"/>
    </row>
    <row r="9776" spans="2:7" hidden="1">
      <c r="B9776" s="140"/>
      <c r="C9776" s="140"/>
      <c r="D9776" s="140"/>
      <c r="E9776" s="142"/>
      <c r="F9776" s="142"/>
      <c r="G9776" s="140"/>
    </row>
    <row r="9777" spans="2:7" hidden="1">
      <c r="B9777" s="140"/>
      <c r="C9777" s="140"/>
      <c r="D9777" s="140"/>
      <c r="E9777" s="142"/>
      <c r="F9777" s="142"/>
      <c r="G9777" s="140"/>
    </row>
    <row r="9778" spans="2:7" hidden="1">
      <c r="B9778" s="140"/>
      <c r="C9778" s="140"/>
      <c r="D9778" s="140"/>
      <c r="E9778" s="142"/>
      <c r="F9778" s="142"/>
      <c r="G9778" s="140"/>
    </row>
    <row r="9779" spans="2:7" hidden="1">
      <c r="B9779" s="140"/>
      <c r="C9779" s="140"/>
      <c r="D9779" s="140"/>
      <c r="E9779" s="142"/>
      <c r="F9779" s="142"/>
      <c r="G9779" s="140"/>
    </row>
    <row r="9780" spans="2:7" hidden="1">
      <c r="B9780" s="140"/>
      <c r="C9780" s="140"/>
      <c r="D9780" s="140"/>
      <c r="E9780" s="142"/>
      <c r="F9780" s="142"/>
      <c r="G9780" s="140"/>
    </row>
    <row r="9781" spans="2:7" hidden="1">
      <c r="B9781" s="140"/>
      <c r="C9781" s="140"/>
      <c r="D9781" s="140"/>
      <c r="E9781" s="142"/>
      <c r="F9781" s="142"/>
      <c r="G9781" s="140"/>
    </row>
    <row r="9782" spans="2:7" hidden="1">
      <c r="B9782" s="140"/>
      <c r="C9782" s="140"/>
      <c r="D9782" s="140"/>
      <c r="E9782" s="142"/>
      <c r="F9782" s="142"/>
      <c r="G9782" s="140"/>
    </row>
    <row r="9783" spans="2:7" hidden="1">
      <c r="B9783" s="140"/>
      <c r="C9783" s="140"/>
      <c r="D9783" s="140"/>
      <c r="E9783" s="142"/>
      <c r="F9783" s="142"/>
      <c r="G9783" s="140"/>
    </row>
    <row r="9784" spans="2:7" hidden="1">
      <c r="B9784" s="140"/>
      <c r="C9784" s="140"/>
      <c r="D9784" s="140"/>
      <c r="E9784" s="142"/>
      <c r="F9784" s="142"/>
      <c r="G9784" s="140"/>
    </row>
    <row r="9785" spans="2:7" hidden="1">
      <c r="B9785" s="140"/>
      <c r="C9785" s="140"/>
      <c r="D9785" s="140"/>
      <c r="E9785" s="142"/>
      <c r="F9785" s="142"/>
      <c r="G9785" s="140"/>
    </row>
    <row r="9786" spans="2:7" hidden="1">
      <c r="B9786" s="140"/>
      <c r="C9786" s="140"/>
      <c r="D9786" s="140"/>
      <c r="E9786" s="142"/>
      <c r="F9786" s="142"/>
      <c r="G9786" s="140"/>
    </row>
    <row r="9787" spans="2:7" hidden="1">
      <c r="B9787" s="140"/>
      <c r="C9787" s="140"/>
      <c r="D9787" s="140"/>
      <c r="E9787" s="142"/>
      <c r="F9787" s="142"/>
      <c r="G9787" s="140"/>
    </row>
    <row r="9788" spans="2:7" hidden="1">
      <c r="B9788" s="140"/>
      <c r="C9788" s="140"/>
      <c r="D9788" s="140"/>
      <c r="E9788" s="142"/>
      <c r="F9788" s="142"/>
      <c r="G9788" s="140"/>
    </row>
    <row r="9789" spans="2:7" hidden="1">
      <c r="B9789" s="140"/>
      <c r="C9789" s="140"/>
      <c r="D9789" s="140"/>
      <c r="E9789" s="142"/>
      <c r="F9789" s="142"/>
      <c r="G9789" s="140"/>
    </row>
    <row r="9790" spans="2:7" hidden="1">
      <c r="B9790" s="140"/>
      <c r="C9790" s="140"/>
      <c r="D9790" s="140"/>
      <c r="E9790" s="142"/>
      <c r="F9790" s="142"/>
      <c r="G9790" s="140"/>
    </row>
    <row r="9791" spans="2:7" hidden="1">
      <c r="B9791" s="140"/>
      <c r="C9791" s="140"/>
      <c r="D9791" s="140"/>
      <c r="E9791" s="142"/>
      <c r="F9791" s="142"/>
      <c r="G9791" s="140"/>
    </row>
    <row r="9792" spans="2:7" hidden="1">
      <c r="B9792" s="140"/>
      <c r="C9792" s="140"/>
      <c r="D9792" s="140"/>
      <c r="E9792" s="142"/>
      <c r="F9792" s="142"/>
      <c r="G9792" s="140"/>
    </row>
    <row r="9793" spans="2:7" hidden="1">
      <c r="B9793" s="140"/>
      <c r="C9793" s="140"/>
      <c r="D9793" s="140"/>
      <c r="E9793" s="142"/>
      <c r="F9793" s="142"/>
      <c r="G9793" s="140"/>
    </row>
    <row r="9794" spans="2:7" hidden="1">
      <c r="B9794" s="140"/>
      <c r="C9794" s="140"/>
      <c r="D9794" s="140"/>
      <c r="E9794" s="142"/>
      <c r="F9794" s="142"/>
      <c r="G9794" s="140"/>
    </row>
    <row r="9795" spans="2:7" hidden="1">
      <c r="B9795" s="140"/>
      <c r="C9795" s="140"/>
      <c r="D9795" s="140"/>
      <c r="E9795" s="142"/>
      <c r="F9795" s="142"/>
      <c r="G9795" s="140"/>
    </row>
    <row r="9796" spans="2:7" hidden="1">
      <c r="B9796" s="140"/>
      <c r="C9796" s="140"/>
      <c r="D9796" s="140"/>
      <c r="E9796" s="142"/>
      <c r="F9796" s="142"/>
      <c r="G9796" s="140"/>
    </row>
    <row r="9797" spans="2:7" hidden="1">
      <c r="B9797" s="140"/>
      <c r="C9797" s="140"/>
      <c r="D9797" s="140"/>
      <c r="E9797" s="142"/>
      <c r="F9797" s="142"/>
      <c r="G9797" s="140"/>
    </row>
    <row r="9798" spans="2:7" hidden="1">
      <c r="B9798" s="140"/>
      <c r="C9798" s="140"/>
      <c r="D9798" s="140"/>
      <c r="E9798" s="142"/>
      <c r="F9798" s="142"/>
      <c r="G9798" s="140"/>
    </row>
    <row r="9799" spans="2:7" hidden="1">
      <c r="B9799" s="140"/>
      <c r="C9799" s="140"/>
      <c r="D9799" s="140"/>
      <c r="E9799" s="142"/>
      <c r="F9799" s="142"/>
      <c r="G9799" s="140"/>
    </row>
    <row r="9800" spans="2:7" hidden="1">
      <c r="B9800" s="140"/>
      <c r="C9800" s="140"/>
      <c r="D9800" s="140"/>
      <c r="E9800" s="142"/>
      <c r="F9800" s="142"/>
      <c r="G9800" s="140"/>
    </row>
    <row r="9801" spans="2:7" hidden="1">
      <c r="B9801" s="140"/>
      <c r="C9801" s="140"/>
      <c r="D9801" s="140"/>
      <c r="E9801" s="142"/>
      <c r="F9801" s="142"/>
      <c r="G9801" s="140"/>
    </row>
    <row r="9802" spans="2:7" hidden="1">
      <c r="B9802" s="140"/>
      <c r="C9802" s="140"/>
      <c r="D9802" s="140"/>
      <c r="E9802" s="142"/>
      <c r="F9802" s="142"/>
      <c r="G9802" s="140"/>
    </row>
    <row r="9803" spans="2:7" hidden="1">
      <c r="B9803" s="140"/>
      <c r="C9803" s="140"/>
      <c r="D9803" s="140"/>
      <c r="E9803" s="142"/>
      <c r="F9803" s="142"/>
      <c r="G9803" s="140"/>
    </row>
    <row r="9804" spans="2:7" hidden="1">
      <c r="B9804" s="140"/>
      <c r="C9804" s="140"/>
      <c r="D9804" s="140"/>
      <c r="E9804" s="142"/>
      <c r="F9804" s="142"/>
      <c r="G9804" s="140"/>
    </row>
    <row r="9805" spans="2:7" hidden="1">
      <c r="B9805" s="140"/>
      <c r="C9805" s="140"/>
      <c r="D9805" s="140"/>
      <c r="E9805" s="142"/>
      <c r="F9805" s="142"/>
      <c r="G9805" s="140"/>
    </row>
    <row r="9806" spans="2:7" hidden="1">
      <c r="B9806" s="140"/>
      <c r="C9806" s="140"/>
      <c r="D9806" s="140"/>
      <c r="E9806" s="142"/>
      <c r="F9806" s="142"/>
      <c r="G9806" s="140"/>
    </row>
    <row r="9807" spans="2:7" hidden="1">
      <c r="B9807" s="140"/>
      <c r="C9807" s="140"/>
      <c r="D9807" s="140"/>
      <c r="E9807" s="142"/>
      <c r="F9807" s="142"/>
      <c r="G9807" s="140"/>
    </row>
    <row r="9808" spans="2:7" hidden="1">
      <c r="B9808" s="140"/>
      <c r="C9808" s="140"/>
      <c r="D9808" s="140"/>
      <c r="E9808" s="142"/>
      <c r="F9808" s="142"/>
      <c r="G9808" s="140"/>
    </row>
    <row r="9809" spans="2:7" hidden="1">
      <c r="B9809" s="140"/>
      <c r="C9809" s="140"/>
      <c r="D9809" s="140"/>
      <c r="E9809" s="142"/>
      <c r="F9809" s="142"/>
      <c r="G9809" s="140"/>
    </row>
    <row r="9810" spans="2:7" hidden="1">
      <c r="B9810" s="140"/>
      <c r="C9810" s="140"/>
      <c r="D9810" s="140"/>
      <c r="E9810" s="142"/>
      <c r="F9810" s="142"/>
      <c r="G9810" s="140"/>
    </row>
    <row r="9811" spans="2:7" hidden="1">
      <c r="B9811" s="140"/>
      <c r="C9811" s="140"/>
      <c r="D9811" s="140"/>
      <c r="E9811" s="142"/>
      <c r="F9811" s="142"/>
      <c r="G9811" s="140"/>
    </row>
    <row r="9812" spans="2:7" hidden="1">
      <c r="B9812" s="140"/>
      <c r="C9812" s="140"/>
      <c r="D9812" s="140"/>
      <c r="E9812" s="142"/>
      <c r="F9812" s="142"/>
      <c r="G9812" s="140"/>
    </row>
    <row r="9813" spans="2:7" hidden="1">
      <c r="B9813" s="140"/>
      <c r="C9813" s="140"/>
      <c r="D9813" s="140"/>
      <c r="E9813" s="142"/>
      <c r="F9813" s="142"/>
      <c r="G9813" s="140"/>
    </row>
    <row r="9814" spans="2:7" hidden="1">
      <c r="B9814" s="140"/>
      <c r="C9814" s="140"/>
      <c r="D9814" s="140"/>
      <c r="E9814" s="142"/>
      <c r="F9814" s="142"/>
      <c r="G9814" s="140"/>
    </row>
    <row r="9815" spans="2:7" hidden="1">
      <c r="B9815" s="140"/>
      <c r="C9815" s="140"/>
      <c r="D9815" s="140"/>
      <c r="E9815" s="142"/>
      <c r="F9815" s="142"/>
      <c r="G9815" s="140"/>
    </row>
    <row r="9816" spans="2:7" hidden="1">
      <c r="B9816" s="140"/>
      <c r="C9816" s="140"/>
      <c r="D9816" s="140"/>
      <c r="E9816" s="142"/>
      <c r="F9816" s="142"/>
      <c r="G9816" s="140"/>
    </row>
    <row r="9817" spans="2:7" hidden="1">
      <c r="B9817" s="140"/>
      <c r="C9817" s="140"/>
      <c r="D9817" s="140"/>
      <c r="E9817" s="142"/>
      <c r="F9817" s="142"/>
      <c r="G9817" s="140"/>
    </row>
    <row r="9818" spans="2:7" hidden="1">
      <c r="B9818" s="140"/>
      <c r="C9818" s="140"/>
      <c r="D9818" s="140"/>
      <c r="E9818" s="142"/>
      <c r="F9818" s="142"/>
      <c r="G9818" s="140"/>
    </row>
    <row r="9819" spans="2:7" hidden="1">
      <c r="B9819" s="140"/>
      <c r="C9819" s="140"/>
      <c r="D9819" s="140"/>
      <c r="E9819" s="142"/>
      <c r="F9819" s="142"/>
      <c r="G9819" s="140"/>
    </row>
    <row r="9820" spans="2:7" hidden="1">
      <c r="B9820" s="140"/>
      <c r="C9820" s="140"/>
      <c r="D9820" s="140"/>
      <c r="E9820" s="142"/>
      <c r="F9820" s="142"/>
      <c r="G9820" s="140"/>
    </row>
    <row r="9821" spans="2:7" hidden="1">
      <c r="B9821" s="140"/>
      <c r="C9821" s="140"/>
      <c r="D9821" s="140"/>
      <c r="E9821" s="142"/>
      <c r="F9821" s="142"/>
      <c r="G9821" s="140"/>
    </row>
    <row r="9822" spans="2:7" hidden="1">
      <c r="B9822" s="140"/>
      <c r="C9822" s="140"/>
      <c r="D9822" s="140"/>
      <c r="E9822" s="142"/>
      <c r="F9822" s="142"/>
      <c r="G9822" s="140"/>
    </row>
    <row r="9823" spans="2:7" hidden="1">
      <c r="B9823" s="140"/>
      <c r="C9823" s="140"/>
      <c r="D9823" s="140"/>
      <c r="E9823" s="142"/>
      <c r="F9823" s="142"/>
      <c r="G9823" s="140"/>
    </row>
    <row r="9824" spans="2:7" hidden="1">
      <c r="B9824" s="140"/>
      <c r="C9824" s="140"/>
      <c r="D9824" s="140"/>
      <c r="E9824" s="142"/>
      <c r="F9824" s="142"/>
      <c r="G9824" s="140"/>
    </row>
    <row r="9825" spans="2:7" hidden="1">
      <c r="B9825" s="140"/>
      <c r="C9825" s="140"/>
      <c r="D9825" s="140"/>
      <c r="E9825" s="142"/>
      <c r="F9825" s="142"/>
      <c r="G9825" s="140"/>
    </row>
    <row r="9826" spans="2:7" hidden="1">
      <c r="B9826" s="140"/>
      <c r="C9826" s="140"/>
      <c r="D9826" s="140"/>
      <c r="E9826" s="142"/>
      <c r="F9826" s="142"/>
      <c r="G9826" s="140"/>
    </row>
    <row r="9827" spans="2:7" hidden="1">
      <c r="B9827" s="140"/>
      <c r="C9827" s="140"/>
      <c r="D9827" s="140"/>
      <c r="E9827" s="142"/>
      <c r="F9827" s="142"/>
      <c r="G9827" s="140"/>
    </row>
    <row r="9828" spans="2:7" hidden="1">
      <c r="B9828" s="140"/>
      <c r="C9828" s="140"/>
      <c r="D9828" s="140"/>
      <c r="E9828" s="142"/>
      <c r="F9828" s="142"/>
      <c r="G9828" s="140"/>
    </row>
    <row r="9829" spans="2:7" hidden="1">
      <c r="B9829" s="140"/>
      <c r="C9829" s="140"/>
      <c r="D9829" s="140"/>
      <c r="E9829" s="142"/>
      <c r="F9829" s="142"/>
      <c r="G9829" s="140"/>
    </row>
    <row r="9830" spans="2:7" hidden="1">
      <c r="B9830" s="140"/>
      <c r="C9830" s="140"/>
      <c r="D9830" s="140"/>
      <c r="E9830" s="142"/>
      <c r="F9830" s="142"/>
      <c r="G9830" s="140"/>
    </row>
    <row r="9831" spans="2:7" hidden="1">
      <c r="B9831" s="140"/>
      <c r="C9831" s="140"/>
      <c r="D9831" s="140"/>
      <c r="E9831" s="142"/>
      <c r="F9831" s="142"/>
      <c r="G9831" s="140"/>
    </row>
    <row r="9832" spans="2:7" hidden="1">
      <c r="B9832" s="140"/>
      <c r="C9832" s="140"/>
      <c r="D9832" s="140"/>
      <c r="E9832" s="142"/>
      <c r="F9832" s="142"/>
      <c r="G9832" s="140"/>
    </row>
    <row r="9833" spans="2:7" hidden="1">
      <c r="B9833" s="140"/>
      <c r="C9833" s="140"/>
      <c r="D9833" s="140"/>
      <c r="E9833" s="142"/>
      <c r="F9833" s="142"/>
      <c r="G9833" s="140"/>
    </row>
    <row r="9834" spans="2:7" hidden="1">
      <c r="B9834" s="140"/>
      <c r="C9834" s="140"/>
      <c r="D9834" s="140"/>
      <c r="E9834" s="142"/>
      <c r="F9834" s="142"/>
      <c r="G9834" s="140"/>
    </row>
    <row r="9835" spans="2:7" hidden="1">
      <c r="B9835" s="140"/>
      <c r="C9835" s="140"/>
      <c r="D9835" s="140"/>
      <c r="E9835" s="142"/>
      <c r="F9835" s="142"/>
      <c r="G9835" s="140"/>
    </row>
    <row r="9836" spans="2:7" hidden="1">
      <c r="B9836" s="140"/>
      <c r="C9836" s="140"/>
      <c r="D9836" s="140"/>
      <c r="E9836" s="142"/>
      <c r="F9836" s="142"/>
      <c r="G9836" s="140"/>
    </row>
    <row r="9837" spans="2:7" hidden="1">
      <c r="B9837" s="140"/>
      <c r="C9837" s="140"/>
      <c r="D9837" s="140"/>
      <c r="E9837" s="142"/>
      <c r="F9837" s="142"/>
      <c r="G9837" s="140"/>
    </row>
    <row r="9838" spans="2:7" hidden="1">
      <c r="B9838" s="140"/>
      <c r="C9838" s="140"/>
      <c r="D9838" s="140"/>
      <c r="E9838" s="142"/>
      <c r="F9838" s="142"/>
      <c r="G9838" s="140"/>
    </row>
    <row r="9839" spans="2:7" hidden="1">
      <c r="B9839" s="140"/>
      <c r="C9839" s="140"/>
      <c r="D9839" s="140"/>
      <c r="E9839" s="142"/>
      <c r="F9839" s="142"/>
      <c r="G9839" s="140"/>
    </row>
    <row r="9840" spans="2:7" hidden="1">
      <c r="B9840" s="140"/>
      <c r="C9840" s="140"/>
      <c r="D9840" s="140"/>
      <c r="E9840" s="142"/>
      <c r="F9840" s="142"/>
      <c r="G9840" s="140"/>
    </row>
    <row r="9841" spans="2:7" hidden="1">
      <c r="B9841" s="140"/>
      <c r="C9841" s="140"/>
      <c r="D9841" s="140"/>
      <c r="E9841" s="142"/>
      <c r="F9841" s="142"/>
      <c r="G9841" s="140"/>
    </row>
    <row r="9842" spans="2:7" hidden="1">
      <c r="B9842" s="140"/>
      <c r="C9842" s="140"/>
      <c r="D9842" s="140"/>
      <c r="E9842" s="142"/>
      <c r="F9842" s="142"/>
      <c r="G9842" s="140"/>
    </row>
    <row r="9843" spans="2:7" hidden="1">
      <c r="B9843" s="140"/>
      <c r="C9843" s="140"/>
      <c r="D9843" s="140"/>
      <c r="E9843" s="142"/>
      <c r="F9843" s="142"/>
      <c r="G9843" s="140"/>
    </row>
    <row r="9844" spans="2:7" hidden="1">
      <c r="B9844" s="140"/>
      <c r="C9844" s="140"/>
      <c r="D9844" s="140"/>
      <c r="E9844" s="142"/>
      <c r="F9844" s="142"/>
      <c r="G9844" s="140"/>
    </row>
    <row r="9845" spans="2:7" hidden="1">
      <c r="B9845" s="140"/>
      <c r="C9845" s="140"/>
      <c r="D9845" s="140"/>
      <c r="E9845" s="142"/>
      <c r="F9845" s="142"/>
      <c r="G9845" s="140"/>
    </row>
    <row r="9846" spans="2:7" hidden="1">
      <c r="B9846" s="140"/>
      <c r="C9846" s="140"/>
      <c r="D9846" s="140"/>
      <c r="E9846" s="142"/>
      <c r="F9846" s="142"/>
      <c r="G9846" s="140"/>
    </row>
    <row r="9847" spans="2:7" hidden="1">
      <c r="B9847" s="140"/>
      <c r="C9847" s="140"/>
      <c r="D9847" s="140"/>
      <c r="E9847" s="142"/>
      <c r="F9847" s="142"/>
      <c r="G9847" s="140"/>
    </row>
    <row r="9848" spans="2:7" hidden="1">
      <c r="B9848" s="140"/>
      <c r="C9848" s="140"/>
      <c r="D9848" s="140"/>
      <c r="E9848" s="142"/>
      <c r="F9848" s="142"/>
      <c r="G9848" s="140"/>
    </row>
    <row r="9849" spans="2:7" hidden="1">
      <c r="B9849" s="140"/>
      <c r="C9849" s="140"/>
      <c r="D9849" s="140"/>
      <c r="E9849" s="142"/>
      <c r="F9849" s="142"/>
      <c r="G9849" s="140"/>
    </row>
    <row r="9850" spans="2:7" hidden="1">
      <c r="B9850" s="140"/>
      <c r="C9850" s="140"/>
      <c r="D9850" s="140"/>
      <c r="E9850" s="142"/>
      <c r="F9850" s="142"/>
      <c r="G9850" s="140"/>
    </row>
    <row r="9851" spans="2:7" hidden="1">
      <c r="B9851" s="140"/>
      <c r="C9851" s="140"/>
      <c r="D9851" s="140"/>
      <c r="E9851" s="142"/>
      <c r="F9851" s="142"/>
      <c r="G9851" s="140"/>
    </row>
    <row r="9852" spans="2:7" hidden="1">
      <c r="B9852" s="140"/>
      <c r="C9852" s="140"/>
      <c r="D9852" s="140"/>
      <c r="E9852" s="142"/>
      <c r="F9852" s="142"/>
      <c r="G9852" s="140"/>
    </row>
    <row r="9853" spans="2:7" hidden="1">
      <c r="B9853" s="140"/>
      <c r="C9853" s="140"/>
      <c r="D9853" s="140"/>
      <c r="E9853" s="142"/>
      <c r="F9853" s="142"/>
      <c r="G9853" s="140"/>
    </row>
    <row r="9854" spans="2:7" hidden="1">
      <c r="B9854" s="140"/>
      <c r="C9854" s="140"/>
      <c r="D9854" s="140"/>
      <c r="E9854" s="142"/>
      <c r="F9854" s="142"/>
      <c r="G9854" s="140"/>
    </row>
    <row r="9855" spans="2:7" hidden="1">
      <c r="B9855" s="140"/>
      <c r="C9855" s="140"/>
      <c r="D9855" s="140"/>
      <c r="E9855" s="142"/>
      <c r="F9855" s="142"/>
      <c r="G9855" s="140"/>
    </row>
    <row r="9856" spans="2:7" hidden="1">
      <c r="B9856" s="140"/>
      <c r="C9856" s="140"/>
      <c r="D9856" s="140"/>
      <c r="E9856" s="142"/>
      <c r="F9856" s="142"/>
      <c r="G9856" s="140"/>
    </row>
    <row r="9857" spans="2:7" hidden="1">
      <c r="B9857" s="140"/>
      <c r="C9857" s="140"/>
      <c r="D9857" s="140"/>
      <c r="E9857" s="142"/>
      <c r="F9857" s="142"/>
      <c r="G9857" s="140"/>
    </row>
    <row r="9858" spans="2:7" hidden="1">
      <c r="B9858" s="140"/>
      <c r="C9858" s="140"/>
      <c r="D9858" s="140"/>
      <c r="E9858" s="142"/>
      <c r="F9858" s="142"/>
      <c r="G9858" s="140"/>
    </row>
    <row r="9859" spans="2:7" hidden="1">
      <c r="B9859" s="140"/>
      <c r="C9859" s="140"/>
      <c r="D9859" s="140"/>
      <c r="E9859" s="142"/>
      <c r="F9859" s="142"/>
      <c r="G9859" s="140"/>
    </row>
    <row r="9860" spans="2:7" hidden="1">
      <c r="B9860" s="140"/>
      <c r="C9860" s="140"/>
      <c r="D9860" s="140"/>
      <c r="E9860" s="142"/>
      <c r="F9860" s="142"/>
      <c r="G9860" s="140"/>
    </row>
    <row r="9861" spans="2:7" hidden="1">
      <c r="B9861" s="140"/>
      <c r="C9861" s="140"/>
      <c r="D9861" s="140"/>
      <c r="E9861" s="142"/>
      <c r="F9861" s="142"/>
      <c r="G9861" s="140"/>
    </row>
    <row r="9862" spans="2:7" hidden="1">
      <c r="B9862" s="140"/>
      <c r="C9862" s="140"/>
      <c r="D9862" s="140"/>
      <c r="E9862" s="142"/>
      <c r="F9862" s="142"/>
      <c r="G9862" s="140"/>
    </row>
    <row r="9863" spans="2:7" hidden="1">
      <c r="B9863" s="140"/>
      <c r="C9863" s="140"/>
      <c r="D9863" s="140"/>
      <c r="E9863" s="142"/>
      <c r="F9863" s="142"/>
      <c r="G9863" s="140"/>
    </row>
    <row r="9864" spans="2:7" hidden="1">
      <c r="B9864" s="140"/>
      <c r="C9864" s="140"/>
      <c r="D9864" s="140"/>
      <c r="E9864" s="142"/>
      <c r="F9864" s="142"/>
      <c r="G9864" s="140"/>
    </row>
    <row r="9865" spans="2:7" hidden="1">
      <c r="B9865" s="140"/>
      <c r="C9865" s="140"/>
      <c r="D9865" s="140"/>
      <c r="E9865" s="142"/>
      <c r="F9865" s="142"/>
      <c r="G9865" s="140"/>
    </row>
    <row r="9866" spans="2:7" hidden="1">
      <c r="B9866" s="140"/>
      <c r="C9866" s="140"/>
      <c r="D9866" s="140"/>
      <c r="E9866" s="142"/>
      <c r="F9866" s="142"/>
      <c r="G9866" s="140"/>
    </row>
    <row r="9867" spans="2:7" hidden="1">
      <c r="B9867" s="140"/>
      <c r="C9867" s="140"/>
      <c r="D9867" s="140"/>
      <c r="E9867" s="142"/>
      <c r="F9867" s="142"/>
      <c r="G9867" s="140"/>
    </row>
    <row r="9868" spans="2:7" hidden="1">
      <c r="B9868" s="140"/>
      <c r="C9868" s="140"/>
      <c r="D9868" s="140"/>
      <c r="E9868" s="142"/>
      <c r="F9868" s="142"/>
      <c r="G9868" s="140"/>
    </row>
    <row r="9869" spans="2:7" hidden="1">
      <c r="B9869" s="140"/>
      <c r="C9869" s="140"/>
      <c r="D9869" s="140"/>
      <c r="E9869" s="142"/>
      <c r="F9869" s="142"/>
      <c r="G9869" s="140"/>
    </row>
    <row r="9870" spans="2:7" hidden="1">
      <c r="B9870" s="140"/>
      <c r="C9870" s="140"/>
      <c r="D9870" s="140"/>
      <c r="E9870" s="142"/>
      <c r="F9870" s="142"/>
      <c r="G9870" s="140"/>
    </row>
    <row r="9871" spans="2:7" hidden="1">
      <c r="B9871" s="140"/>
      <c r="C9871" s="140"/>
      <c r="D9871" s="140"/>
      <c r="E9871" s="142"/>
      <c r="F9871" s="142"/>
      <c r="G9871" s="140"/>
    </row>
    <row r="9872" spans="2:7" hidden="1">
      <c r="B9872" s="140"/>
      <c r="C9872" s="140"/>
      <c r="D9872" s="140"/>
      <c r="E9872" s="142"/>
      <c r="F9872" s="142"/>
      <c r="G9872" s="140"/>
    </row>
    <row r="9873" spans="2:7" hidden="1">
      <c r="B9873" s="140"/>
      <c r="C9873" s="140"/>
      <c r="D9873" s="140"/>
      <c r="E9873" s="142"/>
      <c r="F9873" s="142"/>
      <c r="G9873" s="140"/>
    </row>
    <row r="9874" spans="2:7" hidden="1">
      <c r="B9874" s="140"/>
      <c r="C9874" s="140"/>
      <c r="D9874" s="140"/>
      <c r="E9874" s="142"/>
      <c r="F9874" s="142"/>
      <c r="G9874" s="140"/>
    </row>
    <row r="9875" spans="2:7" hidden="1">
      <c r="B9875" s="140"/>
      <c r="C9875" s="140"/>
      <c r="D9875" s="140"/>
      <c r="E9875" s="142"/>
      <c r="F9875" s="142"/>
      <c r="G9875" s="140"/>
    </row>
    <row r="9876" spans="2:7" hidden="1">
      <c r="B9876" s="140"/>
      <c r="C9876" s="140"/>
      <c r="D9876" s="140"/>
      <c r="E9876" s="142"/>
      <c r="F9876" s="142"/>
      <c r="G9876" s="140"/>
    </row>
    <row r="9877" spans="2:7" hidden="1">
      <c r="B9877" s="140"/>
      <c r="C9877" s="140"/>
      <c r="D9877" s="140"/>
      <c r="E9877" s="142"/>
      <c r="F9877" s="142"/>
      <c r="G9877" s="140"/>
    </row>
    <row r="9878" spans="2:7" hidden="1">
      <c r="B9878" s="140"/>
      <c r="C9878" s="140"/>
      <c r="D9878" s="140"/>
      <c r="E9878" s="142"/>
      <c r="F9878" s="142"/>
      <c r="G9878" s="140"/>
    </row>
    <row r="9879" spans="2:7" hidden="1">
      <c r="B9879" s="140"/>
      <c r="C9879" s="140"/>
      <c r="D9879" s="140"/>
      <c r="E9879" s="142"/>
      <c r="F9879" s="142"/>
      <c r="G9879" s="140"/>
    </row>
    <row r="9880" spans="2:7" hidden="1">
      <c r="B9880" s="140"/>
      <c r="C9880" s="140"/>
      <c r="D9880" s="140"/>
      <c r="E9880" s="142"/>
      <c r="F9880" s="142"/>
      <c r="G9880" s="140"/>
    </row>
    <row r="9881" spans="2:7" hidden="1">
      <c r="B9881" s="140"/>
      <c r="C9881" s="140"/>
      <c r="D9881" s="140"/>
      <c r="E9881" s="142"/>
      <c r="F9881" s="142"/>
      <c r="G9881" s="140"/>
    </row>
    <row r="9882" spans="2:7" hidden="1">
      <c r="B9882" s="140"/>
      <c r="C9882" s="140"/>
      <c r="D9882" s="140"/>
      <c r="E9882" s="142"/>
      <c r="F9882" s="142"/>
      <c r="G9882" s="140"/>
    </row>
    <row r="9883" spans="2:7" hidden="1">
      <c r="B9883" s="140"/>
      <c r="C9883" s="140"/>
      <c r="D9883" s="140"/>
      <c r="E9883" s="142"/>
      <c r="F9883" s="142"/>
      <c r="G9883" s="140"/>
    </row>
    <row r="9884" spans="2:7" hidden="1">
      <c r="B9884" s="140"/>
      <c r="C9884" s="140"/>
      <c r="D9884" s="140"/>
      <c r="E9884" s="142"/>
      <c r="F9884" s="142"/>
      <c r="G9884" s="140"/>
    </row>
    <row r="9885" spans="2:7" hidden="1">
      <c r="B9885" s="140"/>
      <c r="C9885" s="140"/>
      <c r="D9885" s="140"/>
      <c r="E9885" s="142"/>
      <c r="F9885" s="142"/>
      <c r="G9885" s="140"/>
    </row>
    <row r="9886" spans="2:7" hidden="1">
      <c r="B9886" s="140"/>
      <c r="C9886" s="140"/>
      <c r="D9886" s="140"/>
      <c r="E9886" s="142"/>
      <c r="F9886" s="142"/>
      <c r="G9886" s="140"/>
    </row>
    <row r="9887" spans="2:7" hidden="1">
      <c r="B9887" s="140"/>
      <c r="C9887" s="140"/>
      <c r="D9887" s="140"/>
      <c r="E9887" s="142"/>
      <c r="F9887" s="142"/>
      <c r="G9887" s="140"/>
    </row>
    <row r="9888" spans="2:7" hidden="1">
      <c r="B9888" s="140"/>
      <c r="C9888" s="140"/>
      <c r="D9888" s="140"/>
      <c r="E9888" s="142"/>
      <c r="F9888" s="142"/>
      <c r="G9888" s="140"/>
    </row>
    <row r="9889" spans="2:7" hidden="1">
      <c r="B9889" s="140"/>
      <c r="C9889" s="140"/>
      <c r="D9889" s="140"/>
      <c r="E9889" s="142"/>
      <c r="F9889" s="142"/>
      <c r="G9889" s="140"/>
    </row>
    <row r="9890" spans="2:7" hidden="1">
      <c r="B9890" s="140"/>
      <c r="C9890" s="140"/>
      <c r="D9890" s="140"/>
      <c r="E9890" s="142"/>
      <c r="F9890" s="142"/>
      <c r="G9890" s="140"/>
    </row>
    <row r="9891" spans="2:7" hidden="1">
      <c r="B9891" s="140"/>
      <c r="C9891" s="140"/>
      <c r="D9891" s="140"/>
      <c r="E9891" s="142"/>
      <c r="F9891" s="142"/>
      <c r="G9891" s="140"/>
    </row>
    <row r="9892" spans="2:7" hidden="1">
      <c r="B9892" s="140"/>
      <c r="C9892" s="140"/>
      <c r="D9892" s="140"/>
      <c r="E9892" s="142"/>
      <c r="F9892" s="142"/>
      <c r="G9892" s="140"/>
    </row>
    <row r="9893" spans="2:7" hidden="1">
      <c r="B9893" s="140"/>
      <c r="C9893" s="140"/>
      <c r="D9893" s="140"/>
      <c r="E9893" s="142"/>
      <c r="F9893" s="142"/>
      <c r="G9893" s="140"/>
    </row>
    <row r="9894" spans="2:7" hidden="1">
      <c r="B9894" s="140"/>
      <c r="C9894" s="140"/>
      <c r="D9894" s="140"/>
      <c r="E9894" s="142"/>
      <c r="F9894" s="142"/>
      <c r="G9894" s="140"/>
    </row>
    <row r="9895" spans="2:7" hidden="1">
      <c r="B9895" s="140"/>
      <c r="C9895" s="140"/>
      <c r="D9895" s="140"/>
      <c r="E9895" s="142"/>
      <c r="F9895" s="142"/>
      <c r="G9895" s="140"/>
    </row>
    <row r="9896" spans="2:7" hidden="1">
      <c r="B9896" s="140"/>
      <c r="C9896" s="140"/>
      <c r="D9896" s="140"/>
      <c r="E9896" s="142"/>
      <c r="F9896" s="142"/>
      <c r="G9896" s="140"/>
    </row>
    <row r="9897" spans="2:7" hidden="1">
      <c r="B9897" s="140"/>
      <c r="C9897" s="140"/>
      <c r="D9897" s="140"/>
      <c r="E9897" s="142"/>
      <c r="F9897" s="142"/>
      <c r="G9897" s="140"/>
    </row>
    <row r="9898" spans="2:7" hidden="1">
      <c r="B9898" s="140"/>
      <c r="C9898" s="140"/>
      <c r="D9898" s="140"/>
      <c r="E9898" s="142"/>
      <c r="F9898" s="142"/>
      <c r="G9898" s="140"/>
    </row>
    <row r="9899" spans="2:7" hidden="1">
      <c r="B9899" s="140"/>
      <c r="C9899" s="140"/>
      <c r="D9899" s="140"/>
      <c r="E9899" s="142"/>
      <c r="F9899" s="142"/>
      <c r="G9899" s="140"/>
    </row>
    <row r="9900" spans="2:7" hidden="1">
      <c r="B9900" s="140"/>
      <c r="C9900" s="140"/>
      <c r="D9900" s="140"/>
      <c r="E9900" s="142"/>
      <c r="F9900" s="142"/>
      <c r="G9900" s="140"/>
    </row>
    <row r="9901" spans="2:7" hidden="1">
      <c r="B9901" s="140"/>
      <c r="C9901" s="140"/>
      <c r="D9901" s="140"/>
      <c r="E9901" s="142"/>
      <c r="F9901" s="142"/>
      <c r="G9901" s="140"/>
    </row>
    <row r="9902" spans="2:7" hidden="1">
      <c r="B9902" s="140"/>
      <c r="C9902" s="140"/>
      <c r="D9902" s="140"/>
      <c r="E9902" s="142"/>
      <c r="F9902" s="142"/>
      <c r="G9902" s="140"/>
    </row>
    <row r="9903" spans="2:7" hidden="1">
      <c r="B9903" s="140"/>
      <c r="C9903" s="140"/>
      <c r="D9903" s="140"/>
      <c r="E9903" s="142"/>
      <c r="F9903" s="142"/>
      <c r="G9903" s="140"/>
    </row>
    <row r="9904" spans="2:7" hidden="1">
      <c r="B9904" s="140"/>
      <c r="C9904" s="140"/>
      <c r="D9904" s="140"/>
      <c r="E9904" s="142"/>
      <c r="F9904" s="142"/>
      <c r="G9904" s="140"/>
    </row>
    <row r="9905" spans="2:7" hidden="1">
      <c r="B9905" s="140"/>
      <c r="C9905" s="140"/>
      <c r="D9905" s="140"/>
      <c r="E9905" s="142"/>
      <c r="F9905" s="142"/>
      <c r="G9905" s="140"/>
    </row>
    <row r="9906" spans="2:7" hidden="1">
      <c r="B9906" s="140"/>
      <c r="C9906" s="140"/>
      <c r="D9906" s="140"/>
      <c r="E9906" s="142"/>
      <c r="F9906" s="142"/>
      <c r="G9906" s="140"/>
    </row>
    <row r="9907" spans="2:7" hidden="1">
      <c r="B9907" s="140"/>
      <c r="C9907" s="140"/>
      <c r="D9907" s="140"/>
      <c r="E9907" s="142"/>
      <c r="F9907" s="142"/>
      <c r="G9907" s="140"/>
    </row>
    <row r="9908" spans="2:7" hidden="1">
      <c r="B9908" s="140"/>
      <c r="C9908" s="140"/>
      <c r="D9908" s="140"/>
      <c r="E9908" s="142"/>
      <c r="F9908" s="142"/>
      <c r="G9908" s="140"/>
    </row>
    <row r="9909" spans="2:7" hidden="1">
      <c r="B9909" s="140"/>
      <c r="C9909" s="140"/>
      <c r="D9909" s="140"/>
      <c r="E9909" s="142"/>
      <c r="F9909" s="142"/>
      <c r="G9909" s="140"/>
    </row>
    <row r="9910" spans="2:7" hidden="1">
      <c r="B9910" s="140"/>
      <c r="C9910" s="140"/>
      <c r="D9910" s="140"/>
      <c r="E9910" s="142"/>
      <c r="F9910" s="142"/>
      <c r="G9910" s="140"/>
    </row>
    <row r="9911" spans="2:7" hidden="1">
      <c r="B9911" s="140"/>
      <c r="C9911" s="140"/>
      <c r="D9911" s="140"/>
      <c r="E9911" s="142"/>
      <c r="F9911" s="142"/>
      <c r="G9911" s="140"/>
    </row>
    <row r="9912" spans="2:7" hidden="1">
      <c r="B9912" s="140"/>
      <c r="C9912" s="140"/>
      <c r="D9912" s="140"/>
      <c r="E9912" s="142"/>
      <c r="F9912" s="142"/>
      <c r="G9912" s="140"/>
    </row>
    <row r="9913" spans="2:7" hidden="1">
      <c r="B9913" s="140"/>
      <c r="C9913" s="140"/>
      <c r="D9913" s="140"/>
      <c r="E9913" s="142"/>
      <c r="F9913" s="142"/>
      <c r="G9913" s="140"/>
    </row>
    <row r="9914" spans="2:7" hidden="1">
      <c r="B9914" s="140"/>
      <c r="C9914" s="140"/>
      <c r="D9914" s="140"/>
      <c r="E9914" s="142"/>
      <c r="F9914" s="142"/>
      <c r="G9914" s="140"/>
    </row>
    <row r="9915" spans="2:7" hidden="1">
      <c r="B9915" s="140"/>
      <c r="C9915" s="140"/>
      <c r="D9915" s="140"/>
      <c r="E9915" s="142"/>
      <c r="F9915" s="142"/>
      <c r="G9915" s="140"/>
    </row>
    <row r="9916" spans="2:7" hidden="1">
      <c r="B9916" s="140"/>
      <c r="C9916" s="140"/>
      <c r="D9916" s="140"/>
      <c r="E9916" s="142"/>
      <c r="F9916" s="142"/>
      <c r="G9916" s="140"/>
    </row>
    <row r="9917" spans="2:7" hidden="1">
      <c r="B9917" s="140"/>
      <c r="C9917" s="140"/>
      <c r="D9917" s="140"/>
      <c r="E9917" s="142"/>
      <c r="F9917" s="142"/>
      <c r="G9917" s="140"/>
    </row>
    <row r="9918" spans="2:7" hidden="1">
      <c r="B9918" s="140"/>
      <c r="C9918" s="140"/>
      <c r="D9918" s="140"/>
      <c r="E9918" s="142"/>
      <c r="F9918" s="142"/>
      <c r="G9918" s="140"/>
    </row>
    <row r="9919" spans="2:7" hidden="1">
      <c r="B9919" s="140"/>
      <c r="C9919" s="140"/>
      <c r="D9919" s="140"/>
      <c r="E9919" s="142"/>
      <c r="F9919" s="142"/>
      <c r="G9919" s="140"/>
    </row>
    <row r="9920" spans="2:7" hidden="1">
      <c r="B9920" s="140"/>
      <c r="C9920" s="140"/>
      <c r="D9920" s="140"/>
      <c r="E9920" s="142"/>
      <c r="F9920" s="142"/>
      <c r="G9920" s="140"/>
    </row>
    <row r="9921" spans="2:7" hidden="1">
      <c r="B9921" s="140"/>
      <c r="C9921" s="140"/>
      <c r="D9921" s="140"/>
      <c r="E9921" s="142"/>
      <c r="F9921" s="142"/>
      <c r="G9921" s="140"/>
    </row>
    <row r="9922" spans="2:7" hidden="1">
      <c r="B9922" s="140"/>
      <c r="C9922" s="140"/>
      <c r="D9922" s="140"/>
      <c r="E9922" s="142"/>
      <c r="F9922" s="142"/>
      <c r="G9922" s="140"/>
    </row>
    <row r="9923" spans="2:7" hidden="1">
      <c r="B9923" s="140"/>
      <c r="C9923" s="140"/>
      <c r="D9923" s="140"/>
      <c r="E9923" s="142"/>
      <c r="F9923" s="142"/>
      <c r="G9923" s="140"/>
    </row>
    <row r="9924" spans="2:7" hidden="1">
      <c r="B9924" s="140"/>
      <c r="C9924" s="140"/>
      <c r="D9924" s="140"/>
      <c r="E9924" s="142"/>
      <c r="F9924" s="142"/>
      <c r="G9924" s="140"/>
    </row>
    <row r="9925" spans="2:7" hidden="1">
      <c r="B9925" s="140"/>
      <c r="C9925" s="140"/>
      <c r="D9925" s="140"/>
      <c r="E9925" s="142"/>
      <c r="F9925" s="142"/>
      <c r="G9925" s="140"/>
    </row>
    <row r="9926" spans="2:7" hidden="1">
      <c r="B9926" s="140"/>
      <c r="C9926" s="140"/>
      <c r="D9926" s="140"/>
      <c r="E9926" s="142"/>
      <c r="F9926" s="142"/>
      <c r="G9926" s="140"/>
    </row>
    <row r="9927" spans="2:7" hidden="1">
      <c r="B9927" s="140"/>
      <c r="C9927" s="140"/>
      <c r="D9927" s="140"/>
      <c r="E9927" s="142"/>
      <c r="F9927" s="142"/>
      <c r="G9927" s="140"/>
    </row>
    <row r="9928" spans="2:7" hidden="1">
      <c r="B9928" s="140"/>
      <c r="C9928" s="140"/>
      <c r="D9928" s="140"/>
      <c r="E9928" s="142"/>
      <c r="F9928" s="142"/>
      <c r="G9928" s="140"/>
    </row>
    <row r="9929" spans="2:7" hidden="1">
      <c r="B9929" s="140"/>
      <c r="C9929" s="140"/>
      <c r="D9929" s="140"/>
      <c r="E9929" s="142"/>
      <c r="F9929" s="142"/>
      <c r="G9929" s="140"/>
    </row>
    <row r="9930" spans="2:7" hidden="1">
      <c r="B9930" s="140"/>
      <c r="C9930" s="140"/>
      <c r="D9930" s="140"/>
      <c r="E9930" s="142"/>
      <c r="F9930" s="142"/>
      <c r="G9930" s="140"/>
    </row>
    <row r="9931" spans="2:7" hidden="1">
      <c r="B9931" s="140"/>
      <c r="C9931" s="140"/>
      <c r="D9931" s="140"/>
      <c r="E9931" s="142"/>
      <c r="F9931" s="142"/>
      <c r="G9931" s="140"/>
    </row>
    <row r="9932" spans="2:7" hidden="1">
      <c r="B9932" s="140"/>
      <c r="C9932" s="140"/>
      <c r="D9932" s="140"/>
      <c r="E9932" s="142"/>
      <c r="F9932" s="142"/>
      <c r="G9932" s="140"/>
    </row>
    <row r="9933" spans="2:7" hidden="1">
      <c r="B9933" s="140"/>
      <c r="C9933" s="140"/>
      <c r="D9933" s="140"/>
      <c r="E9933" s="142"/>
      <c r="F9933" s="142"/>
      <c r="G9933" s="140"/>
    </row>
    <row r="9934" spans="2:7" hidden="1">
      <c r="B9934" s="140"/>
      <c r="C9934" s="140"/>
      <c r="D9934" s="140"/>
      <c r="E9934" s="142"/>
      <c r="F9934" s="142"/>
      <c r="G9934" s="140"/>
    </row>
    <row r="9935" spans="2:7" hidden="1">
      <c r="B9935" s="140"/>
      <c r="C9935" s="140"/>
      <c r="D9935" s="140"/>
      <c r="E9935" s="142"/>
      <c r="F9935" s="142"/>
      <c r="G9935" s="140"/>
    </row>
    <row r="9936" spans="2:7" hidden="1">
      <c r="B9936" s="140"/>
      <c r="C9936" s="140"/>
      <c r="D9936" s="140"/>
      <c r="E9936" s="142"/>
      <c r="F9936" s="142"/>
      <c r="G9936" s="140"/>
    </row>
    <row r="9937" spans="2:7" hidden="1">
      <c r="B9937" s="140"/>
      <c r="C9937" s="140"/>
      <c r="D9937" s="140"/>
      <c r="E9937" s="142"/>
      <c r="F9937" s="142"/>
      <c r="G9937" s="140"/>
    </row>
    <row r="9938" spans="2:7" hidden="1">
      <c r="B9938" s="140"/>
      <c r="C9938" s="140"/>
      <c r="D9938" s="140"/>
      <c r="E9938" s="142"/>
      <c r="F9938" s="142"/>
      <c r="G9938" s="140"/>
    </row>
    <row r="9939" spans="2:7" hidden="1">
      <c r="B9939" s="140"/>
      <c r="C9939" s="140"/>
      <c r="D9939" s="140"/>
      <c r="E9939" s="142"/>
      <c r="F9939" s="142"/>
      <c r="G9939" s="140"/>
    </row>
    <row r="9940" spans="2:7" hidden="1">
      <c r="B9940" s="140"/>
      <c r="C9940" s="140"/>
      <c r="D9940" s="140"/>
      <c r="E9940" s="142"/>
      <c r="F9940" s="142"/>
      <c r="G9940" s="140"/>
    </row>
    <row r="9941" spans="2:7" hidden="1">
      <c r="B9941" s="140"/>
      <c r="C9941" s="140"/>
      <c r="D9941" s="140"/>
      <c r="E9941" s="142"/>
      <c r="F9941" s="142"/>
      <c r="G9941" s="140"/>
    </row>
    <row r="9942" spans="2:7" hidden="1">
      <c r="B9942" s="140"/>
      <c r="C9942" s="140"/>
      <c r="D9942" s="140"/>
      <c r="E9942" s="142"/>
      <c r="F9942" s="142"/>
      <c r="G9942" s="140"/>
    </row>
    <row r="9943" spans="2:7" hidden="1">
      <c r="B9943" s="140"/>
      <c r="C9943" s="140"/>
      <c r="D9943" s="140"/>
      <c r="E9943" s="142"/>
      <c r="F9943" s="142"/>
      <c r="G9943" s="140"/>
    </row>
    <row r="9944" spans="2:7" hidden="1">
      <c r="B9944" s="140"/>
      <c r="C9944" s="140"/>
      <c r="D9944" s="140"/>
      <c r="E9944" s="142"/>
      <c r="F9944" s="142"/>
      <c r="G9944" s="140"/>
    </row>
    <row r="9945" spans="2:7" hidden="1">
      <c r="B9945" s="140"/>
      <c r="C9945" s="140"/>
      <c r="D9945" s="140"/>
      <c r="E9945" s="142"/>
      <c r="F9945" s="142"/>
      <c r="G9945" s="140"/>
    </row>
    <row r="9946" spans="2:7" hidden="1">
      <c r="B9946" s="140"/>
      <c r="C9946" s="140"/>
      <c r="D9946" s="140"/>
      <c r="E9946" s="142"/>
      <c r="F9946" s="142"/>
      <c r="G9946" s="140"/>
    </row>
    <row r="9947" spans="2:7" hidden="1">
      <c r="B9947" s="140"/>
      <c r="C9947" s="140"/>
      <c r="D9947" s="140"/>
      <c r="E9947" s="142"/>
      <c r="F9947" s="142"/>
      <c r="G9947" s="140"/>
    </row>
    <row r="9948" spans="2:7" hidden="1">
      <c r="B9948" s="140"/>
      <c r="C9948" s="140"/>
      <c r="D9948" s="140"/>
      <c r="E9948" s="142"/>
      <c r="F9948" s="142"/>
      <c r="G9948" s="140"/>
    </row>
    <row r="9949" spans="2:7" hidden="1">
      <c r="B9949" s="140"/>
      <c r="C9949" s="140"/>
      <c r="D9949" s="140"/>
      <c r="E9949" s="142"/>
      <c r="F9949" s="142"/>
      <c r="G9949" s="140"/>
    </row>
    <row r="9950" spans="2:7" hidden="1">
      <c r="B9950" s="140"/>
      <c r="C9950" s="140"/>
      <c r="D9950" s="140"/>
      <c r="E9950" s="142"/>
      <c r="F9950" s="142"/>
      <c r="G9950" s="140"/>
    </row>
    <row r="9951" spans="2:7" hidden="1">
      <c r="B9951" s="140"/>
      <c r="C9951" s="140"/>
      <c r="D9951" s="140"/>
      <c r="E9951" s="142"/>
      <c r="F9951" s="142"/>
      <c r="G9951" s="140"/>
    </row>
    <row r="9952" spans="2:7" hidden="1">
      <c r="B9952" s="140"/>
      <c r="C9952" s="140"/>
      <c r="D9952" s="140"/>
      <c r="E9952" s="142"/>
      <c r="F9952" s="142"/>
      <c r="G9952" s="140"/>
    </row>
    <row r="9953" spans="2:7" hidden="1">
      <c r="B9953" s="140"/>
      <c r="C9953" s="140"/>
      <c r="D9953" s="140"/>
      <c r="E9953" s="142"/>
      <c r="F9953" s="142"/>
      <c r="G9953" s="140"/>
    </row>
    <row r="9954" spans="2:7" hidden="1">
      <c r="B9954" s="140"/>
      <c r="C9954" s="140"/>
      <c r="D9954" s="140"/>
      <c r="E9954" s="142"/>
      <c r="F9954" s="142"/>
      <c r="G9954" s="140"/>
    </row>
    <row r="9955" spans="2:7" hidden="1">
      <c r="B9955" s="140"/>
      <c r="C9955" s="140"/>
      <c r="D9955" s="140"/>
      <c r="E9955" s="142"/>
      <c r="F9955" s="142"/>
      <c r="G9955" s="140"/>
    </row>
    <row r="9956" spans="2:7" hidden="1">
      <c r="B9956" s="140"/>
      <c r="C9956" s="140"/>
      <c r="D9956" s="140"/>
      <c r="E9956" s="142"/>
      <c r="F9956" s="142"/>
      <c r="G9956" s="140"/>
    </row>
    <row r="9957" spans="2:7" hidden="1">
      <c r="B9957" s="140"/>
      <c r="C9957" s="140"/>
      <c r="D9957" s="140"/>
      <c r="E9957" s="142"/>
      <c r="F9957" s="142"/>
      <c r="G9957" s="140"/>
    </row>
    <row r="9958" spans="2:7" hidden="1">
      <c r="B9958" s="140"/>
      <c r="C9958" s="140"/>
      <c r="D9958" s="140"/>
      <c r="E9958" s="142"/>
      <c r="F9958" s="142"/>
      <c r="G9958" s="140"/>
    </row>
    <row r="9959" spans="2:7" hidden="1">
      <c r="B9959" s="140"/>
      <c r="C9959" s="140"/>
      <c r="D9959" s="140"/>
      <c r="E9959" s="142"/>
      <c r="F9959" s="142"/>
      <c r="G9959" s="140"/>
    </row>
    <row r="9960" spans="2:7" hidden="1">
      <c r="B9960" s="140"/>
      <c r="C9960" s="140"/>
      <c r="D9960" s="140"/>
      <c r="E9960" s="142"/>
      <c r="F9960" s="142"/>
      <c r="G9960" s="140"/>
    </row>
    <row r="9961" spans="2:7" hidden="1">
      <c r="B9961" s="140"/>
      <c r="C9961" s="140"/>
      <c r="D9961" s="140"/>
      <c r="E9961" s="142"/>
      <c r="F9961" s="142"/>
      <c r="G9961" s="140"/>
    </row>
    <row r="9962" spans="2:7" hidden="1">
      <c r="B9962" s="140"/>
      <c r="C9962" s="140"/>
      <c r="D9962" s="140"/>
      <c r="E9962" s="142"/>
      <c r="F9962" s="142"/>
      <c r="G9962" s="140"/>
    </row>
    <row r="9963" spans="2:7" hidden="1">
      <c r="B9963" s="140"/>
      <c r="C9963" s="140"/>
      <c r="D9963" s="140"/>
      <c r="E9963" s="142"/>
      <c r="F9963" s="142"/>
      <c r="G9963" s="140"/>
    </row>
    <row r="9964" spans="2:7" hidden="1">
      <c r="B9964" s="140"/>
      <c r="C9964" s="140"/>
      <c r="D9964" s="140"/>
      <c r="E9964" s="142"/>
      <c r="F9964" s="142"/>
      <c r="G9964" s="140"/>
    </row>
    <row r="9965" spans="2:7" hidden="1">
      <c r="B9965" s="140"/>
      <c r="C9965" s="140"/>
      <c r="D9965" s="140"/>
      <c r="E9965" s="142"/>
      <c r="F9965" s="142"/>
      <c r="G9965" s="140"/>
    </row>
    <row r="9966" spans="2:7" hidden="1">
      <c r="B9966" s="140"/>
      <c r="C9966" s="140"/>
      <c r="D9966" s="140"/>
      <c r="E9966" s="142"/>
      <c r="F9966" s="142"/>
      <c r="G9966" s="140"/>
    </row>
    <row r="9967" spans="2:7" hidden="1">
      <c r="B9967" s="140"/>
      <c r="C9967" s="140"/>
      <c r="D9967" s="140"/>
      <c r="E9967" s="142"/>
      <c r="F9967" s="142"/>
      <c r="G9967" s="140"/>
    </row>
    <row r="9968" spans="2:7" hidden="1">
      <c r="B9968" s="140"/>
      <c r="C9968" s="140"/>
      <c r="D9968" s="140"/>
      <c r="E9968" s="142"/>
      <c r="F9968" s="142"/>
      <c r="G9968" s="140"/>
    </row>
    <row r="9969" spans="2:7" hidden="1">
      <c r="B9969" s="140"/>
      <c r="C9969" s="140"/>
      <c r="D9969" s="140"/>
      <c r="E9969" s="142"/>
      <c r="F9969" s="142"/>
      <c r="G9969" s="140"/>
    </row>
    <row r="9970" spans="2:7" hidden="1">
      <c r="B9970" s="140"/>
      <c r="C9970" s="140"/>
      <c r="D9970" s="140"/>
      <c r="E9970" s="142"/>
      <c r="F9970" s="142"/>
      <c r="G9970" s="140"/>
    </row>
    <row r="9971" spans="2:7" hidden="1">
      <c r="B9971" s="140"/>
      <c r="C9971" s="140"/>
      <c r="D9971" s="140"/>
      <c r="E9971" s="142"/>
      <c r="F9971" s="142"/>
      <c r="G9971" s="140"/>
    </row>
    <row r="9972" spans="2:7" hidden="1">
      <c r="B9972" s="140"/>
      <c r="C9972" s="140"/>
      <c r="D9972" s="140"/>
      <c r="E9972" s="142"/>
      <c r="F9972" s="142"/>
      <c r="G9972" s="140"/>
    </row>
    <row r="9973" spans="2:7" hidden="1">
      <c r="B9973" s="140"/>
      <c r="C9973" s="140"/>
      <c r="D9973" s="140"/>
      <c r="E9973" s="142"/>
      <c r="F9973" s="142"/>
      <c r="G9973" s="140"/>
    </row>
    <row r="9974" spans="2:7" hidden="1">
      <c r="B9974" s="140"/>
      <c r="C9974" s="140"/>
      <c r="D9974" s="140"/>
      <c r="E9974" s="142"/>
      <c r="F9974" s="142"/>
      <c r="G9974" s="140"/>
    </row>
    <row r="9975" spans="2:7" hidden="1">
      <c r="B9975" s="140"/>
      <c r="C9975" s="140"/>
      <c r="D9975" s="140"/>
      <c r="E9975" s="142"/>
      <c r="F9975" s="142"/>
      <c r="G9975" s="140"/>
    </row>
    <row r="9976" spans="2:7" hidden="1">
      <c r="B9976" s="140"/>
      <c r="C9976" s="140"/>
      <c r="D9976" s="140"/>
      <c r="E9976" s="142"/>
      <c r="F9976" s="142"/>
      <c r="G9976" s="140"/>
    </row>
    <row r="9977" spans="2:7" hidden="1">
      <c r="B9977" s="140"/>
      <c r="C9977" s="140"/>
      <c r="D9977" s="140"/>
      <c r="E9977" s="142"/>
      <c r="F9977" s="142"/>
      <c r="G9977" s="140"/>
    </row>
    <row r="9978" spans="2:7" hidden="1">
      <c r="B9978" s="140"/>
      <c r="C9978" s="140"/>
      <c r="D9978" s="140"/>
      <c r="E9978" s="142"/>
      <c r="F9978" s="142"/>
      <c r="G9978" s="140"/>
    </row>
    <row r="9979" spans="2:7" hidden="1">
      <c r="B9979" s="140"/>
      <c r="C9979" s="140"/>
      <c r="D9979" s="140"/>
      <c r="E9979" s="142"/>
      <c r="F9979" s="142"/>
      <c r="G9979" s="140"/>
    </row>
    <row r="9980" spans="2:7" hidden="1">
      <c r="B9980" s="140"/>
      <c r="C9980" s="140"/>
      <c r="D9980" s="140"/>
      <c r="E9980" s="142"/>
      <c r="F9980" s="142"/>
      <c r="G9980" s="140"/>
    </row>
    <row r="9981" spans="2:7" hidden="1">
      <c r="B9981" s="140"/>
      <c r="C9981" s="140"/>
      <c r="D9981" s="140"/>
      <c r="E9981" s="142"/>
      <c r="F9981" s="142"/>
      <c r="G9981" s="140"/>
    </row>
    <row r="9982" spans="2:7" hidden="1">
      <c r="B9982" s="140"/>
      <c r="C9982" s="140"/>
      <c r="D9982" s="140"/>
      <c r="E9982" s="142"/>
      <c r="F9982" s="142"/>
      <c r="G9982" s="140"/>
    </row>
    <row r="9983" spans="2:7" hidden="1">
      <c r="B9983" s="140"/>
      <c r="C9983" s="140"/>
      <c r="D9983" s="140"/>
      <c r="E9983" s="142"/>
      <c r="F9983" s="142"/>
      <c r="G9983" s="140"/>
    </row>
    <row r="9984" spans="2:7" hidden="1">
      <c r="B9984" s="140"/>
      <c r="C9984" s="140"/>
      <c r="D9984" s="140"/>
      <c r="E9984" s="142"/>
      <c r="F9984" s="142"/>
      <c r="G9984" s="140"/>
    </row>
    <row r="9985" spans="2:7" hidden="1">
      <c r="B9985" s="140"/>
      <c r="C9985" s="140"/>
      <c r="D9985" s="140"/>
      <c r="E9985" s="142"/>
      <c r="F9985" s="142"/>
      <c r="G9985" s="140"/>
    </row>
    <row r="9986" spans="2:7" hidden="1">
      <c r="B9986" s="140"/>
      <c r="C9986" s="140"/>
      <c r="D9986" s="140"/>
      <c r="E9986" s="142"/>
      <c r="F9986" s="142"/>
      <c r="G9986" s="140"/>
    </row>
    <row r="9987" spans="2:7" hidden="1">
      <c r="B9987" s="140"/>
      <c r="C9987" s="140"/>
      <c r="D9987" s="140"/>
      <c r="E9987" s="142"/>
      <c r="F9987" s="142"/>
      <c r="G9987" s="140"/>
    </row>
    <row r="9988" spans="2:7" hidden="1">
      <c r="B9988" s="140"/>
      <c r="C9988" s="140"/>
      <c r="D9988" s="140"/>
      <c r="E9988" s="142"/>
      <c r="F9988" s="142"/>
      <c r="G9988" s="140"/>
    </row>
    <row r="9989" spans="2:7" hidden="1">
      <c r="B9989" s="140"/>
      <c r="C9989" s="140"/>
      <c r="D9989" s="140"/>
      <c r="E9989" s="142"/>
      <c r="F9989" s="142"/>
      <c r="G9989" s="140"/>
    </row>
    <row r="9990" spans="2:7" hidden="1">
      <c r="B9990" s="140"/>
      <c r="C9990" s="140"/>
      <c r="D9990" s="140"/>
      <c r="E9990" s="142"/>
      <c r="F9990" s="142"/>
      <c r="G9990" s="140"/>
    </row>
    <row r="9991" spans="2:7" hidden="1">
      <c r="B9991" s="140"/>
      <c r="C9991" s="140"/>
      <c r="D9991" s="140"/>
      <c r="E9991" s="142"/>
      <c r="F9991" s="142"/>
      <c r="G9991" s="140"/>
    </row>
    <row r="9992" spans="2:7" hidden="1">
      <c r="B9992" s="140"/>
      <c r="C9992" s="140"/>
      <c r="D9992" s="140"/>
      <c r="E9992" s="142"/>
      <c r="F9992" s="142"/>
      <c r="G9992" s="140"/>
    </row>
    <row r="9993" spans="2:7" hidden="1">
      <c r="B9993" s="140"/>
      <c r="C9993" s="140"/>
      <c r="D9993" s="140"/>
      <c r="E9993" s="142"/>
      <c r="F9993" s="142"/>
      <c r="G9993" s="140"/>
    </row>
    <row r="9994" spans="2:7" hidden="1">
      <c r="B9994" s="140"/>
      <c r="C9994" s="140"/>
      <c r="D9994" s="140"/>
      <c r="E9994" s="142"/>
      <c r="F9994" s="142"/>
      <c r="G9994" s="140"/>
    </row>
    <row r="9995" spans="2:7" hidden="1">
      <c r="B9995" s="140"/>
      <c r="C9995" s="140"/>
      <c r="D9995" s="140"/>
      <c r="E9995" s="142"/>
      <c r="F9995" s="142"/>
      <c r="G9995" s="140"/>
    </row>
    <row r="9996" spans="2:7" hidden="1">
      <c r="B9996" s="140"/>
      <c r="C9996" s="140"/>
      <c r="D9996" s="140"/>
      <c r="E9996" s="142"/>
      <c r="F9996" s="142"/>
      <c r="G9996" s="140"/>
    </row>
    <row r="9997" spans="2:7" hidden="1">
      <c r="B9997" s="140"/>
      <c r="C9997" s="140"/>
      <c r="D9997" s="140"/>
      <c r="E9997" s="142"/>
      <c r="F9997" s="142"/>
      <c r="G9997" s="140"/>
    </row>
    <row r="9998" spans="2:7" ht="14" hidden="1" thickBot="1">
      <c r="B9998" s="140"/>
      <c r="C9998" s="140"/>
      <c r="D9998" s="140"/>
      <c r="E9998" s="142"/>
      <c r="F9998" s="142"/>
      <c r="G9998" s="140"/>
    </row>
    <row r="9999" spans="2:7" ht="14.5" hidden="1" thickTop="1" thickBot="1">
      <c r="B9999" s="141"/>
      <c r="C9999" s="374"/>
      <c r="D9999" s="141"/>
      <c r="E9999" s="376"/>
      <c r="F9999" s="140"/>
      <c r="G9999" s="256"/>
    </row>
    <row r="10000" spans="2:7" ht="14" thickTop="1">
      <c r="B10000" s="303"/>
      <c r="C10000" s="303"/>
      <c r="D10000" s="303"/>
      <c r="E10000" s="304"/>
      <c r="F10000" s="304"/>
      <c r="G10000" s="303"/>
    </row>
    <row r="10003" spans="7:15" ht="15.5">
      <c r="N10003" s="187"/>
      <c r="O10003" s="188"/>
    </row>
    <row r="10004" spans="7:15" ht="15.5">
      <c r="N10004" s="187"/>
      <c r="O10004" s="188"/>
    </row>
    <row r="10005" spans="7:15" ht="15.5">
      <c r="N10005" s="187"/>
      <c r="O10005" s="188"/>
    </row>
    <row r="10006" spans="7:15" ht="15.5">
      <c r="N10006" s="187"/>
      <c r="O10006" s="187"/>
    </row>
    <row r="10007" spans="7:15" ht="15.5">
      <c r="N10007" s="187"/>
      <c r="O10007" s="188"/>
    </row>
    <row r="10008" spans="7:15" ht="15.5">
      <c r="N10008" s="187"/>
      <c r="O10008" s="187"/>
    </row>
    <row r="10009" spans="7:15" ht="15.5">
      <c r="N10009" s="187"/>
      <c r="O10009" s="188"/>
    </row>
    <row r="10010" spans="7:15" ht="15.5">
      <c r="N10010" s="187"/>
      <c r="O10010" s="188"/>
    </row>
    <row r="10011" spans="7:15" ht="15.5">
      <c r="N10011" s="187"/>
      <c r="O10011" s="187"/>
    </row>
    <row r="10012" spans="7:15" ht="15.5">
      <c r="N10012" s="187"/>
      <c r="O10012" s="188"/>
    </row>
    <row r="10013" spans="7:15" ht="15.5">
      <c r="G10013" s="1"/>
      <c r="N10013" s="187"/>
      <c r="O10013" s="187"/>
    </row>
    <row r="10014" spans="7:15" ht="15.5">
      <c r="N10014" s="187"/>
      <c r="O10014" s="188"/>
    </row>
    <row r="10015" spans="7:15" ht="15.5">
      <c r="N10015" s="187"/>
      <c r="O10015" s="187"/>
    </row>
    <row r="10016" spans="7:15" ht="15.5">
      <c r="N10016" s="187"/>
      <c r="O10016" s="188"/>
    </row>
    <row r="10017" spans="14:15" ht="15.5">
      <c r="N10017" s="187"/>
      <c r="O10017" s="188"/>
    </row>
    <row r="10018" spans="14:15" ht="15.5">
      <c r="N10018" s="187"/>
      <c r="O10018" s="188"/>
    </row>
    <row r="10019" spans="14:15" ht="15.5">
      <c r="N10019" s="187"/>
      <c r="O10019" s="188"/>
    </row>
    <row r="10020" spans="14:15" ht="15.5">
      <c r="N10020" s="187"/>
      <c r="O10020" s="188"/>
    </row>
    <row r="10021" spans="14:15" ht="15.5">
      <c r="N10021" s="187"/>
      <c r="O10021" s="188"/>
    </row>
    <row r="10022" spans="14:15" ht="15.5">
      <c r="N10022" s="187"/>
      <c r="O10022" s="188"/>
    </row>
    <row r="10023" spans="14:15" ht="15.5">
      <c r="N10023" s="187"/>
      <c r="O10023" s="188"/>
    </row>
    <row r="10024" spans="14:15" ht="15.5">
      <c r="N10024" s="187"/>
      <c r="O10024" s="188"/>
    </row>
    <row r="10025" spans="14:15" ht="15.5">
      <c r="N10025" s="187"/>
      <c r="O10025" s="187"/>
    </row>
    <row r="10026" spans="14:15" ht="15.5">
      <c r="N10026" s="187"/>
      <c r="O10026" s="188"/>
    </row>
    <row r="10027" spans="14:15" ht="15.5">
      <c r="N10027" s="187"/>
      <c r="O10027" s="188"/>
    </row>
    <row r="10028" spans="14:15" ht="15.5">
      <c r="N10028" s="187"/>
      <c r="O10028" s="188"/>
    </row>
    <row r="10029" spans="14:15" ht="15.5">
      <c r="N10029" s="187"/>
      <c r="O10029" s="188"/>
    </row>
    <row r="10030" spans="14:15" ht="15.5">
      <c r="N10030" s="187"/>
      <c r="O10030" s="187"/>
    </row>
    <row r="10031" spans="14:15" ht="15.5">
      <c r="N10031" s="187"/>
      <c r="O10031" s="188"/>
    </row>
    <row r="10032" spans="14:15">
      <c r="O10032" s="189"/>
    </row>
  </sheetData>
  <autoFilter ref="B2:G7408" xr:uid="{00000000-0009-0000-0000-000002000000}">
    <sortState xmlns:xlrd2="http://schemas.microsoft.com/office/spreadsheetml/2017/richdata2" ref="B3:G7508">
      <sortCondition ref="B2:B7408"/>
    </sortState>
  </autoFilter>
  <sortState xmlns:xlrd2="http://schemas.microsoft.com/office/spreadsheetml/2017/richdata2" ref="B3:G7575">
    <sortCondition ref="B3"/>
  </sortState>
  <phoneticPr fontId="2" type="noConversion"/>
  <printOptions horizontalCentered="1" verticalCentered="1"/>
  <pageMargins left="0.25" right="0.25" top="1" bottom="1" header="0.5" footer="0.5"/>
  <pageSetup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617934-8B43-4CE2-90D5-E02AC125919B}">
  <sheetPr codeName="Sheet25"/>
  <dimension ref="A1:L13014"/>
  <sheetViews>
    <sheetView workbookViewId="0">
      <selection sqref="A1:K13014"/>
    </sheetView>
  </sheetViews>
  <sheetFormatPr defaultRowHeight="12.5"/>
  <cols>
    <col min="1" max="1" width="65.36328125" bestFit="1" customWidth="1"/>
    <col min="2" max="2" width="64.453125" bestFit="1" customWidth="1"/>
    <col min="3" max="3" width="37.08984375" bestFit="1" customWidth="1"/>
    <col min="4" max="4" width="28.08984375" bestFit="1" customWidth="1"/>
    <col min="5" max="5" width="28" bestFit="1" customWidth="1"/>
    <col min="6" max="6" width="80.81640625" bestFit="1" customWidth="1"/>
  </cols>
  <sheetData>
    <row r="1" spans="1:12" ht="16" thickBot="1">
      <c r="A1" s="447" t="s">
        <v>22230</v>
      </c>
      <c r="B1" s="447" t="s">
        <v>22231</v>
      </c>
      <c r="C1" s="447" t="s">
        <v>22232</v>
      </c>
      <c r="D1" s="447" t="s">
        <v>22233</v>
      </c>
      <c r="E1" s="447" t="s">
        <v>22234</v>
      </c>
      <c r="F1" s="447" t="s">
        <v>22235</v>
      </c>
      <c r="G1" s="447" t="s">
        <v>22873</v>
      </c>
      <c r="H1" s="447" t="s">
        <v>22874</v>
      </c>
      <c r="I1" s="447" t="s">
        <v>22875</v>
      </c>
      <c r="J1" s="447" t="s">
        <v>22876</v>
      </c>
      <c r="K1" s="447" t="s">
        <v>23725</v>
      </c>
      <c r="L1" s="457"/>
    </row>
    <row r="2" spans="1:12">
      <c r="A2" s="450" t="s">
        <v>32380</v>
      </c>
      <c r="B2" s="450" t="s">
        <v>20380</v>
      </c>
      <c r="C2" s="450" t="s">
        <v>20379</v>
      </c>
      <c r="D2" s="450" t="s">
        <v>20382</v>
      </c>
      <c r="E2" s="450"/>
      <c r="F2" s="450"/>
      <c r="G2" s="450" t="s">
        <v>22877</v>
      </c>
      <c r="H2" s="450" t="s">
        <v>22878</v>
      </c>
      <c r="I2" s="450" t="s">
        <v>32381</v>
      </c>
      <c r="J2" s="450" t="s">
        <v>32382</v>
      </c>
      <c r="K2" s="450"/>
    </row>
    <row r="3" spans="1:12">
      <c r="A3" s="451" t="s">
        <v>20381</v>
      </c>
      <c r="B3" s="451" t="s">
        <v>20380</v>
      </c>
      <c r="C3" s="451" t="s">
        <v>20379</v>
      </c>
      <c r="D3" s="451" t="s">
        <v>20382</v>
      </c>
      <c r="E3" s="451"/>
      <c r="F3" s="451"/>
      <c r="G3" s="451" t="s">
        <v>22877</v>
      </c>
      <c r="H3" s="451" t="s">
        <v>22878</v>
      </c>
      <c r="I3" s="451" t="s">
        <v>20382</v>
      </c>
      <c r="J3" s="451" t="s">
        <v>30077</v>
      </c>
      <c r="K3" s="451"/>
    </row>
    <row r="4" spans="1:12">
      <c r="A4" s="450" t="s">
        <v>22236</v>
      </c>
      <c r="B4" s="450" t="s">
        <v>22237</v>
      </c>
      <c r="C4" s="450" t="s">
        <v>22238</v>
      </c>
      <c r="D4" s="450"/>
      <c r="E4" s="450"/>
      <c r="F4" s="450"/>
      <c r="G4" s="450" t="s">
        <v>22877</v>
      </c>
      <c r="H4" s="450" t="s">
        <v>22878</v>
      </c>
      <c r="I4" s="450" t="s">
        <v>22879</v>
      </c>
      <c r="J4" s="450" t="s">
        <v>22880</v>
      </c>
      <c r="K4" s="450"/>
    </row>
    <row r="5" spans="1:12">
      <c r="A5" s="451" t="s">
        <v>963</v>
      </c>
      <c r="B5" s="451" t="s">
        <v>964</v>
      </c>
      <c r="C5" s="451" t="s">
        <v>965</v>
      </c>
      <c r="D5" s="451" t="s">
        <v>966</v>
      </c>
      <c r="E5" s="451"/>
      <c r="F5" s="451"/>
      <c r="G5" s="451" t="s">
        <v>22877</v>
      </c>
      <c r="H5" s="451" t="s">
        <v>22878</v>
      </c>
      <c r="I5" s="451" t="s">
        <v>966</v>
      </c>
      <c r="J5" s="451" t="s">
        <v>22881</v>
      </c>
      <c r="K5" s="451"/>
    </row>
    <row r="6" spans="1:12">
      <c r="A6" s="450" t="s">
        <v>963</v>
      </c>
      <c r="B6" s="450" t="s">
        <v>964</v>
      </c>
      <c r="C6" s="450" t="s">
        <v>965</v>
      </c>
      <c r="D6" s="450" t="s">
        <v>966</v>
      </c>
      <c r="E6" s="450" t="s">
        <v>967</v>
      </c>
      <c r="F6" s="450"/>
      <c r="G6" s="450" t="s">
        <v>22877</v>
      </c>
      <c r="H6" s="450" t="s">
        <v>22878</v>
      </c>
      <c r="I6" s="450" t="s">
        <v>966</v>
      </c>
      <c r="J6" s="450" t="s">
        <v>22881</v>
      </c>
      <c r="K6" s="450"/>
    </row>
    <row r="7" spans="1:12">
      <c r="A7" s="451" t="s">
        <v>968</v>
      </c>
      <c r="B7" s="451" t="s">
        <v>969</v>
      </c>
      <c r="C7" s="451" t="s">
        <v>970</v>
      </c>
      <c r="D7" s="451" t="s">
        <v>971</v>
      </c>
      <c r="E7" s="451" t="s">
        <v>972</v>
      </c>
      <c r="F7" s="451"/>
      <c r="G7" s="451" t="s">
        <v>22882</v>
      </c>
      <c r="H7" s="451" t="s">
        <v>22883</v>
      </c>
      <c r="I7" s="451"/>
      <c r="J7" s="451" t="s">
        <v>30078</v>
      </c>
      <c r="K7" s="451"/>
    </row>
    <row r="8" spans="1:12">
      <c r="A8" s="450" t="s">
        <v>32383</v>
      </c>
      <c r="B8" s="450" t="s">
        <v>969</v>
      </c>
      <c r="C8" s="450">
        <v>86976</v>
      </c>
      <c r="D8" s="450" t="s">
        <v>971</v>
      </c>
      <c r="E8" s="450"/>
      <c r="F8" s="450"/>
      <c r="G8" s="450" t="s">
        <v>22882</v>
      </c>
      <c r="H8" s="450" t="s">
        <v>22883</v>
      </c>
      <c r="I8" s="450" t="s">
        <v>32384</v>
      </c>
      <c r="J8" s="450" t="s">
        <v>32385</v>
      </c>
      <c r="K8" s="450"/>
    </row>
    <row r="9" spans="1:12">
      <c r="A9" s="451" t="s">
        <v>22239</v>
      </c>
      <c r="B9" s="451" t="s">
        <v>22240</v>
      </c>
      <c r="C9" s="451" t="s">
        <v>22112</v>
      </c>
      <c r="D9" s="451"/>
      <c r="E9" s="451"/>
      <c r="F9" s="451"/>
      <c r="G9" s="451" t="s">
        <v>22877</v>
      </c>
      <c r="H9" s="451" t="s">
        <v>22878</v>
      </c>
      <c r="I9" s="451" t="s">
        <v>22884</v>
      </c>
      <c r="J9" s="451" t="s">
        <v>22885</v>
      </c>
      <c r="K9" s="451"/>
    </row>
    <row r="10" spans="1:12">
      <c r="A10" s="450" t="s">
        <v>32386</v>
      </c>
      <c r="B10" s="450" t="s">
        <v>993</v>
      </c>
      <c r="C10" s="450" t="s">
        <v>994</v>
      </c>
      <c r="D10" s="450" t="s">
        <v>995</v>
      </c>
      <c r="E10" s="450"/>
      <c r="F10" s="450"/>
      <c r="G10" s="450" t="s">
        <v>22882</v>
      </c>
      <c r="H10" s="450" t="s">
        <v>22883</v>
      </c>
      <c r="I10" s="450" t="s">
        <v>32387</v>
      </c>
      <c r="J10" s="450" t="s">
        <v>32388</v>
      </c>
      <c r="K10" s="450"/>
    </row>
    <row r="11" spans="1:12">
      <c r="A11" s="451" t="s">
        <v>992</v>
      </c>
      <c r="B11" s="451" t="s">
        <v>993</v>
      </c>
      <c r="C11" s="451" t="s">
        <v>994</v>
      </c>
      <c r="D11" s="451" t="s">
        <v>995</v>
      </c>
      <c r="E11" s="451"/>
      <c r="F11" s="451"/>
      <c r="G11" s="451" t="s">
        <v>22877</v>
      </c>
      <c r="H11" s="451" t="s">
        <v>22878</v>
      </c>
      <c r="I11" s="451" t="s">
        <v>995</v>
      </c>
      <c r="J11" s="451" t="s">
        <v>30079</v>
      </c>
      <c r="K11" s="451"/>
    </row>
    <row r="12" spans="1:12">
      <c r="A12" s="450" t="s">
        <v>996</v>
      </c>
      <c r="B12" s="450" t="s">
        <v>997</v>
      </c>
      <c r="C12" s="450" t="s">
        <v>998</v>
      </c>
      <c r="D12" s="450" t="s">
        <v>999</v>
      </c>
      <c r="E12" s="450"/>
      <c r="F12" s="450"/>
      <c r="G12" s="450" t="s">
        <v>22882</v>
      </c>
      <c r="H12" s="450" t="s">
        <v>22883</v>
      </c>
      <c r="I12" s="450" t="s">
        <v>22886</v>
      </c>
      <c r="J12" s="450" t="s">
        <v>22887</v>
      </c>
      <c r="K12" s="450"/>
    </row>
    <row r="13" spans="1:12">
      <c r="A13" s="451" t="s">
        <v>32389</v>
      </c>
      <c r="B13" s="451" t="s">
        <v>1001</v>
      </c>
      <c r="C13" s="451" t="s">
        <v>1002</v>
      </c>
      <c r="D13" s="451" t="s">
        <v>1003</v>
      </c>
      <c r="E13" s="451"/>
      <c r="F13" s="451"/>
      <c r="G13" s="451" t="s">
        <v>22877</v>
      </c>
      <c r="H13" s="451" t="s">
        <v>22878</v>
      </c>
      <c r="I13" s="451" t="s">
        <v>1003</v>
      </c>
      <c r="J13" s="451" t="s">
        <v>22888</v>
      </c>
      <c r="K13" s="451"/>
    </row>
    <row r="14" spans="1:12">
      <c r="A14" s="450" t="s">
        <v>1000</v>
      </c>
      <c r="B14" s="450" t="s">
        <v>1001</v>
      </c>
      <c r="C14" s="450" t="s">
        <v>1002</v>
      </c>
      <c r="D14" s="450" t="s">
        <v>1003</v>
      </c>
      <c r="E14" s="450"/>
      <c r="F14" s="450"/>
      <c r="G14" s="450" t="s">
        <v>22877</v>
      </c>
      <c r="H14" s="450" t="s">
        <v>22878</v>
      </c>
      <c r="I14" s="450" t="s">
        <v>30080</v>
      </c>
      <c r="J14" s="450" t="s">
        <v>22888</v>
      </c>
      <c r="K14" s="450"/>
    </row>
    <row r="15" spans="1:12">
      <c r="A15" s="451" t="s">
        <v>32390</v>
      </c>
      <c r="B15" s="451" t="s">
        <v>1005</v>
      </c>
      <c r="C15" s="451" t="s">
        <v>1006</v>
      </c>
      <c r="D15" s="451" t="s">
        <v>1007</v>
      </c>
      <c r="E15" s="451"/>
      <c r="F15" s="451"/>
      <c r="G15" s="451" t="s">
        <v>22877</v>
      </c>
      <c r="H15" s="451" t="s">
        <v>22878</v>
      </c>
      <c r="I15" s="451" t="s">
        <v>1007</v>
      </c>
      <c r="J15" s="451" t="s">
        <v>22889</v>
      </c>
      <c r="K15" s="451"/>
    </row>
    <row r="16" spans="1:12">
      <c r="A16" s="450" t="s">
        <v>1004</v>
      </c>
      <c r="B16" s="450" t="s">
        <v>1005</v>
      </c>
      <c r="C16" s="450" t="s">
        <v>1006</v>
      </c>
      <c r="D16" s="450" t="s">
        <v>1007</v>
      </c>
      <c r="E16" s="450"/>
      <c r="F16" s="450"/>
      <c r="G16" s="450" t="s">
        <v>22877</v>
      </c>
      <c r="H16" s="450" t="s">
        <v>22878</v>
      </c>
      <c r="I16" s="450" t="s">
        <v>1007</v>
      </c>
      <c r="J16" s="450" t="s">
        <v>22889</v>
      </c>
      <c r="K16" s="450"/>
    </row>
    <row r="17" spans="1:11">
      <c r="A17" s="451" t="s">
        <v>32391</v>
      </c>
      <c r="B17" s="451" t="s">
        <v>1008</v>
      </c>
      <c r="C17" s="451" t="s">
        <v>1009</v>
      </c>
      <c r="D17" s="451" t="s">
        <v>1010</v>
      </c>
      <c r="E17" s="451"/>
      <c r="F17" s="451"/>
      <c r="G17" s="451" t="s">
        <v>22877</v>
      </c>
      <c r="H17" s="451" t="s">
        <v>22878</v>
      </c>
      <c r="I17" s="451" t="s">
        <v>32392</v>
      </c>
      <c r="J17" s="451" t="s">
        <v>32393</v>
      </c>
      <c r="K17" s="451"/>
    </row>
    <row r="18" spans="1:11">
      <c r="A18" s="450" t="s">
        <v>21391</v>
      </c>
      <c r="B18" s="450" t="s">
        <v>1008</v>
      </c>
      <c r="C18" s="450" t="s">
        <v>1009</v>
      </c>
      <c r="D18" s="450" t="s">
        <v>1010</v>
      </c>
      <c r="E18" s="450" t="s">
        <v>1011</v>
      </c>
      <c r="F18" s="450"/>
      <c r="G18" s="450" t="s">
        <v>22882</v>
      </c>
      <c r="H18" s="450" t="s">
        <v>22883</v>
      </c>
      <c r="I18" s="450" t="s">
        <v>1010</v>
      </c>
      <c r="J18" s="450" t="s">
        <v>30081</v>
      </c>
      <c r="K18" s="450"/>
    </row>
    <row r="19" spans="1:11">
      <c r="A19" s="451" t="s">
        <v>32394</v>
      </c>
      <c r="B19" s="451" t="s">
        <v>1013</v>
      </c>
      <c r="C19" s="451" t="s">
        <v>1014</v>
      </c>
      <c r="D19" s="451" t="s">
        <v>1015</v>
      </c>
      <c r="E19" s="451"/>
      <c r="F19" s="451"/>
      <c r="G19" s="451" t="s">
        <v>22877</v>
      </c>
      <c r="H19" s="451" t="s">
        <v>22878</v>
      </c>
      <c r="I19" s="451" t="s">
        <v>1015</v>
      </c>
      <c r="J19" s="451" t="s">
        <v>32395</v>
      </c>
      <c r="K19" s="451"/>
    </row>
    <row r="20" spans="1:11">
      <c r="A20" s="450" t="s">
        <v>1012</v>
      </c>
      <c r="B20" s="450" t="s">
        <v>1013</v>
      </c>
      <c r="C20" s="450" t="s">
        <v>1014</v>
      </c>
      <c r="D20" s="450" t="s">
        <v>1015</v>
      </c>
      <c r="E20" s="450" t="s">
        <v>1016</v>
      </c>
      <c r="F20" s="450"/>
      <c r="G20" s="450" t="s">
        <v>22882</v>
      </c>
      <c r="H20" s="450" t="s">
        <v>22883</v>
      </c>
      <c r="I20" s="450" t="s">
        <v>30082</v>
      </c>
      <c r="J20" s="450" t="s">
        <v>30083</v>
      </c>
      <c r="K20" s="450"/>
    </row>
    <row r="21" spans="1:11">
      <c r="A21" s="451" t="s">
        <v>32396</v>
      </c>
      <c r="B21" s="451" t="s">
        <v>1017</v>
      </c>
      <c r="C21" s="451" t="s">
        <v>1018</v>
      </c>
      <c r="D21" s="451" t="s">
        <v>1019</v>
      </c>
      <c r="E21" s="451"/>
      <c r="F21" s="451"/>
      <c r="G21" s="451" t="s">
        <v>22877</v>
      </c>
      <c r="H21" s="451" t="s">
        <v>22878</v>
      </c>
      <c r="I21" s="451" t="s">
        <v>22890</v>
      </c>
      <c r="J21" s="451" t="s">
        <v>32397</v>
      </c>
      <c r="K21" s="451"/>
    </row>
    <row r="22" spans="1:11">
      <c r="A22" s="450" t="s">
        <v>21392</v>
      </c>
      <c r="B22" s="450" t="s">
        <v>1017</v>
      </c>
      <c r="C22" s="450" t="s">
        <v>1018</v>
      </c>
      <c r="D22" s="450" t="s">
        <v>1019</v>
      </c>
      <c r="E22" s="450"/>
      <c r="F22" s="450"/>
      <c r="G22" s="450" t="s">
        <v>22882</v>
      </c>
      <c r="H22" s="450" t="s">
        <v>22883</v>
      </c>
      <c r="I22" s="450" t="s">
        <v>1019</v>
      </c>
      <c r="J22" s="450" t="s">
        <v>30084</v>
      </c>
      <c r="K22" s="450"/>
    </row>
    <row r="23" spans="1:11">
      <c r="A23" s="451" t="s">
        <v>1020</v>
      </c>
      <c r="B23" s="451" t="s">
        <v>1021</v>
      </c>
      <c r="C23" s="451" t="s">
        <v>1022</v>
      </c>
      <c r="D23" s="451" t="s">
        <v>1023</v>
      </c>
      <c r="E23" s="451"/>
      <c r="F23" s="451"/>
      <c r="G23" s="451" t="s">
        <v>22882</v>
      </c>
      <c r="H23" s="451" t="s">
        <v>22883</v>
      </c>
      <c r="I23" s="451"/>
      <c r="J23" s="451" t="s">
        <v>22891</v>
      </c>
      <c r="K23" s="451"/>
    </row>
    <row r="24" spans="1:11">
      <c r="A24" s="450" t="s">
        <v>1024</v>
      </c>
      <c r="B24" s="450" t="s">
        <v>1025</v>
      </c>
      <c r="C24" s="450" t="s">
        <v>1026</v>
      </c>
      <c r="D24" s="450" t="s">
        <v>1027</v>
      </c>
      <c r="E24" s="450"/>
      <c r="F24" s="450"/>
      <c r="G24" s="450" t="s">
        <v>22877</v>
      </c>
      <c r="H24" s="450" t="s">
        <v>22878</v>
      </c>
      <c r="I24" s="450" t="s">
        <v>1027</v>
      </c>
      <c r="J24" s="450" t="s">
        <v>22892</v>
      </c>
      <c r="K24" s="450"/>
    </row>
    <row r="25" spans="1:11">
      <c r="A25" s="451" t="s">
        <v>1024</v>
      </c>
      <c r="B25" s="451" t="s">
        <v>1025</v>
      </c>
      <c r="C25" s="451" t="s">
        <v>1026</v>
      </c>
      <c r="D25" s="451" t="s">
        <v>1027</v>
      </c>
      <c r="E25" s="451" t="s">
        <v>1028</v>
      </c>
      <c r="F25" s="451"/>
      <c r="G25" s="451" t="s">
        <v>22882</v>
      </c>
      <c r="H25" s="451" t="s">
        <v>22883</v>
      </c>
      <c r="I25" s="451" t="s">
        <v>1027</v>
      </c>
      <c r="J25" s="451" t="s">
        <v>22892</v>
      </c>
      <c r="K25" s="451"/>
    </row>
    <row r="26" spans="1:11">
      <c r="A26" s="450" t="s">
        <v>21385</v>
      </c>
      <c r="B26" s="450" t="s">
        <v>21155</v>
      </c>
      <c r="C26" s="450" t="s">
        <v>974</v>
      </c>
      <c r="D26" s="450" t="s">
        <v>975</v>
      </c>
      <c r="E26" s="450"/>
      <c r="F26" s="450" t="s">
        <v>32398</v>
      </c>
      <c r="G26" s="450" t="s">
        <v>22877</v>
      </c>
      <c r="H26" s="450" t="s">
        <v>22878</v>
      </c>
      <c r="I26" s="450" t="s">
        <v>975</v>
      </c>
      <c r="J26" s="450" t="s">
        <v>32399</v>
      </c>
      <c r="K26" s="450"/>
    </row>
    <row r="27" spans="1:11">
      <c r="A27" s="451" t="s">
        <v>21385</v>
      </c>
      <c r="B27" s="451" t="s">
        <v>973</v>
      </c>
      <c r="C27" s="451" t="s">
        <v>974</v>
      </c>
      <c r="D27" s="451" t="s">
        <v>975</v>
      </c>
      <c r="E27" s="451" t="s">
        <v>976</v>
      </c>
      <c r="F27" s="451" t="s">
        <v>977</v>
      </c>
      <c r="G27" s="451" t="s">
        <v>22877</v>
      </c>
      <c r="H27" s="451" t="s">
        <v>22878</v>
      </c>
      <c r="I27" s="451" t="s">
        <v>975</v>
      </c>
      <c r="J27" s="451" t="s">
        <v>30085</v>
      </c>
      <c r="K27" s="451"/>
    </row>
    <row r="28" spans="1:11">
      <c r="A28" s="450" t="s">
        <v>21386</v>
      </c>
      <c r="B28" s="450" t="s">
        <v>22241</v>
      </c>
      <c r="C28" s="450" t="s">
        <v>979</v>
      </c>
      <c r="D28" s="450"/>
      <c r="E28" s="450"/>
      <c r="F28" s="450" t="s">
        <v>20089</v>
      </c>
      <c r="G28" s="450" t="s">
        <v>22877</v>
      </c>
      <c r="H28" s="450" t="s">
        <v>22878</v>
      </c>
      <c r="I28" s="450" t="s">
        <v>22893</v>
      </c>
      <c r="J28" s="450" t="s">
        <v>22894</v>
      </c>
      <c r="K28" s="450"/>
    </row>
    <row r="29" spans="1:11">
      <c r="A29" s="451" t="s">
        <v>21386</v>
      </c>
      <c r="B29" s="451" t="s">
        <v>978</v>
      </c>
      <c r="C29" s="451" t="s">
        <v>979</v>
      </c>
      <c r="D29" s="451"/>
      <c r="E29" s="451"/>
      <c r="F29" s="451" t="s">
        <v>20089</v>
      </c>
      <c r="G29" s="451" t="s">
        <v>22882</v>
      </c>
      <c r="H29" s="451" t="s">
        <v>22883</v>
      </c>
      <c r="I29" s="451"/>
      <c r="J29" s="451" t="s">
        <v>30086</v>
      </c>
      <c r="K29" s="451"/>
    </row>
    <row r="30" spans="1:11">
      <c r="A30" s="450" t="s">
        <v>32400</v>
      </c>
      <c r="B30" s="450" t="s">
        <v>980</v>
      </c>
      <c r="C30" s="450" t="s">
        <v>981</v>
      </c>
      <c r="D30" s="450" t="s">
        <v>982</v>
      </c>
      <c r="E30" s="450"/>
      <c r="F30" s="450"/>
      <c r="G30" s="450" t="s">
        <v>22877</v>
      </c>
      <c r="H30" s="450" t="s">
        <v>22878</v>
      </c>
      <c r="I30" s="450" t="s">
        <v>22895</v>
      </c>
      <c r="J30" s="450" t="s">
        <v>22896</v>
      </c>
      <c r="K30" s="450"/>
    </row>
    <row r="31" spans="1:11">
      <c r="A31" s="451" t="s">
        <v>21387</v>
      </c>
      <c r="B31" s="451" t="s">
        <v>980</v>
      </c>
      <c r="C31" s="451" t="s">
        <v>981</v>
      </c>
      <c r="D31" s="451" t="s">
        <v>982</v>
      </c>
      <c r="E31" s="451" t="s">
        <v>983</v>
      </c>
      <c r="F31" s="451"/>
      <c r="G31" s="451" t="s">
        <v>22877</v>
      </c>
      <c r="H31" s="451" t="s">
        <v>22878</v>
      </c>
      <c r="I31" s="451" t="s">
        <v>22895</v>
      </c>
      <c r="J31" s="451" t="s">
        <v>22896</v>
      </c>
      <c r="K31" s="451"/>
    </row>
    <row r="32" spans="1:11">
      <c r="A32" s="450" t="s">
        <v>21388</v>
      </c>
      <c r="B32" s="450" t="s">
        <v>984</v>
      </c>
      <c r="C32" s="450" t="s">
        <v>985</v>
      </c>
      <c r="D32" s="450" t="s">
        <v>986</v>
      </c>
      <c r="E32" s="450"/>
      <c r="F32" s="450"/>
      <c r="G32" s="450" t="s">
        <v>22877</v>
      </c>
      <c r="H32" s="450" t="s">
        <v>22878</v>
      </c>
      <c r="I32" s="450" t="s">
        <v>22897</v>
      </c>
      <c r="J32" s="450" t="s">
        <v>22898</v>
      </c>
      <c r="K32" s="450"/>
    </row>
    <row r="33" spans="1:11">
      <c r="A33" s="451" t="s">
        <v>21389</v>
      </c>
      <c r="B33" s="451" t="s">
        <v>987</v>
      </c>
      <c r="C33" s="451" t="s">
        <v>988</v>
      </c>
      <c r="D33" s="451"/>
      <c r="E33" s="451"/>
      <c r="F33" s="451"/>
      <c r="G33" s="451" t="s">
        <v>22877</v>
      </c>
      <c r="H33" s="451" t="s">
        <v>22878</v>
      </c>
      <c r="I33" s="451" t="s">
        <v>22899</v>
      </c>
      <c r="J33" s="451" t="s">
        <v>22900</v>
      </c>
      <c r="K33" s="451"/>
    </row>
    <row r="34" spans="1:11">
      <c r="A34" s="450" t="s">
        <v>30087</v>
      </c>
      <c r="B34" s="450" t="s">
        <v>1030</v>
      </c>
      <c r="C34" s="450" t="s">
        <v>1031</v>
      </c>
      <c r="D34" s="450" t="s">
        <v>1032</v>
      </c>
      <c r="E34" s="450"/>
      <c r="F34" s="450"/>
      <c r="G34" s="450" t="s">
        <v>22877</v>
      </c>
      <c r="H34" s="450" t="s">
        <v>22878</v>
      </c>
      <c r="I34" s="450" t="s">
        <v>1032</v>
      </c>
      <c r="J34" s="450" t="s">
        <v>22901</v>
      </c>
      <c r="K34" s="450"/>
    </row>
    <row r="35" spans="1:11">
      <c r="A35" s="451" t="s">
        <v>30088</v>
      </c>
      <c r="B35" s="451"/>
      <c r="C35" s="451" t="s">
        <v>1035</v>
      </c>
      <c r="D35" s="451" t="s">
        <v>1036</v>
      </c>
      <c r="E35" s="451"/>
      <c r="F35" s="451"/>
      <c r="G35" s="451" t="s">
        <v>22877</v>
      </c>
      <c r="H35" s="451" t="s">
        <v>22878</v>
      </c>
      <c r="I35" s="451" t="s">
        <v>1036</v>
      </c>
      <c r="J35" s="451" t="s">
        <v>22902</v>
      </c>
      <c r="K35" s="451"/>
    </row>
    <row r="36" spans="1:11">
      <c r="A36" s="450" t="s">
        <v>1029</v>
      </c>
      <c r="B36" s="450" t="s">
        <v>1030</v>
      </c>
      <c r="C36" s="450" t="s">
        <v>1031</v>
      </c>
      <c r="D36" s="450" t="s">
        <v>1032</v>
      </c>
      <c r="E36" s="450" t="s">
        <v>1033</v>
      </c>
      <c r="F36" s="450"/>
      <c r="G36" s="450" t="s">
        <v>22877</v>
      </c>
      <c r="H36" s="450" t="s">
        <v>22878</v>
      </c>
      <c r="I36" s="450" t="s">
        <v>25333</v>
      </c>
      <c r="J36" s="450" t="s">
        <v>30089</v>
      </c>
      <c r="K36" s="450"/>
    </row>
    <row r="37" spans="1:11">
      <c r="A37" s="451" t="s">
        <v>1034</v>
      </c>
      <c r="B37" s="451"/>
      <c r="C37" s="451" t="s">
        <v>1035</v>
      </c>
      <c r="D37" s="451" t="s">
        <v>1036</v>
      </c>
      <c r="E37" s="451" t="s">
        <v>1037</v>
      </c>
      <c r="F37" s="451"/>
      <c r="G37" s="451" t="s">
        <v>22877</v>
      </c>
      <c r="H37" s="451" t="s">
        <v>22878</v>
      </c>
      <c r="I37" s="451" t="s">
        <v>1036</v>
      </c>
      <c r="J37" s="451" t="s">
        <v>22902</v>
      </c>
      <c r="K37" s="451"/>
    </row>
    <row r="38" spans="1:11">
      <c r="A38" s="450" t="s">
        <v>21390</v>
      </c>
      <c r="B38" s="450" t="s">
        <v>989</v>
      </c>
      <c r="C38" s="450" t="s">
        <v>990</v>
      </c>
      <c r="D38" s="450" t="s">
        <v>991</v>
      </c>
      <c r="E38" s="450"/>
      <c r="F38" s="450"/>
      <c r="G38" s="450" t="s">
        <v>22882</v>
      </c>
      <c r="H38" s="450" t="s">
        <v>22883</v>
      </c>
      <c r="I38" s="450" t="s">
        <v>991</v>
      </c>
      <c r="J38" s="450" t="s">
        <v>32401</v>
      </c>
      <c r="K38" s="450"/>
    </row>
    <row r="39" spans="1:11">
      <c r="A39" s="451" t="s">
        <v>30090</v>
      </c>
      <c r="B39" s="451" t="s">
        <v>989</v>
      </c>
      <c r="C39" s="451" t="s">
        <v>990</v>
      </c>
      <c r="D39" s="451" t="s">
        <v>991</v>
      </c>
      <c r="E39" s="451"/>
      <c r="F39" s="451"/>
      <c r="G39" s="451" t="s">
        <v>30091</v>
      </c>
      <c r="H39" s="451" t="s">
        <v>22878</v>
      </c>
      <c r="I39" s="451" t="s">
        <v>991</v>
      </c>
      <c r="J39" s="451" t="s">
        <v>989</v>
      </c>
      <c r="K39" s="451" t="s">
        <v>30092</v>
      </c>
    </row>
    <row r="40" spans="1:11">
      <c r="A40" s="450" t="s">
        <v>22242</v>
      </c>
      <c r="B40" s="450" t="s">
        <v>22243</v>
      </c>
      <c r="C40" s="450" t="s">
        <v>22244</v>
      </c>
      <c r="D40" s="450"/>
      <c r="E40" s="450"/>
      <c r="F40" s="450"/>
      <c r="G40" s="450" t="s">
        <v>22877</v>
      </c>
      <c r="H40" s="450" t="s">
        <v>22878</v>
      </c>
      <c r="I40" s="450" t="s">
        <v>22903</v>
      </c>
      <c r="J40" s="450" t="s">
        <v>22904</v>
      </c>
      <c r="K40" s="450"/>
    </row>
    <row r="41" spans="1:11">
      <c r="A41" s="451" t="s">
        <v>30093</v>
      </c>
      <c r="B41" s="451" t="s">
        <v>22245</v>
      </c>
      <c r="C41" s="451" t="s">
        <v>1039</v>
      </c>
      <c r="D41" s="451" t="s">
        <v>1040</v>
      </c>
      <c r="E41" s="451"/>
      <c r="F41" s="451" t="s">
        <v>1041</v>
      </c>
      <c r="G41" s="451" t="s">
        <v>22877</v>
      </c>
      <c r="H41" s="451" t="s">
        <v>22878</v>
      </c>
      <c r="I41" s="451" t="s">
        <v>22905</v>
      </c>
      <c r="J41" s="451" t="s">
        <v>22906</v>
      </c>
      <c r="K41" s="451"/>
    </row>
    <row r="42" spans="1:11">
      <c r="A42" s="450" t="s">
        <v>21393</v>
      </c>
      <c r="B42" s="450" t="s">
        <v>1038</v>
      </c>
      <c r="C42" s="450" t="s">
        <v>1039</v>
      </c>
      <c r="D42" s="450" t="s">
        <v>1040</v>
      </c>
      <c r="E42" s="450"/>
      <c r="F42" s="450" t="s">
        <v>1041</v>
      </c>
      <c r="G42" s="450" t="s">
        <v>22877</v>
      </c>
      <c r="H42" s="450" t="s">
        <v>22878</v>
      </c>
      <c r="I42" s="450" t="s">
        <v>32402</v>
      </c>
      <c r="J42" s="450" t="s">
        <v>32403</v>
      </c>
      <c r="K42" s="450"/>
    </row>
    <row r="43" spans="1:11">
      <c r="A43" s="451" t="s">
        <v>32404</v>
      </c>
      <c r="B43" s="451" t="s">
        <v>1043</v>
      </c>
      <c r="C43" s="451" t="s">
        <v>1044</v>
      </c>
      <c r="D43" s="451" t="s">
        <v>1045</v>
      </c>
      <c r="E43" s="451"/>
      <c r="F43" s="451"/>
      <c r="G43" s="451" t="s">
        <v>22877</v>
      </c>
      <c r="H43" s="451" t="s">
        <v>22878</v>
      </c>
      <c r="I43" s="451" t="s">
        <v>1045</v>
      </c>
      <c r="J43" s="451" t="s">
        <v>32405</v>
      </c>
      <c r="K43" s="451"/>
    </row>
    <row r="44" spans="1:11">
      <c r="A44" s="450" t="s">
        <v>32406</v>
      </c>
      <c r="B44" s="450" t="s">
        <v>1048</v>
      </c>
      <c r="C44" s="450" t="s">
        <v>1049</v>
      </c>
      <c r="D44" s="450" t="s">
        <v>1050</v>
      </c>
      <c r="E44" s="450"/>
      <c r="F44" s="450"/>
      <c r="G44" s="450" t="s">
        <v>22877</v>
      </c>
      <c r="H44" s="450" t="s">
        <v>22878</v>
      </c>
      <c r="I44" s="450" t="s">
        <v>32407</v>
      </c>
      <c r="J44" s="450" t="s">
        <v>32408</v>
      </c>
      <c r="K44" s="450"/>
    </row>
    <row r="45" spans="1:11">
      <c r="A45" s="451" t="s">
        <v>1042</v>
      </c>
      <c r="B45" s="451" t="s">
        <v>1043</v>
      </c>
      <c r="C45" s="451" t="s">
        <v>1044</v>
      </c>
      <c r="D45" s="451" t="s">
        <v>1045</v>
      </c>
      <c r="E45" s="451" t="s">
        <v>1046</v>
      </c>
      <c r="F45" s="451"/>
      <c r="G45" s="451" t="s">
        <v>22877</v>
      </c>
      <c r="H45" s="451" t="s">
        <v>22878</v>
      </c>
      <c r="I45" s="451" t="s">
        <v>30094</v>
      </c>
      <c r="J45" s="451" t="s">
        <v>30095</v>
      </c>
      <c r="K45" s="451"/>
    </row>
    <row r="46" spans="1:11">
      <c r="A46" s="450" t="s">
        <v>1047</v>
      </c>
      <c r="B46" s="450" t="s">
        <v>1048</v>
      </c>
      <c r="C46" s="450" t="s">
        <v>1049</v>
      </c>
      <c r="D46" s="450" t="s">
        <v>1050</v>
      </c>
      <c r="E46" s="450" t="s">
        <v>1051</v>
      </c>
      <c r="F46" s="450"/>
      <c r="G46" s="450" t="s">
        <v>22877</v>
      </c>
      <c r="H46" s="450" t="s">
        <v>22878</v>
      </c>
      <c r="I46" s="450" t="s">
        <v>30096</v>
      </c>
      <c r="J46" s="450" t="s">
        <v>30097</v>
      </c>
      <c r="K46" s="450"/>
    </row>
    <row r="47" spans="1:11">
      <c r="A47" s="451" t="s">
        <v>32409</v>
      </c>
      <c r="B47" s="451" t="s">
        <v>1052</v>
      </c>
      <c r="C47" s="451" t="s">
        <v>1053</v>
      </c>
      <c r="D47" s="451" t="s">
        <v>1054</v>
      </c>
      <c r="E47" s="451"/>
      <c r="F47" s="451"/>
      <c r="G47" s="451" t="s">
        <v>22882</v>
      </c>
      <c r="H47" s="451" t="s">
        <v>22883</v>
      </c>
      <c r="I47" s="451"/>
      <c r="J47" s="451" t="s">
        <v>32410</v>
      </c>
      <c r="K47" s="451"/>
    </row>
    <row r="48" spans="1:11">
      <c r="A48" s="450" t="s">
        <v>21394</v>
      </c>
      <c r="B48" s="450" t="s">
        <v>1052</v>
      </c>
      <c r="C48" s="450" t="s">
        <v>1053</v>
      </c>
      <c r="D48" s="450" t="s">
        <v>1054</v>
      </c>
      <c r="E48" s="450"/>
      <c r="F48" s="450"/>
      <c r="G48" s="450" t="s">
        <v>22882</v>
      </c>
      <c r="H48" s="450" t="s">
        <v>22883</v>
      </c>
      <c r="I48" s="450" t="s">
        <v>1054</v>
      </c>
      <c r="J48" s="450" t="s">
        <v>30098</v>
      </c>
      <c r="K48" s="450"/>
    </row>
    <row r="49" spans="1:11">
      <c r="A49" s="451" t="s">
        <v>32411</v>
      </c>
      <c r="B49" s="451" t="s">
        <v>1056</v>
      </c>
      <c r="C49" s="451" t="s">
        <v>1057</v>
      </c>
      <c r="D49" s="451" t="s">
        <v>1058</v>
      </c>
      <c r="E49" s="451"/>
      <c r="F49" s="451"/>
      <c r="G49" s="451" t="s">
        <v>22877</v>
      </c>
      <c r="H49" s="451" t="s">
        <v>22878</v>
      </c>
      <c r="I49" s="451" t="s">
        <v>1058</v>
      </c>
      <c r="J49" s="451" t="s">
        <v>32412</v>
      </c>
      <c r="K49" s="451"/>
    </row>
    <row r="50" spans="1:11">
      <c r="A50" s="450" t="s">
        <v>1055</v>
      </c>
      <c r="B50" s="450" t="s">
        <v>1056</v>
      </c>
      <c r="C50" s="450" t="s">
        <v>1057</v>
      </c>
      <c r="D50" s="450" t="s">
        <v>1058</v>
      </c>
      <c r="E50" s="450" t="s">
        <v>1059</v>
      </c>
      <c r="F50" s="450"/>
      <c r="G50" s="450" t="s">
        <v>22877</v>
      </c>
      <c r="H50" s="450" t="s">
        <v>22878</v>
      </c>
      <c r="I50" s="450" t="s">
        <v>1058</v>
      </c>
      <c r="J50" s="450" t="s">
        <v>30099</v>
      </c>
      <c r="K50" s="450"/>
    </row>
    <row r="51" spans="1:11">
      <c r="A51" s="451" t="s">
        <v>21154</v>
      </c>
      <c r="B51" s="451" t="s">
        <v>21155</v>
      </c>
      <c r="C51" s="451" t="s">
        <v>974</v>
      </c>
      <c r="D51" s="451" t="s">
        <v>975</v>
      </c>
      <c r="E51" s="451"/>
      <c r="F51" s="451" t="s">
        <v>21132</v>
      </c>
      <c r="G51" s="451" t="s">
        <v>22907</v>
      </c>
      <c r="H51" s="451" t="s">
        <v>22878</v>
      </c>
      <c r="I51" s="451" t="s">
        <v>975</v>
      </c>
      <c r="J51" s="451" t="s">
        <v>21155</v>
      </c>
      <c r="K51" s="451"/>
    </row>
    <row r="52" spans="1:11">
      <c r="A52" s="450" t="s">
        <v>1060</v>
      </c>
      <c r="B52" s="450" t="s">
        <v>32413</v>
      </c>
      <c r="C52" s="450" t="s">
        <v>1062</v>
      </c>
      <c r="D52" s="450"/>
      <c r="E52" s="450"/>
      <c r="F52" s="450" t="s">
        <v>1063</v>
      </c>
      <c r="G52" s="450" t="s">
        <v>22882</v>
      </c>
      <c r="H52" s="450" t="s">
        <v>22883</v>
      </c>
      <c r="I52" s="450"/>
      <c r="J52" s="450" t="s">
        <v>32414</v>
      </c>
      <c r="K52" s="450"/>
    </row>
    <row r="53" spans="1:11">
      <c r="A53" s="451" t="s">
        <v>1060</v>
      </c>
      <c r="B53" s="451" t="s">
        <v>1061</v>
      </c>
      <c r="C53" s="451" t="s">
        <v>1062</v>
      </c>
      <c r="D53" s="451"/>
      <c r="E53" s="451"/>
      <c r="F53" s="451" t="s">
        <v>1063</v>
      </c>
      <c r="G53" s="451" t="s">
        <v>22882</v>
      </c>
      <c r="H53" s="451" t="s">
        <v>22883</v>
      </c>
      <c r="I53" s="451"/>
      <c r="J53" s="451" t="s">
        <v>32415</v>
      </c>
      <c r="K53" s="451"/>
    </row>
    <row r="54" spans="1:11">
      <c r="A54" s="450" t="s">
        <v>32416</v>
      </c>
      <c r="B54" s="450" t="s">
        <v>1065</v>
      </c>
      <c r="C54" s="450" t="s">
        <v>1066</v>
      </c>
      <c r="D54" s="450"/>
      <c r="E54" s="450"/>
      <c r="F54" s="450" t="s">
        <v>21395</v>
      </c>
      <c r="G54" s="450" t="s">
        <v>22877</v>
      </c>
      <c r="H54" s="450" t="s">
        <v>22878</v>
      </c>
      <c r="I54" s="450"/>
      <c r="J54" s="450" t="s">
        <v>32417</v>
      </c>
      <c r="K54" s="450"/>
    </row>
    <row r="55" spans="1:11">
      <c r="A55" s="451" t="s">
        <v>1064</v>
      </c>
      <c r="B55" s="451" t="s">
        <v>1065</v>
      </c>
      <c r="C55" s="451" t="s">
        <v>1066</v>
      </c>
      <c r="D55" s="451"/>
      <c r="E55" s="451"/>
      <c r="F55" s="451" t="s">
        <v>21395</v>
      </c>
      <c r="G55" s="451" t="s">
        <v>22877</v>
      </c>
      <c r="H55" s="451" t="s">
        <v>22878</v>
      </c>
      <c r="I55" s="451" t="s">
        <v>30100</v>
      </c>
      <c r="J55" s="451" t="s">
        <v>30101</v>
      </c>
      <c r="K55" s="451"/>
    </row>
    <row r="56" spans="1:11">
      <c r="A56" s="450" t="s">
        <v>1067</v>
      </c>
      <c r="B56" s="450" t="s">
        <v>32418</v>
      </c>
      <c r="C56" s="450" t="s">
        <v>1069</v>
      </c>
      <c r="D56" s="450" t="s">
        <v>1070</v>
      </c>
      <c r="E56" s="450"/>
      <c r="F56" s="450"/>
      <c r="G56" s="450" t="s">
        <v>22882</v>
      </c>
      <c r="H56" s="450" t="s">
        <v>22883</v>
      </c>
      <c r="I56" s="450" t="s">
        <v>22908</v>
      </c>
      <c r="J56" s="450" t="s">
        <v>32419</v>
      </c>
      <c r="K56" s="450"/>
    </row>
    <row r="57" spans="1:11">
      <c r="A57" s="451" t="s">
        <v>1067</v>
      </c>
      <c r="B57" s="451" t="s">
        <v>1068</v>
      </c>
      <c r="C57" s="451" t="s">
        <v>1069</v>
      </c>
      <c r="D57" s="451" t="s">
        <v>1070</v>
      </c>
      <c r="E57" s="451" t="s">
        <v>1071</v>
      </c>
      <c r="F57" s="451"/>
      <c r="G57" s="451" t="s">
        <v>22877</v>
      </c>
      <c r="H57" s="451" t="s">
        <v>22878</v>
      </c>
      <c r="I57" s="451" t="s">
        <v>22908</v>
      </c>
      <c r="J57" s="451" t="s">
        <v>30102</v>
      </c>
      <c r="K57" s="451"/>
    </row>
    <row r="58" spans="1:11">
      <c r="A58" s="450" t="s">
        <v>32420</v>
      </c>
      <c r="B58" s="450"/>
      <c r="C58" s="450" t="s">
        <v>1073</v>
      </c>
      <c r="D58" s="450"/>
      <c r="E58" s="450"/>
      <c r="F58" s="450"/>
      <c r="G58" s="450" t="s">
        <v>22882</v>
      </c>
      <c r="H58" s="450" t="s">
        <v>22883</v>
      </c>
      <c r="I58" s="450"/>
      <c r="J58" s="450"/>
      <c r="K58" s="450"/>
    </row>
    <row r="59" spans="1:11">
      <c r="A59" s="451" t="s">
        <v>1072</v>
      </c>
      <c r="B59" s="451"/>
      <c r="C59" s="451" t="s">
        <v>1073</v>
      </c>
      <c r="D59" s="451"/>
      <c r="E59" s="451"/>
      <c r="F59" s="451"/>
      <c r="G59" s="451" t="s">
        <v>30103</v>
      </c>
      <c r="H59" s="451" t="s">
        <v>22883</v>
      </c>
      <c r="I59" s="451" t="s">
        <v>30104</v>
      </c>
      <c r="J59" s="451" t="s">
        <v>30105</v>
      </c>
      <c r="K59" s="451" t="s">
        <v>30106</v>
      </c>
    </row>
    <row r="60" spans="1:11">
      <c r="A60" s="450" t="s">
        <v>22246</v>
      </c>
      <c r="B60" s="450" t="s">
        <v>22247</v>
      </c>
      <c r="C60" s="450" t="s">
        <v>22248</v>
      </c>
      <c r="D60" s="450"/>
      <c r="E60" s="450"/>
      <c r="F60" s="450"/>
      <c r="G60" s="450" t="s">
        <v>22877</v>
      </c>
      <c r="H60" s="450" t="s">
        <v>22878</v>
      </c>
      <c r="I60" s="450" t="s">
        <v>22909</v>
      </c>
      <c r="J60" s="450" t="s">
        <v>22910</v>
      </c>
      <c r="K60" s="450"/>
    </row>
    <row r="61" spans="1:11">
      <c r="A61" s="451" t="s">
        <v>1074</v>
      </c>
      <c r="B61" s="451" t="s">
        <v>1075</v>
      </c>
      <c r="C61" s="451" t="s">
        <v>1076</v>
      </c>
      <c r="D61" s="451" t="s">
        <v>1077</v>
      </c>
      <c r="E61" s="451"/>
      <c r="F61" s="451"/>
      <c r="G61" s="451" t="s">
        <v>22877</v>
      </c>
      <c r="H61" s="451" t="s">
        <v>22878</v>
      </c>
      <c r="I61" s="451" t="s">
        <v>1077</v>
      </c>
      <c r="J61" s="451" t="s">
        <v>32421</v>
      </c>
      <c r="K61" s="451"/>
    </row>
    <row r="62" spans="1:11">
      <c r="A62" s="450" t="s">
        <v>1074</v>
      </c>
      <c r="B62" s="450" t="s">
        <v>1075</v>
      </c>
      <c r="C62" s="450" t="s">
        <v>1076</v>
      </c>
      <c r="D62" s="450" t="s">
        <v>1077</v>
      </c>
      <c r="E62" s="450" t="s">
        <v>1078</v>
      </c>
      <c r="F62" s="450"/>
      <c r="G62" s="450" t="s">
        <v>22877</v>
      </c>
      <c r="H62" s="450" t="s">
        <v>22878</v>
      </c>
      <c r="I62" s="450" t="s">
        <v>1077</v>
      </c>
      <c r="J62" s="450" t="s">
        <v>30107</v>
      </c>
      <c r="K62" s="450"/>
    </row>
    <row r="63" spans="1:11">
      <c r="A63" s="451" t="s">
        <v>1079</v>
      </c>
      <c r="B63" s="451" t="s">
        <v>1080</v>
      </c>
      <c r="C63" s="451" t="s">
        <v>1081</v>
      </c>
      <c r="D63" s="451" t="s">
        <v>1082</v>
      </c>
      <c r="E63" s="451"/>
      <c r="F63" s="451"/>
      <c r="G63" s="451" t="s">
        <v>22877</v>
      </c>
      <c r="H63" s="451" t="s">
        <v>22878</v>
      </c>
      <c r="I63" s="451" t="s">
        <v>22911</v>
      </c>
      <c r="J63" s="451" t="s">
        <v>22912</v>
      </c>
      <c r="K63" s="451"/>
    </row>
    <row r="64" spans="1:11">
      <c r="A64" s="450" t="s">
        <v>21396</v>
      </c>
      <c r="B64" s="450" t="s">
        <v>20090</v>
      </c>
      <c r="C64" s="450" t="s">
        <v>20091</v>
      </c>
      <c r="D64" s="450"/>
      <c r="E64" s="450"/>
      <c r="F64" s="450"/>
      <c r="G64" s="450" t="s">
        <v>22877</v>
      </c>
      <c r="H64" s="450" t="s">
        <v>22878</v>
      </c>
      <c r="I64" s="450" t="s">
        <v>22913</v>
      </c>
      <c r="J64" s="450" t="s">
        <v>22914</v>
      </c>
      <c r="K64" s="450"/>
    </row>
    <row r="65" spans="1:11">
      <c r="A65" s="451" t="s">
        <v>22249</v>
      </c>
      <c r="B65" s="451" t="s">
        <v>22250</v>
      </c>
      <c r="C65" s="451" t="s">
        <v>22251</v>
      </c>
      <c r="D65" s="451"/>
      <c r="E65" s="451"/>
      <c r="F65" s="451"/>
      <c r="G65" s="451" t="s">
        <v>22877</v>
      </c>
      <c r="H65" s="451" t="s">
        <v>22878</v>
      </c>
      <c r="I65" s="451" t="s">
        <v>22915</v>
      </c>
      <c r="J65" s="451" t="s">
        <v>22916</v>
      </c>
      <c r="K65" s="451"/>
    </row>
    <row r="66" spans="1:11">
      <c r="A66" s="450" t="s">
        <v>32422</v>
      </c>
      <c r="B66" s="450" t="s">
        <v>1084</v>
      </c>
      <c r="C66" s="450" t="s">
        <v>1085</v>
      </c>
      <c r="D66" s="450" t="s">
        <v>1086</v>
      </c>
      <c r="E66" s="450"/>
      <c r="F66" s="450"/>
      <c r="G66" s="450" t="s">
        <v>22882</v>
      </c>
      <c r="H66" s="450" t="s">
        <v>22883</v>
      </c>
      <c r="I66" s="450"/>
      <c r="J66" s="450" t="s">
        <v>32423</v>
      </c>
      <c r="K66" s="450"/>
    </row>
    <row r="67" spans="1:11">
      <c r="A67" s="451" t="s">
        <v>1083</v>
      </c>
      <c r="B67" s="451" t="s">
        <v>1084</v>
      </c>
      <c r="C67" s="451" t="s">
        <v>1085</v>
      </c>
      <c r="D67" s="451" t="s">
        <v>1086</v>
      </c>
      <c r="E67" s="451"/>
      <c r="F67" s="451"/>
      <c r="G67" s="451" t="s">
        <v>22882</v>
      </c>
      <c r="H67" s="451" t="s">
        <v>22883</v>
      </c>
      <c r="I67" s="451" t="s">
        <v>1086</v>
      </c>
      <c r="J67" s="451" t="s">
        <v>30108</v>
      </c>
      <c r="K67" s="451"/>
    </row>
    <row r="68" spans="1:11">
      <c r="A68" s="450" t="s">
        <v>1087</v>
      </c>
      <c r="B68" s="450" t="s">
        <v>1088</v>
      </c>
      <c r="C68" s="450" t="s">
        <v>1089</v>
      </c>
      <c r="D68" s="450" t="s">
        <v>1090</v>
      </c>
      <c r="E68" s="450"/>
      <c r="F68" s="450"/>
      <c r="G68" s="450" t="s">
        <v>22882</v>
      </c>
      <c r="H68" s="450" t="s">
        <v>22883</v>
      </c>
      <c r="I68" s="450"/>
      <c r="J68" s="450"/>
      <c r="K68" s="450"/>
    </row>
    <row r="69" spans="1:11">
      <c r="A69" s="451" t="s">
        <v>32424</v>
      </c>
      <c r="B69" s="451" t="s">
        <v>1092</v>
      </c>
      <c r="C69" s="451" t="s">
        <v>1093</v>
      </c>
      <c r="D69" s="451" t="s">
        <v>1094</v>
      </c>
      <c r="E69" s="451"/>
      <c r="F69" s="451"/>
      <c r="G69" s="451" t="s">
        <v>22882</v>
      </c>
      <c r="H69" s="451" t="s">
        <v>22883</v>
      </c>
      <c r="I69" s="451"/>
      <c r="J69" s="451" t="s">
        <v>32425</v>
      </c>
      <c r="K69" s="451"/>
    </row>
    <row r="70" spans="1:11">
      <c r="A70" s="450" t="s">
        <v>1091</v>
      </c>
      <c r="B70" s="450" t="s">
        <v>1092</v>
      </c>
      <c r="C70" s="450" t="s">
        <v>1093</v>
      </c>
      <c r="D70" s="450" t="s">
        <v>1094</v>
      </c>
      <c r="E70" s="450"/>
      <c r="F70" s="450"/>
      <c r="G70" s="450" t="s">
        <v>22882</v>
      </c>
      <c r="H70" s="450" t="s">
        <v>22883</v>
      </c>
      <c r="I70" s="450" t="s">
        <v>1094</v>
      </c>
      <c r="J70" s="450" t="s">
        <v>30109</v>
      </c>
      <c r="K70" s="450"/>
    </row>
    <row r="71" spans="1:11">
      <c r="A71" s="451" t="s">
        <v>1095</v>
      </c>
      <c r="B71" s="451" t="s">
        <v>1096</v>
      </c>
      <c r="C71" s="451" t="s">
        <v>1097</v>
      </c>
      <c r="D71" s="451" t="s">
        <v>1098</v>
      </c>
      <c r="E71" s="451"/>
      <c r="F71" s="451"/>
      <c r="G71" s="451" t="s">
        <v>22877</v>
      </c>
      <c r="H71" s="451" t="s">
        <v>22878</v>
      </c>
      <c r="I71" s="451" t="s">
        <v>22917</v>
      </c>
      <c r="J71" s="451" t="s">
        <v>22918</v>
      </c>
      <c r="K71" s="451"/>
    </row>
    <row r="72" spans="1:11">
      <c r="A72" s="450" t="s">
        <v>1099</v>
      </c>
      <c r="B72" s="450"/>
      <c r="C72" s="450" t="s">
        <v>1100</v>
      </c>
      <c r="D72" s="450"/>
      <c r="E72" s="450"/>
      <c r="F72" s="450"/>
      <c r="G72" s="450" t="s">
        <v>22877</v>
      </c>
      <c r="H72" s="450" t="s">
        <v>22878</v>
      </c>
      <c r="I72" s="450" t="s">
        <v>32426</v>
      </c>
      <c r="J72" s="450" t="s">
        <v>32427</v>
      </c>
      <c r="K72" s="450"/>
    </row>
    <row r="73" spans="1:11">
      <c r="A73" s="451" t="s">
        <v>1101</v>
      </c>
      <c r="B73" s="451"/>
      <c r="C73" s="451" t="s">
        <v>1102</v>
      </c>
      <c r="D73" s="451"/>
      <c r="E73" s="451"/>
      <c r="F73" s="451"/>
      <c r="G73" s="451" t="s">
        <v>22877</v>
      </c>
      <c r="H73" s="451" t="s">
        <v>22878</v>
      </c>
      <c r="I73" s="451" t="s">
        <v>22919</v>
      </c>
      <c r="J73" s="451" t="s">
        <v>22920</v>
      </c>
      <c r="K73" s="451"/>
    </row>
    <row r="74" spans="1:11">
      <c r="A74" s="450" t="s">
        <v>32428</v>
      </c>
      <c r="B74" s="450" t="s">
        <v>1103</v>
      </c>
      <c r="C74" s="450" t="s">
        <v>1104</v>
      </c>
      <c r="D74" s="450" t="s">
        <v>1105</v>
      </c>
      <c r="E74" s="450"/>
      <c r="F74" s="450"/>
      <c r="G74" s="450" t="s">
        <v>22882</v>
      </c>
      <c r="H74" s="450" t="s">
        <v>22883</v>
      </c>
      <c r="I74" s="450" t="s">
        <v>32429</v>
      </c>
      <c r="J74" s="450" t="s">
        <v>32430</v>
      </c>
      <c r="K74" s="450"/>
    </row>
    <row r="75" spans="1:11">
      <c r="A75" s="451" t="s">
        <v>21397</v>
      </c>
      <c r="B75" s="451" t="s">
        <v>1103</v>
      </c>
      <c r="C75" s="451" t="s">
        <v>1104</v>
      </c>
      <c r="D75" s="451" t="s">
        <v>1105</v>
      </c>
      <c r="E75" s="451"/>
      <c r="F75" s="451"/>
      <c r="G75" s="451" t="s">
        <v>22882</v>
      </c>
      <c r="H75" s="451" t="s">
        <v>22883</v>
      </c>
      <c r="I75" s="451" t="s">
        <v>30110</v>
      </c>
      <c r="J75" s="451" t="s">
        <v>30111</v>
      </c>
      <c r="K75" s="451"/>
    </row>
    <row r="76" spans="1:11">
      <c r="A76" s="450" t="s">
        <v>1106</v>
      </c>
      <c r="B76" s="450" t="s">
        <v>1107</v>
      </c>
      <c r="C76" s="450" t="s">
        <v>1108</v>
      </c>
      <c r="D76" s="450" t="s">
        <v>1109</v>
      </c>
      <c r="E76" s="450"/>
      <c r="F76" s="450"/>
      <c r="G76" s="450" t="s">
        <v>22877</v>
      </c>
      <c r="H76" s="450" t="s">
        <v>22878</v>
      </c>
      <c r="I76" s="450" t="s">
        <v>1109</v>
      </c>
      <c r="J76" s="450" t="s">
        <v>32431</v>
      </c>
      <c r="K76" s="450"/>
    </row>
    <row r="77" spans="1:11">
      <c r="A77" s="451" t="s">
        <v>22252</v>
      </c>
      <c r="B77" s="451" t="s">
        <v>1107</v>
      </c>
      <c r="C77" s="451" t="s">
        <v>1108</v>
      </c>
      <c r="D77" s="451" t="s">
        <v>1109</v>
      </c>
      <c r="E77" s="451"/>
      <c r="F77" s="451"/>
      <c r="G77" s="451" t="s">
        <v>22877</v>
      </c>
      <c r="H77" s="451" t="s">
        <v>22878</v>
      </c>
      <c r="I77" s="451" t="s">
        <v>22921</v>
      </c>
      <c r="J77" s="451" t="s">
        <v>22922</v>
      </c>
      <c r="K77" s="451"/>
    </row>
    <row r="78" spans="1:11">
      <c r="A78" s="450" t="s">
        <v>32432</v>
      </c>
      <c r="B78" s="450" t="s">
        <v>1111</v>
      </c>
      <c r="C78" s="450" t="s">
        <v>1112</v>
      </c>
      <c r="D78" s="450" t="s">
        <v>1113</v>
      </c>
      <c r="E78" s="450"/>
      <c r="F78" s="450"/>
      <c r="G78" s="450" t="s">
        <v>22877</v>
      </c>
      <c r="H78" s="450" t="s">
        <v>22878</v>
      </c>
      <c r="I78" s="450" t="s">
        <v>1113</v>
      </c>
      <c r="J78" s="450" t="s">
        <v>32433</v>
      </c>
      <c r="K78" s="450"/>
    </row>
    <row r="79" spans="1:11">
      <c r="A79" s="451" t="s">
        <v>1110</v>
      </c>
      <c r="B79" s="451" t="s">
        <v>1111</v>
      </c>
      <c r="C79" s="451" t="s">
        <v>1112</v>
      </c>
      <c r="D79" s="451" t="s">
        <v>1113</v>
      </c>
      <c r="E79" s="451"/>
      <c r="F79" s="451"/>
      <c r="G79" s="451" t="s">
        <v>22877</v>
      </c>
      <c r="H79" s="451" t="s">
        <v>22878</v>
      </c>
      <c r="I79" s="451" t="s">
        <v>1113</v>
      </c>
      <c r="J79" s="451" t="s">
        <v>30112</v>
      </c>
      <c r="K79" s="451"/>
    </row>
    <row r="80" spans="1:11">
      <c r="A80" s="450" t="s">
        <v>32434</v>
      </c>
      <c r="B80" s="450" t="s">
        <v>1115</v>
      </c>
      <c r="C80" s="450" t="s">
        <v>1116</v>
      </c>
      <c r="D80" s="450" t="s">
        <v>1117</v>
      </c>
      <c r="E80" s="450"/>
      <c r="F80" s="450"/>
      <c r="G80" s="450" t="s">
        <v>22877</v>
      </c>
      <c r="H80" s="450" t="s">
        <v>22878</v>
      </c>
      <c r="I80" s="450" t="s">
        <v>22923</v>
      </c>
      <c r="J80" s="450" t="s">
        <v>32435</v>
      </c>
      <c r="K80" s="450"/>
    </row>
    <row r="81" spans="1:11">
      <c r="A81" s="451" t="s">
        <v>1114</v>
      </c>
      <c r="B81" s="451" t="s">
        <v>1115</v>
      </c>
      <c r="C81" s="451" t="s">
        <v>1116</v>
      </c>
      <c r="D81" s="451" t="s">
        <v>1117</v>
      </c>
      <c r="E81" s="451"/>
      <c r="F81" s="451"/>
      <c r="G81" s="451" t="s">
        <v>22877</v>
      </c>
      <c r="H81" s="451" t="s">
        <v>22878</v>
      </c>
      <c r="I81" s="451" t="s">
        <v>22923</v>
      </c>
      <c r="J81" s="451" t="s">
        <v>30113</v>
      </c>
      <c r="K81" s="451"/>
    </row>
    <row r="82" spans="1:11">
      <c r="A82" s="450" t="s">
        <v>1118</v>
      </c>
      <c r="B82" s="450" t="s">
        <v>1119</v>
      </c>
      <c r="C82" s="450" t="s">
        <v>1120</v>
      </c>
      <c r="D82" s="450" t="s">
        <v>1121</v>
      </c>
      <c r="E82" s="450"/>
      <c r="F82" s="450"/>
      <c r="G82" s="450" t="s">
        <v>22882</v>
      </c>
      <c r="H82" s="450" t="s">
        <v>22883</v>
      </c>
      <c r="I82" s="450" t="s">
        <v>1121</v>
      </c>
      <c r="J82" s="450" t="s">
        <v>32436</v>
      </c>
      <c r="K82" s="450"/>
    </row>
    <row r="83" spans="1:11">
      <c r="A83" s="451" t="s">
        <v>22253</v>
      </c>
      <c r="B83" s="451" t="s">
        <v>1119</v>
      </c>
      <c r="C83" s="451" t="s">
        <v>1120</v>
      </c>
      <c r="D83" s="451" t="s">
        <v>1121</v>
      </c>
      <c r="E83" s="451"/>
      <c r="F83" s="451"/>
      <c r="G83" s="451" t="s">
        <v>22882</v>
      </c>
      <c r="H83" s="451" t="s">
        <v>22883</v>
      </c>
      <c r="I83" s="451"/>
      <c r="J83" s="451" t="s">
        <v>22924</v>
      </c>
      <c r="K83" s="451"/>
    </row>
    <row r="84" spans="1:11">
      <c r="A84" s="450" t="s">
        <v>32437</v>
      </c>
      <c r="B84" s="450" t="s">
        <v>1123</v>
      </c>
      <c r="C84" s="450" t="s">
        <v>1124</v>
      </c>
      <c r="D84" s="450"/>
      <c r="E84" s="450"/>
      <c r="F84" s="450"/>
      <c r="G84" s="450" t="s">
        <v>22877</v>
      </c>
      <c r="H84" s="450" t="s">
        <v>22878</v>
      </c>
      <c r="I84" s="450" t="s">
        <v>32438</v>
      </c>
      <c r="J84" s="450" t="s">
        <v>22925</v>
      </c>
      <c r="K84" s="450"/>
    </row>
    <row r="85" spans="1:11">
      <c r="A85" s="451" t="s">
        <v>1122</v>
      </c>
      <c r="B85" s="451" t="s">
        <v>1123</v>
      </c>
      <c r="C85" s="451" t="s">
        <v>1124</v>
      </c>
      <c r="D85" s="451"/>
      <c r="E85" s="451"/>
      <c r="F85" s="451"/>
      <c r="G85" s="451" t="s">
        <v>22877</v>
      </c>
      <c r="H85" s="451" t="s">
        <v>22878</v>
      </c>
      <c r="I85" s="451" t="s">
        <v>28618</v>
      </c>
      <c r="J85" s="451" t="s">
        <v>22925</v>
      </c>
      <c r="K85" s="451"/>
    </row>
    <row r="86" spans="1:11">
      <c r="A86" s="450" t="s">
        <v>1125</v>
      </c>
      <c r="B86" s="450"/>
      <c r="C86" s="450" t="s">
        <v>1126</v>
      </c>
      <c r="D86" s="450"/>
      <c r="E86" s="450"/>
      <c r="F86" s="450"/>
      <c r="G86" s="450" t="s">
        <v>22882</v>
      </c>
      <c r="H86" s="450" t="s">
        <v>22883</v>
      </c>
      <c r="I86" s="450"/>
      <c r="J86" s="450"/>
      <c r="K86" s="450"/>
    </row>
    <row r="87" spans="1:11">
      <c r="A87" s="451" t="s">
        <v>32439</v>
      </c>
      <c r="B87" s="451" t="s">
        <v>1128</v>
      </c>
      <c r="C87" s="451" t="s">
        <v>1129</v>
      </c>
      <c r="D87" s="451" t="s">
        <v>1130</v>
      </c>
      <c r="E87" s="451"/>
      <c r="F87" s="451"/>
      <c r="G87" s="451" t="s">
        <v>22877</v>
      </c>
      <c r="H87" s="451" t="s">
        <v>22878</v>
      </c>
      <c r="I87" s="451" t="s">
        <v>32440</v>
      </c>
      <c r="J87" s="451" t="s">
        <v>32441</v>
      </c>
      <c r="K87" s="451"/>
    </row>
    <row r="88" spans="1:11">
      <c r="A88" s="450" t="s">
        <v>1127</v>
      </c>
      <c r="B88" s="450" t="s">
        <v>1128</v>
      </c>
      <c r="C88" s="450" t="s">
        <v>1129</v>
      </c>
      <c r="D88" s="450" t="s">
        <v>1130</v>
      </c>
      <c r="E88" s="450" t="s">
        <v>1131</v>
      </c>
      <c r="F88" s="450"/>
      <c r="G88" s="450" t="s">
        <v>22877</v>
      </c>
      <c r="H88" s="450" t="s">
        <v>22878</v>
      </c>
      <c r="I88" s="450" t="s">
        <v>1130</v>
      </c>
      <c r="J88" s="450" t="s">
        <v>30114</v>
      </c>
      <c r="K88" s="450"/>
    </row>
    <row r="89" spans="1:11">
      <c r="A89" s="451" t="s">
        <v>1132</v>
      </c>
      <c r="B89" s="451" t="s">
        <v>1133</v>
      </c>
      <c r="C89" s="451" t="s">
        <v>1134</v>
      </c>
      <c r="D89" s="451" t="s">
        <v>1135</v>
      </c>
      <c r="E89" s="451"/>
      <c r="F89" s="451"/>
      <c r="G89" s="451" t="s">
        <v>22882</v>
      </c>
      <c r="H89" s="451" t="s">
        <v>22883</v>
      </c>
      <c r="I89" s="451" t="s">
        <v>1135</v>
      </c>
      <c r="J89" s="451" t="s">
        <v>22926</v>
      </c>
      <c r="K89" s="451"/>
    </row>
    <row r="90" spans="1:11">
      <c r="A90" s="450" t="s">
        <v>32442</v>
      </c>
      <c r="B90" s="450" t="s">
        <v>1137</v>
      </c>
      <c r="C90" s="450" t="s">
        <v>1138</v>
      </c>
      <c r="D90" s="450" t="s">
        <v>1139</v>
      </c>
      <c r="E90" s="450"/>
      <c r="F90" s="450"/>
      <c r="G90" s="450" t="s">
        <v>22882</v>
      </c>
      <c r="H90" s="450" t="s">
        <v>22883</v>
      </c>
      <c r="I90" s="450" t="s">
        <v>32443</v>
      </c>
      <c r="J90" s="450" t="s">
        <v>32444</v>
      </c>
      <c r="K90" s="450"/>
    </row>
    <row r="91" spans="1:11">
      <c r="A91" s="451" t="s">
        <v>1136</v>
      </c>
      <c r="B91" s="451" t="s">
        <v>1137</v>
      </c>
      <c r="C91" s="451" t="s">
        <v>1138</v>
      </c>
      <c r="D91" s="451" t="s">
        <v>1139</v>
      </c>
      <c r="E91" s="451"/>
      <c r="F91" s="451"/>
      <c r="G91" s="451" t="s">
        <v>22882</v>
      </c>
      <c r="H91" s="451" t="s">
        <v>22883</v>
      </c>
      <c r="I91" s="451" t="s">
        <v>1139</v>
      </c>
      <c r="J91" s="451" t="s">
        <v>30115</v>
      </c>
      <c r="K91" s="451"/>
    </row>
    <row r="92" spans="1:11">
      <c r="A92" s="450" t="s">
        <v>1140</v>
      </c>
      <c r="B92" s="450" t="s">
        <v>1141</v>
      </c>
      <c r="C92" s="450" t="s">
        <v>1142</v>
      </c>
      <c r="D92" s="450" t="s">
        <v>1143</v>
      </c>
      <c r="E92" s="450"/>
      <c r="F92" s="450"/>
      <c r="G92" s="450" t="s">
        <v>22877</v>
      </c>
      <c r="H92" s="450" t="s">
        <v>22878</v>
      </c>
      <c r="I92" s="450" t="s">
        <v>32445</v>
      </c>
      <c r="J92" s="450" t="s">
        <v>32446</v>
      </c>
      <c r="K92" s="450"/>
    </row>
    <row r="93" spans="1:11">
      <c r="A93" s="451" t="s">
        <v>1140</v>
      </c>
      <c r="B93" s="451" t="s">
        <v>1141</v>
      </c>
      <c r="C93" s="451" t="s">
        <v>1142</v>
      </c>
      <c r="D93" s="451" t="s">
        <v>1143</v>
      </c>
      <c r="E93" s="451" t="s">
        <v>1144</v>
      </c>
      <c r="F93" s="451"/>
      <c r="G93" s="451" t="s">
        <v>22877</v>
      </c>
      <c r="H93" s="451" t="s">
        <v>22878</v>
      </c>
      <c r="I93" s="451" t="s">
        <v>30116</v>
      </c>
      <c r="J93" s="451" t="s">
        <v>30117</v>
      </c>
      <c r="K93" s="451"/>
    </row>
    <row r="94" spans="1:11">
      <c r="A94" s="450" t="s">
        <v>32447</v>
      </c>
      <c r="B94" s="450" t="s">
        <v>1146</v>
      </c>
      <c r="C94" s="450" t="s">
        <v>1147</v>
      </c>
      <c r="D94" s="450" t="s">
        <v>1148</v>
      </c>
      <c r="E94" s="450"/>
      <c r="F94" s="450"/>
      <c r="G94" s="450" t="s">
        <v>22877</v>
      </c>
      <c r="H94" s="450" t="s">
        <v>22878</v>
      </c>
      <c r="I94" s="450" t="s">
        <v>32448</v>
      </c>
      <c r="J94" s="450" t="s">
        <v>32449</v>
      </c>
      <c r="K94" s="450"/>
    </row>
    <row r="95" spans="1:11">
      <c r="A95" s="451" t="s">
        <v>1145</v>
      </c>
      <c r="B95" s="451" t="s">
        <v>1146</v>
      </c>
      <c r="C95" s="451" t="s">
        <v>1147</v>
      </c>
      <c r="D95" s="451" t="s">
        <v>1148</v>
      </c>
      <c r="E95" s="451"/>
      <c r="F95" s="451"/>
      <c r="G95" s="451" t="s">
        <v>22882</v>
      </c>
      <c r="H95" s="451" t="s">
        <v>22883</v>
      </c>
      <c r="I95" s="451" t="s">
        <v>30118</v>
      </c>
      <c r="J95" s="451" t="s">
        <v>30119</v>
      </c>
      <c r="K95" s="451"/>
    </row>
    <row r="96" spans="1:11">
      <c r="A96" s="450" t="s">
        <v>32450</v>
      </c>
      <c r="B96" s="450"/>
      <c r="C96" s="450" t="s">
        <v>1150</v>
      </c>
      <c r="D96" s="450" t="s">
        <v>1151</v>
      </c>
      <c r="E96" s="450"/>
      <c r="F96" s="450"/>
      <c r="G96" s="450" t="s">
        <v>22877</v>
      </c>
      <c r="H96" s="450" t="s">
        <v>22878</v>
      </c>
      <c r="I96" s="450" t="s">
        <v>32451</v>
      </c>
      <c r="J96" s="450" t="s">
        <v>32452</v>
      </c>
      <c r="K96" s="450"/>
    </row>
    <row r="97" spans="1:11">
      <c r="A97" s="451" t="s">
        <v>1149</v>
      </c>
      <c r="B97" s="451"/>
      <c r="C97" s="451" t="s">
        <v>1150</v>
      </c>
      <c r="D97" s="451" t="s">
        <v>1151</v>
      </c>
      <c r="E97" s="451"/>
      <c r="F97" s="451"/>
      <c r="G97" s="451" t="s">
        <v>30120</v>
      </c>
      <c r="H97" s="451" t="s">
        <v>22878</v>
      </c>
      <c r="I97" s="451" t="s">
        <v>1151</v>
      </c>
      <c r="J97" s="451"/>
      <c r="K97" s="451"/>
    </row>
    <row r="98" spans="1:11">
      <c r="A98" s="450" t="s">
        <v>22254</v>
      </c>
      <c r="B98" s="450" t="s">
        <v>22255</v>
      </c>
      <c r="C98" s="450" t="s">
        <v>15224</v>
      </c>
      <c r="D98" s="450"/>
      <c r="E98" s="450"/>
      <c r="F98" s="450"/>
      <c r="G98" s="450" t="s">
        <v>22877</v>
      </c>
      <c r="H98" s="450" t="s">
        <v>22878</v>
      </c>
      <c r="I98" s="450" t="s">
        <v>22927</v>
      </c>
      <c r="J98" s="450" t="s">
        <v>22928</v>
      </c>
      <c r="K98" s="450"/>
    </row>
    <row r="99" spans="1:11">
      <c r="A99" s="451" t="s">
        <v>21369</v>
      </c>
      <c r="B99" s="451" t="s">
        <v>21370</v>
      </c>
      <c r="C99" s="451" t="s">
        <v>15224</v>
      </c>
      <c r="D99" s="451"/>
      <c r="E99" s="451"/>
      <c r="F99" s="451" t="s">
        <v>21371</v>
      </c>
      <c r="G99" s="451" t="s">
        <v>23052</v>
      </c>
      <c r="H99" s="451" t="s">
        <v>22878</v>
      </c>
      <c r="I99" s="451" t="s">
        <v>22992</v>
      </c>
      <c r="J99" s="451" t="s">
        <v>30121</v>
      </c>
      <c r="K99" s="451"/>
    </row>
    <row r="100" spans="1:11">
      <c r="A100" s="450" t="s">
        <v>32453</v>
      </c>
      <c r="B100" s="450" t="s">
        <v>1152</v>
      </c>
      <c r="C100" s="450" t="s">
        <v>1153</v>
      </c>
      <c r="D100" s="450"/>
      <c r="E100" s="450"/>
      <c r="F100" s="450"/>
      <c r="G100" s="450" t="s">
        <v>22882</v>
      </c>
      <c r="H100" s="450" t="s">
        <v>22883</v>
      </c>
      <c r="I100" s="450"/>
      <c r="J100" s="450" t="s">
        <v>32454</v>
      </c>
      <c r="K100" s="450"/>
    </row>
    <row r="101" spans="1:11">
      <c r="A101" s="451" t="s">
        <v>21398</v>
      </c>
      <c r="B101" s="451" t="s">
        <v>1152</v>
      </c>
      <c r="C101" s="451" t="s">
        <v>1153</v>
      </c>
      <c r="D101" s="451"/>
      <c r="E101" s="451"/>
      <c r="F101" s="451"/>
      <c r="G101" s="451" t="s">
        <v>23084</v>
      </c>
      <c r="H101" s="451" t="s">
        <v>22878</v>
      </c>
      <c r="I101" s="451"/>
      <c r="J101" s="451" t="s">
        <v>1152</v>
      </c>
      <c r="K101" s="451"/>
    </row>
    <row r="102" spans="1:11">
      <c r="A102" s="450" t="s">
        <v>32455</v>
      </c>
      <c r="B102" s="450" t="s">
        <v>1155</v>
      </c>
      <c r="C102" s="450" t="s">
        <v>1156</v>
      </c>
      <c r="D102" s="450" t="s">
        <v>1157</v>
      </c>
      <c r="E102" s="450"/>
      <c r="F102" s="450"/>
      <c r="G102" s="450" t="s">
        <v>22877</v>
      </c>
      <c r="H102" s="450" t="s">
        <v>22878</v>
      </c>
      <c r="I102" s="450" t="s">
        <v>32456</v>
      </c>
      <c r="J102" s="450" t="s">
        <v>32457</v>
      </c>
      <c r="K102" s="450"/>
    </row>
    <row r="103" spans="1:11">
      <c r="A103" s="451" t="s">
        <v>1154</v>
      </c>
      <c r="B103" s="451" t="s">
        <v>1155</v>
      </c>
      <c r="C103" s="451" t="s">
        <v>1156</v>
      </c>
      <c r="D103" s="451" t="s">
        <v>1157</v>
      </c>
      <c r="E103" s="451"/>
      <c r="F103" s="451"/>
      <c r="G103" s="451" t="s">
        <v>30122</v>
      </c>
      <c r="H103" s="451" t="s">
        <v>22878</v>
      </c>
      <c r="I103" s="451" t="s">
        <v>30123</v>
      </c>
      <c r="J103" s="451" t="s">
        <v>1155</v>
      </c>
      <c r="K103" s="451"/>
    </row>
    <row r="104" spans="1:11">
      <c r="A104" s="450" t="s">
        <v>1158</v>
      </c>
      <c r="B104" s="450" t="s">
        <v>1159</v>
      </c>
      <c r="C104" s="450" t="s">
        <v>1160</v>
      </c>
      <c r="D104" s="450" t="s">
        <v>1161</v>
      </c>
      <c r="E104" s="450"/>
      <c r="F104" s="450"/>
      <c r="G104" s="450" t="s">
        <v>22882</v>
      </c>
      <c r="H104" s="450" t="s">
        <v>22883</v>
      </c>
      <c r="I104" s="450"/>
      <c r="J104" s="450" t="s">
        <v>22929</v>
      </c>
      <c r="K104" s="450"/>
    </row>
    <row r="105" spans="1:11">
      <c r="A105" s="451" t="s">
        <v>1162</v>
      </c>
      <c r="B105" s="451" t="s">
        <v>1163</v>
      </c>
      <c r="C105" s="451" t="s">
        <v>1164</v>
      </c>
      <c r="D105" s="451" t="s">
        <v>1165</v>
      </c>
      <c r="E105" s="451"/>
      <c r="F105" s="451"/>
      <c r="G105" s="451" t="s">
        <v>32458</v>
      </c>
      <c r="H105" s="451" t="s">
        <v>22878</v>
      </c>
      <c r="I105" s="451" t="s">
        <v>32459</v>
      </c>
      <c r="J105" s="451" t="s">
        <v>1163</v>
      </c>
      <c r="K105" s="451"/>
    </row>
    <row r="106" spans="1:11">
      <c r="A106" s="450" t="s">
        <v>22256</v>
      </c>
      <c r="B106" s="450" t="s">
        <v>1163</v>
      </c>
      <c r="C106" s="450" t="s">
        <v>1164</v>
      </c>
      <c r="D106" s="450" t="s">
        <v>1165</v>
      </c>
      <c r="E106" s="450"/>
      <c r="F106" s="450"/>
      <c r="G106" s="450" t="s">
        <v>22877</v>
      </c>
      <c r="H106" s="450" t="s">
        <v>22878</v>
      </c>
      <c r="I106" s="450" t="s">
        <v>22930</v>
      </c>
      <c r="J106" s="450" t="s">
        <v>22931</v>
      </c>
      <c r="K106" s="450"/>
    </row>
    <row r="107" spans="1:11">
      <c r="A107" s="451" t="s">
        <v>22257</v>
      </c>
      <c r="B107" s="451" t="s">
        <v>1169</v>
      </c>
      <c r="C107" s="451" t="s">
        <v>1170</v>
      </c>
      <c r="D107" s="451" t="s">
        <v>1171</v>
      </c>
      <c r="E107" s="451"/>
      <c r="F107" s="451"/>
      <c r="G107" s="451" t="s">
        <v>22877</v>
      </c>
      <c r="H107" s="451" t="s">
        <v>22878</v>
      </c>
      <c r="I107" s="451" t="s">
        <v>22932</v>
      </c>
      <c r="J107" s="451" t="s">
        <v>22933</v>
      </c>
      <c r="K107" s="451"/>
    </row>
    <row r="108" spans="1:11">
      <c r="A108" s="450" t="s">
        <v>32460</v>
      </c>
      <c r="B108" s="450" t="s">
        <v>1166</v>
      </c>
      <c r="C108" s="450" t="s">
        <v>1167</v>
      </c>
      <c r="D108" s="450" t="s">
        <v>1168</v>
      </c>
      <c r="E108" s="450"/>
      <c r="F108" s="450"/>
      <c r="G108" s="450" t="s">
        <v>22882</v>
      </c>
      <c r="H108" s="450" t="s">
        <v>22883</v>
      </c>
      <c r="I108" s="450" t="s">
        <v>1168</v>
      </c>
      <c r="J108" s="450" t="s">
        <v>32461</v>
      </c>
      <c r="K108" s="450"/>
    </row>
    <row r="109" spans="1:11">
      <c r="A109" s="451" t="s">
        <v>21399</v>
      </c>
      <c r="B109" s="451" t="s">
        <v>1166</v>
      </c>
      <c r="C109" s="451" t="s">
        <v>1167</v>
      </c>
      <c r="D109" s="451" t="s">
        <v>1168</v>
      </c>
      <c r="E109" s="451"/>
      <c r="F109" s="451"/>
      <c r="G109" s="451" t="s">
        <v>30124</v>
      </c>
      <c r="H109" s="451" t="s">
        <v>22878</v>
      </c>
      <c r="I109" s="451" t="s">
        <v>30125</v>
      </c>
      <c r="J109" s="451" t="s">
        <v>1166</v>
      </c>
      <c r="K109" s="451"/>
    </row>
    <row r="110" spans="1:11">
      <c r="A110" s="450" t="s">
        <v>21400</v>
      </c>
      <c r="B110" s="450" t="s">
        <v>1169</v>
      </c>
      <c r="C110" s="450" t="s">
        <v>1170</v>
      </c>
      <c r="D110" s="450" t="s">
        <v>1171</v>
      </c>
      <c r="E110" s="450"/>
      <c r="F110" s="450"/>
      <c r="G110" s="450" t="s">
        <v>30126</v>
      </c>
      <c r="H110" s="450" t="s">
        <v>22878</v>
      </c>
      <c r="I110" s="450"/>
      <c r="J110" s="450" t="s">
        <v>30127</v>
      </c>
      <c r="K110" s="450"/>
    </row>
    <row r="111" spans="1:11">
      <c r="A111" s="451" t="s">
        <v>32462</v>
      </c>
      <c r="B111" s="451" t="s">
        <v>1173</v>
      </c>
      <c r="C111" s="451" t="s">
        <v>1174</v>
      </c>
      <c r="D111" s="451" t="s">
        <v>1175</v>
      </c>
      <c r="E111" s="451"/>
      <c r="F111" s="451"/>
      <c r="G111" s="451" t="s">
        <v>22882</v>
      </c>
      <c r="H111" s="451" t="s">
        <v>22883</v>
      </c>
      <c r="I111" s="451" t="s">
        <v>1175</v>
      </c>
      <c r="J111" s="451" t="s">
        <v>32463</v>
      </c>
      <c r="K111" s="451"/>
    </row>
    <row r="112" spans="1:11">
      <c r="A112" s="450" t="s">
        <v>1172</v>
      </c>
      <c r="B112" s="450" t="s">
        <v>1173</v>
      </c>
      <c r="C112" s="450" t="s">
        <v>1174</v>
      </c>
      <c r="D112" s="450" t="s">
        <v>1175</v>
      </c>
      <c r="E112" s="450"/>
      <c r="F112" s="450"/>
      <c r="G112" s="450" t="s">
        <v>30128</v>
      </c>
      <c r="H112" s="450" t="s">
        <v>22878</v>
      </c>
      <c r="I112" s="450" t="s">
        <v>30129</v>
      </c>
      <c r="J112" s="450" t="s">
        <v>1173</v>
      </c>
      <c r="K112" s="450"/>
    </row>
    <row r="113" spans="1:11">
      <c r="A113" s="451" t="s">
        <v>1176</v>
      </c>
      <c r="B113" s="451" t="s">
        <v>1177</v>
      </c>
      <c r="C113" s="451" t="s">
        <v>1178</v>
      </c>
      <c r="D113" s="451" t="s">
        <v>1179</v>
      </c>
      <c r="E113" s="451"/>
      <c r="F113" s="451"/>
      <c r="G113" s="451" t="s">
        <v>22877</v>
      </c>
      <c r="H113" s="451" t="s">
        <v>22878</v>
      </c>
      <c r="I113" s="451"/>
      <c r="J113" s="451" t="s">
        <v>22934</v>
      </c>
      <c r="K113" s="451"/>
    </row>
    <row r="114" spans="1:11">
      <c r="A114" s="450" t="s">
        <v>22258</v>
      </c>
      <c r="B114" s="450" t="s">
        <v>22259</v>
      </c>
      <c r="C114" s="450" t="s">
        <v>22260</v>
      </c>
      <c r="D114" s="450"/>
      <c r="E114" s="450"/>
      <c r="F114" s="450"/>
      <c r="G114" s="450" t="s">
        <v>22877</v>
      </c>
      <c r="H114" s="450" t="s">
        <v>22878</v>
      </c>
      <c r="I114" s="450" t="s">
        <v>22935</v>
      </c>
      <c r="J114" s="450" t="s">
        <v>22936</v>
      </c>
      <c r="K114" s="450"/>
    </row>
    <row r="115" spans="1:11">
      <c r="A115" s="451" t="s">
        <v>1180</v>
      </c>
      <c r="B115" s="451"/>
      <c r="C115" s="451" t="s">
        <v>1181</v>
      </c>
      <c r="D115" s="451"/>
      <c r="E115" s="451"/>
      <c r="F115" s="451"/>
      <c r="G115" s="451" t="s">
        <v>22877</v>
      </c>
      <c r="H115" s="451" t="s">
        <v>22878</v>
      </c>
      <c r="I115" s="451"/>
      <c r="J115" s="451" t="s">
        <v>22937</v>
      </c>
      <c r="K115" s="451"/>
    </row>
    <row r="116" spans="1:11">
      <c r="A116" s="450" t="s">
        <v>32464</v>
      </c>
      <c r="B116" s="450" t="s">
        <v>1182</v>
      </c>
      <c r="C116" s="450" t="s">
        <v>1183</v>
      </c>
      <c r="D116" s="450" t="s">
        <v>1184</v>
      </c>
      <c r="E116" s="450"/>
      <c r="F116" s="450"/>
      <c r="G116" s="450" t="s">
        <v>22882</v>
      </c>
      <c r="H116" s="450" t="s">
        <v>22883</v>
      </c>
      <c r="I116" s="450" t="s">
        <v>1184</v>
      </c>
      <c r="J116" s="450" t="s">
        <v>32465</v>
      </c>
      <c r="K116" s="450"/>
    </row>
    <row r="117" spans="1:11">
      <c r="A117" s="451" t="s">
        <v>21401</v>
      </c>
      <c r="B117" s="451" t="s">
        <v>1182</v>
      </c>
      <c r="C117" s="451" t="s">
        <v>1183</v>
      </c>
      <c r="D117" s="451" t="s">
        <v>1184</v>
      </c>
      <c r="E117" s="451"/>
      <c r="F117" s="451"/>
      <c r="G117" s="451" t="s">
        <v>23052</v>
      </c>
      <c r="H117" s="451" t="s">
        <v>22878</v>
      </c>
      <c r="I117" s="451" t="s">
        <v>30130</v>
      </c>
      <c r="J117" s="451" t="s">
        <v>1182</v>
      </c>
      <c r="K117" s="451"/>
    </row>
    <row r="118" spans="1:11">
      <c r="A118" s="450" t="s">
        <v>21402</v>
      </c>
      <c r="B118" s="450"/>
      <c r="C118" s="450" t="s">
        <v>1185</v>
      </c>
      <c r="D118" s="450"/>
      <c r="E118" s="450"/>
      <c r="F118" s="450"/>
      <c r="G118" s="450" t="s">
        <v>22882</v>
      </c>
      <c r="H118" s="450" t="s">
        <v>22883</v>
      </c>
      <c r="I118" s="450" t="s">
        <v>22938</v>
      </c>
      <c r="J118" s="450" t="s">
        <v>22939</v>
      </c>
      <c r="K118" s="450"/>
    </row>
    <row r="119" spans="1:11">
      <c r="A119" s="451" t="s">
        <v>21403</v>
      </c>
      <c r="B119" s="451" t="s">
        <v>1186</v>
      </c>
      <c r="C119" s="451" t="s">
        <v>1187</v>
      </c>
      <c r="D119" s="451" t="s">
        <v>1188</v>
      </c>
      <c r="E119" s="451"/>
      <c r="F119" s="451"/>
      <c r="G119" s="451" t="s">
        <v>32466</v>
      </c>
      <c r="H119" s="451" t="s">
        <v>22878</v>
      </c>
      <c r="I119" s="451" t="s">
        <v>32467</v>
      </c>
      <c r="J119" s="451" t="s">
        <v>1186</v>
      </c>
      <c r="K119" s="451"/>
    </row>
    <row r="120" spans="1:11">
      <c r="A120" s="450" t="s">
        <v>30131</v>
      </c>
      <c r="B120" s="450" t="s">
        <v>1186</v>
      </c>
      <c r="C120" s="450" t="s">
        <v>1187</v>
      </c>
      <c r="D120" s="450" t="s">
        <v>1188</v>
      </c>
      <c r="E120" s="450"/>
      <c r="F120" s="450"/>
      <c r="G120" s="450" t="s">
        <v>22877</v>
      </c>
      <c r="H120" s="450" t="s">
        <v>22878</v>
      </c>
      <c r="I120" s="450" t="s">
        <v>1188</v>
      </c>
      <c r="J120" s="450" t="s">
        <v>22940</v>
      </c>
      <c r="K120" s="450"/>
    </row>
    <row r="121" spans="1:11">
      <c r="A121" s="451" t="s">
        <v>1189</v>
      </c>
      <c r="B121" s="451"/>
      <c r="C121" s="451" t="s">
        <v>1190</v>
      </c>
      <c r="D121" s="451"/>
      <c r="E121" s="451"/>
      <c r="F121" s="451"/>
      <c r="G121" s="451" t="s">
        <v>22877</v>
      </c>
      <c r="H121" s="451" t="s">
        <v>22878</v>
      </c>
      <c r="I121" s="451" t="s">
        <v>22941</v>
      </c>
      <c r="J121" s="451" t="s">
        <v>22942</v>
      </c>
      <c r="K121" s="451"/>
    </row>
    <row r="122" spans="1:11">
      <c r="A122" s="450" t="s">
        <v>32468</v>
      </c>
      <c r="B122" s="450" t="s">
        <v>1191</v>
      </c>
      <c r="C122" s="450" t="s">
        <v>1192</v>
      </c>
      <c r="D122" s="450" t="s">
        <v>1193</v>
      </c>
      <c r="E122" s="450"/>
      <c r="F122" s="450"/>
      <c r="G122" s="450" t="s">
        <v>22877</v>
      </c>
      <c r="H122" s="450" t="s">
        <v>22878</v>
      </c>
      <c r="I122" s="450"/>
      <c r="J122" s="450" t="s">
        <v>32469</v>
      </c>
      <c r="K122" s="450"/>
    </row>
    <row r="123" spans="1:11">
      <c r="A123" s="451" t="s">
        <v>21404</v>
      </c>
      <c r="B123" s="451" t="s">
        <v>1191</v>
      </c>
      <c r="C123" s="451" t="s">
        <v>1192</v>
      </c>
      <c r="D123" s="451" t="s">
        <v>1193</v>
      </c>
      <c r="E123" s="451"/>
      <c r="F123" s="451"/>
      <c r="G123" s="451" t="s">
        <v>23052</v>
      </c>
      <c r="H123" s="451" t="s">
        <v>22878</v>
      </c>
      <c r="I123" s="451" t="s">
        <v>30132</v>
      </c>
      <c r="J123" s="451" t="s">
        <v>1191</v>
      </c>
      <c r="K123" s="451"/>
    </row>
    <row r="124" spans="1:11">
      <c r="A124" s="450" t="s">
        <v>1194</v>
      </c>
      <c r="B124" s="450"/>
      <c r="C124" s="450" t="s">
        <v>1195</v>
      </c>
      <c r="D124" s="450"/>
      <c r="E124" s="450"/>
      <c r="F124" s="450"/>
      <c r="G124" s="450" t="s">
        <v>22882</v>
      </c>
      <c r="H124" s="450" t="s">
        <v>22883</v>
      </c>
      <c r="I124" s="450"/>
      <c r="J124" s="450" t="s">
        <v>22943</v>
      </c>
      <c r="K124" s="450"/>
    </row>
    <row r="125" spans="1:11">
      <c r="A125" s="451" t="s">
        <v>1196</v>
      </c>
      <c r="B125" s="451" t="s">
        <v>1197</v>
      </c>
      <c r="C125" s="451" t="s">
        <v>1198</v>
      </c>
      <c r="D125" s="451" t="s">
        <v>1199</v>
      </c>
      <c r="E125" s="451"/>
      <c r="F125" s="451"/>
      <c r="G125" s="451" t="s">
        <v>22882</v>
      </c>
      <c r="H125" s="451" t="s">
        <v>22883</v>
      </c>
      <c r="I125" s="451" t="s">
        <v>22944</v>
      </c>
      <c r="J125" s="451" t="s">
        <v>22945</v>
      </c>
      <c r="K125" s="451"/>
    </row>
    <row r="126" spans="1:11">
      <c r="A126" s="450" t="s">
        <v>1200</v>
      </c>
      <c r="B126" s="450" t="s">
        <v>1201</v>
      </c>
      <c r="C126" s="450" t="s">
        <v>1202</v>
      </c>
      <c r="D126" s="450" t="s">
        <v>1203</v>
      </c>
      <c r="E126" s="450"/>
      <c r="F126" s="450"/>
      <c r="G126" s="450" t="s">
        <v>22877</v>
      </c>
      <c r="H126" s="450" t="s">
        <v>22878</v>
      </c>
      <c r="I126" s="450" t="s">
        <v>1203</v>
      </c>
      <c r="J126" s="450" t="s">
        <v>22946</v>
      </c>
      <c r="K126" s="450"/>
    </row>
    <row r="127" spans="1:11">
      <c r="A127" s="451" t="s">
        <v>32470</v>
      </c>
      <c r="B127" s="451" t="s">
        <v>1205</v>
      </c>
      <c r="C127" s="451" t="s">
        <v>1206</v>
      </c>
      <c r="D127" s="451" t="s">
        <v>1207</v>
      </c>
      <c r="E127" s="451"/>
      <c r="F127" s="451"/>
      <c r="G127" s="451" t="s">
        <v>22882</v>
      </c>
      <c r="H127" s="451" t="s">
        <v>22883</v>
      </c>
      <c r="I127" s="451" t="s">
        <v>1207</v>
      </c>
      <c r="J127" s="451" t="s">
        <v>32471</v>
      </c>
      <c r="K127" s="451"/>
    </row>
    <row r="128" spans="1:11">
      <c r="A128" s="450" t="s">
        <v>1204</v>
      </c>
      <c r="B128" s="450" t="s">
        <v>1205</v>
      </c>
      <c r="C128" s="450" t="s">
        <v>1206</v>
      </c>
      <c r="D128" s="450" t="s">
        <v>1207</v>
      </c>
      <c r="E128" s="450"/>
      <c r="F128" s="450"/>
      <c r="G128" s="450" t="s">
        <v>30133</v>
      </c>
      <c r="H128" s="450" t="s">
        <v>22878</v>
      </c>
      <c r="I128" s="450"/>
      <c r="J128" s="450" t="s">
        <v>30134</v>
      </c>
      <c r="K128" s="450"/>
    </row>
    <row r="129" spans="1:11">
      <c r="A129" s="451" t="s">
        <v>1208</v>
      </c>
      <c r="B129" s="451"/>
      <c r="C129" s="451" t="s">
        <v>1209</v>
      </c>
      <c r="D129" s="451"/>
      <c r="E129" s="451"/>
      <c r="F129" s="451"/>
      <c r="G129" s="451" t="s">
        <v>22877</v>
      </c>
      <c r="H129" s="451" t="s">
        <v>22878</v>
      </c>
      <c r="I129" s="451" t="s">
        <v>32472</v>
      </c>
      <c r="J129" s="451" t="s">
        <v>22947</v>
      </c>
      <c r="K129" s="451"/>
    </row>
    <row r="130" spans="1:11">
      <c r="A130" s="450" t="s">
        <v>32473</v>
      </c>
      <c r="B130" s="450"/>
      <c r="C130" s="450" t="s">
        <v>1211</v>
      </c>
      <c r="D130" s="450"/>
      <c r="E130" s="450"/>
      <c r="F130" s="450"/>
      <c r="G130" s="450" t="s">
        <v>22877</v>
      </c>
      <c r="H130" s="450" t="s">
        <v>22878</v>
      </c>
      <c r="I130" s="450" t="s">
        <v>32474</v>
      </c>
      <c r="J130" s="450" t="s">
        <v>22948</v>
      </c>
      <c r="K130" s="450"/>
    </row>
    <row r="131" spans="1:11">
      <c r="A131" s="451" t="s">
        <v>1210</v>
      </c>
      <c r="B131" s="451"/>
      <c r="C131" s="451" t="s">
        <v>1211</v>
      </c>
      <c r="D131" s="451"/>
      <c r="E131" s="451"/>
      <c r="F131" s="451"/>
      <c r="G131" s="451" t="s">
        <v>1210</v>
      </c>
      <c r="H131" s="451" t="s">
        <v>22878</v>
      </c>
      <c r="I131" s="451"/>
      <c r="J131" s="451"/>
      <c r="K131" s="451"/>
    </row>
    <row r="132" spans="1:11">
      <c r="A132" s="450" t="s">
        <v>1212</v>
      </c>
      <c r="B132" s="450"/>
      <c r="C132" s="450" t="s">
        <v>1213</v>
      </c>
      <c r="D132" s="450"/>
      <c r="E132" s="450"/>
      <c r="F132" s="450"/>
      <c r="G132" s="450" t="s">
        <v>22882</v>
      </c>
      <c r="H132" s="450" t="s">
        <v>22883</v>
      </c>
      <c r="I132" s="450" t="s">
        <v>32475</v>
      </c>
      <c r="J132" s="450" t="s">
        <v>22943</v>
      </c>
      <c r="K132" s="450"/>
    </row>
    <row r="133" spans="1:11">
      <c r="A133" s="451" t="s">
        <v>1214</v>
      </c>
      <c r="B133" s="451"/>
      <c r="C133" s="451" t="s">
        <v>1215</v>
      </c>
      <c r="D133" s="451"/>
      <c r="E133" s="451"/>
      <c r="F133" s="451"/>
      <c r="G133" s="451" t="s">
        <v>22877</v>
      </c>
      <c r="H133" s="451" t="s">
        <v>22878</v>
      </c>
      <c r="I133" s="451" t="s">
        <v>22949</v>
      </c>
      <c r="J133" s="451" t="s">
        <v>22937</v>
      </c>
      <c r="K133" s="451"/>
    </row>
    <row r="134" spans="1:11">
      <c r="A134" s="450" t="s">
        <v>32476</v>
      </c>
      <c r="B134" s="450" t="s">
        <v>1217</v>
      </c>
      <c r="C134" s="450" t="s">
        <v>1218</v>
      </c>
      <c r="D134" s="450" t="s">
        <v>1219</v>
      </c>
      <c r="E134" s="450"/>
      <c r="F134" s="450"/>
      <c r="G134" s="450" t="s">
        <v>22877</v>
      </c>
      <c r="H134" s="450" t="s">
        <v>22878</v>
      </c>
      <c r="I134" s="450" t="s">
        <v>1219</v>
      </c>
      <c r="J134" s="450" t="s">
        <v>32477</v>
      </c>
      <c r="K134" s="450"/>
    </row>
    <row r="135" spans="1:11">
      <c r="A135" s="451" t="s">
        <v>1216</v>
      </c>
      <c r="B135" s="451" t="s">
        <v>1217</v>
      </c>
      <c r="C135" s="451" t="s">
        <v>1218</v>
      </c>
      <c r="D135" s="451" t="s">
        <v>1219</v>
      </c>
      <c r="E135" s="451" t="s">
        <v>1220</v>
      </c>
      <c r="F135" s="451"/>
      <c r="G135" s="451" t="s">
        <v>30135</v>
      </c>
      <c r="H135" s="451" t="s">
        <v>22878</v>
      </c>
      <c r="I135" s="451" t="s">
        <v>30136</v>
      </c>
      <c r="J135" s="451" t="s">
        <v>1217</v>
      </c>
      <c r="K135" s="451"/>
    </row>
    <row r="136" spans="1:11">
      <c r="A136" s="450" t="s">
        <v>1221</v>
      </c>
      <c r="B136" s="450"/>
      <c r="C136" s="450" t="s">
        <v>1222</v>
      </c>
      <c r="D136" s="450" t="s">
        <v>1223</v>
      </c>
      <c r="E136" s="450"/>
      <c r="F136" s="450"/>
      <c r="G136" s="450" t="s">
        <v>22882</v>
      </c>
      <c r="H136" s="450" t="s">
        <v>22883</v>
      </c>
      <c r="I136" s="450" t="s">
        <v>1223</v>
      </c>
      <c r="J136" s="450" t="s">
        <v>22950</v>
      </c>
      <c r="K136" s="450"/>
    </row>
    <row r="137" spans="1:11">
      <c r="A137" s="451" t="s">
        <v>1224</v>
      </c>
      <c r="B137" s="451" t="s">
        <v>1225</v>
      </c>
      <c r="C137" s="451" t="s">
        <v>1226</v>
      </c>
      <c r="D137" s="451" t="s">
        <v>1227</v>
      </c>
      <c r="E137" s="451"/>
      <c r="F137" s="451"/>
      <c r="G137" s="451" t="s">
        <v>22877</v>
      </c>
      <c r="H137" s="451" t="s">
        <v>22878</v>
      </c>
      <c r="I137" s="451"/>
      <c r="J137" s="451" t="s">
        <v>22951</v>
      </c>
      <c r="K137" s="451"/>
    </row>
    <row r="138" spans="1:11">
      <c r="A138" s="450" t="s">
        <v>22261</v>
      </c>
      <c r="B138" s="450"/>
      <c r="C138" s="450" t="s">
        <v>1229</v>
      </c>
      <c r="D138" s="450"/>
      <c r="E138" s="450"/>
      <c r="F138" s="450"/>
      <c r="G138" s="450" t="s">
        <v>22877</v>
      </c>
      <c r="H138" s="450" t="s">
        <v>22878</v>
      </c>
      <c r="I138" s="450" t="s">
        <v>22952</v>
      </c>
      <c r="J138" s="450" t="s">
        <v>22942</v>
      </c>
      <c r="K138" s="450"/>
    </row>
    <row r="139" spans="1:11">
      <c r="A139" s="451" t="s">
        <v>22262</v>
      </c>
      <c r="B139" s="451" t="s">
        <v>1231</v>
      </c>
      <c r="C139" s="451" t="s">
        <v>16564</v>
      </c>
      <c r="D139" s="451" t="s">
        <v>1233</v>
      </c>
      <c r="E139" s="451"/>
      <c r="F139" s="451"/>
      <c r="G139" s="451" t="s">
        <v>22877</v>
      </c>
      <c r="H139" s="451" t="s">
        <v>22878</v>
      </c>
      <c r="I139" s="451" t="s">
        <v>22953</v>
      </c>
      <c r="J139" s="451" t="s">
        <v>22954</v>
      </c>
      <c r="K139" s="451"/>
    </row>
    <row r="140" spans="1:11">
      <c r="A140" s="450" t="s">
        <v>22263</v>
      </c>
      <c r="B140" s="450" t="s">
        <v>1236</v>
      </c>
      <c r="C140" s="450" t="s">
        <v>1237</v>
      </c>
      <c r="D140" s="450" t="s">
        <v>1238</v>
      </c>
      <c r="E140" s="450"/>
      <c r="F140" s="450"/>
      <c r="G140" s="450" t="s">
        <v>22882</v>
      </c>
      <c r="H140" s="450" t="s">
        <v>22883</v>
      </c>
      <c r="I140" s="450" t="s">
        <v>1238</v>
      </c>
      <c r="J140" s="450" t="s">
        <v>22955</v>
      </c>
      <c r="K140" s="450"/>
    </row>
    <row r="141" spans="1:11">
      <c r="A141" s="451" t="s">
        <v>1228</v>
      </c>
      <c r="B141" s="451"/>
      <c r="C141" s="451" t="s">
        <v>1229</v>
      </c>
      <c r="D141" s="451"/>
      <c r="E141" s="451"/>
      <c r="F141" s="451"/>
      <c r="G141" s="451" t="s">
        <v>23108</v>
      </c>
      <c r="H141" s="451" t="s">
        <v>22878</v>
      </c>
      <c r="I141" s="451" t="s">
        <v>30137</v>
      </c>
      <c r="J141" s="451" t="s">
        <v>23183</v>
      </c>
      <c r="K141" s="451" t="s">
        <v>23726</v>
      </c>
    </row>
    <row r="142" spans="1:11">
      <c r="A142" s="450" t="s">
        <v>1230</v>
      </c>
      <c r="B142" s="450" t="s">
        <v>1231</v>
      </c>
      <c r="C142" s="450" t="s">
        <v>1232</v>
      </c>
      <c r="D142" s="450" t="s">
        <v>1233</v>
      </c>
      <c r="E142" s="450" t="s">
        <v>1234</v>
      </c>
      <c r="F142" s="450"/>
      <c r="G142" s="450" t="s">
        <v>30138</v>
      </c>
      <c r="H142" s="450" t="s">
        <v>22878</v>
      </c>
      <c r="I142" s="450" t="s">
        <v>30139</v>
      </c>
      <c r="J142" s="450" t="s">
        <v>1231</v>
      </c>
      <c r="K142" s="450"/>
    </row>
    <row r="143" spans="1:11">
      <c r="A143" s="451" t="s">
        <v>1235</v>
      </c>
      <c r="B143" s="451" t="s">
        <v>1236</v>
      </c>
      <c r="C143" s="451" t="s">
        <v>1237</v>
      </c>
      <c r="D143" s="451" t="s">
        <v>1238</v>
      </c>
      <c r="E143" s="451" t="s">
        <v>1239</v>
      </c>
      <c r="F143" s="451"/>
      <c r="G143" s="451" t="s">
        <v>32478</v>
      </c>
      <c r="H143" s="451" t="s">
        <v>22878</v>
      </c>
      <c r="I143" s="451"/>
      <c r="J143" s="451" t="s">
        <v>1236</v>
      </c>
      <c r="K143" s="451"/>
    </row>
    <row r="144" spans="1:11">
      <c r="A144" s="450" t="s">
        <v>1240</v>
      </c>
      <c r="B144" s="450" t="s">
        <v>1241</v>
      </c>
      <c r="C144" s="450" t="s">
        <v>1242</v>
      </c>
      <c r="D144" s="450" t="s">
        <v>1243</v>
      </c>
      <c r="E144" s="450"/>
      <c r="F144" s="450"/>
      <c r="G144" s="450" t="s">
        <v>22882</v>
      </c>
      <c r="H144" s="450" t="s">
        <v>22883</v>
      </c>
      <c r="I144" s="450"/>
      <c r="J144" s="450" t="s">
        <v>22956</v>
      </c>
      <c r="K144" s="450"/>
    </row>
    <row r="145" spans="1:11">
      <c r="A145" s="451" t="s">
        <v>32479</v>
      </c>
      <c r="B145" s="451" t="s">
        <v>1245</v>
      </c>
      <c r="C145" s="451" t="s">
        <v>1246</v>
      </c>
      <c r="D145" s="451" t="s">
        <v>1247</v>
      </c>
      <c r="E145" s="451"/>
      <c r="F145" s="451"/>
      <c r="G145" s="451" t="s">
        <v>22877</v>
      </c>
      <c r="H145" s="451" t="s">
        <v>22878</v>
      </c>
      <c r="I145" s="451" t="s">
        <v>1247</v>
      </c>
      <c r="J145" s="451" t="s">
        <v>32480</v>
      </c>
      <c r="K145" s="451"/>
    </row>
    <row r="146" spans="1:11">
      <c r="A146" s="450" t="s">
        <v>1244</v>
      </c>
      <c r="B146" s="450" t="s">
        <v>1245</v>
      </c>
      <c r="C146" s="450" t="s">
        <v>1246</v>
      </c>
      <c r="D146" s="450" t="s">
        <v>1247</v>
      </c>
      <c r="E146" s="450"/>
      <c r="F146" s="450"/>
      <c r="G146" s="450" t="s">
        <v>30140</v>
      </c>
      <c r="H146" s="450" t="s">
        <v>22878</v>
      </c>
      <c r="I146" s="450" t="s">
        <v>30141</v>
      </c>
      <c r="J146" s="450" t="s">
        <v>1245</v>
      </c>
      <c r="K146" s="450"/>
    </row>
    <row r="147" spans="1:11">
      <c r="A147" s="451" t="s">
        <v>1248</v>
      </c>
      <c r="B147" s="451"/>
      <c r="C147" s="451" t="s">
        <v>1249</v>
      </c>
      <c r="D147" s="451"/>
      <c r="E147" s="451"/>
      <c r="F147" s="451"/>
      <c r="G147" s="451" t="s">
        <v>1248</v>
      </c>
      <c r="H147" s="451" t="s">
        <v>22878</v>
      </c>
      <c r="I147" s="451" t="s">
        <v>32481</v>
      </c>
      <c r="J147" s="451"/>
      <c r="K147" s="451"/>
    </row>
    <row r="148" spans="1:11">
      <c r="A148" s="450" t="s">
        <v>1250</v>
      </c>
      <c r="B148" s="450"/>
      <c r="C148" s="450" t="s">
        <v>1251</v>
      </c>
      <c r="D148" s="450"/>
      <c r="E148" s="450"/>
      <c r="F148" s="450"/>
      <c r="G148" s="450" t="s">
        <v>32482</v>
      </c>
      <c r="H148" s="450" t="s">
        <v>22878</v>
      </c>
      <c r="I148" s="450"/>
      <c r="J148" s="450"/>
      <c r="K148" s="450"/>
    </row>
    <row r="149" spans="1:11">
      <c r="A149" s="451" t="s">
        <v>22264</v>
      </c>
      <c r="B149" s="451"/>
      <c r="C149" s="451" t="s">
        <v>1251</v>
      </c>
      <c r="D149" s="451"/>
      <c r="E149" s="451"/>
      <c r="F149" s="451"/>
      <c r="G149" s="451" t="s">
        <v>22877</v>
      </c>
      <c r="H149" s="451" t="s">
        <v>22878</v>
      </c>
      <c r="I149" s="451" t="s">
        <v>22957</v>
      </c>
      <c r="J149" s="451" t="s">
        <v>22958</v>
      </c>
      <c r="K149" s="451"/>
    </row>
    <row r="150" spans="1:11">
      <c r="A150" s="450" t="s">
        <v>22265</v>
      </c>
      <c r="B150" s="450" t="s">
        <v>22266</v>
      </c>
      <c r="C150" s="450" t="s">
        <v>22267</v>
      </c>
      <c r="D150" s="450"/>
      <c r="E150" s="450"/>
      <c r="F150" s="450"/>
      <c r="G150" s="450" t="s">
        <v>22877</v>
      </c>
      <c r="H150" s="450" t="s">
        <v>22878</v>
      </c>
      <c r="I150" s="450"/>
      <c r="J150" s="450" t="s">
        <v>22959</v>
      </c>
      <c r="K150" s="450"/>
    </row>
    <row r="151" spans="1:11">
      <c r="A151" s="451" t="s">
        <v>32483</v>
      </c>
      <c r="B151" s="451" t="s">
        <v>1253</v>
      </c>
      <c r="C151" s="451" t="s">
        <v>1254</v>
      </c>
      <c r="D151" s="451" t="s">
        <v>1255</v>
      </c>
      <c r="E151" s="451"/>
      <c r="F151" s="451"/>
      <c r="G151" s="451" t="s">
        <v>22877</v>
      </c>
      <c r="H151" s="451" t="s">
        <v>22878</v>
      </c>
      <c r="I151" s="451" t="s">
        <v>32484</v>
      </c>
      <c r="J151" s="451" t="s">
        <v>32485</v>
      </c>
      <c r="K151" s="451"/>
    </row>
    <row r="152" spans="1:11">
      <c r="A152" s="450" t="s">
        <v>1252</v>
      </c>
      <c r="B152" s="450" t="s">
        <v>1253</v>
      </c>
      <c r="C152" s="450" t="s">
        <v>1254</v>
      </c>
      <c r="D152" s="450" t="s">
        <v>1255</v>
      </c>
      <c r="E152" s="450" t="s">
        <v>1256</v>
      </c>
      <c r="F152" s="450"/>
      <c r="G152" s="450" t="s">
        <v>30142</v>
      </c>
      <c r="H152" s="450" t="s">
        <v>22878</v>
      </c>
      <c r="I152" s="450" t="s">
        <v>30143</v>
      </c>
      <c r="J152" s="450" t="s">
        <v>1253</v>
      </c>
      <c r="K152" s="450"/>
    </row>
    <row r="153" spans="1:11">
      <c r="A153" s="451" t="s">
        <v>32486</v>
      </c>
      <c r="B153" s="451" t="s">
        <v>1258</v>
      </c>
      <c r="C153" s="451" t="s">
        <v>1259</v>
      </c>
      <c r="D153" s="451" t="s">
        <v>1260</v>
      </c>
      <c r="E153" s="451"/>
      <c r="F153" s="451"/>
      <c r="G153" s="451" t="s">
        <v>22877</v>
      </c>
      <c r="H153" s="451" t="s">
        <v>22878</v>
      </c>
      <c r="I153" s="451" t="s">
        <v>1260</v>
      </c>
      <c r="J153" s="451" t="s">
        <v>32487</v>
      </c>
      <c r="K153" s="451"/>
    </row>
    <row r="154" spans="1:11">
      <c r="A154" s="450" t="s">
        <v>1257</v>
      </c>
      <c r="B154" s="450" t="s">
        <v>1258</v>
      </c>
      <c r="C154" s="450" t="s">
        <v>1259</v>
      </c>
      <c r="D154" s="450" t="s">
        <v>1260</v>
      </c>
      <c r="E154" s="450"/>
      <c r="F154" s="450"/>
      <c r="G154" s="450" t="s">
        <v>30144</v>
      </c>
      <c r="H154" s="450" t="s">
        <v>22878</v>
      </c>
      <c r="I154" s="450" t="s">
        <v>30145</v>
      </c>
      <c r="J154" s="450" t="s">
        <v>1258</v>
      </c>
      <c r="K154" s="450"/>
    </row>
    <row r="155" spans="1:11">
      <c r="A155" s="451" t="s">
        <v>22268</v>
      </c>
      <c r="B155" s="451" t="s">
        <v>1262</v>
      </c>
      <c r="C155" s="451" t="s">
        <v>1263</v>
      </c>
      <c r="D155" s="451" t="s">
        <v>1264</v>
      </c>
      <c r="E155" s="451"/>
      <c r="F155" s="451"/>
      <c r="G155" s="451" t="s">
        <v>22877</v>
      </c>
      <c r="H155" s="451" t="s">
        <v>22878</v>
      </c>
      <c r="I155" s="451" t="s">
        <v>1264</v>
      </c>
      <c r="J155" s="451" t="s">
        <v>22960</v>
      </c>
      <c r="K155" s="451"/>
    </row>
    <row r="156" spans="1:11">
      <c r="A156" s="450" t="s">
        <v>1261</v>
      </c>
      <c r="B156" s="450" t="s">
        <v>1262</v>
      </c>
      <c r="C156" s="450" t="s">
        <v>1263</v>
      </c>
      <c r="D156" s="450" t="s">
        <v>1264</v>
      </c>
      <c r="E156" s="450" t="s">
        <v>1265</v>
      </c>
      <c r="F156" s="450"/>
      <c r="G156" s="450" t="s">
        <v>32488</v>
      </c>
      <c r="H156" s="450" t="s">
        <v>22878</v>
      </c>
      <c r="I156" s="450"/>
      <c r="J156" s="450" t="s">
        <v>1262</v>
      </c>
      <c r="K156" s="450"/>
    </row>
    <row r="157" spans="1:11">
      <c r="A157" s="451" t="s">
        <v>1266</v>
      </c>
      <c r="B157" s="451" t="s">
        <v>1267</v>
      </c>
      <c r="C157" s="451" t="s">
        <v>1268</v>
      </c>
      <c r="D157" s="451"/>
      <c r="E157" s="451"/>
      <c r="F157" s="451"/>
      <c r="G157" s="451" t="s">
        <v>22882</v>
      </c>
      <c r="H157" s="451" t="s">
        <v>22883</v>
      </c>
      <c r="I157" s="451"/>
      <c r="J157" s="451" t="s">
        <v>22961</v>
      </c>
      <c r="K157" s="451"/>
    </row>
    <row r="158" spans="1:11">
      <c r="A158" s="450" t="s">
        <v>22269</v>
      </c>
      <c r="B158" s="450" t="s">
        <v>22270</v>
      </c>
      <c r="C158" s="450" t="s">
        <v>22271</v>
      </c>
      <c r="D158" s="450" t="s">
        <v>22272</v>
      </c>
      <c r="E158" s="450"/>
      <c r="F158" s="450"/>
      <c r="G158" s="450" t="s">
        <v>22877</v>
      </c>
      <c r="H158" s="450" t="s">
        <v>22878</v>
      </c>
      <c r="I158" s="450" t="s">
        <v>22962</v>
      </c>
      <c r="J158" s="450" t="s">
        <v>22963</v>
      </c>
      <c r="K158" s="450"/>
    </row>
    <row r="159" spans="1:11">
      <c r="A159" s="451" t="s">
        <v>21405</v>
      </c>
      <c r="B159" s="451" t="s">
        <v>1269</v>
      </c>
      <c r="C159" s="451" t="s">
        <v>1270</v>
      </c>
      <c r="D159" s="451" t="s">
        <v>1271</v>
      </c>
      <c r="E159" s="451"/>
      <c r="F159" s="451"/>
      <c r="G159" s="451" t="s">
        <v>22877</v>
      </c>
      <c r="H159" s="451" t="s">
        <v>22878</v>
      </c>
      <c r="I159" s="451" t="s">
        <v>32489</v>
      </c>
      <c r="J159" s="451" t="s">
        <v>32490</v>
      </c>
      <c r="K159" s="451"/>
    </row>
    <row r="160" spans="1:11">
      <c r="A160" s="450" t="s">
        <v>21405</v>
      </c>
      <c r="B160" s="450" t="s">
        <v>1269</v>
      </c>
      <c r="C160" s="450" t="s">
        <v>1270</v>
      </c>
      <c r="D160" s="450" t="s">
        <v>1271</v>
      </c>
      <c r="E160" s="450" t="s">
        <v>1272</v>
      </c>
      <c r="F160" s="450"/>
      <c r="G160" s="450" t="s">
        <v>30146</v>
      </c>
      <c r="H160" s="450" t="s">
        <v>22878</v>
      </c>
      <c r="I160" s="450" t="s">
        <v>30147</v>
      </c>
      <c r="J160" s="450" t="s">
        <v>1269</v>
      </c>
      <c r="K160" s="450"/>
    </row>
    <row r="161" spans="1:11">
      <c r="A161" s="451" t="s">
        <v>32491</v>
      </c>
      <c r="B161" s="451"/>
      <c r="C161" s="451" t="s">
        <v>1274</v>
      </c>
      <c r="D161" s="451"/>
      <c r="E161" s="451"/>
      <c r="F161" s="451"/>
      <c r="G161" s="451" t="s">
        <v>22877</v>
      </c>
      <c r="H161" s="451" t="s">
        <v>22878</v>
      </c>
      <c r="I161" s="451" t="s">
        <v>32492</v>
      </c>
      <c r="J161" s="451" t="s">
        <v>22937</v>
      </c>
      <c r="K161" s="451"/>
    </row>
    <row r="162" spans="1:11">
      <c r="A162" s="450" t="s">
        <v>1273</v>
      </c>
      <c r="B162" s="450"/>
      <c r="C162" s="450" t="s">
        <v>1274</v>
      </c>
      <c r="D162" s="450"/>
      <c r="E162" s="450"/>
      <c r="F162" s="450"/>
      <c r="G162" s="450" t="s">
        <v>32482</v>
      </c>
      <c r="H162" s="450" t="s">
        <v>22878</v>
      </c>
      <c r="I162" s="450"/>
      <c r="J162" s="450" t="s">
        <v>32493</v>
      </c>
      <c r="K162" s="450"/>
    </row>
    <row r="163" spans="1:11">
      <c r="A163" s="451" t="s">
        <v>1275</v>
      </c>
      <c r="B163" s="451"/>
      <c r="C163" s="451" t="s">
        <v>1276</v>
      </c>
      <c r="D163" s="451"/>
      <c r="E163" s="451"/>
      <c r="F163" s="451"/>
      <c r="G163" s="451" t="s">
        <v>22877</v>
      </c>
      <c r="H163" s="451" t="s">
        <v>22878</v>
      </c>
      <c r="I163" s="451" t="s">
        <v>32494</v>
      </c>
      <c r="J163" s="451" t="s">
        <v>22942</v>
      </c>
      <c r="K163" s="451"/>
    </row>
    <row r="164" spans="1:11">
      <c r="A164" s="450" t="s">
        <v>1277</v>
      </c>
      <c r="B164" s="450"/>
      <c r="C164" s="450" t="s">
        <v>1278</v>
      </c>
      <c r="D164" s="450"/>
      <c r="E164" s="450"/>
      <c r="F164" s="450"/>
      <c r="G164" s="450" t="s">
        <v>22882</v>
      </c>
      <c r="H164" s="450" t="s">
        <v>22883</v>
      </c>
      <c r="I164" s="450" t="s">
        <v>22964</v>
      </c>
      <c r="J164" s="450" t="s">
        <v>22942</v>
      </c>
      <c r="K164" s="450"/>
    </row>
    <row r="165" spans="1:11">
      <c r="A165" s="451" t="s">
        <v>1279</v>
      </c>
      <c r="B165" s="451" t="s">
        <v>22273</v>
      </c>
      <c r="C165" s="451" t="s">
        <v>22274</v>
      </c>
      <c r="D165" s="451" t="s">
        <v>1282</v>
      </c>
      <c r="E165" s="451"/>
      <c r="F165" s="451" t="s">
        <v>1284</v>
      </c>
      <c r="G165" s="451" t="s">
        <v>22877</v>
      </c>
      <c r="H165" s="451" t="s">
        <v>22878</v>
      </c>
      <c r="I165" s="451" t="s">
        <v>22965</v>
      </c>
      <c r="J165" s="451" t="s">
        <v>22966</v>
      </c>
      <c r="K165" s="451"/>
    </row>
    <row r="166" spans="1:11">
      <c r="A166" s="450" t="s">
        <v>1279</v>
      </c>
      <c r="B166" s="450" t="s">
        <v>1280</v>
      </c>
      <c r="C166" s="450" t="s">
        <v>1281</v>
      </c>
      <c r="D166" s="450" t="s">
        <v>1282</v>
      </c>
      <c r="E166" s="450" t="s">
        <v>1283</v>
      </c>
      <c r="F166" s="450" t="s">
        <v>1284</v>
      </c>
      <c r="G166" s="450" t="s">
        <v>30148</v>
      </c>
      <c r="H166" s="450" t="s">
        <v>22878</v>
      </c>
      <c r="I166" s="450" t="s">
        <v>30149</v>
      </c>
      <c r="J166" s="450" t="s">
        <v>22273</v>
      </c>
      <c r="K166" s="450"/>
    </row>
    <row r="167" spans="1:11">
      <c r="A167" s="451" t="s">
        <v>32495</v>
      </c>
      <c r="B167" s="451" t="s">
        <v>1286</v>
      </c>
      <c r="C167" s="451" t="s">
        <v>1287</v>
      </c>
      <c r="D167" s="451" t="s">
        <v>1288</v>
      </c>
      <c r="E167" s="451"/>
      <c r="F167" s="451"/>
      <c r="G167" s="451" t="s">
        <v>22882</v>
      </c>
      <c r="H167" s="451" t="s">
        <v>22883</v>
      </c>
      <c r="I167" s="451" t="s">
        <v>1288</v>
      </c>
      <c r="J167" s="451" t="s">
        <v>32496</v>
      </c>
      <c r="K167" s="451"/>
    </row>
    <row r="168" spans="1:11">
      <c r="A168" s="450" t="s">
        <v>1285</v>
      </c>
      <c r="B168" s="450" t="s">
        <v>1286</v>
      </c>
      <c r="C168" s="450" t="s">
        <v>1287</v>
      </c>
      <c r="D168" s="450" t="s">
        <v>1288</v>
      </c>
      <c r="E168" s="450"/>
      <c r="F168" s="450"/>
      <c r="G168" s="450" t="s">
        <v>23052</v>
      </c>
      <c r="H168" s="450" t="s">
        <v>22878</v>
      </c>
      <c r="I168" s="450" t="s">
        <v>30150</v>
      </c>
      <c r="J168" s="450" t="s">
        <v>30151</v>
      </c>
      <c r="K168" s="450"/>
    </row>
    <row r="169" spans="1:11">
      <c r="A169" s="451" t="s">
        <v>1289</v>
      </c>
      <c r="B169" s="451" t="s">
        <v>1290</v>
      </c>
      <c r="C169" s="451" t="s">
        <v>1291</v>
      </c>
      <c r="D169" s="451"/>
      <c r="E169" s="451"/>
      <c r="F169" s="451"/>
      <c r="G169" s="451" t="s">
        <v>22877</v>
      </c>
      <c r="H169" s="451" t="s">
        <v>22878</v>
      </c>
      <c r="I169" s="451" t="s">
        <v>22967</v>
      </c>
      <c r="J169" s="451" t="s">
        <v>22968</v>
      </c>
      <c r="K169" s="451"/>
    </row>
    <row r="170" spans="1:11">
      <c r="A170" s="450" t="s">
        <v>1292</v>
      </c>
      <c r="B170" s="450" t="s">
        <v>1293</v>
      </c>
      <c r="C170" s="450" t="s">
        <v>1294</v>
      </c>
      <c r="D170" s="450" t="s">
        <v>1295</v>
      </c>
      <c r="E170" s="450"/>
      <c r="F170" s="450"/>
      <c r="G170" s="450" t="s">
        <v>22882</v>
      </c>
      <c r="H170" s="450" t="s">
        <v>22883</v>
      </c>
      <c r="I170" s="450" t="s">
        <v>1295</v>
      </c>
      <c r="J170" s="450" t="s">
        <v>22969</v>
      </c>
      <c r="K170" s="450"/>
    </row>
    <row r="171" spans="1:11">
      <c r="A171" s="451" t="s">
        <v>1296</v>
      </c>
      <c r="B171" s="451" t="s">
        <v>1297</v>
      </c>
      <c r="C171" s="451" t="s">
        <v>1298</v>
      </c>
      <c r="D171" s="451"/>
      <c r="E171" s="451"/>
      <c r="F171" s="451"/>
      <c r="G171" s="451" t="s">
        <v>22877</v>
      </c>
      <c r="H171" s="451" t="s">
        <v>22878</v>
      </c>
      <c r="I171" s="451"/>
      <c r="J171" s="451" t="s">
        <v>22970</v>
      </c>
      <c r="K171" s="451"/>
    </row>
    <row r="172" spans="1:11">
      <c r="A172" s="450" t="s">
        <v>1299</v>
      </c>
      <c r="B172" s="450" t="s">
        <v>1300</v>
      </c>
      <c r="C172" s="450" t="s">
        <v>1301</v>
      </c>
      <c r="D172" s="450" t="s">
        <v>1302</v>
      </c>
      <c r="E172" s="450"/>
      <c r="F172" s="450"/>
      <c r="G172" s="450" t="s">
        <v>32497</v>
      </c>
      <c r="H172" s="450" t="s">
        <v>22878</v>
      </c>
      <c r="I172" s="450" t="s">
        <v>32498</v>
      </c>
      <c r="J172" s="450" t="s">
        <v>1300</v>
      </c>
      <c r="K172" s="450"/>
    </row>
    <row r="173" spans="1:11">
      <c r="A173" s="451" t="s">
        <v>22275</v>
      </c>
      <c r="B173" s="451" t="s">
        <v>1300</v>
      </c>
      <c r="C173" s="451" t="s">
        <v>1301</v>
      </c>
      <c r="D173" s="451" t="s">
        <v>1302</v>
      </c>
      <c r="E173" s="451"/>
      <c r="F173" s="451"/>
      <c r="G173" s="451" t="s">
        <v>22877</v>
      </c>
      <c r="H173" s="451" t="s">
        <v>22878</v>
      </c>
      <c r="I173" s="451" t="s">
        <v>22971</v>
      </c>
      <c r="J173" s="451" t="s">
        <v>22972</v>
      </c>
      <c r="K173" s="451"/>
    </row>
    <row r="174" spans="1:11">
      <c r="A174" s="450" t="s">
        <v>21125</v>
      </c>
      <c r="B174" s="450" t="s">
        <v>21123</v>
      </c>
      <c r="C174" s="450" t="s">
        <v>32499</v>
      </c>
      <c r="D174" s="450" t="s">
        <v>32500</v>
      </c>
      <c r="E174" s="450"/>
      <c r="F174" s="450"/>
      <c r="G174" s="450" t="s">
        <v>22877</v>
      </c>
      <c r="H174" s="450" t="s">
        <v>22878</v>
      </c>
      <c r="I174" s="450" t="s">
        <v>21124</v>
      </c>
      <c r="J174" s="450" t="s">
        <v>32501</v>
      </c>
      <c r="K174" s="450"/>
    </row>
    <row r="175" spans="1:11">
      <c r="A175" s="451" t="s">
        <v>21125</v>
      </c>
      <c r="B175" s="451" t="s">
        <v>21123</v>
      </c>
      <c r="C175" s="451" t="s">
        <v>21122</v>
      </c>
      <c r="D175" s="451" t="s">
        <v>21124</v>
      </c>
      <c r="E175" s="451"/>
      <c r="F175" s="451"/>
      <c r="G175" s="451" t="s">
        <v>30152</v>
      </c>
      <c r="H175" s="451" t="s">
        <v>22878</v>
      </c>
      <c r="I175" s="451" t="s">
        <v>21124</v>
      </c>
      <c r="J175" s="451" t="s">
        <v>21123</v>
      </c>
      <c r="K175" s="451"/>
    </row>
    <row r="176" spans="1:11">
      <c r="A176" s="450" t="s">
        <v>32502</v>
      </c>
      <c r="B176" s="450" t="s">
        <v>1304</v>
      </c>
      <c r="C176" s="450" t="s">
        <v>1305</v>
      </c>
      <c r="D176" s="450" t="s">
        <v>1306</v>
      </c>
      <c r="E176" s="450"/>
      <c r="F176" s="450"/>
      <c r="G176" s="450" t="s">
        <v>22877</v>
      </c>
      <c r="H176" s="450" t="s">
        <v>22878</v>
      </c>
      <c r="I176" s="450" t="s">
        <v>1306</v>
      </c>
      <c r="J176" s="450" t="s">
        <v>32503</v>
      </c>
      <c r="K176" s="450"/>
    </row>
    <row r="177" spans="1:11">
      <c r="A177" s="451" t="s">
        <v>1303</v>
      </c>
      <c r="B177" s="451" t="s">
        <v>1304</v>
      </c>
      <c r="C177" s="451" t="s">
        <v>1305</v>
      </c>
      <c r="D177" s="451" t="s">
        <v>1306</v>
      </c>
      <c r="E177" s="451" t="s">
        <v>1307</v>
      </c>
      <c r="F177" s="451"/>
      <c r="G177" s="451" t="s">
        <v>30153</v>
      </c>
      <c r="H177" s="451" t="s">
        <v>22878</v>
      </c>
      <c r="I177" s="451" t="s">
        <v>23389</v>
      </c>
      <c r="J177" s="451" t="s">
        <v>1304</v>
      </c>
      <c r="K177" s="451"/>
    </row>
    <row r="178" spans="1:11">
      <c r="A178" s="450" t="s">
        <v>1308</v>
      </c>
      <c r="B178" s="450" t="s">
        <v>1309</v>
      </c>
      <c r="C178" s="450" t="s">
        <v>1310</v>
      </c>
      <c r="D178" s="450" t="s">
        <v>1311</v>
      </c>
      <c r="E178" s="450"/>
      <c r="F178" s="450"/>
      <c r="G178" s="450" t="s">
        <v>22877</v>
      </c>
      <c r="H178" s="450" t="s">
        <v>22878</v>
      </c>
      <c r="I178" s="450"/>
      <c r="J178" s="450" t="s">
        <v>22973</v>
      </c>
      <c r="K178" s="450"/>
    </row>
    <row r="179" spans="1:11">
      <c r="A179" s="451" t="s">
        <v>32504</v>
      </c>
      <c r="B179" s="451" t="s">
        <v>1313</v>
      </c>
      <c r="C179" s="451" t="s">
        <v>1314</v>
      </c>
      <c r="D179" s="451" t="s">
        <v>1315</v>
      </c>
      <c r="E179" s="451"/>
      <c r="F179" s="451"/>
      <c r="G179" s="451" t="s">
        <v>22877</v>
      </c>
      <c r="H179" s="451" t="s">
        <v>22878</v>
      </c>
      <c r="I179" s="451" t="s">
        <v>1315</v>
      </c>
      <c r="J179" s="451" t="s">
        <v>32505</v>
      </c>
      <c r="K179" s="451"/>
    </row>
    <row r="180" spans="1:11">
      <c r="A180" s="450" t="s">
        <v>1312</v>
      </c>
      <c r="B180" s="450" t="s">
        <v>1313</v>
      </c>
      <c r="C180" s="450" t="s">
        <v>1314</v>
      </c>
      <c r="D180" s="450" t="s">
        <v>1315</v>
      </c>
      <c r="E180" s="450"/>
      <c r="F180" s="450"/>
      <c r="G180" s="450" t="s">
        <v>30154</v>
      </c>
      <c r="H180" s="450" t="s">
        <v>22878</v>
      </c>
      <c r="I180" s="450"/>
      <c r="J180" s="450" t="s">
        <v>30155</v>
      </c>
      <c r="K180" s="450"/>
    </row>
    <row r="181" spans="1:11">
      <c r="A181" s="451" t="s">
        <v>32506</v>
      </c>
      <c r="B181" s="451" t="s">
        <v>1317</v>
      </c>
      <c r="C181" s="451" t="s">
        <v>1318</v>
      </c>
      <c r="D181" s="451" t="s">
        <v>1319</v>
      </c>
      <c r="E181" s="451"/>
      <c r="F181" s="451"/>
      <c r="G181" s="451" t="s">
        <v>22877</v>
      </c>
      <c r="H181" s="451" t="s">
        <v>22878</v>
      </c>
      <c r="I181" s="451" t="s">
        <v>1319</v>
      </c>
      <c r="J181" s="451" t="s">
        <v>32507</v>
      </c>
      <c r="K181" s="451"/>
    </row>
    <row r="182" spans="1:11">
      <c r="A182" s="450" t="s">
        <v>1316</v>
      </c>
      <c r="B182" s="450" t="s">
        <v>1317</v>
      </c>
      <c r="C182" s="450" t="s">
        <v>1318</v>
      </c>
      <c r="D182" s="450" t="s">
        <v>1319</v>
      </c>
      <c r="E182" s="450"/>
      <c r="F182" s="450"/>
      <c r="G182" s="450" t="s">
        <v>22993</v>
      </c>
      <c r="H182" s="450" t="s">
        <v>22878</v>
      </c>
      <c r="I182" s="450" t="s">
        <v>30156</v>
      </c>
      <c r="J182" s="450" t="s">
        <v>30157</v>
      </c>
      <c r="K182" s="450"/>
    </row>
    <row r="183" spans="1:11">
      <c r="A183" s="451" t="s">
        <v>1320</v>
      </c>
      <c r="B183" s="451" t="s">
        <v>1321</v>
      </c>
      <c r="C183" s="451" t="s">
        <v>1322</v>
      </c>
      <c r="D183" s="451" t="s">
        <v>1323</v>
      </c>
      <c r="E183" s="451"/>
      <c r="F183" s="451"/>
      <c r="G183" s="451" t="s">
        <v>22993</v>
      </c>
      <c r="H183" s="451" t="s">
        <v>22878</v>
      </c>
      <c r="I183" s="451" t="s">
        <v>30158</v>
      </c>
      <c r="J183" s="451" t="s">
        <v>22974</v>
      </c>
      <c r="K183" s="451"/>
    </row>
    <row r="184" spans="1:11">
      <c r="A184" s="450" t="s">
        <v>32508</v>
      </c>
      <c r="B184" s="450" t="s">
        <v>1321</v>
      </c>
      <c r="C184" s="450" t="s">
        <v>1322</v>
      </c>
      <c r="D184" s="450" t="s">
        <v>1323</v>
      </c>
      <c r="E184" s="450"/>
      <c r="F184" s="450"/>
      <c r="G184" s="450" t="s">
        <v>22882</v>
      </c>
      <c r="H184" s="450" t="s">
        <v>22883</v>
      </c>
      <c r="I184" s="450"/>
      <c r="J184" s="450" t="s">
        <v>22974</v>
      </c>
      <c r="K184" s="450"/>
    </row>
    <row r="185" spans="1:11">
      <c r="A185" s="451" t="s">
        <v>32509</v>
      </c>
      <c r="B185" s="451" t="s">
        <v>1325</v>
      </c>
      <c r="C185" s="451" t="s">
        <v>1326</v>
      </c>
      <c r="D185" s="451" t="s">
        <v>1327</v>
      </c>
      <c r="E185" s="451"/>
      <c r="F185" s="451"/>
      <c r="G185" s="451" t="s">
        <v>22882</v>
      </c>
      <c r="H185" s="451" t="s">
        <v>22883</v>
      </c>
      <c r="I185" s="451"/>
      <c r="J185" s="451" t="s">
        <v>32510</v>
      </c>
      <c r="K185" s="451"/>
    </row>
    <row r="186" spans="1:11">
      <c r="A186" s="450" t="s">
        <v>1324</v>
      </c>
      <c r="B186" s="450" t="s">
        <v>1325</v>
      </c>
      <c r="C186" s="450" t="s">
        <v>1326</v>
      </c>
      <c r="D186" s="450" t="s">
        <v>1327</v>
      </c>
      <c r="E186" s="450"/>
      <c r="F186" s="450"/>
      <c r="G186" s="450" t="s">
        <v>32511</v>
      </c>
      <c r="H186" s="450" t="s">
        <v>22878</v>
      </c>
      <c r="I186" s="450"/>
      <c r="J186" s="450" t="s">
        <v>32510</v>
      </c>
      <c r="K186" s="450"/>
    </row>
    <row r="187" spans="1:11">
      <c r="A187" s="451" t="s">
        <v>1328</v>
      </c>
      <c r="B187" s="451" t="s">
        <v>1329</v>
      </c>
      <c r="C187" s="451" t="s">
        <v>1330</v>
      </c>
      <c r="D187" s="451" t="s">
        <v>1331</v>
      </c>
      <c r="E187" s="451"/>
      <c r="F187" s="451"/>
      <c r="G187" s="451" t="s">
        <v>22877</v>
      </c>
      <c r="H187" s="451" t="s">
        <v>22878</v>
      </c>
      <c r="I187" s="451"/>
      <c r="J187" s="451" t="s">
        <v>22975</v>
      </c>
      <c r="K187" s="451"/>
    </row>
    <row r="188" spans="1:11">
      <c r="A188" s="450" t="s">
        <v>22276</v>
      </c>
      <c r="B188" s="450" t="s">
        <v>1333</v>
      </c>
      <c r="C188" s="450" t="s">
        <v>1334</v>
      </c>
      <c r="D188" s="450" t="s">
        <v>1335</v>
      </c>
      <c r="E188" s="450"/>
      <c r="F188" s="450" t="s">
        <v>22277</v>
      </c>
      <c r="G188" s="450" t="s">
        <v>22877</v>
      </c>
      <c r="H188" s="450" t="s">
        <v>22878</v>
      </c>
      <c r="I188" s="450" t="s">
        <v>1335</v>
      </c>
      <c r="J188" s="450" t="s">
        <v>22976</v>
      </c>
      <c r="K188" s="450"/>
    </row>
    <row r="189" spans="1:11">
      <c r="A189" s="451" t="s">
        <v>1332</v>
      </c>
      <c r="B189" s="451" t="s">
        <v>1333</v>
      </c>
      <c r="C189" s="451" t="s">
        <v>1334</v>
      </c>
      <c r="D189" s="451" t="s">
        <v>1335</v>
      </c>
      <c r="E189" s="451" t="s">
        <v>1336</v>
      </c>
      <c r="F189" s="451"/>
      <c r="G189" s="451" t="s">
        <v>32512</v>
      </c>
      <c r="H189" s="451" t="s">
        <v>22878</v>
      </c>
      <c r="I189" s="451"/>
      <c r="J189" s="451" t="s">
        <v>32513</v>
      </c>
      <c r="K189" s="451"/>
    </row>
    <row r="190" spans="1:11">
      <c r="A190" s="450" t="s">
        <v>22278</v>
      </c>
      <c r="B190" s="450" t="s">
        <v>1358</v>
      </c>
      <c r="C190" s="450" t="s">
        <v>1359</v>
      </c>
      <c r="D190" s="450" t="s">
        <v>1360</v>
      </c>
      <c r="E190" s="450"/>
      <c r="F190" s="450"/>
      <c r="G190" s="450" t="s">
        <v>22882</v>
      </c>
      <c r="H190" s="450" t="s">
        <v>22883</v>
      </c>
      <c r="I190" s="450"/>
      <c r="J190" s="450" t="s">
        <v>22977</v>
      </c>
      <c r="K190" s="450"/>
    </row>
    <row r="191" spans="1:11">
      <c r="A191" s="451" t="s">
        <v>1337</v>
      </c>
      <c r="B191" s="451" t="s">
        <v>1338</v>
      </c>
      <c r="C191" s="451" t="s">
        <v>1339</v>
      </c>
      <c r="D191" s="451" t="s">
        <v>1340</v>
      </c>
      <c r="E191" s="451"/>
      <c r="F191" s="451"/>
      <c r="G191" s="451" t="s">
        <v>22877</v>
      </c>
      <c r="H191" s="451" t="s">
        <v>22878</v>
      </c>
      <c r="I191" s="451" t="s">
        <v>1340</v>
      </c>
      <c r="J191" s="451" t="s">
        <v>32514</v>
      </c>
      <c r="K191" s="451"/>
    </row>
    <row r="192" spans="1:11">
      <c r="A192" s="450" t="s">
        <v>1337</v>
      </c>
      <c r="B192" s="450" t="s">
        <v>1338</v>
      </c>
      <c r="C192" s="450" t="s">
        <v>1339</v>
      </c>
      <c r="D192" s="450" t="s">
        <v>1340</v>
      </c>
      <c r="E192" s="450" t="s">
        <v>1341</v>
      </c>
      <c r="F192" s="450"/>
      <c r="G192" s="450" t="s">
        <v>23087</v>
      </c>
      <c r="H192" s="450" t="s">
        <v>22878</v>
      </c>
      <c r="I192" s="450"/>
      <c r="J192" s="450" t="s">
        <v>1338</v>
      </c>
      <c r="K192" s="450"/>
    </row>
    <row r="193" spans="1:11">
      <c r="A193" s="451" t="s">
        <v>1342</v>
      </c>
      <c r="B193" s="451" t="s">
        <v>1343</v>
      </c>
      <c r="C193" s="451" t="s">
        <v>1344</v>
      </c>
      <c r="D193" s="451" t="s">
        <v>1345</v>
      </c>
      <c r="E193" s="451"/>
      <c r="F193" s="451"/>
      <c r="G193" s="451" t="s">
        <v>22877</v>
      </c>
      <c r="H193" s="451" t="s">
        <v>22878</v>
      </c>
      <c r="I193" s="451" t="s">
        <v>1345</v>
      </c>
      <c r="J193" s="451" t="s">
        <v>32515</v>
      </c>
      <c r="K193" s="451"/>
    </row>
    <row r="194" spans="1:11">
      <c r="A194" s="450" t="s">
        <v>1342</v>
      </c>
      <c r="B194" s="450" t="s">
        <v>1343</v>
      </c>
      <c r="C194" s="450" t="s">
        <v>1344</v>
      </c>
      <c r="D194" s="450" t="s">
        <v>1345</v>
      </c>
      <c r="E194" s="450" t="s">
        <v>1346</v>
      </c>
      <c r="F194" s="450"/>
      <c r="G194" s="450" t="s">
        <v>23052</v>
      </c>
      <c r="H194" s="450" t="s">
        <v>22878</v>
      </c>
      <c r="I194" s="450"/>
      <c r="J194" s="450" t="s">
        <v>30159</v>
      </c>
      <c r="K194" s="450"/>
    </row>
    <row r="195" spans="1:11">
      <c r="A195" s="451" t="s">
        <v>1347</v>
      </c>
      <c r="B195" s="451" t="s">
        <v>30160</v>
      </c>
      <c r="C195" s="451" t="s">
        <v>1349</v>
      </c>
      <c r="D195" s="451" t="s">
        <v>1350</v>
      </c>
      <c r="E195" s="451"/>
      <c r="F195" s="451"/>
      <c r="G195" s="451" t="s">
        <v>22877</v>
      </c>
      <c r="H195" s="451" t="s">
        <v>22878</v>
      </c>
      <c r="I195" s="451" t="s">
        <v>1350</v>
      </c>
      <c r="J195" s="451" t="s">
        <v>30161</v>
      </c>
      <c r="K195" s="451"/>
    </row>
    <row r="196" spans="1:11">
      <c r="A196" s="450" t="s">
        <v>1347</v>
      </c>
      <c r="B196" s="450" t="s">
        <v>1348</v>
      </c>
      <c r="C196" s="450" t="s">
        <v>1349</v>
      </c>
      <c r="D196" s="450" t="s">
        <v>1350</v>
      </c>
      <c r="E196" s="450" t="s">
        <v>1351</v>
      </c>
      <c r="F196" s="450"/>
      <c r="G196" s="450" t="s">
        <v>22993</v>
      </c>
      <c r="H196" s="450" t="s">
        <v>22878</v>
      </c>
      <c r="I196" s="450"/>
      <c r="J196" s="450" t="s">
        <v>1348</v>
      </c>
      <c r="K196" s="450"/>
    </row>
    <row r="197" spans="1:11">
      <c r="A197" s="451" t="s">
        <v>1352</v>
      </c>
      <c r="B197" s="451" t="s">
        <v>1353</v>
      </c>
      <c r="C197" s="451" t="s">
        <v>1354</v>
      </c>
      <c r="D197" s="451" t="s">
        <v>1355</v>
      </c>
      <c r="E197" s="451"/>
      <c r="F197" s="451"/>
      <c r="G197" s="451" t="s">
        <v>22877</v>
      </c>
      <c r="H197" s="451" t="s">
        <v>22878</v>
      </c>
      <c r="I197" s="451" t="s">
        <v>1355</v>
      </c>
      <c r="J197" s="451" t="s">
        <v>22978</v>
      </c>
      <c r="K197" s="451"/>
    </row>
    <row r="198" spans="1:11">
      <c r="A198" s="450" t="s">
        <v>1352</v>
      </c>
      <c r="B198" s="450" t="s">
        <v>1353</v>
      </c>
      <c r="C198" s="450" t="s">
        <v>1354</v>
      </c>
      <c r="D198" s="450" t="s">
        <v>1355</v>
      </c>
      <c r="E198" s="450" t="s">
        <v>1356</v>
      </c>
      <c r="F198" s="450"/>
      <c r="G198" s="450" t="s">
        <v>32516</v>
      </c>
      <c r="H198" s="450" t="s">
        <v>22878</v>
      </c>
      <c r="I198" s="450"/>
      <c r="J198" s="450" t="s">
        <v>32517</v>
      </c>
      <c r="K198" s="450"/>
    </row>
    <row r="199" spans="1:11">
      <c r="A199" s="451" t="s">
        <v>1357</v>
      </c>
      <c r="B199" s="451" t="s">
        <v>1358</v>
      </c>
      <c r="C199" s="451" t="s">
        <v>1359</v>
      </c>
      <c r="D199" s="451" t="s">
        <v>1360</v>
      </c>
      <c r="E199" s="451"/>
      <c r="F199" s="451"/>
      <c r="G199" s="451" t="s">
        <v>30162</v>
      </c>
      <c r="H199" s="451" t="s">
        <v>22878</v>
      </c>
      <c r="I199" s="451"/>
      <c r="J199" s="451" t="s">
        <v>30163</v>
      </c>
      <c r="K199" s="451"/>
    </row>
    <row r="200" spans="1:11">
      <c r="A200" s="450" t="s">
        <v>1361</v>
      </c>
      <c r="B200" s="450" t="s">
        <v>1362</v>
      </c>
      <c r="C200" s="450" t="s">
        <v>1363</v>
      </c>
      <c r="D200" s="450" t="s">
        <v>1364</v>
      </c>
      <c r="E200" s="450"/>
      <c r="F200" s="450"/>
      <c r="G200" s="450" t="s">
        <v>22877</v>
      </c>
      <c r="H200" s="450" t="s">
        <v>22878</v>
      </c>
      <c r="I200" s="450" t="s">
        <v>1364</v>
      </c>
      <c r="J200" s="450" t="s">
        <v>32518</v>
      </c>
      <c r="K200" s="450"/>
    </row>
    <row r="201" spans="1:11">
      <c r="A201" s="451" t="s">
        <v>1365</v>
      </c>
      <c r="B201" s="451" t="s">
        <v>1362</v>
      </c>
      <c r="C201" s="451" t="s">
        <v>1366</v>
      </c>
      <c r="D201" s="451" t="s">
        <v>1367</v>
      </c>
      <c r="E201" s="451"/>
      <c r="F201" s="451"/>
      <c r="G201" s="451" t="s">
        <v>22877</v>
      </c>
      <c r="H201" s="451" t="s">
        <v>22878</v>
      </c>
      <c r="I201" s="451"/>
      <c r="J201" s="451" t="s">
        <v>22979</v>
      </c>
      <c r="K201" s="451"/>
    </row>
    <row r="202" spans="1:11">
      <c r="A202" s="450" t="s">
        <v>22279</v>
      </c>
      <c r="B202" s="450" t="s">
        <v>1387</v>
      </c>
      <c r="C202" s="450" t="s">
        <v>1388</v>
      </c>
      <c r="D202" s="450" t="s">
        <v>1389</v>
      </c>
      <c r="E202" s="450"/>
      <c r="F202" s="450"/>
      <c r="G202" s="450" t="s">
        <v>22877</v>
      </c>
      <c r="H202" s="450" t="s">
        <v>22878</v>
      </c>
      <c r="I202" s="450" t="s">
        <v>1389</v>
      </c>
      <c r="J202" s="450" t="s">
        <v>22980</v>
      </c>
      <c r="K202" s="450"/>
    </row>
    <row r="203" spans="1:11">
      <c r="A203" s="451" t="s">
        <v>32519</v>
      </c>
      <c r="B203" s="451" t="s">
        <v>1377</v>
      </c>
      <c r="C203" s="451" t="s">
        <v>1378</v>
      </c>
      <c r="D203" s="451" t="s">
        <v>1379</v>
      </c>
      <c r="E203" s="451"/>
      <c r="F203" s="451"/>
      <c r="G203" s="451" t="s">
        <v>22877</v>
      </c>
      <c r="H203" s="451" t="s">
        <v>22878</v>
      </c>
      <c r="I203" s="451"/>
      <c r="J203" s="451" t="s">
        <v>32520</v>
      </c>
      <c r="K203" s="451"/>
    </row>
    <row r="204" spans="1:11">
      <c r="A204" s="450" t="s">
        <v>22280</v>
      </c>
      <c r="B204" s="450" t="s">
        <v>1382</v>
      </c>
      <c r="C204" s="450" t="s">
        <v>1383</v>
      </c>
      <c r="D204" s="450" t="s">
        <v>1384</v>
      </c>
      <c r="E204" s="450"/>
      <c r="F204" s="450"/>
      <c r="G204" s="450" t="s">
        <v>22882</v>
      </c>
      <c r="H204" s="450" t="s">
        <v>22883</v>
      </c>
      <c r="I204" s="450"/>
      <c r="J204" s="450" t="s">
        <v>22981</v>
      </c>
      <c r="K204" s="450"/>
    </row>
    <row r="205" spans="1:11">
      <c r="A205" s="451" t="s">
        <v>21406</v>
      </c>
      <c r="B205" s="451" t="s">
        <v>1368</v>
      </c>
      <c r="C205" s="451" t="s">
        <v>1369</v>
      </c>
      <c r="D205" s="451" t="s">
        <v>1370</v>
      </c>
      <c r="E205" s="451"/>
      <c r="F205" s="451"/>
      <c r="G205" s="451" t="s">
        <v>22877</v>
      </c>
      <c r="H205" s="451" t="s">
        <v>22878</v>
      </c>
      <c r="I205" s="451" t="s">
        <v>1370</v>
      </c>
      <c r="J205" s="451" t="s">
        <v>22982</v>
      </c>
      <c r="K205" s="451"/>
    </row>
    <row r="206" spans="1:11">
      <c r="A206" s="450" t="s">
        <v>21406</v>
      </c>
      <c r="B206" s="450" t="s">
        <v>1368</v>
      </c>
      <c r="C206" s="450" t="s">
        <v>1369</v>
      </c>
      <c r="D206" s="450" t="s">
        <v>1370</v>
      </c>
      <c r="E206" s="450" t="s">
        <v>1371</v>
      </c>
      <c r="F206" s="450"/>
      <c r="G206" s="450" t="s">
        <v>23052</v>
      </c>
      <c r="H206" s="450" t="s">
        <v>22878</v>
      </c>
      <c r="I206" s="450"/>
      <c r="J206" s="450" t="s">
        <v>22982</v>
      </c>
      <c r="K206" s="450"/>
    </row>
    <row r="207" spans="1:11">
      <c r="A207" s="451" t="s">
        <v>21407</v>
      </c>
      <c r="B207" s="451" t="s">
        <v>1372</v>
      </c>
      <c r="C207" s="451" t="s">
        <v>22281</v>
      </c>
      <c r="D207" s="451" t="s">
        <v>1374</v>
      </c>
      <c r="E207" s="451"/>
      <c r="F207" s="451" t="s">
        <v>1375</v>
      </c>
      <c r="G207" s="451" t="s">
        <v>22877</v>
      </c>
      <c r="H207" s="451" t="s">
        <v>22878</v>
      </c>
      <c r="I207" s="451" t="s">
        <v>22983</v>
      </c>
      <c r="J207" s="451" t="s">
        <v>22984</v>
      </c>
      <c r="K207" s="451"/>
    </row>
    <row r="208" spans="1:11">
      <c r="A208" s="450" t="s">
        <v>21407</v>
      </c>
      <c r="B208" s="450" t="s">
        <v>1372</v>
      </c>
      <c r="C208" s="450" t="s">
        <v>1373</v>
      </c>
      <c r="D208" s="450" t="s">
        <v>1374</v>
      </c>
      <c r="E208" s="450"/>
      <c r="F208" s="450" t="s">
        <v>1375</v>
      </c>
      <c r="G208" s="450" t="s">
        <v>30164</v>
      </c>
      <c r="H208" s="450" t="s">
        <v>22878</v>
      </c>
      <c r="I208" s="450"/>
      <c r="J208" s="450" t="s">
        <v>32521</v>
      </c>
      <c r="K208" s="450"/>
    </row>
    <row r="209" spans="1:11">
      <c r="A209" s="451" t="s">
        <v>1376</v>
      </c>
      <c r="B209" s="451" t="s">
        <v>1377</v>
      </c>
      <c r="C209" s="451" t="s">
        <v>1378</v>
      </c>
      <c r="D209" s="451" t="s">
        <v>1379</v>
      </c>
      <c r="E209" s="451" t="s">
        <v>1380</v>
      </c>
      <c r="F209" s="451"/>
      <c r="G209" s="451" t="s">
        <v>23052</v>
      </c>
      <c r="H209" s="451" t="s">
        <v>22878</v>
      </c>
      <c r="I209" s="451"/>
      <c r="J209" s="451" t="s">
        <v>1377</v>
      </c>
      <c r="K209" s="451"/>
    </row>
    <row r="210" spans="1:11">
      <c r="A210" s="450" t="s">
        <v>1381</v>
      </c>
      <c r="B210" s="450" t="s">
        <v>1382</v>
      </c>
      <c r="C210" s="450" t="s">
        <v>1383</v>
      </c>
      <c r="D210" s="450" t="s">
        <v>1384</v>
      </c>
      <c r="E210" s="450" t="s">
        <v>1385</v>
      </c>
      <c r="F210" s="450"/>
      <c r="G210" s="450" t="s">
        <v>30165</v>
      </c>
      <c r="H210" s="450" t="s">
        <v>22878</v>
      </c>
      <c r="I210" s="450" t="s">
        <v>30166</v>
      </c>
      <c r="J210" s="450" t="s">
        <v>1382</v>
      </c>
      <c r="K210" s="450"/>
    </row>
    <row r="211" spans="1:11">
      <c r="A211" s="451" t="s">
        <v>1386</v>
      </c>
      <c r="B211" s="451" t="s">
        <v>1387</v>
      </c>
      <c r="C211" s="451" t="s">
        <v>1388</v>
      </c>
      <c r="D211" s="451" t="s">
        <v>1389</v>
      </c>
      <c r="E211" s="451"/>
      <c r="F211" s="451"/>
      <c r="G211" s="451" t="s">
        <v>30167</v>
      </c>
      <c r="H211" s="451" t="s">
        <v>22878</v>
      </c>
      <c r="I211" s="451" t="s">
        <v>30168</v>
      </c>
      <c r="J211" s="451" t="s">
        <v>1387</v>
      </c>
      <c r="K211" s="451"/>
    </row>
    <row r="212" spans="1:11">
      <c r="A212" s="450" t="s">
        <v>1390</v>
      </c>
      <c r="B212" s="450" t="s">
        <v>21408</v>
      </c>
      <c r="C212" s="450" t="s">
        <v>1391</v>
      </c>
      <c r="D212" s="450"/>
      <c r="E212" s="450"/>
      <c r="F212" s="450" t="s">
        <v>1392</v>
      </c>
      <c r="G212" s="450" t="s">
        <v>32522</v>
      </c>
      <c r="H212" s="450" t="s">
        <v>22878</v>
      </c>
      <c r="I212" s="450"/>
      <c r="J212" s="450" t="s">
        <v>21408</v>
      </c>
      <c r="K212" s="450"/>
    </row>
    <row r="213" spans="1:11">
      <c r="A213" s="451" t="s">
        <v>1393</v>
      </c>
      <c r="B213" s="451" t="s">
        <v>1394</v>
      </c>
      <c r="C213" s="451" t="s">
        <v>1395</v>
      </c>
      <c r="D213" s="451" t="s">
        <v>1396</v>
      </c>
      <c r="E213" s="451" t="s">
        <v>1397</v>
      </c>
      <c r="F213" s="451"/>
      <c r="G213" s="451" t="s">
        <v>32523</v>
      </c>
      <c r="H213" s="451" t="s">
        <v>22878</v>
      </c>
      <c r="I213" s="451"/>
      <c r="J213" s="451" t="s">
        <v>1394</v>
      </c>
      <c r="K213" s="451"/>
    </row>
    <row r="214" spans="1:11">
      <c r="A214" s="450" t="s">
        <v>22282</v>
      </c>
      <c r="B214" s="450" t="s">
        <v>1394</v>
      </c>
      <c r="C214" s="450" t="s">
        <v>1395</v>
      </c>
      <c r="D214" s="450" t="s">
        <v>1396</v>
      </c>
      <c r="E214" s="450"/>
      <c r="F214" s="450"/>
      <c r="G214" s="450" t="s">
        <v>22877</v>
      </c>
      <c r="H214" s="450" t="s">
        <v>22878</v>
      </c>
      <c r="I214" s="450" t="s">
        <v>1396</v>
      </c>
      <c r="J214" s="450" t="s">
        <v>22985</v>
      </c>
      <c r="K214" s="450"/>
    </row>
    <row r="215" spans="1:11">
      <c r="A215" s="451" t="s">
        <v>1398</v>
      </c>
      <c r="B215" s="451"/>
      <c r="C215" s="451" t="s">
        <v>1399</v>
      </c>
      <c r="D215" s="451"/>
      <c r="E215" s="451"/>
      <c r="F215" s="451"/>
      <c r="G215" s="451" t="s">
        <v>32524</v>
      </c>
      <c r="H215" s="451" t="s">
        <v>22878</v>
      </c>
      <c r="I215" s="451"/>
      <c r="J215" s="451"/>
      <c r="K215" s="451"/>
    </row>
    <row r="216" spans="1:11">
      <c r="A216" s="450" t="s">
        <v>1400</v>
      </c>
      <c r="B216" s="450"/>
      <c r="C216" s="450" t="s">
        <v>1401</v>
      </c>
      <c r="D216" s="450"/>
      <c r="E216" s="450"/>
      <c r="F216" s="450"/>
      <c r="G216" s="450" t="s">
        <v>22877</v>
      </c>
      <c r="H216" s="450" t="s">
        <v>22878</v>
      </c>
      <c r="I216" s="450" t="s">
        <v>22986</v>
      </c>
      <c r="J216" s="450" t="s">
        <v>22937</v>
      </c>
      <c r="K216" s="450"/>
    </row>
    <row r="217" spans="1:11">
      <c r="A217" s="451" t="s">
        <v>32525</v>
      </c>
      <c r="B217" s="451" t="s">
        <v>1403</v>
      </c>
      <c r="C217" s="451" t="s">
        <v>1404</v>
      </c>
      <c r="D217" s="451" t="s">
        <v>1405</v>
      </c>
      <c r="E217" s="451"/>
      <c r="F217" s="451"/>
      <c r="G217" s="451" t="s">
        <v>22877</v>
      </c>
      <c r="H217" s="451" t="s">
        <v>22878</v>
      </c>
      <c r="I217" s="451" t="s">
        <v>1405</v>
      </c>
      <c r="J217" s="451" t="s">
        <v>32526</v>
      </c>
      <c r="K217" s="451"/>
    </row>
    <row r="218" spans="1:11">
      <c r="A218" s="450" t="s">
        <v>1402</v>
      </c>
      <c r="B218" s="450" t="s">
        <v>1403</v>
      </c>
      <c r="C218" s="450" t="s">
        <v>1404</v>
      </c>
      <c r="D218" s="450" t="s">
        <v>1405</v>
      </c>
      <c r="E218" s="450"/>
      <c r="F218" s="450"/>
      <c r="G218" s="450" t="s">
        <v>23052</v>
      </c>
      <c r="H218" s="450" t="s">
        <v>22878</v>
      </c>
      <c r="I218" s="450" t="s">
        <v>30169</v>
      </c>
      <c r="J218" s="450" t="s">
        <v>1403</v>
      </c>
      <c r="K218" s="450"/>
    </row>
    <row r="219" spans="1:11">
      <c r="A219" s="451" t="s">
        <v>1406</v>
      </c>
      <c r="B219" s="451" t="s">
        <v>1407</v>
      </c>
      <c r="C219" s="451" t="s">
        <v>1408</v>
      </c>
      <c r="D219" s="451" t="s">
        <v>1409</v>
      </c>
      <c r="E219" s="451"/>
      <c r="F219" s="451"/>
      <c r="G219" s="451" t="s">
        <v>22877</v>
      </c>
      <c r="H219" s="451" t="s">
        <v>22878</v>
      </c>
      <c r="I219" s="451" t="s">
        <v>1409</v>
      </c>
      <c r="J219" s="451" t="s">
        <v>32527</v>
      </c>
      <c r="K219" s="451"/>
    </row>
    <row r="220" spans="1:11">
      <c r="A220" s="450" t="s">
        <v>1406</v>
      </c>
      <c r="B220" s="450" t="s">
        <v>1407</v>
      </c>
      <c r="C220" s="450" t="s">
        <v>1408</v>
      </c>
      <c r="D220" s="450" t="s">
        <v>1409</v>
      </c>
      <c r="E220" s="450" t="s">
        <v>1410</v>
      </c>
      <c r="F220" s="450"/>
      <c r="G220" s="450" t="s">
        <v>30170</v>
      </c>
      <c r="H220" s="450" t="s">
        <v>22878</v>
      </c>
      <c r="I220" s="450" t="s">
        <v>30171</v>
      </c>
      <c r="J220" s="450" t="s">
        <v>1407</v>
      </c>
      <c r="K220" s="450"/>
    </row>
    <row r="221" spans="1:11">
      <c r="A221" s="451" t="s">
        <v>22207</v>
      </c>
      <c r="B221" s="451" t="s">
        <v>22283</v>
      </c>
      <c r="C221" s="451" t="s">
        <v>22284</v>
      </c>
      <c r="D221" s="451"/>
      <c r="E221" s="451"/>
      <c r="F221" s="451"/>
      <c r="G221" s="451" t="s">
        <v>22877</v>
      </c>
      <c r="H221" s="451" t="s">
        <v>22878</v>
      </c>
      <c r="I221" s="451" t="s">
        <v>22987</v>
      </c>
      <c r="J221" s="451" t="s">
        <v>22988</v>
      </c>
      <c r="K221" s="451"/>
    </row>
    <row r="222" spans="1:11">
      <c r="A222" s="450" t="s">
        <v>22207</v>
      </c>
      <c r="B222" s="450" t="s">
        <v>22209</v>
      </c>
      <c r="C222" s="450" t="s">
        <v>22208</v>
      </c>
      <c r="D222" s="450" t="s">
        <v>22210</v>
      </c>
      <c r="E222" s="450"/>
      <c r="F222" s="450"/>
      <c r="G222" s="450" t="s">
        <v>22993</v>
      </c>
      <c r="H222" s="450" t="s">
        <v>22878</v>
      </c>
      <c r="I222" s="450" t="s">
        <v>30130</v>
      </c>
      <c r="J222" s="450" t="s">
        <v>22209</v>
      </c>
      <c r="K222" s="450"/>
    </row>
    <row r="223" spans="1:11">
      <c r="A223" s="451" t="s">
        <v>32528</v>
      </c>
      <c r="B223" s="451" t="s">
        <v>32529</v>
      </c>
      <c r="C223" s="451" t="s">
        <v>32530</v>
      </c>
      <c r="D223" s="451"/>
      <c r="E223" s="451"/>
      <c r="F223" s="451"/>
      <c r="G223" s="451"/>
      <c r="H223" s="451"/>
      <c r="I223" s="451"/>
      <c r="J223" s="451"/>
      <c r="K223" s="451"/>
    </row>
    <row r="224" spans="1:11">
      <c r="A224" s="450" t="s">
        <v>1411</v>
      </c>
      <c r="B224" s="450"/>
      <c r="C224" s="450" t="s">
        <v>1412</v>
      </c>
      <c r="D224" s="450"/>
      <c r="E224" s="450"/>
      <c r="F224" s="450"/>
      <c r="G224" s="450" t="s">
        <v>22877</v>
      </c>
      <c r="H224" s="450" t="s">
        <v>22878</v>
      </c>
      <c r="I224" s="450"/>
      <c r="J224" s="450" t="s">
        <v>22939</v>
      </c>
      <c r="K224" s="450"/>
    </row>
    <row r="225" spans="1:11">
      <c r="A225" s="451" t="s">
        <v>1413</v>
      </c>
      <c r="B225" s="451" t="s">
        <v>1414</v>
      </c>
      <c r="C225" s="451" t="s">
        <v>1415</v>
      </c>
      <c r="D225" s="451"/>
      <c r="E225" s="451"/>
      <c r="F225" s="451"/>
      <c r="G225" s="451" t="s">
        <v>22877</v>
      </c>
      <c r="H225" s="451" t="s">
        <v>22878</v>
      </c>
      <c r="I225" s="451"/>
      <c r="J225" s="451" t="s">
        <v>32531</v>
      </c>
      <c r="K225" s="451"/>
    </row>
    <row r="226" spans="1:11">
      <c r="A226" s="450" t="s">
        <v>22285</v>
      </c>
      <c r="B226" s="450" t="s">
        <v>22286</v>
      </c>
      <c r="C226" s="450" t="s">
        <v>22287</v>
      </c>
      <c r="D226" s="450"/>
      <c r="E226" s="450"/>
      <c r="F226" s="450"/>
      <c r="G226" s="450" t="s">
        <v>22877</v>
      </c>
      <c r="H226" s="450" t="s">
        <v>22878</v>
      </c>
      <c r="I226" s="450"/>
      <c r="J226" s="450" t="s">
        <v>22989</v>
      </c>
      <c r="K226" s="450"/>
    </row>
    <row r="227" spans="1:11">
      <c r="A227" s="451" t="s">
        <v>1416</v>
      </c>
      <c r="B227" s="451" t="s">
        <v>1417</v>
      </c>
      <c r="C227" s="451" t="s">
        <v>1418</v>
      </c>
      <c r="D227" s="451" t="s">
        <v>1419</v>
      </c>
      <c r="E227" s="451"/>
      <c r="F227" s="451"/>
      <c r="G227" s="451" t="s">
        <v>22877</v>
      </c>
      <c r="H227" s="451" t="s">
        <v>22878</v>
      </c>
      <c r="I227" s="451" t="s">
        <v>1419</v>
      </c>
      <c r="J227" s="451" t="s">
        <v>22990</v>
      </c>
      <c r="K227" s="451"/>
    </row>
    <row r="228" spans="1:11">
      <c r="A228" s="450" t="s">
        <v>1420</v>
      </c>
      <c r="B228" s="450"/>
      <c r="C228" s="450" t="s">
        <v>1421</v>
      </c>
      <c r="D228" s="450"/>
      <c r="E228" s="450"/>
      <c r="F228" s="450"/>
      <c r="G228" s="450" t="s">
        <v>22991</v>
      </c>
      <c r="H228" s="450" t="s">
        <v>22878</v>
      </c>
      <c r="I228" s="450" t="s">
        <v>22992</v>
      </c>
      <c r="J228" s="450"/>
      <c r="K228" s="450"/>
    </row>
    <row r="229" spans="1:11">
      <c r="A229" s="451" t="s">
        <v>1422</v>
      </c>
      <c r="B229" s="451" t="s">
        <v>1423</v>
      </c>
      <c r="C229" s="451" t="s">
        <v>1424</v>
      </c>
      <c r="D229" s="451" t="s">
        <v>1425</v>
      </c>
      <c r="E229" s="451"/>
      <c r="F229" s="451"/>
      <c r="G229" s="451" t="s">
        <v>32532</v>
      </c>
      <c r="H229" s="451" t="s">
        <v>22878</v>
      </c>
      <c r="I229" s="451" t="s">
        <v>22994</v>
      </c>
      <c r="J229" s="451" t="s">
        <v>1423</v>
      </c>
      <c r="K229" s="451"/>
    </row>
    <row r="230" spans="1:11">
      <c r="A230" s="450" t="s">
        <v>22288</v>
      </c>
      <c r="B230" s="450" t="s">
        <v>1423</v>
      </c>
      <c r="C230" s="450" t="s">
        <v>1424</v>
      </c>
      <c r="D230" s="450" t="s">
        <v>1425</v>
      </c>
      <c r="E230" s="450"/>
      <c r="F230" s="450"/>
      <c r="G230" s="450" t="s">
        <v>22993</v>
      </c>
      <c r="H230" s="450" t="s">
        <v>22878</v>
      </c>
      <c r="I230" s="450" t="s">
        <v>22994</v>
      </c>
      <c r="J230" s="450" t="s">
        <v>1423</v>
      </c>
      <c r="K230" s="450"/>
    </row>
    <row r="231" spans="1:11">
      <c r="A231" s="451" t="s">
        <v>1426</v>
      </c>
      <c r="B231" s="451"/>
      <c r="C231" s="451" t="s">
        <v>1427</v>
      </c>
      <c r="D231" s="451"/>
      <c r="E231" s="451"/>
      <c r="F231" s="451"/>
      <c r="G231" s="451" t="s">
        <v>22877</v>
      </c>
      <c r="H231" s="451" t="s">
        <v>22878</v>
      </c>
      <c r="I231" s="451"/>
      <c r="J231" s="451" t="s">
        <v>22995</v>
      </c>
      <c r="K231" s="451"/>
    </row>
    <row r="232" spans="1:11">
      <c r="A232" s="450" t="s">
        <v>32533</v>
      </c>
      <c r="B232" s="450"/>
      <c r="C232" s="450" t="s">
        <v>1429</v>
      </c>
      <c r="D232" s="450"/>
      <c r="E232" s="450"/>
      <c r="F232" s="450"/>
      <c r="G232" s="450" t="s">
        <v>22877</v>
      </c>
      <c r="H232" s="450" t="s">
        <v>22878</v>
      </c>
      <c r="I232" s="450"/>
      <c r="J232" s="450" t="s">
        <v>22942</v>
      </c>
      <c r="K232" s="450"/>
    </row>
    <row r="233" spans="1:11">
      <c r="A233" s="451" t="s">
        <v>1428</v>
      </c>
      <c r="B233" s="451"/>
      <c r="C233" s="451" t="s">
        <v>1429</v>
      </c>
      <c r="D233" s="451"/>
      <c r="E233" s="451"/>
      <c r="F233" s="451"/>
      <c r="G233" s="451" t="s">
        <v>28609</v>
      </c>
      <c r="H233" s="451" t="s">
        <v>22878</v>
      </c>
      <c r="I233" s="451"/>
      <c r="J233" s="451"/>
      <c r="K233" s="451"/>
    </row>
    <row r="234" spans="1:11">
      <c r="A234" s="450" t="s">
        <v>32534</v>
      </c>
      <c r="B234" s="450" t="s">
        <v>1431</v>
      </c>
      <c r="C234" s="450" t="s">
        <v>1432</v>
      </c>
      <c r="D234" s="450" t="s">
        <v>1433</v>
      </c>
      <c r="E234" s="450"/>
      <c r="F234" s="450"/>
      <c r="G234" s="450" t="s">
        <v>22877</v>
      </c>
      <c r="H234" s="450" t="s">
        <v>22878</v>
      </c>
      <c r="I234" s="450" t="s">
        <v>1433</v>
      </c>
      <c r="J234" s="450" t="s">
        <v>32535</v>
      </c>
      <c r="K234" s="450"/>
    </row>
    <row r="235" spans="1:11">
      <c r="A235" s="451" t="s">
        <v>1430</v>
      </c>
      <c r="B235" s="451" t="s">
        <v>1431</v>
      </c>
      <c r="C235" s="451" t="s">
        <v>1432</v>
      </c>
      <c r="D235" s="451" t="s">
        <v>1433</v>
      </c>
      <c r="E235" s="451"/>
      <c r="F235" s="451"/>
      <c r="G235" s="451" t="s">
        <v>30172</v>
      </c>
      <c r="H235" s="451" t="s">
        <v>22878</v>
      </c>
      <c r="I235" s="451" t="s">
        <v>30173</v>
      </c>
      <c r="J235" s="451" t="s">
        <v>1431</v>
      </c>
      <c r="K235" s="451"/>
    </row>
    <row r="236" spans="1:11">
      <c r="A236" s="450" t="s">
        <v>22289</v>
      </c>
      <c r="B236" s="450" t="s">
        <v>22290</v>
      </c>
      <c r="C236" s="450" t="s">
        <v>22291</v>
      </c>
      <c r="D236" s="450"/>
      <c r="E236" s="450"/>
      <c r="F236" s="450"/>
      <c r="G236" s="450" t="s">
        <v>22877</v>
      </c>
      <c r="H236" s="450" t="s">
        <v>22878</v>
      </c>
      <c r="I236" s="450"/>
      <c r="J236" s="450" t="s">
        <v>22996</v>
      </c>
      <c r="K236" s="450"/>
    </row>
    <row r="237" spans="1:11">
      <c r="A237" s="451" t="s">
        <v>32536</v>
      </c>
      <c r="B237" s="451" t="s">
        <v>1435</v>
      </c>
      <c r="C237" s="451" t="s">
        <v>1436</v>
      </c>
      <c r="D237" s="451" t="s">
        <v>1437</v>
      </c>
      <c r="E237" s="451"/>
      <c r="F237" s="451"/>
      <c r="G237" s="451" t="s">
        <v>22877</v>
      </c>
      <c r="H237" s="451" t="s">
        <v>22878</v>
      </c>
      <c r="I237" s="451" t="s">
        <v>1437</v>
      </c>
      <c r="J237" s="451" t="s">
        <v>32537</v>
      </c>
      <c r="K237" s="451"/>
    </row>
    <row r="238" spans="1:11">
      <c r="A238" s="450" t="s">
        <v>1434</v>
      </c>
      <c r="B238" s="450" t="s">
        <v>1435</v>
      </c>
      <c r="C238" s="450" t="s">
        <v>1436</v>
      </c>
      <c r="D238" s="450" t="s">
        <v>1437</v>
      </c>
      <c r="E238" s="450"/>
      <c r="F238" s="450"/>
      <c r="G238" s="450" t="s">
        <v>23824</v>
      </c>
      <c r="H238" s="450" t="s">
        <v>22878</v>
      </c>
      <c r="I238" s="450"/>
      <c r="J238" s="450" t="s">
        <v>1435</v>
      </c>
      <c r="K238" s="450"/>
    </row>
    <row r="239" spans="1:11">
      <c r="A239" s="451" t="s">
        <v>32538</v>
      </c>
      <c r="B239" s="451"/>
      <c r="C239" s="451" t="s">
        <v>1439</v>
      </c>
      <c r="D239" s="451"/>
      <c r="E239" s="451"/>
      <c r="F239" s="451"/>
      <c r="G239" s="451" t="s">
        <v>22877</v>
      </c>
      <c r="H239" s="451" t="s">
        <v>22878</v>
      </c>
      <c r="I239" s="451" t="s">
        <v>32539</v>
      </c>
      <c r="J239" s="451" t="s">
        <v>22997</v>
      </c>
      <c r="K239" s="451"/>
    </row>
    <row r="240" spans="1:11">
      <c r="A240" s="450" t="s">
        <v>1438</v>
      </c>
      <c r="B240" s="450"/>
      <c r="C240" s="450" t="s">
        <v>1439</v>
      </c>
      <c r="D240" s="450"/>
      <c r="E240" s="450"/>
      <c r="F240" s="450"/>
      <c r="G240" s="450" t="s">
        <v>32540</v>
      </c>
      <c r="H240" s="450" t="s">
        <v>22878</v>
      </c>
      <c r="I240" s="450"/>
      <c r="J240" s="450"/>
      <c r="K240" s="450"/>
    </row>
    <row r="241" spans="1:11">
      <c r="A241" s="451" t="s">
        <v>32541</v>
      </c>
      <c r="B241" s="451"/>
      <c r="C241" s="451" t="s">
        <v>1441</v>
      </c>
      <c r="D241" s="451"/>
      <c r="E241" s="451"/>
      <c r="F241" s="451"/>
      <c r="G241" s="451" t="s">
        <v>22877</v>
      </c>
      <c r="H241" s="451" t="s">
        <v>22878</v>
      </c>
      <c r="I241" s="451" t="s">
        <v>32542</v>
      </c>
      <c r="J241" s="451" t="s">
        <v>22942</v>
      </c>
      <c r="K241" s="451"/>
    </row>
    <row r="242" spans="1:11">
      <c r="A242" s="450" t="s">
        <v>1440</v>
      </c>
      <c r="B242" s="450"/>
      <c r="C242" s="450" t="s">
        <v>1441</v>
      </c>
      <c r="D242" s="450"/>
      <c r="E242" s="450"/>
      <c r="F242" s="450"/>
      <c r="G242" s="450" t="s">
        <v>22877</v>
      </c>
      <c r="H242" s="450" t="s">
        <v>22878</v>
      </c>
      <c r="I242" s="450" t="s">
        <v>30174</v>
      </c>
      <c r="J242" s="450" t="s">
        <v>26549</v>
      </c>
      <c r="K242" s="450"/>
    </row>
    <row r="243" spans="1:11">
      <c r="A243" s="451" t="s">
        <v>1442</v>
      </c>
      <c r="B243" s="451" t="s">
        <v>1443</v>
      </c>
      <c r="C243" s="451" t="s">
        <v>1444</v>
      </c>
      <c r="D243" s="451"/>
      <c r="E243" s="451"/>
      <c r="F243" s="451"/>
      <c r="G243" s="451" t="s">
        <v>22877</v>
      </c>
      <c r="H243" s="451" t="s">
        <v>22878</v>
      </c>
      <c r="I243" s="451" t="s">
        <v>22998</v>
      </c>
      <c r="J243" s="451" t="s">
        <v>22999</v>
      </c>
      <c r="K243" s="451"/>
    </row>
    <row r="244" spans="1:11">
      <c r="A244" s="450" t="s">
        <v>32543</v>
      </c>
      <c r="B244" s="450"/>
      <c r="C244" s="450" t="s">
        <v>1446</v>
      </c>
      <c r="D244" s="450"/>
      <c r="E244" s="450"/>
      <c r="F244" s="450"/>
      <c r="G244" s="450" t="s">
        <v>22877</v>
      </c>
      <c r="H244" s="450" t="s">
        <v>22878</v>
      </c>
      <c r="I244" s="450" t="s">
        <v>32544</v>
      </c>
      <c r="J244" s="450" t="s">
        <v>22948</v>
      </c>
      <c r="K244" s="450"/>
    </row>
    <row r="245" spans="1:11">
      <c r="A245" s="451" t="s">
        <v>1445</v>
      </c>
      <c r="B245" s="451"/>
      <c r="C245" s="451" t="s">
        <v>1446</v>
      </c>
      <c r="D245" s="451"/>
      <c r="E245" s="451"/>
      <c r="F245" s="451"/>
      <c r="G245" s="451" t="s">
        <v>22877</v>
      </c>
      <c r="H245" s="451" t="s">
        <v>22878</v>
      </c>
      <c r="I245" s="451" t="s">
        <v>32545</v>
      </c>
      <c r="J245" s="451" t="s">
        <v>22942</v>
      </c>
      <c r="K245" s="451"/>
    </row>
    <row r="246" spans="1:11">
      <c r="A246" s="450" t="s">
        <v>1447</v>
      </c>
      <c r="B246" s="450"/>
      <c r="C246" s="450" t="s">
        <v>1448</v>
      </c>
      <c r="D246" s="450"/>
      <c r="E246" s="450"/>
      <c r="F246" s="450"/>
      <c r="G246" s="450" t="s">
        <v>22877</v>
      </c>
      <c r="H246" s="450" t="s">
        <v>22878</v>
      </c>
      <c r="I246" s="450"/>
      <c r="J246" s="450" t="s">
        <v>22995</v>
      </c>
      <c r="K246" s="450"/>
    </row>
    <row r="247" spans="1:11">
      <c r="A247" s="451" t="s">
        <v>1449</v>
      </c>
      <c r="B247" s="451"/>
      <c r="C247" s="451" t="s">
        <v>1450</v>
      </c>
      <c r="D247" s="451"/>
      <c r="E247" s="451"/>
      <c r="F247" s="451"/>
      <c r="G247" s="451" t="s">
        <v>22877</v>
      </c>
      <c r="H247" s="451" t="s">
        <v>22878</v>
      </c>
      <c r="I247" s="451" t="s">
        <v>32546</v>
      </c>
      <c r="J247" s="451" t="s">
        <v>22939</v>
      </c>
      <c r="K247" s="451"/>
    </row>
    <row r="248" spans="1:11">
      <c r="A248" s="450" t="s">
        <v>1451</v>
      </c>
      <c r="B248" s="450"/>
      <c r="C248" s="450" t="s">
        <v>1452</v>
      </c>
      <c r="D248" s="450"/>
      <c r="E248" s="450"/>
      <c r="F248" s="450"/>
      <c r="G248" s="450" t="s">
        <v>22882</v>
      </c>
      <c r="H248" s="450" t="s">
        <v>22883</v>
      </c>
      <c r="I248" s="450"/>
      <c r="J248" s="450" t="s">
        <v>22937</v>
      </c>
      <c r="K248" s="450"/>
    </row>
    <row r="249" spans="1:11">
      <c r="A249" s="451" t="s">
        <v>1453</v>
      </c>
      <c r="B249" s="451"/>
      <c r="C249" s="451" t="s">
        <v>1454</v>
      </c>
      <c r="D249" s="451"/>
      <c r="E249" s="451"/>
      <c r="F249" s="451"/>
      <c r="G249" s="451" t="s">
        <v>22882</v>
      </c>
      <c r="H249" s="451" t="s">
        <v>22883</v>
      </c>
      <c r="I249" s="451"/>
      <c r="J249" s="451" t="s">
        <v>22997</v>
      </c>
      <c r="K249" s="451"/>
    </row>
    <row r="250" spans="1:11">
      <c r="A250" s="450" t="s">
        <v>32547</v>
      </c>
      <c r="B250" s="450"/>
      <c r="C250" s="450" t="s">
        <v>1454</v>
      </c>
      <c r="D250" s="450"/>
      <c r="E250" s="450"/>
      <c r="F250" s="450"/>
      <c r="G250" s="450" t="s">
        <v>22882</v>
      </c>
      <c r="H250" s="450" t="s">
        <v>22883</v>
      </c>
      <c r="I250" s="450" t="s">
        <v>32548</v>
      </c>
      <c r="J250" s="450" t="s">
        <v>22995</v>
      </c>
      <c r="K250" s="450"/>
    </row>
    <row r="251" spans="1:11">
      <c r="A251" s="451" t="s">
        <v>1455</v>
      </c>
      <c r="B251" s="451"/>
      <c r="C251" s="451" t="s">
        <v>1456</v>
      </c>
      <c r="D251" s="451"/>
      <c r="E251" s="451"/>
      <c r="F251" s="451"/>
      <c r="G251" s="451" t="s">
        <v>22877</v>
      </c>
      <c r="H251" s="451" t="s">
        <v>22878</v>
      </c>
      <c r="I251" s="451" t="s">
        <v>23000</v>
      </c>
      <c r="J251" s="451" t="s">
        <v>22958</v>
      </c>
      <c r="K251" s="451"/>
    </row>
    <row r="252" spans="1:11">
      <c r="A252" s="450" t="s">
        <v>32549</v>
      </c>
      <c r="B252" s="450" t="s">
        <v>1458</v>
      </c>
      <c r="C252" s="450" t="s">
        <v>1459</v>
      </c>
      <c r="D252" s="450" t="s">
        <v>1460</v>
      </c>
      <c r="E252" s="450"/>
      <c r="F252" s="450"/>
      <c r="G252" s="450" t="s">
        <v>22877</v>
      </c>
      <c r="H252" s="450" t="s">
        <v>22878</v>
      </c>
      <c r="I252" s="450" t="s">
        <v>1460</v>
      </c>
      <c r="J252" s="450" t="s">
        <v>32550</v>
      </c>
      <c r="K252" s="450"/>
    </row>
    <row r="253" spans="1:11">
      <c r="A253" s="451" t="s">
        <v>1457</v>
      </c>
      <c r="B253" s="451" t="s">
        <v>1458</v>
      </c>
      <c r="C253" s="451" t="s">
        <v>1459</v>
      </c>
      <c r="D253" s="451" t="s">
        <v>1460</v>
      </c>
      <c r="E253" s="451"/>
      <c r="F253" s="451"/>
      <c r="G253" s="451" t="s">
        <v>22877</v>
      </c>
      <c r="H253" s="451" t="s">
        <v>22878</v>
      </c>
      <c r="I253" s="451" t="s">
        <v>1460</v>
      </c>
      <c r="J253" s="451" t="s">
        <v>30175</v>
      </c>
      <c r="K253" s="451"/>
    </row>
    <row r="254" spans="1:11">
      <c r="A254" s="450" t="s">
        <v>32551</v>
      </c>
      <c r="B254" s="450" t="s">
        <v>1462</v>
      </c>
      <c r="C254" s="450" t="s">
        <v>1463</v>
      </c>
      <c r="D254" s="450" t="s">
        <v>1464</v>
      </c>
      <c r="E254" s="450"/>
      <c r="F254" s="450"/>
      <c r="G254" s="450" t="s">
        <v>22882</v>
      </c>
      <c r="H254" s="450" t="s">
        <v>22883</v>
      </c>
      <c r="I254" s="450" t="s">
        <v>1464</v>
      </c>
      <c r="J254" s="450" t="s">
        <v>32552</v>
      </c>
      <c r="K254" s="450"/>
    </row>
    <row r="255" spans="1:11">
      <c r="A255" s="451" t="s">
        <v>1461</v>
      </c>
      <c r="B255" s="451" t="s">
        <v>1462</v>
      </c>
      <c r="C255" s="451" t="s">
        <v>1463</v>
      </c>
      <c r="D255" s="451" t="s">
        <v>1464</v>
      </c>
      <c r="E255" s="451" t="s">
        <v>1465</v>
      </c>
      <c r="F255" s="451"/>
      <c r="G255" s="451" t="s">
        <v>22882</v>
      </c>
      <c r="H255" s="451" t="s">
        <v>22883</v>
      </c>
      <c r="I255" s="451" t="s">
        <v>1464</v>
      </c>
      <c r="J255" s="451" t="s">
        <v>30176</v>
      </c>
      <c r="K255" s="451"/>
    </row>
    <row r="256" spans="1:11">
      <c r="A256" s="450" t="s">
        <v>1466</v>
      </c>
      <c r="B256" s="450"/>
      <c r="C256" s="450" t="s">
        <v>1467</v>
      </c>
      <c r="D256" s="450"/>
      <c r="E256" s="450"/>
      <c r="F256" s="450"/>
      <c r="G256" s="450" t="s">
        <v>22877</v>
      </c>
      <c r="H256" s="450" t="s">
        <v>22878</v>
      </c>
      <c r="I256" s="450" t="s">
        <v>23001</v>
      </c>
      <c r="J256" s="450" t="s">
        <v>22937</v>
      </c>
      <c r="K256" s="450"/>
    </row>
    <row r="257" spans="1:11">
      <c r="A257" s="451" t="s">
        <v>22292</v>
      </c>
      <c r="B257" s="451" t="s">
        <v>22293</v>
      </c>
      <c r="C257" s="451" t="s">
        <v>22294</v>
      </c>
      <c r="D257" s="451"/>
      <c r="E257" s="451"/>
      <c r="F257" s="451"/>
      <c r="G257" s="451" t="s">
        <v>22877</v>
      </c>
      <c r="H257" s="451" t="s">
        <v>22878</v>
      </c>
      <c r="I257" s="451"/>
      <c r="J257" s="451" t="s">
        <v>23002</v>
      </c>
      <c r="K257" s="451"/>
    </row>
    <row r="258" spans="1:11">
      <c r="A258" s="450" t="s">
        <v>20092</v>
      </c>
      <c r="B258" s="450" t="s">
        <v>20093</v>
      </c>
      <c r="C258" s="450" t="s">
        <v>20094</v>
      </c>
      <c r="D258" s="450" t="s">
        <v>20095</v>
      </c>
      <c r="E258" s="450" t="s">
        <v>20096</v>
      </c>
      <c r="F258" s="450"/>
      <c r="G258" s="450" t="s">
        <v>22877</v>
      </c>
      <c r="H258" s="450" t="s">
        <v>22878</v>
      </c>
      <c r="I258" s="450" t="s">
        <v>20095</v>
      </c>
      <c r="J258" s="450" t="s">
        <v>30177</v>
      </c>
      <c r="K258" s="450"/>
    </row>
    <row r="259" spans="1:11">
      <c r="A259" s="451" t="s">
        <v>1468</v>
      </c>
      <c r="B259" s="451" t="s">
        <v>1469</v>
      </c>
      <c r="C259" s="451" t="s">
        <v>1469</v>
      </c>
      <c r="D259" s="451" t="s">
        <v>1470</v>
      </c>
      <c r="E259" s="451"/>
      <c r="F259" s="451" t="s">
        <v>1472</v>
      </c>
      <c r="G259" s="451" t="s">
        <v>22877</v>
      </c>
      <c r="H259" s="451" t="s">
        <v>22878</v>
      </c>
      <c r="I259" s="451" t="s">
        <v>1470</v>
      </c>
      <c r="J259" s="451" t="s">
        <v>23003</v>
      </c>
      <c r="K259" s="451"/>
    </row>
    <row r="260" spans="1:11">
      <c r="A260" s="450" t="s">
        <v>1468</v>
      </c>
      <c r="B260" s="450" t="s">
        <v>1469</v>
      </c>
      <c r="C260" s="450" t="s">
        <v>1469</v>
      </c>
      <c r="D260" s="450" t="s">
        <v>1470</v>
      </c>
      <c r="E260" s="450" t="s">
        <v>1471</v>
      </c>
      <c r="F260" s="450" t="s">
        <v>1472</v>
      </c>
      <c r="G260" s="450" t="s">
        <v>22882</v>
      </c>
      <c r="H260" s="450" t="s">
        <v>22883</v>
      </c>
      <c r="I260" s="450" t="s">
        <v>1470</v>
      </c>
      <c r="J260" s="450" t="s">
        <v>23003</v>
      </c>
      <c r="K260" s="450"/>
    </row>
    <row r="261" spans="1:11">
      <c r="A261" s="451" t="s">
        <v>22295</v>
      </c>
      <c r="B261" s="451" t="s">
        <v>20093</v>
      </c>
      <c r="C261" s="451" t="s">
        <v>20094</v>
      </c>
      <c r="D261" s="451" t="s">
        <v>20095</v>
      </c>
      <c r="E261" s="451"/>
      <c r="F261" s="451"/>
      <c r="G261" s="451" t="s">
        <v>22877</v>
      </c>
      <c r="H261" s="451" t="s">
        <v>22878</v>
      </c>
      <c r="I261" s="451" t="s">
        <v>20095</v>
      </c>
      <c r="J261" s="451" t="s">
        <v>23004</v>
      </c>
      <c r="K261" s="451"/>
    </row>
    <row r="262" spans="1:11">
      <c r="A262" s="450" t="s">
        <v>22296</v>
      </c>
      <c r="B262" s="450" t="s">
        <v>22297</v>
      </c>
      <c r="C262" s="450" t="s">
        <v>22298</v>
      </c>
      <c r="D262" s="450"/>
      <c r="E262" s="450"/>
      <c r="F262" s="450"/>
      <c r="G262" s="450"/>
      <c r="H262" s="450" t="s">
        <v>22878</v>
      </c>
      <c r="I262" s="450" t="s">
        <v>23005</v>
      </c>
      <c r="J262" s="450"/>
      <c r="K262" s="450"/>
    </row>
    <row r="263" spans="1:11">
      <c r="A263" s="451" t="s">
        <v>21375</v>
      </c>
      <c r="B263" s="451" t="s">
        <v>21378</v>
      </c>
      <c r="C263" s="451" t="s">
        <v>21376</v>
      </c>
      <c r="D263" s="451" t="s">
        <v>21377</v>
      </c>
      <c r="E263" s="451"/>
      <c r="F263" s="451"/>
      <c r="G263" s="451" t="s">
        <v>22877</v>
      </c>
      <c r="H263" s="451" t="s">
        <v>22878</v>
      </c>
      <c r="I263" s="451" t="s">
        <v>30178</v>
      </c>
      <c r="J263" s="451" t="s">
        <v>30179</v>
      </c>
      <c r="K263" s="451"/>
    </row>
    <row r="264" spans="1:11">
      <c r="A264" s="450" t="s">
        <v>1473</v>
      </c>
      <c r="B264" s="450" t="s">
        <v>1474</v>
      </c>
      <c r="C264" s="450" t="s">
        <v>1475</v>
      </c>
      <c r="D264" s="450"/>
      <c r="E264" s="450"/>
      <c r="F264" s="450" t="s">
        <v>20097</v>
      </c>
      <c r="G264" s="450" t="s">
        <v>22877</v>
      </c>
      <c r="H264" s="450" t="s">
        <v>22878</v>
      </c>
      <c r="I264" s="450" t="s">
        <v>23006</v>
      </c>
      <c r="J264" s="450" t="s">
        <v>23007</v>
      </c>
      <c r="K264" s="450"/>
    </row>
    <row r="265" spans="1:11">
      <c r="A265" s="451" t="s">
        <v>1476</v>
      </c>
      <c r="B265" s="451" t="s">
        <v>1477</v>
      </c>
      <c r="C265" s="451" t="s">
        <v>1478</v>
      </c>
      <c r="D265" s="451"/>
      <c r="E265" s="451"/>
      <c r="F265" s="451"/>
      <c r="G265" s="451" t="s">
        <v>22877</v>
      </c>
      <c r="H265" s="451" t="s">
        <v>22878</v>
      </c>
      <c r="I265" s="451" t="s">
        <v>32553</v>
      </c>
      <c r="J265" s="451" t="s">
        <v>32554</v>
      </c>
      <c r="K265" s="451"/>
    </row>
    <row r="266" spans="1:11">
      <c r="A266" s="450" t="s">
        <v>22299</v>
      </c>
      <c r="B266" s="450" t="s">
        <v>1477</v>
      </c>
      <c r="C266" s="450" t="s">
        <v>1478</v>
      </c>
      <c r="D266" s="450"/>
      <c r="E266" s="450"/>
      <c r="F266" s="450"/>
      <c r="G266" s="450"/>
      <c r="H266" s="450" t="s">
        <v>22878</v>
      </c>
      <c r="I266" s="450"/>
      <c r="J266" s="450" t="s">
        <v>1477</v>
      </c>
      <c r="K266" s="450"/>
    </row>
    <row r="267" spans="1:11">
      <c r="A267" s="451" t="s">
        <v>32555</v>
      </c>
      <c r="B267" s="451"/>
      <c r="C267" s="451" t="s">
        <v>1480</v>
      </c>
      <c r="D267" s="451"/>
      <c r="E267" s="451"/>
      <c r="F267" s="451"/>
      <c r="G267" s="451" t="s">
        <v>22877</v>
      </c>
      <c r="H267" s="451" t="s">
        <v>22878</v>
      </c>
      <c r="I267" s="451" t="s">
        <v>32556</v>
      </c>
      <c r="J267" s="451" t="s">
        <v>22942</v>
      </c>
      <c r="K267" s="451"/>
    </row>
    <row r="268" spans="1:11">
      <c r="A268" s="450" t="s">
        <v>1479</v>
      </c>
      <c r="B268" s="450"/>
      <c r="C268" s="450" t="s">
        <v>1480</v>
      </c>
      <c r="D268" s="450"/>
      <c r="E268" s="450"/>
      <c r="F268" s="450"/>
      <c r="G268" s="450" t="s">
        <v>22877</v>
      </c>
      <c r="H268" s="450" t="s">
        <v>22878</v>
      </c>
      <c r="I268" s="450" t="s">
        <v>30180</v>
      </c>
      <c r="J268" s="450" t="s">
        <v>28403</v>
      </c>
      <c r="K268" s="450"/>
    </row>
    <row r="269" spans="1:11">
      <c r="A269" s="451" t="s">
        <v>1481</v>
      </c>
      <c r="B269" s="451" t="s">
        <v>1482</v>
      </c>
      <c r="C269" s="451" t="s">
        <v>1483</v>
      </c>
      <c r="D269" s="451"/>
      <c r="E269" s="451"/>
      <c r="F269" s="451"/>
      <c r="G269" s="451" t="s">
        <v>22877</v>
      </c>
      <c r="H269" s="451" t="s">
        <v>22878</v>
      </c>
      <c r="I269" s="451" t="s">
        <v>30181</v>
      </c>
      <c r="J269" s="451" t="s">
        <v>32557</v>
      </c>
      <c r="K269" s="451"/>
    </row>
    <row r="270" spans="1:11">
      <c r="A270" s="450" t="s">
        <v>1484</v>
      </c>
      <c r="B270" s="450" t="s">
        <v>1485</v>
      </c>
      <c r="C270" s="450" t="s">
        <v>1486</v>
      </c>
      <c r="D270" s="450"/>
      <c r="E270" s="450"/>
      <c r="F270" s="450"/>
      <c r="G270" s="450" t="s">
        <v>22877</v>
      </c>
      <c r="H270" s="450" t="s">
        <v>22878</v>
      </c>
      <c r="I270" s="450" t="s">
        <v>30181</v>
      </c>
      <c r="J270" s="450" t="s">
        <v>30182</v>
      </c>
      <c r="K270" s="450"/>
    </row>
    <row r="271" spans="1:11">
      <c r="A271" s="451" t="s">
        <v>32558</v>
      </c>
      <c r="B271" s="451" t="s">
        <v>1482</v>
      </c>
      <c r="C271" s="451" t="s">
        <v>1483</v>
      </c>
      <c r="D271" s="451"/>
      <c r="E271" s="451"/>
      <c r="F271" s="451"/>
      <c r="G271" s="451" t="s">
        <v>22877</v>
      </c>
      <c r="H271" s="451" t="s">
        <v>22878</v>
      </c>
      <c r="I271" s="451" t="s">
        <v>23008</v>
      </c>
      <c r="J271" s="451" t="s">
        <v>32559</v>
      </c>
      <c r="K271" s="451"/>
    </row>
    <row r="272" spans="1:11">
      <c r="A272" s="450" t="s">
        <v>22300</v>
      </c>
      <c r="B272" s="450" t="s">
        <v>22301</v>
      </c>
      <c r="C272" s="450" t="s">
        <v>1489</v>
      </c>
      <c r="D272" s="450" t="s">
        <v>1490</v>
      </c>
      <c r="E272" s="450"/>
      <c r="F272" s="450"/>
      <c r="G272" s="450" t="s">
        <v>22877</v>
      </c>
      <c r="H272" s="450" t="s">
        <v>22878</v>
      </c>
      <c r="I272" s="450" t="s">
        <v>23008</v>
      </c>
      <c r="J272" s="450" t="s">
        <v>23009</v>
      </c>
      <c r="K272" s="450"/>
    </row>
    <row r="273" spans="1:11">
      <c r="A273" s="451" t="s">
        <v>1487</v>
      </c>
      <c r="B273" s="451" t="s">
        <v>1488</v>
      </c>
      <c r="C273" s="451" t="s">
        <v>1489</v>
      </c>
      <c r="D273" s="451" t="s">
        <v>1490</v>
      </c>
      <c r="E273" s="451" t="s">
        <v>1491</v>
      </c>
      <c r="F273" s="451"/>
      <c r="G273" s="451" t="s">
        <v>22877</v>
      </c>
      <c r="H273" s="451" t="s">
        <v>22878</v>
      </c>
      <c r="I273" s="451" t="s">
        <v>30181</v>
      </c>
      <c r="J273" s="451" t="s">
        <v>1488</v>
      </c>
      <c r="K273" s="451"/>
    </row>
    <row r="274" spans="1:11">
      <c r="A274" s="450" t="s">
        <v>32560</v>
      </c>
      <c r="B274" s="450"/>
      <c r="C274" s="450" t="s">
        <v>1493</v>
      </c>
      <c r="D274" s="450" t="s">
        <v>1494</v>
      </c>
      <c r="E274" s="450"/>
      <c r="F274" s="450"/>
      <c r="G274" s="450" t="s">
        <v>32561</v>
      </c>
      <c r="H274" s="450" t="s">
        <v>22878</v>
      </c>
      <c r="I274" s="450" t="s">
        <v>1494</v>
      </c>
      <c r="J274" s="450"/>
      <c r="K274" s="450"/>
    </row>
    <row r="275" spans="1:11">
      <c r="A275" s="451" t="s">
        <v>1492</v>
      </c>
      <c r="B275" s="451"/>
      <c r="C275" s="451" t="s">
        <v>1493</v>
      </c>
      <c r="D275" s="451" t="s">
        <v>1494</v>
      </c>
      <c r="E275" s="451" t="s">
        <v>1495</v>
      </c>
      <c r="F275" s="451"/>
      <c r="G275" s="451" t="s">
        <v>22882</v>
      </c>
      <c r="H275" s="451" t="s">
        <v>22883</v>
      </c>
      <c r="I275" s="451" t="s">
        <v>1494</v>
      </c>
      <c r="J275" s="451" t="s">
        <v>32562</v>
      </c>
      <c r="K275" s="451"/>
    </row>
    <row r="276" spans="1:11">
      <c r="A276" s="450" t="s">
        <v>1496</v>
      </c>
      <c r="B276" s="450"/>
      <c r="C276" s="450" t="s">
        <v>1497</v>
      </c>
      <c r="D276" s="450"/>
      <c r="E276" s="450"/>
      <c r="F276" s="450"/>
      <c r="G276" s="450" t="s">
        <v>22877</v>
      </c>
      <c r="H276" s="450" t="s">
        <v>22878</v>
      </c>
      <c r="I276" s="450"/>
      <c r="J276" s="450" t="s">
        <v>22943</v>
      </c>
      <c r="K276" s="450"/>
    </row>
    <row r="277" spans="1:11">
      <c r="A277" s="451" t="s">
        <v>22302</v>
      </c>
      <c r="B277" s="451" t="s">
        <v>22303</v>
      </c>
      <c r="C277" s="451" t="s">
        <v>22304</v>
      </c>
      <c r="D277" s="451"/>
      <c r="E277" s="451"/>
      <c r="F277" s="451"/>
      <c r="G277" s="451" t="s">
        <v>22877</v>
      </c>
      <c r="H277" s="451" t="s">
        <v>22878</v>
      </c>
      <c r="I277" s="451" t="s">
        <v>23010</v>
      </c>
      <c r="J277" s="451" t="s">
        <v>23011</v>
      </c>
      <c r="K277" s="451"/>
    </row>
    <row r="278" spans="1:11">
      <c r="A278" s="450" t="s">
        <v>22305</v>
      </c>
      <c r="B278" s="450" t="s">
        <v>22306</v>
      </c>
      <c r="C278" s="450" t="s">
        <v>22307</v>
      </c>
      <c r="D278" s="450"/>
      <c r="E278" s="450"/>
      <c r="F278" s="450"/>
      <c r="G278" s="450" t="s">
        <v>22877</v>
      </c>
      <c r="H278" s="450" t="s">
        <v>22878</v>
      </c>
      <c r="I278" s="450" t="s">
        <v>23012</v>
      </c>
      <c r="J278" s="450" t="s">
        <v>23013</v>
      </c>
      <c r="K278" s="450"/>
    </row>
    <row r="279" spans="1:11">
      <c r="A279" s="451" t="s">
        <v>22308</v>
      </c>
      <c r="B279" s="451" t="s">
        <v>22309</v>
      </c>
      <c r="C279" s="451" t="s">
        <v>3055</v>
      </c>
      <c r="D279" s="451" t="s">
        <v>22310</v>
      </c>
      <c r="E279" s="451"/>
      <c r="F279" s="451"/>
      <c r="G279" s="451" t="s">
        <v>22877</v>
      </c>
      <c r="H279" s="451" t="s">
        <v>22878</v>
      </c>
      <c r="I279" s="451" t="s">
        <v>22310</v>
      </c>
      <c r="J279" s="451" t="s">
        <v>23014</v>
      </c>
      <c r="K279" s="451"/>
    </row>
    <row r="280" spans="1:11">
      <c r="A280" s="450" t="s">
        <v>22311</v>
      </c>
      <c r="B280" s="450" t="s">
        <v>22312</v>
      </c>
      <c r="C280" s="450" t="s">
        <v>1597</v>
      </c>
      <c r="D280" s="450" t="s">
        <v>1598</v>
      </c>
      <c r="E280" s="450"/>
      <c r="F280" s="450"/>
      <c r="G280" s="450" t="s">
        <v>22877</v>
      </c>
      <c r="H280" s="450" t="s">
        <v>22878</v>
      </c>
      <c r="I280" s="450" t="s">
        <v>1598</v>
      </c>
      <c r="J280" s="450" t="s">
        <v>23015</v>
      </c>
      <c r="K280" s="450"/>
    </row>
    <row r="281" spans="1:11">
      <c r="A281" s="451" t="s">
        <v>22313</v>
      </c>
      <c r="B281" s="451" t="s">
        <v>22314</v>
      </c>
      <c r="C281" s="451" t="s">
        <v>11851</v>
      </c>
      <c r="D281" s="451" t="s">
        <v>1602</v>
      </c>
      <c r="E281" s="451"/>
      <c r="F281" s="451"/>
      <c r="G281" s="451" t="s">
        <v>22877</v>
      </c>
      <c r="H281" s="451" t="s">
        <v>22878</v>
      </c>
      <c r="I281" s="451" t="s">
        <v>23016</v>
      </c>
      <c r="J281" s="451" t="s">
        <v>23017</v>
      </c>
      <c r="K281" s="451"/>
    </row>
    <row r="282" spans="1:11">
      <c r="A282" s="450" t="s">
        <v>29968</v>
      </c>
      <c r="B282" s="450" t="s">
        <v>29969</v>
      </c>
      <c r="C282" s="450" t="s">
        <v>29970</v>
      </c>
      <c r="D282" s="450"/>
      <c r="E282" s="450"/>
      <c r="F282" s="450"/>
      <c r="G282" s="450"/>
      <c r="H282" s="450"/>
      <c r="I282" s="450"/>
      <c r="J282" s="450"/>
      <c r="K282" s="450"/>
    </row>
    <row r="283" spans="1:11">
      <c r="A283" s="451" t="s">
        <v>22315</v>
      </c>
      <c r="B283" s="451" t="s">
        <v>22316</v>
      </c>
      <c r="C283" s="451" t="s">
        <v>22317</v>
      </c>
      <c r="D283" s="451" t="s">
        <v>22318</v>
      </c>
      <c r="E283" s="451"/>
      <c r="F283" s="451"/>
      <c r="G283" s="451" t="s">
        <v>22877</v>
      </c>
      <c r="H283" s="451" t="s">
        <v>22878</v>
      </c>
      <c r="I283" s="451" t="s">
        <v>22318</v>
      </c>
      <c r="J283" s="451" t="s">
        <v>23018</v>
      </c>
      <c r="K283" s="451"/>
    </row>
    <row r="284" spans="1:11">
      <c r="A284" s="450" t="s">
        <v>22319</v>
      </c>
      <c r="B284" s="450" t="s">
        <v>22320</v>
      </c>
      <c r="C284" s="450" t="s">
        <v>22321</v>
      </c>
      <c r="D284" s="450" t="s">
        <v>22322</v>
      </c>
      <c r="E284" s="450"/>
      <c r="F284" s="450"/>
      <c r="G284" s="450" t="s">
        <v>22877</v>
      </c>
      <c r="H284" s="450" t="s">
        <v>22878</v>
      </c>
      <c r="I284" s="450" t="s">
        <v>22322</v>
      </c>
      <c r="J284" s="450" t="s">
        <v>23019</v>
      </c>
      <c r="K284" s="450"/>
    </row>
    <row r="285" spans="1:11">
      <c r="A285" s="451" t="s">
        <v>32563</v>
      </c>
      <c r="B285" s="451" t="s">
        <v>1499</v>
      </c>
      <c r="C285" s="451" t="s">
        <v>1500</v>
      </c>
      <c r="D285" s="451"/>
      <c r="E285" s="451"/>
      <c r="F285" s="451"/>
      <c r="G285" s="451" t="s">
        <v>22877</v>
      </c>
      <c r="H285" s="451" t="s">
        <v>22878</v>
      </c>
      <c r="I285" s="451" t="s">
        <v>32564</v>
      </c>
      <c r="J285" s="451" t="s">
        <v>32565</v>
      </c>
      <c r="K285" s="451"/>
    </row>
    <row r="286" spans="1:11">
      <c r="A286" s="450" t="s">
        <v>1498</v>
      </c>
      <c r="B286" s="450" t="s">
        <v>1499</v>
      </c>
      <c r="C286" s="450" t="s">
        <v>1500</v>
      </c>
      <c r="D286" s="450"/>
      <c r="E286" s="450"/>
      <c r="F286" s="450"/>
      <c r="G286" s="450" t="s">
        <v>22877</v>
      </c>
      <c r="H286" s="450" t="s">
        <v>22878</v>
      </c>
      <c r="I286" s="450" t="s">
        <v>30183</v>
      </c>
      <c r="J286" s="450" t="s">
        <v>30184</v>
      </c>
      <c r="K286" s="450"/>
    </row>
    <row r="287" spans="1:11">
      <c r="A287" s="451" t="s">
        <v>22323</v>
      </c>
      <c r="B287" s="451" t="s">
        <v>1501</v>
      </c>
      <c r="C287" s="451" t="s">
        <v>1502</v>
      </c>
      <c r="D287" s="451" t="s">
        <v>1503</v>
      </c>
      <c r="E287" s="451"/>
      <c r="F287" s="451"/>
      <c r="G287" s="451" t="s">
        <v>22877</v>
      </c>
      <c r="H287" s="451" t="s">
        <v>22878</v>
      </c>
      <c r="I287" s="451" t="s">
        <v>1503</v>
      </c>
      <c r="J287" s="451" t="s">
        <v>23020</v>
      </c>
      <c r="K287" s="451"/>
    </row>
    <row r="288" spans="1:11">
      <c r="A288" s="450" t="s">
        <v>22324</v>
      </c>
      <c r="B288" s="450" t="s">
        <v>22325</v>
      </c>
      <c r="C288" s="450" t="s">
        <v>1506</v>
      </c>
      <c r="D288" s="450" t="s">
        <v>1507</v>
      </c>
      <c r="E288" s="450"/>
      <c r="F288" s="450"/>
      <c r="G288" s="450" t="s">
        <v>22877</v>
      </c>
      <c r="H288" s="450" t="s">
        <v>22878</v>
      </c>
      <c r="I288" s="450" t="s">
        <v>23021</v>
      </c>
      <c r="J288" s="450" t="s">
        <v>23022</v>
      </c>
      <c r="K288" s="450"/>
    </row>
    <row r="289" spans="1:11">
      <c r="A289" s="451" t="s">
        <v>22326</v>
      </c>
      <c r="B289" s="451" t="s">
        <v>1509</v>
      </c>
      <c r="C289" s="451" t="s">
        <v>1510</v>
      </c>
      <c r="D289" s="451" t="s">
        <v>1511</v>
      </c>
      <c r="E289" s="451"/>
      <c r="F289" s="451"/>
      <c r="G289" s="451" t="s">
        <v>22877</v>
      </c>
      <c r="H289" s="451" t="s">
        <v>22878</v>
      </c>
      <c r="I289" s="451" t="s">
        <v>1511</v>
      </c>
      <c r="J289" s="451" t="s">
        <v>23023</v>
      </c>
      <c r="K289" s="451"/>
    </row>
    <row r="290" spans="1:11">
      <c r="A290" s="450" t="s">
        <v>32566</v>
      </c>
      <c r="B290" s="450" t="s">
        <v>1513</v>
      </c>
      <c r="C290" s="450" t="s">
        <v>1514</v>
      </c>
      <c r="D290" s="450" t="s">
        <v>1515</v>
      </c>
      <c r="E290" s="450"/>
      <c r="F290" s="450"/>
      <c r="G290" s="450" t="s">
        <v>22882</v>
      </c>
      <c r="H290" s="450" t="s">
        <v>22883</v>
      </c>
      <c r="I290" s="450"/>
      <c r="J290" s="450" t="s">
        <v>32567</v>
      </c>
      <c r="K290" s="450"/>
    </row>
    <row r="291" spans="1:11">
      <c r="A291" s="451" t="s">
        <v>32568</v>
      </c>
      <c r="B291" s="451" t="s">
        <v>1517</v>
      </c>
      <c r="C291" s="451" t="s">
        <v>1518</v>
      </c>
      <c r="D291" s="451" t="s">
        <v>1519</v>
      </c>
      <c r="E291" s="451"/>
      <c r="F291" s="451"/>
      <c r="G291" s="451" t="s">
        <v>22882</v>
      </c>
      <c r="H291" s="451" t="s">
        <v>22883</v>
      </c>
      <c r="I291" s="451"/>
      <c r="J291" s="451" t="s">
        <v>23024</v>
      </c>
      <c r="K291" s="451"/>
    </row>
    <row r="292" spans="1:11">
      <c r="A292" s="450" t="s">
        <v>22327</v>
      </c>
      <c r="B292" s="450" t="s">
        <v>1520</v>
      </c>
      <c r="C292" s="450" t="s">
        <v>1521</v>
      </c>
      <c r="D292" s="450" t="s">
        <v>1522</v>
      </c>
      <c r="E292" s="450"/>
      <c r="F292" s="450"/>
      <c r="G292" s="450" t="s">
        <v>22877</v>
      </c>
      <c r="H292" s="450" t="s">
        <v>22878</v>
      </c>
      <c r="I292" s="450"/>
      <c r="J292" s="450" t="s">
        <v>23025</v>
      </c>
      <c r="K292" s="450"/>
    </row>
    <row r="293" spans="1:11">
      <c r="A293" s="451" t="s">
        <v>22328</v>
      </c>
      <c r="B293" s="451" t="s">
        <v>1524</v>
      </c>
      <c r="C293" s="451" t="s">
        <v>1525</v>
      </c>
      <c r="D293" s="451" t="s">
        <v>1526</v>
      </c>
      <c r="E293" s="451"/>
      <c r="F293" s="451"/>
      <c r="G293" s="451" t="s">
        <v>22877</v>
      </c>
      <c r="H293" s="451" t="s">
        <v>22878</v>
      </c>
      <c r="I293" s="451" t="s">
        <v>1526</v>
      </c>
      <c r="J293" s="451" t="s">
        <v>23026</v>
      </c>
      <c r="K293" s="451"/>
    </row>
    <row r="294" spans="1:11">
      <c r="A294" s="450" t="s">
        <v>22329</v>
      </c>
      <c r="B294" s="450" t="s">
        <v>1528</v>
      </c>
      <c r="C294" s="450" t="s">
        <v>1529</v>
      </c>
      <c r="D294" s="450" t="s">
        <v>1530</v>
      </c>
      <c r="E294" s="450"/>
      <c r="F294" s="450"/>
      <c r="G294" s="450" t="s">
        <v>22877</v>
      </c>
      <c r="H294" s="450" t="s">
        <v>22878</v>
      </c>
      <c r="I294" s="450" t="s">
        <v>23027</v>
      </c>
      <c r="J294" s="450" t="s">
        <v>23028</v>
      </c>
      <c r="K294" s="450"/>
    </row>
    <row r="295" spans="1:11">
      <c r="A295" s="451" t="s">
        <v>22330</v>
      </c>
      <c r="B295" s="451" t="s">
        <v>22331</v>
      </c>
      <c r="C295" s="451" t="s">
        <v>1533</v>
      </c>
      <c r="D295" s="451" t="s">
        <v>1534</v>
      </c>
      <c r="E295" s="451"/>
      <c r="F295" s="451"/>
      <c r="G295" s="451" t="s">
        <v>22877</v>
      </c>
      <c r="H295" s="451" t="s">
        <v>22878</v>
      </c>
      <c r="I295" s="451" t="s">
        <v>1534</v>
      </c>
      <c r="J295" s="451" t="s">
        <v>23029</v>
      </c>
      <c r="K295" s="451"/>
    </row>
    <row r="296" spans="1:11">
      <c r="A296" s="450" t="s">
        <v>22332</v>
      </c>
      <c r="B296" s="450" t="s">
        <v>1536</v>
      </c>
      <c r="C296" s="450" t="s">
        <v>1537</v>
      </c>
      <c r="D296" s="450" t="s">
        <v>1538</v>
      </c>
      <c r="E296" s="450"/>
      <c r="F296" s="450"/>
      <c r="G296" s="450" t="s">
        <v>22877</v>
      </c>
      <c r="H296" s="450" t="s">
        <v>22878</v>
      </c>
      <c r="I296" s="450" t="s">
        <v>23030</v>
      </c>
      <c r="J296" s="450" t="s">
        <v>23031</v>
      </c>
      <c r="K296" s="450"/>
    </row>
    <row r="297" spans="1:11">
      <c r="A297" s="451" t="s">
        <v>22333</v>
      </c>
      <c r="B297" s="451" t="s">
        <v>1540</v>
      </c>
      <c r="C297" s="451" t="s">
        <v>1541</v>
      </c>
      <c r="D297" s="451" t="s">
        <v>1542</v>
      </c>
      <c r="E297" s="451"/>
      <c r="F297" s="451"/>
      <c r="G297" s="451" t="s">
        <v>22877</v>
      </c>
      <c r="H297" s="451" t="s">
        <v>22878</v>
      </c>
      <c r="I297" s="451" t="s">
        <v>1543</v>
      </c>
      <c r="J297" s="451" t="s">
        <v>23032</v>
      </c>
      <c r="K297" s="451"/>
    </row>
    <row r="298" spans="1:11">
      <c r="A298" s="450" t="s">
        <v>22334</v>
      </c>
      <c r="B298" s="450"/>
      <c r="C298" s="450" t="s">
        <v>1544</v>
      </c>
      <c r="D298" s="450" t="s">
        <v>1545</v>
      </c>
      <c r="E298" s="450"/>
      <c r="F298" s="450"/>
      <c r="G298" s="450" t="s">
        <v>22877</v>
      </c>
      <c r="H298" s="450" t="s">
        <v>22878</v>
      </c>
      <c r="I298" s="450" t="s">
        <v>1545</v>
      </c>
      <c r="J298" s="450" t="s">
        <v>23033</v>
      </c>
      <c r="K298" s="450"/>
    </row>
    <row r="299" spans="1:11">
      <c r="A299" s="451" t="s">
        <v>22335</v>
      </c>
      <c r="B299" s="451" t="s">
        <v>22336</v>
      </c>
      <c r="C299" s="451" t="s">
        <v>1548</v>
      </c>
      <c r="D299" s="451" t="s">
        <v>1549</v>
      </c>
      <c r="E299" s="451"/>
      <c r="F299" s="451" t="s">
        <v>23034</v>
      </c>
      <c r="G299" s="451" t="s">
        <v>22877</v>
      </c>
      <c r="H299" s="451" t="s">
        <v>22878</v>
      </c>
      <c r="I299" s="451" t="s">
        <v>1549</v>
      </c>
      <c r="J299" s="451" t="s">
        <v>23035</v>
      </c>
      <c r="K299" s="451"/>
    </row>
    <row r="300" spans="1:11">
      <c r="A300" s="450" t="s">
        <v>32569</v>
      </c>
      <c r="B300" s="450" t="s">
        <v>1552</v>
      </c>
      <c r="C300" s="450" t="s">
        <v>1553</v>
      </c>
      <c r="D300" s="450" t="s">
        <v>1554</v>
      </c>
      <c r="E300" s="450"/>
      <c r="F300" s="450"/>
      <c r="G300" s="450" t="s">
        <v>22882</v>
      </c>
      <c r="H300" s="450" t="s">
        <v>22883</v>
      </c>
      <c r="I300" s="450"/>
      <c r="J300" s="450" t="s">
        <v>23036</v>
      </c>
      <c r="K300" s="450"/>
    </row>
    <row r="301" spans="1:11">
      <c r="A301" s="451" t="s">
        <v>22337</v>
      </c>
      <c r="B301" s="451" t="s">
        <v>1556</v>
      </c>
      <c r="C301" s="451" t="s">
        <v>1557</v>
      </c>
      <c r="D301" s="451" t="s">
        <v>1558</v>
      </c>
      <c r="E301" s="451"/>
      <c r="F301" s="451"/>
      <c r="G301" s="451" t="s">
        <v>22882</v>
      </c>
      <c r="H301" s="451" t="s">
        <v>22883</v>
      </c>
      <c r="I301" s="451"/>
      <c r="J301" s="451" t="s">
        <v>23037</v>
      </c>
      <c r="K301" s="451"/>
    </row>
    <row r="302" spans="1:11">
      <c r="A302" s="450" t="s">
        <v>21425</v>
      </c>
      <c r="B302" s="450"/>
      <c r="C302" s="450" t="s">
        <v>1560</v>
      </c>
      <c r="D302" s="450"/>
      <c r="E302" s="450"/>
      <c r="F302" s="450"/>
      <c r="G302" s="450" t="s">
        <v>22877</v>
      </c>
      <c r="H302" s="450" t="s">
        <v>22878</v>
      </c>
      <c r="I302" s="450" t="s">
        <v>23038</v>
      </c>
      <c r="J302" s="450" t="s">
        <v>22939</v>
      </c>
      <c r="K302" s="450"/>
    </row>
    <row r="303" spans="1:11">
      <c r="A303" s="451" t="s">
        <v>1561</v>
      </c>
      <c r="B303" s="451" t="s">
        <v>1562</v>
      </c>
      <c r="C303" s="451" t="s">
        <v>1563</v>
      </c>
      <c r="D303" s="451" t="s">
        <v>1564</v>
      </c>
      <c r="E303" s="451"/>
      <c r="F303" s="451"/>
      <c r="G303" s="451" t="s">
        <v>22882</v>
      </c>
      <c r="H303" s="451" t="s">
        <v>22883</v>
      </c>
      <c r="I303" s="451"/>
      <c r="J303" s="451" t="s">
        <v>23039</v>
      </c>
      <c r="K303" s="451"/>
    </row>
    <row r="304" spans="1:11">
      <c r="A304" s="450" t="s">
        <v>32570</v>
      </c>
      <c r="B304" s="450" t="s">
        <v>1566</v>
      </c>
      <c r="C304" s="450" t="s">
        <v>1226</v>
      </c>
      <c r="D304" s="450" t="s">
        <v>1567</v>
      </c>
      <c r="E304" s="450"/>
      <c r="F304" s="450"/>
      <c r="G304" s="450" t="s">
        <v>22877</v>
      </c>
      <c r="H304" s="450" t="s">
        <v>22878</v>
      </c>
      <c r="I304" s="450" t="s">
        <v>32571</v>
      </c>
      <c r="J304" s="450" t="s">
        <v>32572</v>
      </c>
      <c r="K304" s="450"/>
    </row>
    <row r="305" spans="1:11">
      <c r="A305" s="451" t="s">
        <v>1565</v>
      </c>
      <c r="B305" s="451" t="s">
        <v>1566</v>
      </c>
      <c r="C305" s="451" t="s">
        <v>1226</v>
      </c>
      <c r="D305" s="451" t="s">
        <v>1567</v>
      </c>
      <c r="E305" s="451" t="s">
        <v>1568</v>
      </c>
      <c r="F305" s="451"/>
      <c r="G305" s="451" t="s">
        <v>22877</v>
      </c>
      <c r="H305" s="451" t="s">
        <v>22878</v>
      </c>
      <c r="I305" s="451" t="s">
        <v>1567</v>
      </c>
      <c r="J305" s="451" t="s">
        <v>30185</v>
      </c>
      <c r="K305" s="451"/>
    </row>
    <row r="306" spans="1:11">
      <c r="A306" s="450" t="s">
        <v>1569</v>
      </c>
      <c r="B306" s="450" t="s">
        <v>1570</v>
      </c>
      <c r="C306" s="450" t="s">
        <v>1571</v>
      </c>
      <c r="D306" s="450"/>
      <c r="E306" s="450"/>
      <c r="F306" s="450"/>
      <c r="G306" s="450" t="s">
        <v>23040</v>
      </c>
      <c r="H306" s="450" t="s">
        <v>22878</v>
      </c>
      <c r="I306" s="450"/>
      <c r="J306" s="450" t="s">
        <v>1570</v>
      </c>
      <c r="K306" s="450"/>
    </row>
    <row r="307" spans="1:11">
      <c r="A307" s="451" t="s">
        <v>20098</v>
      </c>
      <c r="B307" s="451" t="s">
        <v>20099</v>
      </c>
      <c r="C307" s="451" t="s">
        <v>20100</v>
      </c>
      <c r="D307" s="451"/>
      <c r="E307" s="451"/>
      <c r="F307" s="451" t="s">
        <v>20101</v>
      </c>
      <c r="G307" s="451" t="s">
        <v>22882</v>
      </c>
      <c r="H307" s="451" t="s">
        <v>22883</v>
      </c>
      <c r="I307" s="451" t="s">
        <v>30186</v>
      </c>
      <c r="J307" s="451" t="s">
        <v>30187</v>
      </c>
      <c r="K307" s="451"/>
    </row>
    <row r="308" spans="1:11">
      <c r="A308" s="450" t="s">
        <v>1572</v>
      </c>
      <c r="B308" s="450" t="s">
        <v>1573</v>
      </c>
      <c r="C308" s="450" t="s">
        <v>1574</v>
      </c>
      <c r="D308" s="450"/>
      <c r="E308" s="450"/>
      <c r="F308" s="450"/>
      <c r="G308" s="450" t="s">
        <v>22877</v>
      </c>
      <c r="H308" s="450" t="s">
        <v>22878</v>
      </c>
      <c r="I308" s="450" t="s">
        <v>30188</v>
      </c>
      <c r="J308" s="450" t="s">
        <v>30189</v>
      </c>
      <c r="K308" s="450"/>
    </row>
    <row r="309" spans="1:11">
      <c r="A309" s="451" t="s">
        <v>22338</v>
      </c>
      <c r="B309" s="451" t="s">
        <v>1585</v>
      </c>
      <c r="C309" s="451" t="s">
        <v>16564</v>
      </c>
      <c r="D309" s="451" t="s">
        <v>1586</v>
      </c>
      <c r="E309" s="451"/>
      <c r="F309" s="451"/>
      <c r="G309" s="451" t="s">
        <v>22877</v>
      </c>
      <c r="H309" s="451" t="s">
        <v>22878</v>
      </c>
      <c r="I309" s="451" t="s">
        <v>23041</v>
      </c>
      <c r="J309" s="451" t="s">
        <v>23042</v>
      </c>
      <c r="K309" s="451"/>
    </row>
    <row r="310" spans="1:11">
      <c r="A310" s="450" t="s">
        <v>22339</v>
      </c>
      <c r="B310" s="450" t="s">
        <v>22340</v>
      </c>
      <c r="C310" s="450" t="s">
        <v>1590</v>
      </c>
      <c r="D310" s="450" t="s">
        <v>1591</v>
      </c>
      <c r="E310" s="450"/>
      <c r="F310" s="450"/>
      <c r="G310" s="450" t="s">
        <v>22877</v>
      </c>
      <c r="H310" s="450" t="s">
        <v>22878</v>
      </c>
      <c r="I310" s="450" t="s">
        <v>23043</v>
      </c>
      <c r="J310" s="450" t="s">
        <v>23044</v>
      </c>
      <c r="K310" s="450"/>
    </row>
    <row r="311" spans="1:11">
      <c r="A311" s="451" t="s">
        <v>30190</v>
      </c>
      <c r="B311" s="451" t="s">
        <v>1594</v>
      </c>
      <c r="C311" s="451" t="s">
        <v>1548</v>
      </c>
      <c r="D311" s="451" t="s">
        <v>1549</v>
      </c>
      <c r="E311" s="451"/>
      <c r="F311" s="451"/>
      <c r="G311" s="451" t="s">
        <v>22877</v>
      </c>
      <c r="H311" s="451" t="s">
        <v>22878</v>
      </c>
      <c r="I311" s="451" t="s">
        <v>1549</v>
      </c>
      <c r="J311" s="451" t="s">
        <v>23045</v>
      </c>
      <c r="K311" s="451"/>
    </row>
    <row r="312" spans="1:11">
      <c r="A312" s="450" t="s">
        <v>1575</v>
      </c>
      <c r="B312" s="450" t="s">
        <v>22341</v>
      </c>
      <c r="C312" s="450" t="s">
        <v>1577</v>
      </c>
      <c r="D312" s="450" t="s">
        <v>1578</v>
      </c>
      <c r="E312" s="450"/>
      <c r="F312" s="450"/>
      <c r="G312" s="450" t="s">
        <v>22882</v>
      </c>
      <c r="H312" s="450" t="s">
        <v>22883</v>
      </c>
      <c r="I312" s="450"/>
      <c r="J312" s="450" t="s">
        <v>22341</v>
      </c>
      <c r="K312" s="450"/>
    </row>
    <row r="313" spans="1:11">
      <c r="A313" s="451" t="s">
        <v>1575</v>
      </c>
      <c r="B313" s="451" t="s">
        <v>1576</v>
      </c>
      <c r="C313" s="451" t="s">
        <v>1577</v>
      </c>
      <c r="D313" s="451" t="s">
        <v>1578</v>
      </c>
      <c r="E313" s="451" t="s">
        <v>1579</v>
      </c>
      <c r="F313" s="451"/>
      <c r="G313" s="451" t="s">
        <v>22882</v>
      </c>
      <c r="H313" s="451" t="s">
        <v>22883</v>
      </c>
      <c r="I313" s="451" t="s">
        <v>1578</v>
      </c>
      <c r="J313" s="451" t="s">
        <v>30191</v>
      </c>
      <c r="K313" s="451"/>
    </row>
    <row r="314" spans="1:11">
      <c r="A314" s="450" t="s">
        <v>1580</v>
      </c>
      <c r="B314" s="450" t="s">
        <v>1581</v>
      </c>
      <c r="C314" s="450" t="s">
        <v>1582</v>
      </c>
      <c r="D314" s="450" t="s">
        <v>1583</v>
      </c>
      <c r="E314" s="450"/>
      <c r="F314" s="450"/>
      <c r="G314" s="450" t="s">
        <v>22877</v>
      </c>
      <c r="H314" s="450" t="s">
        <v>22878</v>
      </c>
      <c r="I314" s="450" t="s">
        <v>1583</v>
      </c>
      <c r="J314" s="450" t="s">
        <v>23046</v>
      </c>
      <c r="K314" s="450"/>
    </row>
    <row r="315" spans="1:11">
      <c r="A315" s="451" t="s">
        <v>1584</v>
      </c>
      <c r="B315" s="451" t="s">
        <v>1585</v>
      </c>
      <c r="C315" s="451" t="s">
        <v>1232</v>
      </c>
      <c r="D315" s="451" t="s">
        <v>1586</v>
      </c>
      <c r="E315" s="451" t="s">
        <v>1587</v>
      </c>
      <c r="F315" s="451"/>
      <c r="G315" s="451" t="s">
        <v>22877</v>
      </c>
      <c r="H315" s="451" t="s">
        <v>22878</v>
      </c>
      <c r="I315" s="451" t="s">
        <v>1586</v>
      </c>
      <c r="J315" s="451" t="s">
        <v>30192</v>
      </c>
      <c r="K315" s="451"/>
    </row>
    <row r="316" spans="1:11">
      <c r="A316" s="450" t="s">
        <v>1588</v>
      </c>
      <c r="B316" s="450" t="s">
        <v>1589</v>
      </c>
      <c r="C316" s="450" t="s">
        <v>1590</v>
      </c>
      <c r="D316" s="450" t="s">
        <v>1591</v>
      </c>
      <c r="E316" s="450" t="s">
        <v>1592</v>
      </c>
      <c r="F316" s="450"/>
      <c r="G316" s="450" t="s">
        <v>22882</v>
      </c>
      <c r="H316" s="450" t="s">
        <v>22883</v>
      </c>
      <c r="I316" s="450" t="s">
        <v>1591</v>
      </c>
      <c r="J316" s="450" t="s">
        <v>30193</v>
      </c>
      <c r="K316" s="450"/>
    </row>
    <row r="317" spans="1:11">
      <c r="A317" s="451" t="s">
        <v>1593</v>
      </c>
      <c r="B317" s="451" t="s">
        <v>1594</v>
      </c>
      <c r="C317" s="451" t="s">
        <v>1548</v>
      </c>
      <c r="D317" s="451" t="s">
        <v>1549</v>
      </c>
      <c r="E317" s="451" t="s">
        <v>1550</v>
      </c>
      <c r="F317" s="451"/>
      <c r="G317" s="451" t="s">
        <v>22882</v>
      </c>
      <c r="H317" s="451" t="s">
        <v>22883</v>
      </c>
      <c r="I317" s="451" t="s">
        <v>30194</v>
      </c>
      <c r="J317" s="451" t="s">
        <v>30195</v>
      </c>
      <c r="K317" s="451"/>
    </row>
    <row r="318" spans="1:11" ht="15.5">
      <c r="A318" s="448" t="s">
        <v>32374</v>
      </c>
      <c r="B318" s="448" t="s">
        <v>32375</v>
      </c>
      <c r="C318" s="448" t="s">
        <v>3055</v>
      </c>
      <c r="D318" s="448" t="s">
        <v>22310</v>
      </c>
      <c r="E318" s="448"/>
      <c r="F318" s="448"/>
      <c r="G318" s="448"/>
      <c r="H318" s="448"/>
      <c r="I318" s="448"/>
      <c r="J318" s="448"/>
      <c r="K318" s="448"/>
    </row>
    <row r="319" spans="1:11">
      <c r="A319" s="451" t="s">
        <v>1595</v>
      </c>
      <c r="B319" s="451" t="s">
        <v>1596</v>
      </c>
      <c r="C319" s="451" t="s">
        <v>1597</v>
      </c>
      <c r="D319" s="451" t="s">
        <v>1598</v>
      </c>
      <c r="E319" s="451"/>
      <c r="F319" s="451"/>
      <c r="G319" s="451" t="s">
        <v>22877</v>
      </c>
      <c r="H319" s="451" t="s">
        <v>22878</v>
      </c>
      <c r="I319" s="451" t="s">
        <v>1602</v>
      </c>
      <c r="J319" s="451" t="s">
        <v>30196</v>
      </c>
      <c r="K319" s="451"/>
    </row>
    <row r="320" spans="1:11">
      <c r="A320" s="450" t="s">
        <v>1599</v>
      </c>
      <c r="B320" s="450" t="s">
        <v>1600</v>
      </c>
      <c r="C320" s="450" t="s">
        <v>1601</v>
      </c>
      <c r="D320" s="450" t="s">
        <v>1602</v>
      </c>
      <c r="E320" s="450"/>
      <c r="F320" s="450"/>
      <c r="G320" s="450" t="s">
        <v>22877</v>
      </c>
      <c r="H320" s="450" t="s">
        <v>22878</v>
      </c>
      <c r="I320" s="450" t="s">
        <v>23462</v>
      </c>
      <c r="J320" s="450" t="s">
        <v>30197</v>
      </c>
      <c r="K320" s="450"/>
    </row>
    <row r="321" spans="1:11">
      <c r="A321" s="451" t="s">
        <v>32573</v>
      </c>
      <c r="B321" s="451" t="s">
        <v>1604</v>
      </c>
      <c r="C321" s="451" t="s">
        <v>1605</v>
      </c>
      <c r="D321" s="451" t="s">
        <v>1606</v>
      </c>
      <c r="E321" s="451"/>
      <c r="F321" s="451"/>
      <c r="G321" s="451" t="s">
        <v>22882</v>
      </c>
      <c r="H321" s="451" t="s">
        <v>22883</v>
      </c>
      <c r="I321" s="451"/>
      <c r="J321" s="451" t="s">
        <v>32574</v>
      </c>
      <c r="K321" s="451"/>
    </row>
    <row r="322" spans="1:11">
      <c r="A322" s="450" t="s">
        <v>1603</v>
      </c>
      <c r="B322" s="450" t="s">
        <v>1604</v>
      </c>
      <c r="C322" s="450" t="s">
        <v>1605</v>
      </c>
      <c r="D322" s="450" t="s">
        <v>1606</v>
      </c>
      <c r="E322" s="450"/>
      <c r="F322" s="450"/>
      <c r="G322" s="450" t="s">
        <v>22877</v>
      </c>
      <c r="H322" s="450" t="s">
        <v>22878</v>
      </c>
      <c r="I322" s="450" t="s">
        <v>30198</v>
      </c>
      <c r="J322" s="450" t="s">
        <v>30199</v>
      </c>
      <c r="K322" s="450"/>
    </row>
    <row r="323" spans="1:11">
      <c r="A323" s="451" t="s">
        <v>1607</v>
      </c>
      <c r="B323" s="451" t="s">
        <v>1608</v>
      </c>
      <c r="C323" s="451" t="s">
        <v>1609</v>
      </c>
      <c r="D323" s="451" t="s">
        <v>1610</v>
      </c>
      <c r="E323" s="451"/>
      <c r="F323" s="451"/>
      <c r="G323" s="451" t="s">
        <v>22877</v>
      </c>
      <c r="H323" s="451" t="s">
        <v>22878</v>
      </c>
      <c r="I323" s="451" t="s">
        <v>1610</v>
      </c>
      <c r="J323" s="451" t="s">
        <v>23047</v>
      </c>
      <c r="K323" s="451"/>
    </row>
    <row r="324" spans="1:11">
      <c r="A324" s="450" t="s">
        <v>21409</v>
      </c>
      <c r="B324" s="450" t="s">
        <v>1501</v>
      </c>
      <c r="C324" s="450" t="s">
        <v>1502</v>
      </c>
      <c r="D324" s="450" t="s">
        <v>1503</v>
      </c>
      <c r="E324" s="450" t="s">
        <v>1504</v>
      </c>
      <c r="F324" s="450"/>
      <c r="G324" s="450" t="s">
        <v>22882</v>
      </c>
      <c r="H324" s="450" t="s">
        <v>22883</v>
      </c>
      <c r="I324" s="450" t="s">
        <v>1503</v>
      </c>
      <c r="J324" s="450" t="s">
        <v>30200</v>
      </c>
      <c r="K324" s="450"/>
    </row>
    <row r="325" spans="1:11">
      <c r="A325" s="451" t="s">
        <v>21410</v>
      </c>
      <c r="B325" s="451" t="s">
        <v>1505</v>
      </c>
      <c r="C325" s="451" t="s">
        <v>1506</v>
      </c>
      <c r="D325" s="451" t="s">
        <v>1507</v>
      </c>
      <c r="E325" s="451" t="s">
        <v>1508</v>
      </c>
      <c r="F325" s="451"/>
      <c r="G325" s="451" t="s">
        <v>22882</v>
      </c>
      <c r="H325" s="451" t="s">
        <v>22883</v>
      </c>
      <c r="I325" s="451" t="s">
        <v>1507</v>
      </c>
      <c r="J325" s="451" t="s">
        <v>30201</v>
      </c>
      <c r="K325" s="451"/>
    </row>
    <row r="326" spans="1:11">
      <c r="A326" s="450" t="s">
        <v>21411</v>
      </c>
      <c r="B326" s="450" t="s">
        <v>1509</v>
      </c>
      <c r="C326" s="450" t="s">
        <v>1510</v>
      </c>
      <c r="D326" s="450" t="s">
        <v>1511</v>
      </c>
      <c r="E326" s="450" t="s">
        <v>1512</v>
      </c>
      <c r="F326" s="450"/>
      <c r="G326" s="450" t="s">
        <v>22882</v>
      </c>
      <c r="H326" s="450" t="s">
        <v>22883</v>
      </c>
      <c r="I326" s="450" t="s">
        <v>1511</v>
      </c>
      <c r="J326" s="450" t="s">
        <v>23023</v>
      </c>
      <c r="K326" s="450"/>
    </row>
    <row r="327" spans="1:11">
      <c r="A327" s="451" t="s">
        <v>21412</v>
      </c>
      <c r="B327" s="451" t="s">
        <v>1513</v>
      </c>
      <c r="C327" s="451" t="s">
        <v>1514</v>
      </c>
      <c r="D327" s="451" t="s">
        <v>1515</v>
      </c>
      <c r="E327" s="451" t="s">
        <v>1516</v>
      </c>
      <c r="F327" s="451"/>
      <c r="G327" s="451" t="s">
        <v>22882</v>
      </c>
      <c r="H327" s="451" t="s">
        <v>22883</v>
      </c>
      <c r="I327" s="451" t="s">
        <v>1515</v>
      </c>
      <c r="J327" s="451" t="s">
        <v>30202</v>
      </c>
      <c r="K327" s="451"/>
    </row>
    <row r="328" spans="1:11">
      <c r="A328" s="450" t="s">
        <v>21413</v>
      </c>
      <c r="B328" s="450" t="s">
        <v>1517</v>
      </c>
      <c r="C328" s="450" t="s">
        <v>1518</v>
      </c>
      <c r="D328" s="450" t="s">
        <v>1519</v>
      </c>
      <c r="E328" s="450"/>
      <c r="F328" s="450"/>
      <c r="G328" s="450" t="s">
        <v>22882</v>
      </c>
      <c r="H328" s="450" t="s">
        <v>22883</v>
      </c>
      <c r="I328" s="450" t="s">
        <v>1519</v>
      </c>
      <c r="J328" s="450" t="s">
        <v>23024</v>
      </c>
      <c r="K328" s="450"/>
    </row>
    <row r="329" spans="1:11">
      <c r="A329" s="451" t="s">
        <v>21414</v>
      </c>
      <c r="B329" s="451" t="s">
        <v>1520</v>
      </c>
      <c r="C329" s="451" t="s">
        <v>1521</v>
      </c>
      <c r="D329" s="451" t="s">
        <v>1522</v>
      </c>
      <c r="E329" s="451" t="s">
        <v>1523</v>
      </c>
      <c r="F329" s="451"/>
      <c r="G329" s="451" t="s">
        <v>22877</v>
      </c>
      <c r="H329" s="451" t="s">
        <v>22878</v>
      </c>
      <c r="I329" s="451" t="s">
        <v>23027</v>
      </c>
      <c r="J329" s="451" t="s">
        <v>30203</v>
      </c>
      <c r="K329" s="451"/>
    </row>
    <row r="330" spans="1:11">
      <c r="A330" s="450" t="s">
        <v>21415</v>
      </c>
      <c r="B330" s="450" t="s">
        <v>1524</v>
      </c>
      <c r="C330" s="450" t="s">
        <v>1525</v>
      </c>
      <c r="D330" s="450" t="s">
        <v>1526</v>
      </c>
      <c r="E330" s="450" t="s">
        <v>1527</v>
      </c>
      <c r="F330" s="450"/>
      <c r="G330" s="450" t="s">
        <v>22877</v>
      </c>
      <c r="H330" s="450" t="s">
        <v>22878</v>
      </c>
      <c r="I330" s="450" t="s">
        <v>30204</v>
      </c>
      <c r="J330" s="450" t="s">
        <v>30205</v>
      </c>
      <c r="K330" s="450"/>
    </row>
    <row r="331" spans="1:11">
      <c r="A331" s="451" t="s">
        <v>21416</v>
      </c>
      <c r="B331" s="451" t="s">
        <v>1528</v>
      </c>
      <c r="C331" s="451" t="s">
        <v>1529</v>
      </c>
      <c r="D331" s="451" t="s">
        <v>1530</v>
      </c>
      <c r="E331" s="451" t="s">
        <v>1531</v>
      </c>
      <c r="F331" s="451"/>
      <c r="G331" s="451" t="s">
        <v>22877</v>
      </c>
      <c r="H331" s="451" t="s">
        <v>22878</v>
      </c>
      <c r="I331" s="451" t="s">
        <v>1530</v>
      </c>
      <c r="J331" s="451" t="s">
        <v>30206</v>
      </c>
      <c r="K331" s="451"/>
    </row>
    <row r="332" spans="1:11">
      <c r="A332" s="450" t="s">
        <v>21417</v>
      </c>
      <c r="B332" s="450" t="s">
        <v>1532</v>
      </c>
      <c r="C332" s="450" t="s">
        <v>1533</v>
      </c>
      <c r="D332" s="450" t="s">
        <v>1534</v>
      </c>
      <c r="E332" s="450" t="s">
        <v>1535</v>
      </c>
      <c r="F332" s="450"/>
      <c r="G332" s="450" t="s">
        <v>22877</v>
      </c>
      <c r="H332" s="450" t="s">
        <v>22878</v>
      </c>
      <c r="I332" s="450" t="s">
        <v>1534</v>
      </c>
      <c r="J332" s="450" t="s">
        <v>30207</v>
      </c>
      <c r="K332" s="450"/>
    </row>
    <row r="333" spans="1:11">
      <c r="A333" s="451" t="s">
        <v>21418</v>
      </c>
      <c r="B333" s="451" t="s">
        <v>1536</v>
      </c>
      <c r="C333" s="451" t="s">
        <v>1537</v>
      </c>
      <c r="D333" s="451" t="s">
        <v>1538</v>
      </c>
      <c r="E333" s="451" t="s">
        <v>1539</v>
      </c>
      <c r="F333" s="451"/>
      <c r="G333" s="451" t="s">
        <v>22877</v>
      </c>
      <c r="H333" s="451" t="s">
        <v>22878</v>
      </c>
      <c r="I333" s="451" t="s">
        <v>23030</v>
      </c>
      <c r="J333" s="451" t="s">
        <v>30208</v>
      </c>
      <c r="K333" s="451"/>
    </row>
    <row r="334" spans="1:11">
      <c r="A334" s="450" t="s">
        <v>21419</v>
      </c>
      <c r="B334" s="450" t="s">
        <v>1540</v>
      </c>
      <c r="C334" s="450" t="s">
        <v>1541</v>
      </c>
      <c r="D334" s="450" t="s">
        <v>1542</v>
      </c>
      <c r="E334" s="450" t="s">
        <v>1543</v>
      </c>
      <c r="F334" s="450"/>
      <c r="G334" s="450" t="s">
        <v>22882</v>
      </c>
      <c r="H334" s="450" t="s">
        <v>22883</v>
      </c>
      <c r="I334" s="450" t="s">
        <v>1542</v>
      </c>
      <c r="J334" s="450" t="s">
        <v>30209</v>
      </c>
      <c r="K334" s="450"/>
    </row>
    <row r="335" spans="1:11">
      <c r="A335" s="451" t="s">
        <v>21420</v>
      </c>
      <c r="B335" s="451"/>
      <c r="C335" s="451" t="s">
        <v>1544</v>
      </c>
      <c r="D335" s="451" t="s">
        <v>1545</v>
      </c>
      <c r="E335" s="451" t="s">
        <v>1546</v>
      </c>
      <c r="F335" s="451"/>
      <c r="G335" s="451" t="s">
        <v>22877</v>
      </c>
      <c r="H335" s="451" t="s">
        <v>22878</v>
      </c>
      <c r="I335" s="451" t="s">
        <v>1522</v>
      </c>
      <c r="J335" s="451" t="s">
        <v>30210</v>
      </c>
      <c r="K335" s="451"/>
    </row>
    <row r="336" spans="1:11">
      <c r="A336" s="450" t="s">
        <v>21421</v>
      </c>
      <c r="B336" s="450" t="s">
        <v>1547</v>
      </c>
      <c r="C336" s="450" t="s">
        <v>1548</v>
      </c>
      <c r="D336" s="450" t="s">
        <v>1549</v>
      </c>
      <c r="E336" s="450" t="s">
        <v>1550</v>
      </c>
      <c r="F336" s="450" t="s">
        <v>1551</v>
      </c>
      <c r="G336" s="450" t="s">
        <v>22882</v>
      </c>
      <c r="H336" s="450" t="s">
        <v>22883</v>
      </c>
      <c r="I336" s="450" t="s">
        <v>30194</v>
      </c>
      <c r="J336" s="450" t="s">
        <v>30211</v>
      </c>
      <c r="K336" s="450"/>
    </row>
    <row r="337" spans="1:11">
      <c r="A337" s="451" t="s">
        <v>21422</v>
      </c>
      <c r="B337" s="451" t="s">
        <v>1552</v>
      </c>
      <c r="C337" s="451" t="s">
        <v>1553</v>
      </c>
      <c r="D337" s="451" t="s">
        <v>1554</v>
      </c>
      <c r="E337" s="451" t="s">
        <v>1555</v>
      </c>
      <c r="F337" s="451"/>
      <c r="G337" s="451" t="s">
        <v>22882</v>
      </c>
      <c r="H337" s="451" t="s">
        <v>22883</v>
      </c>
      <c r="I337" s="451" t="s">
        <v>1554</v>
      </c>
      <c r="J337" s="451" t="s">
        <v>23036</v>
      </c>
      <c r="K337" s="451"/>
    </row>
    <row r="338" spans="1:11">
      <c r="A338" s="450" t="s">
        <v>21423</v>
      </c>
      <c r="B338" s="450" t="s">
        <v>1556</v>
      </c>
      <c r="C338" s="450" t="s">
        <v>1557</v>
      </c>
      <c r="D338" s="450" t="s">
        <v>1558</v>
      </c>
      <c r="E338" s="450"/>
      <c r="F338" s="450"/>
      <c r="G338" s="450" t="s">
        <v>22882</v>
      </c>
      <c r="H338" s="450" t="s">
        <v>22883</v>
      </c>
      <c r="I338" s="450" t="s">
        <v>1558</v>
      </c>
      <c r="J338" s="450" t="s">
        <v>23037</v>
      </c>
      <c r="K338" s="450"/>
    </row>
    <row r="339" spans="1:11">
      <c r="A339" s="451" t="s">
        <v>21424</v>
      </c>
      <c r="B339" s="451"/>
      <c r="C339" s="451" t="s">
        <v>1559</v>
      </c>
      <c r="D339" s="451"/>
      <c r="E339" s="451"/>
      <c r="F339" s="451"/>
      <c r="G339" s="451" t="s">
        <v>22882</v>
      </c>
      <c r="H339" s="451" t="s">
        <v>22883</v>
      </c>
      <c r="I339" s="451"/>
      <c r="J339" s="451" t="s">
        <v>28870</v>
      </c>
      <c r="K339" s="451"/>
    </row>
    <row r="340" spans="1:11">
      <c r="A340" s="450" t="s">
        <v>1611</v>
      </c>
      <c r="B340" s="450" t="s">
        <v>22342</v>
      </c>
      <c r="C340" s="450" t="s">
        <v>1613</v>
      </c>
      <c r="D340" s="450" t="s">
        <v>1614</v>
      </c>
      <c r="E340" s="450"/>
      <c r="F340" s="450"/>
      <c r="G340" s="450" t="s">
        <v>23048</v>
      </c>
      <c r="H340" s="450" t="s">
        <v>22878</v>
      </c>
      <c r="I340" s="450" t="s">
        <v>23049</v>
      </c>
      <c r="J340" s="450" t="s">
        <v>22342</v>
      </c>
      <c r="K340" s="450"/>
    </row>
    <row r="341" spans="1:11">
      <c r="A341" s="451" t="s">
        <v>1611</v>
      </c>
      <c r="B341" s="451" t="s">
        <v>1612</v>
      </c>
      <c r="C341" s="451" t="s">
        <v>1613</v>
      </c>
      <c r="D341" s="451" t="s">
        <v>1614</v>
      </c>
      <c r="E341" s="451" t="s">
        <v>1615</v>
      </c>
      <c r="F341" s="451"/>
      <c r="G341" s="451" t="s">
        <v>22877</v>
      </c>
      <c r="H341" s="451" t="s">
        <v>22878</v>
      </c>
      <c r="I341" s="451" t="s">
        <v>30212</v>
      </c>
      <c r="J341" s="451" t="s">
        <v>30213</v>
      </c>
      <c r="K341" s="451"/>
    </row>
    <row r="342" spans="1:11">
      <c r="A342" s="450" t="s">
        <v>1616</v>
      </c>
      <c r="B342" s="450" t="s">
        <v>1617</v>
      </c>
      <c r="C342" s="450" t="s">
        <v>1618</v>
      </c>
      <c r="D342" s="450" t="s">
        <v>1619</v>
      </c>
      <c r="E342" s="450"/>
      <c r="F342" s="450"/>
      <c r="G342" s="450" t="s">
        <v>23050</v>
      </c>
      <c r="H342" s="450" t="s">
        <v>22878</v>
      </c>
      <c r="I342" s="450" t="s">
        <v>23051</v>
      </c>
      <c r="J342" s="450" t="s">
        <v>1617</v>
      </c>
      <c r="K342" s="450"/>
    </row>
    <row r="343" spans="1:11">
      <c r="A343" s="451" t="s">
        <v>1620</v>
      </c>
      <c r="B343" s="451" t="s">
        <v>1621</v>
      </c>
      <c r="C343" s="451" t="s">
        <v>1622</v>
      </c>
      <c r="D343" s="451" t="s">
        <v>1623</v>
      </c>
      <c r="E343" s="451"/>
      <c r="F343" s="451"/>
      <c r="G343" s="451" t="s">
        <v>23052</v>
      </c>
      <c r="H343" s="451" t="s">
        <v>22878</v>
      </c>
      <c r="I343" s="451" t="s">
        <v>23053</v>
      </c>
      <c r="J343" s="451" t="s">
        <v>23054</v>
      </c>
      <c r="K343" s="451"/>
    </row>
    <row r="344" spans="1:11">
      <c r="A344" s="450" t="s">
        <v>32575</v>
      </c>
      <c r="B344" s="450" t="s">
        <v>1625</v>
      </c>
      <c r="C344" s="450" t="s">
        <v>1626</v>
      </c>
      <c r="D344" s="450" t="s">
        <v>1627</v>
      </c>
      <c r="E344" s="450"/>
      <c r="F344" s="450"/>
      <c r="G344" s="450" t="s">
        <v>32576</v>
      </c>
      <c r="H344" s="450" t="s">
        <v>22878</v>
      </c>
      <c r="I344" s="450" t="s">
        <v>32577</v>
      </c>
      <c r="J344" s="450" t="s">
        <v>1625</v>
      </c>
      <c r="K344" s="450"/>
    </row>
    <row r="345" spans="1:11">
      <c r="A345" s="451" t="s">
        <v>1624</v>
      </c>
      <c r="B345" s="451" t="s">
        <v>1625</v>
      </c>
      <c r="C345" s="451" t="s">
        <v>1626</v>
      </c>
      <c r="D345" s="451" t="s">
        <v>1627</v>
      </c>
      <c r="E345" s="451"/>
      <c r="F345" s="451"/>
      <c r="G345" s="451" t="s">
        <v>22882</v>
      </c>
      <c r="H345" s="451" t="s">
        <v>22883</v>
      </c>
      <c r="I345" s="451" t="s">
        <v>23601</v>
      </c>
      <c r="J345" s="451" t="s">
        <v>30214</v>
      </c>
      <c r="K345" s="451"/>
    </row>
    <row r="346" spans="1:11">
      <c r="A346" s="450" t="s">
        <v>22343</v>
      </c>
      <c r="B346" s="450" t="s">
        <v>22344</v>
      </c>
      <c r="C346" s="450" t="s">
        <v>12198</v>
      </c>
      <c r="D346" s="450" t="s">
        <v>22345</v>
      </c>
      <c r="E346" s="450"/>
      <c r="F346" s="450" t="s">
        <v>22346</v>
      </c>
      <c r="G346" s="450" t="s">
        <v>23055</v>
      </c>
      <c r="H346" s="450" t="s">
        <v>22878</v>
      </c>
      <c r="I346" s="450" t="s">
        <v>23056</v>
      </c>
      <c r="J346" s="450" t="s">
        <v>22344</v>
      </c>
      <c r="K346" s="450"/>
    </row>
    <row r="347" spans="1:11">
      <c r="A347" s="451" t="s">
        <v>22347</v>
      </c>
      <c r="B347" s="451" t="s">
        <v>1629</v>
      </c>
      <c r="C347" s="451" t="s">
        <v>1630</v>
      </c>
      <c r="D347" s="451" t="s">
        <v>1631</v>
      </c>
      <c r="E347" s="451"/>
      <c r="F347" s="451"/>
      <c r="G347" s="451" t="s">
        <v>23057</v>
      </c>
      <c r="H347" s="451" t="s">
        <v>22878</v>
      </c>
      <c r="I347" s="451" t="s">
        <v>1631</v>
      </c>
      <c r="J347" s="451" t="s">
        <v>1629</v>
      </c>
      <c r="K347" s="451"/>
    </row>
    <row r="348" spans="1:11">
      <c r="A348" s="450" t="s">
        <v>32578</v>
      </c>
      <c r="B348" s="450" t="s">
        <v>32579</v>
      </c>
      <c r="C348" s="450" t="s">
        <v>32580</v>
      </c>
      <c r="D348" s="450"/>
      <c r="E348" s="450"/>
      <c r="F348" s="450"/>
      <c r="G348" s="450" t="s">
        <v>32581</v>
      </c>
      <c r="H348" s="450" t="s">
        <v>22878</v>
      </c>
      <c r="I348" s="450"/>
      <c r="J348" s="450" t="s">
        <v>32582</v>
      </c>
      <c r="K348" s="450"/>
    </row>
    <row r="349" spans="1:11">
      <c r="A349" s="451" t="s">
        <v>22348</v>
      </c>
      <c r="B349" s="451" t="s">
        <v>20099</v>
      </c>
      <c r="C349" s="451" t="s">
        <v>20100</v>
      </c>
      <c r="D349" s="451"/>
      <c r="E349" s="451"/>
      <c r="F349" s="451" t="s">
        <v>20101</v>
      </c>
      <c r="G349" s="451" t="s">
        <v>23058</v>
      </c>
      <c r="H349" s="451" t="s">
        <v>22878</v>
      </c>
      <c r="I349" s="451"/>
      <c r="J349" s="451" t="s">
        <v>20099</v>
      </c>
      <c r="K349" s="451"/>
    </row>
    <row r="350" spans="1:11">
      <c r="A350" s="450" t="s">
        <v>22349</v>
      </c>
      <c r="B350" s="450" t="s">
        <v>22350</v>
      </c>
      <c r="C350" s="450" t="s">
        <v>22351</v>
      </c>
      <c r="D350" s="450" t="s">
        <v>22352</v>
      </c>
      <c r="E350" s="450"/>
      <c r="F350" s="450" t="s">
        <v>22353</v>
      </c>
      <c r="G350" s="450" t="s">
        <v>23059</v>
      </c>
      <c r="H350" s="450" t="s">
        <v>22878</v>
      </c>
      <c r="I350" s="450" t="s">
        <v>22352</v>
      </c>
      <c r="J350" s="450" t="s">
        <v>22350</v>
      </c>
      <c r="K350" s="450"/>
    </row>
    <row r="351" spans="1:11">
      <c r="A351" s="451" t="s">
        <v>1628</v>
      </c>
      <c r="B351" s="451" t="s">
        <v>1629</v>
      </c>
      <c r="C351" s="451" t="s">
        <v>1630</v>
      </c>
      <c r="D351" s="451" t="s">
        <v>1631</v>
      </c>
      <c r="E351" s="451" t="s">
        <v>1632</v>
      </c>
      <c r="F351" s="451"/>
      <c r="G351" s="451" t="s">
        <v>22877</v>
      </c>
      <c r="H351" s="451" t="s">
        <v>22878</v>
      </c>
      <c r="I351" s="451" t="s">
        <v>30188</v>
      </c>
      <c r="J351" s="451" t="s">
        <v>30215</v>
      </c>
      <c r="K351" s="451"/>
    </row>
    <row r="352" spans="1:11">
      <c r="A352" s="450" t="s">
        <v>1633</v>
      </c>
      <c r="B352" s="450" t="s">
        <v>1634</v>
      </c>
      <c r="C352" s="450" t="s">
        <v>1635</v>
      </c>
      <c r="D352" s="450"/>
      <c r="E352" s="450"/>
      <c r="F352" s="450"/>
      <c r="G352" s="450" t="s">
        <v>22877</v>
      </c>
      <c r="H352" s="450" t="s">
        <v>22878</v>
      </c>
      <c r="I352" s="450" t="s">
        <v>22345</v>
      </c>
      <c r="J352" s="450" t="s">
        <v>30216</v>
      </c>
      <c r="K352" s="450"/>
    </row>
    <row r="353" spans="1:11">
      <c r="A353" s="451" t="s">
        <v>22354</v>
      </c>
      <c r="B353" s="451" t="s">
        <v>1641</v>
      </c>
      <c r="C353" s="451" t="s">
        <v>1642</v>
      </c>
      <c r="D353" s="451" t="s">
        <v>1643</v>
      </c>
      <c r="E353" s="451"/>
      <c r="F353" s="451"/>
      <c r="G353" s="451" t="s">
        <v>23060</v>
      </c>
      <c r="H353" s="451" t="s">
        <v>22878</v>
      </c>
      <c r="I353" s="451" t="s">
        <v>1643</v>
      </c>
      <c r="J353" s="451" t="s">
        <v>1641</v>
      </c>
      <c r="K353" s="451"/>
    </row>
    <row r="354" spans="1:11">
      <c r="A354" s="450" t="s">
        <v>32583</v>
      </c>
      <c r="B354" s="450" t="s">
        <v>1637</v>
      </c>
      <c r="C354" s="450" t="s">
        <v>1638</v>
      </c>
      <c r="D354" s="450" t="s">
        <v>1639</v>
      </c>
      <c r="E354" s="450"/>
      <c r="F354" s="450"/>
      <c r="G354" s="450" t="s">
        <v>32584</v>
      </c>
      <c r="H354" s="450" t="s">
        <v>22878</v>
      </c>
      <c r="I354" s="450" t="s">
        <v>32585</v>
      </c>
      <c r="J354" s="450" t="s">
        <v>32586</v>
      </c>
      <c r="K354" s="450"/>
    </row>
    <row r="355" spans="1:11">
      <c r="A355" s="451" t="s">
        <v>1636</v>
      </c>
      <c r="B355" s="451" t="s">
        <v>1637</v>
      </c>
      <c r="C355" s="451" t="s">
        <v>1638</v>
      </c>
      <c r="D355" s="451" t="s">
        <v>1639</v>
      </c>
      <c r="E355" s="451"/>
      <c r="F355" s="451"/>
      <c r="G355" s="451" t="s">
        <v>22877</v>
      </c>
      <c r="H355" s="451" t="s">
        <v>22878</v>
      </c>
      <c r="I355" s="451" t="s">
        <v>1639</v>
      </c>
      <c r="J355" s="451" t="s">
        <v>30217</v>
      </c>
      <c r="K355" s="451"/>
    </row>
    <row r="356" spans="1:11">
      <c r="A356" s="450" t="s">
        <v>1640</v>
      </c>
      <c r="B356" s="450" t="s">
        <v>1641</v>
      </c>
      <c r="C356" s="450" t="s">
        <v>1642</v>
      </c>
      <c r="D356" s="450" t="s">
        <v>1643</v>
      </c>
      <c r="E356" s="450"/>
      <c r="F356" s="450"/>
      <c r="G356" s="450" t="s">
        <v>22877</v>
      </c>
      <c r="H356" s="450" t="s">
        <v>22878</v>
      </c>
      <c r="I356" s="450" t="s">
        <v>30218</v>
      </c>
      <c r="J356" s="450" t="s">
        <v>30219</v>
      </c>
      <c r="K356" s="450"/>
    </row>
    <row r="357" spans="1:11">
      <c r="A357" s="451" t="s">
        <v>1644</v>
      </c>
      <c r="B357" s="451" t="s">
        <v>1645</v>
      </c>
      <c r="C357" s="451" t="s">
        <v>1646</v>
      </c>
      <c r="D357" s="451" t="s">
        <v>1647</v>
      </c>
      <c r="E357" s="451"/>
      <c r="F357" s="451"/>
      <c r="G357" s="451" t="s">
        <v>22882</v>
      </c>
      <c r="H357" s="451" t="s">
        <v>22883</v>
      </c>
      <c r="I357" s="451" t="s">
        <v>1647</v>
      </c>
      <c r="J357" s="451" t="s">
        <v>32587</v>
      </c>
      <c r="K357" s="451"/>
    </row>
    <row r="358" spans="1:11">
      <c r="A358" s="450" t="s">
        <v>22355</v>
      </c>
      <c r="B358" s="450" t="s">
        <v>1645</v>
      </c>
      <c r="C358" s="450" t="s">
        <v>1646</v>
      </c>
      <c r="D358" s="450" t="s">
        <v>1647</v>
      </c>
      <c r="E358" s="450"/>
      <c r="F358" s="450"/>
      <c r="G358" s="450" t="s">
        <v>23061</v>
      </c>
      <c r="H358" s="450" t="s">
        <v>22878</v>
      </c>
      <c r="I358" s="450" t="s">
        <v>23062</v>
      </c>
      <c r="J358" s="450" t="s">
        <v>1645</v>
      </c>
      <c r="K358" s="450"/>
    </row>
    <row r="359" spans="1:11">
      <c r="A359" s="451" t="s">
        <v>1648</v>
      </c>
      <c r="B359" s="451" t="s">
        <v>1649</v>
      </c>
      <c r="C359" s="451" t="s">
        <v>1650</v>
      </c>
      <c r="D359" s="451" t="s">
        <v>1651</v>
      </c>
      <c r="E359" s="451"/>
      <c r="F359" s="451"/>
      <c r="G359" s="451" t="s">
        <v>22882</v>
      </c>
      <c r="H359" s="451" t="s">
        <v>22883</v>
      </c>
      <c r="I359" s="451" t="s">
        <v>1651</v>
      </c>
      <c r="J359" s="451" t="s">
        <v>30220</v>
      </c>
      <c r="K359" s="451"/>
    </row>
    <row r="360" spans="1:11">
      <c r="A360" s="450" t="s">
        <v>1652</v>
      </c>
      <c r="B360" s="450" t="s">
        <v>1653</v>
      </c>
      <c r="C360" s="450" t="s">
        <v>1654</v>
      </c>
      <c r="D360" s="450" t="s">
        <v>1655</v>
      </c>
      <c r="E360" s="450"/>
      <c r="F360" s="450"/>
      <c r="G360" s="450" t="s">
        <v>22882</v>
      </c>
      <c r="H360" s="450" t="s">
        <v>22883</v>
      </c>
      <c r="I360" s="450" t="s">
        <v>30221</v>
      </c>
      <c r="J360" s="450" t="s">
        <v>30222</v>
      </c>
      <c r="K360" s="450"/>
    </row>
    <row r="361" spans="1:11">
      <c r="A361" s="451" t="s">
        <v>22356</v>
      </c>
      <c r="B361" s="451" t="s">
        <v>1649</v>
      </c>
      <c r="C361" s="451" t="s">
        <v>1650</v>
      </c>
      <c r="D361" s="451" t="s">
        <v>1651</v>
      </c>
      <c r="E361" s="451"/>
      <c r="F361" s="451"/>
      <c r="G361" s="451" t="s">
        <v>23063</v>
      </c>
      <c r="H361" s="451" t="s">
        <v>22878</v>
      </c>
      <c r="I361" s="451" t="s">
        <v>23064</v>
      </c>
      <c r="J361" s="451" t="s">
        <v>1649</v>
      </c>
      <c r="K361" s="451"/>
    </row>
    <row r="362" spans="1:11">
      <c r="A362" s="450" t="s">
        <v>22357</v>
      </c>
      <c r="B362" s="450" t="s">
        <v>1653</v>
      </c>
      <c r="C362" s="450" t="s">
        <v>1654</v>
      </c>
      <c r="D362" s="450" t="s">
        <v>1655</v>
      </c>
      <c r="E362" s="450"/>
      <c r="F362" s="450"/>
      <c r="G362" s="450" t="s">
        <v>23065</v>
      </c>
      <c r="H362" s="450" t="s">
        <v>22878</v>
      </c>
      <c r="I362" s="450" t="s">
        <v>23066</v>
      </c>
      <c r="J362" s="450" t="s">
        <v>1653</v>
      </c>
      <c r="K362" s="450"/>
    </row>
    <row r="363" spans="1:11">
      <c r="A363" s="451" t="s">
        <v>1656</v>
      </c>
      <c r="B363" s="451" t="s">
        <v>1657</v>
      </c>
      <c r="C363" s="451" t="s">
        <v>1658</v>
      </c>
      <c r="D363" s="451" t="s">
        <v>1659</v>
      </c>
      <c r="E363" s="451"/>
      <c r="F363" s="451"/>
      <c r="G363" s="451" t="s">
        <v>32588</v>
      </c>
      <c r="H363" s="451" t="s">
        <v>22878</v>
      </c>
      <c r="I363" s="451" t="s">
        <v>1659</v>
      </c>
      <c r="J363" s="451" t="s">
        <v>1657</v>
      </c>
      <c r="K363" s="451"/>
    </row>
    <row r="364" spans="1:11">
      <c r="A364" s="450" t="s">
        <v>1656</v>
      </c>
      <c r="B364" s="450" t="s">
        <v>1657</v>
      </c>
      <c r="C364" s="450" t="s">
        <v>1658</v>
      </c>
      <c r="D364" s="450" t="s">
        <v>1659</v>
      </c>
      <c r="E364" s="450" t="s">
        <v>1660</v>
      </c>
      <c r="F364" s="450"/>
      <c r="G364" s="450" t="s">
        <v>22882</v>
      </c>
      <c r="H364" s="450" t="s">
        <v>22883</v>
      </c>
      <c r="I364" s="450" t="s">
        <v>1659</v>
      </c>
      <c r="J364" s="450" t="s">
        <v>30223</v>
      </c>
      <c r="K364" s="450"/>
    </row>
    <row r="365" spans="1:11">
      <c r="A365" s="451" t="s">
        <v>32589</v>
      </c>
      <c r="B365" s="451" t="s">
        <v>1662</v>
      </c>
      <c r="C365" s="451" t="s">
        <v>1663</v>
      </c>
      <c r="D365" s="451" t="s">
        <v>1664</v>
      </c>
      <c r="E365" s="451"/>
      <c r="F365" s="451"/>
      <c r="G365" s="451" t="s">
        <v>32590</v>
      </c>
      <c r="H365" s="451" t="s">
        <v>22878</v>
      </c>
      <c r="I365" s="451" t="s">
        <v>32591</v>
      </c>
      <c r="J365" s="451" t="s">
        <v>1662</v>
      </c>
      <c r="K365" s="451"/>
    </row>
    <row r="366" spans="1:11">
      <c r="A366" s="450" t="s">
        <v>1661</v>
      </c>
      <c r="B366" s="450" t="s">
        <v>1662</v>
      </c>
      <c r="C366" s="450" t="s">
        <v>1663</v>
      </c>
      <c r="D366" s="450" t="s">
        <v>1664</v>
      </c>
      <c r="E366" s="450"/>
      <c r="F366" s="450"/>
      <c r="G366" s="450" t="s">
        <v>22877</v>
      </c>
      <c r="H366" s="450" t="s">
        <v>22878</v>
      </c>
      <c r="I366" s="450" t="s">
        <v>1664</v>
      </c>
      <c r="J366" s="450" t="s">
        <v>30224</v>
      </c>
      <c r="K366" s="450"/>
    </row>
    <row r="367" spans="1:11">
      <c r="A367" s="451" t="s">
        <v>1665</v>
      </c>
      <c r="B367" s="451" t="s">
        <v>1666</v>
      </c>
      <c r="C367" s="451" t="s">
        <v>1301</v>
      </c>
      <c r="D367" s="451" t="s">
        <v>1667</v>
      </c>
      <c r="E367" s="451"/>
      <c r="F367" s="451"/>
      <c r="G367" s="451" t="s">
        <v>22877</v>
      </c>
      <c r="H367" s="451" t="s">
        <v>22878</v>
      </c>
      <c r="I367" s="451" t="s">
        <v>1667</v>
      </c>
      <c r="J367" s="451" t="s">
        <v>32592</v>
      </c>
      <c r="K367" s="451"/>
    </row>
    <row r="368" spans="1:11">
      <c r="A368" s="450" t="s">
        <v>22358</v>
      </c>
      <c r="B368" s="450" t="s">
        <v>1666</v>
      </c>
      <c r="C368" s="450" t="s">
        <v>1301</v>
      </c>
      <c r="D368" s="450" t="s">
        <v>1667</v>
      </c>
      <c r="E368" s="450"/>
      <c r="F368" s="450"/>
      <c r="G368" s="450" t="s">
        <v>23067</v>
      </c>
      <c r="H368" s="450" t="s">
        <v>22878</v>
      </c>
      <c r="I368" s="450" t="s">
        <v>23068</v>
      </c>
      <c r="J368" s="450" t="s">
        <v>1666</v>
      </c>
      <c r="K368" s="450"/>
    </row>
    <row r="369" spans="1:11">
      <c r="A369" s="451" t="s">
        <v>32593</v>
      </c>
      <c r="B369" s="451" t="s">
        <v>1669</v>
      </c>
      <c r="C369" s="451" t="s">
        <v>1670</v>
      </c>
      <c r="D369" s="451" t="s">
        <v>1671</v>
      </c>
      <c r="E369" s="451"/>
      <c r="F369" s="451"/>
      <c r="G369" s="451" t="s">
        <v>23052</v>
      </c>
      <c r="H369" s="451" t="s">
        <v>22878</v>
      </c>
      <c r="I369" s="451" t="s">
        <v>32594</v>
      </c>
      <c r="J369" s="451" t="s">
        <v>1669</v>
      </c>
      <c r="K369" s="451"/>
    </row>
    <row r="370" spans="1:11">
      <c r="A370" s="450" t="s">
        <v>1668</v>
      </c>
      <c r="B370" s="450" t="s">
        <v>1669</v>
      </c>
      <c r="C370" s="450" t="s">
        <v>1670</v>
      </c>
      <c r="D370" s="450" t="s">
        <v>1671</v>
      </c>
      <c r="E370" s="450"/>
      <c r="F370" s="450"/>
      <c r="G370" s="450" t="s">
        <v>22877</v>
      </c>
      <c r="H370" s="450" t="s">
        <v>22878</v>
      </c>
      <c r="I370" s="450" t="s">
        <v>24235</v>
      </c>
      <c r="J370" s="450" t="s">
        <v>30225</v>
      </c>
      <c r="K370" s="450"/>
    </row>
    <row r="371" spans="1:11">
      <c r="A371" s="451" t="s">
        <v>1672</v>
      </c>
      <c r="B371" s="451" t="s">
        <v>1673</v>
      </c>
      <c r="C371" s="451" t="s">
        <v>1674</v>
      </c>
      <c r="D371" s="451" t="s">
        <v>1675</v>
      </c>
      <c r="E371" s="451"/>
      <c r="F371" s="451"/>
      <c r="G371" s="451" t="s">
        <v>22877</v>
      </c>
      <c r="H371" s="451" t="s">
        <v>22878</v>
      </c>
      <c r="I371" s="451" t="s">
        <v>32595</v>
      </c>
      <c r="J371" s="451" t="s">
        <v>32596</v>
      </c>
      <c r="K371" s="451"/>
    </row>
    <row r="372" spans="1:11">
      <c r="A372" s="450" t="s">
        <v>22359</v>
      </c>
      <c r="B372" s="450" t="s">
        <v>1673</v>
      </c>
      <c r="C372" s="450" t="s">
        <v>1674</v>
      </c>
      <c r="D372" s="450" t="s">
        <v>1675</v>
      </c>
      <c r="E372" s="450"/>
      <c r="F372" s="450"/>
      <c r="G372" s="450" t="s">
        <v>22359</v>
      </c>
      <c r="H372" s="450" t="s">
        <v>22878</v>
      </c>
      <c r="I372" s="450" t="s">
        <v>23069</v>
      </c>
      <c r="J372" s="450" t="s">
        <v>1673</v>
      </c>
      <c r="K372" s="450"/>
    </row>
    <row r="373" spans="1:11">
      <c r="A373" s="451" t="s">
        <v>1676</v>
      </c>
      <c r="B373" s="451" t="s">
        <v>1677</v>
      </c>
      <c r="C373" s="451" t="s">
        <v>1678</v>
      </c>
      <c r="D373" s="451" t="s">
        <v>1679</v>
      </c>
      <c r="E373" s="451"/>
      <c r="F373" s="451"/>
      <c r="G373" s="451" t="s">
        <v>23070</v>
      </c>
      <c r="H373" s="451" t="s">
        <v>22878</v>
      </c>
      <c r="I373" s="451" t="s">
        <v>23071</v>
      </c>
      <c r="J373" s="451" t="s">
        <v>23072</v>
      </c>
      <c r="K373" s="451"/>
    </row>
    <row r="374" spans="1:11">
      <c r="A374" s="450" t="s">
        <v>1680</v>
      </c>
      <c r="B374" s="450" t="s">
        <v>1681</v>
      </c>
      <c r="C374" s="450" t="s">
        <v>1682</v>
      </c>
      <c r="D374" s="450" t="s">
        <v>1683</v>
      </c>
      <c r="E374" s="450"/>
      <c r="F374" s="450"/>
      <c r="G374" s="450" t="s">
        <v>32597</v>
      </c>
      <c r="H374" s="450" t="s">
        <v>22878</v>
      </c>
      <c r="I374" s="450" t="s">
        <v>32598</v>
      </c>
      <c r="J374" s="450" t="s">
        <v>32599</v>
      </c>
      <c r="K374" s="450"/>
    </row>
    <row r="375" spans="1:11">
      <c r="A375" s="451" t="s">
        <v>1680</v>
      </c>
      <c r="B375" s="451" t="s">
        <v>1681</v>
      </c>
      <c r="C375" s="451" t="s">
        <v>1682</v>
      </c>
      <c r="D375" s="451" t="s">
        <v>1683</v>
      </c>
      <c r="E375" s="451" t="s">
        <v>1684</v>
      </c>
      <c r="F375" s="451"/>
      <c r="G375" s="451" t="s">
        <v>22877</v>
      </c>
      <c r="H375" s="451" t="s">
        <v>22878</v>
      </c>
      <c r="I375" s="451" t="s">
        <v>30226</v>
      </c>
      <c r="J375" s="451" t="s">
        <v>30227</v>
      </c>
      <c r="K375" s="451"/>
    </row>
    <row r="376" spans="1:11">
      <c r="A376" s="450" t="s">
        <v>1685</v>
      </c>
      <c r="B376" s="450"/>
      <c r="C376" s="450" t="s">
        <v>1686</v>
      </c>
      <c r="D376" s="450"/>
      <c r="E376" s="450"/>
      <c r="F376" s="450"/>
      <c r="G376" s="450" t="s">
        <v>32600</v>
      </c>
      <c r="H376" s="450" t="s">
        <v>22878</v>
      </c>
      <c r="I376" s="450"/>
      <c r="J376" s="450"/>
      <c r="K376" s="450"/>
    </row>
    <row r="377" spans="1:11">
      <c r="A377" s="451" t="s">
        <v>1687</v>
      </c>
      <c r="B377" s="451"/>
      <c r="C377" s="451" t="s">
        <v>1688</v>
      </c>
      <c r="D377" s="451"/>
      <c r="E377" s="451"/>
      <c r="F377" s="451"/>
      <c r="G377" s="451" t="s">
        <v>23073</v>
      </c>
      <c r="H377" s="451" t="s">
        <v>22878</v>
      </c>
      <c r="I377" s="451"/>
      <c r="J377" s="451" t="s">
        <v>23074</v>
      </c>
      <c r="K377" s="451"/>
    </row>
    <row r="378" spans="1:11">
      <c r="A378" s="450" t="s">
        <v>1689</v>
      </c>
      <c r="B378" s="450"/>
      <c r="C378" s="450" t="s">
        <v>1206</v>
      </c>
      <c r="D378" s="450"/>
      <c r="E378" s="450"/>
      <c r="F378" s="450"/>
      <c r="G378" s="450" t="s">
        <v>23073</v>
      </c>
      <c r="H378" s="450" t="s">
        <v>22878</v>
      </c>
      <c r="I378" s="450"/>
      <c r="J378" s="450" t="s">
        <v>23074</v>
      </c>
      <c r="K378" s="450"/>
    </row>
    <row r="379" spans="1:11">
      <c r="A379" s="451" t="s">
        <v>1691</v>
      </c>
      <c r="B379" s="451"/>
      <c r="C379" s="451" t="s">
        <v>1692</v>
      </c>
      <c r="D379" s="451"/>
      <c r="E379" s="451"/>
      <c r="F379" s="451"/>
      <c r="G379" s="451" t="s">
        <v>32601</v>
      </c>
      <c r="H379" s="451" t="s">
        <v>22878</v>
      </c>
      <c r="I379" s="451"/>
      <c r="J379" s="451"/>
      <c r="K379" s="451"/>
    </row>
    <row r="380" spans="1:11">
      <c r="A380" s="450" t="s">
        <v>32602</v>
      </c>
      <c r="B380" s="450"/>
      <c r="C380" s="450" t="s">
        <v>1690</v>
      </c>
      <c r="D380" s="450"/>
      <c r="E380" s="450"/>
      <c r="F380" s="450"/>
      <c r="G380" s="450" t="s">
        <v>23075</v>
      </c>
      <c r="H380" s="450" t="s">
        <v>22878</v>
      </c>
      <c r="I380" s="450"/>
      <c r="J380" s="450"/>
      <c r="K380" s="450"/>
    </row>
    <row r="381" spans="1:11">
      <c r="A381" s="451" t="s">
        <v>21426</v>
      </c>
      <c r="B381" s="451"/>
      <c r="C381" s="451" t="s">
        <v>1690</v>
      </c>
      <c r="D381" s="451"/>
      <c r="E381" s="451"/>
      <c r="F381" s="451"/>
      <c r="G381" s="451" t="s">
        <v>22877</v>
      </c>
      <c r="H381" s="451" t="s">
        <v>22878</v>
      </c>
      <c r="I381" s="451" t="s">
        <v>30228</v>
      </c>
      <c r="J381" s="451" t="s">
        <v>28403</v>
      </c>
      <c r="K381" s="451"/>
    </row>
    <row r="382" spans="1:11">
      <c r="A382" s="450" t="s">
        <v>32603</v>
      </c>
      <c r="B382" s="450" t="s">
        <v>1693</v>
      </c>
      <c r="C382" s="450" t="s">
        <v>1694</v>
      </c>
      <c r="D382" s="450" t="s">
        <v>1695</v>
      </c>
      <c r="E382" s="450"/>
      <c r="F382" s="450"/>
      <c r="G382" s="450" t="s">
        <v>32604</v>
      </c>
      <c r="H382" s="450" t="s">
        <v>22878</v>
      </c>
      <c r="I382" s="450"/>
      <c r="J382" s="450" t="s">
        <v>1693</v>
      </c>
      <c r="K382" s="450"/>
    </row>
    <row r="383" spans="1:11">
      <c r="A383" s="451" t="s">
        <v>21427</v>
      </c>
      <c r="B383" s="451" t="s">
        <v>1693</v>
      </c>
      <c r="C383" s="451" t="s">
        <v>1694</v>
      </c>
      <c r="D383" s="451" t="s">
        <v>1695</v>
      </c>
      <c r="E383" s="451" t="s">
        <v>1696</v>
      </c>
      <c r="F383" s="451"/>
      <c r="G383" s="451" t="s">
        <v>22877</v>
      </c>
      <c r="H383" s="451" t="s">
        <v>22878</v>
      </c>
      <c r="I383" s="451" t="s">
        <v>1695</v>
      </c>
      <c r="J383" s="451" t="s">
        <v>30229</v>
      </c>
      <c r="K383" s="451"/>
    </row>
    <row r="384" spans="1:11">
      <c r="A384" s="450" t="s">
        <v>20088</v>
      </c>
      <c r="B384" s="450" t="s">
        <v>20102</v>
      </c>
      <c r="C384" s="450" t="s">
        <v>11915</v>
      </c>
      <c r="D384" s="450" t="s">
        <v>20103</v>
      </c>
      <c r="E384" s="450"/>
      <c r="F384" s="450" t="s">
        <v>20104</v>
      </c>
      <c r="G384" s="450" t="s">
        <v>23076</v>
      </c>
      <c r="H384" s="450" t="s">
        <v>22878</v>
      </c>
      <c r="I384" s="450" t="s">
        <v>20103</v>
      </c>
      <c r="J384" s="450" t="s">
        <v>20102</v>
      </c>
      <c r="K384" s="450"/>
    </row>
    <row r="385" spans="1:11">
      <c r="A385" s="451" t="s">
        <v>21428</v>
      </c>
      <c r="B385" s="451"/>
      <c r="C385" s="451" t="s">
        <v>1697</v>
      </c>
      <c r="D385" s="451" t="s">
        <v>1698</v>
      </c>
      <c r="E385" s="451"/>
      <c r="F385" s="451"/>
      <c r="G385" s="451" t="s">
        <v>32605</v>
      </c>
      <c r="H385" s="451" t="s">
        <v>22878</v>
      </c>
      <c r="I385" s="451" t="s">
        <v>1698</v>
      </c>
      <c r="J385" s="451"/>
      <c r="K385" s="451"/>
    </row>
    <row r="386" spans="1:11">
      <c r="A386" s="450" t="s">
        <v>21428</v>
      </c>
      <c r="B386" s="450"/>
      <c r="C386" s="450" t="s">
        <v>1697</v>
      </c>
      <c r="D386" s="450" t="s">
        <v>1698</v>
      </c>
      <c r="E386" s="450" t="s">
        <v>1699</v>
      </c>
      <c r="F386" s="450"/>
      <c r="G386" s="450" t="s">
        <v>22877</v>
      </c>
      <c r="H386" s="450" t="s">
        <v>22878</v>
      </c>
      <c r="I386" s="450" t="s">
        <v>30230</v>
      </c>
      <c r="J386" s="450" t="s">
        <v>30231</v>
      </c>
      <c r="K386" s="450"/>
    </row>
    <row r="387" spans="1:11">
      <c r="A387" s="451" t="s">
        <v>21429</v>
      </c>
      <c r="B387" s="451" t="s">
        <v>1700</v>
      </c>
      <c r="C387" s="451" t="s">
        <v>1701</v>
      </c>
      <c r="D387" s="451" t="s">
        <v>1702</v>
      </c>
      <c r="E387" s="451"/>
      <c r="F387" s="451"/>
      <c r="G387" s="451" t="s">
        <v>32606</v>
      </c>
      <c r="H387" s="451" t="s">
        <v>22878</v>
      </c>
      <c r="I387" s="451" t="s">
        <v>32607</v>
      </c>
      <c r="J387" s="451" t="s">
        <v>1700</v>
      </c>
      <c r="K387" s="451"/>
    </row>
    <row r="388" spans="1:11">
      <c r="A388" s="450" t="s">
        <v>21429</v>
      </c>
      <c r="B388" s="450" t="s">
        <v>1700</v>
      </c>
      <c r="C388" s="450" t="s">
        <v>1701</v>
      </c>
      <c r="D388" s="450" t="s">
        <v>1702</v>
      </c>
      <c r="E388" s="450" t="s">
        <v>1703</v>
      </c>
      <c r="F388" s="450"/>
      <c r="G388" s="450" t="s">
        <v>22877</v>
      </c>
      <c r="H388" s="450" t="s">
        <v>22878</v>
      </c>
      <c r="I388" s="450" t="s">
        <v>23435</v>
      </c>
      <c r="J388" s="450" t="s">
        <v>30232</v>
      </c>
      <c r="K388" s="450"/>
    </row>
    <row r="389" spans="1:11">
      <c r="A389" s="451" t="s">
        <v>1704</v>
      </c>
      <c r="B389" s="451" t="s">
        <v>22360</v>
      </c>
      <c r="C389" s="451" t="s">
        <v>1706</v>
      </c>
      <c r="D389" s="451" t="s">
        <v>1707</v>
      </c>
      <c r="E389" s="451"/>
      <c r="F389" s="451"/>
      <c r="G389" s="451" t="s">
        <v>23077</v>
      </c>
      <c r="H389" s="451" t="s">
        <v>22878</v>
      </c>
      <c r="I389" s="451"/>
      <c r="J389" s="451" t="s">
        <v>23078</v>
      </c>
      <c r="K389" s="451"/>
    </row>
    <row r="390" spans="1:11">
      <c r="A390" s="450" t="s">
        <v>1704</v>
      </c>
      <c r="B390" s="450" t="s">
        <v>1705</v>
      </c>
      <c r="C390" s="450" t="s">
        <v>1706</v>
      </c>
      <c r="D390" s="450" t="s">
        <v>1707</v>
      </c>
      <c r="E390" s="450" t="s">
        <v>1708</v>
      </c>
      <c r="F390" s="450"/>
      <c r="G390" s="450" t="s">
        <v>22877</v>
      </c>
      <c r="H390" s="450" t="s">
        <v>22878</v>
      </c>
      <c r="I390" s="450" t="s">
        <v>30233</v>
      </c>
      <c r="J390" s="450" t="s">
        <v>30234</v>
      </c>
      <c r="K390" s="450"/>
    </row>
    <row r="391" spans="1:11">
      <c r="A391" s="451" t="s">
        <v>32608</v>
      </c>
      <c r="B391" s="451" t="s">
        <v>1710</v>
      </c>
      <c r="C391" s="451" t="s">
        <v>1711</v>
      </c>
      <c r="D391" s="451" t="s">
        <v>1712</v>
      </c>
      <c r="E391" s="451"/>
      <c r="F391" s="451"/>
      <c r="G391" s="451" t="s">
        <v>32609</v>
      </c>
      <c r="H391" s="451" t="s">
        <v>22878</v>
      </c>
      <c r="I391" s="451" t="s">
        <v>32610</v>
      </c>
      <c r="J391" s="451" t="s">
        <v>1710</v>
      </c>
      <c r="K391" s="451"/>
    </row>
    <row r="392" spans="1:11">
      <c r="A392" s="450" t="s">
        <v>1709</v>
      </c>
      <c r="B392" s="450" t="s">
        <v>1710</v>
      </c>
      <c r="C392" s="450" t="s">
        <v>1711</v>
      </c>
      <c r="D392" s="450" t="s">
        <v>1712</v>
      </c>
      <c r="E392" s="450"/>
      <c r="F392" s="450"/>
      <c r="G392" s="450" t="s">
        <v>22877</v>
      </c>
      <c r="H392" s="450" t="s">
        <v>22878</v>
      </c>
      <c r="I392" s="450" t="s">
        <v>1712</v>
      </c>
      <c r="J392" s="450" t="s">
        <v>30235</v>
      </c>
      <c r="K392" s="450"/>
    </row>
    <row r="393" spans="1:11">
      <c r="A393" s="451" t="s">
        <v>21430</v>
      </c>
      <c r="B393" s="451" t="s">
        <v>21187</v>
      </c>
      <c r="C393" s="451" t="s">
        <v>32611</v>
      </c>
      <c r="D393" s="451" t="s">
        <v>32612</v>
      </c>
      <c r="E393" s="451"/>
      <c r="F393" s="451"/>
      <c r="G393" s="451" t="s">
        <v>23052</v>
      </c>
      <c r="H393" s="451" t="s">
        <v>22878</v>
      </c>
      <c r="I393" s="451" t="s">
        <v>32612</v>
      </c>
      <c r="J393" s="451" t="s">
        <v>21187</v>
      </c>
      <c r="K393" s="451"/>
    </row>
    <row r="394" spans="1:11">
      <c r="A394" s="450" t="s">
        <v>21430</v>
      </c>
      <c r="B394" s="450" t="s">
        <v>21187</v>
      </c>
      <c r="C394" s="450" t="s">
        <v>9628</v>
      </c>
      <c r="D394" s="450" t="s">
        <v>21188</v>
      </c>
      <c r="E394" s="450"/>
      <c r="F394" s="450"/>
      <c r="G394" s="450" t="s">
        <v>22877</v>
      </c>
      <c r="H394" s="450" t="s">
        <v>22878</v>
      </c>
      <c r="I394" s="450" t="s">
        <v>21188</v>
      </c>
      <c r="J394" s="450" t="s">
        <v>30236</v>
      </c>
      <c r="K394" s="450"/>
    </row>
    <row r="395" spans="1:11">
      <c r="A395" s="451" t="s">
        <v>1713</v>
      </c>
      <c r="B395" s="451" t="s">
        <v>1714</v>
      </c>
      <c r="C395" s="451" t="s">
        <v>1715</v>
      </c>
      <c r="D395" s="451" t="s">
        <v>1716</v>
      </c>
      <c r="E395" s="451"/>
      <c r="F395" s="451"/>
      <c r="G395" s="451" t="s">
        <v>32613</v>
      </c>
      <c r="H395" s="451" t="s">
        <v>22878</v>
      </c>
      <c r="I395" s="451"/>
      <c r="J395" s="451" t="s">
        <v>1714</v>
      </c>
      <c r="K395" s="451"/>
    </row>
    <row r="396" spans="1:11">
      <c r="A396" s="450" t="s">
        <v>1713</v>
      </c>
      <c r="B396" s="450" t="s">
        <v>1714</v>
      </c>
      <c r="C396" s="450" t="s">
        <v>1715</v>
      </c>
      <c r="D396" s="450" t="s">
        <v>1716</v>
      </c>
      <c r="E396" s="450" t="s">
        <v>1717</v>
      </c>
      <c r="F396" s="450"/>
      <c r="G396" s="450" t="s">
        <v>22882</v>
      </c>
      <c r="H396" s="450" t="s">
        <v>22883</v>
      </c>
      <c r="I396" s="450" t="s">
        <v>30237</v>
      </c>
      <c r="J396" s="450" t="s">
        <v>30238</v>
      </c>
      <c r="K396" s="450"/>
    </row>
    <row r="397" spans="1:11">
      <c r="A397" s="451" t="s">
        <v>21431</v>
      </c>
      <c r="B397" s="451"/>
      <c r="C397" s="451" t="s">
        <v>1718</v>
      </c>
      <c r="D397" s="451"/>
      <c r="E397" s="451"/>
      <c r="F397" s="451"/>
      <c r="G397" s="451" t="s">
        <v>32614</v>
      </c>
      <c r="H397" s="451" t="s">
        <v>22878</v>
      </c>
      <c r="I397" s="451"/>
      <c r="J397" s="451" t="s">
        <v>32615</v>
      </c>
      <c r="K397" s="451"/>
    </row>
    <row r="398" spans="1:11">
      <c r="A398" s="450" t="s">
        <v>32616</v>
      </c>
      <c r="B398" s="450"/>
      <c r="C398" s="450" t="s">
        <v>1720</v>
      </c>
      <c r="D398" s="450" t="s">
        <v>1721</v>
      </c>
      <c r="E398" s="450"/>
      <c r="F398" s="450"/>
      <c r="G398" s="450" t="s">
        <v>32617</v>
      </c>
      <c r="H398" s="450" t="s">
        <v>22878</v>
      </c>
      <c r="I398" s="450" t="s">
        <v>1721</v>
      </c>
      <c r="J398" s="450"/>
      <c r="K398" s="450"/>
    </row>
    <row r="399" spans="1:11">
      <c r="A399" s="451" t="s">
        <v>1719</v>
      </c>
      <c r="B399" s="451"/>
      <c r="C399" s="451" t="s">
        <v>1720</v>
      </c>
      <c r="D399" s="451" t="s">
        <v>1721</v>
      </c>
      <c r="E399" s="451" t="s">
        <v>1722</v>
      </c>
      <c r="F399" s="451"/>
      <c r="G399" s="451" t="s">
        <v>22877</v>
      </c>
      <c r="H399" s="451" t="s">
        <v>22878</v>
      </c>
      <c r="I399" s="451" t="s">
        <v>30239</v>
      </c>
      <c r="J399" s="451" t="s">
        <v>30240</v>
      </c>
      <c r="K399" s="451"/>
    </row>
    <row r="400" spans="1:11">
      <c r="A400" s="450" t="s">
        <v>22361</v>
      </c>
      <c r="B400" s="450" t="s">
        <v>22362</v>
      </c>
      <c r="C400" s="450" t="s">
        <v>1725</v>
      </c>
      <c r="D400" s="450" t="s">
        <v>1726</v>
      </c>
      <c r="E400" s="450"/>
      <c r="F400" s="450"/>
      <c r="G400" s="450" t="s">
        <v>23052</v>
      </c>
      <c r="H400" s="450" t="s">
        <v>22878</v>
      </c>
      <c r="I400" s="450" t="s">
        <v>23079</v>
      </c>
      <c r="J400" s="450" t="s">
        <v>22362</v>
      </c>
      <c r="K400" s="450"/>
    </row>
    <row r="401" spans="1:11">
      <c r="A401" s="451" t="s">
        <v>22363</v>
      </c>
      <c r="B401" s="451" t="s">
        <v>1729</v>
      </c>
      <c r="C401" s="451" t="s">
        <v>1730</v>
      </c>
      <c r="D401" s="451" t="s">
        <v>1731</v>
      </c>
      <c r="E401" s="451"/>
      <c r="F401" s="451"/>
      <c r="G401" s="451" t="s">
        <v>23080</v>
      </c>
      <c r="H401" s="451" t="s">
        <v>22878</v>
      </c>
      <c r="I401" s="451" t="s">
        <v>23081</v>
      </c>
      <c r="J401" s="451" t="s">
        <v>1729</v>
      </c>
      <c r="K401" s="451"/>
    </row>
    <row r="402" spans="1:11">
      <c r="A402" s="450" t="s">
        <v>22364</v>
      </c>
      <c r="B402" s="450" t="s">
        <v>1734</v>
      </c>
      <c r="C402" s="450" t="s">
        <v>1735</v>
      </c>
      <c r="D402" s="450" t="s">
        <v>1736</v>
      </c>
      <c r="E402" s="450"/>
      <c r="F402" s="450"/>
      <c r="G402" s="450" t="s">
        <v>23082</v>
      </c>
      <c r="H402" s="450" t="s">
        <v>22878</v>
      </c>
      <c r="I402" s="450" t="s">
        <v>23083</v>
      </c>
      <c r="J402" s="450" t="s">
        <v>1734</v>
      </c>
      <c r="K402" s="450"/>
    </row>
    <row r="403" spans="1:11">
      <c r="A403" s="451" t="s">
        <v>1723</v>
      </c>
      <c r="B403" s="451" t="s">
        <v>1724</v>
      </c>
      <c r="C403" s="451" t="s">
        <v>1725</v>
      </c>
      <c r="D403" s="451" t="s">
        <v>1726</v>
      </c>
      <c r="E403" s="451" t="s">
        <v>1727</v>
      </c>
      <c r="F403" s="451"/>
      <c r="G403" s="451" t="s">
        <v>22877</v>
      </c>
      <c r="H403" s="451" t="s">
        <v>22878</v>
      </c>
      <c r="I403" s="451" t="s">
        <v>1726</v>
      </c>
      <c r="J403" s="451" t="s">
        <v>30241</v>
      </c>
      <c r="K403" s="451"/>
    </row>
    <row r="404" spans="1:11">
      <c r="A404" s="450" t="s">
        <v>1728</v>
      </c>
      <c r="B404" s="450" t="s">
        <v>1729</v>
      </c>
      <c r="C404" s="450" t="s">
        <v>1730</v>
      </c>
      <c r="D404" s="450" t="s">
        <v>1731</v>
      </c>
      <c r="E404" s="450" t="s">
        <v>1732</v>
      </c>
      <c r="F404" s="450"/>
      <c r="G404" s="450" t="s">
        <v>22882</v>
      </c>
      <c r="H404" s="450" t="s">
        <v>22883</v>
      </c>
      <c r="I404" s="450" t="s">
        <v>1731</v>
      </c>
      <c r="J404" s="450" t="s">
        <v>30242</v>
      </c>
      <c r="K404" s="450"/>
    </row>
    <row r="405" spans="1:11">
      <c r="A405" s="451" t="s">
        <v>1733</v>
      </c>
      <c r="B405" s="451" t="s">
        <v>1734</v>
      </c>
      <c r="C405" s="451" t="s">
        <v>1735</v>
      </c>
      <c r="D405" s="451" t="s">
        <v>1736</v>
      </c>
      <c r="E405" s="451"/>
      <c r="F405" s="451"/>
      <c r="G405" s="451" t="s">
        <v>22882</v>
      </c>
      <c r="H405" s="451" t="s">
        <v>22883</v>
      </c>
      <c r="I405" s="451" t="s">
        <v>30243</v>
      </c>
      <c r="J405" s="451" t="s">
        <v>30244</v>
      </c>
      <c r="K405" s="451"/>
    </row>
    <row r="406" spans="1:11">
      <c r="A406" s="450" t="s">
        <v>1737</v>
      </c>
      <c r="B406" s="450"/>
      <c r="C406" s="450" t="s">
        <v>1738</v>
      </c>
      <c r="D406" s="450"/>
      <c r="E406" s="450"/>
      <c r="F406" s="450"/>
      <c r="G406" s="450" t="s">
        <v>32618</v>
      </c>
      <c r="H406" s="450" t="s">
        <v>22878</v>
      </c>
      <c r="I406" s="450"/>
      <c r="J406" s="450"/>
      <c r="K406" s="450"/>
    </row>
    <row r="407" spans="1:11">
      <c r="A407" s="451" t="s">
        <v>21432</v>
      </c>
      <c r="B407" s="451"/>
      <c r="C407" s="451" t="s">
        <v>1739</v>
      </c>
      <c r="D407" s="451"/>
      <c r="E407" s="451"/>
      <c r="F407" s="451"/>
      <c r="G407" s="451" t="s">
        <v>30245</v>
      </c>
      <c r="H407" s="451" t="s">
        <v>22878</v>
      </c>
      <c r="I407" s="451"/>
      <c r="J407" s="451"/>
      <c r="K407" s="451" t="s">
        <v>30246</v>
      </c>
    </row>
    <row r="408" spans="1:11">
      <c r="A408" s="450" t="s">
        <v>1740</v>
      </c>
      <c r="B408" s="450" t="s">
        <v>1741</v>
      </c>
      <c r="C408" s="450" t="s">
        <v>1742</v>
      </c>
      <c r="D408" s="450" t="s">
        <v>1743</v>
      </c>
      <c r="E408" s="450"/>
      <c r="F408" s="450"/>
      <c r="G408" s="450" t="s">
        <v>22877</v>
      </c>
      <c r="H408" s="450" t="s">
        <v>22878</v>
      </c>
      <c r="I408" s="450" t="s">
        <v>32595</v>
      </c>
      <c r="J408" s="450" t="s">
        <v>32619</v>
      </c>
      <c r="K408" s="450"/>
    </row>
    <row r="409" spans="1:11">
      <c r="A409" s="451" t="s">
        <v>22365</v>
      </c>
      <c r="B409" s="451" t="s">
        <v>1741</v>
      </c>
      <c r="C409" s="451" t="s">
        <v>1742</v>
      </c>
      <c r="D409" s="451" t="s">
        <v>1743</v>
      </c>
      <c r="E409" s="451"/>
      <c r="F409" s="451"/>
      <c r="G409" s="451" t="s">
        <v>23084</v>
      </c>
      <c r="H409" s="451" t="s">
        <v>22878</v>
      </c>
      <c r="I409" s="451" t="s">
        <v>23085</v>
      </c>
      <c r="J409" s="451" t="s">
        <v>23086</v>
      </c>
      <c r="K409" s="451"/>
    </row>
    <row r="410" spans="1:11">
      <c r="A410" s="450" t="s">
        <v>32620</v>
      </c>
      <c r="B410" s="450" t="s">
        <v>1745</v>
      </c>
      <c r="C410" s="450" t="s">
        <v>1746</v>
      </c>
      <c r="D410" s="450" t="s">
        <v>1747</v>
      </c>
      <c r="E410" s="450"/>
      <c r="F410" s="450"/>
      <c r="G410" s="450" t="s">
        <v>32621</v>
      </c>
      <c r="H410" s="450" t="s">
        <v>22878</v>
      </c>
      <c r="I410" s="450" t="s">
        <v>32622</v>
      </c>
      <c r="J410" s="450" t="s">
        <v>32623</v>
      </c>
      <c r="K410" s="450"/>
    </row>
    <row r="411" spans="1:11">
      <c r="A411" s="451" t="s">
        <v>1744</v>
      </c>
      <c r="B411" s="451" t="s">
        <v>1745</v>
      </c>
      <c r="C411" s="451" t="s">
        <v>1746</v>
      </c>
      <c r="D411" s="451" t="s">
        <v>1747</v>
      </c>
      <c r="E411" s="451"/>
      <c r="F411" s="451"/>
      <c r="G411" s="451" t="s">
        <v>22877</v>
      </c>
      <c r="H411" s="451" t="s">
        <v>22878</v>
      </c>
      <c r="I411" s="451" t="s">
        <v>30247</v>
      </c>
      <c r="J411" s="451" t="s">
        <v>30248</v>
      </c>
      <c r="K411" s="451"/>
    </row>
    <row r="412" spans="1:11">
      <c r="A412" s="450" t="s">
        <v>1748</v>
      </c>
      <c r="B412" s="450" t="s">
        <v>1749</v>
      </c>
      <c r="C412" s="450" t="s">
        <v>1750</v>
      </c>
      <c r="D412" s="450" t="s">
        <v>1751</v>
      </c>
      <c r="E412" s="450"/>
      <c r="F412" s="450"/>
      <c r="G412" s="450" t="s">
        <v>23087</v>
      </c>
      <c r="H412" s="450" t="s">
        <v>22878</v>
      </c>
      <c r="I412" s="450" t="s">
        <v>32624</v>
      </c>
      <c r="J412" s="450" t="s">
        <v>1749</v>
      </c>
      <c r="K412" s="450"/>
    </row>
    <row r="413" spans="1:11">
      <c r="A413" s="451" t="s">
        <v>1748</v>
      </c>
      <c r="B413" s="451" t="s">
        <v>1749</v>
      </c>
      <c r="C413" s="451" t="s">
        <v>1750</v>
      </c>
      <c r="D413" s="451" t="s">
        <v>1751</v>
      </c>
      <c r="E413" s="451" t="s">
        <v>1752</v>
      </c>
      <c r="F413" s="451"/>
      <c r="G413" s="451" t="s">
        <v>22877</v>
      </c>
      <c r="H413" s="451" t="s">
        <v>22878</v>
      </c>
      <c r="I413" s="451" t="s">
        <v>24865</v>
      </c>
      <c r="J413" s="451" t="s">
        <v>30249</v>
      </c>
      <c r="K413" s="451"/>
    </row>
    <row r="414" spans="1:11">
      <c r="A414" s="450" t="s">
        <v>1753</v>
      </c>
      <c r="B414" s="450" t="s">
        <v>1754</v>
      </c>
      <c r="C414" s="450" t="s">
        <v>20105</v>
      </c>
      <c r="D414" s="450"/>
      <c r="E414" s="450"/>
      <c r="F414" s="450" t="s">
        <v>32625</v>
      </c>
      <c r="G414" s="450" t="s">
        <v>23052</v>
      </c>
      <c r="H414" s="450" t="s">
        <v>22878</v>
      </c>
      <c r="I414" s="450"/>
      <c r="J414" s="450" t="s">
        <v>32626</v>
      </c>
      <c r="K414" s="450"/>
    </row>
    <row r="415" spans="1:11">
      <c r="A415" s="451" t="s">
        <v>1753</v>
      </c>
      <c r="B415" s="451" t="s">
        <v>1754</v>
      </c>
      <c r="C415" s="451" t="s">
        <v>20105</v>
      </c>
      <c r="D415" s="451"/>
      <c r="E415" s="451"/>
      <c r="F415" s="451" t="s">
        <v>20106</v>
      </c>
      <c r="G415" s="451" t="s">
        <v>32627</v>
      </c>
      <c r="H415" s="451" t="s">
        <v>22878</v>
      </c>
      <c r="I415" s="451"/>
      <c r="J415" s="451" t="s">
        <v>1754</v>
      </c>
      <c r="K415" s="451"/>
    </row>
    <row r="416" spans="1:11">
      <c r="A416" s="450" t="s">
        <v>21433</v>
      </c>
      <c r="B416" s="450"/>
      <c r="C416" s="450" t="s">
        <v>1031</v>
      </c>
      <c r="D416" s="450"/>
      <c r="E416" s="450"/>
      <c r="F416" s="450"/>
      <c r="G416" s="450" t="s">
        <v>32628</v>
      </c>
      <c r="H416" s="450" t="s">
        <v>22878</v>
      </c>
      <c r="I416" s="450"/>
      <c r="J416" s="450"/>
      <c r="K416" s="450"/>
    </row>
    <row r="417" spans="1:11">
      <c r="A417" s="451" t="s">
        <v>1755</v>
      </c>
      <c r="B417" s="451"/>
      <c r="C417" s="451" t="s">
        <v>1756</v>
      </c>
      <c r="D417" s="451"/>
      <c r="E417" s="451"/>
      <c r="F417" s="451"/>
      <c r="G417" s="451" t="s">
        <v>32629</v>
      </c>
      <c r="H417" s="451" t="s">
        <v>22878</v>
      </c>
      <c r="I417" s="451"/>
      <c r="J417" s="451"/>
      <c r="K417" s="451"/>
    </row>
    <row r="418" spans="1:11">
      <c r="A418" s="450" t="s">
        <v>21434</v>
      </c>
      <c r="B418" s="450"/>
      <c r="C418" s="450" t="s">
        <v>1757</v>
      </c>
      <c r="D418" s="450"/>
      <c r="E418" s="450"/>
      <c r="F418" s="450"/>
      <c r="G418" s="450" t="s">
        <v>32630</v>
      </c>
      <c r="H418" s="450" t="s">
        <v>22878</v>
      </c>
      <c r="I418" s="450"/>
      <c r="J418" s="450"/>
      <c r="K418" s="450"/>
    </row>
    <row r="419" spans="1:11">
      <c r="A419" s="451" t="s">
        <v>1758</v>
      </c>
      <c r="B419" s="451" t="s">
        <v>1759</v>
      </c>
      <c r="C419" s="451" t="s">
        <v>1760</v>
      </c>
      <c r="D419" s="451"/>
      <c r="E419" s="451"/>
      <c r="F419" s="451"/>
      <c r="G419" s="451" t="s">
        <v>23052</v>
      </c>
      <c r="H419" s="451" t="s">
        <v>22878</v>
      </c>
      <c r="I419" s="451"/>
      <c r="J419" s="451" t="s">
        <v>1759</v>
      </c>
      <c r="K419" s="451"/>
    </row>
    <row r="420" spans="1:11">
      <c r="A420" s="450" t="s">
        <v>1761</v>
      </c>
      <c r="B420" s="450"/>
      <c r="C420" s="450" t="s">
        <v>1762</v>
      </c>
      <c r="D420" s="450"/>
      <c r="E420" s="450"/>
      <c r="F420" s="450"/>
      <c r="G420" s="450" t="s">
        <v>23088</v>
      </c>
      <c r="H420" s="450" t="s">
        <v>22878</v>
      </c>
      <c r="I420" s="450"/>
      <c r="J420" s="450"/>
      <c r="K420" s="450"/>
    </row>
    <row r="421" spans="1:11">
      <c r="A421" s="451" t="s">
        <v>22366</v>
      </c>
      <c r="B421" s="451" t="s">
        <v>22367</v>
      </c>
      <c r="C421" s="451" t="s">
        <v>1765</v>
      </c>
      <c r="D421" s="451" t="s">
        <v>1766</v>
      </c>
      <c r="E421" s="451"/>
      <c r="F421" s="451"/>
      <c r="G421" s="451" t="s">
        <v>23089</v>
      </c>
      <c r="H421" s="451" t="s">
        <v>22878</v>
      </c>
      <c r="I421" s="451" t="s">
        <v>1766</v>
      </c>
      <c r="J421" s="451" t="s">
        <v>23090</v>
      </c>
      <c r="K421" s="451"/>
    </row>
    <row r="422" spans="1:11">
      <c r="A422" s="450" t="s">
        <v>1763</v>
      </c>
      <c r="B422" s="450" t="s">
        <v>1764</v>
      </c>
      <c r="C422" s="450" t="s">
        <v>1765</v>
      </c>
      <c r="D422" s="450" t="s">
        <v>1766</v>
      </c>
      <c r="E422" s="450" t="s">
        <v>1767</v>
      </c>
      <c r="F422" s="450"/>
      <c r="G422" s="450" t="s">
        <v>22877</v>
      </c>
      <c r="H422" s="450" t="s">
        <v>22878</v>
      </c>
      <c r="I422" s="450" t="s">
        <v>30250</v>
      </c>
      <c r="J422" s="450" t="s">
        <v>30251</v>
      </c>
      <c r="K422" s="450"/>
    </row>
    <row r="423" spans="1:11">
      <c r="A423" s="451" t="s">
        <v>1768</v>
      </c>
      <c r="B423" s="451" t="s">
        <v>1769</v>
      </c>
      <c r="C423" s="451" t="s">
        <v>1770</v>
      </c>
      <c r="D423" s="451"/>
      <c r="E423" s="451"/>
      <c r="F423" s="451" t="s">
        <v>21395</v>
      </c>
      <c r="G423" s="451" t="s">
        <v>32631</v>
      </c>
      <c r="H423" s="451" t="s">
        <v>22878</v>
      </c>
      <c r="I423" s="451"/>
      <c r="J423" s="451" t="s">
        <v>1769</v>
      </c>
      <c r="K423" s="451"/>
    </row>
    <row r="424" spans="1:11">
      <c r="A424" s="450" t="s">
        <v>1771</v>
      </c>
      <c r="B424" s="450"/>
      <c r="C424" s="450" t="s">
        <v>1772</v>
      </c>
      <c r="D424" s="450"/>
      <c r="E424" s="450"/>
      <c r="F424" s="450"/>
      <c r="G424" s="450" t="s">
        <v>23091</v>
      </c>
      <c r="H424" s="450" t="s">
        <v>22878</v>
      </c>
      <c r="I424" s="450"/>
      <c r="J424" s="450"/>
      <c r="K424" s="450"/>
    </row>
    <row r="425" spans="1:11">
      <c r="A425" s="451" t="s">
        <v>1773</v>
      </c>
      <c r="B425" s="451"/>
      <c r="C425" s="451" t="s">
        <v>1774</v>
      </c>
      <c r="D425" s="451"/>
      <c r="E425" s="451"/>
      <c r="F425" s="451"/>
      <c r="G425" s="451" t="s">
        <v>32632</v>
      </c>
      <c r="H425" s="451" t="s">
        <v>22878</v>
      </c>
      <c r="I425" s="451"/>
      <c r="J425" s="451"/>
      <c r="K425" s="451"/>
    </row>
    <row r="426" spans="1:11">
      <c r="A426" s="450" t="s">
        <v>21435</v>
      </c>
      <c r="B426" s="450"/>
      <c r="C426" s="450" t="s">
        <v>1775</v>
      </c>
      <c r="D426" s="450"/>
      <c r="E426" s="450"/>
      <c r="F426" s="450"/>
      <c r="G426" s="450" t="s">
        <v>32633</v>
      </c>
      <c r="H426" s="450" t="s">
        <v>22878</v>
      </c>
      <c r="I426" s="450"/>
      <c r="J426" s="450"/>
      <c r="K426" s="450"/>
    </row>
    <row r="427" spans="1:11">
      <c r="A427" s="451" t="s">
        <v>1776</v>
      </c>
      <c r="B427" s="451"/>
      <c r="C427" s="451" t="s">
        <v>1202</v>
      </c>
      <c r="D427" s="451"/>
      <c r="E427" s="451"/>
      <c r="F427" s="451"/>
      <c r="G427" s="451" t="s">
        <v>32634</v>
      </c>
      <c r="H427" s="451" t="s">
        <v>22878</v>
      </c>
      <c r="I427" s="451"/>
      <c r="J427" s="451"/>
      <c r="K427" s="451"/>
    </row>
    <row r="428" spans="1:11">
      <c r="A428" s="450" t="s">
        <v>1777</v>
      </c>
      <c r="B428" s="450"/>
      <c r="C428" s="450" t="s">
        <v>1778</v>
      </c>
      <c r="D428" s="450"/>
      <c r="E428" s="450"/>
      <c r="F428" s="450"/>
      <c r="G428" s="450" t="s">
        <v>32635</v>
      </c>
      <c r="H428" s="450" t="s">
        <v>22878</v>
      </c>
      <c r="I428" s="450"/>
      <c r="J428" s="450" t="s">
        <v>32636</v>
      </c>
      <c r="K428" s="450"/>
    </row>
    <row r="429" spans="1:11">
      <c r="A429" s="451" t="s">
        <v>1779</v>
      </c>
      <c r="B429" s="451"/>
      <c r="C429" s="451" t="s">
        <v>1780</v>
      </c>
      <c r="D429" s="451"/>
      <c r="E429" s="451"/>
      <c r="F429" s="451"/>
      <c r="G429" s="451" t="s">
        <v>23092</v>
      </c>
      <c r="H429" s="451" t="s">
        <v>22878</v>
      </c>
      <c r="I429" s="451"/>
      <c r="J429" s="451" t="s">
        <v>23074</v>
      </c>
      <c r="K429" s="451"/>
    </row>
    <row r="430" spans="1:11">
      <c r="A430" s="450" t="s">
        <v>1781</v>
      </c>
      <c r="B430" s="450" t="s">
        <v>1782</v>
      </c>
      <c r="C430" s="450" t="s">
        <v>1783</v>
      </c>
      <c r="D430" s="450"/>
      <c r="E430" s="450"/>
      <c r="F430" s="450"/>
      <c r="G430" s="450" t="s">
        <v>22877</v>
      </c>
      <c r="H430" s="450" t="s">
        <v>22878</v>
      </c>
      <c r="I430" s="450" t="s">
        <v>30252</v>
      </c>
      <c r="J430" s="450" t="s">
        <v>30253</v>
      </c>
      <c r="K430" s="450"/>
    </row>
    <row r="431" spans="1:11">
      <c r="A431" s="451" t="s">
        <v>1784</v>
      </c>
      <c r="B431" s="451" t="s">
        <v>1785</v>
      </c>
      <c r="C431" s="451" t="s">
        <v>1786</v>
      </c>
      <c r="D431" s="451" t="s">
        <v>1787</v>
      </c>
      <c r="E431" s="451"/>
      <c r="F431" s="451"/>
      <c r="G431" s="451" t="s">
        <v>32637</v>
      </c>
      <c r="H431" s="451" t="s">
        <v>22878</v>
      </c>
      <c r="I431" s="451" t="s">
        <v>32638</v>
      </c>
      <c r="J431" s="451" t="s">
        <v>1785</v>
      </c>
      <c r="K431" s="451"/>
    </row>
    <row r="432" spans="1:11">
      <c r="A432" s="450" t="s">
        <v>1784</v>
      </c>
      <c r="B432" s="450" t="s">
        <v>1785</v>
      </c>
      <c r="C432" s="450" t="s">
        <v>1786</v>
      </c>
      <c r="D432" s="450" t="s">
        <v>1787</v>
      </c>
      <c r="E432" s="450" t="s">
        <v>1788</v>
      </c>
      <c r="F432" s="450"/>
      <c r="G432" s="450" t="s">
        <v>22877</v>
      </c>
      <c r="H432" s="450" t="s">
        <v>22878</v>
      </c>
      <c r="I432" s="450" t="s">
        <v>1787</v>
      </c>
      <c r="J432" s="450" t="s">
        <v>30254</v>
      </c>
      <c r="K432" s="450"/>
    </row>
    <row r="433" spans="1:11">
      <c r="A433" s="451" t="s">
        <v>1789</v>
      </c>
      <c r="B433" s="451" t="s">
        <v>1790</v>
      </c>
      <c r="C433" s="451" t="s">
        <v>1791</v>
      </c>
      <c r="D433" s="451" t="s">
        <v>1792</v>
      </c>
      <c r="E433" s="451"/>
      <c r="F433" s="451"/>
      <c r="G433" s="451" t="s">
        <v>23093</v>
      </c>
      <c r="H433" s="451" t="s">
        <v>22878</v>
      </c>
      <c r="I433" s="451" t="s">
        <v>23094</v>
      </c>
      <c r="J433" s="451" t="s">
        <v>1790</v>
      </c>
      <c r="K433" s="451"/>
    </row>
    <row r="434" spans="1:11">
      <c r="A434" s="450" t="s">
        <v>32639</v>
      </c>
      <c r="B434" s="450" t="s">
        <v>1794</v>
      </c>
      <c r="C434" s="450" t="s">
        <v>1795</v>
      </c>
      <c r="D434" s="450" t="s">
        <v>1796</v>
      </c>
      <c r="E434" s="450"/>
      <c r="F434" s="450"/>
      <c r="G434" s="450" t="s">
        <v>32640</v>
      </c>
      <c r="H434" s="450" t="s">
        <v>22878</v>
      </c>
      <c r="I434" s="450" t="s">
        <v>32641</v>
      </c>
      <c r="J434" s="450" t="s">
        <v>32642</v>
      </c>
      <c r="K434" s="450"/>
    </row>
    <row r="435" spans="1:11">
      <c r="A435" s="451" t="s">
        <v>1793</v>
      </c>
      <c r="B435" s="451" t="s">
        <v>1794</v>
      </c>
      <c r="C435" s="451" t="s">
        <v>1795</v>
      </c>
      <c r="D435" s="451" t="s">
        <v>1796</v>
      </c>
      <c r="E435" s="451"/>
      <c r="F435" s="451"/>
      <c r="G435" s="451" t="s">
        <v>22877</v>
      </c>
      <c r="H435" s="451" t="s">
        <v>22878</v>
      </c>
      <c r="I435" s="451" t="s">
        <v>1796</v>
      </c>
      <c r="J435" s="451" t="s">
        <v>30255</v>
      </c>
      <c r="K435" s="451"/>
    </row>
    <row r="436" spans="1:11">
      <c r="A436" s="450" t="s">
        <v>22368</v>
      </c>
      <c r="B436" s="450" t="s">
        <v>22369</v>
      </c>
      <c r="C436" s="450" t="s">
        <v>22370</v>
      </c>
      <c r="D436" s="450"/>
      <c r="E436" s="450"/>
      <c r="F436" s="450"/>
      <c r="G436" s="450" t="s">
        <v>23095</v>
      </c>
      <c r="H436" s="450" t="s">
        <v>22878</v>
      </c>
      <c r="I436" s="450"/>
      <c r="J436" s="450" t="s">
        <v>22369</v>
      </c>
      <c r="K436" s="450"/>
    </row>
    <row r="437" spans="1:11">
      <c r="A437" s="451" t="s">
        <v>21436</v>
      </c>
      <c r="B437" s="451" t="s">
        <v>1797</v>
      </c>
      <c r="C437" s="451" t="s">
        <v>1798</v>
      </c>
      <c r="D437" s="451" t="s">
        <v>1799</v>
      </c>
      <c r="E437" s="451"/>
      <c r="F437" s="451"/>
      <c r="G437" s="451" t="s">
        <v>32643</v>
      </c>
      <c r="H437" s="451" t="s">
        <v>22878</v>
      </c>
      <c r="I437" s="451" t="s">
        <v>32644</v>
      </c>
      <c r="J437" s="451" t="s">
        <v>1797</v>
      </c>
      <c r="K437" s="451"/>
    </row>
    <row r="438" spans="1:11">
      <c r="A438" s="450" t="s">
        <v>21436</v>
      </c>
      <c r="B438" s="450" t="s">
        <v>1797</v>
      </c>
      <c r="C438" s="450" t="s">
        <v>1798</v>
      </c>
      <c r="D438" s="450" t="s">
        <v>1799</v>
      </c>
      <c r="E438" s="450" t="s">
        <v>1800</v>
      </c>
      <c r="F438" s="450"/>
      <c r="G438" s="450" t="s">
        <v>22882</v>
      </c>
      <c r="H438" s="450" t="s">
        <v>22883</v>
      </c>
      <c r="I438" s="450" t="s">
        <v>1799</v>
      </c>
      <c r="J438" s="450" t="s">
        <v>30256</v>
      </c>
      <c r="K438" s="450"/>
    </row>
    <row r="439" spans="1:11">
      <c r="A439" s="451" t="s">
        <v>22371</v>
      </c>
      <c r="B439" s="451" t="s">
        <v>1782</v>
      </c>
      <c r="C439" s="451" t="s">
        <v>1783</v>
      </c>
      <c r="D439" s="451"/>
      <c r="E439" s="451"/>
      <c r="F439" s="451"/>
      <c r="G439" s="451" t="s">
        <v>23052</v>
      </c>
      <c r="H439" s="451" t="s">
        <v>22878</v>
      </c>
      <c r="I439" s="451"/>
      <c r="J439" s="451" t="s">
        <v>1782</v>
      </c>
      <c r="K439" s="451"/>
    </row>
    <row r="440" spans="1:11">
      <c r="A440" s="450" t="s">
        <v>21437</v>
      </c>
      <c r="B440" s="450" t="s">
        <v>1801</v>
      </c>
      <c r="C440" s="450" t="s">
        <v>1802</v>
      </c>
      <c r="D440" s="450" t="s">
        <v>1803</v>
      </c>
      <c r="E440" s="450"/>
      <c r="F440" s="450"/>
      <c r="G440" s="450" t="s">
        <v>23096</v>
      </c>
      <c r="H440" s="450" t="s">
        <v>22878</v>
      </c>
      <c r="I440" s="450" t="s">
        <v>23097</v>
      </c>
      <c r="J440" s="450" t="s">
        <v>1801</v>
      </c>
      <c r="K440" s="450"/>
    </row>
    <row r="441" spans="1:11">
      <c r="A441" s="451" t="s">
        <v>1804</v>
      </c>
      <c r="B441" s="451" t="s">
        <v>1805</v>
      </c>
      <c r="C441" s="451" t="s">
        <v>1806</v>
      </c>
      <c r="D441" s="451" t="s">
        <v>1807</v>
      </c>
      <c r="E441" s="451"/>
      <c r="F441" s="451"/>
      <c r="G441" s="451" t="s">
        <v>23098</v>
      </c>
      <c r="H441" s="451" t="s">
        <v>22878</v>
      </c>
      <c r="I441" s="451" t="s">
        <v>23099</v>
      </c>
      <c r="J441" s="451" t="s">
        <v>23100</v>
      </c>
      <c r="K441" s="451"/>
    </row>
    <row r="442" spans="1:11">
      <c r="A442" s="450" t="s">
        <v>1808</v>
      </c>
      <c r="B442" s="450" t="s">
        <v>1809</v>
      </c>
      <c r="C442" s="450" t="s">
        <v>1810</v>
      </c>
      <c r="D442" s="450" t="s">
        <v>1811</v>
      </c>
      <c r="E442" s="450"/>
      <c r="F442" s="450"/>
      <c r="G442" s="450" t="s">
        <v>32645</v>
      </c>
      <c r="H442" s="450" t="s">
        <v>22878</v>
      </c>
      <c r="I442" s="450" t="s">
        <v>32646</v>
      </c>
      <c r="J442" s="450" t="s">
        <v>1809</v>
      </c>
      <c r="K442" s="450"/>
    </row>
    <row r="443" spans="1:11">
      <c r="A443" s="451" t="s">
        <v>1808</v>
      </c>
      <c r="B443" s="451" t="s">
        <v>1809</v>
      </c>
      <c r="C443" s="451" t="s">
        <v>1810</v>
      </c>
      <c r="D443" s="451" t="s">
        <v>1811</v>
      </c>
      <c r="E443" s="451" t="s">
        <v>1812</v>
      </c>
      <c r="F443" s="451"/>
      <c r="G443" s="451" t="s">
        <v>22877</v>
      </c>
      <c r="H443" s="451" t="s">
        <v>22878</v>
      </c>
      <c r="I443" s="451" t="s">
        <v>30257</v>
      </c>
      <c r="J443" s="451" t="s">
        <v>30258</v>
      </c>
      <c r="K443" s="451"/>
    </row>
    <row r="444" spans="1:11">
      <c r="A444" s="450" t="s">
        <v>1813</v>
      </c>
      <c r="B444" s="450" t="s">
        <v>1814</v>
      </c>
      <c r="C444" s="450" t="s">
        <v>1815</v>
      </c>
      <c r="D444" s="450" t="s">
        <v>1816</v>
      </c>
      <c r="E444" s="450"/>
      <c r="F444" s="450"/>
      <c r="G444" s="450" t="s">
        <v>23052</v>
      </c>
      <c r="H444" s="450" t="s">
        <v>22878</v>
      </c>
      <c r="I444" s="450" t="s">
        <v>23101</v>
      </c>
      <c r="J444" s="450" t="s">
        <v>1814</v>
      </c>
      <c r="K444" s="450"/>
    </row>
    <row r="445" spans="1:11">
      <c r="A445" s="451" t="s">
        <v>32647</v>
      </c>
      <c r="B445" s="451" t="s">
        <v>32648</v>
      </c>
      <c r="C445" s="451" t="s">
        <v>32649</v>
      </c>
      <c r="D445" s="451"/>
      <c r="E445" s="451"/>
      <c r="F445" s="451"/>
      <c r="G445" s="451" t="s">
        <v>23102</v>
      </c>
      <c r="H445" s="451" t="s">
        <v>22878</v>
      </c>
      <c r="I445" s="451"/>
      <c r="J445" s="451" t="s">
        <v>32648</v>
      </c>
      <c r="K445" s="451"/>
    </row>
    <row r="446" spans="1:11">
      <c r="A446" s="450" t="s">
        <v>1817</v>
      </c>
      <c r="B446" s="450" t="s">
        <v>1818</v>
      </c>
      <c r="C446" s="450" t="s">
        <v>1819</v>
      </c>
      <c r="D446" s="450" t="s">
        <v>1820</v>
      </c>
      <c r="E446" s="450"/>
      <c r="F446" s="450"/>
      <c r="G446" s="450" t="s">
        <v>23103</v>
      </c>
      <c r="H446" s="450" t="s">
        <v>22878</v>
      </c>
      <c r="I446" s="450"/>
      <c r="J446" s="450" t="s">
        <v>23104</v>
      </c>
      <c r="K446" s="450"/>
    </row>
    <row r="447" spans="1:11">
      <c r="A447" s="451" t="s">
        <v>1821</v>
      </c>
      <c r="B447" s="451" t="s">
        <v>1822</v>
      </c>
      <c r="C447" s="451" t="s">
        <v>1823</v>
      </c>
      <c r="D447" s="451" t="s">
        <v>1824</v>
      </c>
      <c r="E447" s="451"/>
      <c r="F447" s="451"/>
      <c r="G447" s="451" t="s">
        <v>22882</v>
      </c>
      <c r="H447" s="451" t="s">
        <v>22883</v>
      </c>
      <c r="I447" s="451" t="s">
        <v>22897</v>
      </c>
      <c r="J447" s="451" t="s">
        <v>32650</v>
      </c>
      <c r="K447" s="451"/>
    </row>
    <row r="448" spans="1:11">
      <c r="A448" s="450" t="s">
        <v>22372</v>
      </c>
      <c r="B448" s="450" t="s">
        <v>1822</v>
      </c>
      <c r="C448" s="450" t="s">
        <v>1823</v>
      </c>
      <c r="D448" s="450" t="s">
        <v>1824</v>
      </c>
      <c r="E448" s="450"/>
      <c r="F448" s="450"/>
      <c r="G448" s="450" t="s">
        <v>23105</v>
      </c>
      <c r="H448" s="450" t="s">
        <v>22878</v>
      </c>
      <c r="I448" s="450" t="s">
        <v>23106</v>
      </c>
      <c r="J448" s="450" t="s">
        <v>23107</v>
      </c>
      <c r="K448" s="450"/>
    </row>
    <row r="449" spans="1:11">
      <c r="A449" s="451" t="s">
        <v>22063</v>
      </c>
      <c r="B449" s="451" t="s">
        <v>1826</v>
      </c>
      <c r="C449" s="451" t="s">
        <v>1827</v>
      </c>
      <c r="D449" s="451"/>
      <c r="E449" s="451"/>
      <c r="F449" s="451"/>
      <c r="G449" s="451" t="s">
        <v>23084</v>
      </c>
      <c r="H449" s="451" t="s">
        <v>22878</v>
      </c>
      <c r="I449" s="451"/>
      <c r="J449" s="451" t="s">
        <v>1826</v>
      </c>
      <c r="K449" s="451"/>
    </row>
    <row r="450" spans="1:11">
      <c r="A450" s="450" t="s">
        <v>22063</v>
      </c>
      <c r="B450" s="450" t="s">
        <v>1826</v>
      </c>
      <c r="C450" s="450" t="s">
        <v>22065</v>
      </c>
      <c r="D450" s="450" t="s">
        <v>22064</v>
      </c>
      <c r="E450" s="450"/>
      <c r="F450" s="450"/>
      <c r="G450" s="450" t="s">
        <v>22877</v>
      </c>
      <c r="H450" s="450" t="s">
        <v>22878</v>
      </c>
      <c r="I450" s="450" t="s">
        <v>30259</v>
      </c>
      <c r="J450" s="450" t="s">
        <v>32651</v>
      </c>
      <c r="K450" s="450"/>
    </row>
    <row r="451" spans="1:11">
      <c r="A451" s="451" t="s">
        <v>1825</v>
      </c>
      <c r="B451" s="451" t="s">
        <v>1826</v>
      </c>
      <c r="C451" s="451" t="s">
        <v>1827</v>
      </c>
      <c r="D451" s="451"/>
      <c r="E451" s="451"/>
      <c r="F451" s="451"/>
      <c r="G451" s="451" t="s">
        <v>22877</v>
      </c>
      <c r="H451" s="451" t="s">
        <v>22878</v>
      </c>
      <c r="I451" s="451" t="s">
        <v>30259</v>
      </c>
      <c r="J451" s="451" t="s">
        <v>30260</v>
      </c>
      <c r="K451" s="451"/>
    </row>
    <row r="452" spans="1:11">
      <c r="A452" s="450" t="s">
        <v>1828</v>
      </c>
      <c r="B452" s="450"/>
      <c r="C452" s="450" t="s">
        <v>1829</v>
      </c>
      <c r="D452" s="450"/>
      <c r="E452" s="450"/>
      <c r="F452" s="450"/>
      <c r="G452" s="450" t="s">
        <v>22877</v>
      </c>
      <c r="H452" s="450" t="s">
        <v>22878</v>
      </c>
      <c r="I452" s="450" t="s">
        <v>30261</v>
      </c>
      <c r="J452" s="450" t="s">
        <v>23185</v>
      </c>
      <c r="K452" s="450"/>
    </row>
    <row r="453" spans="1:11">
      <c r="A453" s="451" t="s">
        <v>32652</v>
      </c>
      <c r="B453" s="451"/>
      <c r="C453" s="451" t="s">
        <v>1829</v>
      </c>
      <c r="D453" s="451"/>
      <c r="E453" s="451"/>
      <c r="F453" s="451"/>
      <c r="G453" s="451" t="s">
        <v>32653</v>
      </c>
      <c r="H453" s="451" t="s">
        <v>22878</v>
      </c>
      <c r="I453" s="451"/>
      <c r="J453" s="451"/>
      <c r="K453" s="451"/>
    </row>
    <row r="454" spans="1:11">
      <c r="A454" s="450" t="s">
        <v>32654</v>
      </c>
      <c r="B454" s="450" t="s">
        <v>1831</v>
      </c>
      <c r="C454" s="450" t="s">
        <v>1832</v>
      </c>
      <c r="D454" s="450" t="s">
        <v>1833</v>
      </c>
      <c r="E454" s="450"/>
      <c r="F454" s="450"/>
      <c r="G454" s="450" t="s">
        <v>23108</v>
      </c>
      <c r="H454" s="450" t="s">
        <v>22878</v>
      </c>
      <c r="I454" s="450"/>
      <c r="J454" s="450" t="s">
        <v>1831</v>
      </c>
      <c r="K454" s="450" t="s">
        <v>23726</v>
      </c>
    </row>
    <row r="455" spans="1:11">
      <c r="A455" s="451" t="s">
        <v>1830</v>
      </c>
      <c r="B455" s="451" t="s">
        <v>1831</v>
      </c>
      <c r="C455" s="451" t="s">
        <v>1832</v>
      </c>
      <c r="D455" s="451" t="s">
        <v>1833</v>
      </c>
      <c r="E455" s="451"/>
      <c r="F455" s="451"/>
      <c r="G455" s="451" t="s">
        <v>22882</v>
      </c>
      <c r="H455" s="451" t="s">
        <v>22883</v>
      </c>
      <c r="I455" s="451" t="s">
        <v>1833</v>
      </c>
      <c r="J455" s="451" t="s">
        <v>30262</v>
      </c>
      <c r="K455" s="451"/>
    </row>
    <row r="456" spans="1:11">
      <c r="A456" s="450" t="s">
        <v>1834</v>
      </c>
      <c r="B456" s="450" t="s">
        <v>1835</v>
      </c>
      <c r="C456" s="450" t="s">
        <v>1836</v>
      </c>
      <c r="D456" s="450"/>
      <c r="E456" s="450"/>
      <c r="F456" s="450" t="s">
        <v>32655</v>
      </c>
      <c r="G456" s="450" t="s">
        <v>23109</v>
      </c>
      <c r="H456" s="450" t="s">
        <v>22878</v>
      </c>
      <c r="I456" s="450"/>
      <c r="J456" s="450" t="s">
        <v>1835</v>
      </c>
      <c r="K456" s="450"/>
    </row>
    <row r="457" spans="1:11">
      <c r="A457" s="451" t="s">
        <v>1834</v>
      </c>
      <c r="B457" s="451" t="s">
        <v>1835</v>
      </c>
      <c r="C457" s="451" t="s">
        <v>1836</v>
      </c>
      <c r="D457" s="451"/>
      <c r="E457" s="451"/>
      <c r="F457" s="451" t="s">
        <v>20107</v>
      </c>
      <c r="G457" s="451" t="s">
        <v>22877</v>
      </c>
      <c r="H457" s="451" t="s">
        <v>22878</v>
      </c>
      <c r="I457" s="451" t="s">
        <v>30263</v>
      </c>
      <c r="J457" s="451" t="s">
        <v>30264</v>
      </c>
      <c r="K457" s="451"/>
    </row>
    <row r="458" spans="1:11">
      <c r="A458" s="450" t="s">
        <v>21438</v>
      </c>
      <c r="B458" s="450"/>
      <c r="C458" s="450" t="s">
        <v>1837</v>
      </c>
      <c r="D458" s="450" t="s">
        <v>1838</v>
      </c>
      <c r="E458" s="450"/>
      <c r="F458" s="450"/>
      <c r="G458" s="450" t="s">
        <v>32656</v>
      </c>
      <c r="H458" s="450" t="s">
        <v>22878</v>
      </c>
      <c r="I458" s="450" t="s">
        <v>32657</v>
      </c>
      <c r="J458" s="450" t="s">
        <v>32658</v>
      </c>
      <c r="K458" s="450"/>
    </row>
    <row r="459" spans="1:11">
      <c r="A459" s="451" t="s">
        <v>21438</v>
      </c>
      <c r="B459" s="451"/>
      <c r="C459" s="451" t="s">
        <v>1837</v>
      </c>
      <c r="D459" s="451" t="s">
        <v>1838</v>
      </c>
      <c r="E459" s="451" t="s">
        <v>1839</v>
      </c>
      <c r="F459" s="451"/>
      <c r="G459" s="451" t="s">
        <v>22877</v>
      </c>
      <c r="H459" s="451" t="s">
        <v>22878</v>
      </c>
      <c r="I459" s="451" t="s">
        <v>29081</v>
      </c>
      <c r="J459" s="451" t="s">
        <v>30265</v>
      </c>
      <c r="K459" s="451"/>
    </row>
    <row r="460" spans="1:11">
      <c r="A460" s="450" t="s">
        <v>1840</v>
      </c>
      <c r="B460" s="450" t="s">
        <v>1841</v>
      </c>
      <c r="C460" s="450" t="s">
        <v>1842</v>
      </c>
      <c r="D460" s="450" t="s">
        <v>1843</v>
      </c>
      <c r="E460" s="450"/>
      <c r="F460" s="450"/>
      <c r="G460" s="450" t="s">
        <v>23110</v>
      </c>
      <c r="H460" s="450" t="s">
        <v>22878</v>
      </c>
      <c r="I460" s="450" t="s">
        <v>23111</v>
      </c>
      <c r="J460" s="450" t="s">
        <v>23112</v>
      </c>
      <c r="K460" s="450"/>
    </row>
    <row r="461" spans="1:11">
      <c r="A461" s="451" t="s">
        <v>32659</v>
      </c>
      <c r="B461" s="451" t="s">
        <v>1845</v>
      </c>
      <c r="C461" s="451" t="s">
        <v>1846</v>
      </c>
      <c r="D461" s="451" t="s">
        <v>1847</v>
      </c>
      <c r="E461" s="451"/>
      <c r="F461" s="451"/>
      <c r="G461" s="451" t="s">
        <v>32660</v>
      </c>
      <c r="H461" s="451" t="s">
        <v>22878</v>
      </c>
      <c r="I461" s="451" t="s">
        <v>1847</v>
      </c>
      <c r="J461" s="451" t="s">
        <v>1845</v>
      </c>
      <c r="K461" s="451"/>
    </row>
    <row r="462" spans="1:11">
      <c r="A462" s="450" t="s">
        <v>1844</v>
      </c>
      <c r="B462" s="450" t="s">
        <v>1845</v>
      </c>
      <c r="C462" s="450" t="s">
        <v>1846</v>
      </c>
      <c r="D462" s="450" t="s">
        <v>1847</v>
      </c>
      <c r="E462" s="450"/>
      <c r="F462" s="450"/>
      <c r="G462" s="450" t="s">
        <v>22882</v>
      </c>
      <c r="H462" s="450" t="s">
        <v>22883</v>
      </c>
      <c r="I462" s="450" t="s">
        <v>1847</v>
      </c>
      <c r="J462" s="450" t="s">
        <v>30266</v>
      </c>
      <c r="K462" s="450"/>
    </row>
    <row r="463" spans="1:11">
      <c r="A463" s="451" t="s">
        <v>1848</v>
      </c>
      <c r="B463" s="451"/>
      <c r="C463" s="451" t="s">
        <v>1849</v>
      </c>
      <c r="D463" s="451"/>
      <c r="E463" s="451"/>
      <c r="F463" s="451"/>
      <c r="G463" s="451" t="s">
        <v>32634</v>
      </c>
      <c r="H463" s="451" t="s">
        <v>22878</v>
      </c>
      <c r="I463" s="451"/>
      <c r="J463" s="451"/>
      <c r="K463" s="451" t="s">
        <v>23726</v>
      </c>
    </row>
    <row r="464" spans="1:11">
      <c r="A464" s="450" t="s">
        <v>1850</v>
      </c>
      <c r="B464" s="450"/>
      <c r="C464" s="450"/>
      <c r="D464" s="450" t="s">
        <v>1851</v>
      </c>
      <c r="E464" s="450"/>
      <c r="F464" s="450"/>
      <c r="G464" s="450" t="s">
        <v>32637</v>
      </c>
      <c r="H464" s="450" t="s">
        <v>22878</v>
      </c>
      <c r="I464" s="450" t="s">
        <v>1851</v>
      </c>
      <c r="J464" s="450"/>
      <c r="K464" s="450"/>
    </row>
    <row r="465" spans="1:11">
      <c r="A465" s="451" t="s">
        <v>1850</v>
      </c>
      <c r="B465" s="451"/>
      <c r="C465" s="451"/>
      <c r="D465" s="451" t="s">
        <v>1851</v>
      </c>
      <c r="E465" s="451" t="s">
        <v>1852</v>
      </c>
      <c r="F465" s="451"/>
      <c r="G465" s="451" t="s">
        <v>22877</v>
      </c>
      <c r="H465" s="451" t="s">
        <v>22878</v>
      </c>
      <c r="I465" s="451" t="s">
        <v>23135</v>
      </c>
      <c r="J465" s="451" t="s">
        <v>32661</v>
      </c>
      <c r="K465" s="451"/>
    </row>
    <row r="466" spans="1:11">
      <c r="A466" s="450" t="s">
        <v>1853</v>
      </c>
      <c r="B466" s="450"/>
      <c r="C466" s="450" t="s">
        <v>1854</v>
      </c>
      <c r="D466" s="450"/>
      <c r="E466" s="450"/>
      <c r="F466" s="450"/>
      <c r="G466" s="450" t="s">
        <v>22877</v>
      </c>
      <c r="H466" s="450" t="s">
        <v>22878</v>
      </c>
      <c r="I466" s="450" t="s">
        <v>22376</v>
      </c>
      <c r="J466" s="450" t="s">
        <v>22997</v>
      </c>
      <c r="K466" s="450"/>
    </row>
    <row r="467" spans="1:11">
      <c r="A467" s="451" t="s">
        <v>22373</v>
      </c>
      <c r="B467" s="451" t="s">
        <v>22374</v>
      </c>
      <c r="C467" s="451" t="s">
        <v>22375</v>
      </c>
      <c r="D467" s="451" t="s">
        <v>22376</v>
      </c>
      <c r="E467" s="451"/>
      <c r="F467" s="451"/>
      <c r="G467" s="451" t="s">
        <v>23084</v>
      </c>
      <c r="H467" s="451" t="s">
        <v>22878</v>
      </c>
      <c r="I467" s="451" t="s">
        <v>23113</v>
      </c>
      <c r="J467" s="451" t="s">
        <v>22374</v>
      </c>
      <c r="K467" s="451"/>
    </row>
    <row r="468" spans="1:11">
      <c r="A468" s="450" t="s">
        <v>32662</v>
      </c>
      <c r="B468" s="450"/>
      <c r="C468" s="450" t="s">
        <v>1856</v>
      </c>
      <c r="D468" s="450"/>
      <c r="E468" s="450"/>
      <c r="F468" s="450"/>
      <c r="G468" s="450" t="s">
        <v>32663</v>
      </c>
      <c r="H468" s="450" t="s">
        <v>22878</v>
      </c>
      <c r="I468" s="450"/>
      <c r="J468" s="450"/>
      <c r="K468" s="450"/>
    </row>
    <row r="469" spans="1:11">
      <c r="A469" s="451" t="s">
        <v>1855</v>
      </c>
      <c r="B469" s="451"/>
      <c r="C469" s="451" t="s">
        <v>1856</v>
      </c>
      <c r="D469" s="451"/>
      <c r="E469" s="451"/>
      <c r="F469" s="451"/>
      <c r="G469" s="451" t="s">
        <v>22877</v>
      </c>
      <c r="H469" s="451" t="s">
        <v>22878</v>
      </c>
      <c r="I469" s="451" t="s">
        <v>32664</v>
      </c>
      <c r="J469" s="451" t="s">
        <v>28403</v>
      </c>
      <c r="K469" s="451"/>
    </row>
    <row r="470" spans="1:11">
      <c r="A470" s="450" t="s">
        <v>32665</v>
      </c>
      <c r="B470" s="450"/>
      <c r="C470" s="450" t="s">
        <v>1858</v>
      </c>
      <c r="D470" s="450" t="s">
        <v>1859</v>
      </c>
      <c r="E470" s="450"/>
      <c r="F470" s="450"/>
      <c r="G470" s="450" t="s">
        <v>23052</v>
      </c>
      <c r="H470" s="450" t="s">
        <v>22878</v>
      </c>
      <c r="I470" s="450" t="s">
        <v>32666</v>
      </c>
      <c r="J470" s="450"/>
      <c r="K470" s="450"/>
    </row>
    <row r="471" spans="1:11">
      <c r="A471" s="451" t="s">
        <v>1857</v>
      </c>
      <c r="B471" s="451"/>
      <c r="C471" s="451" t="s">
        <v>1858</v>
      </c>
      <c r="D471" s="451" t="s">
        <v>1859</v>
      </c>
      <c r="E471" s="451" t="s">
        <v>1860</v>
      </c>
      <c r="F471" s="451"/>
      <c r="G471" s="451" t="s">
        <v>22877</v>
      </c>
      <c r="H471" s="451" t="s">
        <v>22878</v>
      </c>
      <c r="I471" s="451" t="s">
        <v>30267</v>
      </c>
      <c r="J471" s="451" t="s">
        <v>30268</v>
      </c>
      <c r="K471" s="451"/>
    </row>
    <row r="472" spans="1:11">
      <c r="A472" s="450" t="s">
        <v>1861</v>
      </c>
      <c r="B472" s="450" t="s">
        <v>1862</v>
      </c>
      <c r="C472" s="450" t="s">
        <v>1863</v>
      </c>
      <c r="D472" s="450" t="s">
        <v>1864</v>
      </c>
      <c r="E472" s="450"/>
      <c r="F472" s="450"/>
      <c r="G472" s="450" t="s">
        <v>23084</v>
      </c>
      <c r="H472" s="450" t="s">
        <v>22878</v>
      </c>
      <c r="I472" s="450" t="s">
        <v>23114</v>
      </c>
      <c r="J472" s="450" t="s">
        <v>1862</v>
      </c>
      <c r="K472" s="450"/>
    </row>
    <row r="473" spans="1:11">
      <c r="A473" s="451" t="s">
        <v>1865</v>
      </c>
      <c r="B473" s="451"/>
      <c r="C473" s="451" t="s">
        <v>1866</v>
      </c>
      <c r="D473" s="451"/>
      <c r="E473" s="451"/>
      <c r="F473" s="451"/>
      <c r="G473" s="451" t="s">
        <v>32667</v>
      </c>
      <c r="H473" s="451" t="s">
        <v>22878</v>
      </c>
      <c r="I473" s="451"/>
      <c r="J473" s="451"/>
      <c r="K473" s="451"/>
    </row>
    <row r="474" spans="1:11">
      <c r="A474" s="450" t="s">
        <v>1867</v>
      </c>
      <c r="B474" s="450"/>
      <c r="C474" s="450" t="s">
        <v>1868</v>
      </c>
      <c r="D474" s="450"/>
      <c r="E474" s="450"/>
      <c r="F474" s="450"/>
      <c r="G474" s="450" t="s">
        <v>23115</v>
      </c>
      <c r="H474" s="450" t="s">
        <v>22878</v>
      </c>
      <c r="I474" s="450"/>
      <c r="J474" s="450" t="s">
        <v>23074</v>
      </c>
      <c r="K474" s="450"/>
    </row>
    <row r="475" spans="1:11">
      <c r="A475" s="451" t="s">
        <v>1869</v>
      </c>
      <c r="B475" s="451"/>
      <c r="C475" s="451" t="s">
        <v>1870</v>
      </c>
      <c r="D475" s="451"/>
      <c r="E475" s="451"/>
      <c r="F475" s="451"/>
      <c r="G475" s="451" t="s">
        <v>32668</v>
      </c>
      <c r="H475" s="451" t="s">
        <v>22878</v>
      </c>
      <c r="I475" s="451"/>
      <c r="J475" s="451"/>
      <c r="K475" s="451"/>
    </row>
    <row r="476" spans="1:11">
      <c r="A476" s="450" t="s">
        <v>1872</v>
      </c>
      <c r="B476" s="450"/>
      <c r="C476" s="450" t="s">
        <v>1873</v>
      </c>
      <c r="D476" s="450"/>
      <c r="E476" s="450"/>
      <c r="F476" s="450"/>
      <c r="G476" s="450" t="s">
        <v>22882</v>
      </c>
      <c r="H476" s="450" t="s">
        <v>22883</v>
      </c>
      <c r="I476" s="450" t="s">
        <v>23116</v>
      </c>
      <c r="J476" s="450" t="s">
        <v>22942</v>
      </c>
      <c r="K476" s="450"/>
    </row>
    <row r="477" spans="1:11">
      <c r="A477" s="451" t="s">
        <v>32669</v>
      </c>
      <c r="B477" s="451" t="s">
        <v>1875</v>
      </c>
      <c r="C477" s="451" t="s">
        <v>1876</v>
      </c>
      <c r="D477" s="451" t="s">
        <v>1877</v>
      </c>
      <c r="E477" s="451"/>
      <c r="F477" s="451"/>
      <c r="G477" s="451" t="s">
        <v>22882</v>
      </c>
      <c r="H477" s="451" t="s">
        <v>22883</v>
      </c>
      <c r="I477" s="451" t="s">
        <v>1877</v>
      </c>
      <c r="J477" s="451" t="s">
        <v>32670</v>
      </c>
      <c r="K477" s="451"/>
    </row>
    <row r="478" spans="1:11">
      <c r="A478" s="450" t="s">
        <v>1874</v>
      </c>
      <c r="B478" s="450" t="s">
        <v>1875</v>
      </c>
      <c r="C478" s="450" t="s">
        <v>1876</v>
      </c>
      <c r="D478" s="450" t="s">
        <v>1877</v>
      </c>
      <c r="E478" s="450"/>
      <c r="F478" s="450"/>
      <c r="G478" s="450" t="s">
        <v>22882</v>
      </c>
      <c r="H478" s="450" t="s">
        <v>22883</v>
      </c>
      <c r="I478" s="450" t="s">
        <v>1877</v>
      </c>
      <c r="J478" s="450" t="s">
        <v>30269</v>
      </c>
      <c r="K478" s="450"/>
    </row>
    <row r="479" spans="1:11">
      <c r="A479" s="451" t="s">
        <v>22377</v>
      </c>
      <c r="B479" s="451" t="s">
        <v>22378</v>
      </c>
      <c r="C479" s="451" t="s">
        <v>22379</v>
      </c>
      <c r="D479" s="451"/>
      <c r="E479" s="451"/>
      <c r="F479" s="451" t="s">
        <v>22380</v>
      </c>
      <c r="G479" s="451" t="s">
        <v>22882</v>
      </c>
      <c r="H479" s="451" t="s">
        <v>22883</v>
      </c>
      <c r="I479" s="451" t="s">
        <v>23117</v>
      </c>
      <c r="J479" s="451" t="s">
        <v>23118</v>
      </c>
      <c r="K479" s="451"/>
    </row>
    <row r="480" spans="1:11">
      <c r="A480" s="450" t="s">
        <v>21439</v>
      </c>
      <c r="B480" s="450" t="s">
        <v>32671</v>
      </c>
      <c r="C480" s="450" t="s">
        <v>32672</v>
      </c>
      <c r="D480" s="450" t="s">
        <v>22381</v>
      </c>
      <c r="E480" s="450"/>
      <c r="F480" s="450"/>
      <c r="G480" s="450" t="s">
        <v>22877</v>
      </c>
      <c r="H480" s="450" t="s">
        <v>22878</v>
      </c>
      <c r="I480" s="450" t="s">
        <v>22381</v>
      </c>
      <c r="J480" s="450" t="s">
        <v>32673</v>
      </c>
      <c r="K480" s="450"/>
    </row>
    <row r="481" spans="1:11">
      <c r="A481" s="451" t="s">
        <v>21439</v>
      </c>
      <c r="B481" s="451"/>
      <c r="C481" s="451" t="s">
        <v>1871</v>
      </c>
      <c r="D481" s="451"/>
      <c r="E481" s="451"/>
      <c r="F481" s="451"/>
      <c r="G481" s="451" t="s">
        <v>22877</v>
      </c>
      <c r="H481" s="451" t="s">
        <v>22878</v>
      </c>
      <c r="I481" s="451" t="s">
        <v>22381</v>
      </c>
      <c r="J481" s="451" t="s">
        <v>22942</v>
      </c>
      <c r="K481" s="451"/>
    </row>
    <row r="482" spans="1:11">
      <c r="A482" s="450" t="s">
        <v>1878</v>
      </c>
      <c r="B482" s="450" t="s">
        <v>21440</v>
      </c>
      <c r="C482" s="450" t="s">
        <v>1879</v>
      </c>
      <c r="D482" s="450"/>
      <c r="E482" s="450"/>
      <c r="F482" s="450"/>
      <c r="G482" s="450" t="s">
        <v>22877</v>
      </c>
      <c r="H482" s="450" t="s">
        <v>22878</v>
      </c>
      <c r="I482" s="450" t="s">
        <v>23119</v>
      </c>
      <c r="J482" s="450" t="s">
        <v>23120</v>
      </c>
      <c r="K482" s="450"/>
    </row>
    <row r="483" spans="1:11">
      <c r="A483" s="451" t="s">
        <v>1880</v>
      </c>
      <c r="B483" s="451"/>
      <c r="C483" s="451" t="s">
        <v>1881</v>
      </c>
      <c r="D483" s="451"/>
      <c r="E483" s="451"/>
      <c r="F483" s="451"/>
      <c r="G483" s="451" t="s">
        <v>22877</v>
      </c>
      <c r="H483" s="451" t="s">
        <v>22878</v>
      </c>
      <c r="I483" s="451" t="s">
        <v>32674</v>
      </c>
      <c r="J483" s="451" t="s">
        <v>23121</v>
      </c>
      <c r="K483" s="451"/>
    </row>
    <row r="484" spans="1:11">
      <c r="A484" s="450" t="s">
        <v>1882</v>
      </c>
      <c r="B484" s="450"/>
      <c r="C484" s="450" t="s">
        <v>1883</v>
      </c>
      <c r="D484" s="450"/>
      <c r="E484" s="450"/>
      <c r="F484" s="450"/>
      <c r="G484" s="450" t="s">
        <v>22882</v>
      </c>
      <c r="H484" s="450" t="s">
        <v>22883</v>
      </c>
      <c r="I484" s="450"/>
      <c r="J484" s="450" t="s">
        <v>22995</v>
      </c>
      <c r="K484" s="450"/>
    </row>
    <row r="485" spans="1:11">
      <c r="A485" s="451" t="s">
        <v>22382</v>
      </c>
      <c r="B485" s="451" t="s">
        <v>1884</v>
      </c>
      <c r="C485" s="451" t="s">
        <v>1885</v>
      </c>
      <c r="D485" s="451" t="s">
        <v>1886</v>
      </c>
      <c r="E485" s="451"/>
      <c r="F485" s="451"/>
      <c r="G485" s="451" t="s">
        <v>22882</v>
      </c>
      <c r="H485" s="451" t="s">
        <v>22883</v>
      </c>
      <c r="I485" s="451" t="s">
        <v>1886</v>
      </c>
      <c r="J485" s="451" t="s">
        <v>23122</v>
      </c>
      <c r="K485" s="451"/>
    </row>
    <row r="486" spans="1:11">
      <c r="A486" s="450" t="s">
        <v>22383</v>
      </c>
      <c r="B486" s="450" t="s">
        <v>22384</v>
      </c>
      <c r="C486" s="450" t="s">
        <v>22385</v>
      </c>
      <c r="D486" s="450"/>
      <c r="E486" s="450"/>
      <c r="F486" s="450"/>
      <c r="G486" s="450" t="s">
        <v>22877</v>
      </c>
      <c r="H486" s="450" t="s">
        <v>22878</v>
      </c>
      <c r="I486" s="450" t="s">
        <v>23123</v>
      </c>
      <c r="J486" s="450" t="s">
        <v>23124</v>
      </c>
      <c r="K486" s="450"/>
    </row>
    <row r="487" spans="1:11">
      <c r="A487" s="451" t="s">
        <v>1887</v>
      </c>
      <c r="B487" s="451" t="s">
        <v>1888</v>
      </c>
      <c r="C487" s="451" t="s">
        <v>1889</v>
      </c>
      <c r="D487" s="451" t="s">
        <v>1890</v>
      </c>
      <c r="E487" s="451" t="s">
        <v>1891</v>
      </c>
      <c r="F487" s="451"/>
      <c r="G487" s="451" t="s">
        <v>22877</v>
      </c>
      <c r="H487" s="451" t="s">
        <v>22878</v>
      </c>
      <c r="I487" s="451" t="s">
        <v>1890</v>
      </c>
      <c r="J487" s="451" t="s">
        <v>32675</v>
      </c>
      <c r="K487" s="451"/>
    </row>
    <row r="488" spans="1:11">
      <c r="A488" s="450" t="s">
        <v>22386</v>
      </c>
      <c r="B488" s="450" t="s">
        <v>1888</v>
      </c>
      <c r="C488" s="450" t="s">
        <v>1889</v>
      </c>
      <c r="D488" s="450" t="s">
        <v>1890</v>
      </c>
      <c r="E488" s="450"/>
      <c r="F488" s="450"/>
      <c r="G488" s="450" t="s">
        <v>22877</v>
      </c>
      <c r="H488" s="450" t="s">
        <v>22878</v>
      </c>
      <c r="I488" s="450" t="s">
        <v>1890</v>
      </c>
      <c r="J488" s="450" t="s">
        <v>23125</v>
      </c>
      <c r="K488" s="450"/>
    </row>
    <row r="489" spans="1:11">
      <c r="A489" s="451" t="s">
        <v>21441</v>
      </c>
      <c r="B489" s="451" t="s">
        <v>1884</v>
      </c>
      <c r="C489" s="451" t="s">
        <v>1885</v>
      </c>
      <c r="D489" s="451" t="s">
        <v>1886</v>
      </c>
      <c r="E489" s="451"/>
      <c r="F489" s="451"/>
      <c r="G489" s="451" t="s">
        <v>22882</v>
      </c>
      <c r="H489" s="451" t="s">
        <v>22883</v>
      </c>
      <c r="I489" s="451" t="s">
        <v>1886</v>
      </c>
      <c r="J489" s="451" t="s">
        <v>30270</v>
      </c>
      <c r="K489" s="451"/>
    </row>
    <row r="490" spans="1:11">
      <c r="A490" s="450" t="s">
        <v>1892</v>
      </c>
      <c r="B490" s="450"/>
      <c r="C490" s="450" t="s">
        <v>1893</v>
      </c>
      <c r="D490" s="450"/>
      <c r="E490" s="450"/>
      <c r="F490" s="450"/>
      <c r="G490" s="450" t="s">
        <v>22877</v>
      </c>
      <c r="H490" s="450" t="s">
        <v>22878</v>
      </c>
      <c r="I490" s="450" t="s">
        <v>23126</v>
      </c>
      <c r="J490" s="450" t="s">
        <v>22937</v>
      </c>
      <c r="K490" s="450"/>
    </row>
    <row r="491" spans="1:11">
      <c r="A491" s="451" t="s">
        <v>1894</v>
      </c>
      <c r="B491" s="451" t="s">
        <v>1895</v>
      </c>
      <c r="C491" s="451" t="s">
        <v>1896</v>
      </c>
      <c r="D491" s="451"/>
      <c r="E491" s="451"/>
      <c r="F491" s="451"/>
      <c r="G491" s="451" t="s">
        <v>22877</v>
      </c>
      <c r="H491" s="451" t="s">
        <v>22878</v>
      </c>
      <c r="I491" s="451" t="s">
        <v>23127</v>
      </c>
      <c r="J491" s="451" t="s">
        <v>23128</v>
      </c>
      <c r="K491" s="451"/>
    </row>
    <row r="492" spans="1:11">
      <c r="A492" s="450" t="s">
        <v>1897</v>
      </c>
      <c r="B492" s="450"/>
      <c r="C492" s="450" t="s">
        <v>1898</v>
      </c>
      <c r="D492" s="450"/>
      <c r="E492" s="450"/>
      <c r="F492" s="450"/>
      <c r="G492" s="450" t="s">
        <v>22877</v>
      </c>
      <c r="H492" s="450" t="s">
        <v>22878</v>
      </c>
      <c r="I492" s="450" t="s">
        <v>32676</v>
      </c>
      <c r="J492" s="450" t="s">
        <v>22942</v>
      </c>
      <c r="K492" s="450"/>
    </row>
    <row r="493" spans="1:11">
      <c r="A493" s="451" t="s">
        <v>1899</v>
      </c>
      <c r="B493" s="451"/>
      <c r="C493" s="451" t="s">
        <v>1900</v>
      </c>
      <c r="D493" s="451"/>
      <c r="E493" s="451"/>
      <c r="F493" s="451"/>
      <c r="G493" s="451" t="s">
        <v>22877</v>
      </c>
      <c r="H493" s="451" t="s">
        <v>22878</v>
      </c>
      <c r="I493" s="451" t="s">
        <v>32677</v>
      </c>
      <c r="J493" s="451" t="s">
        <v>22942</v>
      </c>
      <c r="K493" s="451"/>
    </row>
    <row r="494" spans="1:11">
      <c r="A494" s="450" t="s">
        <v>32678</v>
      </c>
      <c r="B494" s="450"/>
      <c r="C494" s="450" t="s">
        <v>1900</v>
      </c>
      <c r="D494" s="450"/>
      <c r="E494" s="450"/>
      <c r="F494" s="450"/>
      <c r="G494" s="450" t="s">
        <v>22877</v>
      </c>
      <c r="H494" s="450" t="s">
        <v>22878</v>
      </c>
      <c r="I494" s="450" t="s">
        <v>32677</v>
      </c>
      <c r="J494" s="450" t="s">
        <v>22942</v>
      </c>
      <c r="K494" s="450"/>
    </row>
    <row r="495" spans="1:11">
      <c r="A495" s="451" t="s">
        <v>1901</v>
      </c>
      <c r="B495" s="451"/>
      <c r="C495" s="451" t="s">
        <v>1902</v>
      </c>
      <c r="D495" s="451"/>
      <c r="E495" s="451"/>
      <c r="F495" s="451"/>
      <c r="G495" s="451" t="s">
        <v>22882</v>
      </c>
      <c r="H495" s="451" t="s">
        <v>22883</v>
      </c>
      <c r="I495" s="451"/>
      <c r="J495" s="451" t="s">
        <v>22995</v>
      </c>
      <c r="K495" s="451"/>
    </row>
    <row r="496" spans="1:11">
      <c r="A496" s="450" t="s">
        <v>1903</v>
      </c>
      <c r="B496" s="450"/>
      <c r="C496" s="450" t="s">
        <v>1904</v>
      </c>
      <c r="D496" s="450"/>
      <c r="E496" s="450"/>
      <c r="F496" s="450"/>
      <c r="G496" s="450" t="s">
        <v>22877</v>
      </c>
      <c r="H496" s="450" t="s">
        <v>22878</v>
      </c>
      <c r="I496" s="450" t="s">
        <v>23129</v>
      </c>
      <c r="J496" s="450" t="s">
        <v>22939</v>
      </c>
      <c r="K496" s="450"/>
    </row>
    <row r="497" spans="1:11">
      <c r="A497" s="451" t="s">
        <v>1905</v>
      </c>
      <c r="B497" s="451"/>
      <c r="C497" s="451" t="s">
        <v>1906</v>
      </c>
      <c r="D497" s="451"/>
      <c r="E497" s="451"/>
      <c r="F497" s="451"/>
      <c r="G497" s="451" t="s">
        <v>22882</v>
      </c>
      <c r="H497" s="451" t="s">
        <v>22883</v>
      </c>
      <c r="I497" s="451" t="s">
        <v>32679</v>
      </c>
      <c r="J497" s="451" t="s">
        <v>22937</v>
      </c>
      <c r="K497" s="451"/>
    </row>
    <row r="498" spans="1:11">
      <c r="A498" s="450" t="s">
        <v>1907</v>
      </c>
      <c r="B498" s="450"/>
      <c r="C498" s="450" t="s">
        <v>1908</v>
      </c>
      <c r="D498" s="450"/>
      <c r="E498" s="450"/>
      <c r="F498" s="450"/>
      <c r="G498" s="450" t="s">
        <v>22882</v>
      </c>
      <c r="H498" s="450" t="s">
        <v>22883</v>
      </c>
      <c r="I498" s="450" t="s">
        <v>32680</v>
      </c>
      <c r="J498" s="450" t="s">
        <v>22939</v>
      </c>
      <c r="K498" s="450"/>
    </row>
    <row r="499" spans="1:11">
      <c r="A499" s="451" t="s">
        <v>32681</v>
      </c>
      <c r="B499" s="451"/>
      <c r="C499" s="451" t="s">
        <v>1910</v>
      </c>
      <c r="D499" s="451"/>
      <c r="E499" s="451"/>
      <c r="F499" s="451"/>
      <c r="G499" s="451" t="s">
        <v>22877</v>
      </c>
      <c r="H499" s="451" t="s">
        <v>22878</v>
      </c>
      <c r="I499" s="451" t="s">
        <v>32682</v>
      </c>
      <c r="J499" s="451" t="s">
        <v>22995</v>
      </c>
      <c r="K499" s="451"/>
    </row>
    <row r="500" spans="1:11">
      <c r="A500" s="450" t="s">
        <v>1909</v>
      </c>
      <c r="B500" s="450"/>
      <c r="C500" s="450" t="s">
        <v>1910</v>
      </c>
      <c r="D500" s="450"/>
      <c r="E500" s="450"/>
      <c r="F500" s="450"/>
      <c r="G500" s="450" t="s">
        <v>22877</v>
      </c>
      <c r="H500" s="450" t="s">
        <v>22878</v>
      </c>
      <c r="I500" s="450" t="s">
        <v>32683</v>
      </c>
      <c r="J500" s="450" t="s">
        <v>22997</v>
      </c>
      <c r="K500" s="450"/>
    </row>
    <row r="501" spans="1:11">
      <c r="A501" s="451" t="s">
        <v>32684</v>
      </c>
      <c r="B501" s="451"/>
      <c r="C501" s="451" t="s">
        <v>1912</v>
      </c>
      <c r="D501" s="451"/>
      <c r="E501" s="451"/>
      <c r="F501" s="451"/>
      <c r="G501" s="451" t="s">
        <v>22877</v>
      </c>
      <c r="H501" s="451" t="s">
        <v>22878</v>
      </c>
      <c r="I501" s="451" t="s">
        <v>32685</v>
      </c>
      <c r="J501" s="451" t="s">
        <v>22943</v>
      </c>
      <c r="K501" s="451"/>
    </row>
    <row r="502" spans="1:11">
      <c r="A502" s="450" t="s">
        <v>1911</v>
      </c>
      <c r="B502" s="450"/>
      <c r="C502" s="450" t="s">
        <v>1912</v>
      </c>
      <c r="D502" s="450"/>
      <c r="E502" s="450"/>
      <c r="F502" s="450"/>
      <c r="G502" s="450" t="s">
        <v>22877</v>
      </c>
      <c r="H502" s="450" t="s">
        <v>22878</v>
      </c>
      <c r="I502" s="450" t="s">
        <v>32685</v>
      </c>
      <c r="J502" s="450" t="s">
        <v>23185</v>
      </c>
      <c r="K502" s="450"/>
    </row>
    <row r="503" spans="1:11">
      <c r="A503" s="451" t="s">
        <v>22387</v>
      </c>
      <c r="B503" s="451"/>
      <c r="C503" s="451" t="s">
        <v>1913</v>
      </c>
      <c r="D503" s="451"/>
      <c r="E503" s="451"/>
      <c r="F503" s="451"/>
      <c r="G503" s="451" t="s">
        <v>22882</v>
      </c>
      <c r="H503" s="451" t="s">
        <v>22883</v>
      </c>
      <c r="I503" s="451" t="s">
        <v>23130</v>
      </c>
      <c r="J503" s="451" t="s">
        <v>22939</v>
      </c>
      <c r="K503" s="451"/>
    </row>
    <row r="504" spans="1:11">
      <c r="A504" s="450" t="s">
        <v>22388</v>
      </c>
      <c r="B504" s="450" t="s">
        <v>1914</v>
      </c>
      <c r="C504" s="450" t="s">
        <v>1915</v>
      </c>
      <c r="D504" s="450"/>
      <c r="E504" s="450"/>
      <c r="F504" s="450"/>
      <c r="G504" s="450" t="s">
        <v>22882</v>
      </c>
      <c r="H504" s="450" t="s">
        <v>22883</v>
      </c>
      <c r="I504" s="450" t="s">
        <v>23131</v>
      </c>
      <c r="J504" s="450" t="s">
        <v>23132</v>
      </c>
      <c r="K504" s="450"/>
    </row>
    <row r="505" spans="1:11">
      <c r="A505" s="451" t="s">
        <v>21442</v>
      </c>
      <c r="B505" s="451"/>
      <c r="C505" s="451" t="s">
        <v>1913</v>
      </c>
      <c r="D505" s="451"/>
      <c r="E505" s="451"/>
      <c r="F505" s="451"/>
      <c r="G505" s="451" t="s">
        <v>22877</v>
      </c>
      <c r="H505" s="451" t="s">
        <v>22878</v>
      </c>
      <c r="I505" s="451" t="s">
        <v>30271</v>
      </c>
      <c r="J505" s="451" t="s">
        <v>22997</v>
      </c>
      <c r="K505" s="451"/>
    </row>
    <row r="506" spans="1:11">
      <c r="A506" s="450" t="s">
        <v>21443</v>
      </c>
      <c r="B506" s="450" t="s">
        <v>1914</v>
      </c>
      <c r="C506" s="450" t="s">
        <v>1915</v>
      </c>
      <c r="D506" s="450"/>
      <c r="E506" s="450"/>
      <c r="F506" s="450"/>
      <c r="G506" s="450" t="s">
        <v>22882</v>
      </c>
      <c r="H506" s="450" t="s">
        <v>22883</v>
      </c>
      <c r="I506" s="450"/>
      <c r="J506" s="450" t="s">
        <v>23132</v>
      </c>
      <c r="K506" s="450"/>
    </row>
    <row r="507" spans="1:11">
      <c r="A507" s="451" t="s">
        <v>1916</v>
      </c>
      <c r="B507" s="451"/>
      <c r="C507" s="451" t="s">
        <v>1917</v>
      </c>
      <c r="D507" s="451"/>
      <c r="E507" s="451"/>
      <c r="F507" s="451"/>
      <c r="G507" s="451" t="s">
        <v>22882</v>
      </c>
      <c r="H507" s="451" t="s">
        <v>22883</v>
      </c>
      <c r="I507" s="451" t="s">
        <v>32686</v>
      </c>
      <c r="J507" s="451" t="s">
        <v>23133</v>
      </c>
      <c r="K507" s="451"/>
    </row>
    <row r="508" spans="1:11">
      <c r="A508" s="450" t="s">
        <v>32687</v>
      </c>
      <c r="B508" s="450"/>
      <c r="C508" s="450" t="s">
        <v>1919</v>
      </c>
      <c r="D508" s="450"/>
      <c r="E508" s="450"/>
      <c r="F508" s="450"/>
      <c r="G508" s="450" t="s">
        <v>22877</v>
      </c>
      <c r="H508" s="450" t="s">
        <v>22878</v>
      </c>
      <c r="I508" s="450" t="s">
        <v>32688</v>
      </c>
      <c r="J508" s="450" t="s">
        <v>22937</v>
      </c>
      <c r="K508" s="450"/>
    </row>
    <row r="509" spans="1:11">
      <c r="A509" s="451" t="s">
        <v>1918</v>
      </c>
      <c r="B509" s="451"/>
      <c r="C509" s="451" t="s">
        <v>1919</v>
      </c>
      <c r="D509" s="451"/>
      <c r="E509" s="451"/>
      <c r="F509" s="451"/>
      <c r="G509" s="451" t="s">
        <v>22877</v>
      </c>
      <c r="H509" s="451" t="s">
        <v>22878</v>
      </c>
      <c r="I509" s="451" t="s">
        <v>32689</v>
      </c>
      <c r="J509" s="451" t="s">
        <v>23185</v>
      </c>
      <c r="K509" s="451"/>
    </row>
    <row r="510" spans="1:11">
      <c r="A510" s="450" t="s">
        <v>1920</v>
      </c>
      <c r="B510" s="450"/>
      <c r="C510" s="450" t="s">
        <v>1921</v>
      </c>
      <c r="D510" s="450"/>
      <c r="E510" s="450"/>
      <c r="F510" s="450"/>
      <c r="G510" s="450" t="s">
        <v>22877</v>
      </c>
      <c r="H510" s="450" t="s">
        <v>22878</v>
      </c>
      <c r="I510" s="450" t="s">
        <v>23134</v>
      </c>
      <c r="J510" s="450" t="s">
        <v>22942</v>
      </c>
      <c r="K510" s="450"/>
    </row>
    <row r="511" spans="1:11">
      <c r="A511" s="451" t="s">
        <v>1922</v>
      </c>
      <c r="B511" s="451" t="s">
        <v>1923</v>
      </c>
      <c r="C511" s="451" t="s">
        <v>1924</v>
      </c>
      <c r="D511" s="451"/>
      <c r="E511" s="451"/>
      <c r="F511" s="451"/>
      <c r="G511" s="451" t="s">
        <v>22882</v>
      </c>
      <c r="H511" s="451" t="s">
        <v>22883</v>
      </c>
      <c r="I511" s="451" t="s">
        <v>23135</v>
      </c>
      <c r="J511" s="451" t="s">
        <v>23136</v>
      </c>
      <c r="K511" s="451"/>
    </row>
    <row r="512" spans="1:11">
      <c r="A512" s="450" t="s">
        <v>32690</v>
      </c>
      <c r="B512" s="450"/>
      <c r="C512" s="450" t="s">
        <v>1856</v>
      </c>
      <c r="D512" s="450"/>
      <c r="E512" s="450"/>
      <c r="F512" s="450"/>
      <c r="G512" s="450" t="s">
        <v>22877</v>
      </c>
      <c r="H512" s="450" t="s">
        <v>22878</v>
      </c>
      <c r="I512" s="450" t="s">
        <v>32664</v>
      </c>
      <c r="J512" s="450" t="s">
        <v>22995</v>
      </c>
      <c r="K512" s="450"/>
    </row>
    <row r="513" spans="1:11">
      <c r="A513" s="451" t="s">
        <v>1925</v>
      </c>
      <c r="B513" s="451"/>
      <c r="C513" s="451" t="s">
        <v>1856</v>
      </c>
      <c r="D513" s="451"/>
      <c r="E513" s="451"/>
      <c r="F513" s="451"/>
      <c r="G513" s="451" t="s">
        <v>22877</v>
      </c>
      <c r="H513" s="451" t="s">
        <v>22878</v>
      </c>
      <c r="I513" s="451" t="s">
        <v>32691</v>
      </c>
      <c r="J513" s="451" t="s">
        <v>32692</v>
      </c>
      <c r="K513" s="451"/>
    </row>
    <row r="514" spans="1:11">
      <c r="A514" s="450" t="s">
        <v>1926</v>
      </c>
      <c r="B514" s="450"/>
      <c r="C514" s="450" t="s">
        <v>1927</v>
      </c>
      <c r="D514" s="450"/>
      <c r="E514" s="450"/>
      <c r="F514" s="450"/>
      <c r="G514" s="450" t="s">
        <v>22877</v>
      </c>
      <c r="H514" s="450" t="s">
        <v>22878</v>
      </c>
      <c r="I514" s="450" t="s">
        <v>32693</v>
      </c>
      <c r="J514" s="450" t="s">
        <v>22939</v>
      </c>
      <c r="K514" s="450"/>
    </row>
    <row r="515" spans="1:11">
      <c r="A515" s="451" t="s">
        <v>1928</v>
      </c>
      <c r="B515" s="451"/>
      <c r="C515" s="451" t="s">
        <v>1929</v>
      </c>
      <c r="D515" s="451"/>
      <c r="E515" s="451"/>
      <c r="F515" s="451"/>
      <c r="G515" s="451" t="s">
        <v>22877</v>
      </c>
      <c r="H515" s="451" t="s">
        <v>22878</v>
      </c>
      <c r="I515" s="451" t="s">
        <v>23137</v>
      </c>
      <c r="J515" s="451" t="s">
        <v>22958</v>
      </c>
      <c r="K515" s="451"/>
    </row>
    <row r="516" spans="1:11">
      <c r="A516" s="450" t="s">
        <v>1930</v>
      </c>
      <c r="B516" s="450" t="s">
        <v>1931</v>
      </c>
      <c r="C516" s="450" t="s">
        <v>1932</v>
      </c>
      <c r="D516" s="450"/>
      <c r="E516" s="450"/>
      <c r="F516" s="450"/>
      <c r="G516" s="450" t="s">
        <v>22877</v>
      </c>
      <c r="H516" s="450" t="s">
        <v>22878</v>
      </c>
      <c r="I516" s="450" t="s">
        <v>23138</v>
      </c>
      <c r="J516" s="450" t="s">
        <v>23139</v>
      </c>
      <c r="K516" s="450"/>
    </row>
    <row r="517" spans="1:11">
      <c r="A517" s="451" t="s">
        <v>1933</v>
      </c>
      <c r="B517" s="451"/>
      <c r="C517" s="451" t="s">
        <v>1934</v>
      </c>
      <c r="D517" s="451"/>
      <c r="E517" s="451"/>
      <c r="F517" s="451"/>
      <c r="G517" s="451" t="s">
        <v>22877</v>
      </c>
      <c r="H517" s="451" t="s">
        <v>22878</v>
      </c>
      <c r="I517" s="451" t="s">
        <v>32694</v>
      </c>
      <c r="J517" s="451" t="s">
        <v>22997</v>
      </c>
      <c r="K517" s="451"/>
    </row>
    <row r="518" spans="1:11">
      <c r="A518" s="450" t="s">
        <v>22389</v>
      </c>
      <c r="B518" s="450"/>
      <c r="C518" s="450" t="s">
        <v>1934</v>
      </c>
      <c r="D518" s="450"/>
      <c r="E518" s="450"/>
      <c r="F518" s="450"/>
      <c r="G518" s="450" t="s">
        <v>22877</v>
      </c>
      <c r="H518" s="450" t="s">
        <v>22878</v>
      </c>
      <c r="I518" s="450" t="s">
        <v>23140</v>
      </c>
      <c r="J518" s="450" t="s">
        <v>22995</v>
      </c>
      <c r="K518" s="450"/>
    </row>
    <row r="519" spans="1:11">
      <c r="A519" s="451" t="s">
        <v>22390</v>
      </c>
      <c r="B519" s="451" t="s">
        <v>22391</v>
      </c>
      <c r="C519" s="451" t="s">
        <v>22392</v>
      </c>
      <c r="D519" s="451"/>
      <c r="E519" s="451"/>
      <c r="F519" s="451"/>
      <c r="G519" s="451" t="s">
        <v>22877</v>
      </c>
      <c r="H519" s="451" t="s">
        <v>22878</v>
      </c>
      <c r="I519" s="451" t="s">
        <v>23141</v>
      </c>
      <c r="J519" s="451" t="s">
        <v>23142</v>
      </c>
      <c r="K519" s="451"/>
    </row>
    <row r="520" spans="1:11">
      <c r="A520" s="450" t="s">
        <v>1935</v>
      </c>
      <c r="B520" s="450" t="s">
        <v>1936</v>
      </c>
      <c r="C520" s="450" t="s">
        <v>1937</v>
      </c>
      <c r="D520" s="450" t="s">
        <v>1938</v>
      </c>
      <c r="E520" s="450"/>
      <c r="F520" s="450"/>
      <c r="G520" s="450" t="s">
        <v>22877</v>
      </c>
      <c r="H520" s="450" t="s">
        <v>22878</v>
      </c>
      <c r="I520" s="450" t="s">
        <v>1938</v>
      </c>
      <c r="J520" s="450" t="s">
        <v>32695</v>
      </c>
      <c r="K520" s="450"/>
    </row>
    <row r="521" spans="1:11">
      <c r="A521" s="451" t="s">
        <v>1935</v>
      </c>
      <c r="B521" s="451" t="s">
        <v>1936</v>
      </c>
      <c r="C521" s="451" t="s">
        <v>1937</v>
      </c>
      <c r="D521" s="451" t="s">
        <v>1938</v>
      </c>
      <c r="E521" s="451" t="s">
        <v>1939</v>
      </c>
      <c r="F521" s="451"/>
      <c r="G521" s="451" t="s">
        <v>22877</v>
      </c>
      <c r="H521" s="451" t="s">
        <v>22878</v>
      </c>
      <c r="I521" s="451" t="s">
        <v>1938</v>
      </c>
      <c r="J521" s="451" t="s">
        <v>30272</v>
      </c>
      <c r="K521" s="451"/>
    </row>
    <row r="522" spans="1:11">
      <c r="A522" s="450" t="s">
        <v>1940</v>
      </c>
      <c r="B522" s="450"/>
      <c r="C522" s="450" t="s">
        <v>1941</v>
      </c>
      <c r="D522" s="450"/>
      <c r="E522" s="450"/>
      <c r="F522" s="450"/>
      <c r="G522" s="450" t="s">
        <v>22877</v>
      </c>
      <c r="H522" s="450" t="s">
        <v>22878</v>
      </c>
      <c r="I522" s="450" t="s">
        <v>32696</v>
      </c>
      <c r="J522" s="450" t="s">
        <v>23143</v>
      </c>
      <c r="K522" s="450"/>
    </row>
    <row r="523" spans="1:11">
      <c r="A523" s="451" t="s">
        <v>1942</v>
      </c>
      <c r="B523" s="451"/>
      <c r="C523" s="451" t="s">
        <v>1943</v>
      </c>
      <c r="D523" s="451"/>
      <c r="E523" s="451"/>
      <c r="F523" s="451"/>
      <c r="G523" s="451" t="s">
        <v>22882</v>
      </c>
      <c r="H523" s="451" t="s">
        <v>22883</v>
      </c>
      <c r="I523" s="451" t="s">
        <v>32697</v>
      </c>
      <c r="J523" s="451" t="s">
        <v>22939</v>
      </c>
      <c r="K523" s="451"/>
    </row>
    <row r="524" spans="1:11">
      <c r="A524" s="450" t="s">
        <v>1944</v>
      </c>
      <c r="B524" s="450"/>
      <c r="C524" s="450" t="s">
        <v>1945</v>
      </c>
      <c r="D524" s="450"/>
      <c r="E524" s="450"/>
      <c r="F524" s="450"/>
      <c r="G524" s="450" t="s">
        <v>22882</v>
      </c>
      <c r="H524" s="450" t="s">
        <v>22883</v>
      </c>
      <c r="I524" s="450" t="s">
        <v>32698</v>
      </c>
      <c r="J524" s="450" t="s">
        <v>22939</v>
      </c>
      <c r="K524" s="450"/>
    </row>
    <row r="525" spans="1:11">
      <c r="A525" s="451" t="s">
        <v>32699</v>
      </c>
      <c r="B525" s="451"/>
      <c r="C525" s="451" t="s">
        <v>1946</v>
      </c>
      <c r="D525" s="451"/>
      <c r="E525" s="451"/>
      <c r="F525" s="451"/>
      <c r="G525" s="451" t="s">
        <v>22877</v>
      </c>
      <c r="H525" s="451" t="s">
        <v>22878</v>
      </c>
      <c r="I525" s="451" t="s">
        <v>32700</v>
      </c>
      <c r="J525" s="451" t="s">
        <v>22939</v>
      </c>
      <c r="K525" s="451"/>
    </row>
    <row r="526" spans="1:11">
      <c r="A526" s="450" t="s">
        <v>21444</v>
      </c>
      <c r="B526" s="450"/>
      <c r="C526" s="450" t="s">
        <v>1946</v>
      </c>
      <c r="D526" s="450"/>
      <c r="E526" s="450"/>
      <c r="F526" s="450"/>
      <c r="G526" s="450" t="s">
        <v>22877</v>
      </c>
      <c r="H526" s="450" t="s">
        <v>22878</v>
      </c>
      <c r="I526" s="450" t="s">
        <v>32701</v>
      </c>
      <c r="J526" s="450" t="s">
        <v>23185</v>
      </c>
      <c r="K526" s="450"/>
    </row>
    <row r="527" spans="1:11">
      <c r="A527" s="451" t="s">
        <v>1947</v>
      </c>
      <c r="B527" s="451"/>
      <c r="C527" s="451" t="s">
        <v>1948</v>
      </c>
      <c r="D527" s="451"/>
      <c r="E527" s="451"/>
      <c r="F527" s="451"/>
      <c r="G527" s="451" t="s">
        <v>22877</v>
      </c>
      <c r="H527" s="451" t="s">
        <v>22878</v>
      </c>
      <c r="I527" s="451" t="s">
        <v>23144</v>
      </c>
      <c r="J527" s="451" t="s">
        <v>22939</v>
      </c>
      <c r="K527" s="451"/>
    </row>
    <row r="528" spans="1:11">
      <c r="A528" s="450" t="s">
        <v>1949</v>
      </c>
      <c r="B528" s="450" t="s">
        <v>32702</v>
      </c>
      <c r="C528" s="450" t="s">
        <v>1951</v>
      </c>
      <c r="D528" s="450" t="s">
        <v>1952</v>
      </c>
      <c r="E528" s="450"/>
      <c r="F528" s="450" t="s">
        <v>1954</v>
      </c>
      <c r="G528" s="450" t="s">
        <v>22882</v>
      </c>
      <c r="H528" s="450" t="s">
        <v>22883</v>
      </c>
      <c r="I528" s="450" t="s">
        <v>1952</v>
      </c>
      <c r="J528" s="450" t="s">
        <v>32703</v>
      </c>
      <c r="K528" s="450"/>
    </row>
    <row r="529" spans="1:11">
      <c r="A529" s="451" t="s">
        <v>1949</v>
      </c>
      <c r="B529" s="451" t="s">
        <v>1950</v>
      </c>
      <c r="C529" s="451" t="s">
        <v>1951</v>
      </c>
      <c r="D529" s="451" t="s">
        <v>1952</v>
      </c>
      <c r="E529" s="451" t="s">
        <v>1953</v>
      </c>
      <c r="F529" s="451" t="s">
        <v>1954</v>
      </c>
      <c r="G529" s="451" t="s">
        <v>22882</v>
      </c>
      <c r="H529" s="451" t="s">
        <v>22883</v>
      </c>
      <c r="I529" s="451" t="s">
        <v>1952</v>
      </c>
      <c r="J529" s="451" t="s">
        <v>30273</v>
      </c>
      <c r="K529" s="451"/>
    </row>
    <row r="530" spans="1:11">
      <c r="A530" s="450" t="s">
        <v>32704</v>
      </c>
      <c r="B530" s="450" t="s">
        <v>1956</v>
      </c>
      <c r="C530" s="450" t="s">
        <v>1957</v>
      </c>
      <c r="D530" s="450"/>
      <c r="E530" s="450"/>
      <c r="F530" s="450"/>
      <c r="G530" s="450" t="s">
        <v>22882</v>
      </c>
      <c r="H530" s="450" t="s">
        <v>22883</v>
      </c>
      <c r="I530" s="450" t="s">
        <v>32705</v>
      </c>
      <c r="J530" s="450" t="s">
        <v>32706</v>
      </c>
      <c r="K530" s="450"/>
    </row>
    <row r="531" spans="1:11">
      <c r="A531" s="451" t="s">
        <v>1955</v>
      </c>
      <c r="B531" s="451" t="s">
        <v>1956</v>
      </c>
      <c r="C531" s="451" t="s">
        <v>1957</v>
      </c>
      <c r="D531" s="451"/>
      <c r="E531" s="451"/>
      <c r="F531" s="451"/>
      <c r="G531" s="451" t="s">
        <v>22882</v>
      </c>
      <c r="H531" s="451" t="s">
        <v>22883</v>
      </c>
      <c r="I531" s="451" t="s">
        <v>30274</v>
      </c>
      <c r="J531" s="451" t="s">
        <v>30275</v>
      </c>
      <c r="K531" s="451"/>
    </row>
    <row r="532" spans="1:11">
      <c r="A532" s="450" t="s">
        <v>1958</v>
      </c>
      <c r="B532" s="450"/>
      <c r="C532" s="450" t="s">
        <v>1929</v>
      </c>
      <c r="D532" s="450"/>
      <c r="E532" s="450"/>
      <c r="F532" s="450"/>
      <c r="G532" s="450" t="s">
        <v>22882</v>
      </c>
      <c r="H532" s="450" t="s">
        <v>22883</v>
      </c>
      <c r="I532" s="450" t="s">
        <v>23137</v>
      </c>
      <c r="J532" s="450" t="s">
        <v>22939</v>
      </c>
      <c r="K532" s="450"/>
    </row>
    <row r="533" spans="1:11">
      <c r="A533" s="451" t="s">
        <v>1959</v>
      </c>
      <c r="B533" s="451"/>
      <c r="C533" s="451" t="s">
        <v>1960</v>
      </c>
      <c r="D533" s="451"/>
      <c r="E533" s="451"/>
      <c r="F533" s="451"/>
      <c r="G533" s="451" t="s">
        <v>22877</v>
      </c>
      <c r="H533" s="451" t="s">
        <v>22878</v>
      </c>
      <c r="I533" s="451" t="s">
        <v>23145</v>
      </c>
      <c r="J533" s="451" t="s">
        <v>22939</v>
      </c>
      <c r="K533" s="451"/>
    </row>
    <row r="534" spans="1:11">
      <c r="A534" s="450" t="s">
        <v>32707</v>
      </c>
      <c r="B534" s="450" t="s">
        <v>1962</v>
      </c>
      <c r="C534" s="450" t="s">
        <v>1963</v>
      </c>
      <c r="D534" s="450" t="s">
        <v>1964</v>
      </c>
      <c r="E534" s="450"/>
      <c r="F534" s="450"/>
      <c r="G534" s="450" t="s">
        <v>22877</v>
      </c>
      <c r="H534" s="450" t="s">
        <v>22878</v>
      </c>
      <c r="I534" s="450" t="s">
        <v>1964</v>
      </c>
      <c r="J534" s="450" t="s">
        <v>32708</v>
      </c>
      <c r="K534" s="450"/>
    </row>
    <row r="535" spans="1:11">
      <c r="A535" s="451" t="s">
        <v>1961</v>
      </c>
      <c r="B535" s="451" t="s">
        <v>1962</v>
      </c>
      <c r="C535" s="451" t="s">
        <v>1963</v>
      </c>
      <c r="D535" s="451" t="s">
        <v>1964</v>
      </c>
      <c r="E535" s="451"/>
      <c r="F535" s="451"/>
      <c r="G535" s="451" t="s">
        <v>22877</v>
      </c>
      <c r="H535" s="451" t="s">
        <v>22878</v>
      </c>
      <c r="I535" s="451" t="s">
        <v>1964</v>
      </c>
      <c r="J535" s="451" t="s">
        <v>30276</v>
      </c>
      <c r="K535" s="451"/>
    </row>
    <row r="536" spans="1:11">
      <c r="A536" s="450" t="s">
        <v>22152</v>
      </c>
      <c r="B536" s="450" t="s">
        <v>22153</v>
      </c>
      <c r="C536" s="450" t="s">
        <v>16604</v>
      </c>
      <c r="D536" s="450"/>
      <c r="E536" s="450"/>
      <c r="F536" s="450"/>
      <c r="G536" s="450" t="s">
        <v>22877</v>
      </c>
      <c r="H536" s="450" t="s">
        <v>22878</v>
      </c>
      <c r="I536" s="450" t="s">
        <v>32709</v>
      </c>
      <c r="J536" s="450" t="s">
        <v>32710</v>
      </c>
      <c r="K536" s="450"/>
    </row>
    <row r="537" spans="1:11">
      <c r="A537" s="451" t="s">
        <v>22152</v>
      </c>
      <c r="B537" s="451" t="s">
        <v>22153</v>
      </c>
      <c r="C537" s="451" t="s">
        <v>16604</v>
      </c>
      <c r="D537" s="451" t="s">
        <v>22154</v>
      </c>
      <c r="E537" s="451"/>
      <c r="F537" s="451"/>
      <c r="G537" s="451" t="s">
        <v>22877</v>
      </c>
      <c r="H537" s="451" t="s">
        <v>22878</v>
      </c>
      <c r="I537" s="451" t="s">
        <v>22154</v>
      </c>
      <c r="J537" s="451" t="s">
        <v>30277</v>
      </c>
      <c r="K537" s="451"/>
    </row>
    <row r="538" spans="1:11">
      <c r="A538" s="450" t="s">
        <v>32711</v>
      </c>
      <c r="B538" s="450" t="s">
        <v>1966</v>
      </c>
      <c r="C538" s="450" t="s">
        <v>1967</v>
      </c>
      <c r="D538" s="450" t="s">
        <v>1968</v>
      </c>
      <c r="E538" s="450"/>
      <c r="F538" s="450"/>
      <c r="G538" s="450" t="s">
        <v>22877</v>
      </c>
      <c r="H538" s="450" t="s">
        <v>22878</v>
      </c>
      <c r="I538" s="450" t="s">
        <v>23146</v>
      </c>
      <c r="J538" s="450" t="s">
        <v>32712</v>
      </c>
      <c r="K538" s="450"/>
    </row>
    <row r="539" spans="1:11">
      <c r="A539" s="451" t="s">
        <v>1965</v>
      </c>
      <c r="B539" s="451" t="s">
        <v>1966</v>
      </c>
      <c r="C539" s="451" t="s">
        <v>1967</v>
      </c>
      <c r="D539" s="451" t="s">
        <v>1968</v>
      </c>
      <c r="E539" s="451" t="s">
        <v>1969</v>
      </c>
      <c r="F539" s="451"/>
      <c r="G539" s="451" t="s">
        <v>22882</v>
      </c>
      <c r="H539" s="451" t="s">
        <v>22883</v>
      </c>
      <c r="I539" s="451" t="s">
        <v>1968</v>
      </c>
      <c r="J539" s="451" t="s">
        <v>30278</v>
      </c>
      <c r="K539" s="451"/>
    </row>
    <row r="540" spans="1:11">
      <c r="A540" s="450" t="s">
        <v>1970</v>
      </c>
      <c r="B540" s="450"/>
      <c r="C540" s="450" t="s">
        <v>1226</v>
      </c>
      <c r="D540" s="450"/>
      <c r="E540" s="450"/>
      <c r="F540" s="450"/>
      <c r="G540" s="450" t="s">
        <v>22877</v>
      </c>
      <c r="H540" s="450" t="s">
        <v>22878</v>
      </c>
      <c r="I540" s="450" t="s">
        <v>32713</v>
      </c>
      <c r="J540" s="450" t="s">
        <v>22942</v>
      </c>
      <c r="K540" s="450"/>
    </row>
    <row r="541" spans="1:11">
      <c r="A541" s="451" t="s">
        <v>32714</v>
      </c>
      <c r="B541" s="451"/>
      <c r="C541" s="451" t="s">
        <v>1972</v>
      </c>
      <c r="D541" s="451"/>
      <c r="E541" s="451"/>
      <c r="F541" s="451"/>
      <c r="G541" s="451" t="s">
        <v>22877</v>
      </c>
      <c r="H541" s="451" t="s">
        <v>22878</v>
      </c>
      <c r="I541" s="451" t="s">
        <v>32715</v>
      </c>
      <c r="J541" s="451" t="s">
        <v>22997</v>
      </c>
      <c r="K541" s="451"/>
    </row>
    <row r="542" spans="1:11">
      <c r="A542" s="450" t="s">
        <v>1971</v>
      </c>
      <c r="B542" s="450"/>
      <c r="C542" s="450" t="s">
        <v>1972</v>
      </c>
      <c r="D542" s="450"/>
      <c r="E542" s="450"/>
      <c r="F542" s="450"/>
      <c r="G542" s="450" t="s">
        <v>22877</v>
      </c>
      <c r="H542" s="450" t="s">
        <v>22878</v>
      </c>
      <c r="I542" s="450" t="s">
        <v>32716</v>
      </c>
      <c r="J542" s="450" t="s">
        <v>23185</v>
      </c>
      <c r="K542" s="450"/>
    </row>
    <row r="543" spans="1:11">
      <c r="A543" s="451" t="s">
        <v>1973</v>
      </c>
      <c r="B543" s="451"/>
      <c r="C543" s="451" t="s">
        <v>1974</v>
      </c>
      <c r="D543" s="451"/>
      <c r="E543" s="451"/>
      <c r="F543" s="451"/>
      <c r="G543" s="451" t="s">
        <v>22877</v>
      </c>
      <c r="H543" s="451" t="s">
        <v>22878</v>
      </c>
      <c r="I543" s="451" t="s">
        <v>30279</v>
      </c>
      <c r="J543" s="451" t="s">
        <v>23185</v>
      </c>
      <c r="K543" s="451"/>
    </row>
    <row r="544" spans="1:11">
      <c r="A544" s="450" t="s">
        <v>32717</v>
      </c>
      <c r="B544" s="450" t="s">
        <v>22393</v>
      </c>
      <c r="C544" s="450" t="s">
        <v>16604</v>
      </c>
      <c r="D544" s="450" t="s">
        <v>32718</v>
      </c>
      <c r="E544" s="450"/>
      <c r="F544" s="450"/>
      <c r="G544" s="450" t="s">
        <v>22877</v>
      </c>
      <c r="H544" s="450" t="s">
        <v>22878</v>
      </c>
      <c r="I544" s="450" t="s">
        <v>32718</v>
      </c>
      <c r="J544" s="450" t="s">
        <v>32719</v>
      </c>
      <c r="K544" s="450"/>
    </row>
    <row r="545" spans="1:11">
      <c r="A545" s="451" t="s">
        <v>29971</v>
      </c>
      <c r="B545" s="451" t="s">
        <v>22393</v>
      </c>
      <c r="C545" s="451" t="s">
        <v>29125</v>
      </c>
      <c r="D545" s="451"/>
      <c r="E545" s="451"/>
      <c r="F545" s="451"/>
      <c r="G545" s="451"/>
      <c r="H545" s="451"/>
      <c r="I545" s="451"/>
      <c r="J545" s="451"/>
      <c r="K545" s="451"/>
    </row>
    <row r="546" spans="1:11">
      <c r="A546" s="450" t="s">
        <v>22394</v>
      </c>
      <c r="B546" s="450"/>
      <c r="C546" s="450" t="s">
        <v>1974</v>
      </c>
      <c r="D546" s="450"/>
      <c r="E546" s="450"/>
      <c r="F546" s="450"/>
      <c r="G546" s="450" t="s">
        <v>22877</v>
      </c>
      <c r="H546" s="450" t="s">
        <v>22878</v>
      </c>
      <c r="I546" s="450" t="s">
        <v>23147</v>
      </c>
      <c r="J546" s="450" t="s">
        <v>22937</v>
      </c>
      <c r="K546" s="450"/>
    </row>
    <row r="547" spans="1:11">
      <c r="A547" s="451" t="s">
        <v>1975</v>
      </c>
      <c r="B547" s="451" t="s">
        <v>1976</v>
      </c>
      <c r="C547" s="451" t="s">
        <v>1977</v>
      </c>
      <c r="D547" s="451" t="s">
        <v>1978</v>
      </c>
      <c r="E547" s="451"/>
      <c r="F547" s="451" t="s">
        <v>1954</v>
      </c>
      <c r="G547" s="451" t="s">
        <v>22882</v>
      </c>
      <c r="H547" s="451" t="s">
        <v>22883</v>
      </c>
      <c r="I547" s="451" t="s">
        <v>1978</v>
      </c>
      <c r="J547" s="451" t="s">
        <v>32720</v>
      </c>
      <c r="K547" s="451"/>
    </row>
    <row r="548" spans="1:11">
      <c r="A548" s="450" t="s">
        <v>1975</v>
      </c>
      <c r="B548" s="450" t="s">
        <v>1976</v>
      </c>
      <c r="C548" s="450" t="s">
        <v>1977</v>
      </c>
      <c r="D548" s="450" t="s">
        <v>1978</v>
      </c>
      <c r="E548" s="450" t="s">
        <v>1979</v>
      </c>
      <c r="F548" s="450" t="s">
        <v>1954</v>
      </c>
      <c r="G548" s="450" t="s">
        <v>22882</v>
      </c>
      <c r="H548" s="450" t="s">
        <v>22883</v>
      </c>
      <c r="I548" s="450" t="s">
        <v>1978</v>
      </c>
      <c r="J548" s="450" t="s">
        <v>30280</v>
      </c>
      <c r="K548" s="450"/>
    </row>
    <row r="549" spans="1:11">
      <c r="A549" s="451" t="s">
        <v>32721</v>
      </c>
      <c r="B549" s="451" t="s">
        <v>1981</v>
      </c>
      <c r="C549" s="451" t="s">
        <v>1982</v>
      </c>
      <c r="D549" s="451" t="s">
        <v>1983</v>
      </c>
      <c r="E549" s="451"/>
      <c r="F549" s="451"/>
      <c r="G549" s="451" t="s">
        <v>22882</v>
      </c>
      <c r="H549" s="451" t="s">
        <v>22883</v>
      </c>
      <c r="I549" s="451" t="s">
        <v>1983</v>
      </c>
      <c r="J549" s="451" t="s">
        <v>32722</v>
      </c>
      <c r="K549" s="451"/>
    </row>
    <row r="550" spans="1:11">
      <c r="A550" s="450" t="s">
        <v>1980</v>
      </c>
      <c r="B550" s="450" t="s">
        <v>1981</v>
      </c>
      <c r="C550" s="450" t="s">
        <v>1982</v>
      </c>
      <c r="D550" s="450" t="s">
        <v>1983</v>
      </c>
      <c r="E550" s="450"/>
      <c r="F550" s="450"/>
      <c r="G550" s="450" t="s">
        <v>22877</v>
      </c>
      <c r="H550" s="450" t="s">
        <v>22878</v>
      </c>
      <c r="I550" s="450" t="s">
        <v>1983</v>
      </c>
      <c r="J550" s="450" t="s">
        <v>30281</v>
      </c>
      <c r="K550" s="450"/>
    </row>
    <row r="551" spans="1:11">
      <c r="A551" s="451" t="s">
        <v>1984</v>
      </c>
      <c r="B551" s="451"/>
      <c r="C551" s="451" t="s">
        <v>1985</v>
      </c>
      <c r="D551" s="451"/>
      <c r="E551" s="451"/>
      <c r="F551" s="451"/>
      <c r="G551" s="451" t="s">
        <v>22877</v>
      </c>
      <c r="H551" s="451" t="s">
        <v>22878</v>
      </c>
      <c r="I551" s="451" t="s">
        <v>32723</v>
      </c>
      <c r="J551" s="451" t="s">
        <v>23143</v>
      </c>
      <c r="K551" s="451"/>
    </row>
    <row r="552" spans="1:11">
      <c r="A552" s="450" t="s">
        <v>1986</v>
      </c>
      <c r="B552" s="450"/>
      <c r="C552" s="450" t="s">
        <v>1987</v>
      </c>
      <c r="D552" s="450"/>
      <c r="E552" s="450"/>
      <c r="F552" s="450"/>
      <c r="G552" s="450" t="s">
        <v>22877</v>
      </c>
      <c r="H552" s="450" t="s">
        <v>22878</v>
      </c>
      <c r="I552" s="450" t="s">
        <v>23148</v>
      </c>
      <c r="J552" s="450" t="s">
        <v>22937</v>
      </c>
      <c r="K552" s="450"/>
    </row>
    <row r="553" spans="1:11">
      <c r="A553" s="451" t="s">
        <v>1988</v>
      </c>
      <c r="B553" s="451" t="s">
        <v>1989</v>
      </c>
      <c r="C553" s="451" t="s">
        <v>1990</v>
      </c>
      <c r="D553" s="451" t="s">
        <v>1991</v>
      </c>
      <c r="E553" s="451" t="s">
        <v>1992</v>
      </c>
      <c r="F553" s="451"/>
      <c r="G553" s="451" t="s">
        <v>22877</v>
      </c>
      <c r="H553" s="451" t="s">
        <v>22878</v>
      </c>
      <c r="I553" s="451" t="s">
        <v>32724</v>
      </c>
      <c r="J553" s="451" t="s">
        <v>32725</v>
      </c>
      <c r="K553" s="451"/>
    </row>
    <row r="554" spans="1:11">
      <c r="A554" s="450" t="s">
        <v>22395</v>
      </c>
      <c r="B554" s="450" t="s">
        <v>1989</v>
      </c>
      <c r="C554" s="450" t="s">
        <v>1990</v>
      </c>
      <c r="D554" s="450" t="s">
        <v>1991</v>
      </c>
      <c r="E554" s="450"/>
      <c r="F554" s="450"/>
      <c r="G554" s="450" t="s">
        <v>22882</v>
      </c>
      <c r="H554" s="450" t="s">
        <v>22883</v>
      </c>
      <c r="I554" s="450" t="s">
        <v>1991</v>
      </c>
      <c r="J554" s="450" t="s">
        <v>23149</v>
      </c>
      <c r="K554" s="450"/>
    </row>
    <row r="555" spans="1:11">
      <c r="A555" s="451" t="s">
        <v>22396</v>
      </c>
      <c r="B555" s="451" t="s">
        <v>22397</v>
      </c>
      <c r="C555" s="451" t="s">
        <v>22398</v>
      </c>
      <c r="D555" s="451"/>
      <c r="E555" s="451"/>
      <c r="F555" s="451"/>
      <c r="G555" s="451" t="s">
        <v>22877</v>
      </c>
      <c r="H555" s="451" t="s">
        <v>22878</v>
      </c>
      <c r="I555" s="451" t="s">
        <v>23150</v>
      </c>
      <c r="J555" s="451" t="s">
        <v>23151</v>
      </c>
      <c r="K555" s="451"/>
    </row>
    <row r="556" spans="1:11">
      <c r="A556" s="450" t="s">
        <v>32726</v>
      </c>
      <c r="B556" s="450"/>
      <c r="C556" s="450" t="s">
        <v>1994</v>
      </c>
      <c r="D556" s="450"/>
      <c r="E556" s="450"/>
      <c r="F556" s="450"/>
      <c r="G556" s="450" t="s">
        <v>22877</v>
      </c>
      <c r="H556" s="450" t="s">
        <v>22878</v>
      </c>
      <c r="I556" s="450" t="s">
        <v>23152</v>
      </c>
      <c r="J556" s="450" t="s">
        <v>32727</v>
      </c>
      <c r="K556" s="450"/>
    </row>
    <row r="557" spans="1:11">
      <c r="A557" s="451" t="s">
        <v>1993</v>
      </c>
      <c r="B557" s="451"/>
      <c r="C557" s="451" t="s">
        <v>1994</v>
      </c>
      <c r="D557" s="451"/>
      <c r="E557" s="451"/>
      <c r="F557" s="451"/>
      <c r="G557" s="451" t="s">
        <v>22877</v>
      </c>
      <c r="H557" s="451" t="s">
        <v>22878</v>
      </c>
      <c r="I557" s="451" t="s">
        <v>23152</v>
      </c>
      <c r="J557" s="451" t="s">
        <v>23185</v>
      </c>
      <c r="K557" s="451"/>
    </row>
    <row r="558" spans="1:11">
      <c r="A558" s="450" t="s">
        <v>32728</v>
      </c>
      <c r="B558" s="450" t="s">
        <v>1996</v>
      </c>
      <c r="C558" s="450" t="s">
        <v>1997</v>
      </c>
      <c r="D558" s="450"/>
      <c r="E558" s="450"/>
      <c r="F558" s="450"/>
      <c r="G558" s="450" t="s">
        <v>22877</v>
      </c>
      <c r="H558" s="450" t="s">
        <v>22878</v>
      </c>
      <c r="I558" s="450" t="s">
        <v>32729</v>
      </c>
      <c r="J558" s="450" t="s">
        <v>32730</v>
      </c>
      <c r="K558" s="450"/>
    </row>
    <row r="559" spans="1:11">
      <c r="A559" s="451" t="s">
        <v>1995</v>
      </c>
      <c r="B559" s="451" t="s">
        <v>1996</v>
      </c>
      <c r="C559" s="451" t="s">
        <v>1997</v>
      </c>
      <c r="D559" s="451"/>
      <c r="E559" s="451"/>
      <c r="F559" s="451"/>
      <c r="G559" s="451" t="s">
        <v>22877</v>
      </c>
      <c r="H559" s="451" t="s">
        <v>22878</v>
      </c>
      <c r="I559" s="451" t="s">
        <v>30282</v>
      </c>
      <c r="J559" s="451" t="s">
        <v>30283</v>
      </c>
      <c r="K559" s="451"/>
    </row>
    <row r="560" spans="1:11">
      <c r="A560" s="450" t="s">
        <v>1998</v>
      </c>
      <c r="B560" s="450"/>
      <c r="C560" s="450" t="s">
        <v>1999</v>
      </c>
      <c r="D560" s="450"/>
      <c r="E560" s="450"/>
      <c r="F560" s="450"/>
      <c r="G560" s="450" t="s">
        <v>22882</v>
      </c>
      <c r="H560" s="450" t="s">
        <v>22883</v>
      </c>
      <c r="I560" s="450" t="s">
        <v>32731</v>
      </c>
      <c r="J560" s="450" t="s">
        <v>22942</v>
      </c>
      <c r="K560" s="450"/>
    </row>
    <row r="561" spans="1:11">
      <c r="A561" s="451" t="s">
        <v>32732</v>
      </c>
      <c r="B561" s="451"/>
      <c r="C561" s="451" t="s">
        <v>2001</v>
      </c>
      <c r="D561" s="451"/>
      <c r="E561" s="451"/>
      <c r="F561" s="451"/>
      <c r="G561" s="451" t="s">
        <v>22877</v>
      </c>
      <c r="H561" s="451" t="s">
        <v>22878</v>
      </c>
      <c r="I561" s="451" t="s">
        <v>32733</v>
      </c>
      <c r="J561" s="451" t="s">
        <v>22958</v>
      </c>
      <c r="K561" s="451"/>
    </row>
    <row r="562" spans="1:11">
      <c r="A562" s="450" t="s">
        <v>2000</v>
      </c>
      <c r="B562" s="450"/>
      <c r="C562" s="450" t="s">
        <v>2001</v>
      </c>
      <c r="D562" s="450"/>
      <c r="E562" s="450"/>
      <c r="F562" s="450"/>
      <c r="G562" s="450" t="s">
        <v>22877</v>
      </c>
      <c r="H562" s="450" t="s">
        <v>22878</v>
      </c>
      <c r="I562" s="450" t="s">
        <v>32734</v>
      </c>
      <c r="J562" s="450" t="s">
        <v>28403</v>
      </c>
      <c r="K562" s="450"/>
    </row>
    <row r="563" spans="1:11">
      <c r="A563" s="451" t="s">
        <v>2002</v>
      </c>
      <c r="B563" s="451"/>
      <c r="C563" s="451" t="s">
        <v>2003</v>
      </c>
      <c r="D563" s="451"/>
      <c r="E563" s="451"/>
      <c r="F563" s="451"/>
      <c r="G563" s="451" t="s">
        <v>22882</v>
      </c>
      <c r="H563" s="451" t="s">
        <v>22883</v>
      </c>
      <c r="I563" s="451" t="s">
        <v>32735</v>
      </c>
      <c r="J563" s="451" t="s">
        <v>22995</v>
      </c>
      <c r="K563" s="451"/>
    </row>
    <row r="564" spans="1:11">
      <c r="A564" s="450" t="s">
        <v>2004</v>
      </c>
      <c r="B564" s="450"/>
      <c r="C564" s="450" t="s">
        <v>2005</v>
      </c>
      <c r="D564" s="450"/>
      <c r="E564" s="450"/>
      <c r="F564" s="450"/>
      <c r="G564" s="450" t="s">
        <v>22882</v>
      </c>
      <c r="H564" s="450" t="s">
        <v>22883</v>
      </c>
      <c r="I564" s="450" t="s">
        <v>23153</v>
      </c>
      <c r="J564" s="450" t="s">
        <v>22939</v>
      </c>
      <c r="K564" s="450"/>
    </row>
    <row r="565" spans="1:11">
      <c r="A565" s="451" t="s">
        <v>2006</v>
      </c>
      <c r="B565" s="451" t="s">
        <v>2007</v>
      </c>
      <c r="C565" s="451" t="s">
        <v>2008</v>
      </c>
      <c r="D565" s="451" t="s">
        <v>2009</v>
      </c>
      <c r="E565" s="451" t="s">
        <v>2010</v>
      </c>
      <c r="F565" s="451"/>
      <c r="G565" s="451" t="s">
        <v>22882</v>
      </c>
      <c r="H565" s="451" t="s">
        <v>22883</v>
      </c>
      <c r="I565" s="451" t="s">
        <v>2009</v>
      </c>
      <c r="J565" s="451" t="s">
        <v>32736</v>
      </c>
      <c r="K565" s="451"/>
    </row>
    <row r="566" spans="1:11">
      <c r="A566" s="450" t="s">
        <v>22399</v>
      </c>
      <c r="B566" s="450" t="s">
        <v>2007</v>
      </c>
      <c r="C566" s="450" t="s">
        <v>22400</v>
      </c>
      <c r="D566" s="450" t="s">
        <v>2009</v>
      </c>
      <c r="E566" s="450"/>
      <c r="F566" s="450"/>
      <c r="G566" s="450" t="s">
        <v>22882</v>
      </c>
      <c r="H566" s="450" t="s">
        <v>22883</v>
      </c>
      <c r="I566" s="450" t="s">
        <v>2009</v>
      </c>
      <c r="J566" s="450" t="s">
        <v>23154</v>
      </c>
      <c r="K566" s="450"/>
    </row>
    <row r="567" spans="1:11">
      <c r="A567" s="451" t="s">
        <v>2011</v>
      </c>
      <c r="B567" s="451" t="s">
        <v>22401</v>
      </c>
      <c r="C567" s="451" t="s">
        <v>22402</v>
      </c>
      <c r="D567" s="451" t="s">
        <v>2014</v>
      </c>
      <c r="E567" s="451"/>
      <c r="F567" s="451"/>
      <c r="G567" s="451" t="s">
        <v>22877</v>
      </c>
      <c r="H567" s="451" t="s">
        <v>22878</v>
      </c>
      <c r="I567" s="451" t="s">
        <v>23155</v>
      </c>
      <c r="J567" s="451" t="s">
        <v>23156</v>
      </c>
      <c r="K567" s="451"/>
    </row>
    <row r="568" spans="1:11">
      <c r="A568" s="450" t="s">
        <v>2011</v>
      </c>
      <c r="B568" s="450" t="s">
        <v>2012</v>
      </c>
      <c r="C568" s="450" t="s">
        <v>2013</v>
      </c>
      <c r="D568" s="450" t="s">
        <v>2014</v>
      </c>
      <c r="E568" s="450" t="s">
        <v>2015</v>
      </c>
      <c r="F568" s="450"/>
      <c r="G568" s="450" t="s">
        <v>22877</v>
      </c>
      <c r="H568" s="450" t="s">
        <v>22878</v>
      </c>
      <c r="I568" s="450" t="s">
        <v>30284</v>
      </c>
      <c r="J568" s="450" t="s">
        <v>30285</v>
      </c>
      <c r="K568" s="450"/>
    </row>
    <row r="569" spans="1:11">
      <c r="A569" s="451" t="s">
        <v>22403</v>
      </c>
      <c r="B569" s="451"/>
      <c r="C569" s="451" t="s">
        <v>1945</v>
      </c>
      <c r="D569" s="451"/>
      <c r="E569" s="451"/>
      <c r="F569" s="451"/>
      <c r="G569" s="451" t="s">
        <v>22877</v>
      </c>
      <c r="H569" s="451" t="s">
        <v>22878</v>
      </c>
      <c r="I569" s="451" t="s">
        <v>23157</v>
      </c>
      <c r="J569" s="451" t="s">
        <v>22995</v>
      </c>
      <c r="K569" s="451"/>
    </row>
    <row r="570" spans="1:11">
      <c r="A570" s="450" t="s">
        <v>22404</v>
      </c>
      <c r="B570" s="450" t="s">
        <v>22293</v>
      </c>
      <c r="C570" s="450" t="s">
        <v>22405</v>
      </c>
      <c r="D570" s="450"/>
      <c r="E570" s="450"/>
      <c r="F570" s="450"/>
      <c r="G570" s="450" t="s">
        <v>22877</v>
      </c>
      <c r="H570" s="450" t="s">
        <v>22878</v>
      </c>
      <c r="I570" s="450" t="s">
        <v>23158</v>
      </c>
      <c r="J570" s="450" t="s">
        <v>23159</v>
      </c>
      <c r="K570" s="450"/>
    </row>
    <row r="571" spans="1:11">
      <c r="A571" s="451" t="s">
        <v>2016</v>
      </c>
      <c r="B571" s="451"/>
      <c r="C571" s="451" t="s">
        <v>1945</v>
      </c>
      <c r="D571" s="451"/>
      <c r="E571" s="451"/>
      <c r="F571" s="451"/>
      <c r="G571" s="451" t="s">
        <v>22877</v>
      </c>
      <c r="H571" s="451" t="s">
        <v>22878</v>
      </c>
      <c r="I571" s="451" t="s">
        <v>30286</v>
      </c>
      <c r="J571" s="451" t="s">
        <v>22997</v>
      </c>
      <c r="K571" s="451"/>
    </row>
    <row r="572" spans="1:11">
      <c r="A572" s="450" t="s">
        <v>22406</v>
      </c>
      <c r="B572" s="450" t="s">
        <v>22407</v>
      </c>
      <c r="C572" s="450" t="s">
        <v>22408</v>
      </c>
      <c r="D572" s="450"/>
      <c r="E572" s="450"/>
      <c r="F572" s="450"/>
      <c r="G572" s="450" t="s">
        <v>22877</v>
      </c>
      <c r="H572" s="450" t="s">
        <v>22878</v>
      </c>
      <c r="I572" s="450" t="s">
        <v>23160</v>
      </c>
      <c r="J572" s="450" t="s">
        <v>23161</v>
      </c>
      <c r="K572" s="450"/>
    </row>
    <row r="573" spans="1:11">
      <c r="A573" s="451" t="s">
        <v>2017</v>
      </c>
      <c r="B573" s="451"/>
      <c r="C573" s="451" t="s">
        <v>2018</v>
      </c>
      <c r="D573" s="451"/>
      <c r="E573" s="451"/>
      <c r="F573" s="451"/>
      <c r="G573" s="451" t="s">
        <v>22877</v>
      </c>
      <c r="H573" s="451" t="s">
        <v>22878</v>
      </c>
      <c r="I573" s="451" t="s">
        <v>23162</v>
      </c>
      <c r="J573" s="451" t="s">
        <v>28403</v>
      </c>
      <c r="K573" s="451"/>
    </row>
    <row r="574" spans="1:11">
      <c r="A574" s="450" t="s">
        <v>22409</v>
      </c>
      <c r="B574" s="450"/>
      <c r="C574" s="450" t="s">
        <v>2018</v>
      </c>
      <c r="D574" s="450"/>
      <c r="E574" s="450"/>
      <c r="F574" s="450"/>
      <c r="G574" s="450" t="s">
        <v>22877</v>
      </c>
      <c r="H574" s="450" t="s">
        <v>22878</v>
      </c>
      <c r="I574" s="450" t="s">
        <v>23162</v>
      </c>
      <c r="J574" s="450" t="s">
        <v>22947</v>
      </c>
      <c r="K574" s="450"/>
    </row>
    <row r="575" spans="1:11">
      <c r="A575" s="451" t="s">
        <v>32737</v>
      </c>
      <c r="B575" s="451" t="s">
        <v>2020</v>
      </c>
      <c r="C575" s="451" t="s">
        <v>2021</v>
      </c>
      <c r="D575" s="451"/>
      <c r="E575" s="451"/>
      <c r="F575" s="451"/>
      <c r="G575" s="451" t="s">
        <v>22882</v>
      </c>
      <c r="H575" s="451" t="s">
        <v>22883</v>
      </c>
      <c r="I575" s="451" t="s">
        <v>32738</v>
      </c>
      <c r="J575" s="451" t="s">
        <v>32739</v>
      </c>
      <c r="K575" s="451"/>
    </row>
    <row r="576" spans="1:11">
      <c r="A576" s="450" t="s">
        <v>2019</v>
      </c>
      <c r="B576" s="450" t="s">
        <v>2020</v>
      </c>
      <c r="C576" s="450" t="s">
        <v>2021</v>
      </c>
      <c r="D576" s="450"/>
      <c r="E576" s="450"/>
      <c r="F576" s="450"/>
      <c r="G576" s="450" t="s">
        <v>22882</v>
      </c>
      <c r="H576" s="450" t="s">
        <v>22883</v>
      </c>
      <c r="I576" s="450" t="s">
        <v>30287</v>
      </c>
      <c r="J576" s="450" t="s">
        <v>30288</v>
      </c>
      <c r="K576" s="450"/>
    </row>
    <row r="577" spans="1:11">
      <c r="A577" s="451" t="s">
        <v>32740</v>
      </c>
      <c r="B577" s="451" t="s">
        <v>32741</v>
      </c>
      <c r="C577" s="451" t="s">
        <v>32742</v>
      </c>
      <c r="D577" s="451" t="s">
        <v>22410</v>
      </c>
      <c r="E577" s="451"/>
      <c r="F577" s="451"/>
      <c r="G577" s="451" t="s">
        <v>22877</v>
      </c>
      <c r="H577" s="451" t="s">
        <v>22878</v>
      </c>
      <c r="I577" s="451" t="s">
        <v>22410</v>
      </c>
      <c r="J577" s="451" t="s">
        <v>32743</v>
      </c>
      <c r="K577" s="451"/>
    </row>
    <row r="578" spans="1:11">
      <c r="A578" s="450" t="s">
        <v>32744</v>
      </c>
      <c r="B578" s="450" t="s">
        <v>2023</v>
      </c>
      <c r="C578" s="450" t="s">
        <v>1174</v>
      </c>
      <c r="D578" s="450"/>
      <c r="E578" s="450"/>
      <c r="F578" s="450"/>
      <c r="G578" s="450" t="s">
        <v>22877</v>
      </c>
      <c r="H578" s="450" t="s">
        <v>22878</v>
      </c>
      <c r="I578" s="450" t="s">
        <v>22410</v>
      </c>
      <c r="J578" s="450" t="s">
        <v>32745</v>
      </c>
      <c r="K578" s="450"/>
    </row>
    <row r="579" spans="1:11">
      <c r="A579" s="451" t="s">
        <v>2022</v>
      </c>
      <c r="B579" s="451" t="s">
        <v>2023</v>
      </c>
      <c r="C579" s="451" t="s">
        <v>1174</v>
      </c>
      <c r="D579" s="451"/>
      <c r="E579" s="451"/>
      <c r="F579" s="451"/>
      <c r="G579" s="451" t="s">
        <v>22877</v>
      </c>
      <c r="H579" s="451" t="s">
        <v>22878</v>
      </c>
      <c r="I579" s="451" t="s">
        <v>22410</v>
      </c>
      <c r="J579" s="451" t="s">
        <v>30289</v>
      </c>
      <c r="K579" s="451"/>
    </row>
    <row r="580" spans="1:11">
      <c r="A580" s="450" t="s">
        <v>2024</v>
      </c>
      <c r="B580" s="450"/>
      <c r="C580" s="450" t="s">
        <v>2025</v>
      </c>
      <c r="D580" s="450"/>
      <c r="E580" s="450"/>
      <c r="F580" s="450"/>
      <c r="G580" s="450" t="s">
        <v>22877</v>
      </c>
      <c r="H580" s="450" t="s">
        <v>22878</v>
      </c>
      <c r="I580" s="450" t="s">
        <v>32746</v>
      </c>
      <c r="J580" s="450" t="s">
        <v>22997</v>
      </c>
      <c r="K580" s="450"/>
    </row>
    <row r="581" spans="1:11">
      <c r="A581" s="451" t="s">
        <v>2026</v>
      </c>
      <c r="B581" s="451"/>
      <c r="C581" s="451" t="s">
        <v>2027</v>
      </c>
      <c r="D581" s="451"/>
      <c r="E581" s="451"/>
      <c r="F581" s="451"/>
      <c r="G581" s="451" t="s">
        <v>22877</v>
      </c>
      <c r="H581" s="451" t="s">
        <v>22878</v>
      </c>
      <c r="I581" s="451" t="s">
        <v>23163</v>
      </c>
      <c r="J581" s="451" t="s">
        <v>22939</v>
      </c>
      <c r="K581" s="451"/>
    </row>
    <row r="582" spans="1:11">
      <c r="A582" s="450" t="s">
        <v>22411</v>
      </c>
      <c r="B582" s="450" t="s">
        <v>22412</v>
      </c>
      <c r="C582" s="450" t="s">
        <v>22413</v>
      </c>
      <c r="D582" s="450"/>
      <c r="E582" s="450"/>
      <c r="F582" s="450"/>
      <c r="G582" s="450" t="s">
        <v>22877</v>
      </c>
      <c r="H582" s="450" t="s">
        <v>22878</v>
      </c>
      <c r="I582" s="450" t="s">
        <v>23164</v>
      </c>
      <c r="J582" s="450" t="s">
        <v>23165</v>
      </c>
      <c r="K582" s="450"/>
    </row>
    <row r="583" spans="1:11">
      <c r="A583" s="451" t="s">
        <v>32747</v>
      </c>
      <c r="B583" s="451"/>
      <c r="C583" s="451" t="s">
        <v>2029</v>
      </c>
      <c r="D583" s="451"/>
      <c r="E583" s="451"/>
      <c r="F583" s="451"/>
      <c r="G583" s="451" t="s">
        <v>22877</v>
      </c>
      <c r="H583" s="451" t="s">
        <v>22878</v>
      </c>
      <c r="I583" s="451" t="s">
        <v>32748</v>
      </c>
      <c r="J583" s="451" t="s">
        <v>22995</v>
      </c>
      <c r="K583" s="451"/>
    </row>
    <row r="584" spans="1:11">
      <c r="A584" s="450" t="s">
        <v>2028</v>
      </c>
      <c r="B584" s="450"/>
      <c r="C584" s="450" t="s">
        <v>2029</v>
      </c>
      <c r="D584" s="450"/>
      <c r="E584" s="450"/>
      <c r="F584" s="450"/>
      <c r="G584" s="450" t="s">
        <v>22877</v>
      </c>
      <c r="H584" s="450" t="s">
        <v>22878</v>
      </c>
      <c r="I584" s="450" t="s">
        <v>32749</v>
      </c>
      <c r="J584" s="450" t="s">
        <v>22997</v>
      </c>
      <c r="K584" s="450"/>
    </row>
    <row r="585" spans="1:11">
      <c r="A585" s="451" t="s">
        <v>2030</v>
      </c>
      <c r="B585" s="451"/>
      <c r="C585" s="451" t="s">
        <v>2031</v>
      </c>
      <c r="D585" s="451"/>
      <c r="E585" s="451"/>
      <c r="F585" s="451"/>
      <c r="G585" s="451" t="s">
        <v>22882</v>
      </c>
      <c r="H585" s="451" t="s">
        <v>22883</v>
      </c>
      <c r="I585" s="451" t="s">
        <v>32750</v>
      </c>
      <c r="J585" s="451" t="s">
        <v>22939</v>
      </c>
      <c r="K585" s="451"/>
    </row>
    <row r="586" spans="1:11">
      <c r="A586" s="450" t="s">
        <v>2032</v>
      </c>
      <c r="B586" s="450"/>
      <c r="C586" s="450"/>
      <c r="D586" s="450" t="s">
        <v>2033</v>
      </c>
      <c r="E586" s="450"/>
      <c r="F586" s="450"/>
      <c r="G586" s="450" t="s">
        <v>22877</v>
      </c>
      <c r="H586" s="450" t="s">
        <v>22878</v>
      </c>
      <c r="I586" s="450" t="s">
        <v>2033</v>
      </c>
      <c r="J586" s="450" t="s">
        <v>23166</v>
      </c>
      <c r="K586" s="450"/>
    </row>
    <row r="587" spans="1:11">
      <c r="A587" s="451" t="s">
        <v>2032</v>
      </c>
      <c r="B587" s="451"/>
      <c r="C587" s="451"/>
      <c r="D587" s="451" t="s">
        <v>2033</v>
      </c>
      <c r="E587" s="451">
        <v>5036563530</v>
      </c>
      <c r="F587" s="451"/>
      <c r="G587" s="451" t="s">
        <v>22877</v>
      </c>
      <c r="H587" s="451" t="s">
        <v>22878</v>
      </c>
      <c r="I587" s="451" t="s">
        <v>2033</v>
      </c>
      <c r="J587" s="451" t="s">
        <v>23166</v>
      </c>
      <c r="K587" s="451"/>
    </row>
    <row r="588" spans="1:11">
      <c r="A588" s="450" t="s">
        <v>22414</v>
      </c>
      <c r="B588" s="450" t="s">
        <v>22415</v>
      </c>
      <c r="C588" s="450" t="s">
        <v>22416</v>
      </c>
      <c r="D588" s="450"/>
      <c r="E588" s="450"/>
      <c r="F588" s="450"/>
      <c r="G588" s="450" t="s">
        <v>22877</v>
      </c>
      <c r="H588" s="450" t="s">
        <v>22878</v>
      </c>
      <c r="I588" s="450" t="s">
        <v>23167</v>
      </c>
      <c r="J588" s="450" t="s">
        <v>23168</v>
      </c>
      <c r="K588" s="450"/>
    </row>
    <row r="589" spans="1:11">
      <c r="A589" s="451" t="s">
        <v>32751</v>
      </c>
      <c r="B589" s="451"/>
      <c r="C589" s="451" t="s">
        <v>1085</v>
      </c>
      <c r="D589" s="451"/>
      <c r="E589" s="451"/>
      <c r="F589" s="451"/>
      <c r="G589" s="451" t="s">
        <v>22877</v>
      </c>
      <c r="H589" s="451" t="s">
        <v>22878</v>
      </c>
      <c r="I589" s="451" t="s">
        <v>32752</v>
      </c>
      <c r="J589" s="451" t="s">
        <v>22995</v>
      </c>
      <c r="K589" s="451"/>
    </row>
    <row r="590" spans="1:11">
      <c r="A590" s="450" t="s">
        <v>32753</v>
      </c>
      <c r="B590" s="450"/>
      <c r="C590" s="450" t="s">
        <v>2036</v>
      </c>
      <c r="D590" s="450"/>
      <c r="E590" s="450"/>
      <c r="F590" s="450"/>
      <c r="G590" s="450" t="s">
        <v>22877</v>
      </c>
      <c r="H590" s="450" t="s">
        <v>22878</v>
      </c>
      <c r="I590" s="450" t="s">
        <v>23169</v>
      </c>
      <c r="J590" s="450" t="s">
        <v>22997</v>
      </c>
      <c r="K590" s="450"/>
    </row>
    <row r="591" spans="1:11">
      <c r="A591" s="451" t="s">
        <v>2034</v>
      </c>
      <c r="B591" s="451"/>
      <c r="C591" s="451" t="s">
        <v>1085</v>
      </c>
      <c r="D591" s="451"/>
      <c r="E591" s="451"/>
      <c r="F591" s="451"/>
      <c r="G591" s="451" t="s">
        <v>22877</v>
      </c>
      <c r="H591" s="451" t="s">
        <v>22878</v>
      </c>
      <c r="I591" s="451" t="s">
        <v>32754</v>
      </c>
      <c r="J591" s="451" t="s">
        <v>22997</v>
      </c>
      <c r="K591" s="451"/>
    </row>
    <row r="592" spans="1:11">
      <c r="A592" s="450" t="s">
        <v>2035</v>
      </c>
      <c r="B592" s="450"/>
      <c r="C592" s="450" t="s">
        <v>2036</v>
      </c>
      <c r="D592" s="450"/>
      <c r="E592" s="450"/>
      <c r="F592" s="450"/>
      <c r="G592" s="450" t="s">
        <v>22877</v>
      </c>
      <c r="H592" s="450" t="s">
        <v>22878</v>
      </c>
      <c r="I592" s="450" t="s">
        <v>23169</v>
      </c>
      <c r="J592" s="450" t="s">
        <v>23185</v>
      </c>
      <c r="K592" s="450"/>
    </row>
    <row r="593" spans="1:11">
      <c r="A593" s="451" t="s">
        <v>22417</v>
      </c>
      <c r="B593" s="451" t="s">
        <v>22418</v>
      </c>
      <c r="C593" s="451" t="s">
        <v>22419</v>
      </c>
      <c r="D593" s="451"/>
      <c r="E593" s="451"/>
      <c r="F593" s="451"/>
      <c r="G593" s="451" t="s">
        <v>22877</v>
      </c>
      <c r="H593" s="451" t="s">
        <v>22878</v>
      </c>
      <c r="I593" s="451" t="s">
        <v>23170</v>
      </c>
      <c r="J593" s="451" t="s">
        <v>23171</v>
      </c>
      <c r="K593" s="451"/>
    </row>
    <row r="594" spans="1:11">
      <c r="A594" s="450" t="s">
        <v>2037</v>
      </c>
      <c r="B594" s="450"/>
      <c r="C594" s="450" t="s">
        <v>2038</v>
      </c>
      <c r="D594" s="450"/>
      <c r="E594" s="450"/>
      <c r="F594" s="450"/>
      <c r="G594" s="450" t="s">
        <v>22882</v>
      </c>
      <c r="H594" s="450" t="s">
        <v>22883</v>
      </c>
      <c r="I594" s="450"/>
      <c r="J594" s="450" t="s">
        <v>22942</v>
      </c>
      <c r="K594" s="450"/>
    </row>
    <row r="595" spans="1:11">
      <c r="A595" s="451" t="s">
        <v>32755</v>
      </c>
      <c r="B595" s="451" t="s">
        <v>32756</v>
      </c>
      <c r="C595" s="451" t="s">
        <v>2041</v>
      </c>
      <c r="D595" s="451" t="s">
        <v>2042</v>
      </c>
      <c r="E595" s="451"/>
      <c r="F595" s="451"/>
      <c r="G595" s="451" t="s">
        <v>22877</v>
      </c>
      <c r="H595" s="451" t="s">
        <v>22878</v>
      </c>
      <c r="I595" s="451" t="s">
        <v>23172</v>
      </c>
      <c r="J595" s="451" t="s">
        <v>32757</v>
      </c>
      <c r="K595" s="451"/>
    </row>
    <row r="596" spans="1:11">
      <c r="A596" s="450" t="s">
        <v>2039</v>
      </c>
      <c r="B596" s="450" t="s">
        <v>2040</v>
      </c>
      <c r="C596" s="450" t="s">
        <v>2041</v>
      </c>
      <c r="D596" s="450" t="s">
        <v>2042</v>
      </c>
      <c r="E596" s="450" t="s">
        <v>2043</v>
      </c>
      <c r="F596" s="450"/>
      <c r="G596" s="450" t="s">
        <v>22877</v>
      </c>
      <c r="H596" s="450" t="s">
        <v>22878</v>
      </c>
      <c r="I596" s="450" t="s">
        <v>23172</v>
      </c>
      <c r="J596" s="450" t="s">
        <v>30290</v>
      </c>
      <c r="K596" s="450"/>
    </row>
    <row r="597" spans="1:11">
      <c r="A597" s="451" t="s">
        <v>29972</v>
      </c>
      <c r="B597" s="451" t="s">
        <v>29973</v>
      </c>
      <c r="C597" s="451" t="s">
        <v>29974</v>
      </c>
      <c r="D597" s="451"/>
      <c r="E597" s="451"/>
      <c r="F597" s="451"/>
      <c r="G597" s="451"/>
      <c r="H597" s="451"/>
      <c r="I597" s="451"/>
      <c r="J597" s="451"/>
      <c r="K597" s="451"/>
    </row>
    <row r="598" spans="1:11">
      <c r="A598" s="450" t="s">
        <v>2044</v>
      </c>
      <c r="B598" s="450"/>
      <c r="C598" s="450" t="s">
        <v>2045</v>
      </c>
      <c r="D598" s="450"/>
      <c r="E598" s="450"/>
      <c r="F598" s="450"/>
      <c r="G598" s="450" t="s">
        <v>22882</v>
      </c>
      <c r="H598" s="450" t="s">
        <v>22883</v>
      </c>
      <c r="I598" s="450" t="s">
        <v>32758</v>
      </c>
      <c r="J598" s="450" t="s">
        <v>22997</v>
      </c>
      <c r="K598" s="450"/>
    </row>
    <row r="599" spans="1:11">
      <c r="A599" s="451" t="s">
        <v>2046</v>
      </c>
      <c r="B599" s="451"/>
      <c r="C599" s="451" t="s">
        <v>2047</v>
      </c>
      <c r="D599" s="451"/>
      <c r="E599" s="451"/>
      <c r="F599" s="451"/>
      <c r="G599" s="451" t="s">
        <v>22882</v>
      </c>
      <c r="H599" s="451" t="s">
        <v>22883</v>
      </c>
      <c r="I599" s="451" t="s">
        <v>32759</v>
      </c>
      <c r="J599" s="451" t="s">
        <v>22939</v>
      </c>
      <c r="K599" s="451"/>
    </row>
    <row r="600" spans="1:11">
      <c r="A600" s="450" t="s">
        <v>32760</v>
      </c>
      <c r="B600" s="450"/>
      <c r="C600" s="450" t="s">
        <v>2049</v>
      </c>
      <c r="D600" s="450"/>
      <c r="E600" s="450"/>
      <c r="F600" s="450"/>
      <c r="G600" s="450" t="s">
        <v>22882</v>
      </c>
      <c r="H600" s="450" t="s">
        <v>22883</v>
      </c>
      <c r="I600" s="450" t="s">
        <v>32761</v>
      </c>
      <c r="J600" s="450" t="s">
        <v>22939</v>
      </c>
      <c r="K600" s="450"/>
    </row>
    <row r="601" spans="1:11">
      <c r="A601" s="451" t="s">
        <v>2048</v>
      </c>
      <c r="B601" s="451"/>
      <c r="C601" s="451" t="s">
        <v>2049</v>
      </c>
      <c r="D601" s="451"/>
      <c r="E601" s="451"/>
      <c r="F601" s="451"/>
      <c r="G601" s="451" t="s">
        <v>22882</v>
      </c>
      <c r="H601" s="451" t="s">
        <v>22883</v>
      </c>
      <c r="I601" s="451" t="s">
        <v>30291</v>
      </c>
      <c r="J601" s="451" t="s">
        <v>23133</v>
      </c>
      <c r="K601" s="451"/>
    </row>
    <row r="602" spans="1:11">
      <c r="A602" s="450" t="s">
        <v>2050</v>
      </c>
      <c r="B602" s="450" t="s">
        <v>32762</v>
      </c>
      <c r="C602" s="450" t="s">
        <v>2056</v>
      </c>
      <c r="D602" s="450" t="s">
        <v>2052</v>
      </c>
      <c r="E602" s="450"/>
      <c r="F602" s="450"/>
      <c r="G602" s="450" t="s">
        <v>22877</v>
      </c>
      <c r="H602" s="450" t="s">
        <v>22878</v>
      </c>
      <c r="I602" s="450" t="s">
        <v>2052</v>
      </c>
      <c r="J602" s="450" t="s">
        <v>32763</v>
      </c>
      <c r="K602" s="450"/>
    </row>
    <row r="603" spans="1:11">
      <c r="A603" s="451" t="s">
        <v>2050</v>
      </c>
      <c r="B603" s="451" t="s">
        <v>2051</v>
      </c>
      <c r="C603" s="451" t="s">
        <v>1218</v>
      </c>
      <c r="D603" s="451" t="s">
        <v>2052</v>
      </c>
      <c r="E603" s="451" t="s">
        <v>2053</v>
      </c>
      <c r="F603" s="451"/>
      <c r="G603" s="451" t="s">
        <v>22877</v>
      </c>
      <c r="H603" s="451" t="s">
        <v>22878</v>
      </c>
      <c r="I603" s="451" t="s">
        <v>2052</v>
      </c>
      <c r="J603" s="451" t="s">
        <v>32764</v>
      </c>
      <c r="K603" s="451"/>
    </row>
    <row r="604" spans="1:11">
      <c r="A604" s="450" t="s">
        <v>2054</v>
      </c>
      <c r="B604" s="450" t="s">
        <v>2055</v>
      </c>
      <c r="C604" s="450" t="s">
        <v>2056</v>
      </c>
      <c r="D604" s="450" t="s">
        <v>2052</v>
      </c>
      <c r="E604" s="450"/>
      <c r="F604" s="450"/>
      <c r="G604" s="450" t="s">
        <v>22877</v>
      </c>
      <c r="H604" s="450" t="s">
        <v>22878</v>
      </c>
      <c r="I604" s="450" t="s">
        <v>2052</v>
      </c>
      <c r="J604" s="450" t="s">
        <v>30292</v>
      </c>
      <c r="K604" s="450"/>
    </row>
    <row r="605" spans="1:11">
      <c r="A605" s="451" t="s">
        <v>2057</v>
      </c>
      <c r="B605" s="451"/>
      <c r="C605" s="451" t="s">
        <v>2058</v>
      </c>
      <c r="D605" s="451"/>
      <c r="E605" s="451"/>
      <c r="F605" s="451"/>
      <c r="G605" s="451" t="s">
        <v>22877</v>
      </c>
      <c r="H605" s="451" t="s">
        <v>22878</v>
      </c>
      <c r="I605" s="451" t="s">
        <v>32765</v>
      </c>
      <c r="J605" s="451" t="s">
        <v>32766</v>
      </c>
      <c r="K605" s="451"/>
    </row>
    <row r="606" spans="1:11">
      <c r="A606" s="450" t="s">
        <v>2059</v>
      </c>
      <c r="B606" s="450"/>
      <c r="C606" s="450" t="s">
        <v>2060</v>
      </c>
      <c r="D606" s="450"/>
      <c r="E606" s="450"/>
      <c r="F606" s="450"/>
      <c r="G606" s="450" t="s">
        <v>22877</v>
      </c>
      <c r="H606" s="450" t="s">
        <v>22878</v>
      </c>
      <c r="I606" s="450" t="s">
        <v>32767</v>
      </c>
      <c r="J606" s="450" t="s">
        <v>22939</v>
      </c>
      <c r="K606" s="450"/>
    </row>
    <row r="607" spans="1:11">
      <c r="A607" s="451" t="s">
        <v>2061</v>
      </c>
      <c r="B607" s="451"/>
      <c r="C607" s="451" t="s">
        <v>2062</v>
      </c>
      <c r="D607" s="451"/>
      <c r="E607" s="451"/>
      <c r="F607" s="451"/>
      <c r="G607" s="451" t="s">
        <v>22882</v>
      </c>
      <c r="H607" s="451" t="s">
        <v>22883</v>
      </c>
      <c r="I607" s="451"/>
      <c r="J607" s="451" t="s">
        <v>22939</v>
      </c>
      <c r="K607" s="451"/>
    </row>
    <row r="608" spans="1:11">
      <c r="A608" s="450" t="s">
        <v>2063</v>
      </c>
      <c r="B608" s="450"/>
      <c r="C608" s="450" t="s">
        <v>2064</v>
      </c>
      <c r="D608" s="450"/>
      <c r="E608" s="450"/>
      <c r="F608" s="450"/>
      <c r="G608" s="450" t="s">
        <v>22877</v>
      </c>
      <c r="H608" s="450" t="s">
        <v>22878</v>
      </c>
      <c r="I608" s="450" t="s">
        <v>23173</v>
      </c>
      <c r="J608" s="450" t="s">
        <v>22939</v>
      </c>
      <c r="K608" s="450"/>
    </row>
    <row r="609" spans="1:11">
      <c r="A609" s="451" t="s">
        <v>2065</v>
      </c>
      <c r="B609" s="451" t="s">
        <v>2066</v>
      </c>
      <c r="C609" s="451" t="s">
        <v>2067</v>
      </c>
      <c r="D609" s="451" t="s">
        <v>2068</v>
      </c>
      <c r="E609" s="451"/>
      <c r="F609" s="451"/>
      <c r="G609" s="451" t="s">
        <v>22877</v>
      </c>
      <c r="H609" s="451" t="s">
        <v>22878</v>
      </c>
      <c r="I609" s="451" t="s">
        <v>2068</v>
      </c>
      <c r="J609" s="451" t="s">
        <v>23174</v>
      </c>
      <c r="K609" s="451"/>
    </row>
    <row r="610" spans="1:11">
      <c r="A610" s="450" t="s">
        <v>2065</v>
      </c>
      <c r="B610" s="450" t="s">
        <v>2066</v>
      </c>
      <c r="C610" s="450" t="s">
        <v>2067</v>
      </c>
      <c r="D610" s="450" t="s">
        <v>2068</v>
      </c>
      <c r="E610" s="450" t="s">
        <v>2069</v>
      </c>
      <c r="F610" s="450"/>
      <c r="G610" s="450" t="s">
        <v>22882</v>
      </c>
      <c r="H610" s="450" t="s">
        <v>22883</v>
      </c>
      <c r="I610" s="450" t="s">
        <v>2068</v>
      </c>
      <c r="J610" s="450" t="s">
        <v>23174</v>
      </c>
      <c r="K610" s="450"/>
    </row>
    <row r="611" spans="1:11">
      <c r="A611" s="451" t="s">
        <v>2070</v>
      </c>
      <c r="B611" s="451" t="s">
        <v>2071</v>
      </c>
      <c r="C611" s="451" t="s">
        <v>2072</v>
      </c>
      <c r="D611" s="451" t="s">
        <v>2073</v>
      </c>
      <c r="E611" s="451"/>
      <c r="F611" s="451"/>
      <c r="G611" s="451" t="s">
        <v>22877</v>
      </c>
      <c r="H611" s="451" t="s">
        <v>22878</v>
      </c>
      <c r="I611" s="451" t="s">
        <v>2073</v>
      </c>
      <c r="J611" s="451" t="s">
        <v>23175</v>
      </c>
      <c r="K611" s="451"/>
    </row>
    <row r="612" spans="1:11">
      <c r="A612" s="450" t="s">
        <v>2070</v>
      </c>
      <c r="B612" s="450" t="s">
        <v>2071</v>
      </c>
      <c r="C612" s="450" t="s">
        <v>2072</v>
      </c>
      <c r="D612" s="450" t="s">
        <v>2073</v>
      </c>
      <c r="E612" s="450" t="s">
        <v>2074</v>
      </c>
      <c r="F612" s="450"/>
      <c r="G612" s="450" t="s">
        <v>22877</v>
      </c>
      <c r="H612" s="450" t="s">
        <v>22878</v>
      </c>
      <c r="I612" s="450" t="s">
        <v>2073</v>
      </c>
      <c r="J612" s="450" t="s">
        <v>23175</v>
      </c>
      <c r="K612" s="450"/>
    </row>
    <row r="613" spans="1:11">
      <c r="A613" s="451" t="s">
        <v>2075</v>
      </c>
      <c r="B613" s="451"/>
      <c r="C613" s="451" t="s">
        <v>2076</v>
      </c>
      <c r="D613" s="451"/>
      <c r="E613" s="451"/>
      <c r="F613" s="451"/>
      <c r="G613" s="451" t="s">
        <v>22877</v>
      </c>
      <c r="H613" s="451" t="s">
        <v>22878</v>
      </c>
      <c r="I613" s="451" t="s">
        <v>23176</v>
      </c>
      <c r="J613" s="451" t="s">
        <v>22939</v>
      </c>
      <c r="K613" s="451"/>
    </row>
    <row r="614" spans="1:11">
      <c r="A614" s="450" t="s">
        <v>22420</v>
      </c>
      <c r="B614" s="450" t="s">
        <v>22421</v>
      </c>
      <c r="C614" s="450" t="s">
        <v>22422</v>
      </c>
      <c r="D614" s="450"/>
      <c r="E614" s="450"/>
      <c r="F614" s="450"/>
      <c r="G614" s="450" t="s">
        <v>22877</v>
      </c>
      <c r="H614" s="450" t="s">
        <v>22878</v>
      </c>
      <c r="I614" s="450" t="s">
        <v>23177</v>
      </c>
      <c r="J614" s="450" t="s">
        <v>23178</v>
      </c>
      <c r="K614" s="450"/>
    </row>
    <row r="615" spans="1:11">
      <c r="A615" s="451" t="s">
        <v>29975</v>
      </c>
      <c r="B615" s="451" t="s">
        <v>29976</v>
      </c>
      <c r="C615" s="451" t="s">
        <v>29977</v>
      </c>
      <c r="D615" s="451"/>
      <c r="E615" s="451"/>
      <c r="F615" s="451"/>
      <c r="G615" s="451"/>
      <c r="H615" s="451"/>
      <c r="I615" s="451"/>
      <c r="J615" s="451"/>
      <c r="K615" s="451"/>
    </row>
    <row r="616" spans="1:11">
      <c r="A616" s="450" t="s">
        <v>32768</v>
      </c>
      <c r="B616" s="450" t="s">
        <v>2078</v>
      </c>
      <c r="C616" s="450" t="s">
        <v>2079</v>
      </c>
      <c r="D616" s="450" t="s">
        <v>2080</v>
      </c>
      <c r="E616" s="450"/>
      <c r="F616" s="450"/>
      <c r="G616" s="450" t="s">
        <v>22877</v>
      </c>
      <c r="H616" s="450" t="s">
        <v>22878</v>
      </c>
      <c r="I616" s="450" t="s">
        <v>2080</v>
      </c>
      <c r="J616" s="450" t="s">
        <v>32769</v>
      </c>
      <c r="K616" s="450"/>
    </row>
    <row r="617" spans="1:11">
      <c r="A617" s="451" t="s">
        <v>2077</v>
      </c>
      <c r="B617" s="451" t="s">
        <v>2078</v>
      </c>
      <c r="C617" s="451" t="s">
        <v>2079</v>
      </c>
      <c r="D617" s="451" t="s">
        <v>2080</v>
      </c>
      <c r="E617" s="451" t="s">
        <v>2081</v>
      </c>
      <c r="F617" s="451"/>
      <c r="G617" s="451" t="s">
        <v>22877</v>
      </c>
      <c r="H617" s="451" t="s">
        <v>22878</v>
      </c>
      <c r="I617" s="451" t="s">
        <v>2080</v>
      </c>
      <c r="J617" s="451" t="s">
        <v>30293</v>
      </c>
      <c r="K617" s="451"/>
    </row>
    <row r="618" spans="1:11">
      <c r="A618" s="450" t="s">
        <v>2082</v>
      </c>
      <c r="B618" s="450"/>
      <c r="C618" s="450" t="s">
        <v>2083</v>
      </c>
      <c r="D618" s="450"/>
      <c r="E618" s="450"/>
      <c r="F618" s="450"/>
      <c r="G618" s="450" t="s">
        <v>22877</v>
      </c>
      <c r="H618" s="450" t="s">
        <v>22878</v>
      </c>
      <c r="I618" s="450" t="s">
        <v>32770</v>
      </c>
      <c r="J618" s="450" t="s">
        <v>23179</v>
      </c>
      <c r="K618" s="450"/>
    </row>
    <row r="619" spans="1:11">
      <c r="A619" s="451" t="s">
        <v>2084</v>
      </c>
      <c r="B619" s="451"/>
      <c r="C619" s="451" t="s">
        <v>2085</v>
      </c>
      <c r="D619" s="451"/>
      <c r="E619" s="451"/>
      <c r="F619" s="451"/>
      <c r="G619" s="451" t="s">
        <v>22882</v>
      </c>
      <c r="H619" s="451" t="s">
        <v>22883</v>
      </c>
      <c r="I619" s="451"/>
      <c r="J619" s="451" t="s">
        <v>23180</v>
      </c>
      <c r="K619" s="451"/>
    </row>
    <row r="620" spans="1:11">
      <c r="A620" s="450" t="s">
        <v>2086</v>
      </c>
      <c r="B620" s="450" t="s">
        <v>32771</v>
      </c>
      <c r="C620" s="450" t="s">
        <v>2088</v>
      </c>
      <c r="D620" s="450"/>
      <c r="E620" s="450"/>
      <c r="F620" s="450" t="s">
        <v>20108</v>
      </c>
      <c r="G620" s="450" t="s">
        <v>22882</v>
      </c>
      <c r="H620" s="450" t="s">
        <v>22883</v>
      </c>
      <c r="I620" s="450" t="s">
        <v>23181</v>
      </c>
      <c r="J620" s="450" t="s">
        <v>32772</v>
      </c>
      <c r="K620" s="450"/>
    </row>
    <row r="621" spans="1:11">
      <c r="A621" s="451" t="s">
        <v>2086</v>
      </c>
      <c r="B621" s="451" t="s">
        <v>2087</v>
      </c>
      <c r="C621" s="451" t="s">
        <v>2088</v>
      </c>
      <c r="D621" s="451"/>
      <c r="E621" s="451"/>
      <c r="F621" s="451" t="s">
        <v>20108</v>
      </c>
      <c r="G621" s="451" t="s">
        <v>22882</v>
      </c>
      <c r="H621" s="451" t="s">
        <v>22883</v>
      </c>
      <c r="I621" s="451" t="s">
        <v>23181</v>
      </c>
      <c r="J621" s="451" t="s">
        <v>30294</v>
      </c>
      <c r="K621" s="451"/>
    </row>
    <row r="622" spans="1:11">
      <c r="A622" s="450" t="s">
        <v>2089</v>
      </c>
      <c r="B622" s="450"/>
      <c r="C622" s="450" t="s">
        <v>2090</v>
      </c>
      <c r="D622" s="450"/>
      <c r="E622" s="450"/>
      <c r="F622" s="450"/>
      <c r="G622" s="450" t="s">
        <v>22877</v>
      </c>
      <c r="H622" s="450" t="s">
        <v>22878</v>
      </c>
      <c r="I622" s="450" t="s">
        <v>32773</v>
      </c>
      <c r="J622" s="450" t="s">
        <v>22939</v>
      </c>
      <c r="K622" s="450"/>
    </row>
    <row r="623" spans="1:11">
      <c r="A623" s="451" t="s">
        <v>2091</v>
      </c>
      <c r="B623" s="451"/>
      <c r="C623" s="451" t="s">
        <v>2092</v>
      </c>
      <c r="D623" s="451"/>
      <c r="E623" s="451"/>
      <c r="F623" s="451"/>
      <c r="G623" s="451" t="s">
        <v>22882</v>
      </c>
      <c r="H623" s="451" t="s">
        <v>22883</v>
      </c>
      <c r="I623" s="451" t="s">
        <v>32774</v>
      </c>
      <c r="J623" s="451" t="s">
        <v>22997</v>
      </c>
      <c r="K623" s="451"/>
    </row>
    <row r="624" spans="1:11">
      <c r="A624" s="450" t="s">
        <v>2093</v>
      </c>
      <c r="B624" s="450"/>
      <c r="C624" s="450" t="s">
        <v>2094</v>
      </c>
      <c r="D624" s="450"/>
      <c r="E624" s="450"/>
      <c r="F624" s="450"/>
      <c r="G624" s="450" t="s">
        <v>22882</v>
      </c>
      <c r="H624" s="450" t="s">
        <v>22883</v>
      </c>
      <c r="I624" s="450"/>
      <c r="J624" s="450" t="s">
        <v>22939</v>
      </c>
      <c r="K624" s="450"/>
    </row>
    <row r="625" spans="1:11">
      <c r="A625" s="451" t="s">
        <v>2095</v>
      </c>
      <c r="B625" s="451"/>
      <c r="C625" s="451" t="s">
        <v>2096</v>
      </c>
      <c r="D625" s="451"/>
      <c r="E625" s="451"/>
      <c r="F625" s="451"/>
      <c r="G625" s="451" t="s">
        <v>23075</v>
      </c>
      <c r="H625" s="451" t="s">
        <v>22883</v>
      </c>
      <c r="I625" s="451"/>
      <c r="J625" s="451"/>
      <c r="K625" s="451"/>
    </row>
    <row r="626" spans="1:11">
      <c r="A626" s="450" t="s">
        <v>2097</v>
      </c>
      <c r="B626" s="450"/>
      <c r="C626" s="450" t="s">
        <v>2098</v>
      </c>
      <c r="D626" s="450"/>
      <c r="E626" s="450"/>
      <c r="F626" s="450"/>
      <c r="G626" s="450" t="s">
        <v>22877</v>
      </c>
      <c r="H626" s="450" t="s">
        <v>22878</v>
      </c>
      <c r="I626" s="450" t="s">
        <v>32775</v>
      </c>
      <c r="J626" s="450" t="s">
        <v>23182</v>
      </c>
      <c r="K626" s="450"/>
    </row>
    <row r="627" spans="1:11">
      <c r="A627" s="451" t="s">
        <v>2099</v>
      </c>
      <c r="B627" s="451"/>
      <c r="C627" s="451" t="s">
        <v>2100</v>
      </c>
      <c r="D627" s="451"/>
      <c r="E627" s="451"/>
      <c r="F627" s="451"/>
      <c r="G627" s="451" t="s">
        <v>32634</v>
      </c>
      <c r="H627" s="451" t="s">
        <v>22883</v>
      </c>
      <c r="I627" s="451"/>
      <c r="J627" s="451"/>
      <c r="K627" s="451"/>
    </row>
    <row r="628" spans="1:11">
      <c r="A628" s="450" t="s">
        <v>2101</v>
      </c>
      <c r="B628" s="450"/>
      <c r="C628" s="450" t="s">
        <v>2102</v>
      </c>
      <c r="D628" s="450"/>
      <c r="E628" s="450"/>
      <c r="F628" s="450"/>
      <c r="G628" s="450" t="s">
        <v>32601</v>
      </c>
      <c r="H628" s="450" t="s">
        <v>22878</v>
      </c>
      <c r="I628" s="450"/>
      <c r="J628" s="450"/>
      <c r="K628" s="450"/>
    </row>
    <row r="629" spans="1:11">
      <c r="A629" s="451" t="s">
        <v>2103</v>
      </c>
      <c r="B629" s="451"/>
      <c r="C629" s="451" t="s">
        <v>2104</v>
      </c>
      <c r="D629" s="451"/>
      <c r="E629" s="451"/>
      <c r="F629" s="451"/>
      <c r="G629" s="451" t="s">
        <v>32776</v>
      </c>
      <c r="H629" s="451" t="s">
        <v>22878</v>
      </c>
      <c r="I629" s="451"/>
      <c r="J629" s="451"/>
      <c r="K629" s="451"/>
    </row>
    <row r="630" spans="1:11">
      <c r="A630" s="450" t="s">
        <v>2105</v>
      </c>
      <c r="B630" s="450"/>
      <c r="C630" s="450" t="s">
        <v>2106</v>
      </c>
      <c r="D630" s="450"/>
      <c r="E630" s="450"/>
      <c r="F630" s="450"/>
      <c r="G630" s="450" t="s">
        <v>23108</v>
      </c>
      <c r="H630" s="450" t="s">
        <v>22878</v>
      </c>
      <c r="I630" s="450"/>
      <c r="J630" s="450"/>
      <c r="K630" s="450" t="s">
        <v>23726</v>
      </c>
    </row>
    <row r="631" spans="1:11">
      <c r="A631" s="451" t="s">
        <v>2107</v>
      </c>
      <c r="B631" s="451"/>
      <c r="C631" s="451" t="s">
        <v>2108</v>
      </c>
      <c r="D631" s="451"/>
      <c r="E631" s="451"/>
      <c r="F631" s="451"/>
      <c r="G631" s="451" t="s">
        <v>32777</v>
      </c>
      <c r="H631" s="451" t="s">
        <v>22878</v>
      </c>
      <c r="I631" s="451"/>
      <c r="J631" s="451"/>
      <c r="K631" s="451"/>
    </row>
    <row r="632" spans="1:11">
      <c r="A632" s="450" t="s">
        <v>2109</v>
      </c>
      <c r="B632" s="450"/>
      <c r="C632" s="450" t="s">
        <v>2110</v>
      </c>
      <c r="D632" s="450"/>
      <c r="E632" s="450"/>
      <c r="F632" s="450"/>
      <c r="G632" s="450" t="s">
        <v>2109</v>
      </c>
      <c r="H632" s="450" t="s">
        <v>22878</v>
      </c>
      <c r="I632" s="450"/>
      <c r="J632" s="450" t="s">
        <v>23183</v>
      </c>
      <c r="K632" s="450"/>
    </row>
    <row r="633" spans="1:11">
      <c r="A633" s="451" t="s">
        <v>2111</v>
      </c>
      <c r="B633" s="451"/>
      <c r="C633" s="451" t="s">
        <v>2112</v>
      </c>
      <c r="D633" s="451"/>
      <c r="E633" s="451"/>
      <c r="F633" s="451"/>
      <c r="G633" s="451" t="s">
        <v>23075</v>
      </c>
      <c r="H633" s="451" t="s">
        <v>22883</v>
      </c>
      <c r="I633" s="451"/>
      <c r="J633" s="451" t="s">
        <v>23183</v>
      </c>
      <c r="K633" s="451"/>
    </row>
    <row r="634" spans="1:11">
      <c r="A634" s="450" t="s">
        <v>21445</v>
      </c>
      <c r="B634" s="450"/>
      <c r="C634" s="450" t="s">
        <v>2113</v>
      </c>
      <c r="D634" s="450"/>
      <c r="E634" s="450"/>
      <c r="F634" s="450"/>
      <c r="G634" s="450" t="s">
        <v>32778</v>
      </c>
      <c r="H634" s="450" t="s">
        <v>22878</v>
      </c>
      <c r="I634" s="450"/>
      <c r="J634" s="450"/>
      <c r="K634" s="450"/>
    </row>
    <row r="635" spans="1:11">
      <c r="A635" s="451" t="s">
        <v>2114</v>
      </c>
      <c r="B635" s="451"/>
      <c r="C635" s="451" t="s">
        <v>1730</v>
      </c>
      <c r="D635" s="451"/>
      <c r="E635" s="451"/>
      <c r="F635" s="451"/>
      <c r="G635" s="451" t="s">
        <v>22877</v>
      </c>
      <c r="H635" s="451" t="s">
        <v>22878</v>
      </c>
      <c r="I635" s="451"/>
      <c r="J635" s="451" t="s">
        <v>23184</v>
      </c>
      <c r="K635" s="451"/>
    </row>
    <row r="636" spans="1:11">
      <c r="A636" s="450" t="s">
        <v>32779</v>
      </c>
      <c r="B636" s="450" t="s">
        <v>32780</v>
      </c>
      <c r="C636" s="450" t="s">
        <v>2096</v>
      </c>
      <c r="D636" s="450" t="s">
        <v>2117</v>
      </c>
      <c r="E636" s="450"/>
      <c r="F636" s="450"/>
      <c r="G636" s="450" t="s">
        <v>22877</v>
      </c>
      <c r="H636" s="450" t="s">
        <v>22878</v>
      </c>
      <c r="I636" s="450" t="s">
        <v>2117</v>
      </c>
      <c r="J636" s="450" t="s">
        <v>32781</v>
      </c>
      <c r="K636" s="450"/>
    </row>
    <row r="637" spans="1:11">
      <c r="A637" s="451" t="s">
        <v>2115</v>
      </c>
      <c r="B637" s="451" t="s">
        <v>2116</v>
      </c>
      <c r="C637" s="451" t="s">
        <v>2096</v>
      </c>
      <c r="D637" s="451" t="s">
        <v>2117</v>
      </c>
      <c r="E637" s="451" t="s">
        <v>2118</v>
      </c>
      <c r="F637" s="451"/>
      <c r="G637" s="451" t="s">
        <v>22877</v>
      </c>
      <c r="H637" s="451" t="s">
        <v>22878</v>
      </c>
      <c r="I637" s="451" t="s">
        <v>2117</v>
      </c>
      <c r="J637" s="451" t="s">
        <v>30295</v>
      </c>
      <c r="K637" s="451"/>
    </row>
    <row r="638" spans="1:11">
      <c r="A638" s="450" t="s">
        <v>21446</v>
      </c>
      <c r="B638" s="450"/>
      <c r="C638" s="450" t="s">
        <v>1081</v>
      </c>
      <c r="D638" s="450"/>
      <c r="E638" s="450"/>
      <c r="F638" s="450"/>
      <c r="G638" s="450" t="s">
        <v>22882</v>
      </c>
      <c r="H638" s="450" t="s">
        <v>22883</v>
      </c>
      <c r="I638" s="450" t="s">
        <v>32782</v>
      </c>
      <c r="J638" s="450" t="s">
        <v>23185</v>
      </c>
      <c r="K638" s="450"/>
    </row>
    <row r="639" spans="1:11">
      <c r="A639" s="451" t="s">
        <v>2119</v>
      </c>
      <c r="B639" s="451"/>
      <c r="C639" s="451" t="s">
        <v>2120</v>
      </c>
      <c r="D639" s="451"/>
      <c r="E639" s="451"/>
      <c r="F639" s="451"/>
      <c r="G639" s="451" t="s">
        <v>22882</v>
      </c>
      <c r="H639" s="451" t="s">
        <v>22883</v>
      </c>
      <c r="I639" s="451"/>
      <c r="J639" s="451" t="s">
        <v>23185</v>
      </c>
      <c r="K639" s="451"/>
    </row>
    <row r="640" spans="1:11">
      <c r="A640" s="450" t="s">
        <v>2121</v>
      </c>
      <c r="B640" s="450"/>
      <c r="C640" s="450" t="s">
        <v>2122</v>
      </c>
      <c r="D640" s="450"/>
      <c r="E640" s="450"/>
      <c r="F640" s="450"/>
      <c r="G640" s="450" t="s">
        <v>22877</v>
      </c>
      <c r="H640" s="450" t="s">
        <v>22878</v>
      </c>
      <c r="I640" s="450" t="s">
        <v>32783</v>
      </c>
      <c r="J640" s="450" t="s">
        <v>22997</v>
      </c>
      <c r="K640" s="450"/>
    </row>
    <row r="641" spans="1:11">
      <c r="A641" s="451" t="s">
        <v>2123</v>
      </c>
      <c r="B641" s="451"/>
      <c r="C641" s="451" t="s">
        <v>2124</v>
      </c>
      <c r="D641" s="451"/>
      <c r="E641" s="451"/>
      <c r="F641" s="451"/>
      <c r="G641" s="451" t="s">
        <v>22877</v>
      </c>
      <c r="H641" s="451" t="s">
        <v>22878</v>
      </c>
      <c r="I641" s="451" t="s">
        <v>23186</v>
      </c>
      <c r="J641" s="451" t="s">
        <v>23187</v>
      </c>
      <c r="K641" s="451"/>
    </row>
    <row r="642" spans="1:11">
      <c r="A642" s="450" t="s">
        <v>22423</v>
      </c>
      <c r="B642" s="450" t="s">
        <v>22424</v>
      </c>
      <c r="C642" s="450" t="s">
        <v>22425</v>
      </c>
      <c r="D642" s="450"/>
      <c r="E642" s="450"/>
      <c r="F642" s="450"/>
      <c r="G642" s="450" t="s">
        <v>22877</v>
      </c>
      <c r="H642" s="450" t="s">
        <v>22878</v>
      </c>
      <c r="I642" s="450" t="s">
        <v>23188</v>
      </c>
      <c r="J642" s="450" t="s">
        <v>23189</v>
      </c>
      <c r="K642" s="450"/>
    </row>
    <row r="643" spans="1:11">
      <c r="A643" s="451" t="s">
        <v>2125</v>
      </c>
      <c r="B643" s="451"/>
      <c r="C643" s="451" t="s">
        <v>1943</v>
      </c>
      <c r="D643" s="451"/>
      <c r="E643" s="451"/>
      <c r="F643" s="451"/>
      <c r="G643" s="451" t="s">
        <v>22882</v>
      </c>
      <c r="H643" s="451" t="s">
        <v>22883</v>
      </c>
      <c r="I643" s="451"/>
      <c r="J643" s="451" t="s">
        <v>23190</v>
      </c>
      <c r="K643" s="451"/>
    </row>
    <row r="644" spans="1:11">
      <c r="A644" s="450" t="s">
        <v>2126</v>
      </c>
      <c r="B644" s="450"/>
      <c r="C644" s="450" t="s">
        <v>2127</v>
      </c>
      <c r="D644" s="450"/>
      <c r="E644" s="450"/>
      <c r="F644" s="450"/>
      <c r="G644" s="450" t="s">
        <v>22882</v>
      </c>
      <c r="H644" s="450" t="s">
        <v>22883</v>
      </c>
      <c r="I644" s="450" t="s">
        <v>23191</v>
      </c>
      <c r="J644" s="450" t="s">
        <v>23185</v>
      </c>
      <c r="K644" s="450"/>
    </row>
    <row r="645" spans="1:11">
      <c r="A645" s="451" t="s">
        <v>2128</v>
      </c>
      <c r="B645" s="451" t="s">
        <v>2129</v>
      </c>
      <c r="C645" s="451" t="s">
        <v>2130</v>
      </c>
      <c r="D645" s="451"/>
      <c r="E645" s="451"/>
      <c r="F645" s="451"/>
      <c r="G645" s="451" t="s">
        <v>22877</v>
      </c>
      <c r="H645" s="451" t="s">
        <v>22878</v>
      </c>
      <c r="I645" s="451" t="s">
        <v>23192</v>
      </c>
      <c r="J645" s="451" t="s">
        <v>23193</v>
      </c>
      <c r="K645" s="451"/>
    </row>
    <row r="646" spans="1:11">
      <c r="A646" s="450" t="s">
        <v>2131</v>
      </c>
      <c r="B646" s="450" t="s">
        <v>2132</v>
      </c>
      <c r="C646" s="450" t="s">
        <v>2133</v>
      </c>
      <c r="D646" s="450" t="s">
        <v>2134</v>
      </c>
      <c r="E646" s="450"/>
      <c r="F646" s="450"/>
      <c r="G646" s="450" t="s">
        <v>22877</v>
      </c>
      <c r="H646" s="450" t="s">
        <v>22878</v>
      </c>
      <c r="I646" s="450" t="s">
        <v>2134</v>
      </c>
      <c r="J646" s="450" t="s">
        <v>23194</v>
      </c>
      <c r="K646" s="450"/>
    </row>
    <row r="647" spans="1:11">
      <c r="A647" s="451" t="s">
        <v>2131</v>
      </c>
      <c r="B647" s="451" t="s">
        <v>2132</v>
      </c>
      <c r="C647" s="451" t="s">
        <v>2133</v>
      </c>
      <c r="D647" s="451" t="s">
        <v>2134</v>
      </c>
      <c r="E647" s="451" t="s">
        <v>2135</v>
      </c>
      <c r="F647" s="451"/>
      <c r="G647" s="451" t="s">
        <v>22877</v>
      </c>
      <c r="H647" s="451" t="s">
        <v>22878</v>
      </c>
      <c r="I647" s="451" t="s">
        <v>2134</v>
      </c>
      <c r="J647" s="451" t="s">
        <v>23194</v>
      </c>
      <c r="K647" s="451"/>
    </row>
    <row r="648" spans="1:11">
      <c r="A648" s="450" t="s">
        <v>22426</v>
      </c>
      <c r="B648" s="450" t="s">
        <v>22427</v>
      </c>
      <c r="C648" s="450" t="s">
        <v>22428</v>
      </c>
      <c r="D648" s="450"/>
      <c r="E648" s="450"/>
      <c r="F648" s="450"/>
      <c r="G648" s="450" t="s">
        <v>22877</v>
      </c>
      <c r="H648" s="450" t="s">
        <v>22878</v>
      </c>
      <c r="I648" s="450" t="s">
        <v>23195</v>
      </c>
      <c r="J648" s="450" t="s">
        <v>23196</v>
      </c>
      <c r="K648" s="450"/>
    </row>
    <row r="649" spans="1:11">
      <c r="A649" s="451" t="s">
        <v>21447</v>
      </c>
      <c r="B649" s="451"/>
      <c r="C649" s="451" t="s">
        <v>2136</v>
      </c>
      <c r="D649" s="451"/>
      <c r="E649" s="451"/>
      <c r="F649" s="451"/>
      <c r="G649" s="451" t="s">
        <v>22882</v>
      </c>
      <c r="H649" s="451" t="s">
        <v>22883</v>
      </c>
      <c r="I649" s="451" t="s">
        <v>32784</v>
      </c>
      <c r="J649" s="451" t="s">
        <v>23185</v>
      </c>
      <c r="K649" s="451"/>
    </row>
    <row r="650" spans="1:11">
      <c r="A650" s="450" t="s">
        <v>2137</v>
      </c>
      <c r="B650" s="450"/>
      <c r="C650" s="450" t="s">
        <v>2138</v>
      </c>
      <c r="D650" s="450"/>
      <c r="E650" s="450"/>
      <c r="F650" s="450"/>
      <c r="G650" s="450" t="s">
        <v>22882</v>
      </c>
      <c r="H650" s="450" t="s">
        <v>22883</v>
      </c>
      <c r="I650" s="450" t="s">
        <v>32785</v>
      </c>
      <c r="J650" s="450" t="s">
        <v>22943</v>
      </c>
      <c r="K650" s="450"/>
    </row>
    <row r="651" spans="1:11">
      <c r="A651" s="451" t="s">
        <v>21448</v>
      </c>
      <c r="B651" s="451"/>
      <c r="C651" s="451" t="s">
        <v>2139</v>
      </c>
      <c r="D651" s="451"/>
      <c r="E651" s="451"/>
      <c r="F651" s="451"/>
      <c r="G651" s="451" t="s">
        <v>22877</v>
      </c>
      <c r="H651" s="451" t="s">
        <v>22878</v>
      </c>
      <c r="I651" s="451" t="s">
        <v>32786</v>
      </c>
      <c r="J651" s="451" t="s">
        <v>23185</v>
      </c>
      <c r="K651" s="451"/>
    </row>
    <row r="652" spans="1:11">
      <c r="A652" s="450" t="s">
        <v>2140</v>
      </c>
      <c r="B652" s="450"/>
      <c r="C652" s="450" t="s">
        <v>2141</v>
      </c>
      <c r="D652" s="450"/>
      <c r="E652" s="450"/>
      <c r="F652" s="450"/>
      <c r="G652" s="450" t="s">
        <v>22882</v>
      </c>
      <c r="H652" s="450" t="s">
        <v>22883</v>
      </c>
      <c r="I652" s="450" t="s">
        <v>32787</v>
      </c>
      <c r="J652" s="450" t="s">
        <v>22939</v>
      </c>
      <c r="K652" s="450"/>
    </row>
    <row r="653" spans="1:11">
      <c r="A653" s="451" t="s">
        <v>2142</v>
      </c>
      <c r="B653" s="451"/>
      <c r="C653" s="451" t="s">
        <v>2143</v>
      </c>
      <c r="D653" s="451"/>
      <c r="E653" s="451"/>
      <c r="F653" s="451"/>
      <c r="G653" s="451" t="s">
        <v>22877</v>
      </c>
      <c r="H653" s="451" t="s">
        <v>22878</v>
      </c>
      <c r="I653" s="451" t="s">
        <v>32788</v>
      </c>
      <c r="J653" s="451" t="s">
        <v>23185</v>
      </c>
      <c r="K653" s="451"/>
    </row>
    <row r="654" spans="1:11">
      <c r="A654" s="450" t="s">
        <v>2144</v>
      </c>
      <c r="B654" s="450"/>
      <c r="C654" s="450" t="s">
        <v>2145</v>
      </c>
      <c r="D654" s="450"/>
      <c r="E654" s="450"/>
      <c r="F654" s="450"/>
      <c r="G654" s="450" t="s">
        <v>22882</v>
      </c>
      <c r="H654" s="450" t="s">
        <v>22883</v>
      </c>
      <c r="I654" s="450" t="s">
        <v>23197</v>
      </c>
      <c r="J654" s="450" t="s">
        <v>23185</v>
      </c>
      <c r="K654" s="450"/>
    </row>
    <row r="655" spans="1:11">
      <c r="A655" s="451" t="s">
        <v>22429</v>
      </c>
      <c r="B655" s="451" t="s">
        <v>22430</v>
      </c>
      <c r="C655" s="451" t="s">
        <v>22431</v>
      </c>
      <c r="D655" s="451"/>
      <c r="E655" s="451"/>
      <c r="F655" s="451"/>
      <c r="G655" s="451" t="s">
        <v>22877</v>
      </c>
      <c r="H655" s="451" t="s">
        <v>22878</v>
      </c>
      <c r="I655" s="451" t="s">
        <v>23198</v>
      </c>
      <c r="J655" s="451" t="s">
        <v>23199</v>
      </c>
      <c r="K655" s="451"/>
    </row>
    <row r="656" spans="1:11">
      <c r="A656" s="450" t="s">
        <v>32789</v>
      </c>
      <c r="B656" s="450"/>
      <c r="C656" s="450" t="s">
        <v>2147</v>
      </c>
      <c r="D656" s="450"/>
      <c r="E656" s="450"/>
      <c r="F656" s="450"/>
      <c r="G656" s="450" t="s">
        <v>22877</v>
      </c>
      <c r="H656" s="450" t="s">
        <v>22878</v>
      </c>
      <c r="I656" s="450" t="s">
        <v>32790</v>
      </c>
      <c r="J656" s="450" t="s">
        <v>23185</v>
      </c>
      <c r="K656" s="450"/>
    </row>
    <row r="657" spans="1:11">
      <c r="A657" s="451" t="s">
        <v>2146</v>
      </c>
      <c r="B657" s="451"/>
      <c r="C657" s="451" t="s">
        <v>2147</v>
      </c>
      <c r="D657" s="451"/>
      <c r="E657" s="451"/>
      <c r="F657" s="451"/>
      <c r="G657" s="451" t="s">
        <v>22882</v>
      </c>
      <c r="H657" s="451" t="s">
        <v>22883</v>
      </c>
      <c r="I657" s="451"/>
      <c r="J657" s="451" t="s">
        <v>23185</v>
      </c>
      <c r="K657" s="451"/>
    </row>
    <row r="658" spans="1:11">
      <c r="A658" s="450" t="s">
        <v>2148</v>
      </c>
      <c r="B658" s="450"/>
      <c r="C658" s="450" t="s">
        <v>2149</v>
      </c>
      <c r="D658" s="450"/>
      <c r="E658" s="450"/>
      <c r="F658" s="450"/>
      <c r="G658" s="450" t="s">
        <v>22882</v>
      </c>
      <c r="H658" s="450" t="s">
        <v>22883</v>
      </c>
      <c r="I658" s="450"/>
      <c r="J658" s="450" t="s">
        <v>23185</v>
      </c>
      <c r="K658" s="450"/>
    </row>
    <row r="659" spans="1:11">
      <c r="A659" s="451" t="s">
        <v>21449</v>
      </c>
      <c r="B659" s="451"/>
      <c r="C659" s="451" t="s">
        <v>2150</v>
      </c>
      <c r="D659" s="451"/>
      <c r="E659" s="451"/>
      <c r="F659" s="451"/>
      <c r="G659" s="451" t="s">
        <v>22877</v>
      </c>
      <c r="H659" s="451" t="s">
        <v>22878</v>
      </c>
      <c r="I659" s="451" t="s">
        <v>23200</v>
      </c>
      <c r="J659" s="451" t="s">
        <v>23185</v>
      </c>
      <c r="K659" s="451"/>
    </row>
    <row r="660" spans="1:11">
      <c r="A660" s="450" t="s">
        <v>21346</v>
      </c>
      <c r="B660" s="450" t="s">
        <v>21343</v>
      </c>
      <c r="C660" s="450" t="s">
        <v>21344</v>
      </c>
      <c r="D660" s="450" t="s">
        <v>21345</v>
      </c>
      <c r="E660" s="450"/>
      <c r="F660" s="450"/>
      <c r="G660" s="450" t="s">
        <v>22877</v>
      </c>
      <c r="H660" s="450" t="s">
        <v>22878</v>
      </c>
      <c r="I660" s="450" t="s">
        <v>21345</v>
      </c>
      <c r="J660" s="450" t="s">
        <v>32791</v>
      </c>
      <c r="K660" s="450"/>
    </row>
    <row r="661" spans="1:11">
      <c r="A661" s="451" t="s">
        <v>22432</v>
      </c>
      <c r="B661" s="451" t="s">
        <v>21343</v>
      </c>
      <c r="C661" s="451" t="s">
        <v>22433</v>
      </c>
      <c r="D661" s="451"/>
      <c r="E661" s="451"/>
      <c r="F661" s="451"/>
      <c r="G661" s="451" t="s">
        <v>22877</v>
      </c>
      <c r="H661" s="451" t="s">
        <v>22878</v>
      </c>
      <c r="I661" s="451" t="s">
        <v>23201</v>
      </c>
      <c r="J661" s="451" t="s">
        <v>23202</v>
      </c>
      <c r="K661" s="451"/>
    </row>
    <row r="662" spans="1:11">
      <c r="A662" s="450" t="s">
        <v>32792</v>
      </c>
      <c r="B662" s="450"/>
      <c r="C662" s="450" t="s">
        <v>2152</v>
      </c>
      <c r="D662" s="450"/>
      <c r="E662" s="450"/>
      <c r="F662" s="450"/>
      <c r="G662" s="450" t="s">
        <v>22877</v>
      </c>
      <c r="H662" s="450" t="s">
        <v>22878</v>
      </c>
      <c r="I662" s="450" t="s">
        <v>32793</v>
      </c>
      <c r="J662" s="450" t="s">
        <v>22943</v>
      </c>
      <c r="K662" s="450"/>
    </row>
    <row r="663" spans="1:11">
      <c r="A663" s="451" t="s">
        <v>2151</v>
      </c>
      <c r="B663" s="451"/>
      <c r="C663" s="451" t="s">
        <v>2152</v>
      </c>
      <c r="D663" s="451"/>
      <c r="E663" s="451"/>
      <c r="F663" s="451"/>
      <c r="G663" s="451" t="s">
        <v>22877</v>
      </c>
      <c r="H663" s="451" t="s">
        <v>22878</v>
      </c>
      <c r="I663" s="451" t="s">
        <v>32794</v>
      </c>
      <c r="J663" s="451" t="s">
        <v>22997</v>
      </c>
      <c r="K663" s="451"/>
    </row>
    <row r="664" spans="1:11">
      <c r="A664" s="450" t="s">
        <v>2153</v>
      </c>
      <c r="B664" s="450"/>
      <c r="C664" s="450" t="s">
        <v>2154</v>
      </c>
      <c r="D664" s="450"/>
      <c r="E664" s="450"/>
      <c r="F664" s="450"/>
      <c r="G664" s="450" t="s">
        <v>22882</v>
      </c>
      <c r="H664" s="450" t="s">
        <v>22883</v>
      </c>
      <c r="I664" s="450"/>
      <c r="J664" s="450" t="s">
        <v>22943</v>
      </c>
      <c r="K664" s="450"/>
    </row>
    <row r="665" spans="1:11">
      <c r="A665" s="451" t="s">
        <v>2155</v>
      </c>
      <c r="B665" s="451" t="s">
        <v>2156</v>
      </c>
      <c r="C665" s="451" t="s">
        <v>2157</v>
      </c>
      <c r="D665" s="451" t="s">
        <v>2158</v>
      </c>
      <c r="E665" s="451"/>
      <c r="F665" s="451"/>
      <c r="G665" s="451" t="s">
        <v>22882</v>
      </c>
      <c r="H665" s="451" t="s">
        <v>22883</v>
      </c>
      <c r="I665" s="451" t="s">
        <v>2158</v>
      </c>
      <c r="J665" s="451" t="s">
        <v>23203</v>
      </c>
      <c r="K665" s="451"/>
    </row>
    <row r="666" spans="1:11">
      <c r="A666" s="450" t="s">
        <v>2155</v>
      </c>
      <c r="B666" s="450" t="s">
        <v>2156</v>
      </c>
      <c r="C666" s="450" t="s">
        <v>2157</v>
      </c>
      <c r="D666" s="450" t="s">
        <v>2158</v>
      </c>
      <c r="E666" s="450" t="s">
        <v>2159</v>
      </c>
      <c r="F666" s="450"/>
      <c r="G666" s="450" t="s">
        <v>22882</v>
      </c>
      <c r="H666" s="450" t="s">
        <v>22883</v>
      </c>
      <c r="I666" s="450" t="s">
        <v>2158</v>
      </c>
      <c r="J666" s="450" t="s">
        <v>23203</v>
      </c>
      <c r="K666" s="450"/>
    </row>
    <row r="667" spans="1:11">
      <c r="A667" s="451" t="s">
        <v>2160</v>
      </c>
      <c r="B667" s="451"/>
      <c r="C667" s="451" t="s">
        <v>2161</v>
      </c>
      <c r="D667" s="451"/>
      <c r="E667" s="451"/>
      <c r="F667" s="451"/>
      <c r="G667" s="451" t="s">
        <v>22877</v>
      </c>
      <c r="H667" s="451" t="s">
        <v>22878</v>
      </c>
      <c r="I667" s="451" t="s">
        <v>23204</v>
      </c>
      <c r="J667" s="451" t="s">
        <v>23185</v>
      </c>
      <c r="K667" s="451"/>
    </row>
    <row r="668" spans="1:11">
      <c r="A668" s="450" t="s">
        <v>22434</v>
      </c>
      <c r="B668" s="450"/>
      <c r="C668" s="450" t="s">
        <v>2161</v>
      </c>
      <c r="D668" s="450"/>
      <c r="E668" s="450"/>
      <c r="F668" s="450"/>
      <c r="G668" s="450" t="s">
        <v>22877</v>
      </c>
      <c r="H668" s="450" t="s">
        <v>22878</v>
      </c>
      <c r="I668" s="450" t="s">
        <v>23204</v>
      </c>
      <c r="J668" s="450" t="s">
        <v>22997</v>
      </c>
      <c r="K668" s="450"/>
    </row>
    <row r="669" spans="1:11">
      <c r="A669" s="451" t="s">
        <v>32795</v>
      </c>
      <c r="B669" s="451" t="s">
        <v>32796</v>
      </c>
      <c r="C669" s="451" t="s">
        <v>2164</v>
      </c>
      <c r="D669" s="451"/>
      <c r="E669" s="451"/>
      <c r="F669" s="451" t="s">
        <v>20109</v>
      </c>
      <c r="G669" s="451" t="s">
        <v>22882</v>
      </c>
      <c r="H669" s="451" t="s">
        <v>22883</v>
      </c>
      <c r="I669" s="451" t="s">
        <v>23205</v>
      </c>
      <c r="J669" s="451" t="s">
        <v>32797</v>
      </c>
      <c r="K669" s="451"/>
    </row>
    <row r="670" spans="1:11">
      <c r="A670" s="450" t="s">
        <v>2162</v>
      </c>
      <c r="B670" s="450" t="s">
        <v>2163</v>
      </c>
      <c r="C670" s="450" t="s">
        <v>2164</v>
      </c>
      <c r="D670" s="450"/>
      <c r="E670" s="450"/>
      <c r="F670" s="450" t="s">
        <v>20109</v>
      </c>
      <c r="G670" s="450" t="s">
        <v>22877</v>
      </c>
      <c r="H670" s="450" t="s">
        <v>22878</v>
      </c>
      <c r="I670" s="450" t="s">
        <v>23205</v>
      </c>
      <c r="J670" s="450" t="s">
        <v>30296</v>
      </c>
      <c r="K670" s="450"/>
    </row>
    <row r="671" spans="1:11">
      <c r="A671" s="451" t="s">
        <v>32798</v>
      </c>
      <c r="B671" s="451"/>
      <c r="C671" s="451" t="s">
        <v>2166</v>
      </c>
      <c r="D671" s="451"/>
      <c r="E671" s="451"/>
      <c r="F671" s="451"/>
      <c r="G671" s="451" t="s">
        <v>22877</v>
      </c>
      <c r="H671" s="451" t="s">
        <v>22878</v>
      </c>
      <c r="I671" s="451" t="s">
        <v>32799</v>
      </c>
      <c r="J671" s="451" t="s">
        <v>22943</v>
      </c>
      <c r="K671" s="451"/>
    </row>
    <row r="672" spans="1:11">
      <c r="A672" s="450" t="s">
        <v>2165</v>
      </c>
      <c r="B672" s="450"/>
      <c r="C672" s="450" t="s">
        <v>2166</v>
      </c>
      <c r="D672" s="450"/>
      <c r="E672" s="450"/>
      <c r="F672" s="450"/>
      <c r="G672" s="450" t="s">
        <v>22877</v>
      </c>
      <c r="H672" s="450" t="s">
        <v>22878</v>
      </c>
      <c r="I672" s="450" t="s">
        <v>32800</v>
      </c>
      <c r="J672" s="450" t="s">
        <v>23185</v>
      </c>
      <c r="K672" s="450"/>
    </row>
    <row r="673" spans="1:11">
      <c r="A673" s="451" t="s">
        <v>2167</v>
      </c>
      <c r="B673" s="451"/>
      <c r="C673" s="451" t="s">
        <v>2168</v>
      </c>
      <c r="D673" s="451"/>
      <c r="E673" s="451"/>
      <c r="F673" s="451"/>
      <c r="G673" s="451" t="s">
        <v>22877</v>
      </c>
      <c r="H673" s="451" t="s">
        <v>22878</v>
      </c>
      <c r="I673" s="451" t="s">
        <v>32801</v>
      </c>
      <c r="J673" s="451" t="s">
        <v>23185</v>
      </c>
      <c r="K673" s="451"/>
    </row>
    <row r="674" spans="1:11">
      <c r="A674" s="450" t="s">
        <v>2169</v>
      </c>
      <c r="B674" s="450"/>
      <c r="C674" s="450" t="s">
        <v>2170</v>
      </c>
      <c r="D674" s="450"/>
      <c r="E674" s="450"/>
      <c r="F674" s="450"/>
      <c r="G674" s="450" t="s">
        <v>22882</v>
      </c>
      <c r="H674" s="450" t="s">
        <v>22883</v>
      </c>
      <c r="I674" s="450" t="s">
        <v>32802</v>
      </c>
      <c r="J674" s="450" t="s">
        <v>22939</v>
      </c>
      <c r="K674" s="450"/>
    </row>
    <row r="675" spans="1:11">
      <c r="A675" s="451" t="s">
        <v>32803</v>
      </c>
      <c r="B675" s="451"/>
      <c r="C675" s="451" t="s">
        <v>2172</v>
      </c>
      <c r="D675" s="451"/>
      <c r="E675" s="451"/>
      <c r="F675" s="451"/>
      <c r="G675" s="451" t="s">
        <v>22877</v>
      </c>
      <c r="H675" s="451" t="s">
        <v>22878</v>
      </c>
      <c r="I675" s="451" t="s">
        <v>32804</v>
      </c>
      <c r="J675" s="451" t="s">
        <v>22943</v>
      </c>
      <c r="K675" s="451"/>
    </row>
    <row r="676" spans="1:11">
      <c r="A676" s="450" t="s">
        <v>2171</v>
      </c>
      <c r="B676" s="450"/>
      <c r="C676" s="450" t="s">
        <v>2172</v>
      </c>
      <c r="D676" s="450"/>
      <c r="E676" s="450"/>
      <c r="F676" s="450"/>
      <c r="G676" s="450" t="s">
        <v>22882</v>
      </c>
      <c r="H676" s="450" t="s">
        <v>22883</v>
      </c>
      <c r="I676" s="450"/>
      <c r="J676" s="450" t="s">
        <v>28403</v>
      </c>
      <c r="K676" s="450"/>
    </row>
    <row r="677" spans="1:11">
      <c r="A677" s="451" t="s">
        <v>2173</v>
      </c>
      <c r="B677" s="451"/>
      <c r="C677" s="451" t="s">
        <v>2174</v>
      </c>
      <c r="D677" s="451"/>
      <c r="E677" s="451"/>
      <c r="F677" s="451"/>
      <c r="G677" s="451" t="s">
        <v>22877</v>
      </c>
      <c r="H677" s="451" t="s">
        <v>22878</v>
      </c>
      <c r="I677" s="451" t="s">
        <v>32805</v>
      </c>
      <c r="J677" s="451" t="s">
        <v>23185</v>
      </c>
      <c r="K677" s="451"/>
    </row>
    <row r="678" spans="1:11">
      <c r="A678" s="450" t="s">
        <v>32806</v>
      </c>
      <c r="B678" s="450"/>
      <c r="C678" s="450" t="s">
        <v>2176</v>
      </c>
      <c r="D678" s="450"/>
      <c r="E678" s="450"/>
      <c r="F678" s="450"/>
      <c r="G678" s="450" t="s">
        <v>22882</v>
      </c>
      <c r="H678" s="450" t="s">
        <v>22883</v>
      </c>
      <c r="I678" s="450" t="s">
        <v>32807</v>
      </c>
      <c r="J678" s="450" t="s">
        <v>22943</v>
      </c>
      <c r="K678" s="450"/>
    </row>
    <row r="679" spans="1:11">
      <c r="A679" s="451" t="s">
        <v>2175</v>
      </c>
      <c r="B679" s="451"/>
      <c r="C679" s="451" t="s">
        <v>2176</v>
      </c>
      <c r="D679" s="451"/>
      <c r="E679" s="451"/>
      <c r="F679" s="451"/>
      <c r="G679" s="451" t="s">
        <v>22877</v>
      </c>
      <c r="H679" s="451" t="s">
        <v>22878</v>
      </c>
      <c r="I679" s="451" t="s">
        <v>32808</v>
      </c>
      <c r="J679" s="451" t="s">
        <v>22942</v>
      </c>
      <c r="K679" s="451"/>
    </row>
    <row r="680" spans="1:11">
      <c r="A680" s="450" t="s">
        <v>2177</v>
      </c>
      <c r="B680" s="450"/>
      <c r="C680" s="450" t="s">
        <v>2178</v>
      </c>
      <c r="D680" s="450"/>
      <c r="E680" s="450"/>
      <c r="F680" s="450"/>
      <c r="G680" s="450" t="s">
        <v>22882</v>
      </c>
      <c r="H680" s="450" t="s">
        <v>22883</v>
      </c>
      <c r="I680" s="450"/>
      <c r="J680" s="450" t="s">
        <v>22997</v>
      </c>
      <c r="K680" s="450"/>
    </row>
    <row r="681" spans="1:11">
      <c r="A681" s="451" t="s">
        <v>22435</v>
      </c>
      <c r="B681" s="451" t="s">
        <v>22436</v>
      </c>
      <c r="C681" s="451" t="s">
        <v>22437</v>
      </c>
      <c r="D681" s="451"/>
      <c r="E681" s="451"/>
      <c r="F681" s="451"/>
      <c r="G681" s="451" t="s">
        <v>22877</v>
      </c>
      <c r="H681" s="451" t="s">
        <v>22878</v>
      </c>
      <c r="I681" s="451" t="s">
        <v>23206</v>
      </c>
      <c r="J681" s="451" t="s">
        <v>23207</v>
      </c>
      <c r="K681" s="451"/>
    </row>
    <row r="682" spans="1:11">
      <c r="A682" s="450" t="s">
        <v>2179</v>
      </c>
      <c r="B682" s="450" t="s">
        <v>21450</v>
      </c>
      <c r="C682" s="450" t="s">
        <v>2180</v>
      </c>
      <c r="D682" s="450"/>
      <c r="E682" s="450"/>
      <c r="F682" s="450"/>
      <c r="G682" s="450" t="s">
        <v>22877</v>
      </c>
      <c r="H682" s="450" t="s">
        <v>22878</v>
      </c>
      <c r="I682" s="450" t="s">
        <v>23208</v>
      </c>
      <c r="J682" s="450" t="s">
        <v>30297</v>
      </c>
      <c r="K682" s="450"/>
    </row>
    <row r="683" spans="1:11">
      <c r="A683" s="451" t="s">
        <v>32809</v>
      </c>
      <c r="B683" s="451"/>
      <c r="C683" s="451" t="s">
        <v>2182</v>
      </c>
      <c r="D683" s="451"/>
      <c r="E683" s="451"/>
      <c r="F683" s="451"/>
      <c r="G683" s="451" t="s">
        <v>22882</v>
      </c>
      <c r="H683" s="451" t="s">
        <v>22883</v>
      </c>
      <c r="I683" s="451" t="s">
        <v>32810</v>
      </c>
      <c r="J683" s="451" t="s">
        <v>22997</v>
      </c>
      <c r="K683" s="451"/>
    </row>
    <row r="684" spans="1:11">
      <c r="A684" s="450" t="s">
        <v>2181</v>
      </c>
      <c r="B684" s="450"/>
      <c r="C684" s="450" t="s">
        <v>2182</v>
      </c>
      <c r="D684" s="450"/>
      <c r="E684" s="450"/>
      <c r="F684" s="450"/>
      <c r="G684" s="450" t="s">
        <v>22882</v>
      </c>
      <c r="H684" s="450" t="s">
        <v>22883</v>
      </c>
      <c r="I684" s="450"/>
      <c r="J684" s="450" t="s">
        <v>23133</v>
      </c>
      <c r="K684" s="450"/>
    </row>
    <row r="685" spans="1:11">
      <c r="A685" s="451" t="s">
        <v>2183</v>
      </c>
      <c r="B685" s="451"/>
      <c r="C685" s="451" t="s">
        <v>2184</v>
      </c>
      <c r="D685" s="451"/>
      <c r="E685" s="451"/>
      <c r="F685" s="451"/>
      <c r="G685" s="451" t="s">
        <v>22882</v>
      </c>
      <c r="H685" s="451" t="s">
        <v>22883</v>
      </c>
      <c r="I685" s="451" t="s">
        <v>32811</v>
      </c>
      <c r="J685" s="451" t="s">
        <v>22997</v>
      </c>
      <c r="K685" s="451"/>
    </row>
    <row r="686" spans="1:11">
      <c r="A686" s="450" t="s">
        <v>2185</v>
      </c>
      <c r="B686" s="450"/>
      <c r="C686" s="450" t="s">
        <v>2186</v>
      </c>
      <c r="D686" s="450"/>
      <c r="E686" s="450"/>
      <c r="F686" s="450"/>
      <c r="G686" s="450" t="s">
        <v>22877</v>
      </c>
      <c r="H686" s="450" t="s">
        <v>22878</v>
      </c>
      <c r="I686" s="450" t="s">
        <v>23209</v>
      </c>
      <c r="J686" s="450" t="s">
        <v>23185</v>
      </c>
      <c r="K686" s="450"/>
    </row>
    <row r="687" spans="1:11">
      <c r="A687" s="451" t="s">
        <v>32812</v>
      </c>
      <c r="B687" s="451" t="s">
        <v>2188</v>
      </c>
      <c r="C687" s="451" t="s">
        <v>2189</v>
      </c>
      <c r="D687" s="451" t="s">
        <v>2190</v>
      </c>
      <c r="E687" s="451"/>
      <c r="F687" s="451"/>
      <c r="G687" s="451" t="s">
        <v>22877</v>
      </c>
      <c r="H687" s="451" t="s">
        <v>22878</v>
      </c>
      <c r="I687" s="451" t="s">
        <v>2190</v>
      </c>
      <c r="J687" s="451" t="s">
        <v>32813</v>
      </c>
      <c r="K687" s="451"/>
    </row>
    <row r="688" spans="1:11">
      <c r="A688" s="450" t="s">
        <v>2187</v>
      </c>
      <c r="B688" s="450" t="s">
        <v>2188</v>
      </c>
      <c r="C688" s="450" t="s">
        <v>2189</v>
      </c>
      <c r="D688" s="450" t="s">
        <v>2190</v>
      </c>
      <c r="E688" s="450" t="s">
        <v>2191</v>
      </c>
      <c r="F688" s="450"/>
      <c r="G688" s="450" t="s">
        <v>22877</v>
      </c>
      <c r="H688" s="450" t="s">
        <v>22878</v>
      </c>
      <c r="I688" s="450" t="s">
        <v>2190</v>
      </c>
      <c r="J688" s="450" t="s">
        <v>30298</v>
      </c>
      <c r="K688" s="450"/>
    </row>
    <row r="689" spans="1:11">
      <c r="A689" s="451" t="s">
        <v>22438</v>
      </c>
      <c r="B689" s="451" t="s">
        <v>22439</v>
      </c>
      <c r="C689" s="451" t="s">
        <v>2200</v>
      </c>
      <c r="D689" s="451" t="s">
        <v>2195</v>
      </c>
      <c r="E689" s="451"/>
      <c r="F689" s="451"/>
      <c r="G689" s="451" t="s">
        <v>22877</v>
      </c>
      <c r="H689" s="451" t="s">
        <v>22878</v>
      </c>
      <c r="I689" s="451" t="s">
        <v>2195</v>
      </c>
      <c r="J689" s="451" t="s">
        <v>23210</v>
      </c>
      <c r="K689" s="451"/>
    </row>
    <row r="690" spans="1:11">
      <c r="A690" s="450" t="s">
        <v>2192</v>
      </c>
      <c r="B690" s="450" t="s">
        <v>2193</v>
      </c>
      <c r="C690" s="450" t="s">
        <v>2194</v>
      </c>
      <c r="D690" s="450" t="s">
        <v>2195</v>
      </c>
      <c r="E690" s="450" t="s">
        <v>2196</v>
      </c>
      <c r="F690" s="450" t="s">
        <v>2197</v>
      </c>
      <c r="G690" s="450" t="s">
        <v>22877</v>
      </c>
      <c r="H690" s="450" t="s">
        <v>22878</v>
      </c>
      <c r="I690" s="450" t="s">
        <v>30299</v>
      </c>
      <c r="J690" s="450" t="s">
        <v>30300</v>
      </c>
      <c r="K690" s="450"/>
    </row>
    <row r="691" spans="1:11">
      <c r="A691" s="451" t="s">
        <v>2198</v>
      </c>
      <c r="B691" s="451" t="s">
        <v>2199</v>
      </c>
      <c r="C691" s="451" t="s">
        <v>2200</v>
      </c>
      <c r="D691" s="451" t="s">
        <v>2195</v>
      </c>
      <c r="E691" s="451" t="s">
        <v>2196</v>
      </c>
      <c r="F691" s="451"/>
      <c r="G691" s="451" t="s">
        <v>22877</v>
      </c>
      <c r="H691" s="451" t="s">
        <v>22878</v>
      </c>
      <c r="I691" s="451" t="s">
        <v>2195</v>
      </c>
      <c r="J691" s="451" t="s">
        <v>22439</v>
      </c>
      <c r="K691" s="451"/>
    </row>
    <row r="692" spans="1:11">
      <c r="A692" s="450" t="s">
        <v>32814</v>
      </c>
      <c r="B692" s="450"/>
      <c r="C692" s="450" t="s">
        <v>2202</v>
      </c>
      <c r="D692" s="450"/>
      <c r="E692" s="450"/>
      <c r="F692" s="450"/>
      <c r="G692" s="450" t="s">
        <v>22882</v>
      </c>
      <c r="H692" s="450" t="s">
        <v>22883</v>
      </c>
      <c r="I692" s="450" t="s">
        <v>32815</v>
      </c>
      <c r="J692" s="450" t="s">
        <v>22943</v>
      </c>
      <c r="K692" s="450"/>
    </row>
    <row r="693" spans="1:11">
      <c r="A693" s="451" t="s">
        <v>2201</v>
      </c>
      <c r="B693" s="451"/>
      <c r="C693" s="451" t="s">
        <v>2202</v>
      </c>
      <c r="D693" s="451"/>
      <c r="E693" s="451"/>
      <c r="F693" s="451"/>
      <c r="G693" s="451" t="s">
        <v>22882</v>
      </c>
      <c r="H693" s="451" t="s">
        <v>22883</v>
      </c>
      <c r="I693" s="451" t="s">
        <v>32816</v>
      </c>
      <c r="J693" s="451" t="s">
        <v>28403</v>
      </c>
      <c r="K693" s="451"/>
    </row>
    <row r="694" spans="1:11">
      <c r="A694" s="450" t="s">
        <v>32817</v>
      </c>
      <c r="B694" s="450"/>
      <c r="C694" s="450" t="s">
        <v>2204</v>
      </c>
      <c r="D694" s="450"/>
      <c r="E694" s="450"/>
      <c r="F694" s="450"/>
      <c r="G694" s="450" t="s">
        <v>22877</v>
      </c>
      <c r="H694" s="450" t="s">
        <v>22878</v>
      </c>
      <c r="I694" s="450" t="s">
        <v>32818</v>
      </c>
      <c r="J694" s="450" t="s">
        <v>22948</v>
      </c>
      <c r="K694" s="450"/>
    </row>
    <row r="695" spans="1:11">
      <c r="A695" s="451" t="s">
        <v>2203</v>
      </c>
      <c r="B695" s="451"/>
      <c r="C695" s="451" t="s">
        <v>2204</v>
      </c>
      <c r="D695" s="451"/>
      <c r="E695" s="451"/>
      <c r="F695" s="451"/>
      <c r="G695" s="451" t="s">
        <v>22877</v>
      </c>
      <c r="H695" s="451" t="s">
        <v>22878</v>
      </c>
      <c r="I695" s="451" t="s">
        <v>32819</v>
      </c>
      <c r="J695" s="451" t="s">
        <v>22942</v>
      </c>
      <c r="K695" s="451"/>
    </row>
    <row r="696" spans="1:11">
      <c r="A696" s="450" t="s">
        <v>32820</v>
      </c>
      <c r="B696" s="450"/>
      <c r="C696" s="450" t="s">
        <v>2206</v>
      </c>
      <c r="D696" s="450"/>
      <c r="E696" s="450"/>
      <c r="F696" s="450"/>
      <c r="G696" s="450" t="s">
        <v>22882</v>
      </c>
      <c r="H696" s="450" t="s">
        <v>22883</v>
      </c>
      <c r="I696" s="450" t="s">
        <v>32821</v>
      </c>
      <c r="J696" s="450" t="s">
        <v>22942</v>
      </c>
      <c r="K696" s="450"/>
    </row>
    <row r="697" spans="1:11">
      <c r="A697" s="451" t="s">
        <v>2205</v>
      </c>
      <c r="B697" s="451"/>
      <c r="C697" s="451" t="s">
        <v>2206</v>
      </c>
      <c r="D697" s="451"/>
      <c r="E697" s="451"/>
      <c r="F697" s="451"/>
      <c r="G697" s="451" t="s">
        <v>22877</v>
      </c>
      <c r="H697" s="451" t="s">
        <v>22878</v>
      </c>
      <c r="I697" s="451" t="s">
        <v>30301</v>
      </c>
      <c r="J697" s="451" t="s">
        <v>22997</v>
      </c>
      <c r="K697" s="451"/>
    </row>
    <row r="698" spans="1:11">
      <c r="A698" s="450" t="s">
        <v>22440</v>
      </c>
      <c r="B698" s="450" t="s">
        <v>22441</v>
      </c>
      <c r="C698" s="450" t="s">
        <v>9138</v>
      </c>
      <c r="D698" s="450"/>
      <c r="E698" s="450"/>
      <c r="F698" s="450" t="s">
        <v>22442</v>
      </c>
      <c r="G698" s="450" t="s">
        <v>22877</v>
      </c>
      <c r="H698" s="450" t="s">
        <v>22878</v>
      </c>
      <c r="I698" s="450" t="s">
        <v>23211</v>
      </c>
      <c r="J698" s="450" t="s">
        <v>23212</v>
      </c>
      <c r="K698" s="450"/>
    </row>
    <row r="699" spans="1:11">
      <c r="A699" s="451" t="s">
        <v>2207</v>
      </c>
      <c r="B699" s="451"/>
      <c r="C699" s="451" t="s">
        <v>2208</v>
      </c>
      <c r="D699" s="451"/>
      <c r="E699" s="451"/>
      <c r="F699" s="451"/>
      <c r="G699" s="451" t="s">
        <v>22877</v>
      </c>
      <c r="H699" s="451" t="s">
        <v>22878</v>
      </c>
      <c r="I699" s="451" t="s">
        <v>32822</v>
      </c>
      <c r="J699" s="451" t="s">
        <v>22939</v>
      </c>
      <c r="K699" s="451"/>
    </row>
    <row r="700" spans="1:11">
      <c r="A700" s="450" t="s">
        <v>2209</v>
      </c>
      <c r="B700" s="450"/>
      <c r="C700" s="450" t="s">
        <v>2210</v>
      </c>
      <c r="D700" s="450"/>
      <c r="E700" s="450"/>
      <c r="F700" s="450"/>
      <c r="G700" s="450" t="s">
        <v>22882</v>
      </c>
      <c r="H700" s="450" t="s">
        <v>22883</v>
      </c>
      <c r="I700" s="450" t="s">
        <v>32823</v>
      </c>
      <c r="J700" s="450" t="s">
        <v>22997</v>
      </c>
      <c r="K700" s="450"/>
    </row>
    <row r="701" spans="1:11">
      <c r="A701" s="451" t="s">
        <v>2211</v>
      </c>
      <c r="B701" s="451"/>
      <c r="C701" s="451" t="s">
        <v>2212</v>
      </c>
      <c r="D701" s="451"/>
      <c r="E701" s="451"/>
      <c r="F701" s="451"/>
      <c r="G701" s="451" t="s">
        <v>22877</v>
      </c>
      <c r="H701" s="451" t="s">
        <v>22878</v>
      </c>
      <c r="I701" s="451" t="s">
        <v>23213</v>
      </c>
      <c r="J701" s="451" t="s">
        <v>22997</v>
      </c>
      <c r="K701" s="451"/>
    </row>
    <row r="702" spans="1:11">
      <c r="A702" s="450" t="s">
        <v>22443</v>
      </c>
      <c r="B702" s="450"/>
      <c r="C702" s="450" t="s">
        <v>2212</v>
      </c>
      <c r="D702" s="450"/>
      <c r="E702" s="450"/>
      <c r="F702" s="450"/>
      <c r="G702" s="450" t="s">
        <v>22877</v>
      </c>
      <c r="H702" s="450" t="s">
        <v>22878</v>
      </c>
      <c r="I702" s="450" t="s">
        <v>23213</v>
      </c>
      <c r="J702" s="450" t="s">
        <v>22942</v>
      </c>
      <c r="K702" s="450"/>
    </row>
    <row r="703" spans="1:11">
      <c r="A703" s="451" t="s">
        <v>22444</v>
      </c>
      <c r="B703" s="451" t="s">
        <v>2219</v>
      </c>
      <c r="C703" s="451" t="s">
        <v>2220</v>
      </c>
      <c r="D703" s="451" t="s">
        <v>2221</v>
      </c>
      <c r="E703" s="451"/>
      <c r="F703" s="451"/>
      <c r="G703" s="451" t="s">
        <v>22877</v>
      </c>
      <c r="H703" s="451" t="s">
        <v>22878</v>
      </c>
      <c r="I703" s="451" t="s">
        <v>2221</v>
      </c>
      <c r="J703" s="451" t="s">
        <v>23214</v>
      </c>
      <c r="K703" s="451"/>
    </row>
    <row r="704" spans="1:11">
      <c r="A704" s="450" t="s">
        <v>22445</v>
      </c>
      <c r="B704" s="450" t="s">
        <v>2214</v>
      </c>
      <c r="C704" s="450" t="s">
        <v>2215</v>
      </c>
      <c r="D704" s="450" t="s">
        <v>2216</v>
      </c>
      <c r="E704" s="450"/>
      <c r="F704" s="450"/>
      <c r="G704" s="450" t="s">
        <v>22877</v>
      </c>
      <c r="H704" s="450" t="s">
        <v>22878</v>
      </c>
      <c r="I704" s="450" t="s">
        <v>23215</v>
      </c>
      <c r="J704" s="450" t="s">
        <v>23216</v>
      </c>
      <c r="K704" s="450"/>
    </row>
    <row r="705" spans="1:11">
      <c r="A705" s="451" t="s">
        <v>29978</v>
      </c>
      <c r="B705" s="451" t="s">
        <v>29979</v>
      </c>
      <c r="C705" s="451" t="s">
        <v>29980</v>
      </c>
      <c r="D705" s="451"/>
      <c r="E705" s="451"/>
      <c r="F705" s="451"/>
      <c r="G705" s="451"/>
      <c r="H705" s="451"/>
      <c r="I705" s="451"/>
      <c r="J705" s="451"/>
      <c r="K705" s="451"/>
    </row>
    <row r="706" spans="1:11">
      <c r="A706" s="450" t="s">
        <v>2213</v>
      </c>
      <c r="B706" s="450" t="s">
        <v>2214</v>
      </c>
      <c r="C706" s="450" t="s">
        <v>2215</v>
      </c>
      <c r="D706" s="450" t="s">
        <v>2216</v>
      </c>
      <c r="E706" s="450" t="s">
        <v>2217</v>
      </c>
      <c r="F706" s="450"/>
      <c r="G706" s="450" t="s">
        <v>22877</v>
      </c>
      <c r="H706" s="450" t="s">
        <v>22878</v>
      </c>
      <c r="I706" s="450" t="s">
        <v>30302</v>
      </c>
      <c r="J706" s="450" t="s">
        <v>30303</v>
      </c>
      <c r="K706" s="450"/>
    </row>
    <row r="707" spans="1:11">
      <c r="A707" s="451" t="s">
        <v>2218</v>
      </c>
      <c r="B707" s="451" t="s">
        <v>2219</v>
      </c>
      <c r="C707" s="451" t="s">
        <v>2220</v>
      </c>
      <c r="D707" s="451" t="s">
        <v>2221</v>
      </c>
      <c r="E707" s="451" t="s">
        <v>2222</v>
      </c>
      <c r="F707" s="451"/>
      <c r="G707" s="451" t="s">
        <v>22877</v>
      </c>
      <c r="H707" s="451" t="s">
        <v>22878</v>
      </c>
      <c r="I707" s="451" t="s">
        <v>2221</v>
      </c>
      <c r="J707" s="451" t="s">
        <v>30304</v>
      </c>
      <c r="K707" s="451"/>
    </row>
    <row r="708" spans="1:11">
      <c r="A708" s="450" t="s">
        <v>32824</v>
      </c>
      <c r="B708" s="450"/>
      <c r="C708" s="450" t="s">
        <v>2224</v>
      </c>
      <c r="D708" s="450"/>
      <c r="E708" s="450"/>
      <c r="F708" s="450"/>
      <c r="G708" s="450" t="s">
        <v>22877</v>
      </c>
      <c r="H708" s="450" t="s">
        <v>22878</v>
      </c>
      <c r="I708" s="450" t="s">
        <v>32825</v>
      </c>
      <c r="J708" s="450" t="s">
        <v>22948</v>
      </c>
      <c r="K708" s="450"/>
    </row>
    <row r="709" spans="1:11">
      <c r="A709" s="451" t="s">
        <v>2223</v>
      </c>
      <c r="B709" s="451"/>
      <c r="C709" s="451" t="s">
        <v>2224</v>
      </c>
      <c r="D709" s="451"/>
      <c r="E709" s="451"/>
      <c r="F709" s="451"/>
      <c r="G709" s="451" t="s">
        <v>22877</v>
      </c>
      <c r="H709" s="451" t="s">
        <v>22878</v>
      </c>
      <c r="I709" s="451" t="s">
        <v>32825</v>
      </c>
      <c r="J709" s="451" t="s">
        <v>28871</v>
      </c>
      <c r="K709" s="451"/>
    </row>
    <row r="710" spans="1:11">
      <c r="A710" s="450" t="s">
        <v>2225</v>
      </c>
      <c r="B710" s="450"/>
      <c r="C710" s="450" t="s">
        <v>2226</v>
      </c>
      <c r="D710" s="450"/>
      <c r="E710" s="450"/>
      <c r="F710" s="450"/>
      <c r="G710" s="450" t="s">
        <v>22877</v>
      </c>
      <c r="H710" s="450" t="s">
        <v>22878</v>
      </c>
      <c r="I710" s="450" t="s">
        <v>32826</v>
      </c>
      <c r="J710" s="450" t="s">
        <v>28403</v>
      </c>
      <c r="K710" s="450"/>
    </row>
    <row r="711" spans="1:11">
      <c r="A711" s="451" t="s">
        <v>32827</v>
      </c>
      <c r="B711" s="451"/>
      <c r="C711" s="451" t="s">
        <v>32828</v>
      </c>
      <c r="D711" s="451"/>
      <c r="E711" s="451"/>
      <c r="F711" s="451"/>
      <c r="G711" s="451" t="s">
        <v>22877</v>
      </c>
      <c r="H711" s="451" t="s">
        <v>22878</v>
      </c>
      <c r="I711" s="451" t="s">
        <v>32829</v>
      </c>
      <c r="J711" s="451" t="s">
        <v>22948</v>
      </c>
      <c r="K711" s="451"/>
    </row>
    <row r="712" spans="1:11">
      <c r="A712" s="450" t="s">
        <v>2227</v>
      </c>
      <c r="B712" s="450"/>
      <c r="C712" s="450" t="s">
        <v>2228</v>
      </c>
      <c r="D712" s="450"/>
      <c r="E712" s="450"/>
      <c r="F712" s="450"/>
      <c r="G712" s="450" t="s">
        <v>22882</v>
      </c>
      <c r="H712" s="450" t="s">
        <v>22883</v>
      </c>
      <c r="I712" s="450" t="s">
        <v>23217</v>
      </c>
      <c r="J712" s="450" t="s">
        <v>23185</v>
      </c>
      <c r="K712" s="450"/>
    </row>
    <row r="713" spans="1:11" ht="15.5">
      <c r="A713" s="449" t="s">
        <v>39483</v>
      </c>
      <c r="B713" s="449" t="s">
        <v>39484</v>
      </c>
      <c r="C713" s="449" t="s">
        <v>39485</v>
      </c>
      <c r="D713" s="449"/>
      <c r="E713" s="449"/>
      <c r="F713" s="449"/>
      <c r="G713" s="449"/>
      <c r="H713" s="449"/>
      <c r="I713" s="449"/>
      <c r="J713" s="449"/>
      <c r="K713" s="449"/>
    </row>
    <row r="714" spans="1:11">
      <c r="A714" s="450" t="s">
        <v>2229</v>
      </c>
      <c r="B714" s="450" t="s">
        <v>2230</v>
      </c>
      <c r="C714" s="450" t="s">
        <v>2231</v>
      </c>
      <c r="D714" s="450"/>
      <c r="E714" s="450"/>
      <c r="F714" s="450" t="s">
        <v>2232</v>
      </c>
      <c r="G714" s="450" t="s">
        <v>22877</v>
      </c>
      <c r="H714" s="450" t="s">
        <v>22878</v>
      </c>
      <c r="I714" s="450" t="s">
        <v>23218</v>
      </c>
      <c r="J714" s="450" t="s">
        <v>32830</v>
      </c>
      <c r="K714" s="450"/>
    </row>
    <row r="715" spans="1:11">
      <c r="A715" s="451" t="s">
        <v>22446</v>
      </c>
      <c r="B715" s="451" t="s">
        <v>22447</v>
      </c>
      <c r="C715" s="451" t="s">
        <v>22448</v>
      </c>
      <c r="D715" s="451"/>
      <c r="E715" s="451"/>
      <c r="F715" s="451" t="s">
        <v>2232</v>
      </c>
      <c r="G715" s="451" t="s">
        <v>22877</v>
      </c>
      <c r="H715" s="451" t="s">
        <v>22878</v>
      </c>
      <c r="I715" s="451" t="s">
        <v>23218</v>
      </c>
      <c r="J715" s="451" t="s">
        <v>23219</v>
      </c>
      <c r="K715" s="451"/>
    </row>
    <row r="716" spans="1:11">
      <c r="A716" s="450" t="s">
        <v>2233</v>
      </c>
      <c r="B716" s="450" t="s">
        <v>2234</v>
      </c>
      <c r="C716" s="450" t="s">
        <v>2235</v>
      </c>
      <c r="D716" s="450"/>
      <c r="E716" s="450"/>
      <c r="F716" s="450"/>
      <c r="G716" s="450" t="s">
        <v>22877</v>
      </c>
      <c r="H716" s="450" t="s">
        <v>22878</v>
      </c>
      <c r="I716" s="450" t="s">
        <v>23220</v>
      </c>
      <c r="J716" s="450" t="s">
        <v>23221</v>
      </c>
      <c r="K716" s="450"/>
    </row>
    <row r="717" spans="1:11">
      <c r="A717" s="451" t="s">
        <v>32831</v>
      </c>
      <c r="B717" s="451"/>
      <c r="C717" s="451" t="s">
        <v>2237</v>
      </c>
      <c r="D717" s="451"/>
      <c r="E717" s="451"/>
      <c r="F717" s="451"/>
      <c r="G717" s="451" t="s">
        <v>22877</v>
      </c>
      <c r="H717" s="451" t="s">
        <v>22878</v>
      </c>
      <c r="I717" s="451" t="s">
        <v>32832</v>
      </c>
      <c r="J717" s="451" t="s">
        <v>23185</v>
      </c>
      <c r="K717" s="451"/>
    </row>
    <row r="718" spans="1:11">
      <c r="A718" s="450" t="s">
        <v>2236</v>
      </c>
      <c r="B718" s="450"/>
      <c r="C718" s="450" t="s">
        <v>2237</v>
      </c>
      <c r="D718" s="450"/>
      <c r="E718" s="450"/>
      <c r="F718" s="450"/>
      <c r="G718" s="450" t="s">
        <v>22877</v>
      </c>
      <c r="H718" s="450" t="s">
        <v>22878</v>
      </c>
      <c r="I718" s="450" t="s">
        <v>32833</v>
      </c>
      <c r="J718" s="450" t="s">
        <v>23185</v>
      </c>
      <c r="K718" s="450"/>
    </row>
    <row r="719" spans="1:11">
      <c r="A719" s="451" t="s">
        <v>32834</v>
      </c>
      <c r="B719" s="451"/>
      <c r="C719" s="451" t="s">
        <v>2239</v>
      </c>
      <c r="D719" s="451"/>
      <c r="E719" s="451"/>
      <c r="F719" s="451"/>
      <c r="G719" s="451" t="s">
        <v>22882</v>
      </c>
      <c r="H719" s="451" t="s">
        <v>22883</v>
      </c>
      <c r="I719" s="451"/>
      <c r="J719" s="451" t="s">
        <v>22997</v>
      </c>
      <c r="K719" s="451"/>
    </row>
    <row r="720" spans="1:11">
      <c r="A720" s="450" t="s">
        <v>2238</v>
      </c>
      <c r="B720" s="450"/>
      <c r="C720" s="450" t="s">
        <v>2239</v>
      </c>
      <c r="D720" s="450"/>
      <c r="E720" s="450"/>
      <c r="F720" s="450"/>
      <c r="G720" s="450" t="s">
        <v>22882</v>
      </c>
      <c r="H720" s="450" t="s">
        <v>22883</v>
      </c>
      <c r="I720" s="450"/>
      <c r="J720" s="450" t="s">
        <v>23185</v>
      </c>
      <c r="K720" s="450"/>
    </row>
    <row r="721" spans="1:11">
      <c r="A721" s="451" t="s">
        <v>2240</v>
      </c>
      <c r="B721" s="451"/>
      <c r="C721" s="451" t="s">
        <v>2241</v>
      </c>
      <c r="D721" s="451"/>
      <c r="E721" s="451"/>
      <c r="F721" s="451"/>
      <c r="G721" s="451" t="s">
        <v>22882</v>
      </c>
      <c r="H721" s="451" t="s">
        <v>22883</v>
      </c>
      <c r="I721" s="451"/>
      <c r="J721" s="451" t="s">
        <v>22997</v>
      </c>
      <c r="K721" s="451"/>
    </row>
    <row r="722" spans="1:11">
      <c r="A722" s="450" t="s">
        <v>22449</v>
      </c>
      <c r="B722" s="450" t="s">
        <v>19238</v>
      </c>
      <c r="C722" s="450" t="s">
        <v>19239</v>
      </c>
      <c r="D722" s="450" t="s">
        <v>19240</v>
      </c>
      <c r="E722" s="450"/>
      <c r="F722" s="450"/>
      <c r="G722" s="450" t="s">
        <v>22877</v>
      </c>
      <c r="H722" s="450" t="s">
        <v>22878</v>
      </c>
      <c r="I722" s="450" t="s">
        <v>19240</v>
      </c>
      <c r="J722" s="450" t="s">
        <v>23222</v>
      </c>
      <c r="K722" s="450"/>
    </row>
    <row r="723" spans="1:11">
      <c r="A723" s="451" t="s">
        <v>32835</v>
      </c>
      <c r="B723" s="451"/>
      <c r="C723" s="451" t="s">
        <v>2243</v>
      </c>
      <c r="D723" s="451"/>
      <c r="E723" s="451"/>
      <c r="F723" s="451"/>
      <c r="G723" s="451" t="s">
        <v>22882</v>
      </c>
      <c r="H723" s="451" t="s">
        <v>22883</v>
      </c>
      <c r="I723" s="451"/>
      <c r="J723" s="451" t="s">
        <v>22948</v>
      </c>
      <c r="K723" s="451"/>
    </row>
    <row r="724" spans="1:11">
      <c r="A724" s="450" t="s">
        <v>32836</v>
      </c>
      <c r="B724" s="450"/>
      <c r="C724" s="450" t="s">
        <v>2245</v>
      </c>
      <c r="D724" s="450"/>
      <c r="E724" s="450"/>
      <c r="F724" s="450"/>
      <c r="G724" s="450" t="s">
        <v>22877</v>
      </c>
      <c r="H724" s="450" t="s">
        <v>22878</v>
      </c>
      <c r="I724" s="450" t="s">
        <v>32837</v>
      </c>
      <c r="J724" s="450" t="s">
        <v>22943</v>
      </c>
      <c r="K724" s="450"/>
    </row>
    <row r="725" spans="1:11">
      <c r="A725" s="451" t="s">
        <v>2242</v>
      </c>
      <c r="B725" s="451"/>
      <c r="C725" s="451" t="s">
        <v>2243</v>
      </c>
      <c r="D725" s="451"/>
      <c r="E725" s="451"/>
      <c r="F725" s="451"/>
      <c r="G725" s="451" t="s">
        <v>22882</v>
      </c>
      <c r="H725" s="451" t="s">
        <v>22883</v>
      </c>
      <c r="I725" s="451"/>
      <c r="J725" s="451" t="s">
        <v>22942</v>
      </c>
      <c r="K725" s="451"/>
    </row>
    <row r="726" spans="1:11">
      <c r="A726" s="450" t="s">
        <v>2244</v>
      </c>
      <c r="B726" s="450"/>
      <c r="C726" s="450" t="s">
        <v>2245</v>
      </c>
      <c r="D726" s="450"/>
      <c r="E726" s="450"/>
      <c r="F726" s="450"/>
      <c r="G726" s="450" t="s">
        <v>22882</v>
      </c>
      <c r="H726" s="450" t="s">
        <v>22883</v>
      </c>
      <c r="I726" s="450" t="s">
        <v>32838</v>
      </c>
      <c r="J726" s="450" t="s">
        <v>22942</v>
      </c>
      <c r="K726" s="450"/>
    </row>
    <row r="727" spans="1:11">
      <c r="A727" s="451" t="s">
        <v>32839</v>
      </c>
      <c r="B727" s="451"/>
      <c r="C727" s="451" t="s">
        <v>2247</v>
      </c>
      <c r="D727" s="451"/>
      <c r="E727" s="451"/>
      <c r="F727" s="451"/>
      <c r="G727" s="451" t="s">
        <v>22877</v>
      </c>
      <c r="H727" s="451" t="s">
        <v>22878</v>
      </c>
      <c r="I727" s="451"/>
      <c r="J727" s="451" t="s">
        <v>22942</v>
      </c>
      <c r="K727" s="451"/>
    </row>
    <row r="728" spans="1:11">
      <c r="A728" s="450" t="s">
        <v>2246</v>
      </c>
      <c r="B728" s="450"/>
      <c r="C728" s="450" t="s">
        <v>2247</v>
      </c>
      <c r="D728" s="450"/>
      <c r="E728" s="450"/>
      <c r="F728" s="450"/>
      <c r="G728" s="450" t="s">
        <v>22882</v>
      </c>
      <c r="H728" s="450" t="s">
        <v>22883</v>
      </c>
      <c r="I728" s="450"/>
      <c r="J728" s="450" t="s">
        <v>23185</v>
      </c>
      <c r="K728" s="450"/>
    </row>
    <row r="729" spans="1:11">
      <c r="A729" s="451" t="s">
        <v>22450</v>
      </c>
      <c r="B729" s="451" t="s">
        <v>22451</v>
      </c>
      <c r="C729" s="451" t="s">
        <v>22452</v>
      </c>
      <c r="D729" s="451"/>
      <c r="E729" s="451"/>
      <c r="F729" s="451"/>
      <c r="G729" s="451" t="s">
        <v>22877</v>
      </c>
      <c r="H729" s="451" t="s">
        <v>22878</v>
      </c>
      <c r="I729" s="451" t="s">
        <v>23223</v>
      </c>
      <c r="J729" s="451" t="s">
        <v>23224</v>
      </c>
      <c r="K729" s="451"/>
    </row>
    <row r="730" spans="1:11">
      <c r="A730" s="450" t="s">
        <v>2248</v>
      </c>
      <c r="B730" s="450"/>
      <c r="C730" s="450" t="s">
        <v>2249</v>
      </c>
      <c r="D730" s="450"/>
      <c r="E730" s="450"/>
      <c r="F730" s="450"/>
      <c r="G730" s="450" t="s">
        <v>22877</v>
      </c>
      <c r="H730" s="450" t="s">
        <v>22878</v>
      </c>
      <c r="I730" s="450" t="s">
        <v>23225</v>
      </c>
      <c r="J730" s="450" t="s">
        <v>22997</v>
      </c>
      <c r="K730" s="450"/>
    </row>
    <row r="731" spans="1:11">
      <c r="A731" s="451" t="s">
        <v>2250</v>
      </c>
      <c r="B731" s="451" t="s">
        <v>22453</v>
      </c>
      <c r="C731" s="451" t="s">
        <v>2251</v>
      </c>
      <c r="D731" s="451"/>
      <c r="E731" s="451"/>
      <c r="F731" s="451"/>
      <c r="G731" s="451" t="s">
        <v>22877</v>
      </c>
      <c r="H731" s="451" t="s">
        <v>22878</v>
      </c>
      <c r="I731" s="451" t="s">
        <v>23223</v>
      </c>
      <c r="J731" s="451" t="s">
        <v>23226</v>
      </c>
      <c r="K731" s="451"/>
    </row>
    <row r="732" spans="1:11">
      <c r="A732" s="450" t="s">
        <v>2250</v>
      </c>
      <c r="B732" s="450"/>
      <c r="C732" s="450" t="s">
        <v>2251</v>
      </c>
      <c r="D732" s="450"/>
      <c r="E732" s="450"/>
      <c r="F732" s="450"/>
      <c r="G732" s="450" t="s">
        <v>22877</v>
      </c>
      <c r="H732" s="450" t="s">
        <v>22878</v>
      </c>
      <c r="I732" s="450" t="s">
        <v>32840</v>
      </c>
      <c r="J732" s="450" t="s">
        <v>23185</v>
      </c>
      <c r="K732" s="450"/>
    </row>
    <row r="733" spans="1:11">
      <c r="A733" s="451" t="s">
        <v>2252</v>
      </c>
      <c r="B733" s="451"/>
      <c r="C733" s="451" t="s">
        <v>2253</v>
      </c>
      <c r="D733" s="451"/>
      <c r="E733" s="451"/>
      <c r="F733" s="451"/>
      <c r="G733" s="451" t="s">
        <v>22877</v>
      </c>
      <c r="H733" s="451" t="s">
        <v>22878</v>
      </c>
      <c r="I733" s="451" t="s">
        <v>32841</v>
      </c>
      <c r="J733" s="451" t="s">
        <v>23185</v>
      </c>
      <c r="K733" s="451"/>
    </row>
    <row r="734" spans="1:11">
      <c r="A734" s="450" t="s">
        <v>2254</v>
      </c>
      <c r="B734" s="450"/>
      <c r="C734" s="450" t="s">
        <v>2255</v>
      </c>
      <c r="D734" s="450"/>
      <c r="E734" s="450"/>
      <c r="F734" s="450"/>
      <c r="G734" s="450" t="s">
        <v>22877</v>
      </c>
      <c r="H734" s="450" t="s">
        <v>22878</v>
      </c>
      <c r="I734" s="450" t="s">
        <v>23227</v>
      </c>
      <c r="J734" s="450" t="s">
        <v>23185</v>
      </c>
      <c r="K734" s="450"/>
    </row>
    <row r="735" spans="1:11">
      <c r="A735" s="451" t="s">
        <v>22454</v>
      </c>
      <c r="B735" s="451" t="s">
        <v>22455</v>
      </c>
      <c r="C735" s="451" t="s">
        <v>22456</v>
      </c>
      <c r="D735" s="451" t="s">
        <v>22457</v>
      </c>
      <c r="E735" s="451"/>
      <c r="F735" s="451" t="s">
        <v>22458</v>
      </c>
      <c r="G735" s="451" t="s">
        <v>22877</v>
      </c>
      <c r="H735" s="451" t="s">
        <v>22878</v>
      </c>
      <c r="I735" s="451" t="s">
        <v>22457</v>
      </c>
      <c r="J735" s="451" t="s">
        <v>23228</v>
      </c>
      <c r="K735" s="451"/>
    </row>
    <row r="736" spans="1:11">
      <c r="A736" s="450" t="s">
        <v>2256</v>
      </c>
      <c r="B736" s="450" t="s">
        <v>2257</v>
      </c>
      <c r="C736" s="450" t="s">
        <v>2258</v>
      </c>
      <c r="D736" s="450" t="s">
        <v>2259</v>
      </c>
      <c r="E736" s="450"/>
      <c r="F736" s="450"/>
      <c r="G736" s="450" t="s">
        <v>22877</v>
      </c>
      <c r="H736" s="450" t="s">
        <v>22878</v>
      </c>
      <c r="I736" s="450" t="s">
        <v>2259</v>
      </c>
      <c r="J736" s="450" t="s">
        <v>23229</v>
      </c>
      <c r="K736" s="450"/>
    </row>
    <row r="737" spans="1:11">
      <c r="A737" s="451" t="s">
        <v>2260</v>
      </c>
      <c r="B737" s="451"/>
      <c r="C737" s="451" t="s">
        <v>2261</v>
      </c>
      <c r="D737" s="451"/>
      <c r="E737" s="451"/>
      <c r="F737" s="451"/>
      <c r="G737" s="451" t="s">
        <v>22877</v>
      </c>
      <c r="H737" s="451" t="s">
        <v>22878</v>
      </c>
      <c r="I737" s="451" t="s">
        <v>23230</v>
      </c>
      <c r="J737" s="451" t="s">
        <v>23185</v>
      </c>
      <c r="K737" s="451"/>
    </row>
    <row r="738" spans="1:11">
      <c r="A738" s="450" t="s">
        <v>22459</v>
      </c>
      <c r="B738" s="450" t="s">
        <v>22460</v>
      </c>
      <c r="C738" s="450" t="s">
        <v>2264</v>
      </c>
      <c r="D738" s="450" t="s">
        <v>2265</v>
      </c>
      <c r="E738" s="450"/>
      <c r="F738" s="450"/>
      <c r="G738" s="450" t="s">
        <v>22877</v>
      </c>
      <c r="H738" s="450" t="s">
        <v>22878</v>
      </c>
      <c r="I738" s="450" t="s">
        <v>23231</v>
      </c>
      <c r="J738" s="450" t="s">
        <v>23232</v>
      </c>
      <c r="K738" s="450"/>
    </row>
    <row r="739" spans="1:11">
      <c r="A739" s="451" t="s">
        <v>2262</v>
      </c>
      <c r="B739" s="451" t="s">
        <v>2263</v>
      </c>
      <c r="C739" s="451" t="s">
        <v>2264</v>
      </c>
      <c r="D739" s="451" t="s">
        <v>2265</v>
      </c>
      <c r="E739" s="451"/>
      <c r="F739" s="451"/>
      <c r="G739" s="451" t="s">
        <v>22877</v>
      </c>
      <c r="H739" s="451" t="s">
        <v>22878</v>
      </c>
      <c r="I739" s="451" t="s">
        <v>30305</v>
      </c>
      <c r="J739" s="451" t="s">
        <v>30306</v>
      </c>
      <c r="K739" s="451"/>
    </row>
    <row r="740" spans="1:11">
      <c r="A740" s="450" t="s">
        <v>2266</v>
      </c>
      <c r="B740" s="450"/>
      <c r="C740" s="450" t="s">
        <v>2267</v>
      </c>
      <c r="D740" s="450"/>
      <c r="E740" s="450"/>
      <c r="F740" s="450"/>
      <c r="G740" s="450" t="s">
        <v>22882</v>
      </c>
      <c r="H740" s="450" t="s">
        <v>22883</v>
      </c>
      <c r="I740" s="450"/>
      <c r="J740" s="450" t="s">
        <v>23185</v>
      </c>
      <c r="K740" s="450"/>
    </row>
    <row r="741" spans="1:11">
      <c r="A741" s="451" t="s">
        <v>2268</v>
      </c>
      <c r="B741" s="451"/>
      <c r="C741" s="451" t="s">
        <v>2269</v>
      </c>
      <c r="D741" s="451" t="s">
        <v>2270</v>
      </c>
      <c r="E741" s="451"/>
      <c r="F741" s="451"/>
      <c r="G741" s="451" t="s">
        <v>22877</v>
      </c>
      <c r="H741" s="451" t="s">
        <v>22878</v>
      </c>
      <c r="I741" s="451" t="s">
        <v>32842</v>
      </c>
      <c r="J741" s="451" t="s">
        <v>23233</v>
      </c>
      <c r="K741" s="451"/>
    </row>
    <row r="742" spans="1:11">
      <c r="A742" s="450" t="s">
        <v>2268</v>
      </c>
      <c r="B742" s="450"/>
      <c r="C742" s="450" t="s">
        <v>2269</v>
      </c>
      <c r="D742" s="450" t="s">
        <v>2270</v>
      </c>
      <c r="E742" s="450" t="s">
        <v>2271</v>
      </c>
      <c r="F742" s="450"/>
      <c r="G742" s="450" t="s">
        <v>22877</v>
      </c>
      <c r="H742" s="450" t="s">
        <v>22878</v>
      </c>
      <c r="I742" s="450" t="s">
        <v>30307</v>
      </c>
      <c r="J742" s="450" t="s">
        <v>23233</v>
      </c>
      <c r="K742" s="450"/>
    </row>
    <row r="743" spans="1:11">
      <c r="A743" s="451" t="s">
        <v>22461</v>
      </c>
      <c r="B743" s="451" t="s">
        <v>22462</v>
      </c>
      <c r="C743" s="451" t="s">
        <v>22463</v>
      </c>
      <c r="D743" s="451"/>
      <c r="E743" s="451"/>
      <c r="F743" s="451"/>
      <c r="G743" s="451" t="s">
        <v>22877</v>
      </c>
      <c r="H743" s="451" t="s">
        <v>22878</v>
      </c>
      <c r="I743" s="451" t="s">
        <v>23234</v>
      </c>
      <c r="J743" s="451" t="s">
        <v>23235</v>
      </c>
      <c r="K743" s="451"/>
    </row>
    <row r="744" spans="1:11">
      <c r="A744" s="450" t="s">
        <v>32843</v>
      </c>
      <c r="B744" s="450" t="s">
        <v>2273</v>
      </c>
      <c r="C744" s="450" t="s">
        <v>2274</v>
      </c>
      <c r="D744" s="450" t="s">
        <v>2275</v>
      </c>
      <c r="E744" s="450"/>
      <c r="F744" s="450"/>
      <c r="G744" s="450" t="s">
        <v>22877</v>
      </c>
      <c r="H744" s="450" t="s">
        <v>22878</v>
      </c>
      <c r="I744" s="450" t="s">
        <v>2275</v>
      </c>
      <c r="J744" s="450" t="s">
        <v>32844</v>
      </c>
      <c r="K744" s="450"/>
    </row>
    <row r="745" spans="1:11">
      <c r="A745" s="451" t="s">
        <v>2272</v>
      </c>
      <c r="B745" s="451" t="s">
        <v>2273</v>
      </c>
      <c r="C745" s="451" t="s">
        <v>2274</v>
      </c>
      <c r="D745" s="451" t="s">
        <v>2275</v>
      </c>
      <c r="E745" s="451"/>
      <c r="F745" s="451"/>
      <c r="G745" s="451" t="s">
        <v>22877</v>
      </c>
      <c r="H745" s="451" t="s">
        <v>22878</v>
      </c>
      <c r="I745" s="451" t="s">
        <v>2275</v>
      </c>
      <c r="J745" s="451" t="s">
        <v>30308</v>
      </c>
      <c r="K745" s="451"/>
    </row>
    <row r="746" spans="1:11">
      <c r="A746" s="450" t="s">
        <v>2276</v>
      </c>
      <c r="B746" s="450" t="s">
        <v>32845</v>
      </c>
      <c r="C746" s="450" t="s">
        <v>2278</v>
      </c>
      <c r="D746" s="450" t="s">
        <v>2279</v>
      </c>
      <c r="E746" s="450"/>
      <c r="F746" s="450"/>
      <c r="G746" s="450" t="s">
        <v>22882</v>
      </c>
      <c r="H746" s="450" t="s">
        <v>22883</v>
      </c>
      <c r="I746" s="450" t="s">
        <v>2279</v>
      </c>
      <c r="J746" s="450" t="s">
        <v>32846</v>
      </c>
      <c r="K746" s="450"/>
    </row>
    <row r="747" spans="1:11">
      <c r="A747" s="451" t="s">
        <v>2276</v>
      </c>
      <c r="B747" s="451" t="s">
        <v>2277</v>
      </c>
      <c r="C747" s="451" t="s">
        <v>2278</v>
      </c>
      <c r="D747" s="451" t="s">
        <v>2279</v>
      </c>
      <c r="E747" s="451" t="s">
        <v>2280</v>
      </c>
      <c r="F747" s="451"/>
      <c r="G747" s="451" t="s">
        <v>22882</v>
      </c>
      <c r="H747" s="451" t="s">
        <v>22883</v>
      </c>
      <c r="I747" s="451" t="s">
        <v>2279</v>
      </c>
      <c r="J747" s="451" t="s">
        <v>30309</v>
      </c>
      <c r="K747" s="451"/>
    </row>
    <row r="748" spans="1:11">
      <c r="A748" s="450" t="s">
        <v>32847</v>
      </c>
      <c r="B748" s="450" t="s">
        <v>32848</v>
      </c>
      <c r="C748" s="450" t="s">
        <v>2168</v>
      </c>
      <c r="D748" s="450" t="s">
        <v>2282</v>
      </c>
      <c r="E748" s="450"/>
      <c r="F748" s="450"/>
      <c r="G748" s="450" t="s">
        <v>22877</v>
      </c>
      <c r="H748" s="450" t="s">
        <v>22878</v>
      </c>
      <c r="I748" s="450" t="s">
        <v>2282</v>
      </c>
      <c r="J748" s="450" t="s">
        <v>32849</v>
      </c>
      <c r="K748" s="450"/>
    </row>
    <row r="749" spans="1:11">
      <c r="A749" s="451" t="s">
        <v>2281</v>
      </c>
      <c r="B749" s="451" t="s">
        <v>21451</v>
      </c>
      <c r="C749" s="451" t="s">
        <v>2168</v>
      </c>
      <c r="D749" s="451" t="s">
        <v>2282</v>
      </c>
      <c r="E749" s="451" t="s">
        <v>2283</v>
      </c>
      <c r="F749" s="451"/>
      <c r="G749" s="451" t="s">
        <v>22877</v>
      </c>
      <c r="H749" s="451" t="s">
        <v>22878</v>
      </c>
      <c r="I749" s="451" t="s">
        <v>2282</v>
      </c>
      <c r="J749" s="451" t="s">
        <v>30310</v>
      </c>
      <c r="K749" s="451"/>
    </row>
    <row r="750" spans="1:11">
      <c r="A750" s="450" t="s">
        <v>21223</v>
      </c>
      <c r="B750" s="450" t="s">
        <v>21221</v>
      </c>
      <c r="C750" s="450" t="s">
        <v>21222</v>
      </c>
      <c r="D750" s="450" t="s">
        <v>21224</v>
      </c>
      <c r="E750" s="450"/>
      <c r="F750" s="450"/>
      <c r="G750" s="450" t="s">
        <v>22877</v>
      </c>
      <c r="H750" s="450" t="s">
        <v>22878</v>
      </c>
      <c r="I750" s="450" t="s">
        <v>30311</v>
      </c>
      <c r="J750" s="450" t="s">
        <v>30312</v>
      </c>
      <c r="K750" s="450"/>
    </row>
    <row r="751" spans="1:11">
      <c r="A751" s="451" t="s">
        <v>2284</v>
      </c>
      <c r="B751" s="451"/>
      <c r="C751" s="451" t="s">
        <v>2285</v>
      </c>
      <c r="D751" s="451"/>
      <c r="E751" s="451"/>
      <c r="F751" s="451"/>
      <c r="G751" s="451" t="s">
        <v>22882</v>
      </c>
      <c r="H751" s="451" t="s">
        <v>22883</v>
      </c>
      <c r="I751" s="451" t="s">
        <v>23236</v>
      </c>
      <c r="J751" s="451" t="s">
        <v>22997</v>
      </c>
      <c r="K751" s="451"/>
    </row>
    <row r="752" spans="1:11">
      <c r="A752" s="450" t="s">
        <v>22464</v>
      </c>
      <c r="B752" s="450" t="s">
        <v>22465</v>
      </c>
      <c r="C752" s="450" t="s">
        <v>22466</v>
      </c>
      <c r="D752" s="450"/>
      <c r="E752" s="450"/>
      <c r="F752" s="450"/>
      <c r="G752" s="450" t="s">
        <v>22877</v>
      </c>
      <c r="H752" s="450" t="s">
        <v>22878</v>
      </c>
      <c r="I752" s="450" t="s">
        <v>23237</v>
      </c>
      <c r="J752" s="450" t="s">
        <v>23238</v>
      </c>
      <c r="K752" s="450"/>
    </row>
    <row r="753" spans="1:11">
      <c r="A753" s="451" t="s">
        <v>2286</v>
      </c>
      <c r="B753" s="451"/>
      <c r="C753" s="451" t="s">
        <v>2287</v>
      </c>
      <c r="D753" s="451"/>
      <c r="E753" s="451"/>
      <c r="F753" s="451"/>
      <c r="G753" s="451" t="s">
        <v>22877</v>
      </c>
      <c r="H753" s="451" t="s">
        <v>22878</v>
      </c>
      <c r="I753" s="451" t="s">
        <v>32850</v>
      </c>
      <c r="J753" s="451" t="s">
        <v>23121</v>
      </c>
      <c r="K753" s="451"/>
    </row>
    <row r="754" spans="1:11">
      <c r="A754" s="450" t="s">
        <v>2288</v>
      </c>
      <c r="B754" s="450"/>
      <c r="C754" s="450" t="s">
        <v>2289</v>
      </c>
      <c r="D754" s="450"/>
      <c r="E754" s="450"/>
      <c r="F754" s="450"/>
      <c r="G754" s="450" t="s">
        <v>22882</v>
      </c>
      <c r="H754" s="450" t="s">
        <v>22883</v>
      </c>
      <c r="I754" s="450"/>
      <c r="J754" s="450" t="s">
        <v>22997</v>
      </c>
      <c r="K754" s="450"/>
    </row>
    <row r="755" spans="1:11">
      <c r="A755" s="451" t="s">
        <v>22467</v>
      </c>
      <c r="B755" s="451" t="s">
        <v>22468</v>
      </c>
      <c r="C755" s="451" t="s">
        <v>22469</v>
      </c>
      <c r="D755" s="451"/>
      <c r="E755" s="451"/>
      <c r="F755" s="451"/>
      <c r="G755" s="451" t="s">
        <v>22877</v>
      </c>
      <c r="H755" s="451" t="s">
        <v>22878</v>
      </c>
      <c r="I755" s="451" t="s">
        <v>23239</v>
      </c>
      <c r="J755" s="451" t="s">
        <v>23240</v>
      </c>
      <c r="K755" s="451"/>
    </row>
    <row r="756" spans="1:11">
      <c r="A756" s="450" t="s">
        <v>2290</v>
      </c>
      <c r="B756" s="450"/>
      <c r="C756" s="450" t="s">
        <v>2291</v>
      </c>
      <c r="D756" s="450"/>
      <c r="E756" s="450"/>
      <c r="F756" s="450"/>
      <c r="G756" s="450" t="s">
        <v>22877</v>
      </c>
      <c r="H756" s="450" t="s">
        <v>22878</v>
      </c>
      <c r="I756" s="450" t="s">
        <v>32851</v>
      </c>
      <c r="J756" s="450" t="s">
        <v>23185</v>
      </c>
      <c r="K756" s="450"/>
    </row>
    <row r="757" spans="1:11">
      <c r="A757" s="451" t="s">
        <v>32852</v>
      </c>
      <c r="B757" s="451"/>
      <c r="C757" s="451" t="s">
        <v>2291</v>
      </c>
      <c r="D757" s="451"/>
      <c r="E757" s="451"/>
      <c r="F757" s="451"/>
      <c r="G757" s="451" t="s">
        <v>22877</v>
      </c>
      <c r="H757" s="451" t="s">
        <v>22878</v>
      </c>
      <c r="I757" s="451" t="s">
        <v>32851</v>
      </c>
      <c r="J757" s="451" t="s">
        <v>22997</v>
      </c>
      <c r="K757" s="451"/>
    </row>
    <row r="758" spans="1:11">
      <c r="A758" s="450" t="s">
        <v>2292</v>
      </c>
      <c r="B758" s="450"/>
      <c r="C758" s="450" t="s">
        <v>2293</v>
      </c>
      <c r="D758" s="450"/>
      <c r="E758" s="450"/>
      <c r="F758" s="450"/>
      <c r="G758" s="450" t="s">
        <v>22882</v>
      </c>
      <c r="H758" s="450" t="s">
        <v>22883</v>
      </c>
      <c r="I758" s="450"/>
      <c r="J758" s="450" t="s">
        <v>22942</v>
      </c>
      <c r="K758" s="450"/>
    </row>
    <row r="759" spans="1:11">
      <c r="A759" s="451" t="s">
        <v>2294</v>
      </c>
      <c r="B759" s="451"/>
      <c r="C759" s="451" t="s">
        <v>2295</v>
      </c>
      <c r="D759" s="451"/>
      <c r="E759" s="451"/>
      <c r="F759" s="451"/>
      <c r="G759" s="451" t="s">
        <v>22882</v>
      </c>
      <c r="H759" s="451" t="s">
        <v>22883</v>
      </c>
      <c r="I759" s="451" t="s">
        <v>23241</v>
      </c>
      <c r="J759" s="451" t="s">
        <v>22997</v>
      </c>
      <c r="K759" s="451"/>
    </row>
    <row r="760" spans="1:11">
      <c r="A760" s="450" t="s">
        <v>22470</v>
      </c>
      <c r="B760" s="450" t="s">
        <v>22471</v>
      </c>
      <c r="C760" s="450" t="s">
        <v>2298</v>
      </c>
      <c r="D760" s="450" t="s">
        <v>2299</v>
      </c>
      <c r="E760" s="450"/>
      <c r="F760" s="450"/>
      <c r="G760" s="450" t="s">
        <v>22877</v>
      </c>
      <c r="H760" s="450" t="s">
        <v>22878</v>
      </c>
      <c r="I760" s="450" t="s">
        <v>23242</v>
      </c>
      <c r="J760" s="450" t="s">
        <v>23243</v>
      </c>
      <c r="K760" s="450"/>
    </row>
    <row r="761" spans="1:11">
      <c r="A761" s="451" t="s">
        <v>2296</v>
      </c>
      <c r="B761" s="451" t="s">
        <v>2297</v>
      </c>
      <c r="C761" s="451" t="s">
        <v>2298</v>
      </c>
      <c r="D761" s="451" t="s">
        <v>2299</v>
      </c>
      <c r="E761" s="451" t="s">
        <v>2300</v>
      </c>
      <c r="F761" s="451"/>
      <c r="G761" s="451" t="s">
        <v>22877</v>
      </c>
      <c r="H761" s="451" t="s">
        <v>22878</v>
      </c>
      <c r="I761" s="451" t="s">
        <v>2299</v>
      </c>
      <c r="J761" s="451" t="s">
        <v>30313</v>
      </c>
      <c r="K761" s="451"/>
    </row>
    <row r="762" spans="1:11">
      <c r="A762" s="450" t="s">
        <v>32853</v>
      </c>
      <c r="B762" s="450"/>
      <c r="C762" s="450" t="s">
        <v>2302</v>
      </c>
      <c r="D762" s="450"/>
      <c r="E762" s="450"/>
      <c r="F762" s="450"/>
      <c r="G762" s="450" t="s">
        <v>22882</v>
      </c>
      <c r="H762" s="450" t="s">
        <v>22883</v>
      </c>
      <c r="I762" s="450"/>
      <c r="J762" s="450" t="s">
        <v>22997</v>
      </c>
      <c r="K762" s="450"/>
    </row>
    <row r="763" spans="1:11">
      <c r="A763" s="451" t="s">
        <v>2301</v>
      </c>
      <c r="B763" s="451"/>
      <c r="C763" s="451" t="s">
        <v>2302</v>
      </c>
      <c r="D763" s="451"/>
      <c r="E763" s="451"/>
      <c r="F763" s="451"/>
      <c r="G763" s="451" t="s">
        <v>22882</v>
      </c>
      <c r="H763" s="451" t="s">
        <v>22883</v>
      </c>
      <c r="I763" s="451"/>
      <c r="J763" s="451" t="s">
        <v>23185</v>
      </c>
      <c r="K763" s="451"/>
    </row>
    <row r="764" spans="1:11">
      <c r="A764" s="450" t="s">
        <v>2303</v>
      </c>
      <c r="B764" s="450"/>
      <c r="C764" s="450" t="s">
        <v>2304</v>
      </c>
      <c r="D764" s="450"/>
      <c r="E764" s="450"/>
      <c r="F764" s="450"/>
      <c r="G764" s="450" t="s">
        <v>22877</v>
      </c>
      <c r="H764" s="450" t="s">
        <v>22878</v>
      </c>
      <c r="I764" s="450" t="s">
        <v>23244</v>
      </c>
      <c r="J764" s="450" t="s">
        <v>23185</v>
      </c>
      <c r="K764" s="450"/>
    </row>
    <row r="765" spans="1:11">
      <c r="A765" s="451" t="s">
        <v>2305</v>
      </c>
      <c r="B765" s="451" t="s">
        <v>2306</v>
      </c>
      <c r="C765" s="451" t="s">
        <v>2307</v>
      </c>
      <c r="D765" s="451" t="s">
        <v>2308</v>
      </c>
      <c r="E765" s="451"/>
      <c r="F765" s="451"/>
      <c r="G765" s="451" t="s">
        <v>22877</v>
      </c>
      <c r="H765" s="451" t="s">
        <v>22878</v>
      </c>
      <c r="I765" s="451" t="s">
        <v>2308</v>
      </c>
      <c r="J765" s="451" t="s">
        <v>32854</v>
      </c>
      <c r="K765" s="451"/>
    </row>
    <row r="766" spans="1:11">
      <c r="A766" s="450" t="s">
        <v>2305</v>
      </c>
      <c r="B766" s="450" t="s">
        <v>2306</v>
      </c>
      <c r="C766" s="450" t="s">
        <v>2307</v>
      </c>
      <c r="D766" s="450" t="s">
        <v>2308</v>
      </c>
      <c r="E766" s="450" t="s">
        <v>2309</v>
      </c>
      <c r="F766" s="450"/>
      <c r="G766" s="450" t="s">
        <v>22877</v>
      </c>
      <c r="H766" s="450" t="s">
        <v>22878</v>
      </c>
      <c r="I766" s="450" t="s">
        <v>2308</v>
      </c>
      <c r="J766" s="450" t="s">
        <v>30314</v>
      </c>
      <c r="K766" s="450"/>
    </row>
    <row r="767" spans="1:11">
      <c r="A767" s="451" t="s">
        <v>2310</v>
      </c>
      <c r="B767" s="451"/>
      <c r="C767" s="451" t="s">
        <v>2311</v>
      </c>
      <c r="D767" s="451"/>
      <c r="E767" s="451"/>
      <c r="F767" s="451"/>
      <c r="G767" s="451" t="s">
        <v>22877</v>
      </c>
      <c r="H767" s="451" t="s">
        <v>22878</v>
      </c>
      <c r="I767" s="451" t="s">
        <v>32855</v>
      </c>
      <c r="J767" s="451" t="s">
        <v>23185</v>
      </c>
      <c r="K767" s="451"/>
    </row>
    <row r="768" spans="1:11">
      <c r="A768" s="450" t="s">
        <v>2312</v>
      </c>
      <c r="B768" s="450"/>
      <c r="C768" s="450" t="s">
        <v>2313</v>
      </c>
      <c r="D768" s="450"/>
      <c r="E768" s="450"/>
      <c r="F768" s="450"/>
      <c r="G768" s="450" t="s">
        <v>22877</v>
      </c>
      <c r="H768" s="450" t="s">
        <v>22878</v>
      </c>
      <c r="I768" s="450" t="s">
        <v>23245</v>
      </c>
      <c r="J768" s="450" t="s">
        <v>23185</v>
      </c>
      <c r="K768" s="450"/>
    </row>
    <row r="769" spans="1:11">
      <c r="A769" s="451" t="s">
        <v>2312</v>
      </c>
      <c r="B769" s="451"/>
      <c r="C769" s="451" t="s">
        <v>2313</v>
      </c>
      <c r="D769" s="451"/>
      <c r="E769" s="451" t="s">
        <v>2314</v>
      </c>
      <c r="F769" s="451"/>
      <c r="G769" s="451" t="s">
        <v>22877</v>
      </c>
      <c r="H769" s="451" t="s">
        <v>22878</v>
      </c>
      <c r="I769" s="451" t="s">
        <v>23245</v>
      </c>
      <c r="J769" s="451" t="s">
        <v>23185</v>
      </c>
      <c r="K769" s="451"/>
    </row>
    <row r="770" spans="1:11">
      <c r="A770" s="450" t="s">
        <v>22044</v>
      </c>
      <c r="B770" s="450" t="s">
        <v>22472</v>
      </c>
      <c r="C770" s="450" t="s">
        <v>22473</v>
      </c>
      <c r="D770" s="450"/>
      <c r="E770" s="450"/>
      <c r="F770" s="450"/>
      <c r="G770" s="450" t="s">
        <v>22877</v>
      </c>
      <c r="H770" s="450" t="s">
        <v>22878</v>
      </c>
      <c r="I770" s="450" t="s">
        <v>23246</v>
      </c>
      <c r="J770" s="450" t="s">
        <v>23247</v>
      </c>
      <c r="K770" s="450"/>
    </row>
    <row r="771" spans="1:11">
      <c r="A771" s="451" t="s">
        <v>22044</v>
      </c>
      <c r="B771" s="451" t="s">
        <v>22045</v>
      </c>
      <c r="C771" s="451" t="s">
        <v>22046</v>
      </c>
      <c r="D771" s="451" t="s">
        <v>22047</v>
      </c>
      <c r="E771" s="451"/>
      <c r="F771" s="451"/>
      <c r="G771" s="451" t="s">
        <v>22877</v>
      </c>
      <c r="H771" s="451" t="s">
        <v>22878</v>
      </c>
      <c r="I771" s="451" t="s">
        <v>23248</v>
      </c>
      <c r="J771" s="451" t="s">
        <v>32856</v>
      </c>
      <c r="K771" s="451"/>
    </row>
    <row r="772" spans="1:11">
      <c r="A772" s="450" t="s">
        <v>22474</v>
      </c>
      <c r="B772" s="450" t="s">
        <v>22475</v>
      </c>
      <c r="C772" s="450" t="s">
        <v>22476</v>
      </c>
      <c r="D772" s="450"/>
      <c r="E772" s="450"/>
      <c r="F772" s="450"/>
      <c r="G772" s="450" t="s">
        <v>22877</v>
      </c>
      <c r="H772" s="450" t="s">
        <v>22878</v>
      </c>
      <c r="I772" s="450" t="s">
        <v>23248</v>
      </c>
      <c r="J772" s="450" t="s">
        <v>23249</v>
      </c>
      <c r="K772" s="450"/>
    </row>
    <row r="773" spans="1:11">
      <c r="A773" s="451" t="s">
        <v>32857</v>
      </c>
      <c r="B773" s="451" t="s">
        <v>32858</v>
      </c>
      <c r="C773" s="451" t="s">
        <v>9138</v>
      </c>
      <c r="D773" s="451" t="s">
        <v>22477</v>
      </c>
      <c r="E773" s="451"/>
      <c r="F773" s="451"/>
      <c r="G773" s="451" t="s">
        <v>22877</v>
      </c>
      <c r="H773" s="451" t="s">
        <v>22878</v>
      </c>
      <c r="I773" s="451" t="s">
        <v>32859</v>
      </c>
      <c r="J773" s="451" t="s">
        <v>32860</v>
      </c>
      <c r="K773" s="451"/>
    </row>
    <row r="774" spans="1:11">
      <c r="A774" s="450" t="s">
        <v>21267</v>
      </c>
      <c r="B774" s="450" t="s">
        <v>21268</v>
      </c>
      <c r="C774" s="450" t="s">
        <v>9138</v>
      </c>
      <c r="D774" s="450" t="s">
        <v>21269</v>
      </c>
      <c r="E774" s="450"/>
      <c r="F774" s="450"/>
      <c r="G774" s="450" t="s">
        <v>22877</v>
      </c>
      <c r="H774" s="450" t="s">
        <v>22878</v>
      </c>
      <c r="I774" s="450" t="s">
        <v>22477</v>
      </c>
      <c r="J774" s="450" t="s">
        <v>30315</v>
      </c>
      <c r="K774" s="450"/>
    </row>
    <row r="775" spans="1:11">
      <c r="A775" s="451" t="s">
        <v>20423</v>
      </c>
      <c r="B775" s="451" t="s">
        <v>32861</v>
      </c>
      <c r="C775" s="451" t="s">
        <v>1108</v>
      </c>
      <c r="D775" s="451" t="s">
        <v>2320</v>
      </c>
      <c r="E775" s="451"/>
      <c r="F775" s="451"/>
      <c r="G775" s="451" t="s">
        <v>22877</v>
      </c>
      <c r="H775" s="451" t="s">
        <v>22878</v>
      </c>
      <c r="I775" s="451" t="s">
        <v>2320</v>
      </c>
      <c r="J775" s="451" t="s">
        <v>32862</v>
      </c>
      <c r="K775" s="451"/>
    </row>
    <row r="776" spans="1:11">
      <c r="A776" s="450" t="s">
        <v>20423</v>
      </c>
      <c r="B776" s="450" t="s">
        <v>2319</v>
      </c>
      <c r="C776" s="450" t="s">
        <v>1108</v>
      </c>
      <c r="D776" s="450" t="s">
        <v>2320</v>
      </c>
      <c r="E776" s="450" t="s">
        <v>2321</v>
      </c>
      <c r="F776" s="450"/>
      <c r="G776" s="450" t="s">
        <v>22877</v>
      </c>
      <c r="H776" s="450" t="s">
        <v>22878</v>
      </c>
      <c r="I776" s="450" t="s">
        <v>2320</v>
      </c>
      <c r="J776" s="450" t="s">
        <v>30316</v>
      </c>
      <c r="K776" s="450"/>
    </row>
    <row r="777" spans="1:11">
      <c r="A777" s="451" t="s">
        <v>20442</v>
      </c>
      <c r="B777" s="451" t="s">
        <v>20443</v>
      </c>
      <c r="C777" s="451" t="s">
        <v>20444</v>
      </c>
      <c r="D777" s="451" t="s">
        <v>20445</v>
      </c>
      <c r="E777" s="451"/>
      <c r="F777" s="451"/>
      <c r="G777" s="451" t="s">
        <v>22877</v>
      </c>
      <c r="H777" s="451" t="s">
        <v>22878</v>
      </c>
      <c r="I777" s="451" t="s">
        <v>20445</v>
      </c>
      <c r="J777" s="451" t="s">
        <v>23250</v>
      </c>
      <c r="K777" s="451"/>
    </row>
    <row r="778" spans="1:11">
      <c r="A778" s="450" t="s">
        <v>22478</v>
      </c>
      <c r="B778" s="450" t="s">
        <v>22479</v>
      </c>
      <c r="C778" s="450" t="s">
        <v>22480</v>
      </c>
      <c r="D778" s="450" t="s">
        <v>22481</v>
      </c>
      <c r="E778" s="450"/>
      <c r="F778" s="450"/>
      <c r="G778" s="450" t="s">
        <v>22877</v>
      </c>
      <c r="H778" s="450" t="s">
        <v>22878</v>
      </c>
      <c r="I778" s="450" t="s">
        <v>22481</v>
      </c>
      <c r="J778" s="450" t="s">
        <v>23251</v>
      </c>
      <c r="K778" s="450"/>
    </row>
    <row r="779" spans="1:11">
      <c r="A779" s="451" t="s">
        <v>22116</v>
      </c>
      <c r="B779" s="451" t="s">
        <v>22482</v>
      </c>
      <c r="C779" s="451" t="s">
        <v>22483</v>
      </c>
      <c r="D779" s="451" t="s">
        <v>22484</v>
      </c>
      <c r="E779" s="451"/>
      <c r="F779" s="451"/>
      <c r="G779" s="451" t="s">
        <v>22877</v>
      </c>
      <c r="H779" s="451" t="s">
        <v>22878</v>
      </c>
      <c r="I779" s="451" t="s">
        <v>22484</v>
      </c>
      <c r="J779" s="451" t="s">
        <v>23252</v>
      </c>
      <c r="K779" s="451"/>
    </row>
    <row r="780" spans="1:11">
      <c r="A780" s="450" t="s">
        <v>22116</v>
      </c>
      <c r="B780" s="450" t="s">
        <v>22041</v>
      </c>
      <c r="C780" s="450" t="s">
        <v>22042</v>
      </c>
      <c r="D780" s="450" t="s">
        <v>22043</v>
      </c>
      <c r="E780" s="450"/>
      <c r="F780" s="450" t="s">
        <v>22102</v>
      </c>
      <c r="G780" s="450" t="s">
        <v>22877</v>
      </c>
      <c r="H780" s="450" t="s">
        <v>22878</v>
      </c>
      <c r="I780" s="450" t="s">
        <v>30317</v>
      </c>
      <c r="J780" s="450" t="s">
        <v>30318</v>
      </c>
      <c r="K780" s="450"/>
    </row>
    <row r="781" spans="1:11">
      <c r="A781" s="451" t="s">
        <v>22221</v>
      </c>
      <c r="B781" s="451" t="s">
        <v>22222</v>
      </c>
      <c r="C781" s="451" t="s">
        <v>22223</v>
      </c>
      <c r="D781" s="451"/>
      <c r="E781" s="451"/>
      <c r="F781" s="451"/>
      <c r="G781" s="451" t="s">
        <v>22877</v>
      </c>
      <c r="H781" s="451" t="s">
        <v>22878</v>
      </c>
      <c r="I781" s="451" t="s">
        <v>32863</v>
      </c>
      <c r="J781" s="451" t="s">
        <v>32864</v>
      </c>
      <c r="K781" s="451"/>
    </row>
    <row r="782" spans="1:11">
      <c r="A782" s="450" t="s">
        <v>22221</v>
      </c>
      <c r="B782" s="450" t="s">
        <v>22222</v>
      </c>
      <c r="C782" s="450" t="s">
        <v>22223</v>
      </c>
      <c r="D782" s="450" t="s">
        <v>22224</v>
      </c>
      <c r="E782" s="450"/>
      <c r="F782" s="450"/>
      <c r="G782" s="450" t="s">
        <v>22877</v>
      </c>
      <c r="H782" s="450" t="s">
        <v>22878</v>
      </c>
      <c r="I782" s="450" t="s">
        <v>22224</v>
      </c>
      <c r="J782" s="450" t="s">
        <v>30319</v>
      </c>
      <c r="K782" s="450"/>
    </row>
    <row r="783" spans="1:11">
      <c r="A783" s="451" t="s">
        <v>20460</v>
      </c>
      <c r="B783" s="451" t="s">
        <v>32865</v>
      </c>
      <c r="C783" s="451" t="s">
        <v>2323</v>
      </c>
      <c r="D783" s="451" t="s">
        <v>2324</v>
      </c>
      <c r="E783" s="451"/>
      <c r="F783" s="451"/>
      <c r="G783" s="451" t="s">
        <v>22877</v>
      </c>
      <c r="H783" s="451" t="s">
        <v>22878</v>
      </c>
      <c r="I783" s="451" t="s">
        <v>2324</v>
      </c>
      <c r="J783" s="451" t="s">
        <v>32866</v>
      </c>
      <c r="K783" s="451"/>
    </row>
    <row r="784" spans="1:11">
      <c r="A784" s="450" t="s">
        <v>20460</v>
      </c>
      <c r="B784" s="450" t="s">
        <v>2322</v>
      </c>
      <c r="C784" s="450" t="s">
        <v>2323</v>
      </c>
      <c r="D784" s="450" t="s">
        <v>2324</v>
      </c>
      <c r="E784" s="450" t="s">
        <v>2325</v>
      </c>
      <c r="F784" s="450"/>
      <c r="G784" s="450" t="s">
        <v>22877</v>
      </c>
      <c r="H784" s="450" t="s">
        <v>22878</v>
      </c>
      <c r="I784" s="450" t="s">
        <v>2324</v>
      </c>
      <c r="J784" s="450" t="s">
        <v>30320</v>
      </c>
      <c r="K784" s="450"/>
    </row>
    <row r="785" spans="1:11">
      <c r="A785" s="451" t="s">
        <v>22485</v>
      </c>
      <c r="B785" s="451" t="s">
        <v>22486</v>
      </c>
      <c r="C785" s="451" t="s">
        <v>22487</v>
      </c>
      <c r="D785" s="451"/>
      <c r="E785" s="451"/>
      <c r="F785" s="451"/>
      <c r="G785" s="451" t="s">
        <v>22877</v>
      </c>
      <c r="H785" s="451" t="s">
        <v>22878</v>
      </c>
      <c r="I785" s="451" t="s">
        <v>23253</v>
      </c>
      <c r="J785" s="451" t="s">
        <v>23254</v>
      </c>
      <c r="K785" s="451"/>
    </row>
    <row r="786" spans="1:11">
      <c r="A786" s="450" t="s">
        <v>20424</v>
      </c>
      <c r="B786" s="450" t="s">
        <v>20456</v>
      </c>
      <c r="C786" s="450" t="s">
        <v>20457</v>
      </c>
      <c r="D786" s="450" t="s">
        <v>20458</v>
      </c>
      <c r="E786" s="450"/>
      <c r="F786" s="450"/>
      <c r="G786" s="450" t="s">
        <v>22877</v>
      </c>
      <c r="H786" s="450" t="s">
        <v>22878</v>
      </c>
      <c r="I786" s="450" t="s">
        <v>20458</v>
      </c>
      <c r="J786" s="450" t="s">
        <v>32867</v>
      </c>
      <c r="K786" s="450"/>
    </row>
    <row r="787" spans="1:11">
      <c r="A787" s="451" t="s">
        <v>20424</v>
      </c>
      <c r="B787" s="451" t="s">
        <v>20456</v>
      </c>
      <c r="C787" s="451" t="s">
        <v>20457</v>
      </c>
      <c r="D787" s="451" t="s">
        <v>20458</v>
      </c>
      <c r="E787" s="451" t="s">
        <v>2384</v>
      </c>
      <c r="F787" s="451"/>
      <c r="G787" s="451" t="s">
        <v>22877</v>
      </c>
      <c r="H787" s="451" t="s">
        <v>22878</v>
      </c>
      <c r="I787" s="451" t="s">
        <v>20458</v>
      </c>
      <c r="J787" s="451" t="s">
        <v>30321</v>
      </c>
      <c r="K787" s="451"/>
    </row>
    <row r="788" spans="1:11">
      <c r="A788" s="450" t="s">
        <v>20425</v>
      </c>
      <c r="B788" s="450" t="s">
        <v>2326</v>
      </c>
      <c r="C788" s="450" t="s">
        <v>2327</v>
      </c>
      <c r="D788" s="450" t="s">
        <v>2328</v>
      </c>
      <c r="E788" s="450"/>
      <c r="F788" s="450"/>
      <c r="G788" s="450" t="s">
        <v>22882</v>
      </c>
      <c r="H788" s="450" t="s">
        <v>22883</v>
      </c>
      <c r="I788" s="450" t="s">
        <v>32868</v>
      </c>
      <c r="J788" s="450" t="s">
        <v>32869</v>
      </c>
      <c r="K788" s="450"/>
    </row>
    <row r="789" spans="1:11">
      <c r="A789" s="451" t="s">
        <v>20425</v>
      </c>
      <c r="B789" s="451" t="s">
        <v>2326</v>
      </c>
      <c r="C789" s="451" t="s">
        <v>2327</v>
      </c>
      <c r="D789" s="451" t="s">
        <v>2328</v>
      </c>
      <c r="E789" s="451" t="s">
        <v>2329</v>
      </c>
      <c r="F789" s="451"/>
      <c r="G789" s="451" t="s">
        <v>22882</v>
      </c>
      <c r="H789" s="451" t="s">
        <v>22883</v>
      </c>
      <c r="I789" s="451" t="s">
        <v>30322</v>
      </c>
      <c r="J789" s="451" t="s">
        <v>30323</v>
      </c>
      <c r="K789" s="451"/>
    </row>
    <row r="790" spans="1:11">
      <c r="A790" s="450" t="s">
        <v>2385</v>
      </c>
      <c r="B790" s="450" t="s">
        <v>32870</v>
      </c>
      <c r="C790" s="450" t="s">
        <v>2387</v>
      </c>
      <c r="D790" s="450" t="s">
        <v>2388</v>
      </c>
      <c r="E790" s="450"/>
      <c r="F790" s="450" t="s">
        <v>22488</v>
      </c>
      <c r="G790" s="450" t="s">
        <v>22877</v>
      </c>
      <c r="H790" s="450" t="s">
        <v>22878</v>
      </c>
      <c r="I790" s="450" t="s">
        <v>2388</v>
      </c>
      <c r="J790" s="450" t="s">
        <v>32871</v>
      </c>
      <c r="K790" s="450"/>
    </row>
    <row r="791" spans="1:11">
      <c r="A791" s="451" t="s">
        <v>2385</v>
      </c>
      <c r="B791" s="451" t="s">
        <v>2386</v>
      </c>
      <c r="C791" s="451" t="s">
        <v>2387</v>
      </c>
      <c r="D791" s="451" t="s">
        <v>2388</v>
      </c>
      <c r="E791" s="451" t="s">
        <v>2389</v>
      </c>
      <c r="F791" s="451" t="s">
        <v>22488</v>
      </c>
      <c r="G791" s="451" t="s">
        <v>22877</v>
      </c>
      <c r="H791" s="451" t="s">
        <v>22878</v>
      </c>
      <c r="I791" s="451" t="s">
        <v>2388</v>
      </c>
      <c r="J791" s="451" t="s">
        <v>30324</v>
      </c>
      <c r="K791" s="451"/>
    </row>
    <row r="792" spans="1:11">
      <c r="A792" s="450" t="s">
        <v>21342</v>
      </c>
      <c r="B792" s="450" t="s">
        <v>32872</v>
      </c>
      <c r="C792" s="450" t="s">
        <v>32873</v>
      </c>
      <c r="D792" s="450"/>
      <c r="E792" s="450"/>
      <c r="F792" s="450"/>
      <c r="G792" s="450" t="s">
        <v>22877</v>
      </c>
      <c r="H792" s="450" t="s">
        <v>22878</v>
      </c>
      <c r="I792" s="450" t="s">
        <v>23255</v>
      </c>
      <c r="J792" s="450" t="s">
        <v>32874</v>
      </c>
      <c r="K792" s="450"/>
    </row>
    <row r="793" spans="1:11">
      <c r="A793" s="451" t="s">
        <v>21342</v>
      </c>
      <c r="B793" s="451" t="s">
        <v>21083</v>
      </c>
      <c r="C793" s="451" t="s">
        <v>21082</v>
      </c>
      <c r="D793" s="451" t="s">
        <v>21084</v>
      </c>
      <c r="E793" s="451"/>
      <c r="F793" s="451"/>
      <c r="G793" s="451" t="s">
        <v>22877</v>
      </c>
      <c r="H793" s="451" t="s">
        <v>22878</v>
      </c>
      <c r="I793" s="451" t="s">
        <v>23255</v>
      </c>
      <c r="J793" s="451" t="s">
        <v>30325</v>
      </c>
      <c r="K793" s="451"/>
    </row>
    <row r="794" spans="1:11">
      <c r="A794" s="450" t="s">
        <v>22489</v>
      </c>
      <c r="B794" s="450" t="s">
        <v>22490</v>
      </c>
      <c r="C794" s="450" t="s">
        <v>22491</v>
      </c>
      <c r="D794" s="450"/>
      <c r="E794" s="450"/>
      <c r="F794" s="450"/>
      <c r="G794" s="450" t="s">
        <v>22877</v>
      </c>
      <c r="H794" s="450" t="s">
        <v>22878</v>
      </c>
      <c r="I794" s="450" t="s">
        <v>23256</v>
      </c>
      <c r="J794" s="450" t="s">
        <v>23257</v>
      </c>
      <c r="K794" s="450"/>
    </row>
    <row r="795" spans="1:11">
      <c r="A795" s="451" t="s">
        <v>22492</v>
      </c>
      <c r="B795" s="451" t="s">
        <v>22493</v>
      </c>
      <c r="C795" s="451" t="s">
        <v>22494</v>
      </c>
      <c r="D795" s="451" t="s">
        <v>22495</v>
      </c>
      <c r="E795" s="451"/>
      <c r="F795" s="451"/>
      <c r="G795" s="451" t="s">
        <v>22877</v>
      </c>
      <c r="H795" s="451" t="s">
        <v>22878</v>
      </c>
      <c r="I795" s="451" t="s">
        <v>22495</v>
      </c>
      <c r="J795" s="451" t="s">
        <v>23258</v>
      </c>
      <c r="K795" s="451"/>
    </row>
    <row r="796" spans="1:11">
      <c r="A796" s="450" t="s">
        <v>22138</v>
      </c>
      <c r="B796" s="450" t="s">
        <v>32875</v>
      </c>
      <c r="C796" s="450" t="s">
        <v>32876</v>
      </c>
      <c r="D796" s="450"/>
      <c r="E796" s="450"/>
      <c r="F796" s="450"/>
      <c r="G796" s="450" t="s">
        <v>22877</v>
      </c>
      <c r="H796" s="450" t="s">
        <v>22878</v>
      </c>
      <c r="I796" s="450" t="s">
        <v>23259</v>
      </c>
      <c r="J796" s="450" t="s">
        <v>32877</v>
      </c>
      <c r="K796" s="450"/>
    </row>
    <row r="797" spans="1:11">
      <c r="A797" s="451" t="s">
        <v>22138</v>
      </c>
      <c r="B797" s="451" t="s">
        <v>22139</v>
      </c>
      <c r="C797" s="451" t="s">
        <v>5558</v>
      </c>
      <c r="D797" s="451"/>
      <c r="E797" s="451"/>
      <c r="F797" s="451"/>
      <c r="G797" s="451" t="s">
        <v>22877</v>
      </c>
      <c r="H797" s="451" t="s">
        <v>22878</v>
      </c>
      <c r="I797" s="451" t="s">
        <v>23259</v>
      </c>
      <c r="J797" s="451" t="s">
        <v>30326</v>
      </c>
      <c r="K797" s="451"/>
    </row>
    <row r="798" spans="1:11">
      <c r="A798" s="450" t="s">
        <v>20360</v>
      </c>
      <c r="B798" s="450" t="s">
        <v>2390</v>
      </c>
      <c r="C798" s="450" t="s">
        <v>2391</v>
      </c>
      <c r="D798" s="450" t="s">
        <v>2392</v>
      </c>
      <c r="E798" s="450"/>
      <c r="F798" s="450"/>
      <c r="G798" s="450" t="s">
        <v>22877</v>
      </c>
      <c r="H798" s="450" t="s">
        <v>22878</v>
      </c>
      <c r="I798" s="450" t="s">
        <v>2392</v>
      </c>
      <c r="J798" s="450" t="s">
        <v>23260</v>
      </c>
      <c r="K798" s="450"/>
    </row>
    <row r="799" spans="1:11">
      <c r="A799" s="451" t="s">
        <v>20360</v>
      </c>
      <c r="B799" s="451" t="s">
        <v>2390</v>
      </c>
      <c r="C799" s="451" t="s">
        <v>2391</v>
      </c>
      <c r="D799" s="451" t="s">
        <v>2392</v>
      </c>
      <c r="E799" s="451" t="s">
        <v>2393</v>
      </c>
      <c r="F799" s="451"/>
      <c r="G799" s="451" t="s">
        <v>22877</v>
      </c>
      <c r="H799" s="451" t="s">
        <v>22878</v>
      </c>
      <c r="I799" s="451" t="s">
        <v>2392</v>
      </c>
      <c r="J799" s="451" t="s">
        <v>23260</v>
      </c>
      <c r="K799" s="451"/>
    </row>
    <row r="800" spans="1:11">
      <c r="A800" s="450" t="s">
        <v>2394</v>
      </c>
      <c r="B800" s="450" t="s">
        <v>2395</v>
      </c>
      <c r="C800" s="450" t="s">
        <v>2396</v>
      </c>
      <c r="D800" s="450"/>
      <c r="E800" s="450"/>
      <c r="F800" s="450"/>
      <c r="G800" s="450" t="s">
        <v>22877</v>
      </c>
      <c r="H800" s="450" t="s">
        <v>22878</v>
      </c>
      <c r="I800" s="450" t="s">
        <v>23261</v>
      </c>
      <c r="J800" s="450" t="s">
        <v>32878</v>
      </c>
      <c r="K800" s="450"/>
    </row>
    <row r="801" spans="1:11">
      <c r="A801" s="451" t="s">
        <v>2394</v>
      </c>
      <c r="B801" s="451" t="s">
        <v>2395</v>
      </c>
      <c r="C801" s="451" t="s">
        <v>2396</v>
      </c>
      <c r="D801" s="451"/>
      <c r="E801" s="451" t="s">
        <v>2397</v>
      </c>
      <c r="F801" s="451"/>
      <c r="G801" s="451" t="s">
        <v>22877</v>
      </c>
      <c r="H801" s="451" t="s">
        <v>22878</v>
      </c>
      <c r="I801" s="451" t="s">
        <v>23261</v>
      </c>
      <c r="J801" s="451" t="s">
        <v>30327</v>
      </c>
      <c r="K801" s="451"/>
    </row>
    <row r="802" spans="1:11">
      <c r="A802" s="450" t="s">
        <v>21085</v>
      </c>
      <c r="B802" s="450" t="s">
        <v>21086</v>
      </c>
      <c r="C802" s="450" t="s">
        <v>12513</v>
      </c>
      <c r="D802" s="450" t="s">
        <v>21087</v>
      </c>
      <c r="E802" s="450"/>
      <c r="F802" s="450" t="s">
        <v>21088</v>
      </c>
      <c r="G802" s="450" t="s">
        <v>22877</v>
      </c>
      <c r="H802" s="450" t="s">
        <v>22878</v>
      </c>
      <c r="I802" s="450" t="s">
        <v>30328</v>
      </c>
      <c r="J802" s="450" t="s">
        <v>30329</v>
      </c>
      <c r="K802" s="450"/>
    </row>
    <row r="803" spans="1:11">
      <c r="A803" s="451" t="s">
        <v>22496</v>
      </c>
      <c r="B803" s="451" t="s">
        <v>22497</v>
      </c>
      <c r="C803" s="451" t="s">
        <v>22498</v>
      </c>
      <c r="D803" s="451"/>
      <c r="E803" s="451"/>
      <c r="F803" s="451"/>
      <c r="G803" s="451" t="s">
        <v>22877</v>
      </c>
      <c r="H803" s="451" t="s">
        <v>22878</v>
      </c>
      <c r="I803" s="451" t="s">
        <v>23262</v>
      </c>
      <c r="J803" s="451" t="s">
        <v>23263</v>
      </c>
      <c r="K803" s="451"/>
    </row>
    <row r="804" spans="1:11">
      <c r="A804" s="450" t="s">
        <v>20446</v>
      </c>
      <c r="B804" s="450" t="s">
        <v>2420</v>
      </c>
      <c r="C804" s="450" t="s">
        <v>2421</v>
      </c>
      <c r="D804" s="450" t="s">
        <v>2422</v>
      </c>
      <c r="E804" s="450"/>
      <c r="F804" s="450"/>
      <c r="G804" s="450" t="s">
        <v>22882</v>
      </c>
      <c r="H804" s="450" t="s">
        <v>22883</v>
      </c>
      <c r="I804" s="450" t="s">
        <v>23264</v>
      </c>
      <c r="J804" s="450" t="s">
        <v>32879</v>
      </c>
      <c r="K804" s="450"/>
    </row>
    <row r="805" spans="1:11">
      <c r="A805" s="451" t="s">
        <v>20446</v>
      </c>
      <c r="B805" s="451" t="s">
        <v>2420</v>
      </c>
      <c r="C805" s="451" t="s">
        <v>2421</v>
      </c>
      <c r="D805" s="451" t="s">
        <v>2422</v>
      </c>
      <c r="E805" s="451" t="s">
        <v>2423</v>
      </c>
      <c r="F805" s="451"/>
      <c r="G805" s="451" t="s">
        <v>22882</v>
      </c>
      <c r="H805" s="451" t="s">
        <v>22883</v>
      </c>
      <c r="I805" s="451" t="s">
        <v>23264</v>
      </c>
      <c r="J805" s="451" t="s">
        <v>30330</v>
      </c>
      <c r="K805" s="451"/>
    </row>
    <row r="806" spans="1:11">
      <c r="A806" s="450" t="s">
        <v>22217</v>
      </c>
      <c r="B806" s="450" t="s">
        <v>22218</v>
      </c>
      <c r="C806" s="450" t="s">
        <v>22219</v>
      </c>
      <c r="D806" s="450" t="s">
        <v>22220</v>
      </c>
      <c r="E806" s="450"/>
      <c r="F806" s="450"/>
      <c r="G806" s="450" t="s">
        <v>22877</v>
      </c>
      <c r="H806" s="450" t="s">
        <v>22878</v>
      </c>
      <c r="I806" s="450" t="s">
        <v>22220</v>
      </c>
      <c r="J806" s="450" t="s">
        <v>30331</v>
      </c>
      <c r="K806" s="450"/>
    </row>
    <row r="807" spans="1:11">
      <c r="A807" s="451" t="s">
        <v>20426</v>
      </c>
      <c r="B807" s="451" t="s">
        <v>32880</v>
      </c>
      <c r="C807" s="451" t="s">
        <v>2331</v>
      </c>
      <c r="D807" s="451" t="s">
        <v>2332</v>
      </c>
      <c r="E807" s="451"/>
      <c r="F807" s="451"/>
      <c r="G807" s="451" t="s">
        <v>22877</v>
      </c>
      <c r="H807" s="451" t="s">
        <v>22878</v>
      </c>
      <c r="I807" s="451" t="s">
        <v>23265</v>
      </c>
      <c r="J807" s="451" t="s">
        <v>32881</v>
      </c>
      <c r="K807" s="451"/>
    </row>
    <row r="808" spans="1:11">
      <c r="A808" s="450" t="s">
        <v>20426</v>
      </c>
      <c r="B808" s="450" t="s">
        <v>2330</v>
      </c>
      <c r="C808" s="450" t="s">
        <v>2331</v>
      </c>
      <c r="D808" s="450" t="s">
        <v>2332</v>
      </c>
      <c r="E808" s="450"/>
      <c r="F808" s="450"/>
      <c r="G808" s="450" t="s">
        <v>22877</v>
      </c>
      <c r="H808" s="450" t="s">
        <v>22878</v>
      </c>
      <c r="I808" s="450" t="s">
        <v>23265</v>
      </c>
      <c r="J808" s="450" t="s">
        <v>30332</v>
      </c>
      <c r="K808" s="450"/>
    </row>
    <row r="809" spans="1:11">
      <c r="A809" s="451" t="s">
        <v>22499</v>
      </c>
      <c r="B809" s="451" t="s">
        <v>22500</v>
      </c>
      <c r="C809" s="451" t="s">
        <v>22501</v>
      </c>
      <c r="D809" s="451" t="s">
        <v>22502</v>
      </c>
      <c r="E809" s="451"/>
      <c r="F809" s="451"/>
      <c r="G809" s="451" t="s">
        <v>22877</v>
      </c>
      <c r="H809" s="451" t="s">
        <v>22878</v>
      </c>
      <c r="I809" s="451" t="s">
        <v>22502</v>
      </c>
      <c r="J809" s="451" t="s">
        <v>23266</v>
      </c>
      <c r="K809" s="451"/>
    </row>
    <row r="810" spans="1:11">
      <c r="A810" s="450" t="s">
        <v>21338</v>
      </c>
      <c r="B810" s="450" t="s">
        <v>21339</v>
      </c>
      <c r="C810" s="450" t="s">
        <v>21340</v>
      </c>
      <c r="D810" s="450" t="s">
        <v>21341</v>
      </c>
      <c r="E810" s="450"/>
      <c r="F810" s="450"/>
      <c r="G810" s="450" t="s">
        <v>22877</v>
      </c>
      <c r="H810" s="450" t="s">
        <v>22878</v>
      </c>
      <c r="I810" s="450" t="s">
        <v>30333</v>
      </c>
      <c r="J810" s="450" t="s">
        <v>30334</v>
      </c>
      <c r="K810" s="450"/>
    </row>
    <row r="811" spans="1:11">
      <c r="A811" s="451" t="s">
        <v>22503</v>
      </c>
      <c r="B811" s="451" t="s">
        <v>22504</v>
      </c>
      <c r="C811" s="451" t="s">
        <v>22505</v>
      </c>
      <c r="D811" s="451"/>
      <c r="E811" s="451"/>
      <c r="F811" s="451"/>
      <c r="G811" s="451" t="s">
        <v>22877</v>
      </c>
      <c r="H811" s="451" t="s">
        <v>22878</v>
      </c>
      <c r="I811" s="451" t="s">
        <v>23267</v>
      </c>
      <c r="J811" s="451" t="s">
        <v>23268</v>
      </c>
      <c r="K811" s="451"/>
    </row>
    <row r="812" spans="1:11">
      <c r="A812" s="450" t="s">
        <v>22506</v>
      </c>
      <c r="B812" s="450" t="s">
        <v>22507</v>
      </c>
      <c r="C812" s="450" t="s">
        <v>22508</v>
      </c>
      <c r="D812" s="450" t="s">
        <v>22509</v>
      </c>
      <c r="E812" s="450"/>
      <c r="F812" s="450" t="s">
        <v>22510</v>
      </c>
      <c r="G812" s="450" t="s">
        <v>22877</v>
      </c>
      <c r="H812" s="450" t="s">
        <v>22878</v>
      </c>
      <c r="I812" s="450" t="s">
        <v>23269</v>
      </c>
      <c r="J812" s="450" t="s">
        <v>23270</v>
      </c>
      <c r="K812" s="450"/>
    </row>
    <row r="813" spans="1:11">
      <c r="A813" s="451" t="s">
        <v>20999</v>
      </c>
      <c r="B813" s="451" t="s">
        <v>21000</v>
      </c>
      <c r="C813" s="451" t="s">
        <v>21001</v>
      </c>
      <c r="D813" s="451"/>
      <c r="E813" s="451"/>
      <c r="F813" s="451"/>
      <c r="G813" s="451" t="s">
        <v>22877</v>
      </c>
      <c r="H813" s="451" t="s">
        <v>22878</v>
      </c>
      <c r="I813" s="451" t="s">
        <v>23271</v>
      </c>
      <c r="J813" s="451" t="s">
        <v>23272</v>
      </c>
      <c r="K813" s="451"/>
    </row>
    <row r="814" spans="1:11">
      <c r="A814" s="450" t="s">
        <v>22072</v>
      </c>
      <c r="B814" s="450" t="s">
        <v>22073</v>
      </c>
      <c r="C814" s="450" t="s">
        <v>22074</v>
      </c>
      <c r="D814" s="450" t="s">
        <v>22075</v>
      </c>
      <c r="E814" s="450"/>
      <c r="F814" s="450"/>
      <c r="G814" s="450" t="s">
        <v>22877</v>
      </c>
      <c r="H814" s="450" t="s">
        <v>22878</v>
      </c>
      <c r="I814" s="450" t="s">
        <v>22075</v>
      </c>
      <c r="J814" s="450" t="s">
        <v>30335</v>
      </c>
      <c r="K814" s="450"/>
    </row>
    <row r="815" spans="1:11">
      <c r="A815" s="451" t="s">
        <v>20427</v>
      </c>
      <c r="B815" s="451" t="s">
        <v>2333</v>
      </c>
      <c r="C815" s="451" t="s">
        <v>2334</v>
      </c>
      <c r="D815" s="451" t="s">
        <v>2335</v>
      </c>
      <c r="E815" s="451"/>
      <c r="F815" s="451"/>
      <c r="G815" s="451" t="s">
        <v>22877</v>
      </c>
      <c r="H815" s="451" t="s">
        <v>22878</v>
      </c>
      <c r="I815" s="451" t="s">
        <v>32882</v>
      </c>
      <c r="J815" s="451" t="s">
        <v>32883</v>
      </c>
      <c r="K815" s="451"/>
    </row>
    <row r="816" spans="1:11">
      <c r="A816" s="450" t="s">
        <v>20427</v>
      </c>
      <c r="B816" s="450" t="s">
        <v>2333</v>
      </c>
      <c r="C816" s="450" t="s">
        <v>2334</v>
      </c>
      <c r="D816" s="450" t="s">
        <v>2335</v>
      </c>
      <c r="E816" s="450" t="s">
        <v>2336</v>
      </c>
      <c r="F816" s="450"/>
      <c r="G816" s="450" t="s">
        <v>22877</v>
      </c>
      <c r="H816" s="450" t="s">
        <v>22878</v>
      </c>
      <c r="I816" s="450" t="s">
        <v>2335</v>
      </c>
      <c r="J816" s="450" t="s">
        <v>30336</v>
      </c>
      <c r="K816" s="450"/>
    </row>
    <row r="817" spans="1:11">
      <c r="A817" s="451" t="s">
        <v>2398</v>
      </c>
      <c r="B817" s="451" t="s">
        <v>32884</v>
      </c>
      <c r="C817" s="451" t="s">
        <v>2400</v>
      </c>
      <c r="D817" s="451" t="s">
        <v>2401</v>
      </c>
      <c r="E817" s="451"/>
      <c r="F817" s="451"/>
      <c r="G817" s="451" t="s">
        <v>22877</v>
      </c>
      <c r="H817" s="451" t="s">
        <v>22878</v>
      </c>
      <c r="I817" s="451" t="s">
        <v>2401</v>
      </c>
      <c r="J817" s="451" t="s">
        <v>32885</v>
      </c>
      <c r="K817" s="451"/>
    </row>
    <row r="818" spans="1:11">
      <c r="A818" s="450" t="s">
        <v>2398</v>
      </c>
      <c r="B818" s="450" t="s">
        <v>2399</v>
      </c>
      <c r="C818" s="450" t="s">
        <v>2400</v>
      </c>
      <c r="D818" s="450" t="s">
        <v>2401</v>
      </c>
      <c r="E818" s="450" t="s">
        <v>2402</v>
      </c>
      <c r="F818" s="450"/>
      <c r="G818" s="450" t="s">
        <v>22877</v>
      </c>
      <c r="H818" s="450" t="s">
        <v>22878</v>
      </c>
      <c r="I818" s="450" t="s">
        <v>2401</v>
      </c>
      <c r="J818" s="450" t="s">
        <v>30337</v>
      </c>
      <c r="K818" s="450"/>
    </row>
    <row r="819" spans="1:11">
      <c r="A819" s="451" t="s">
        <v>21146</v>
      </c>
      <c r="B819" s="451" t="s">
        <v>32886</v>
      </c>
      <c r="C819" s="451" t="s">
        <v>32887</v>
      </c>
      <c r="D819" s="451"/>
      <c r="E819" s="451"/>
      <c r="F819" s="451"/>
      <c r="G819" s="451" t="s">
        <v>22877</v>
      </c>
      <c r="H819" s="451" t="s">
        <v>22878</v>
      </c>
      <c r="I819" s="451" t="s">
        <v>21149</v>
      </c>
      <c r="J819" s="451" t="s">
        <v>32888</v>
      </c>
      <c r="K819" s="451"/>
    </row>
    <row r="820" spans="1:11">
      <c r="A820" s="450" t="s">
        <v>21146</v>
      </c>
      <c r="B820" s="450" t="s">
        <v>21147</v>
      </c>
      <c r="C820" s="450" t="s">
        <v>21148</v>
      </c>
      <c r="D820" s="450" t="s">
        <v>21149</v>
      </c>
      <c r="E820" s="450"/>
      <c r="F820" s="450"/>
      <c r="G820" s="450" t="s">
        <v>22877</v>
      </c>
      <c r="H820" s="450" t="s">
        <v>22878</v>
      </c>
      <c r="I820" s="450" t="s">
        <v>21149</v>
      </c>
      <c r="J820" s="450" t="s">
        <v>30338</v>
      </c>
      <c r="K820" s="450"/>
    </row>
    <row r="821" spans="1:11">
      <c r="A821" s="451" t="s">
        <v>20428</v>
      </c>
      <c r="B821" s="451" t="s">
        <v>2380</v>
      </c>
      <c r="C821" s="451" t="s">
        <v>2381</v>
      </c>
      <c r="D821" s="451" t="s">
        <v>2382</v>
      </c>
      <c r="E821" s="451"/>
      <c r="F821" s="451"/>
      <c r="G821" s="451" t="s">
        <v>22877</v>
      </c>
      <c r="H821" s="451" t="s">
        <v>22878</v>
      </c>
      <c r="I821" s="451" t="s">
        <v>32889</v>
      </c>
      <c r="J821" s="451" t="s">
        <v>32890</v>
      </c>
      <c r="K821" s="451"/>
    </row>
    <row r="822" spans="1:11">
      <c r="A822" s="450" t="s">
        <v>20428</v>
      </c>
      <c r="B822" s="450" t="s">
        <v>2380</v>
      </c>
      <c r="C822" s="450" t="s">
        <v>2381</v>
      </c>
      <c r="D822" s="450" t="s">
        <v>2382</v>
      </c>
      <c r="E822" s="450" t="s">
        <v>2383</v>
      </c>
      <c r="F822" s="450"/>
      <c r="G822" s="450" t="s">
        <v>22882</v>
      </c>
      <c r="H822" s="450" t="s">
        <v>22883</v>
      </c>
      <c r="I822" s="450" t="s">
        <v>2382</v>
      </c>
      <c r="J822" s="450" t="s">
        <v>30339</v>
      </c>
      <c r="K822" s="450"/>
    </row>
    <row r="823" spans="1:11">
      <c r="A823" s="451" t="s">
        <v>20429</v>
      </c>
      <c r="B823" s="451" t="s">
        <v>2337</v>
      </c>
      <c r="C823" s="451" t="s">
        <v>2338</v>
      </c>
      <c r="D823" s="451" t="s">
        <v>2339</v>
      </c>
      <c r="E823" s="451"/>
      <c r="F823" s="451"/>
      <c r="G823" s="451" t="s">
        <v>22877</v>
      </c>
      <c r="H823" s="451" t="s">
        <v>22878</v>
      </c>
      <c r="I823" s="451" t="s">
        <v>2339</v>
      </c>
      <c r="J823" s="451" t="s">
        <v>23273</v>
      </c>
      <c r="K823" s="451"/>
    </row>
    <row r="824" spans="1:11">
      <c r="A824" s="450" t="s">
        <v>20429</v>
      </c>
      <c r="B824" s="450" t="s">
        <v>2337</v>
      </c>
      <c r="C824" s="450" t="s">
        <v>2338</v>
      </c>
      <c r="D824" s="450" t="s">
        <v>2339</v>
      </c>
      <c r="E824" s="450" t="s">
        <v>2339</v>
      </c>
      <c r="F824" s="450"/>
      <c r="G824" s="450" t="s">
        <v>22877</v>
      </c>
      <c r="H824" s="450" t="s">
        <v>22878</v>
      </c>
      <c r="I824" s="450" t="s">
        <v>2339</v>
      </c>
      <c r="J824" s="450" t="s">
        <v>23273</v>
      </c>
      <c r="K824" s="450"/>
    </row>
    <row r="825" spans="1:11">
      <c r="A825" s="451" t="s">
        <v>20430</v>
      </c>
      <c r="B825" s="451" t="s">
        <v>2340</v>
      </c>
      <c r="C825" s="451" t="s">
        <v>2341</v>
      </c>
      <c r="D825" s="451" t="s">
        <v>2342</v>
      </c>
      <c r="E825" s="451"/>
      <c r="F825" s="451"/>
      <c r="G825" s="451" t="s">
        <v>22877</v>
      </c>
      <c r="H825" s="451" t="s">
        <v>22878</v>
      </c>
      <c r="I825" s="451" t="s">
        <v>32891</v>
      </c>
      <c r="J825" s="451" t="s">
        <v>23274</v>
      </c>
      <c r="K825" s="451"/>
    </row>
    <row r="826" spans="1:11">
      <c r="A826" s="450" t="s">
        <v>20430</v>
      </c>
      <c r="B826" s="450" t="s">
        <v>2340</v>
      </c>
      <c r="C826" s="450" t="s">
        <v>2341</v>
      </c>
      <c r="D826" s="450" t="s">
        <v>2342</v>
      </c>
      <c r="E826" s="450" t="s">
        <v>2343</v>
      </c>
      <c r="F826" s="450"/>
      <c r="G826" s="450" t="s">
        <v>22877</v>
      </c>
      <c r="H826" s="450" t="s">
        <v>22878</v>
      </c>
      <c r="I826" s="450" t="s">
        <v>2342</v>
      </c>
      <c r="J826" s="450" t="s">
        <v>23274</v>
      </c>
      <c r="K826" s="450"/>
    </row>
    <row r="827" spans="1:11">
      <c r="A827" s="451" t="s">
        <v>21089</v>
      </c>
      <c r="B827" s="451" t="s">
        <v>21091</v>
      </c>
      <c r="C827" s="451" t="s">
        <v>32892</v>
      </c>
      <c r="D827" s="451" t="s">
        <v>21092</v>
      </c>
      <c r="E827" s="451"/>
      <c r="F827" s="451"/>
      <c r="G827" s="451" t="s">
        <v>22877</v>
      </c>
      <c r="H827" s="451" t="s">
        <v>22878</v>
      </c>
      <c r="I827" s="451" t="s">
        <v>21092</v>
      </c>
      <c r="J827" s="451" t="s">
        <v>32893</v>
      </c>
      <c r="K827" s="451"/>
    </row>
    <row r="828" spans="1:11">
      <c r="A828" s="450" t="s">
        <v>21089</v>
      </c>
      <c r="B828" s="450" t="s">
        <v>21091</v>
      </c>
      <c r="C828" s="450" t="s">
        <v>21090</v>
      </c>
      <c r="D828" s="450" t="s">
        <v>21092</v>
      </c>
      <c r="E828" s="450"/>
      <c r="F828" s="450" t="s">
        <v>21093</v>
      </c>
      <c r="G828" s="450" t="s">
        <v>22877</v>
      </c>
      <c r="H828" s="450" t="s">
        <v>22878</v>
      </c>
      <c r="I828" s="450" t="s">
        <v>21092</v>
      </c>
      <c r="J828" s="450" t="s">
        <v>30340</v>
      </c>
      <c r="K828" s="450"/>
    </row>
    <row r="829" spans="1:11">
      <c r="A829" s="451" t="s">
        <v>22108</v>
      </c>
      <c r="B829" s="451" t="s">
        <v>22107</v>
      </c>
      <c r="C829" s="451" t="s">
        <v>9098</v>
      </c>
      <c r="D829" s="451" t="s">
        <v>22109</v>
      </c>
      <c r="E829" s="451"/>
      <c r="F829" s="451"/>
      <c r="G829" s="451" t="s">
        <v>22877</v>
      </c>
      <c r="H829" s="451" t="s">
        <v>22878</v>
      </c>
      <c r="I829" s="451" t="s">
        <v>22109</v>
      </c>
      <c r="J829" s="451" t="s">
        <v>30341</v>
      </c>
      <c r="K829" s="451"/>
    </row>
    <row r="830" spans="1:11">
      <c r="A830" s="450" t="s">
        <v>22194</v>
      </c>
      <c r="B830" s="450" t="s">
        <v>22195</v>
      </c>
      <c r="C830" s="450" t="s">
        <v>32894</v>
      </c>
      <c r="D830" s="450"/>
      <c r="E830" s="450"/>
      <c r="F830" s="450"/>
      <c r="G830" s="450" t="s">
        <v>22877</v>
      </c>
      <c r="H830" s="450" t="s">
        <v>22878</v>
      </c>
      <c r="I830" s="450" t="s">
        <v>32895</v>
      </c>
      <c r="J830" s="450" t="s">
        <v>23275</v>
      </c>
      <c r="K830" s="450"/>
    </row>
    <row r="831" spans="1:11">
      <c r="A831" s="451" t="s">
        <v>22194</v>
      </c>
      <c r="B831" s="451" t="s">
        <v>22195</v>
      </c>
      <c r="C831" s="451" t="s">
        <v>22196</v>
      </c>
      <c r="D831" s="451"/>
      <c r="E831" s="451"/>
      <c r="F831" s="451"/>
      <c r="G831" s="451" t="s">
        <v>22877</v>
      </c>
      <c r="H831" s="451" t="s">
        <v>22878</v>
      </c>
      <c r="I831" s="451" t="s">
        <v>30342</v>
      </c>
      <c r="J831" s="451" t="s">
        <v>23275</v>
      </c>
      <c r="K831" s="451"/>
    </row>
    <row r="832" spans="1:11">
      <c r="A832" s="450" t="s">
        <v>21025</v>
      </c>
      <c r="B832" s="450" t="s">
        <v>22511</v>
      </c>
      <c r="C832" s="450" t="s">
        <v>22512</v>
      </c>
      <c r="D832" s="450"/>
      <c r="E832" s="450"/>
      <c r="F832" s="450"/>
      <c r="G832" s="450" t="s">
        <v>22877</v>
      </c>
      <c r="H832" s="450" t="s">
        <v>22878</v>
      </c>
      <c r="I832" s="450" t="s">
        <v>23276</v>
      </c>
      <c r="J832" s="450" t="s">
        <v>23277</v>
      </c>
      <c r="K832" s="450"/>
    </row>
    <row r="833" spans="1:11">
      <c r="A833" s="451" t="s">
        <v>21025</v>
      </c>
      <c r="B833" s="451" t="s">
        <v>21026</v>
      </c>
      <c r="C833" s="451" t="s">
        <v>21027</v>
      </c>
      <c r="D833" s="451" t="s">
        <v>21028</v>
      </c>
      <c r="E833" s="451"/>
      <c r="F833" s="451"/>
      <c r="G833" s="451" t="s">
        <v>22877</v>
      </c>
      <c r="H833" s="451" t="s">
        <v>22878</v>
      </c>
      <c r="I833" s="451" t="s">
        <v>21028</v>
      </c>
      <c r="J833" s="451" t="s">
        <v>30343</v>
      </c>
      <c r="K833" s="451"/>
    </row>
    <row r="834" spans="1:11">
      <c r="A834" s="450" t="s">
        <v>22080</v>
      </c>
      <c r="B834" s="450" t="s">
        <v>22513</v>
      </c>
      <c r="C834" s="450" t="s">
        <v>22082</v>
      </c>
      <c r="D834" s="450" t="s">
        <v>22514</v>
      </c>
      <c r="E834" s="450"/>
      <c r="F834" s="450"/>
      <c r="G834" s="450" t="s">
        <v>22877</v>
      </c>
      <c r="H834" s="450" t="s">
        <v>22878</v>
      </c>
      <c r="I834" s="450" t="s">
        <v>22514</v>
      </c>
      <c r="J834" s="450" t="s">
        <v>23278</v>
      </c>
      <c r="K834" s="450"/>
    </row>
    <row r="835" spans="1:11">
      <c r="A835" s="451" t="s">
        <v>22080</v>
      </c>
      <c r="B835" s="451" t="s">
        <v>22081</v>
      </c>
      <c r="C835" s="451" t="s">
        <v>22082</v>
      </c>
      <c r="D835" s="451" t="s">
        <v>22083</v>
      </c>
      <c r="E835" s="451"/>
      <c r="F835" s="451"/>
      <c r="G835" s="451" t="s">
        <v>22877</v>
      </c>
      <c r="H835" s="451" t="s">
        <v>22878</v>
      </c>
      <c r="I835" s="451" t="s">
        <v>22083</v>
      </c>
      <c r="J835" s="451" t="s">
        <v>30344</v>
      </c>
      <c r="K835" s="451"/>
    </row>
    <row r="836" spans="1:11">
      <c r="A836" s="450" t="s">
        <v>22088</v>
      </c>
      <c r="B836" s="450" t="s">
        <v>32896</v>
      </c>
      <c r="C836" s="450" t="s">
        <v>32897</v>
      </c>
      <c r="D836" s="450" t="s">
        <v>22091</v>
      </c>
      <c r="E836" s="450"/>
      <c r="F836" s="450"/>
      <c r="G836" s="450" t="s">
        <v>22877</v>
      </c>
      <c r="H836" s="450" t="s">
        <v>22878</v>
      </c>
      <c r="I836" s="450" t="s">
        <v>22091</v>
      </c>
      <c r="J836" s="450" t="s">
        <v>32898</v>
      </c>
      <c r="K836" s="450"/>
    </row>
    <row r="837" spans="1:11">
      <c r="A837" s="451" t="s">
        <v>22088</v>
      </c>
      <c r="B837" s="451" t="s">
        <v>22090</v>
      </c>
      <c r="C837" s="451" t="s">
        <v>22089</v>
      </c>
      <c r="D837" s="451" t="s">
        <v>22091</v>
      </c>
      <c r="E837" s="451"/>
      <c r="F837" s="451"/>
      <c r="G837" s="451" t="s">
        <v>22877</v>
      </c>
      <c r="H837" s="451" t="s">
        <v>22878</v>
      </c>
      <c r="I837" s="451" t="s">
        <v>22091</v>
      </c>
      <c r="J837" s="451" t="s">
        <v>30345</v>
      </c>
      <c r="K837" s="451"/>
    </row>
    <row r="838" spans="1:11">
      <c r="A838" s="450" t="s">
        <v>21105</v>
      </c>
      <c r="B838" s="450" t="s">
        <v>21106</v>
      </c>
      <c r="C838" s="450" t="s">
        <v>21107</v>
      </c>
      <c r="D838" s="450" t="s">
        <v>21108</v>
      </c>
      <c r="E838" s="450"/>
      <c r="F838" s="450" t="s">
        <v>21109</v>
      </c>
      <c r="G838" s="450" t="s">
        <v>22877</v>
      </c>
      <c r="H838" s="450" t="s">
        <v>22878</v>
      </c>
      <c r="I838" s="450" t="s">
        <v>30346</v>
      </c>
      <c r="J838" s="450" t="s">
        <v>30347</v>
      </c>
      <c r="K838" s="450"/>
    </row>
    <row r="839" spans="1:11">
      <c r="A839" s="451" t="s">
        <v>22515</v>
      </c>
      <c r="B839" s="451" t="s">
        <v>22516</v>
      </c>
      <c r="C839" s="451" t="s">
        <v>22517</v>
      </c>
      <c r="D839" s="451"/>
      <c r="E839" s="451"/>
      <c r="F839" s="451"/>
      <c r="G839" s="451" t="s">
        <v>22877</v>
      </c>
      <c r="H839" s="451" t="s">
        <v>22878</v>
      </c>
      <c r="I839" s="451" t="s">
        <v>23279</v>
      </c>
      <c r="J839" s="451" t="s">
        <v>23280</v>
      </c>
      <c r="K839" s="451"/>
    </row>
    <row r="840" spans="1:11">
      <c r="A840" s="450" t="s">
        <v>20431</v>
      </c>
      <c r="B840" s="450" t="s">
        <v>2344</v>
      </c>
      <c r="C840" s="450" t="s">
        <v>2345</v>
      </c>
      <c r="D840" s="450" t="s">
        <v>2346</v>
      </c>
      <c r="E840" s="450"/>
      <c r="F840" s="450"/>
      <c r="G840" s="450" t="s">
        <v>22877</v>
      </c>
      <c r="H840" s="450" t="s">
        <v>22878</v>
      </c>
      <c r="I840" s="450" t="s">
        <v>2346</v>
      </c>
      <c r="J840" s="450" t="s">
        <v>23281</v>
      </c>
      <c r="K840" s="450"/>
    </row>
    <row r="841" spans="1:11">
      <c r="A841" s="451" t="s">
        <v>20431</v>
      </c>
      <c r="B841" s="451" t="s">
        <v>2344</v>
      </c>
      <c r="C841" s="451" t="s">
        <v>2345</v>
      </c>
      <c r="D841" s="451" t="s">
        <v>2346</v>
      </c>
      <c r="E841" s="451" t="s">
        <v>2347</v>
      </c>
      <c r="F841" s="451"/>
      <c r="G841" s="451" t="s">
        <v>22877</v>
      </c>
      <c r="H841" s="451" t="s">
        <v>22878</v>
      </c>
      <c r="I841" s="451" t="s">
        <v>2346</v>
      </c>
      <c r="J841" s="451" t="s">
        <v>23281</v>
      </c>
      <c r="K841" s="451"/>
    </row>
    <row r="842" spans="1:11">
      <c r="A842" s="450" t="s">
        <v>22518</v>
      </c>
      <c r="B842" s="450" t="s">
        <v>22519</v>
      </c>
      <c r="C842" s="450" t="s">
        <v>22520</v>
      </c>
      <c r="D842" s="450"/>
      <c r="E842" s="450"/>
      <c r="F842" s="450"/>
      <c r="G842" s="450" t="s">
        <v>22877</v>
      </c>
      <c r="H842" s="450" t="s">
        <v>22878</v>
      </c>
      <c r="I842" s="450" t="s">
        <v>23282</v>
      </c>
      <c r="J842" s="450" t="s">
        <v>23283</v>
      </c>
      <c r="K842" s="450"/>
    </row>
    <row r="843" spans="1:11">
      <c r="A843" s="451" t="s">
        <v>29981</v>
      </c>
      <c r="B843" s="451" t="s">
        <v>29982</v>
      </c>
      <c r="C843" s="451" t="s">
        <v>29983</v>
      </c>
      <c r="D843" s="451"/>
      <c r="E843" s="451"/>
      <c r="F843" s="451"/>
      <c r="G843" s="451"/>
      <c r="H843" s="451"/>
      <c r="I843" s="451"/>
      <c r="J843" s="451"/>
      <c r="K843" s="451"/>
    </row>
    <row r="844" spans="1:11">
      <c r="A844" s="450" t="s">
        <v>21066</v>
      </c>
      <c r="B844" s="450" t="s">
        <v>22521</v>
      </c>
      <c r="C844" s="450" t="s">
        <v>22522</v>
      </c>
      <c r="D844" s="450"/>
      <c r="E844" s="450"/>
      <c r="F844" s="450"/>
      <c r="G844" s="450" t="s">
        <v>22877</v>
      </c>
      <c r="H844" s="450" t="s">
        <v>22878</v>
      </c>
      <c r="I844" s="450" t="s">
        <v>23284</v>
      </c>
      <c r="J844" s="450" t="s">
        <v>23285</v>
      </c>
      <c r="K844" s="450"/>
    </row>
    <row r="845" spans="1:11">
      <c r="A845" s="451" t="s">
        <v>21066</v>
      </c>
      <c r="B845" s="451" t="s">
        <v>21067</v>
      </c>
      <c r="C845" s="451" t="s">
        <v>13726</v>
      </c>
      <c r="D845" s="451" t="s">
        <v>21068</v>
      </c>
      <c r="E845" s="451" t="s">
        <v>21069</v>
      </c>
      <c r="F845" s="451" t="s">
        <v>21070</v>
      </c>
      <c r="G845" s="451" t="s">
        <v>22877</v>
      </c>
      <c r="H845" s="451" t="s">
        <v>22878</v>
      </c>
      <c r="I845" s="451" t="s">
        <v>21068</v>
      </c>
      <c r="J845" s="451" t="s">
        <v>30348</v>
      </c>
      <c r="K845" s="451"/>
    </row>
    <row r="846" spans="1:11" ht="15.5">
      <c r="A846" s="448" t="s">
        <v>30349</v>
      </c>
      <c r="B846" s="448" t="s">
        <v>30350</v>
      </c>
      <c r="C846" s="448" t="s">
        <v>30351</v>
      </c>
      <c r="D846" s="448"/>
      <c r="E846" s="448"/>
      <c r="F846" s="448"/>
      <c r="G846" s="448"/>
      <c r="H846" s="448"/>
      <c r="I846" s="448"/>
      <c r="J846" s="448"/>
      <c r="K846" s="448"/>
    </row>
    <row r="847" spans="1:11">
      <c r="A847" s="451" t="s">
        <v>21250</v>
      </c>
      <c r="B847" s="451" t="s">
        <v>21247</v>
      </c>
      <c r="C847" s="451" t="s">
        <v>21248</v>
      </c>
      <c r="D847" s="451" t="s">
        <v>21249</v>
      </c>
      <c r="E847" s="451"/>
      <c r="F847" s="451"/>
      <c r="G847" s="451" t="s">
        <v>22877</v>
      </c>
      <c r="H847" s="451" t="s">
        <v>22878</v>
      </c>
      <c r="I847" s="451" t="s">
        <v>21249</v>
      </c>
      <c r="J847" s="451" t="s">
        <v>30352</v>
      </c>
      <c r="K847" s="451"/>
    </row>
    <row r="848" spans="1:11">
      <c r="A848" s="450" t="s">
        <v>22523</v>
      </c>
      <c r="B848" s="450" t="s">
        <v>22524</v>
      </c>
      <c r="C848" s="450" t="s">
        <v>22525</v>
      </c>
      <c r="D848" s="450" t="s">
        <v>22526</v>
      </c>
      <c r="E848" s="450"/>
      <c r="F848" s="450"/>
      <c r="G848" s="450" t="s">
        <v>22877</v>
      </c>
      <c r="H848" s="450" t="s">
        <v>22878</v>
      </c>
      <c r="I848" s="450" t="s">
        <v>23286</v>
      </c>
      <c r="J848" s="450" t="s">
        <v>23287</v>
      </c>
      <c r="K848" s="450"/>
    </row>
    <row r="849" spans="1:11">
      <c r="A849" s="451" t="s">
        <v>20432</v>
      </c>
      <c r="B849" s="451" t="s">
        <v>2348</v>
      </c>
      <c r="C849" s="451" t="s">
        <v>2349</v>
      </c>
      <c r="D849" s="451" t="s">
        <v>2350</v>
      </c>
      <c r="E849" s="451"/>
      <c r="F849" s="451"/>
      <c r="G849" s="451" t="s">
        <v>22877</v>
      </c>
      <c r="H849" s="451" t="s">
        <v>22878</v>
      </c>
      <c r="I849" s="451" t="s">
        <v>32899</v>
      </c>
      <c r="J849" s="451" t="s">
        <v>23288</v>
      </c>
      <c r="K849" s="451"/>
    </row>
    <row r="850" spans="1:11">
      <c r="A850" s="450" t="s">
        <v>20432</v>
      </c>
      <c r="B850" s="450" t="s">
        <v>2348</v>
      </c>
      <c r="C850" s="450" t="s">
        <v>2349</v>
      </c>
      <c r="D850" s="450" t="s">
        <v>2350</v>
      </c>
      <c r="E850" s="450" t="s">
        <v>2351</v>
      </c>
      <c r="F850" s="450"/>
      <c r="G850" s="450" t="s">
        <v>22877</v>
      </c>
      <c r="H850" s="450" t="s">
        <v>22878</v>
      </c>
      <c r="I850" s="450" t="s">
        <v>2350</v>
      </c>
      <c r="J850" s="450" t="s">
        <v>23288</v>
      </c>
      <c r="K850" s="450"/>
    </row>
    <row r="851" spans="1:11">
      <c r="A851" s="451" t="s">
        <v>22527</v>
      </c>
      <c r="B851" s="451" t="s">
        <v>22528</v>
      </c>
      <c r="C851" s="451" t="s">
        <v>22529</v>
      </c>
      <c r="D851" s="451"/>
      <c r="E851" s="451"/>
      <c r="F851" s="451"/>
      <c r="G851" s="451" t="s">
        <v>22877</v>
      </c>
      <c r="H851" s="451" t="s">
        <v>22878</v>
      </c>
      <c r="I851" s="451" t="s">
        <v>23289</v>
      </c>
      <c r="J851" s="451" t="s">
        <v>23290</v>
      </c>
      <c r="K851" s="451"/>
    </row>
    <row r="852" spans="1:11">
      <c r="A852" s="450" t="s">
        <v>2403</v>
      </c>
      <c r="B852" s="450" t="s">
        <v>22530</v>
      </c>
      <c r="C852" s="450" t="s">
        <v>2405</v>
      </c>
      <c r="D852" s="450" t="s">
        <v>2406</v>
      </c>
      <c r="E852" s="450"/>
      <c r="F852" s="450"/>
      <c r="G852" s="450" t="s">
        <v>22877</v>
      </c>
      <c r="H852" s="450" t="s">
        <v>22878</v>
      </c>
      <c r="I852" s="450" t="s">
        <v>23291</v>
      </c>
      <c r="J852" s="450" t="s">
        <v>23292</v>
      </c>
      <c r="K852" s="450"/>
    </row>
    <row r="853" spans="1:11">
      <c r="A853" s="451" t="s">
        <v>2403</v>
      </c>
      <c r="B853" s="451" t="s">
        <v>2404</v>
      </c>
      <c r="C853" s="451" t="s">
        <v>2405</v>
      </c>
      <c r="D853" s="451" t="s">
        <v>2406</v>
      </c>
      <c r="E853" s="451" t="s">
        <v>2407</v>
      </c>
      <c r="F853" s="451"/>
      <c r="G853" s="451" t="s">
        <v>22877</v>
      </c>
      <c r="H853" s="451" t="s">
        <v>22878</v>
      </c>
      <c r="I853" s="451" t="s">
        <v>30353</v>
      </c>
      <c r="J853" s="451" t="s">
        <v>23292</v>
      </c>
      <c r="K853" s="451"/>
    </row>
    <row r="854" spans="1:11">
      <c r="A854" s="450" t="s">
        <v>20359</v>
      </c>
      <c r="B854" s="450" t="s">
        <v>2408</v>
      </c>
      <c r="C854" s="450" t="s">
        <v>2409</v>
      </c>
      <c r="D854" s="450"/>
      <c r="E854" s="450"/>
      <c r="F854" s="450"/>
      <c r="G854" s="450" t="s">
        <v>22877</v>
      </c>
      <c r="H854" s="450" t="s">
        <v>22878</v>
      </c>
      <c r="I854" s="450" t="s">
        <v>23293</v>
      </c>
      <c r="J854" s="450" t="s">
        <v>23294</v>
      </c>
      <c r="K854" s="450"/>
    </row>
    <row r="855" spans="1:11">
      <c r="A855" s="451" t="s">
        <v>22225</v>
      </c>
      <c r="B855" s="451" t="s">
        <v>22226</v>
      </c>
      <c r="C855" s="451" t="s">
        <v>12240</v>
      </c>
      <c r="D855" s="451"/>
      <c r="E855" s="451"/>
      <c r="F855" s="451"/>
      <c r="G855" s="451" t="s">
        <v>22877</v>
      </c>
      <c r="H855" s="451" t="s">
        <v>22878</v>
      </c>
      <c r="I855" s="451" t="s">
        <v>30354</v>
      </c>
      <c r="J855" s="451" t="s">
        <v>30355</v>
      </c>
      <c r="K855" s="451"/>
    </row>
    <row r="856" spans="1:11">
      <c r="A856" s="450" t="s">
        <v>22531</v>
      </c>
      <c r="B856" s="450" t="s">
        <v>22532</v>
      </c>
      <c r="C856" s="450" t="s">
        <v>22533</v>
      </c>
      <c r="D856" s="450"/>
      <c r="E856" s="450"/>
      <c r="F856" s="450"/>
      <c r="G856" s="450" t="s">
        <v>22877</v>
      </c>
      <c r="H856" s="450" t="s">
        <v>22878</v>
      </c>
      <c r="I856" s="450" t="s">
        <v>23295</v>
      </c>
      <c r="J856" s="450" t="s">
        <v>23296</v>
      </c>
      <c r="K856" s="450"/>
    </row>
    <row r="857" spans="1:11">
      <c r="A857" s="451" t="s">
        <v>20433</v>
      </c>
      <c r="B857" s="451" t="s">
        <v>2352</v>
      </c>
      <c r="C857" s="451" t="s">
        <v>2353</v>
      </c>
      <c r="D857" s="451" t="s">
        <v>2354</v>
      </c>
      <c r="E857" s="451"/>
      <c r="F857" s="451"/>
      <c r="G857" s="451" t="s">
        <v>22877</v>
      </c>
      <c r="H857" s="451" t="s">
        <v>22878</v>
      </c>
      <c r="I857" s="451" t="s">
        <v>2354</v>
      </c>
      <c r="J857" s="451" t="s">
        <v>32900</v>
      </c>
      <c r="K857" s="451"/>
    </row>
    <row r="858" spans="1:11">
      <c r="A858" s="450" t="s">
        <v>20433</v>
      </c>
      <c r="B858" s="450" t="s">
        <v>2352</v>
      </c>
      <c r="C858" s="450" t="s">
        <v>2353</v>
      </c>
      <c r="D858" s="450" t="s">
        <v>2354</v>
      </c>
      <c r="E858" s="450" t="s">
        <v>2355</v>
      </c>
      <c r="F858" s="450"/>
      <c r="G858" s="450" t="s">
        <v>22877</v>
      </c>
      <c r="H858" s="450" t="s">
        <v>22878</v>
      </c>
      <c r="I858" s="450" t="s">
        <v>2354</v>
      </c>
      <c r="J858" s="450" t="s">
        <v>30356</v>
      </c>
      <c r="K858" s="450"/>
    </row>
    <row r="859" spans="1:11">
      <c r="A859" s="451" t="s">
        <v>20357</v>
      </c>
      <c r="B859" s="451" t="s">
        <v>7283</v>
      </c>
      <c r="C859" s="451" t="s">
        <v>2431</v>
      </c>
      <c r="D859" s="451"/>
      <c r="E859" s="451"/>
      <c r="F859" s="451"/>
      <c r="G859" s="451" t="s">
        <v>22882</v>
      </c>
      <c r="H859" s="451" t="s">
        <v>22883</v>
      </c>
      <c r="I859" s="451" t="s">
        <v>23297</v>
      </c>
      <c r="J859" s="451" t="s">
        <v>23298</v>
      </c>
      <c r="K859" s="451"/>
    </row>
    <row r="860" spans="1:11">
      <c r="A860" s="450" t="s">
        <v>20357</v>
      </c>
      <c r="B860" s="450" t="s">
        <v>2430</v>
      </c>
      <c r="C860" s="450" t="s">
        <v>2431</v>
      </c>
      <c r="D860" s="450"/>
      <c r="E860" s="450"/>
      <c r="F860" s="450"/>
      <c r="G860" s="450" t="s">
        <v>22882</v>
      </c>
      <c r="H860" s="450" t="s">
        <v>22883</v>
      </c>
      <c r="I860" s="450"/>
      <c r="J860" s="450" t="s">
        <v>30357</v>
      </c>
      <c r="K860" s="450"/>
    </row>
    <row r="861" spans="1:11">
      <c r="A861" s="451" t="s">
        <v>21176</v>
      </c>
      <c r="B861" s="451" t="s">
        <v>21177</v>
      </c>
      <c r="C861" s="451" t="s">
        <v>1836</v>
      </c>
      <c r="D861" s="451" t="s">
        <v>21178</v>
      </c>
      <c r="E861" s="451"/>
      <c r="F861" s="451"/>
      <c r="G861" s="451" t="s">
        <v>22877</v>
      </c>
      <c r="H861" s="451" t="s">
        <v>22878</v>
      </c>
      <c r="I861" s="451" t="s">
        <v>30358</v>
      </c>
      <c r="J861" s="451" t="s">
        <v>30359</v>
      </c>
      <c r="K861" s="451"/>
    </row>
    <row r="862" spans="1:11">
      <c r="A862" s="450" t="s">
        <v>22534</v>
      </c>
      <c r="B862" s="450" t="s">
        <v>22535</v>
      </c>
      <c r="C862" s="450" t="s">
        <v>22536</v>
      </c>
      <c r="D862" s="450" t="s">
        <v>22537</v>
      </c>
      <c r="E862" s="450"/>
      <c r="F862" s="450"/>
      <c r="G862" s="450" t="s">
        <v>22877</v>
      </c>
      <c r="H862" s="450" t="s">
        <v>22878</v>
      </c>
      <c r="I862" s="450" t="s">
        <v>22537</v>
      </c>
      <c r="J862" s="450" t="s">
        <v>23299</v>
      </c>
      <c r="K862" s="450"/>
    </row>
    <row r="863" spans="1:11">
      <c r="A863" s="451" t="s">
        <v>21121</v>
      </c>
      <c r="B863" s="451" t="s">
        <v>21118</v>
      </c>
      <c r="C863" s="451" t="s">
        <v>21120</v>
      </c>
      <c r="D863" s="451" t="s">
        <v>21119</v>
      </c>
      <c r="E863" s="451"/>
      <c r="F863" s="451"/>
      <c r="G863" s="451" t="s">
        <v>22877</v>
      </c>
      <c r="H863" s="451" t="s">
        <v>22878</v>
      </c>
      <c r="I863" s="451" t="s">
        <v>30360</v>
      </c>
      <c r="J863" s="451" t="s">
        <v>30361</v>
      </c>
      <c r="K863" s="451"/>
    </row>
    <row r="864" spans="1:11">
      <c r="A864" s="450" t="s">
        <v>22538</v>
      </c>
      <c r="B864" s="450" t="s">
        <v>22539</v>
      </c>
      <c r="C864" s="450" t="s">
        <v>22540</v>
      </c>
      <c r="D864" s="450"/>
      <c r="E864" s="450"/>
      <c r="F864" s="450"/>
      <c r="G864" s="450" t="s">
        <v>22877</v>
      </c>
      <c r="H864" s="450" t="s">
        <v>22878</v>
      </c>
      <c r="I864" s="450" t="s">
        <v>23300</v>
      </c>
      <c r="J864" s="450" t="s">
        <v>23301</v>
      </c>
      <c r="K864" s="450"/>
    </row>
    <row r="865" spans="1:11">
      <c r="A865" s="451" t="s">
        <v>22079</v>
      </c>
      <c r="B865" s="451" t="s">
        <v>22076</v>
      </c>
      <c r="C865" s="451" t="s">
        <v>32901</v>
      </c>
      <c r="D865" s="451" t="s">
        <v>32902</v>
      </c>
      <c r="E865" s="451"/>
      <c r="F865" s="451"/>
      <c r="G865" s="451" t="s">
        <v>22877</v>
      </c>
      <c r="H865" s="451" t="s">
        <v>22878</v>
      </c>
      <c r="I865" s="451" t="s">
        <v>23302</v>
      </c>
      <c r="J865" s="451" t="s">
        <v>23303</v>
      </c>
      <c r="K865" s="451"/>
    </row>
    <row r="866" spans="1:11">
      <c r="A866" s="450" t="s">
        <v>22079</v>
      </c>
      <c r="B866" s="450" t="s">
        <v>22076</v>
      </c>
      <c r="C866" s="450" t="s">
        <v>22077</v>
      </c>
      <c r="D866" s="450" t="s">
        <v>22078</v>
      </c>
      <c r="E866" s="450"/>
      <c r="F866" s="450"/>
      <c r="G866" s="450" t="s">
        <v>22877</v>
      </c>
      <c r="H866" s="450" t="s">
        <v>22878</v>
      </c>
      <c r="I866" s="450" t="s">
        <v>23302</v>
      </c>
      <c r="J866" s="450" t="s">
        <v>23303</v>
      </c>
      <c r="K866" s="450"/>
    </row>
    <row r="867" spans="1:11">
      <c r="A867" s="451" t="s">
        <v>21251</v>
      </c>
      <c r="B867" s="451" t="s">
        <v>32903</v>
      </c>
      <c r="C867" s="451" t="s">
        <v>32904</v>
      </c>
      <c r="D867" s="451"/>
      <c r="E867" s="451"/>
      <c r="F867" s="451"/>
      <c r="G867" s="451" t="s">
        <v>22877</v>
      </c>
      <c r="H867" s="451" t="s">
        <v>22878</v>
      </c>
      <c r="I867" s="451" t="s">
        <v>32905</v>
      </c>
      <c r="J867" s="451" t="s">
        <v>32906</v>
      </c>
      <c r="K867" s="451"/>
    </row>
    <row r="868" spans="1:11">
      <c r="A868" s="450" t="s">
        <v>21251</v>
      </c>
      <c r="B868" s="450" t="s">
        <v>21252</v>
      </c>
      <c r="C868" s="450" t="s">
        <v>1444</v>
      </c>
      <c r="D868" s="450" t="s">
        <v>21253</v>
      </c>
      <c r="E868" s="450" t="s">
        <v>21254</v>
      </c>
      <c r="F868" s="450"/>
      <c r="G868" s="450" t="s">
        <v>22877</v>
      </c>
      <c r="H868" s="450" t="s">
        <v>22878</v>
      </c>
      <c r="I868" s="450" t="s">
        <v>21253</v>
      </c>
      <c r="J868" s="450" t="s">
        <v>30362</v>
      </c>
      <c r="K868" s="450"/>
    </row>
    <row r="869" spans="1:11">
      <c r="A869" s="451" t="s">
        <v>21213</v>
      </c>
      <c r="B869" s="451" t="s">
        <v>32907</v>
      </c>
      <c r="C869" s="451" t="s">
        <v>32908</v>
      </c>
      <c r="D869" s="451"/>
      <c r="E869" s="451"/>
      <c r="F869" s="451"/>
      <c r="G869" s="451" t="s">
        <v>22877</v>
      </c>
      <c r="H869" s="451" t="s">
        <v>22878</v>
      </c>
      <c r="I869" s="451" t="s">
        <v>23304</v>
      </c>
      <c r="J869" s="451" t="s">
        <v>32909</v>
      </c>
      <c r="K869" s="451"/>
    </row>
    <row r="870" spans="1:11">
      <c r="A870" s="450" t="s">
        <v>21213</v>
      </c>
      <c r="B870" s="450" t="s">
        <v>21215</v>
      </c>
      <c r="C870" s="450" t="s">
        <v>21214</v>
      </c>
      <c r="D870" s="450" t="s">
        <v>21216</v>
      </c>
      <c r="E870" s="450"/>
      <c r="F870" s="450"/>
      <c r="G870" s="450" t="s">
        <v>22877</v>
      </c>
      <c r="H870" s="450" t="s">
        <v>22878</v>
      </c>
      <c r="I870" s="450" t="s">
        <v>23304</v>
      </c>
      <c r="J870" s="450" t="s">
        <v>30363</v>
      </c>
      <c r="K870" s="450"/>
    </row>
    <row r="871" spans="1:11">
      <c r="A871" s="451" t="s">
        <v>22084</v>
      </c>
      <c r="B871" s="451" t="s">
        <v>22085</v>
      </c>
      <c r="C871" s="451" t="s">
        <v>22086</v>
      </c>
      <c r="D871" s="451" t="s">
        <v>22087</v>
      </c>
      <c r="E871" s="451"/>
      <c r="F871" s="451"/>
      <c r="G871" s="451" t="s">
        <v>22877</v>
      </c>
      <c r="H871" s="451" t="s">
        <v>22878</v>
      </c>
      <c r="I871" s="451" t="s">
        <v>2324</v>
      </c>
      <c r="J871" s="451" t="s">
        <v>30364</v>
      </c>
      <c r="K871" s="451"/>
    </row>
    <row r="872" spans="1:11">
      <c r="A872" s="450" t="s">
        <v>22092</v>
      </c>
      <c r="B872" s="450" t="s">
        <v>22093</v>
      </c>
      <c r="C872" s="450" t="s">
        <v>32910</v>
      </c>
      <c r="D872" s="450" t="s">
        <v>22095</v>
      </c>
      <c r="E872" s="450"/>
      <c r="F872" s="450"/>
      <c r="G872" s="450" t="s">
        <v>22877</v>
      </c>
      <c r="H872" s="450" t="s">
        <v>22878</v>
      </c>
      <c r="I872" s="450" t="s">
        <v>23305</v>
      </c>
      <c r="J872" s="450" t="s">
        <v>32911</v>
      </c>
      <c r="K872" s="450"/>
    </row>
    <row r="873" spans="1:11">
      <c r="A873" s="451" t="s">
        <v>22092</v>
      </c>
      <c r="B873" s="451" t="s">
        <v>22093</v>
      </c>
      <c r="C873" s="451" t="s">
        <v>22094</v>
      </c>
      <c r="D873" s="451" t="s">
        <v>22095</v>
      </c>
      <c r="E873" s="451"/>
      <c r="F873" s="451"/>
      <c r="G873" s="451" t="s">
        <v>22877</v>
      </c>
      <c r="H873" s="451" t="s">
        <v>22878</v>
      </c>
      <c r="I873" s="451" t="s">
        <v>23305</v>
      </c>
      <c r="J873" s="451" t="s">
        <v>30365</v>
      </c>
      <c r="K873" s="451"/>
    </row>
    <row r="874" spans="1:11">
      <c r="A874" s="450" t="s">
        <v>21277</v>
      </c>
      <c r="B874" s="450" t="s">
        <v>21278</v>
      </c>
      <c r="C874" s="450" t="s">
        <v>21279</v>
      </c>
      <c r="D874" s="450" t="s">
        <v>21280</v>
      </c>
      <c r="E874" s="450"/>
      <c r="F874" s="450"/>
      <c r="G874" s="450" t="s">
        <v>22882</v>
      </c>
      <c r="H874" s="450" t="s">
        <v>22883</v>
      </c>
      <c r="I874" s="450" t="s">
        <v>21280</v>
      </c>
      <c r="J874" s="450" t="s">
        <v>30366</v>
      </c>
      <c r="K874" s="450"/>
    </row>
    <row r="875" spans="1:11">
      <c r="A875" s="451" t="s">
        <v>20461</v>
      </c>
      <c r="B875" s="451" t="s">
        <v>20451</v>
      </c>
      <c r="C875" s="451" t="s">
        <v>1544</v>
      </c>
      <c r="D875" s="451" t="s">
        <v>2370</v>
      </c>
      <c r="E875" s="451"/>
      <c r="F875" s="451"/>
      <c r="G875" s="451" t="s">
        <v>22877</v>
      </c>
      <c r="H875" s="451" t="s">
        <v>22878</v>
      </c>
      <c r="I875" s="451" t="s">
        <v>32912</v>
      </c>
      <c r="J875" s="451" t="s">
        <v>32913</v>
      </c>
      <c r="K875" s="451"/>
    </row>
    <row r="876" spans="1:11">
      <c r="A876" s="450" t="s">
        <v>20461</v>
      </c>
      <c r="B876" s="450" t="s">
        <v>20451</v>
      </c>
      <c r="C876" s="450" t="s">
        <v>1544</v>
      </c>
      <c r="D876" s="450" t="s">
        <v>2370</v>
      </c>
      <c r="E876" s="450" t="s">
        <v>2371</v>
      </c>
      <c r="F876" s="450"/>
      <c r="G876" s="450" t="s">
        <v>22877</v>
      </c>
      <c r="H876" s="450" t="s">
        <v>22878</v>
      </c>
      <c r="I876" s="450" t="s">
        <v>30367</v>
      </c>
      <c r="J876" s="450" t="s">
        <v>30368</v>
      </c>
      <c r="K876" s="450"/>
    </row>
    <row r="877" spans="1:11">
      <c r="A877" s="451" t="s">
        <v>22541</v>
      </c>
      <c r="B877" s="451" t="s">
        <v>22542</v>
      </c>
      <c r="C877" s="451" t="s">
        <v>22543</v>
      </c>
      <c r="D877" s="451"/>
      <c r="E877" s="451"/>
      <c r="F877" s="451"/>
      <c r="G877" s="451" t="s">
        <v>22877</v>
      </c>
      <c r="H877" s="451" t="s">
        <v>22878</v>
      </c>
      <c r="I877" s="451" t="s">
        <v>23306</v>
      </c>
      <c r="J877" s="451" t="s">
        <v>23307</v>
      </c>
      <c r="K877" s="451"/>
    </row>
    <row r="878" spans="1:11">
      <c r="A878" s="450" t="s">
        <v>22544</v>
      </c>
      <c r="B878" s="450" t="s">
        <v>22545</v>
      </c>
      <c r="C878" s="450" t="s">
        <v>22546</v>
      </c>
      <c r="D878" s="450"/>
      <c r="E878" s="450"/>
      <c r="F878" s="450"/>
      <c r="G878" s="450" t="s">
        <v>22877</v>
      </c>
      <c r="H878" s="450" t="s">
        <v>22878</v>
      </c>
      <c r="I878" s="450" t="s">
        <v>23308</v>
      </c>
      <c r="J878" s="450" t="s">
        <v>23309</v>
      </c>
      <c r="K878" s="450"/>
    </row>
    <row r="879" spans="1:11">
      <c r="A879" s="451" t="s">
        <v>21141</v>
      </c>
      <c r="B879" s="451" t="s">
        <v>21142</v>
      </c>
      <c r="C879" s="451" t="s">
        <v>21144</v>
      </c>
      <c r="D879" s="451" t="s">
        <v>21143</v>
      </c>
      <c r="E879" s="451"/>
      <c r="F879" s="451" t="s">
        <v>21145</v>
      </c>
      <c r="G879" s="451" t="s">
        <v>22877</v>
      </c>
      <c r="H879" s="451" t="s">
        <v>22878</v>
      </c>
      <c r="I879" s="451" t="s">
        <v>30369</v>
      </c>
      <c r="J879" s="451" t="s">
        <v>30370</v>
      </c>
      <c r="K879" s="451"/>
    </row>
    <row r="880" spans="1:11">
      <c r="A880" s="450" t="s">
        <v>2410</v>
      </c>
      <c r="B880" s="450" t="s">
        <v>2411</v>
      </c>
      <c r="C880" s="450" t="s">
        <v>2412</v>
      </c>
      <c r="D880" s="450" t="s">
        <v>2413</v>
      </c>
      <c r="E880" s="450"/>
      <c r="F880" s="450"/>
      <c r="G880" s="450" t="s">
        <v>22877</v>
      </c>
      <c r="H880" s="450" t="s">
        <v>22878</v>
      </c>
      <c r="I880" s="450" t="s">
        <v>2413</v>
      </c>
      <c r="J880" s="450" t="s">
        <v>23310</v>
      </c>
      <c r="K880" s="450"/>
    </row>
    <row r="881" spans="1:11">
      <c r="A881" s="451" t="s">
        <v>2410</v>
      </c>
      <c r="B881" s="451" t="s">
        <v>2411</v>
      </c>
      <c r="C881" s="451" t="s">
        <v>2412</v>
      </c>
      <c r="D881" s="451" t="s">
        <v>2413</v>
      </c>
      <c r="E881" s="451" t="s">
        <v>2414</v>
      </c>
      <c r="F881" s="451"/>
      <c r="G881" s="451" t="s">
        <v>22877</v>
      </c>
      <c r="H881" s="451" t="s">
        <v>22878</v>
      </c>
      <c r="I881" s="451" t="s">
        <v>2413</v>
      </c>
      <c r="J881" s="451" t="s">
        <v>23310</v>
      </c>
      <c r="K881" s="451"/>
    </row>
    <row r="882" spans="1:11">
      <c r="A882" s="450" t="s">
        <v>22547</v>
      </c>
      <c r="B882" s="450" t="s">
        <v>22548</v>
      </c>
      <c r="C882" s="450" t="s">
        <v>9333</v>
      </c>
      <c r="D882" s="450" t="s">
        <v>22484</v>
      </c>
      <c r="E882" s="450"/>
      <c r="F882" s="450"/>
      <c r="G882" s="450" t="s">
        <v>22882</v>
      </c>
      <c r="H882" s="450" t="s">
        <v>22883</v>
      </c>
      <c r="I882" s="450" t="s">
        <v>23311</v>
      </c>
      <c r="J882" s="450" t="s">
        <v>23312</v>
      </c>
      <c r="K882" s="450"/>
    </row>
    <row r="883" spans="1:11">
      <c r="A883" s="451" t="s">
        <v>22549</v>
      </c>
      <c r="B883" s="451" t="s">
        <v>22550</v>
      </c>
      <c r="C883" s="451" t="s">
        <v>22551</v>
      </c>
      <c r="D883" s="451"/>
      <c r="E883" s="451"/>
      <c r="F883" s="451"/>
      <c r="G883" s="451" t="s">
        <v>22877</v>
      </c>
      <c r="H883" s="451" t="s">
        <v>22878</v>
      </c>
      <c r="I883" s="451" t="s">
        <v>23313</v>
      </c>
      <c r="J883" s="451" t="s">
        <v>23314</v>
      </c>
      <c r="K883" s="451"/>
    </row>
    <row r="884" spans="1:11">
      <c r="A884" s="450" t="s">
        <v>20434</v>
      </c>
      <c r="B884" s="450" t="s">
        <v>2372</v>
      </c>
      <c r="C884" s="450" t="s">
        <v>2373</v>
      </c>
      <c r="D884" s="450" t="s">
        <v>2374</v>
      </c>
      <c r="E884" s="450"/>
      <c r="F884" s="450"/>
      <c r="G884" s="450" t="s">
        <v>22877</v>
      </c>
      <c r="H884" s="450" t="s">
        <v>22878</v>
      </c>
      <c r="I884" s="450" t="s">
        <v>32914</v>
      </c>
      <c r="J884" s="450" t="s">
        <v>23315</v>
      </c>
      <c r="K884" s="450"/>
    </row>
    <row r="885" spans="1:11">
      <c r="A885" s="451" t="s">
        <v>20434</v>
      </c>
      <c r="B885" s="451" t="s">
        <v>2372</v>
      </c>
      <c r="C885" s="451" t="s">
        <v>2373</v>
      </c>
      <c r="D885" s="451" t="s">
        <v>2374</v>
      </c>
      <c r="E885" s="451" t="s">
        <v>2375</v>
      </c>
      <c r="F885" s="451"/>
      <c r="G885" s="451" t="s">
        <v>22882</v>
      </c>
      <c r="H885" s="451" t="s">
        <v>22883</v>
      </c>
      <c r="I885" s="451" t="s">
        <v>30371</v>
      </c>
      <c r="J885" s="451" t="s">
        <v>23315</v>
      </c>
      <c r="K885" s="451"/>
    </row>
    <row r="886" spans="1:11">
      <c r="A886" s="450" t="s">
        <v>21305</v>
      </c>
      <c r="B886" s="450" t="s">
        <v>21306</v>
      </c>
      <c r="C886" s="450" t="s">
        <v>32915</v>
      </c>
      <c r="D886" s="450"/>
      <c r="E886" s="450"/>
      <c r="F886" s="450"/>
      <c r="G886" s="450" t="s">
        <v>22877</v>
      </c>
      <c r="H886" s="450" t="s">
        <v>22878</v>
      </c>
      <c r="I886" s="450" t="s">
        <v>21307</v>
      </c>
      <c r="J886" s="450" t="s">
        <v>23316</v>
      </c>
      <c r="K886" s="450"/>
    </row>
    <row r="887" spans="1:11">
      <c r="A887" s="451" t="s">
        <v>21305</v>
      </c>
      <c r="B887" s="451" t="s">
        <v>21306</v>
      </c>
      <c r="C887" s="451" t="s">
        <v>21308</v>
      </c>
      <c r="D887" s="451" t="s">
        <v>21307</v>
      </c>
      <c r="E887" s="451"/>
      <c r="F887" s="451"/>
      <c r="G887" s="451" t="s">
        <v>22877</v>
      </c>
      <c r="H887" s="451" t="s">
        <v>22878</v>
      </c>
      <c r="I887" s="451" t="s">
        <v>21307</v>
      </c>
      <c r="J887" s="451" t="s">
        <v>23316</v>
      </c>
      <c r="K887" s="451"/>
    </row>
    <row r="888" spans="1:11">
      <c r="A888" s="450" t="s">
        <v>22117</v>
      </c>
      <c r="B888" s="450" t="s">
        <v>22552</v>
      </c>
      <c r="C888" s="450" t="s">
        <v>22553</v>
      </c>
      <c r="D888" s="450"/>
      <c r="E888" s="450"/>
      <c r="F888" s="450"/>
      <c r="G888" s="450" t="s">
        <v>22877</v>
      </c>
      <c r="H888" s="450" t="s">
        <v>22878</v>
      </c>
      <c r="I888" s="450" t="s">
        <v>23317</v>
      </c>
      <c r="J888" s="450" t="s">
        <v>23318</v>
      </c>
      <c r="K888" s="450"/>
    </row>
    <row r="889" spans="1:11">
      <c r="A889" s="451" t="s">
        <v>22117</v>
      </c>
      <c r="B889" s="451"/>
      <c r="C889" s="451" t="s">
        <v>13779</v>
      </c>
      <c r="D889" s="451" t="s">
        <v>22118</v>
      </c>
      <c r="E889" s="451"/>
      <c r="F889" s="451" t="s">
        <v>22119</v>
      </c>
      <c r="G889" s="451" t="s">
        <v>22877</v>
      </c>
      <c r="H889" s="451" t="s">
        <v>22878</v>
      </c>
      <c r="I889" s="451" t="s">
        <v>22118</v>
      </c>
      <c r="J889" s="451" t="s">
        <v>30372</v>
      </c>
      <c r="K889" s="451"/>
    </row>
    <row r="890" spans="1:11">
      <c r="A890" s="450" t="s">
        <v>22554</v>
      </c>
      <c r="B890" s="450" t="s">
        <v>22555</v>
      </c>
      <c r="C890" s="450" t="s">
        <v>22556</v>
      </c>
      <c r="D890" s="450"/>
      <c r="E890" s="450"/>
      <c r="F890" s="450"/>
      <c r="G890" s="450" t="s">
        <v>22877</v>
      </c>
      <c r="H890" s="450" t="s">
        <v>22878</v>
      </c>
      <c r="I890" s="450" t="s">
        <v>23319</v>
      </c>
      <c r="J890" s="450" t="s">
        <v>23320</v>
      </c>
      <c r="K890" s="450"/>
    </row>
    <row r="891" spans="1:11">
      <c r="A891" s="451" t="s">
        <v>20435</v>
      </c>
      <c r="B891" s="451" t="s">
        <v>20448</v>
      </c>
      <c r="C891" s="451" t="s">
        <v>8896</v>
      </c>
      <c r="D891" s="451" t="s">
        <v>20449</v>
      </c>
      <c r="E891" s="451"/>
      <c r="F891" s="451"/>
      <c r="G891" s="451" t="s">
        <v>22877</v>
      </c>
      <c r="H891" s="451" t="s">
        <v>22878</v>
      </c>
      <c r="I891" s="451" t="s">
        <v>20449</v>
      </c>
      <c r="J891" s="451" t="s">
        <v>23321</v>
      </c>
      <c r="K891" s="451"/>
    </row>
    <row r="892" spans="1:11">
      <c r="A892" s="450" t="s">
        <v>21351</v>
      </c>
      <c r="B892" s="450" t="s">
        <v>32916</v>
      </c>
      <c r="C892" s="450" t="s">
        <v>32917</v>
      </c>
      <c r="D892" s="450"/>
      <c r="E892" s="450"/>
      <c r="F892" s="450"/>
      <c r="G892" s="450" t="s">
        <v>22877</v>
      </c>
      <c r="H892" s="450" t="s">
        <v>22878</v>
      </c>
      <c r="I892" s="450" t="s">
        <v>23322</v>
      </c>
      <c r="J892" s="450" t="s">
        <v>32918</v>
      </c>
      <c r="K892" s="450"/>
    </row>
    <row r="893" spans="1:11">
      <c r="A893" s="451" t="s">
        <v>21351</v>
      </c>
      <c r="B893" s="451" t="s">
        <v>21353</v>
      </c>
      <c r="C893" s="451" t="s">
        <v>21352</v>
      </c>
      <c r="D893" s="451" t="s">
        <v>21354</v>
      </c>
      <c r="E893" s="451"/>
      <c r="F893" s="451"/>
      <c r="G893" s="451" t="s">
        <v>22877</v>
      </c>
      <c r="H893" s="451" t="s">
        <v>22878</v>
      </c>
      <c r="I893" s="451" t="s">
        <v>23322</v>
      </c>
      <c r="J893" s="451" t="s">
        <v>30373</v>
      </c>
      <c r="K893" s="451"/>
    </row>
    <row r="894" spans="1:11">
      <c r="A894" s="450" t="s">
        <v>22557</v>
      </c>
      <c r="B894" s="450" t="s">
        <v>15757</v>
      </c>
      <c r="C894" s="450" t="s">
        <v>15758</v>
      </c>
      <c r="D894" s="450" t="s">
        <v>15759</v>
      </c>
      <c r="E894" s="450"/>
      <c r="F894" s="450"/>
      <c r="G894" s="450" t="s">
        <v>22877</v>
      </c>
      <c r="H894" s="450" t="s">
        <v>22878</v>
      </c>
      <c r="I894" s="450" t="s">
        <v>23323</v>
      </c>
      <c r="J894" s="450" t="s">
        <v>23324</v>
      </c>
      <c r="K894" s="450"/>
    </row>
    <row r="895" spans="1:11">
      <c r="A895" s="451" t="s">
        <v>21173</v>
      </c>
      <c r="B895" s="451" t="s">
        <v>22558</v>
      </c>
      <c r="C895" s="451" t="s">
        <v>22559</v>
      </c>
      <c r="D895" s="451"/>
      <c r="E895" s="451"/>
      <c r="F895" s="451"/>
      <c r="G895" s="451" t="s">
        <v>22877</v>
      </c>
      <c r="H895" s="451" t="s">
        <v>22878</v>
      </c>
      <c r="I895" s="451" t="s">
        <v>21175</v>
      </c>
      <c r="J895" s="451" t="s">
        <v>23325</v>
      </c>
      <c r="K895" s="451"/>
    </row>
    <row r="896" spans="1:11">
      <c r="A896" s="450" t="s">
        <v>21173</v>
      </c>
      <c r="B896" s="450" t="s">
        <v>21172</v>
      </c>
      <c r="C896" s="450" t="s">
        <v>21174</v>
      </c>
      <c r="D896" s="450" t="s">
        <v>21175</v>
      </c>
      <c r="E896" s="450"/>
      <c r="F896" s="450"/>
      <c r="G896" s="450" t="s">
        <v>30374</v>
      </c>
      <c r="H896" s="450" t="s">
        <v>22878</v>
      </c>
      <c r="I896" s="450"/>
      <c r="J896" s="450" t="s">
        <v>30375</v>
      </c>
      <c r="K896" s="450"/>
    </row>
    <row r="897" spans="1:11">
      <c r="A897" s="451" t="s">
        <v>20358</v>
      </c>
      <c r="B897" s="451" t="s">
        <v>2426</v>
      </c>
      <c r="C897" s="451" t="s">
        <v>2427</v>
      </c>
      <c r="D897" s="451" t="s">
        <v>2428</v>
      </c>
      <c r="E897" s="451"/>
      <c r="F897" s="451"/>
      <c r="G897" s="451" t="s">
        <v>22877</v>
      </c>
      <c r="H897" s="451" t="s">
        <v>22878</v>
      </c>
      <c r="I897" s="451" t="s">
        <v>32919</v>
      </c>
      <c r="J897" s="451" t="s">
        <v>32920</v>
      </c>
      <c r="K897" s="451"/>
    </row>
    <row r="898" spans="1:11">
      <c r="A898" s="450" t="s">
        <v>20358</v>
      </c>
      <c r="B898" s="450" t="s">
        <v>2426</v>
      </c>
      <c r="C898" s="450" t="s">
        <v>2427</v>
      </c>
      <c r="D898" s="450" t="s">
        <v>2428</v>
      </c>
      <c r="E898" s="450" t="s">
        <v>2429</v>
      </c>
      <c r="F898" s="450"/>
      <c r="G898" s="450" t="s">
        <v>30376</v>
      </c>
      <c r="H898" s="450" t="s">
        <v>22878</v>
      </c>
      <c r="I898" s="450"/>
      <c r="J898" s="450" t="s">
        <v>2426</v>
      </c>
      <c r="K898" s="450"/>
    </row>
    <row r="899" spans="1:11">
      <c r="A899" s="451" t="s">
        <v>22182</v>
      </c>
      <c r="B899" s="451" t="s">
        <v>22183</v>
      </c>
      <c r="C899" s="451" t="s">
        <v>32921</v>
      </c>
      <c r="D899" s="451"/>
      <c r="E899" s="451"/>
      <c r="F899" s="451"/>
      <c r="G899" s="451" t="s">
        <v>22877</v>
      </c>
      <c r="H899" s="451" t="s">
        <v>22878</v>
      </c>
      <c r="I899" s="451" t="s">
        <v>32855</v>
      </c>
      <c r="J899" s="451" t="s">
        <v>32922</v>
      </c>
      <c r="K899" s="451"/>
    </row>
    <row r="900" spans="1:11">
      <c r="A900" s="450" t="s">
        <v>22182</v>
      </c>
      <c r="B900" s="450" t="s">
        <v>22183</v>
      </c>
      <c r="C900" s="450" t="s">
        <v>22184</v>
      </c>
      <c r="D900" s="450"/>
      <c r="E900" s="450"/>
      <c r="F900" s="450"/>
      <c r="G900" s="450" t="s">
        <v>30377</v>
      </c>
      <c r="H900" s="450" t="s">
        <v>22878</v>
      </c>
      <c r="I900" s="450"/>
      <c r="J900" s="450" t="s">
        <v>22183</v>
      </c>
      <c r="K900" s="450"/>
    </row>
    <row r="901" spans="1:11">
      <c r="A901" s="451" t="s">
        <v>20454</v>
      </c>
      <c r="B901" s="451" t="s">
        <v>20452</v>
      </c>
      <c r="C901" s="451" t="s">
        <v>20453</v>
      </c>
      <c r="D901" s="451" t="s">
        <v>20455</v>
      </c>
      <c r="E901" s="451"/>
      <c r="F901" s="451"/>
      <c r="G901" s="451" t="s">
        <v>22877</v>
      </c>
      <c r="H901" s="451" t="s">
        <v>22878</v>
      </c>
      <c r="I901" s="451" t="s">
        <v>20455</v>
      </c>
      <c r="J901" s="451" t="s">
        <v>23326</v>
      </c>
      <c r="K901" s="451"/>
    </row>
    <row r="902" spans="1:11">
      <c r="A902" s="450" t="s">
        <v>22143</v>
      </c>
      <c r="B902" s="450" t="s">
        <v>22144</v>
      </c>
      <c r="C902" s="450" t="s">
        <v>32923</v>
      </c>
      <c r="D902" s="450">
        <v>5403623741</v>
      </c>
      <c r="E902" s="450"/>
      <c r="F902" s="450"/>
      <c r="G902" s="450" t="s">
        <v>22877</v>
      </c>
      <c r="H902" s="450" t="s">
        <v>22878</v>
      </c>
      <c r="I902" s="450" t="s">
        <v>32924</v>
      </c>
      <c r="J902" s="450" t="s">
        <v>32925</v>
      </c>
      <c r="K902" s="450"/>
    </row>
    <row r="903" spans="1:11">
      <c r="A903" s="451" t="s">
        <v>22143</v>
      </c>
      <c r="B903" s="451" t="s">
        <v>22144</v>
      </c>
      <c r="C903" s="451" t="s">
        <v>22145</v>
      </c>
      <c r="D903" s="451"/>
      <c r="E903" s="451"/>
      <c r="F903" s="451"/>
      <c r="G903" s="451" t="s">
        <v>30378</v>
      </c>
      <c r="H903" s="451" t="s">
        <v>22878</v>
      </c>
      <c r="I903" s="451"/>
      <c r="J903" s="451" t="s">
        <v>22144</v>
      </c>
      <c r="K903" s="451"/>
    </row>
    <row r="904" spans="1:11">
      <c r="A904" s="450" t="s">
        <v>21041</v>
      </c>
      <c r="B904" s="450" t="s">
        <v>21042</v>
      </c>
      <c r="C904" s="450" t="s">
        <v>21043</v>
      </c>
      <c r="D904" s="450" t="s">
        <v>21044</v>
      </c>
      <c r="E904" s="450"/>
      <c r="F904" s="450"/>
      <c r="G904" s="450" t="s">
        <v>22882</v>
      </c>
      <c r="H904" s="450" t="s">
        <v>22883</v>
      </c>
      <c r="I904" s="450" t="s">
        <v>21044</v>
      </c>
      <c r="J904" s="450" t="s">
        <v>30379</v>
      </c>
      <c r="K904" s="450"/>
    </row>
    <row r="905" spans="1:11">
      <c r="A905" s="451" t="s">
        <v>21050</v>
      </c>
      <c r="B905" s="451" t="s">
        <v>21051</v>
      </c>
      <c r="C905" s="451" t="s">
        <v>21052</v>
      </c>
      <c r="D905" s="451"/>
      <c r="E905" s="451"/>
      <c r="F905" s="451"/>
      <c r="G905" s="451" t="s">
        <v>22877</v>
      </c>
      <c r="H905" s="451" t="s">
        <v>22878</v>
      </c>
      <c r="I905" s="451" t="s">
        <v>30380</v>
      </c>
      <c r="J905" s="451" t="s">
        <v>30381</v>
      </c>
      <c r="K905" s="451"/>
    </row>
    <row r="906" spans="1:11">
      <c r="A906" s="450" t="s">
        <v>22560</v>
      </c>
      <c r="B906" s="450" t="s">
        <v>22561</v>
      </c>
      <c r="C906" s="450" t="s">
        <v>22562</v>
      </c>
      <c r="D906" s="450"/>
      <c r="E906" s="450"/>
      <c r="F906" s="450"/>
      <c r="G906" s="450" t="s">
        <v>22877</v>
      </c>
      <c r="H906" s="450" t="s">
        <v>22878</v>
      </c>
      <c r="I906" s="450" t="s">
        <v>23327</v>
      </c>
      <c r="J906" s="450" t="s">
        <v>23328</v>
      </c>
      <c r="K906" s="450"/>
    </row>
    <row r="907" spans="1:11">
      <c r="A907" s="451" t="s">
        <v>21270</v>
      </c>
      <c r="B907" s="451"/>
      <c r="C907" s="451" t="s">
        <v>21271</v>
      </c>
      <c r="D907" s="451" t="s">
        <v>21272</v>
      </c>
      <c r="E907" s="451"/>
      <c r="F907" s="451"/>
      <c r="G907" s="451" t="s">
        <v>22877</v>
      </c>
      <c r="H907" s="451" t="s">
        <v>22878</v>
      </c>
      <c r="I907" s="451" t="s">
        <v>30382</v>
      </c>
      <c r="J907" s="451" t="s">
        <v>30383</v>
      </c>
      <c r="K907" s="451"/>
    </row>
    <row r="908" spans="1:11">
      <c r="A908" s="450" t="s">
        <v>22563</v>
      </c>
      <c r="B908" s="450" t="s">
        <v>22564</v>
      </c>
      <c r="C908" s="450" t="s">
        <v>22565</v>
      </c>
      <c r="D908" s="450"/>
      <c r="E908" s="450"/>
      <c r="F908" s="450" t="s">
        <v>22566</v>
      </c>
      <c r="G908" s="450" t="s">
        <v>22877</v>
      </c>
      <c r="H908" s="450" t="s">
        <v>22878</v>
      </c>
      <c r="I908" s="450" t="s">
        <v>23329</v>
      </c>
      <c r="J908" s="450" t="s">
        <v>23330</v>
      </c>
      <c r="K908" s="450"/>
    </row>
    <row r="909" spans="1:11">
      <c r="A909" s="451" t="s">
        <v>20436</v>
      </c>
      <c r="B909" s="451" t="s">
        <v>32926</v>
      </c>
      <c r="C909" s="451" t="s">
        <v>2357</v>
      </c>
      <c r="D909" s="451" t="s">
        <v>2358</v>
      </c>
      <c r="E909" s="451"/>
      <c r="F909" s="451"/>
      <c r="G909" s="451" t="s">
        <v>22877</v>
      </c>
      <c r="H909" s="451" t="s">
        <v>22878</v>
      </c>
      <c r="I909" s="451" t="s">
        <v>23331</v>
      </c>
      <c r="J909" s="451" t="s">
        <v>32927</v>
      </c>
      <c r="K909" s="451"/>
    </row>
    <row r="910" spans="1:11">
      <c r="A910" s="450" t="s">
        <v>20436</v>
      </c>
      <c r="B910" s="450" t="s">
        <v>2356</v>
      </c>
      <c r="C910" s="450" t="s">
        <v>2357</v>
      </c>
      <c r="D910" s="450" t="s">
        <v>2358</v>
      </c>
      <c r="E910" s="450" t="s">
        <v>2359</v>
      </c>
      <c r="F910" s="450"/>
      <c r="G910" s="450" t="s">
        <v>22877</v>
      </c>
      <c r="H910" s="450" t="s">
        <v>22878</v>
      </c>
      <c r="I910" s="450" t="s">
        <v>23331</v>
      </c>
      <c r="J910" s="450" t="s">
        <v>30384</v>
      </c>
      <c r="K910" s="450"/>
    </row>
    <row r="911" spans="1:11">
      <c r="A911" s="451" t="s">
        <v>20437</v>
      </c>
      <c r="B911" s="451" t="s">
        <v>2360</v>
      </c>
      <c r="C911" s="451" t="s">
        <v>2361</v>
      </c>
      <c r="D911" s="451" t="s">
        <v>2362</v>
      </c>
      <c r="E911" s="451"/>
      <c r="F911" s="451"/>
      <c r="G911" s="451" t="s">
        <v>22877</v>
      </c>
      <c r="H911" s="451" t="s">
        <v>22878</v>
      </c>
      <c r="I911" s="451" t="s">
        <v>2362</v>
      </c>
      <c r="J911" s="451" t="s">
        <v>23332</v>
      </c>
      <c r="K911" s="451"/>
    </row>
    <row r="912" spans="1:11">
      <c r="A912" s="450" t="s">
        <v>20437</v>
      </c>
      <c r="B912" s="450" t="s">
        <v>2360</v>
      </c>
      <c r="C912" s="450" t="s">
        <v>2361</v>
      </c>
      <c r="D912" s="450" t="s">
        <v>2362</v>
      </c>
      <c r="E912" s="450" t="s">
        <v>2363</v>
      </c>
      <c r="F912" s="450"/>
      <c r="G912" s="450" t="s">
        <v>22877</v>
      </c>
      <c r="H912" s="450" t="s">
        <v>22878</v>
      </c>
      <c r="I912" s="450" t="s">
        <v>2362</v>
      </c>
      <c r="J912" s="450" t="s">
        <v>23332</v>
      </c>
      <c r="K912" s="450"/>
    </row>
    <row r="913" spans="1:11">
      <c r="A913" s="451" t="s">
        <v>21133</v>
      </c>
      <c r="B913" s="451" t="s">
        <v>21134</v>
      </c>
      <c r="C913" s="451" t="s">
        <v>14988</v>
      </c>
      <c r="D913" s="451" t="s">
        <v>21135</v>
      </c>
      <c r="E913" s="451"/>
      <c r="F913" s="451"/>
      <c r="G913" s="451" t="s">
        <v>22877</v>
      </c>
      <c r="H913" s="451" t="s">
        <v>22878</v>
      </c>
      <c r="I913" s="451" t="s">
        <v>21135</v>
      </c>
      <c r="J913" s="451" t="s">
        <v>30385</v>
      </c>
      <c r="K913" s="451"/>
    </row>
    <row r="914" spans="1:11">
      <c r="A914" s="450" t="s">
        <v>22567</v>
      </c>
      <c r="B914" s="450" t="s">
        <v>22568</v>
      </c>
      <c r="C914" s="450" t="s">
        <v>22569</v>
      </c>
      <c r="D914" s="450" t="s">
        <v>22570</v>
      </c>
      <c r="E914" s="450"/>
      <c r="F914" s="450"/>
      <c r="G914" s="450" t="s">
        <v>22882</v>
      </c>
      <c r="H914" s="450" t="s">
        <v>22883</v>
      </c>
      <c r="I914" s="450" t="s">
        <v>23253</v>
      </c>
      <c r="J914" s="450" t="s">
        <v>23333</v>
      </c>
      <c r="K914" s="450"/>
    </row>
    <row r="915" spans="1:11">
      <c r="A915" s="451" t="s">
        <v>21297</v>
      </c>
      <c r="B915" s="451" t="s">
        <v>21298</v>
      </c>
      <c r="C915" s="451" t="s">
        <v>21299</v>
      </c>
      <c r="D915" s="451" t="s">
        <v>21300</v>
      </c>
      <c r="E915" s="451"/>
      <c r="F915" s="451"/>
      <c r="G915" s="451" t="s">
        <v>22877</v>
      </c>
      <c r="H915" s="451" t="s">
        <v>22878</v>
      </c>
      <c r="I915" s="451" t="s">
        <v>21300</v>
      </c>
      <c r="J915" s="451" t="s">
        <v>30386</v>
      </c>
      <c r="K915" s="451"/>
    </row>
    <row r="916" spans="1:11">
      <c r="A916" s="450" t="s">
        <v>22097</v>
      </c>
      <c r="B916" s="450" t="s">
        <v>32928</v>
      </c>
      <c r="C916" s="450" t="s">
        <v>22099</v>
      </c>
      <c r="D916" s="450"/>
      <c r="E916" s="450"/>
      <c r="F916" s="450"/>
      <c r="G916" s="450" t="s">
        <v>22877</v>
      </c>
      <c r="H916" s="450" t="s">
        <v>22878</v>
      </c>
      <c r="I916" s="450" t="s">
        <v>23334</v>
      </c>
      <c r="J916" s="450" t="s">
        <v>32929</v>
      </c>
      <c r="K916" s="450"/>
    </row>
    <row r="917" spans="1:11">
      <c r="A917" s="451" t="s">
        <v>22097</v>
      </c>
      <c r="B917" s="451" t="s">
        <v>22098</v>
      </c>
      <c r="C917" s="451" t="s">
        <v>22099</v>
      </c>
      <c r="D917" s="451" t="s">
        <v>22100</v>
      </c>
      <c r="E917" s="451"/>
      <c r="F917" s="451" t="s">
        <v>22101</v>
      </c>
      <c r="G917" s="451" t="s">
        <v>22877</v>
      </c>
      <c r="H917" s="451" t="s">
        <v>22878</v>
      </c>
      <c r="I917" s="451" t="s">
        <v>23334</v>
      </c>
      <c r="J917" s="451" t="s">
        <v>30387</v>
      </c>
      <c r="K917" s="451"/>
    </row>
    <row r="918" spans="1:11">
      <c r="A918" s="450" t="s">
        <v>20447</v>
      </c>
      <c r="B918" s="450" t="s">
        <v>22571</v>
      </c>
      <c r="C918" s="450" t="s">
        <v>2425</v>
      </c>
      <c r="D918" s="450"/>
      <c r="E918" s="450"/>
      <c r="F918" s="450"/>
      <c r="G918" s="450" t="s">
        <v>22877</v>
      </c>
      <c r="H918" s="450" t="s">
        <v>22878</v>
      </c>
      <c r="I918" s="450" t="s">
        <v>23335</v>
      </c>
      <c r="J918" s="450" t="s">
        <v>23336</v>
      </c>
      <c r="K918" s="450"/>
    </row>
    <row r="919" spans="1:11">
      <c r="A919" s="451" t="s">
        <v>20447</v>
      </c>
      <c r="B919" s="451" t="s">
        <v>2424</v>
      </c>
      <c r="C919" s="451" t="s">
        <v>2425</v>
      </c>
      <c r="D919" s="451"/>
      <c r="E919" s="451"/>
      <c r="F919" s="451"/>
      <c r="G919" s="451" t="s">
        <v>22877</v>
      </c>
      <c r="H919" s="451" t="s">
        <v>22878</v>
      </c>
      <c r="I919" s="451" t="s">
        <v>23334</v>
      </c>
      <c r="J919" s="451" t="s">
        <v>30388</v>
      </c>
      <c r="K919" s="451"/>
    </row>
    <row r="920" spans="1:11">
      <c r="A920" s="450" t="s">
        <v>22146</v>
      </c>
      <c r="B920" s="450" t="s">
        <v>32930</v>
      </c>
      <c r="C920" s="450" t="s">
        <v>32931</v>
      </c>
      <c r="D920" s="450" t="s">
        <v>32932</v>
      </c>
      <c r="E920" s="450"/>
      <c r="F920" s="450"/>
      <c r="G920" s="450" t="s">
        <v>22877</v>
      </c>
      <c r="H920" s="450" t="s">
        <v>22878</v>
      </c>
      <c r="I920" s="450" t="s">
        <v>23337</v>
      </c>
      <c r="J920" s="450" t="s">
        <v>32933</v>
      </c>
      <c r="K920" s="450"/>
    </row>
    <row r="921" spans="1:11">
      <c r="A921" s="451" t="s">
        <v>22146</v>
      </c>
      <c r="B921" s="451" t="s">
        <v>22147</v>
      </c>
      <c r="C921" s="451" t="s">
        <v>22148</v>
      </c>
      <c r="D921" s="451"/>
      <c r="E921" s="451"/>
      <c r="F921" s="451"/>
      <c r="G921" s="451" t="s">
        <v>22877</v>
      </c>
      <c r="H921" s="451" t="s">
        <v>22878</v>
      </c>
      <c r="I921" s="451" t="s">
        <v>23337</v>
      </c>
      <c r="J921" s="451" t="s">
        <v>30389</v>
      </c>
      <c r="K921" s="451"/>
    </row>
    <row r="922" spans="1:11">
      <c r="A922" s="450" t="s">
        <v>21217</v>
      </c>
      <c r="B922" s="450" t="s">
        <v>21218</v>
      </c>
      <c r="C922" s="450" t="s">
        <v>32934</v>
      </c>
      <c r="D922" s="450" t="s">
        <v>21219</v>
      </c>
      <c r="E922" s="450"/>
      <c r="F922" s="450"/>
      <c r="G922" s="450" t="s">
        <v>22877</v>
      </c>
      <c r="H922" s="450" t="s">
        <v>22878</v>
      </c>
      <c r="I922" s="450" t="s">
        <v>23338</v>
      </c>
      <c r="J922" s="450" t="s">
        <v>23339</v>
      </c>
      <c r="K922" s="450"/>
    </row>
    <row r="923" spans="1:11">
      <c r="A923" s="451" t="s">
        <v>21217</v>
      </c>
      <c r="B923" s="451" t="s">
        <v>21218</v>
      </c>
      <c r="C923" s="451" t="s">
        <v>21220</v>
      </c>
      <c r="D923" s="451" t="s">
        <v>21219</v>
      </c>
      <c r="E923" s="451"/>
      <c r="F923" s="451"/>
      <c r="G923" s="451" t="s">
        <v>22877</v>
      </c>
      <c r="H923" s="451" t="s">
        <v>22878</v>
      </c>
      <c r="I923" s="451" t="s">
        <v>23338</v>
      </c>
      <c r="J923" s="451" t="s">
        <v>23339</v>
      </c>
      <c r="K923" s="451"/>
    </row>
    <row r="924" spans="1:11">
      <c r="A924" s="450" t="s">
        <v>22572</v>
      </c>
      <c r="B924" s="450" t="s">
        <v>22573</v>
      </c>
      <c r="C924" s="450" t="s">
        <v>22574</v>
      </c>
      <c r="D924" s="450"/>
      <c r="E924" s="450"/>
      <c r="F924" s="450"/>
      <c r="G924" s="450" t="s">
        <v>22877</v>
      </c>
      <c r="H924" s="450" t="s">
        <v>22878</v>
      </c>
      <c r="I924" s="450" t="s">
        <v>21117</v>
      </c>
      <c r="J924" s="450" t="s">
        <v>23340</v>
      </c>
      <c r="K924" s="450"/>
    </row>
    <row r="925" spans="1:11">
      <c r="A925" s="451" t="s">
        <v>21114</v>
      </c>
      <c r="B925" s="451" t="s">
        <v>21116</v>
      </c>
      <c r="C925" s="451" t="s">
        <v>21115</v>
      </c>
      <c r="D925" s="451" t="s">
        <v>21117</v>
      </c>
      <c r="E925" s="451"/>
      <c r="F925" s="451"/>
      <c r="G925" s="451" t="s">
        <v>22877</v>
      </c>
      <c r="H925" s="451" t="s">
        <v>22878</v>
      </c>
      <c r="I925" s="451" t="s">
        <v>30390</v>
      </c>
      <c r="J925" s="451" t="s">
        <v>30391</v>
      </c>
      <c r="K925" s="451"/>
    </row>
    <row r="926" spans="1:11">
      <c r="A926" s="450" t="s">
        <v>20438</v>
      </c>
      <c r="B926" s="450" t="s">
        <v>20450</v>
      </c>
      <c r="C926" s="450" t="s">
        <v>17947</v>
      </c>
      <c r="D926" s="450" t="s">
        <v>2364</v>
      </c>
      <c r="E926" s="450"/>
      <c r="F926" s="450"/>
      <c r="G926" s="450" t="s">
        <v>22877</v>
      </c>
      <c r="H926" s="450" t="s">
        <v>22878</v>
      </c>
      <c r="I926" s="450" t="s">
        <v>32935</v>
      </c>
      <c r="J926" s="450" t="s">
        <v>23341</v>
      </c>
      <c r="K926" s="450"/>
    </row>
    <row r="927" spans="1:11">
      <c r="A927" s="451" t="s">
        <v>20438</v>
      </c>
      <c r="B927" s="451" t="s">
        <v>20450</v>
      </c>
      <c r="C927" s="451" t="s">
        <v>17947</v>
      </c>
      <c r="D927" s="451" t="s">
        <v>2364</v>
      </c>
      <c r="E927" s="451" t="s">
        <v>2365</v>
      </c>
      <c r="F927" s="451"/>
      <c r="G927" s="451" t="s">
        <v>22877</v>
      </c>
      <c r="H927" s="451" t="s">
        <v>22878</v>
      </c>
      <c r="I927" s="451" t="s">
        <v>2364</v>
      </c>
      <c r="J927" s="451" t="s">
        <v>23341</v>
      </c>
      <c r="K927" s="451"/>
    </row>
    <row r="928" spans="1:11">
      <c r="A928" s="450" t="s">
        <v>21029</v>
      </c>
      <c r="B928" s="450" t="s">
        <v>32936</v>
      </c>
      <c r="C928" s="450" t="s">
        <v>32937</v>
      </c>
      <c r="D928" s="450" t="s">
        <v>21032</v>
      </c>
      <c r="E928" s="450"/>
      <c r="F928" s="450"/>
      <c r="G928" s="450" t="s">
        <v>22877</v>
      </c>
      <c r="H928" s="450" t="s">
        <v>22878</v>
      </c>
      <c r="I928" s="450" t="s">
        <v>21032</v>
      </c>
      <c r="J928" s="450" t="s">
        <v>32938</v>
      </c>
      <c r="K928" s="450"/>
    </row>
    <row r="929" spans="1:11">
      <c r="A929" s="451" t="s">
        <v>21029</v>
      </c>
      <c r="B929" s="451" t="s">
        <v>21030</v>
      </c>
      <c r="C929" s="451" t="s">
        <v>21031</v>
      </c>
      <c r="D929" s="451" t="s">
        <v>21032</v>
      </c>
      <c r="E929" s="451"/>
      <c r="F929" s="451"/>
      <c r="G929" s="451" t="s">
        <v>22877</v>
      </c>
      <c r="H929" s="451" t="s">
        <v>22878</v>
      </c>
      <c r="I929" s="451" t="s">
        <v>21032</v>
      </c>
      <c r="J929" s="451" t="s">
        <v>30392</v>
      </c>
      <c r="K929" s="451"/>
    </row>
    <row r="930" spans="1:11">
      <c r="A930" s="450" t="s">
        <v>21347</v>
      </c>
      <c r="B930" s="450" t="s">
        <v>22575</v>
      </c>
      <c r="C930" s="450" t="s">
        <v>22576</v>
      </c>
      <c r="D930" s="450"/>
      <c r="E930" s="450"/>
      <c r="F930" s="450"/>
      <c r="G930" s="450" t="s">
        <v>22877</v>
      </c>
      <c r="H930" s="450" t="s">
        <v>22878</v>
      </c>
      <c r="I930" s="450" t="s">
        <v>23342</v>
      </c>
      <c r="J930" s="450" t="s">
        <v>23343</v>
      </c>
      <c r="K930" s="450"/>
    </row>
    <row r="931" spans="1:11">
      <c r="A931" s="451" t="s">
        <v>21347</v>
      </c>
      <c r="B931" s="451" t="s">
        <v>21349</v>
      </c>
      <c r="C931" s="451" t="s">
        <v>21348</v>
      </c>
      <c r="D931" s="451" t="s">
        <v>21350</v>
      </c>
      <c r="E931" s="451"/>
      <c r="F931" s="451"/>
      <c r="G931" s="451" t="s">
        <v>22877</v>
      </c>
      <c r="H931" s="451" t="s">
        <v>22878</v>
      </c>
      <c r="I931" s="451" t="s">
        <v>30393</v>
      </c>
      <c r="J931" s="451" t="s">
        <v>30394</v>
      </c>
      <c r="K931" s="451"/>
    </row>
    <row r="932" spans="1:11">
      <c r="A932" s="450" t="s">
        <v>21366</v>
      </c>
      <c r="B932" s="450" t="s">
        <v>21367</v>
      </c>
      <c r="C932" s="450" t="s">
        <v>21368</v>
      </c>
      <c r="D932" s="450"/>
      <c r="E932" s="450"/>
      <c r="F932" s="450"/>
      <c r="G932" s="450" t="s">
        <v>22877</v>
      </c>
      <c r="H932" s="450" t="s">
        <v>22878</v>
      </c>
      <c r="I932" s="450" t="s">
        <v>30395</v>
      </c>
      <c r="J932" s="450" t="s">
        <v>30396</v>
      </c>
      <c r="K932" s="450"/>
    </row>
    <row r="933" spans="1:11">
      <c r="A933" s="451" t="s">
        <v>21273</v>
      </c>
      <c r="B933" s="451" t="s">
        <v>21274</v>
      </c>
      <c r="C933" s="451" t="s">
        <v>32939</v>
      </c>
      <c r="D933" s="451"/>
      <c r="E933" s="451"/>
      <c r="F933" s="451"/>
      <c r="G933" s="451" t="s">
        <v>22877</v>
      </c>
      <c r="H933" s="451" t="s">
        <v>22878</v>
      </c>
      <c r="I933" s="451" t="s">
        <v>32940</v>
      </c>
      <c r="J933" s="451" t="s">
        <v>23344</v>
      </c>
      <c r="K933" s="451"/>
    </row>
    <row r="934" spans="1:11">
      <c r="A934" s="450" t="s">
        <v>21273</v>
      </c>
      <c r="B934" s="450" t="s">
        <v>21274</v>
      </c>
      <c r="C934" s="450" t="s">
        <v>21275</v>
      </c>
      <c r="D934" s="450" t="s">
        <v>21276</v>
      </c>
      <c r="E934" s="450"/>
      <c r="F934" s="450"/>
      <c r="G934" s="450" t="s">
        <v>22877</v>
      </c>
      <c r="H934" s="450" t="s">
        <v>22878</v>
      </c>
      <c r="I934" s="450" t="s">
        <v>30397</v>
      </c>
      <c r="J934" s="450" t="s">
        <v>23344</v>
      </c>
      <c r="K934" s="450"/>
    </row>
    <row r="935" spans="1:11">
      <c r="A935" s="451" t="s">
        <v>22577</v>
      </c>
      <c r="B935" s="451" t="s">
        <v>22578</v>
      </c>
      <c r="C935" s="451" t="s">
        <v>22579</v>
      </c>
      <c r="D935" s="451" t="s">
        <v>22580</v>
      </c>
      <c r="E935" s="451"/>
      <c r="F935" s="451"/>
      <c r="G935" s="451" t="s">
        <v>22877</v>
      </c>
      <c r="H935" s="451" t="s">
        <v>22878</v>
      </c>
      <c r="I935" s="451" t="s">
        <v>23345</v>
      </c>
      <c r="J935" s="451" t="s">
        <v>23346</v>
      </c>
      <c r="K935" s="451"/>
    </row>
    <row r="936" spans="1:11">
      <c r="A936" s="450" t="s">
        <v>20439</v>
      </c>
      <c r="B936" s="450" t="s">
        <v>32941</v>
      </c>
      <c r="C936" s="450" t="s">
        <v>2377</v>
      </c>
      <c r="D936" s="450" t="s">
        <v>2378</v>
      </c>
      <c r="E936" s="450"/>
      <c r="F936" s="450"/>
      <c r="G936" s="450" t="s">
        <v>22877</v>
      </c>
      <c r="H936" s="450" t="s">
        <v>22878</v>
      </c>
      <c r="I936" s="450" t="s">
        <v>2378</v>
      </c>
      <c r="J936" s="450" t="s">
        <v>32942</v>
      </c>
      <c r="K936" s="450"/>
    </row>
    <row r="937" spans="1:11">
      <c r="A937" s="451" t="s">
        <v>20439</v>
      </c>
      <c r="B937" s="451" t="s">
        <v>2376</v>
      </c>
      <c r="C937" s="451" t="s">
        <v>2377</v>
      </c>
      <c r="D937" s="451" t="s">
        <v>2378</v>
      </c>
      <c r="E937" s="451" t="s">
        <v>2379</v>
      </c>
      <c r="F937" s="451"/>
      <c r="G937" s="451" t="s">
        <v>22877</v>
      </c>
      <c r="H937" s="451" t="s">
        <v>22878</v>
      </c>
      <c r="I937" s="451" t="s">
        <v>2378</v>
      </c>
      <c r="J937" s="451" t="s">
        <v>30398</v>
      </c>
      <c r="K937" s="451"/>
    </row>
    <row r="938" spans="1:11">
      <c r="A938" s="450" t="s">
        <v>21110</v>
      </c>
      <c r="B938" s="450" t="s">
        <v>21111</v>
      </c>
      <c r="C938" s="450" t="s">
        <v>21113</v>
      </c>
      <c r="D938" s="450" t="s">
        <v>21112</v>
      </c>
      <c r="E938" s="450"/>
      <c r="F938" s="450"/>
      <c r="G938" s="450" t="s">
        <v>22877</v>
      </c>
      <c r="H938" s="450" t="s">
        <v>22878</v>
      </c>
      <c r="I938" s="450" t="s">
        <v>21112</v>
      </c>
      <c r="J938" s="450" t="s">
        <v>30399</v>
      </c>
      <c r="K938" s="450"/>
    </row>
    <row r="939" spans="1:11">
      <c r="A939" s="451" t="s">
        <v>21189</v>
      </c>
      <c r="B939" s="451" t="s">
        <v>32943</v>
      </c>
      <c r="C939" s="451" t="s">
        <v>32944</v>
      </c>
      <c r="D939" s="451"/>
      <c r="E939" s="451"/>
      <c r="F939" s="451"/>
      <c r="G939" s="451" t="s">
        <v>22877</v>
      </c>
      <c r="H939" s="451" t="s">
        <v>22878</v>
      </c>
      <c r="I939" s="451" t="s">
        <v>23347</v>
      </c>
      <c r="J939" s="451" t="s">
        <v>32945</v>
      </c>
      <c r="K939" s="451"/>
    </row>
    <row r="940" spans="1:11">
      <c r="A940" s="450" t="s">
        <v>21189</v>
      </c>
      <c r="B940" s="450" t="s">
        <v>21191</v>
      </c>
      <c r="C940" s="450" t="s">
        <v>21190</v>
      </c>
      <c r="D940" s="450" t="s">
        <v>21192</v>
      </c>
      <c r="E940" s="450"/>
      <c r="F940" s="450"/>
      <c r="G940" s="450" t="s">
        <v>22877</v>
      </c>
      <c r="H940" s="450" t="s">
        <v>22878</v>
      </c>
      <c r="I940" s="450" t="s">
        <v>23347</v>
      </c>
      <c r="J940" s="450" t="s">
        <v>30400</v>
      </c>
      <c r="K940" s="450"/>
    </row>
    <row r="941" spans="1:11">
      <c r="A941" s="451" t="s">
        <v>20459</v>
      </c>
      <c r="B941" s="451" t="s">
        <v>2315</v>
      </c>
      <c r="C941" s="451" t="s">
        <v>12941</v>
      </c>
      <c r="D941" s="451" t="s">
        <v>2317</v>
      </c>
      <c r="E941" s="451"/>
      <c r="F941" s="451"/>
      <c r="G941" s="451" t="s">
        <v>22877</v>
      </c>
      <c r="H941" s="451" t="s">
        <v>22878</v>
      </c>
      <c r="I941" s="451" t="s">
        <v>32946</v>
      </c>
      <c r="J941" s="451" t="s">
        <v>32947</v>
      </c>
      <c r="K941" s="451"/>
    </row>
    <row r="942" spans="1:11">
      <c r="A942" s="450" t="s">
        <v>20459</v>
      </c>
      <c r="B942" s="450" t="s">
        <v>2315</v>
      </c>
      <c r="C942" s="450" t="s">
        <v>2316</v>
      </c>
      <c r="D942" s="450" t="s">
        <v>2317</v>
      </c>
      <c r="E942" s="450" t="s">
        <v>2318</v>
      </c>
      <c r="F942" s="450"/>
      <c r="G942" s="450" t="s">
        <v>22877</v>
      </c>
      <c r="H942" s="450" t="s">
        <v>22878</v>
      </c>
      <c r="I942" s="450" t="s">
        <v>2317</v>
      </c>
      <c r="J942" s="450" t="s">
        <v>30401</v>
      </c>
      <c r="K942" s="450"/>
    </row>
    <row r="943" spans="1:11">
      <c r="A943" s="451" t="s">
        <v>20440</v>
      </c>
      <c r="B943" s="451" t="s">
        <v>20361</v>
      </c>
      <c r="C943" s="451" t="s">
        <v>12255</v>
      </c>
      <c r="D943" s="451" t="s">
        <v>20362</v>
      </c>
      <c r="E943" s="451"/>
      <c r="F943" s="451" t="s">
        <v>20363</v>
      </c>
      <c r="G943" s="451" t="s">
        <v>22877</v>
      </c>
      <c r="H943" s="451" t="s">
        <v>22878</v>
      </c>
      <c r="I943" s="451" t="s">
        <v>20362</v>
      </c>
      <c r="J943" s="451" t="s">
        <v>23348</v>
      </c>
      <c r="K943" s="451"/>
    </row>
    <row r="944" spans="1:11">
      <c r="A944" s="450" t="s">
        <v>21156</v>
      </c>
      <c r="B944" s="450" t="s">
        <v>21157</v>
      </c>
      <c r="C944" s="450" t="s">
        <v>21158</v>
      </c>
      <c r="D944" s="450" t="s">
        <v>21159</v>
      </c>
      <c r="E944" s="450"/>
      <c r="F944" s="450"/>
      <c r="G944" s="450" t="s">
        <v>22877</v>
      </c>
      <c r="H944" s="450" t="s">
        <v>22878</v>
      </c>
      <c r="I944" s="450" t="s">
        <v>21159</v>
      </c>
      <c r="J944" s="450" t="s">
        <v>30402</v>
      </c>
      <c r="K944" s="450"/>
    </row>
    <row r="945" spans="1:11">
      <c r="A945" s="451" t="s">
        <v>22581</v>
      </c>
      <c r="B945" s="451" t="s">
        <v>22582</v>
      </c>
      <c r="C945" s="451" t="s">
        <v>22583</v>
      </c>
      <c r="D945" s="451"/>
      <c r="E945" s="451"/>
      <c r="F945" s="451"/>
      <c r="G945" s="451" t="s">
        <v>22877</v>
      </c>
      <c r="H945" s="451" t="s">
        <v>22878</v>
      </c>
      <c r="I945" s="451" t="s">
        <v>23349</v>
      </c>
      <c r="J945" s="451" t="s">
        <v>23350</v>
      </c>
      <c r="K945" s="451"/>
    </row>
    <row r="946" spans="1:11">
      <c r="A946" s="450" t="s">
        <v>22584</v>
      </c>
      <c r="B946" s="450" t="s">
        <v>22585</v>
      </c>
      <c r="C946" s="450" t="s">
        <v>22586</v>
      </c>
      <c r="D946" s="450" t="s">
        <v>22587</v>
      </c>
      <c r="E946" s="450"/>
      <c r="F946" s="450"/>
      <c r="G946" s="450" t="s">
        <v>22882</v>
      </c>
      <c r="H946" s="450" t="s">
        <v>22883</v>
      </c>
      <c r="I946" s="450" t="s">
        <v>23351</v>
      </c>
      <c r="J946" s="450" t="s">
        <v>23352</v>
      </c>
      <c r="K946" s="450"/>
    </row>
    <row r="947" spans="1:11">
      <c r="A947" s="451" t="s">
        <v>22588</v>
      </c>
      <c r="B947" s="451" t="s">
        <v>22589</v>
      </c>
      <c r="C947" s="451" t="s">
        <v>22590</v>
      </c>
      <c r="D947" s="451" t="s">
        <v>22591</v>
      </c>
      <c r="E947" s="451"/>
      <c r="F947" s="451"/>
      <c r="G947" s="451" t="s">
        <v>22877</v>
      </c>
      <c r="H947" s="451" t="s">
        <v>22878</v>
      </c>
      <c r="I947" s="451" t="s">
        <v>23353</v>
      </c>
      <c r="J947" s="451" t="s">
        <v>23354</v>
      </c>
      <c r="K947" s="451"/>
    </row>
    <row r="948" spans="1:11">
      <c r="A948" s="450" t="s">
        <v>21150</v>
      </c>
      <c r="B948" s="450" t="s">
        <v>22592</v>
      </c>
      <c r="C948" s="450" t="s">
        <v>22593</v>
      </c>
      <c r="D948" s="450"/>
      <c r="E948" s="450"/>
      <c r="F948" s="450"/>
      <c r="G948" s="450" t="s">
        <v>22877</v>
      </c>
      <c r="H948" s="450" t="s">
        <v>22878</v>
      </c>
      <c r="I948" s="450" t="s">
        <v>23355</v>
      </c>
      <c r="J948" s="450" t="s">
        <v>23356</v>
      </c>
      <c r="K948" s="450"/>
    </row>
    <row r="949" spans="1:11">
      <c r="A949" s="451" t="s">
        <v>21150</v>
      </c>
      <c r="B949" s="451" t="s">
        <v>21151</v>
      </c>
      <c r="C949" s="451" t="s">
        <v>21152</v>
      </c>
      <c r="D949" s="451" t="s">
        <v>21153</v>
      </c>
      <c r="E949" s="451"/>
      <c r="F949" s="451"/>
      <c r="G949" s="451" t="s">
        <v>22877</v>
      </c>
      <c r="H949" s="451" t="s">
        <v>22878</v>
      </c>
      <c r="I949" s="451" t="s">
        <v>30403</v>
      </c>
      <c r="J949" s="451" t="s">
        <v>30404</v>
      </c>
      <c r="K949" s="451"/>
    </row>
    <row r="950" spans="1:11">
      <c r="A950" s="450" t="s">
        <v>22594</v>
      </c>
      <c r="B950" s="450" t="s">
        <v>22595</v>
      </c>
      <c r="C950" s="450" t="s">
        <v>22596</v>
      </c>
      <c r="D950" s="450" t="s">
        <v>22597</v>
      </c>
      <c r="E950" s="450"/>
      <c r="F950" s="450"/>
      <c r="G950" s="450" t="s">
        <v>22877</v>
      </c>
      <c r="H950" s="450" t="s">
        <v>22878</v>
      </c>
      <c r="I950" s="450" t="s">
        <v>23357</v>
      </c>
      <c r="J950" s="450" t="s">
        <v>23358</v>
      </c>
      <c r="K950" s="450"/>
    </row>
    <row r="951" spans="1:11">
      <c r="A951" s="451" t="s">
        <v>2415</v>
      </c>
      <c r="B951" s="451" t="s">
        <v>2416</v>
      </c>
      <c r="C951" s="451" t="s">
        <v>2417</v>
      </c>
      <c r="D951" s="451" t="s">
        <v>2418</v>
      </c>
      <c r="E951" s="451"/>
      <c r="F951" s="451"/>
      <c r="G951" s="451" t="s">
        <v>22882</v>
      </c>
      <c r="H951" s="451" t="s">
        <v>22883</v>
      </c>
      <c r="I951" s="451" t="s">
        <v>20449</v>
      </c>
      <c r="J951" s="451" t="s">
        <v>32948</v>
      </c>
      <c r="K951" s="451"/>
    </row>
    <row r="952" spans="1:11">
      <c r="A952" s="450" t="s">
        <v>2415</v>
      </c>
      <c r="B952" s="450" t="s">
        <v>2416</v>
      </c>
      <c r="C952" s="450" t="s">
        <v>2417</v>
      </c>
      <c r="D952" s="450" t="s">
        <v>2418</v>
      </c>
      <c r="E952" s="450" t="s">
        <v>2419</v>
      </c>
      <c r="F952" s="450"/>
      <c r="G952" s="450" t="s">
        <v>22882</v>
      </c>
      <c r="H952" s="450" t="s">
        <v>22883</v>
      </c>
      <c r="I952" s="450" t="s">
        <v>2418</v>
      </c>
      <c r="J952" s="450" t="s">
        <v>30405</v>
      </c>
      <c r="K952" s="450"/>
    </row>
    <row r="953" spans="1:11">
      <c r="A953" s="451" t="s">
        <v>22598</v>
      </c>
      <c r="B953" s="451" t="s">
        <v>22599</v>
      </c>
      <c r="C953" s="451" t="s">
        <v>22600</v>
      </c>
      <c r="D953" s="451" t="s">
        <v>22601</v>
      </c>
      <c r="E953" s="451"/>
      <c r="F953" s="451"/>
      <c r="G953" s="451" t="s">
        <v>22877</v>
      </c>
      <c r="H953" s="451" t="s">
        <v>22878</v>
      </c>
      <c r="I953" s="451" t="s">
        <v>22601</v>
      </c>
      <c r="J953" s="451" t="s">
        <v>23359</v>
      </c>
      <c r="K953" s="451"/>
    </row>
    <row r="954" spans="1:11">
      <c r="A954" s="450" t="s">
        <v>22602</v>
      </c>
      <c r="B954" s="450" t="s">
        <v>22603</v>
      </c>
      <c r="C954" s="450" t="s">
        <v>22604</v>
      </c>
      <c r="D954" s="450"/>
      <c r="E954" s="450"/>
      <c r="F954" s="450"/>
      <c r="G954" s="450" t="s">
        <v>22877</v>
      </c>
      <c r="H954" s="450" t="s">
        <v>22878</v>
      </c>
      <c r="I954" s="450" t="s">
        <v>23360</v>
      </c>
      <c r="J954" s="450" t="s">
        <v>23361</v>
      </c>
      <c r="K954" s="450"/>
    </row>
    <row r="955" spans="1:11">
      <c r="A955" s="451" t="s">
        <v>22605</v>
      </c>
      <c r="B955" s="451" t="s">
        <v>22606</v>
      </c>
      <c r="C955" s="451" t="s">
        <v>22607</v>
      </c>
      <c r="D955" s="451"/>
      <c r="E955" s="451"/>
      <c r="F955" s="451"/>
      <c r="G955" s="451" t="s">
        <v>22877</v>
      </c>
      <c r="H955" s="451" t="s">
        <v>22878</v>
      </c>
      <c r="I955" s="451" t="s">
        <v>23362</v>
      </c>
      <c r="J955" s="451" t="s">
        <v>23363</v>
      </c>
      <c r="K955" s="451"/>
    </row>
    <row r="956" spans="1:11">
      <c r="A956" s="450" t="s">
        <v>20441</v>
      </c>
      <c r="B956" s="450" t="s">
        <v>2366</v>
      </c>
      <c r="C956" s="450" t="s">
        <v>2367</v>
      </c>
      <c r="D956" s="450" t="s">
        <v>2368</v>
      </c>
      <c r="E956" s="450"/>
      <c r="F956" s="450"/>
      <c r="G956" s="450" t="s">
        <v>22877</v>
      </c>
      <c r="H956" s="450" t="s">
        <v>22878</v>
      </c>
      <c r="I956" s="450" t="s">
        <v>2368</v>
      </c>
      <c r="J956" s="450" t="s">
        <v>23364</v>
      </c>
      <c r="K956" s="450"/>
    </row>
    <row r="957" spans="1:11">
      <c r="A957" s="451" t="s">
        <v>20441</v>
      </c>
      <c r="B957" s="451" t="s">
        <v>2366</v>
      </c>
      <c r="C957" s="451" t="s">
        <v>2367</v>
      </c>
      <c r="D957" s="451" t="s">
        <v>2368</v>
      </c>
      <c r="E957" s="451" t="s">
        <v>2369</v>
      </c>
      <c r="F957" s="451"/>
      <c r="G957" s="451" t="s">
        <v>22877</v>
      </c>
      <c r="H957" s="451" t="s">
        <v>22878</v>
      </c>
      <c r="I957" s="451" t="s">
        <v>2368</v>
      </c>
      <c r="J957" s="451" t="s">
        <v>23364</v>
      </c>
      <c r="K957" s="451"/>
    </row>
    <row r="958" spans="1:11">
      <c r="A958" s="450" t="s">
        <v>2432</v>
      </c>
      <c r="B958" s="450"/>
      <c r="C958" s="450" t="s">
        <v>2433</v>
      </c>
      <c r="D958" s="450"/>
      <c r="E958" s="450"/>
      <c r="F958" s="450"/>
      <c r="G958" s="450" t="s">
        <v>22877</v>
      </c>
      <c r="H958" s="450" t="s">
        <v>22878</v>
      </c>
      <c r="I958" s="450" t="s">
        <v>32949</v>
      </c>
      <c r="J958" s="450" t="s">
        <v>22942</v>
      </c>
      <c r="K958" s="450"/>
    </row>
    <row r="959" spans="1:11">
      <c r="A959" s="451" t="s">
        <v>2434</v>
      </c>
      <c r="B959" s="451"/>
      <c r="C959" s="451" t="s">
        <v>2435</v>
      </c>
      <c r="D959" s="451"/>
      <c r="E959" s="451"/>
      <c r="F959" s="451"/>
      <c r="G959" s="451" t="s">
        <v>22877</v>
      </c>
      <c r="H959" s="451" t="s">
        <v>22878</v>
      </c>
      <c r="I959" s="451" t="s">
        <v>30406</v>
      </c>
      <c r="J959" s="451" t="s">
        <v>22942</v>
      </c>
      <c r="K959" s="451"/>
    </row>
    <row r="960" spans="1:11">
      <c r="A960" s="450" t="s">
        <v>32950</v>
      </c>
      <c r="B960" s="450" t="s">
        <v>2437</v>
      </c>
      <c r="C960" s="450" t="s">
        <v>2438</v>
      </c>
      <c r="D960" s="450" t="s">
        <v>2439</v>
      </c>
      <c r="E960" s="450"/>
      <c r="F960" s="450"/>
      <c r="G960" s="450" t="s">
        <v>22882</v>
      </c>
      <c r="H960" s="450" t="s">
        <v>22883</v>
      </c>
      <c r="I960" s="450" t="s">
        <v>2439</v>
      </c>
      <c r="J960" s="450" t="s">
        <v>32951</v>
      </c>
      <c r="K960" s="450"/>
    </row>
    <row r="961" spans="1:11">
      <c r="A961" s="451" t="s">
        <v>2436</v>
      </c>
      <c r="B961" s="451" t="s">
        <v>2437</v>
      </c>
      <c r="C961" s="451" t="s">
        <v>2438</v>
      </c>
      <c r="D961" s="451" t="s">
        <v>2439</v>
      </c>
      <c r="E961" s="451"/>
      <c r="F961" s="451"/>
      <c r="G961" s="451" t="s">
        <v>22882</v>
      </c>
      <c r="H961" s="451" t="s">
        <v>22883</v>
      </c>
      <c r="I961" s="451" t="s">
        <v>30407</v>
      </c>
      <c r="J961" s="451" t="s">
        <v>30408</v>
      </c>
      <c r="K961" s="451"/>
    </row>
    <row r="962" spans="1:11">
      <c r="A962" s="450" t="s">
        <v>32952</v>
      </c>
      <c r="B962" s="450"/>
      <c r="C962" s="450" t="s">
        <v>2441</v>
      </c>
      <c r="D962" s="450"/>
      <c r="E962" s="450"/>
      <c r="F962" s="450"/>
      <c r="G962" s="450" t="s">
        <v>22882</v>
      </c>
      <c r="H962" s="450" t="s">
        <v>22883</v>
      </c>
      <c r="I962" s="450" t="s">
        <v>32953</v>
      </c>
      <c r="J962" s="450" t="s">
        <v>22942</v>
      </c>
      <c r="K962" s="450"/>
    </row>
    <row r="963" spans="1:11">
      <c r="A963" s="451" t="s">
        <v>2440</v>
      </c>
      <c r="B963" s="451"/>
      <c r="C963" s="451" t="s">
        <v>2441</v>
      </c>
      <c r="D963" s="451"/>
      <c r="E963" s="451"/>
      <c r="F963" s="451"/>
      <c r="G963" s="451" t="s">
        <v>22882</v>
      </c>
      <c r="H963" s="451" t="s">
        <v>22883</v>
      </c>
      <c r="I963" s="451"/>
      <c r="J963" s="451" t="s">
        <v>22997</v>
      </c>
      <c r="K963" s="451"/>
    </row>
    <row r="964" spans="1:11">
      <c r="A964" s="450" t="s">
        <v>2442</v>
      </c>
      <c r="B964" s="450"/>
      <c r="C964" s="450" t="s">
        <v>2443</v>
      </c>
      <c r="D964" s="450"/>
      <c r="E964" s="450"/>
      <c r="F964" s="450"/>
      <c r="G964" s="450" t="s">
        <v>22882</v>
      </c>
      <c r="H964" s="450" t="s">
        <v>22883</v>
      </c>
      <c r="I964" s="450" t="s">
        <v>32954</v>
      </c>
      <c r="J964" s="450" t="s">
        <v>22939</v>
      </c>
      <c r="K964" s="450"/>
    </row>
    <row r="965" spans="1:11">
      <c r="A965" s="451" t="s">
        <v>2444</v>
      </c>
      <c r="B965" s="451"/>
      <c r="C965" s="451" t="s">
        <v>2445</v>
      </c>
      <c r="D965" s="451"/>
      <c r="E965" s="451"/>
      <c r="F965" s="451"/>
      <c r="G965" s="451" t="s">
        <v>22882</v>
      </c>
      <c r="H965" s="451" t="s">
        <v>22883</v>
      </c>
      <c r="I965" s="451" t="s">
        <v>32955</v>
      </c>
      <c r="J965" s="451" t="s">
        <v>22942</v>
      </c>
      <c r="K965" s="451"/>
    </row>
    <row r="966" spans="1:11">
      <c r="A966" s="450" t="s">
        <v>32956</v>
      </c>
      <c r="B966" s="450"/>
      <c r="C966" s="450" t="s">
        <v>1053</v>
      </c>
      <c r="D966" s="450"/>
      <c r="E966" s="450"/>
      <c r="F966" s="450"/>
      <c r="G966" s="450" t="s">
        <v>22877</v>
      </c>
      <c r="H966" s="450" t="s">
        <v>22878</v>
      </c>
      <c r="I966" s="450" t="s">
        <v>32957</v>
      </c>
      <c r="J966" s="450" t="s">
        <v>22942</v>
      </c>
      <c r="K966" s="450"/>
    </row>
    <row r="967" spans="1:11">
      <c r="A967" s="451" t="s">
        <v>2446</v>
      </c>
      <c r="B967" s="451"/>
      <c r="C967" s="451" t="s">
        <v>1053</v>
      </c>
      <c r="D967" s="451"/>
      <c r="E967" s="451"/>
      <c r="F967" s="451"/>
      <c r="G967" s="451" t="s">
        <v>22877</v>
      </c>
      <c r="H967" s="451" t="s">
        <v>22878</v>
      </c>
      <c r="I967" s="451" t="s">
        <v>32957</v>
      </c>
      <c r="J967" s="451" t="s">
        <v>23185</v>
      </c>
      <c r="K967" s="451"/>
    </row>
    <row r="968" spans="1:11">
      <c r="A968" s="450" t="s">
        <v>2447</v>
      </c>
      <c r="B968" s="450"/>
      <c r="C968" s="450" t="s">
        <v>2448</v>
      </c>
      <c r="D968" s="450"/>
      <c r="E968" s="450"/>
      <c r="F968" s="450"/>
      <c r="G968" s="450" t="s">
        <v>22877</v>
      </c>
      <c r="H968" s="450" t="s">
        <v>22878</v>
      </c>
      <c r="I968" s="450" t="s">
        <v>32958</v>
      </c>
      <c r="J968" s="450" t="s">
        <v>22939</v>
      </c>
      <c r="K968" s="450"/>
    </row>
    <row r="969" spans="1:11">
      <c r="A969" s="451" t="s">
        <v>32959</v>
      </c>
      <c r="B969" s="451"/>
      <c r="C969" s="451" t="s">
        <v>2448</v>
      </c>
      <c r="D969" s="451"/>
      <c r="E969" s="451"/>
      <c r="F969" s="451"/>
      <c r="G969" s="451" t="s">
        <v>22877</v>
      </c>
      <c r="H969" s="451" t="s">
        <v>22878</v>
      </c>
      <c r="I969" s="451" t="s">
        <v>32958</v>
      </c>
      <c r="J969" s="451" t="s">
        <v>22943</v>
      </c>
      <c r="K969" s="451"/>
    </row>
    <row r="970" spans="1:11">
      <c r="A970" s="450" t="s">
        <v>32960</v>
      </c>
      <c r="B970" s="450"/>
      <c r="C970" s="450" t="s">
        <v>2450</v>
      </c>
      <c r="D970" s="450"/>
      <c r="E970" s="450"/>
      <c r="F970" s="450"/>
      <c r="G970" s="450" t="s">
        <v>22877</v>
      </c>
      <c r="H970" s="450" t="s">
        <v>22878</v>
      </c>
      <c r="I970" s="450" t="s">
        <v>32961</v>
      </c>
      <c r="J970" s="450" t="s">
        <v>22948</v>
      </c>
      <c r="K970" s="450"/>
    </row>
    <row r="971" spans="1:11">
      <c r="A971" s="451" t="s">
        <v>2449</v>
      </c>
      <c r="B971" s="451"/>
      <c r="C971" s="451" t="s">
        <v>2450</v>
      </c>
      <c r="D971" s="451"/>
      <c r="E971" s="451"/>
      <c r="F971" s="451"/>
      <c r="G971" s="451" t="s">
        <v>22877</v>
      </c>
      <c r="H971" s="451" t="s">
        <v>22878</v>
      </c>
      <c r="I971" s="451" t="s">
        <v>32961</v>
      </c>
      <c r="J971" s="451" t="s">
        <v>28871</v>
      </c>
      <c r="K971" s="451"/>
    </row>
    <row r="972" spans="1:11">
      <c r="A972" s="450" t="s">
        <v>2451</v>
      </c>
      <c r="B972" s="450"/>
      <c r="C972" s="450" t="s">
        <v>2452</v>
      </c>
      <c r="D972" s="450"/>
      <c r="E972" s="450"/>
      <c r="F972" s="450"/>
      <c r="G972" s="450" t="s">
        <v>22882</v>
      </c>
      <c r="H972" s="450" t="s">
        <v>22883</v>
      </c>
      <c r="I972" s="450"/>
      <c r="J972" s="450" t="s">
        <v>22997</v>
      </c>
      <c r="K972" s="450"/>
    </row>
    <row r="973" spans="1:11">
      <c r="A973" s="451" t="s">
        <v>2453</v>
      </c>
      <c r="B973" s="451"/>
      <c r="C973" s="451" t="s">
        <v>2454</v>
      </c>
      <c r="D973" s="451"/>
      <c r="E973" s="451"/>
      <c r="F973" s="451"/>
      <c r="G973" s="451" t="s">
        <v>22882</v>
      </c>
      <c r="H973" s="451" t="s">
        <v>22883</v>
      </c>
      <c r="I973" s="451"/>
      <c r="J973" s="451" t="s">
        <v>23185</v>
      </c>
      <c r="K973" s="451"/>
    </row>
    <row r="974" spans="1:11">
      <c r="A974" s="450" t="s">
        <v>2455</v>
      </c>
      <c r="B974" s="450" t="s">
        <v>2456</v>
      </c>
      <c r="C974" s="450" t="s">
        <v>2457</v>
      </c>
      <c r="D974" s="450"/>
      <c r="E974" s="450"/>
      <c r="F974" s="450" t="s">
        <v>2458</v>
      </c>
      <c r="G974" s="450" t="s">
        <v>22882</v>
      </c>
      <c r="H974" s="450" t="s">
        <v>22883</v>
      </c>
      <c r="I974" s="450" t="s">
        <v>23365</v>
      </c>
      <c r="J974" s="450" t="s">
        <v>23366</v>
      </c>
      <c r="K974" s="450"/>
    </row>
    <row r="975" spans="1:11">
      <c r="A975" s="451" t="s">
        <v>32962</v>
      </c>
      <c r="B975" s="451" t="s">
        <v>2460</v>
      </c>
      <c r="C975" s="451" t="s">
        <v>2461</v>
      </c>
      <c r="D975" s="451" t="s">
        <v>2462</v>
      </c>
      <c r="E975" s="451"/>
      <c r="F975" s="451" t="s">
        <v>2464</v>
      </c>
      <c r="G975" s="451" t="s">
        <v>22882</v>
      </c>
      <c r="H975" s="451" t="s">
        <v>22883</v>
      </c>
      <c r="I975" s="451" t="s">
        <v>32963</v>
      </c>
      <c r="J975" s="451" t="s">
        <v>32964</v>
      </c>
      <c r="K975" s="451"/>
    </row>
    <row r="976" spans="1:11">
      <c r="A976" s="450" t="s">
        <v>2459</v>
      </c>
      <c r="B976" s="450" t="s">
        <v>2460</v>
      </c>
      <c r="C976" s="450" t="s">
        <v>2461</v>
      </c>
      <c r="D976" s="450" t="s">
        <v>2462</v>
      </c>
      <c r="E976" s="450" t="s">
        <v>2463</v>
      </c>
      <c r="F976" s="450" t="s">
        <v>2464</v>
      </c>
      <c r="G976" s="450" t="s">
        <v>22877</v>
      </c>
      <c r="H976" s="450" t="s">
        <v>22878</v>
      </c>
      <c r="I976" s="450" t="s">
        <v>2462</v>
      </c>
      <c r="J976" s="450" t="s">
        <v>30409</v>
      </c>
      <c r="K976" s="450"/>
    </row>
    <row r="977" spans="1:11">
      <c r="A977" s="451" t="s">
        <v>2465</v>
      </c>
      <c r="B977" s="451"/>
      <c r="C977" s="451" t="s">
        <v>2466</v>
      </c>
      <c r="D977" s="451"/>
      <c r="E977" s="451"/>
      <c r="F977" s="451"/>
      <c r="G977" s="451" t="s">
        <v>22877</v>
      </c>
      <c r="H977" s="451" t="s">
        <v>22878</v>
      </c>
      <c r="I977" s="451" t="s">
        <v>32965</v>
      </c>
      <c r="J977" s="451" t="s">
        <v>23185</v>
      </c>
      <c r="K977" s="451"/>
    </row>
    <row r="978" spans="1:11">
      <c r="A978" s="450" t="s">
        <v>32966</v>
      </c>
      <c r="B978" s="450"/>
      <c r="C978" s="450" t="s">
        <v>2466</v>
      </c>
      <c r="D978" s="450"/>
      <c r="E978" s="450"/>
      <c r="F978" s="450"/>
      <c r="G978" s="450" t="s">
        <v>22877</v>
      </c>
      <c r="H978" s="450" t="s">
        <v>22878</v>
      </c>
      <c r="I978" s="450" t="s">
        <v>32967</v>
      </c>
      <c r="J978" s="450" t="s">
        <v>22942</v>
      </c>
      <c r="K978" s="450"/>
    </row>
    <row r="979" spans="1:11">
      <c r="A979" s="451" t="s">
        <v>2467</v>
      </c>
      <c r="B979" s="451"/>
      <c r="C979" s="451" t="s">
        <v>2468</v>
      </c>
      <c r="D979" s="451"/>
      <c r="E979" s="451"/>
      <c r="F979" s="451"/>
      <c r="G979" s="451" t="s">
        <v>22877</v>
      </c>
      <c r="H979" s="451" t="s">
        <v>22878</v>
      </c>
      <c r="I979" s="451" t="s">
        <v>32968</v>
      </c>
      <c r="J979" s="451" t="s">
        <v>23185</v>
      </c>
      <c r="K979" s="451"/>
    </row>
    <row r="980" spans="1:11">
      <c r="A980" s="450" t="s">
        <v>2469</v>
      </c>
      <c r="B980" s="450"/>
      <c r="C980" s="450" t="s">
        <v>2470</v>
      </c>
      <c r="D980" s="450"/>
      <c r="E980" s="450"/>
      <c r="F980" s="450"/>
      <c r="G980" s="450" t="s">
        <v>22877</v>
      </c>
      <c r="H980" s="450" t="s">
        <v>22878</v>
      </c>
      <c r="I980" s="450" t="s">
        <v>23367</v>
      </c>
      <c r="J980" s="450" t="s">
        <v>23185</v>
      </c>
      <c r="K980" s="450"/>
    </row>
    <row r="981" spans="1:11">
      <c r="A981" s="451" t="s">
        <v>22608</v>
      </c>
      <c r="B981" s="451" t="s">
        <v>22609</v>
      </c>
      <c r="C981" s="451" t="s">
        <v>22610</v>
      </c>
      <c r="D981" s="451"/>
      <c r="E981" s="451"/>
      <c r="F981" s="451"/>
      <c r="G981" s="451" t="s">
        <v>22877</v>
      </c>
      <c r="H981" s="451" t="s">
        <v>22878</v>
      </c>
      <c r="I981" s="451" t="s">
        <v>23368</v>
      </c>
      <c r="J981" s="451" t="s">
        <v>23369</v>
      </c>
      <c r="K981" s="451"/>
    </row>
    <row r="982" spans="1:11">
      <c r="A982" s="450" t="s">
        <v>21452</v>
      </c>
      <c r="B982" s="450"/>
      <c r="C982" s="450" t="s">
        <v>1725</v>
      </c>
      <c r="D982" s="450"/>
      <c r="E982" s="450"/>
      <c r="F982" s="450"/>
      <c r="G982" s="450" t="s">
        <v>22877</v>
      </c>
      <c r="H982" s="450" t="s">
        <v>22878</v>
      </c>
      <c r="I982" s="450" t="s">
        <v>32969</v>
      </c>
      <c r="J982" s="450" t="s">
        <v>23185</v>
      </c>
      <c r="K982" s="450"/>
    </row>
    <row r="983" spans="1:11">
      <c r="A983" s="451" t="s">
        <v>2471</v>
      </c>
      <c r="B983" s="451"/>
      <c r="C983" s="451" t="s">
        <v>2472</v>
      </c>
      <c r="D983" s="451"/>
      <c r="E983" s="451"/>
      <c r="F983" s="451"/>
      <c r="G983" s="451" t="s">
        <v>22882</v>
      </c>
      <c r="H983" s="451" t="s">
        <v>22883</v>
      </c>
      <c r="I983" s="451" t="s">
        <v>32970</v>
      </c>
      <c r="J983" s="451" t="s">
        <v>22939</v>
      </c>
      <c r="K983" s="451"/>
    </row>
    <row r="984" spans="1:11">
      <c r="A984" s="450" t="s">
        <v>2473</v>
      </c>
      <c r="B984" s="450"/>
      <c r="C984" s="450" t="s">
        <v>2474</v>
      </c>
      <c r="D984" s="450"/>
      <c r="E984" s="450"/>
      <c r="F984" s="450"/>
      <c r="G984" s="450" t="s">
        <v>22882</v>
      </c>
      <c r="H984" s="450" t="s">
        <v>22883</v>
      </c>
      <c r="I984" s="450"/>
      <c r="J984" s="450" t="s">
        <v>22942</v>
      </c>
      <c r="K984" s="450"/>
    </row>
    <row r="985" spans="1:11">
      <c r="A985" s="451" t="s">
        <v>32971</v>
      </c>
      <c r="B985" s="451"/>
      <c r="C985" s="451" t="s">
        <v>2474</v>
      </c>
      <c r="D985" s="451"/>
      <c r="E985" s="451"/>
      <c r="F985" s="451"/>
      <c r="G985" s="451" t="s">
        <v>22877</v>
      </c>
      <c r="H985" s="451" t="s">
        <v>22878</v>
      </c>
      <c r="I985" s="451" t="s">
        <v>32972</v>
      </c>
      <c r="J985" s="451" t="s">
        <v>22942</v>
      </c>
      <c r="K985" s="451"/>
    </row>
    <row r="986" spans="1:11">
      <c r="A986" s="450" t="s">
        <v>2475</v>
      </c>
      <c r="B986" s="450"/>
      <c r="C986" s="450" t="s">
        <v>1206</v>
      </c>
      <c r="D986" s="450"/>
      <c r="E986" s="450"/>
      <c r="F986" s="450"/>
      <c r="G986" s="450" t="s">
        <v>22882</v>
      </c>
      <c r="H986" s="450" t="s">
        <v>22883</v>
      </c>
      <c r="I986" s="450"/>
      <c r="J986" s="450" t="s">
        <v>22997</v>
      </c>
      <c r="K986" s="450"/>
    </row>
    <row r="987" spans="1:11">
      <c r="A987" s="451" t="s">
        <v>32973</v>
      </c>
      <c r="B987" s="451"/>
      <c r="C987" s="451" t="s">
        <v>1206</v>
      </c>
      <c r="D987" s="451"/>
      <c r="E987" s="451"/>
      <c r="F987" s="451"/>
      <c r="G987" s="451" t="s">
        <v>22882</v>
      </c>
      <c r="H987" s="451" t="s">
        <v>22883</v>
      </c>
      <c r="I987" s="451"/>
      <c r="J987" s="451" t="s">
        <v>22942</v>
      </c>
      <c r="K987" s="451"/>
    </row>
    <row r="988" spans="1:11">
      <c r="A988" s="450" t="s">
        <v>2476</v>
      </c>
      <c r="B988" s="450"/>
      <c r="C988" s="450" t="s">
        <v>2477</v>
      </c>
      <c r="D988" s="450"/>
      <c r="E988" s="450"/>
      <c r="F988" s="450"/>
      <c r="G988" s="450" t="s">
        <v>22877</v>
      </c>
      <c r="H988" s="450" t="s">
        <v>22878</v>
      </c>
      <c r="I988" s="450" t="s">
        <v>32974</v>
      </c>
      <c r="J988" s="450" t="s">
        <v>23185</v>
      </c>
      <c r="K988" s="450"/>
    </row>
    <row r="989" spans="1:11">
      <c r="A989" s="451" t="s">
        <v>32975</v>
      </c>
      <c r="B989" s="451"/>
      <c r="C989" s="451" t="s">
        <v>2479</v>
      </c>
      <c r="D989" s="451"/>
      <c r="E989" s="451"/>
      <c r="F989" s="451"/>
      <c r="G989" s="451" t="s">
        <v>22882</v>
      </c>
      <c r="H989" s="451" t="s">
        <v>22883</v>
      </c>
      <c r="I989" s="451" t="s">
        <v>32976</v>
      </c>
      <c r="J989" s="451" t="s">
        <v>23370</v>
      </c>
      <c r="K989" s="451"/>
    </row>
    <row r="990" spans="1:11">
      <c r="A990" s="450" t="s">
        <v>2478</v>
      </c>
      <c r="B990" s="450"/>
      <c r="C990" s="450" t="s">
        <v>2479</v>
      </c>
      <c r="D990" s="450"/>
      <c r="E990" s="450"/>
      <c r="F990" s="450"/>
      <c r="G990" s="450" t="s">
        <v>22882</v>
      </c>
      <c r="H990" s="450" t="s">
        <v>22883</v>
      </c>
      <c r="I990" s="450"/>
      <c r="J990" s="450" t="s">
        <v>22948</v>
      </c>
      <c r="K990" s="450"/>
    </row>
    <row r="991" spans="1:11">
      <c r="A991" s="451" t="s">
        <v>2480</v>
      </c>
      <c r="B991" s="451"/>
      <c r="C991" s="451" t="s">
        <v>2481</v>
      </c>
      <c r="D991" s="451"/>
      <c r="E991" s="451"/>
      <c r="F991" s="451"/>
      <c r="G991" s="451" t="s">
        <v>22877</v>
      </c>
      <c r="H991" s="451" t="s">
        <v>22878</v>
      </c>
      <c r="I991" s="451" t="s">
        <v>32977</v>
      </c>
      <c r="J991" s="451" t="s">
        <v>22997</v>
      </c>
      <c r="K991" s="451"/>
    </row>
    <row r="992" spans="1:11">
      <c r="A992" s="450" t="s">
        <v>2482</v>
      </c>
      <c r="B992" s="450"/>
      <c r="C992" s="450" t="s">
        <v>2483</v>
      </c>
      <c r="D992" s="450"/>
      <c r="E992" s="450"/>
      <c r="F992" s="450"/>
      <c r="G992" s="450" t="s">
        <v>22877</v>
      </c>
      <c r="H992" s="450" t="s">
        <v>22878</v>
      </c>
      <c r="I992" s="450" t="s">
        <v>23371</v>
      </c>
      <c r="J992" s="450" t="s">
        <v>23185</v>
      </c>
      <c r="K992" s="450"/>
    </row>
    <row r="993" spans="1:11">
      <c r="A993" s="451" t="s">
        <v>22611</v>
      </c>
      <c r="B993" s="451" t="s">
        <v>22612</v>
      </c>
      <c r="C993" s="451" t="s">
        <v>22613</v>
      </c>
      <c r="D993" s="451"/>
      <c r="E993" s="451"/>
      <c r="F993" s="451"/>
      <c r="G993" s="451" t="s">
        <v>22877</v>
      </c>
      <c r="H993" s="451" t="s">
        <v>22878</v>
      </c>
      <c r="I993" s="451" t="s">
        <v>23372</v>
      </c>
      <c r="J993" s="451" t="s">
        <v>23373</v>
      </c>
      <c r="K993" s="451"/>
    </row>
    <row r="994" spans="1:11">
      <c r="A994" s="450" t="s">
        <v>2484</v>
      </c>
      <c r="B994" s="450"/>
      <c r="C994" s="450" t="s">
        <v>2485</v>
      </c>
      <c r="D994" s="450"/>
      <c r="E994" s="450"/>
      <c r="F994" s="450"/>
      <c r="G994" s="450" t="s">
        <v>22882</v>
      </c>
      <c r="H994" s="450" t="s">
        <v>22883</v>
      </c>
      <c r="I994" s="450" t="s">
        <v>32978</v>
      </c>
      <c r="J994" s="450" t="s">
        <v>23133</v>
      </c>
      <c r="K994" s="450"/>
    </row>
    <row r="995" spans="1:11">
      <c r="A995" s="451" t="s">
        <v>32979</v>
      </c>
      <c r="B995" s="451"/>
      <c r="C995" s="451" t="s">
        <v>2487</v>
      </c>
      <c r="D995" s="451"/>
      <c r="E995" s="451"/>
      <c r="F995" s="451"/>
      <c r="G995" s="451" t="s">
        <v>22877</v>
      </c>
      <c r="H995" s="451" t="s">
        <v>22878</v>
      </c>
      <c r="I995" s="451" t="s">
        <v>32980</v>
      </c>
      <c r="J995" s="451" t="s">
        <v>22942</v>
      </c>
      <c r="K995" s="451"/>
    </row>
    <row r="996" spans="1:11">
      <c r="A996" s="450" t="s">
        <v>2486</v>
      </c>
      <c r="B996" s="450"/>
      <c r="C996" s="450" t="s">
        <v>2487</v>
      </c>
      <c r="D996" s="450"/>
      <c r="E996" s="450"/>
      <c r="F996" s="450"/>
      <c r="G996" s="450" t="s">
        <v>22877</v>
      </c>
      <c r="H996" s="450" t="s">
        <v>22878</v>
      </c>
      <c r="I996" s="450" t="s">
        <v>30410</v>
      </c>
      <c r="J996" s="450" t="s">
        <v>22942</v>
      </c>
      <c r="K996" s="450"/>
    </row>
    <row r="997" spans="1:11">
      <c r="A997" s="451" t="s">
        <v>2488</v>
      </c>
      <c r="B997" s="451" t="s">
        <v>22614</v>
      </c>
      <c r="C997" s="451" t="s">
        <v>2490</v>
      </c>
      <c r="D997" s="451"/>
      <c r="E997" s="451"/>
      <c r="F997" s="451" t="s">
        <v>2491</v>
      </c>
      <c r="G997" s="451" t="s">
        <v>22882</v>
      </c>
      <c r="H997" s="451" t="s">
        <v>22883</v>
      </c>
      <c r="I997" s="451" t="s">
        <v>23374</v>
      </c>
      <c r="J997" s="451" t="s">
        <v>23375</v>
      </c>
      <c r="K997" s="451"/>
    </row>
    <row r="998" spans="1:11">
      <c r="A998" s="450" t="s">
        <v>2488</v>
      </c>
      <c r="B998" s="450" t="s">
        <v>2489</v>
      </c>
      <c r="C998" s="450" t="s">
        <v>2490</v>
      </c>
      <c r="D998" s="450"/>
      <c r="E998" s="450"/>
      <c r="F998" s="450" t="s">
        <v>2491</v>
      </c>
      <c r="G998" s="450" t="s">
        <v>22882</v>
      </c>
      <c r="H998" s="450" t="s">
        <v>22883</v>
      </c>
      <c r="I998" s="450"/>
      <c r="J998" s="450" t="s">
        <v>30411</v>
      </c>
      <c r="K998" s="450"/>
    </row>
    <row r="999" spans="1:11">
      <c r="A999" s="451" t="s">
        <v>2492</v>
      </c>
      <c r="B999" s="451" t="s">
        <v>2493</v>
      </c>
      <c r="C999" s="451" t="s">
        <v>2494</v>
      </c>
      <c r="D999" s="451"/>
      <c r="E999" s="451"/>
      <c r="F999" s="451" t="s">
        <v>2495</v>
      </c>
      <c r="G999" s="451" t="s">
        <v>22882</v>
      </c>
      <c r="H999" s="451" t="s">
        <v>22883</v>
      </c>
      <c r="I999" s="451" t="s">
        <v>23376</v>
      </c>
      <c r="J999" s="451" t="s">
        <v>23377</v>
      </c>
      <c r="K999" s="451"/>
    </row>
    <row r="1000" spans="1:11">
      <c r="A1000" s="450" t="s">
        <v>32981</v>
      </c>
      <c r="B1000" s="450" t="s">
        <v>2497</v>
      </c>
      <c r="C1000" s="450" t="s">
        <v>2498</v>
      </c>
      <c r="D1000" s="450"/>
      <c r="E1000" s="450"/>
      <c r="F1000" s="450"/>
      <c r="G1000" s="450" t="s">
        <v>22877</v>
      </c>
      <c r="H1000" s="450" t="s">
        <v>22878</v>
      </c>
      <c r="I1000" s="450" t="s">
        <v>32982</v>
      </c>
      <c r="J1000" s="450" t="s">
        <v>32983</v>
      </c>
      <c r="K1000" s="450"/>
    </row>
    <row r="1001" spans="1:11">
      <c r="A1001" s="451" t="s">
        <v>2496</v>
      </c>
      <c r="B1001" s="451" t="s">
        <v>2497</v>
      </c>
      <c r="C1001" s="451" t="s">
        <v>2498</v>
      </c>
      <c r="D1001" s="451"/>
      <c r="E1001" s="451"/>
      <c r="F1001" s="451"/>
      <c r="G1001" s="451" t="s">
        <v>22877</v>
      </c>
      <c r="H1001" s="451" t="s">
        <v>22878</v>
      </c>
      <c r="I1001" s="451" t="s">
        <v>30412</v>
      </c>
      <c r="J1001" s="451" t="s">
        <v>30413</v>
      </c>
      <c r="K1001" s="451"/>
    </row>
    <row r="1002" spans="1:11">
      <c r="A1002" s="450" t="s">
        <v>32984</v>
      </c>
      <c r="B1002" s="450"/>
      <c r="C1002" s="450" t="s">
        <v>2500</v>
      </c>
      <c r="D1002" s="450"/>
      <c r="E1002" s="450"/>
      <c r="F1002" s="450"/>
      <c r="G1002" s="450" t="s">
        <v>22877</v>
      </c>
      <c r="H1002" s="450" t="s">
        <v>22878</v>
      </c>
      <c r="I1002" s="450" t="s">
        <v>32985</v>
      </c>
      <c r="J1002" s="450" t="s">
        <v>22997</v>
      </c>
      <c r="K1002" s="450"/>
    </row>
    <row r="1003" spans="1:11">
      <c r="A1003" s="451" t="s">
        <v>2499</v>
      </c>
      <c r="B1003" s="451"/>
      <c r="C1003" s="451" t="s">
        <v>2500</v>
      </c>
      <c r="D1003" s="451"/>
      <c r="E1003" s="451"/>
      <c r="F1003" s="451"/>
      <c r="G1003" s="451" t="s">
        <v>22877</v>
      </c>
      <c r="H1003" s="451" t="s">
        <v>22878</v>
      </c>
      <c r="I1003" s="451" t="s">
        <v>32986</v>
      </c>
      <c r="J1003" s="451" t="s">
        <v>23185</v>
      </c>
      <c r="K1003" s="451"/>
    </row>
    <row r="1004" spans="1:11">
      <c r="A1004" s="450" t="s">
        <v>2501</v>
      </c>
      <c r="B1004" s="450"/>
      <c r="C1004" s="450" t="s">
        <v>2502</v>
      </c>
      <c r="D1004" s="450"/>
      <c r="E1004" s="450"/>
      <c r="F1004" s="450"/>
      <c r="G1004" s="450" t="s">
        <v>22877</v>
      </c>
      <c r="H1004" s="450" t="s">
        <v>22878</v>
      </c>
      <c r="I1004" s="450" t="s">
        <v>23378</v>
      </c>
      <c r="J1004" s="450" t="s">
        <v>22939</v>
      </c>
      <c r="K1004" s="450"/>
    </row>
    <row r="1005" spans="1:11">
      <c r="A1005" s="451" t="s">
        <v>2503</v>
      </c>
      <c r="B1005" s="451" t="s">
        <v>2504</v>
      </c>
      <c r="C1005" s="451" t="s">
        <v>2505</v>
      </c>
      <c r="D1005" s="451" t="s">
        <v>2506</v>
      </c>
      <c r="E1005" s="451"/>
      <c r="F1005" s="451"/>
      <c r="G1005" s="451" t="s">
        <v>22877</v>
      </c>
      <c r="H1005" s="451" t="s">
        <v>22878</v>
      </c>
      <c r="I1005" s="451" t="s">
        <v>2506</v>
      </c>
      <c r="J1005" s="451" t="s">
        <v>30414</v>
      </c>
      <c r="K1005" s="451"/>
    </row>
    <row r="1006" spans="1:11">
      <c r="A1006" s="450" t="s">
        <v>2507</v>
      </c>
      <c r="B1006" s="450" t="s">
        <v>2508</v>
      </c>
      <c r="C1006" s="450" t="s">
        <v>2509</v>
      </c>
      <c r="D1006" s="450"/>
      <c r="E1006" s="450"/>
      <c r="F1006" s="450"/>
      <c r="G1006" s="450" t="s">
        <v>22877</v>
      </c>
      <c r="H1006" s="450" t="s">
        <v>22878</v>
      </c>
      <c r="I1006" s="450" t="s">
        <v>30415</v>
      </c>
      <c r="J1006" s="450" t="s">
        <v>30416</v>
      </c>
      <c r="K1006" s="450"/>
    </row>
    <row r="1007" spans="1:11">
      <c r="A1007" s="451" t="s">
        <v>2510</v>
      </c>
      <c r="B1007" s="451"/>
      <c r="C1007" s="451" t="s">
        <v>2511</v>
      </c>
      <c r="D1007" s="451"/>
      <c r="E1007" s="451"/>
      <c r="F1007" s="451">
        <v>45</v>
      </c>
      <c r="G1007" s="451" t="s">
        <v>22882</v>
      </c>
      <c r="H1007" s="451" t="s">
        <v>22883</v>
      </c>
      <c r="I1007" s="451" t="s">
        <v>32987</v>
      </c>
      <c r="J1007" s="451" t="s">
        <v>22943</v>
      </c>
      <c r="K1007" s="451"/>
    </row>
    <row r="1008" spans="1:11">
      <c r="A1008" s="450" t="s">
        <v>2510</v>
      </c>
      <c r="B1008" s="450"/>
      <c r="C1008" s="450" t="s">
        <v>2511</v>
      </c>
      <c r="D1008" s="450"/>
      <c r="E1008" s="450"/>
      <c r="F1008" s="450">
        <v>0.45</v>
      </c>
      <c r="G1008" s="450" t="s">
        <v>22882</v>
      </c>
      <c r="H1008" s="450" t="s">
        <v>22883</v>
      </c>
      <c r="I1008" s="450" t="s">
        <v>32988</v>
      </c>
      <c r="J1008" s="450" t="s">
        <v>28871</v>
      </c>
      <c r="K1008" s="450"/>
    </row>
    <row r="1009" spans="1:11">
      <c r="A1009" s="451" t="s">
        <v>32989</v>
      </c>
      <c r="B1009" s="451"/>
      <c r="C1009" s="451" t="s">
        <v>2513</v>
      </c>
      <c r="D1009" s="451"/>
      <c r="E1009" s="451"/>
      <c r="F1009" s="451"/>
      <c r="G1009" s="451" t="s">
        <v>22882</v>
      </c>
      <c r="H1009" s="451" t="s">
        <v>22883</v>
      </c>
      <c r="I1009" s="451" t="s">
        <v>32990</v>
      </c>
      <c r="J1009" s="451" t="s">
        <v>22942</v>
      </c>
      <c r="K1009" s="451"/>
    </row>
    <row r="1010" spans="1:11">
      <c r="A1010" s="450" t="s">
        <v>2512</v>
      </c>
      <c r="B1010" s="450"/>
      <c r="C1010" s="450" t="s">
        <v>2513</v>
      </c>
      <c r="D1010" s="450"/>
      <c r="E1010" s="450"/>
      <c r="F1010" s="450"/>
      <c r="G1010" s="450" t="s">
        <v>22877</v>
      </c>
      <c r="H1010" s="450" t="s">
        <v>22878</v>
      </c>
      <c r="I1010" s="450" t="s">
        <v>32991</v>
      </c>
      <c r="J1010" s="450" t="s">
        <v>22942</v>
      </c>
      <c r="K1010" s="450"/>
    </row>
    <row r="1011" spans="1:11">
      <c r="A1011" s="451" t="s">
        <v>32992</v>
      </c>
      <c r="B1011" s="451"/>
      <c r="C1011" s="451" t="s">
        <v>2515</v>
      </c>
      <c r="D1011" s="451"/>
      <c r="E1011" s="451"/>
      <c r="F1011" s="451"/>
      <c r="G1011" s="451" t="s">
        <v>22882</v>
      </c>
      <c r="H1011" s="451" t="s">
        <v>22883</v>
      </c>
      <c r="I1011" s="451" t="s">
        <v>32993</v>
      </c>
      <c r="J1011" s="451" t="s">
        <v>22942</v>
      </c>
      <c r="K1011" s="451"/>
    </row>
    <row r="1012" spans="1:11">
      <c r="A1012" s="450" t="s">
        <v>2514</v>
      </c>
      <c r="B1012" s="450"/>
      <c r="C1012" s="450" t="s">
        <v>2515</v>
      </c>
      <c r="D1012" s="450"/>
      <c r="E1012" s="450"/>
      <c r="F1012" s="450"/>
      <c r="G1012" s="450" t="s">
        <v>22882</v>
      </c>
      <c r="H1012" s="450" t="s">
        <v>22883</v>
      </c>
      <c r="I1012" s="450"/>
      <c r="J1012" s="450" t="s">
        <v>22942</v>
      </c>
      <c r="K1012" s="450"/>
    </row>
    <row r="1013" spans="1:11">
      <c r="A1013" s="451" t="s">
        <v>2516</v>
      </c>
      <c r="B1013" s="451" t="s">
        <v>2517</v>
      </c>
      <c r="C1013" s="451" t="s">
        <v>2518</v>
      </c>
      <c r="D1013" s="451" t="s">
        <v>2519</v>
      </c>
      <c r="E1013" s="451"/>
      <c r="F1013" s="451"/>
      <c r="G1013" s="451" t="s">
        <v>22882</v>
      </c>
      <c r="H1013" s="451" t="s">
        <v>22883</v>
      </c>
      <c r="I1013" s="451" t="s">
        <v>32994</v>
      </c>
      <c r="J1013" s="451" t="s">
        <v>32995</v>
      </c>
      <c r="K1013" s="451"/>
    </row>
    <row r="1014" spans="1:11">
      <c r="A1014" s="450" t="s">
        <v>2516</v>
      </c>
      <c r="B1014" s="450" t="s">
        <v>2517</v>
      </c>
      <c r="C1014" s="450" t="s">
        <v>2518</v>
      </c>
      <c r="D1014" s="450" t="s">
        <v>2519</v>
      </c>
      <c r="E1014" s="450" t="s">
        <v>2520</v>
      </c>
      <c r="F1014" s="450"/>
      <c r="G1014" s="450" t="s">
        <v>22882</v>
      </c>
      <c r="H1014" s="450" t="s">
        <v>22883</v>
      </c>
      <c r="I1014" s="450" t="s">
        <v>30417</v>
      </c>
      <c r="J1014" s="450" t="s">
        <v>30418</v>
      </c>
      <c r="K1014" s="450"/>
    </row>
    <row r="1015" spans="1:11">
      <c r="A1015" s="451" t="s">
        <v>2521</v>
      </c>
      <c r="B1015" s="451"/>
      <c r="C1015" s="451" t="s">
        <v>2522</v>
      </c>
      <c r="D1015" s="451"/>
      <c r="E1015" s="451"/>
      <c r="F1015" s="451"/>
      <c r="G1015" s="451" t="s">
        <v>22882</v>
      </c>
      <c r="H1015" s="451" t="s">
        <v>22883</v>
      </c>
      <c r="I1015" s="451" t="s">
        <v>23379</v>
      </c>
      <c r="J1015" s="451" t="s">
        <v>22942</v>
      </c>
      <c r="K1015" s="451"/>
    </row>
    <row r="1016" spans="1:11">
      <c r="A1016" s="450" t="s">
        <v>20502</v>
      </c>
      <c r="B1016" s="450" t="s">
        <v>20501</v>
      </c>
      <c r="C1016" s="450" t="s">
        <v>12642</v>
      </c>
      <c r="D1016" s="450"/>
      <c r="E1016" s="450"/>
      <c r="F1016" s="450" t="s">
        <v>20503</v>
      </c>
      <c r="G1016" s="450" t="s">
        <v>22877</v>
      </c>
      <c r="H1016" s="450" t="s">
        <v>22878</v>
      </c>
      <c r="I1016" s="450" t="s">
        <v>30419</v>
      </c>
      <c r="J1016" s="450" t="s">
        <v>30420</v>
      </c>
      <c r="K1016" s="450"/>
    </row>
    <row r="1017" spans="1:11">
      <c r="A1017" s="451" t="s">
        <v>2523</v>
      </c>
      <c r="B1017" s="451"/>
      <c r="C1017" s="451" t="s">
        <v>2524</v>
      </c>
      <c r="D1017" s="451"/>
      <c r="E1017" s="451"/>
      <c r="F1017" s="451"/>
      <c r="G1017" s="451" t="s">
        <v>22877</v>
      </c>
      <c r="H1017" s="451" t="s">
        <v>22878</v>
      </c>
      <c r="I1017" s="451" t="s">
        <v>32996</v>
      </c>
      <c r="J1017" s="451" t="s">
        <v>22942</v>
      </c>
      <c r="K1017" s="451"/>
    </row>
    <row r="1018" spans="1:11">
      <c r="A1018" s="450" t="s">
        <v>2525</v>
      </c>
      <c r="B1018" s="450"/>
      <c r="C1018" s="450" t="s">
        <v>2526</v>
      </c>
      <c r="D1018" s="450"/>
      <c r="E1018" s="450"/>
      <c r="F1018" s="450"/>
      <c r="G1018" s="450" t="s">
        <v>22877</v>
      </c>
      <c r="H1018" s="450" t="s">
        <v>22878</v>
      </c>
      <c r="I1018" s="450" t="s">
        <v>32997</v>
      </c>
      <c r="J1018" s="450" t="s">
        <v>23185</v>
      </c>
      <c r="K1018" s="450"/>
    </row>
    <row r="1019" spans="1:11">
      <c r="A1019" s="451" t="s">
        <v>2527</v>
      </c>
      <c r="B1019" s="451"/>
      <c r="C1019" s="451" t="s">
        <v>2528</v>
      </c>
      <c r="D1019" s="451"/>
      <c r="E1019" s="451"/>
      <c r="F1019" s="451"/>
      <c r="G1019" s="451" t="s">
        <v>22877</v>
      </c>
      <c r="H1019" s="451" t="s">
        <v>22878</v>
      </c>
      <c r="I1019" s="451" t="s">
        <v>23380</v>
      </c>
      <c r="J1019" s="451" t="s">
        <v>23185</v>
      </c>
      <c r="K1019" s="451"/>
    </row>
    <row r="1020" spans="1:11">
      <c r="A1020" s="450" t="s">
        <v>2529</v>
      </c>
      <c r="B1020" s="450"/>
      <c r="C1020" s="450" t="s">
        <v>2530</v>
      </c>
      <c r="D1020" s="450"/>
      <c r="E1020" s="450"/>
      <c r="F1020" s="450"/>
      <c r="G1020" s="450" t="s">
        <v>22882</v>
      </c>
      <c r="H1020" s="450" t="s">
        <v>22883</v>
      </c>
      <c r="I1020" s="450"/>
      <c r="J1020" s="450" t="s">
        <v>22997</v>
      </c>
      <c r="K1020" s="450"/>
    </row>
    <row r="1021" spans="1:11">
      <c r="A1021" s="451" t="s">
        <v>29984</v>
      </c>
      <c r="B1021" s="451" t="s">
        <v>29985</v>
      </c>
      <c r="C1021" s="451" t="s">
        <v>29986</v>
      </c>
      <c r="D1021" s="451"/>
      <c r="E1021" s="451"/>
      <c r="F1021" s="451"/>
      <c r="G1021" s="451"/>
      <c r="H1021" s="451"/>
      <c r="I1021" s="451"/>
      <c r="J1021" s="451"/>
      <c r="K1021" s="451"/>
    </row>
    <row r="1022" spans="1:11">
      <c r="A1022" s="450" t="s">
        <v>2531</v>
      </c>
      <c r="B1022" s="450"/>
      <c r="C1022" s="450" t="s">
        <v>2532</v>
      </c>
      <c r="D1022" s="450"/>
      <c r="E1022" s="450"/>
      <c r="F1022" s="450"/>
      <c r="G1022" s="450" t="s">
        <v>22877</v>
      </c>
      <c r="H1022" s="450" t="s">
        <v>22878</v>
      </c>
      <c r="I1022" s="450" t="s">
        <v>32998</v>
      </c>
      <c r="J1022" s="450" t="s">
        <v>22948</v>
      </c>
      <c r="K1022" s="450"/>
    </row>
    <row r="1023" spans="1:11">
      <c r="A1023" s="451" t="s">
        <v>2533</v>
      </c>
      <c r="B1023" s="451"/>
      <c r="C1023" s="451" t="s">
        <v>2534</v>
      </c>
      <c r="D1023" s="451"/>
      <c r="E1023" s="451"/>
      <c r="F1023" s="451"/>
      <c r="G1023" s="451" t="s">
        <v>22882</v>
      </c>
      <c r="H1023" s="451" t="s">
        <v>22883</v>
      </c>
      <c r="I1023" s="451"/>
      <c r="J1023" s="451" t="s">
        <v>22997</v>
      </c>
      <c r="K1023" s="451"/>
    </row>
    <row r="1024" spans="1:11">
      <c r="A1024" s="450" t="s">
        <v>2535</v>
      </c>
      <c r="B1024" s="450"/>
      <c r="C1024" s="450" t="s">
        <v>2536</v>
      </c>
      <c r="D1024" s="450"/>
      <c r="E1024" s="450"/>
      <c r="F1024" s="450"/>
      <c r="G1024" s="450" t="s">
        <v>22877</v>
      </c>
      <c r="H1024" s="450" t="s">
        <v>22878</v>
      </c>
      <c r="I1024" s="450" t="s">
        <v>23322</v>
      </c>
      <c r="J1024" s="450" t="s">
        <v>22942</v>
      </c>
      <c r="K1024" s="450"/>
    </row>
    <row r="1025" spans="1:11">
      <c r="A1025" s="451" t="s">
        <v>32999</v>
      </c>
      <c r="B1025" s="451"/>
      <c r="C1025" s="451" t="s">
        <v>2536</v>
      </c>
      <c r="D1025" s="451"/>
      <c r="E1025" s="451"/>
      <c r="F1025" s="451"/>
      <c r="G1025" s="451" t="s">
        <v>22877</v>
      </c>
      <c r="H1025" s="451" t="s">
        <v>22878</v>
      </c>
      <c r="I1025" s="451" t="s">
        <v>33000</v>
      </c>
      <c r="J1025" s="451" t="s">
        <v>23370</v>
      </c>
      <c r="K1025" s="451"/>
    </row>
    <row r="1026" spans="1:11">
      <c r="A1026" s="450" t="s">
        <v>2537</v>
      </c>
      <c r="B1026" s="450"/>
      <c r="C1026" s="450" t="s">
        <v>2538</v>
      </c>
      <c r="D1026" s="450"/>
      <c r="E1026" s="450"/>
      <c r="F1026" s="450"/>
      <c r="G1026" s="450" t="s">
        <v>22877</v>
      </c>
      <c r="H1026" s="450" t="s">
        <v>22878</v>
      </c>
      <c r="I1026" s="450" t="s">
        <v>33001</v>
      </c>
      <c r="J1026" s="450" t="s">
        <v>22997</v>
      </c>
      <c r="K1026" s="450"/>
    </row>
    <row r="1027" spans="1:11">
      <c r="A1027" s="451" t="s">
        <v>33002</v>
      </c>
      <c r="B1027" s="451"/>
      <c r="C1027" s="451" t="s">
        <v>2540</v>
      </c>
      <c r="D1027" s="451"/>
      <c r="E1027" s="451"/>
      <c r="F1027" s="451"/>
      <c r="G1027" s="451" t="s">
        <v>22882</v>
      </c>
      <c r="H1027" s="451" t="s">
        <v>22883</v>
      </c>
      <c r="I1027" s="451" t="s">
        <v>33003</v>
      </c>
      <c r="J1027" s="451" t="s">
        <v>22948</v>
      </c>
      <c r="K1027" s="451"/>
    </row>
    <row r="1028" spans="1:11">
      <c r="A1028" s="450" t="s">
        <v>2539</v>
      </c>
      <c r="B1028" s="450"/>
      <c r="C1028" s="450" t="s">
        <v>2540</v>
      </c>
      <c r="D1028" s="450"/>
      <c r="E1028" s="450"/>
      <c r="F1028" s="450"/>
      <c r="G1028" s="450" t="s">
        <v>22882</v>
      </c>
      <c r="H1028" s="450" t="s">
        <v>22883</v>
      </c>
      <c r="I1028" s="450"/>
      <c r="J1028" s="450" t="s">
        <v>22942</v>
      </c>
      <c r="K1028" s="450"/>
    </row>
    <row r="1029" spans="1:11">
      <c r="A1029" s="451" t="s">
        <v>2541</v>
      </c>
      <c r="B1029" s="451"/>
      <c r="C1029" s="451" t="s">
        <v>2542</v>
      </c>
      <c r="D1029" s="451"/>
      <c r="E1029" s="451"/>
      <c r="F1029" s="451"/>
      <c r="G1029" s="451" t="s">
        <v>22877</v>
      </c>
      <c r="H1029" s="451" t="s">
        <v>22878</v>
      </c>
      <c r="I1029" s="451" t="s">
        <v>33004</v>
      </c>
      <c r="J1029" s="451" t="s">
        <v>22942</v>
      </c>
      <c r="K1029" s="451"/>
    </row>
    <row r="1030" spans="1:11">
      <c r="A1030" s="450" t="s">
        <v>33005</v>
      </c>
      <c r="B1030" s="450"/>
      <c r="C1030" s="450" t="s">
        <v>2546</v>
      </c>
      <c r="D1030" s="450"/>
      <c r="E1030" s="450"/>
      <c r="F1030" s="450"/>
      <c r="G1030" s="450" t="s">
        <v>22882</v>
      </c>
      <c r="H1030" s="450" t="s">
        <v>22883</v>
      </c>
      <c r="I1030" s="450"/>
      <c r="J1030" s="450" t="s">
        <v>22942</v>
      </c>
      <c r="K1030" s="450"/>
    </row>
    <row r="1031" spans="1:11">
      <c r="A1031" s="451" t="s">
        <v>2543</v>
      </c>
      <c r="B1031" s="451"/>
      <c r="C1031" s="451" t="s">
        <v>2544</v>
      </c>
      <c r="D1031" s="451"/>
      <c r="E1031" s="451"/>
      <c r="F1031" s="451"/>
      <c r="G1031" s="451" t="s">
        <v>22882</v>
      </c>
      <c r="H1031" s="451" t="s">
        <v>22883</v>
      </c>
      <c r="I1031" s="451" t="s">
        <v>33006</v>
      </c>
      <c r="J1031" s="451" t="s">
        <v>22997</v>
      </c>
      <c r="K1031" s="451"/>
    </row>
    <row r="1032" spans="1:11">
      <c r="A1032" s="450" t="s">
        <v>2545</v>
      </c>
      <c r="B1032" s="450"/>
      <c r="C1032" s="450" t="s">
        <v>2546</v>
      </c>
      <c r="D1032" s="450"/>
      <c r="E1032" s="450"/>
      <c r="F1032" s="450"/>
      <c r="G1032" s="450" t="s">
        <v>22882</v>
      </c>
      <c r="H1032" s="450" t="s">
        <v>22883</v>
      </c>
      <c r="I1032" s="450"/>
      <c r="J1032" s="450" t="s">
        <v>22942</v>
      </c>
      <c r="K1032" s="450"/>
    </row>
    <row r="1033" spans="1:11">
      <c r="A1033" s="451" t="s">
        <v>33007</v>
      </c>
      <c r="B1033" s="451"/>
      <c r="C1033" s="451" t="s">
        <v>2544</v>
      </c>
      <c r="D1033" s="451"/>
      <c r="E1033" s="451"/>
      <c r="F1033" s="451"/>
      <c r="G1033" s="451" t="s">
        <v>22882</v>
      </c>
      <c r="H1033" s="451" t="s">
        <v>22883</v>
      </c>
      <c r="I1033" s="451" t="s">
        <v>33008</v>
      </c>
      <c r="J1033" s="451" t="s">
        <v>22942</v>
      </c>
      <c r="K1033" s="451"/>
    </row>
    <row r="1034" spans="1:11">
      <c r="A1034" s="450" t="s">
        <v>2547</v>
      </c>
      <c r="B1034" s="450"/>
      <c r="C1034" s="450" t="s">
        <v>2548</v>
      </c>
      <c r="D1034" s="450"/>
      <c r="E1034" s="450"/>
      <c r="F1034" s="450"/>
      <c r="G1034" s="450" t="s">
        <v>22877</v>
      </c>
      <c r="H1034" s="450" t="s">
        <v>22878</v>
      </c>
      <c r="I1034" s="450" t="s">
        <v>33009</v>
      </c>
      <c r="J1034" s="450" t="s">
        <v>23185</v>
      </c>
      <c r="K1034" s="450"/>
    </row>
    <row r="1035" spans="1:11">
      <c r="A1035" s="451" t="s">
        <v>21184</v>
      </c>
      <c r="B1035" s="451"/>
      <c r="C1035" s="451" t="s">
        <v>3055</v>
      </c>
      <c r="D1035" s="451" t="s">
        <v>21185</v>
      </c>
      <c r="E1035" s="451"/>
      <c r="F1035" s="451" t="s">
        <v>21186</v>
      </c>
      <c r="G1035" s="451" t="s">
        <v>22877</v>
      </c>
      <c r="H1035" s="451" t="s">
        <v>22878</v>
      </c>
      <c r="I1035" s="451" t="s">
        <v>21185</v>
      </c>
      <c r="J1035" s="451" t="s">
        <v>30421</v>
      </c>
      <c r="K1035" s="451"/>
    </row>
    <row r="1036" spans="1:11">
      <c r="A1036" s="450" t="s">
        <v>21183</v>
      </c>
      <c r="B1036" s="450" t="s">
        <v>2549</v>
      </c>
      <c r="C1036" s="450" t="s">
        <v>2550</v>
      </c>
      <c r="D1036" s="450"/>
      <c r="E1036" s="450"/>
      <c r="F1036" s="450" t="s">
        <v>2551</v>
      </c>
      <c r="G1036" s="450" t="s">
        <v>22877</v>
      </c>
      <c r="H1036" s="450" t="s">
        <v>22878</v>
      </c>
      <c r="I1036" s="450" t="s">
        <v>33010</v>
      </c>
      <c r="J1036" s="450" t="s">
        <v>23382</v>
      </c>
      <c r="K1036" s="450"/>
    </row>
    <row r="1037" spans="1:11">
      <c r="A1037" s="451" t="s">
        <v>22615</v>
      </c>
      <c r="B1037" s="451" t="s">
        <v>2549</v>
      </c>
      <c r="C1037" s="451" t="s">
        <v>2550</v>
      </c>
      <c r="D1037" s="451"/>
      <c r="E1037" s="451"/>
      <c r="F1037" s="451" t="s">
        <v>22616</v>
      </c>
      <c r="G1037" s="451" t="s">
        <v>22877</v>
      </c>
      <c r="H1037" s="451" t="s">
        <v>22878</v>
      </c>
      <c r="I1037" s="451" t="s">
        <v>23381</v>
      </c>
      <c r="J1037" s="451" t="s">
        <v>23382</v>
      </c>
      <c r="K1037" s="451"/>
    </row>
    <row r="1038" spans="1:11">
      <c r="A1038" s="450" t="s">
        <v>22617</v>
      </c>
      <c r="B1038" s="450" t="s">
        <v>22618</v>
      </c>
      <c r="C1038" s="450" t="s">
        <v>21004</v>
      </c>
      <c r="D1038" s="450"/>
      <c r="E1038" s="450"/>
      <c r="F1038" s="450"/>
      <c r="G1038" s="450" t="s">
        <v>22877</v>
      </c>
      <c r="H1038" s="450" t="s">
        <v>22878</v>
      </c>
      <c r="I1038" s="450" t="s">
        <v>23383</v>
      </c>
      <c r="J1038" s="450" t="s">
        <v>23384</v>
      </c>
      <c r="K1038" s="450"/>
    </row>
    <row r="1039" spans="1:11">
      <c r="A1039" s="451" t="s">
        <v>2552</v>
      </c>
      <c r="B1039" s="451" t="s">
        <v>2553</v>
      </c>
      <c r="C1039" s="451" t="s">
        <v>2554</v>
      </c>
      <c r="D1039" s="451" t="s">
        <v>33011</v>
      </c>
      <c r="E1039" s="451"/>
      <c r="F1039" s="451"/>
      <c r="G1039" s="451" t="s">
        <v>22877</v>
      </c>
      <c r="H1039" s="451" t="s">
        <v>22878</v>
      </c>
      <c r="I1039" s="451" t="s">
        <v>33012</v>
      </c>
      <c r="J1039" s="451" t="s">
        <v>33013</v>
      </c>
      <c r="K1039" s="451"/>
    </row>
    <row r="1040" spans="1:11">
      <c r="A1040" s="450" t="s">
        <v>2552</v>
      </c>
      <c r="B1040" s="450" t="s">
        <v>2553</v>
      </c>
      <c r="C1040" s="450" t="s">
        <v>2554</v>
      </c>
      <c r="D1040" s="450">
        <v>6204314500</v>
      </c>
      <c r="E1040" s="450">
        <v>6204314552</v>
      </c>
      <c r="F1040" s="450"/>
      <c r="G1040" s="450" t="s">
        <v>22877</v>
      </c>
      <c r="H1040" s="450" t="s">
        <v>22878</v>
      </c>
      <c r="I1040" s="450" t="s">
        <v>30422</v>
      </c>
      <c r="J1040" s="450" t="s">
        <v>30423</v>
      </c>
      <c r="K1040" s="450"/>
    </row>
    <row r="1041" spans="1:11">
      <c r="A1041" s="451" t="s">
        <v>22619</v>
      </c>
      <c r="B1041" s="451"/>
      <c r="C1041" s="451" t="s">
        <v>2558</v>
      </c>
      <c r="D1041" s="451"/>
      <c r="E1041" s="451"/>
      <c r="F1041" s="451"/>
      <c r="G1041" s="451" t="s">
        <v>22882</v>
      </c>
      <c r="H1041" s="451" t="s">
        <v>22883</v>
      </c>
      <c r="I1041" s="451" t="s">
        <v>23385</v>
      </c>
      <c r="J1041" s="451" t="s">
        <v>22942</v>
      </c>
      <c r="K1041" s="451"/>
    </row>
    <row r="1042" spans="1:11">
      <c r="A1042" s="450" t="s">
        <v>2555</v>
      </c>
      <c r="B1042" s="450" t="s">
        <v>2553</v>
      </c>
      <c r="C1042" s="450" t="s">
        <v>2556</v>
      </c>
      <c r="D1042" s="450"/>
      <c r="E1042" s="450"/>
      <c r="F1042" s="450"/>
      <c r="G1042" s="450" t="s">
        <v>22877</v>
      </c>
      <c r="H1042" s="450" t="s">
        <v>22878</v>
      </c>
      <c r="I1042" s="450" t="s">
        <v>30422</v>
      </c>
      <c r="J1042" s="450" t="s">
        <v>30424</v>
      </c>
      <c r="K1042" s="450"/>
    </row>
    <row r="1043" spans="1:11">
      <c r="A1043" s="451" t="s">
        <v>2557</v>
      </c>
      <c r="B1043" s="451"/>
      <c r="C1043" s="451" t="s">
        <v>2558</v>
      </c>
      <c r="D1043" s="451"/>
      <c r="E1043" s="451"/>
      <c r="F1043" s="451"/>
      <c r="G1043" s="451" t="s">
        <v>22882</v>
      </c>
      <c r="H1043" s="451" t="s">
        <v>22883</v>
      </c>
      <c r="I1043" s="451" t="s">
        <v>33014</v>
      </c>
      <c r="J1043" s="451" t="s">
        <v>33015</v>
      </c>
      <c r="K1043" s="451"/>
    </row>
    <row r="1044" spans="1:11">
      <c r="A1044" s="450" t="s">
        <v>2559</v>
      </c>
      <c r="B1044" s="450"/>
      <c r="C1044" s="450" t="s">
        <v>2560</v>
      </c>
      <c r="D1044" s="450"/>
      <c r="E1044" s="450"/>
      <c r="F1044" s="450"/>
      <c r="G1044" s="450" t="s">
        <v>22882</v>
      </c>
      <c r="H1044" s="450" t="s">
        <v>22883</v>
      </c>
      <c r="I1044" s="450" t="s">
        <v>33016</v>
      </c>
      <c r="J1044" s="450" t="s">
        <v>22997</v>
      </c>
      <c r="K1044" s="450"/>
    </row>
    <row r="1045" spans="1:11">
      <c r="A1045" s="451" t="s">
        <v>2561</v>
      </c>
      <c r="B1045" s="451"/>
      <c r="C1045" s="451" t="s">
        <v>2562</v>
      </c>
      <c r="D1045" s="451"/>
      <c r="E1045" s="451"/>
      <c r="F1045" s="451"/>
      <c r="G1045" s="451" t="s">
        <v>22882</v>
      </c>
      <c r="H1045" s="451" t="s">
        <v>22883</v>
      </c>
      <c r="I1045" s="451"/>
      <c r="J1045" s="451" t="s">
        <v>23185</v>
      </c>
      <c r="K1045" s="451"/>
    </row>
    <row r="1046" spans="1:11">
      <c r="A1046" s="450" t="s">
        <v>30425</v>
      </c>
      <c r="B1046" s="450" t="s">
        <v>30426</v>
      </c>
      <c r="C1046" s="450" t="s">
        <v>22620</v>
      </c>
      <c r="D1046" s="450"/>
      <c r="E1046" s="450"/>
      <c r="F1046" s="450"/>
      <c r="G1046" s="450" t="s">
        <v>22877</v>
      </c>
      <c r="H1046" s="450" t="s">
        <v>22878</v>
      </c>
      <c r="I1046" s="450" t="s">
        <v>23386</v>
      </c>
      <c r="J1046" s="450" t="s">
        <v>23387</v>
      </c>
      <c r="K1046" s="450"/>
    </row>
    <row r="1047" spans="1:11">
      <c r="A1047" s="451" t="s">
        <v>2563</v>
      </c>
      <c r="B1047" s="451"/>
      <c r="C1047" s="451" t="s">
        <v>2564</v>
      </c>
      <c r="D1047" s="451"/>
      <c r="E1047" s="451"/>
      <c r="F1047" s="451"/>
      <c r="G1047" s="451" t="s">
        <v>22882</v>
      </c>
      <c r="H1047" s="451" t="s">
        <v>22883</v>
      </c>
      <c r="I1047" s="451"/>
      <c r="J1047" s="451" t="s">
        <v>22997</v>
      </c>
      <c r="K1047" s="451"/>
    </row>
    <row r="1048" spans="1:11">
      <c r="A1048" s="450" t="s">
        <v>2565</v>
      </c>
      <c r="B1048" s="450"/>
      <c r="C1048" s="450" t="s">
        <v>2566</v>
      </c>
      <c r="D1048" s="450"/>
      <c r="E1048" s="450"/>
      <c r="F1048" s="450"/>
      <c r="G1048" s="450" t="s">
        <v>22877</v>
      </c>
      <c r="H1048" s="450" t="s">
        <v>22878</v>
      </c>
      <c r="I1048" s="450" t="s">
        <v>33017</v>
      </c>
      <c r="J1048" s="450" t="s">
        <v>23185</v>
      </c>
      <c r="K1048" s="450"/>
    </row>
    <row r="1049" spans="1:11">
      <c r="A1049" s="451" t="s">
        <v>33018</v>
      </c>
      <c r="B1049" s="451"/>
      <c r="C1049" s="451" t="s">
        <v>2568</v>
      </c>
      <c r="D1049" s="451"/>
      <c r="E1049" s="451"/>
      <c r="F1049" s="451"/>
      <c r="G1049" s="451" t="s">
        <v>22877</v>
      </c>
      <c r="H1049" s="451" t="s">
        <v>22878</v>
      </c>
      <c r="I1049" s="451" t="s">
        <v>33019</v>
      </c>
      <c r="J1049" s="451" t="s">
        <v>22942</v>
      </c>
      <c r="K1049" s="451"/>
    </row>
    <row r="1050" spans="1:11">
      <c r="A1050" s="450" t="s">
        <v>2567</v>
      </c>
      <c r="B1050" s="450"/>
      <c r="C1050" s="450" t="s">
        <v>2568</v>
      </c>
      <c r="D1050" s="450"/>
      <c r="E1050" s="450"/>
      <c r="F1050" s="450"/>
      <c r="G1050" s="450" t="s">
        <v>22882</v>
      </c>
      <c r="H1050" s="450" t="s">
        <v>22883</v>
      </c>
      <c r="I1050" s="450"/>
      <c r="J1050" s="450" t="s">
        <v>22942</v>
      </c>
      <c r="K1050" s="450"/>
    </row>
    <row r="1051" spans="1:11">
      <c r="A1051" s="451" t="s">
        <v>2569</v>
      </c>
      <c r="B1051" s="451"/>
      <c r="C1051" s="451" t="s">
        <v>2570</v>
      </c>
      <c r="D1051" s="451"/>
      <c r="E1051" s="451"/>
      <c r="F1051" s="451"/>
      <c r="G1051" s="451" t="s">
        <v>22877</v>
      </c>
      <c r="H1051" s="451" t="s">
        <v>22878</v>
      </c>
      <c r="I1051" s="451" t="s">
        <v>33020</v>
      </c>
      <c r="J1051" s="451" t="s">
        <v>23185</v>
      </c>
      <c r="K1051" s="451"/>
    </row>
    <row r="1052" spans="1:11">
      <c r="A1052" s="450" t="s">
        <v>2571</v>
      </c>
      <c r="B1052" s="450"/>
      <c r="C1052" s="450" t="s">
        <v>2572</v>
      </c>
      <c r="D1052" s="450"/>
      <c r="E1052" s="450"/>
      <c r="F1052" s="450"/>
      <c r="G1052" s="450" t="s">
        <v>22882</v>
      </c>
      <c r="H1052" s="450" t="s">
        <v>22883</v>
      </c>
      <c r="I1052" s="450"/>
      <c r="J1052" s="450" t="s">
        <v>23185</v>
      </c>
      <c r="K1052" s="450"/>
    </row>
    <row r="1053" spans="1:11">
      <c r="A1053" s="451" t="s">
        <v>33021</v>
      </c>
      <c r="B1053" s="451"/>
      <c r="C1053" s="451" t="s">
        <v>2572</v>
      </c>
      <c r="D1053" s="451"/>
      <c r="E1053" s="451"/>
      <c r="F1053" s="451"/>
      <c r="G1053" s="451" t="s">
        <v>22882</v>
      </c>
      <c r="H1053" s="451" t="s">
        <v>22883</v>
      </c>
      <c r="I1053" s="451"/>
      <c r="J1053" s="451" t="s">
        <v>22997</v>
      </c>
      <c r="K1053" s="451"/>
    </row>
    <row r="1054" spans="1:11">
      <c r="A1054" s="450" t="s">
        <v>2573</v>
      </c>
      <c r="B1054" s="450"/>
      <c r="C1054" s="450" t="s">
        <v>2574</v>
      </c>
      <c r="D1054" s="450"/>
      <c r="E1054" s="450"/>
      <c r="F1054" s="450"/>
      <c r="G1054" s="450" t="s">
        <v>22877</v>
      </c>
      <c r="H1054" s="450" t="s">
        <v>22878</v>
      </c>
      <c r="I1054" s="450" t="s">
        <v>33022</v>
      </c>
      <c r="J1054" s="450" t="s">
        <v>23185</v>
      </c>
      <c r="K1054" s="450"/>
    </row>
    <row r="1055" spans="1:11">
      <c r="A1055" s="451" t="s">
        <v>2575</v>
      </c>
      <c r="B1055" s="451"/>
      <c r="C1055" s="451" t="s">
        <v>2576</v>
      </c>
      <c r="D1055" s="451"/>
      <c r="E1055" s="451"/>
      <c r="F1055" s="451"/>
      <c r="G1055" s="451" t="s">
        <v>22877</v>
      </c>
      <c r="H1055" s="451" t="s">
        <v>22878</v>
      </c>
      <c r="I1055" s="451" t="s">
        <v>33023</v>
      </c>
      <c r="J1055" s="451" t="s">
        <v>23185</v>
      </c>
      <c r="K1055" s="451"/>
    </row>
    <row r="1056" spans="1:11">
      <c r="A1056" s="450" t="s">
        <v>2577</v>
      </c>
      <c r="B1056" s="450"/>
      <c r="C1056" s="450" t="s">
        <v>2578</v>
      </c>
      <c r="D1056" s="450"/>
      <c r="E1056" s="450"/>
      <c r="F1056" s="450"/>
      <c r="G1056" s="450" t="s">
        <v>22882</v>
      </c>
      <c r="H1056" s="450" t="s">
        <v>22883</v>
      </c>
      <c r="I1056" s="450"/>
      <c r="J1056" s="450" t="s">
        <v>23185</v>
      </c>
      <c r="K1056" s="450"/>
    </row>
    <row r="1057" spans="1:11">
      <c r="A1057" s="451" t="s">
        <v>2579</v>
      </c>
      <c r="B1057" s="451"/>
      <c r="C1057" s="451" t="s">
        <v>2580</v>
      </c>
      <c r="D1057" s="451"/>
      <c r="E1057" s="451"/>
      <c r="F1057" s="451"/>
      <c r="G1057" s="451" t="s">
        <v>22882</v>
      </c>
      <c r="H1057" s="451" t="s">
        <v>22883</v>
      </c>
      <c r="I1057" s="451"/>
      <c r="J1057" s="451" t="s">
        <v>23185</v>
      </c>
      <c r="K1057" s="451"/>
    </row>
    <row r="1058" spans="1:11">
      <c r="A1058" s="450" t="s">
        <v>2581</v>
      </c>
      <c r="B1058" s="450"/>
      <c r="C1058" s="450" t="s">
        <v>2582</v>
      </c>
      <c r="D1058" s="450"/>
      <c r="E1058" s="450"/>
      <c r="F1058" s="450"/>
      <c r="G1058" s="450" t="s">
        <v>22882</v>
      </c>
      <c r="H1058" s="450" t="s">
        <v>22883</v>
      </c>
      <c r="I1058" s="450"/>
      <c r="J1058" s="450" t="s">
        <v>33024</v>
      </c>
      <c r="K1058" s="450"/>
    </row>
    <row r="1059" spans="1:11">
      <c r="A1059" s="451" t="s">
        <v>33025</v>
      </c>
      <c r="B1059" s="451"/>
      <c r="C1059" s="451" t="s">
        <v>33026</v>
      </c>
      <c r="D1059" s="451"/>
      <c r="E1059" s="451"/>
      <c r="F1059" s="451"/>
      <c r="G1059" s="451" t="s">
        <v>22882</v>
      </c>
      <c r="H1059" s="451" t="s">
        <v>22883</v>
      </c>
      <c r="I1059" s="451" t="s">
        <v>33027</v>
      </c>
      <c r="J1059" s="451" t="s">
        <v>22997</v>
      </c>
      <c r="K1059" s="451"/>
    </row>
    <row r="1060" spans="1:11">
      <c r="A1060" s="450" t="s">
        <v>21453</v>
      </c>
      <c r="B1060" s="450"/>
      <c r="C1060" s="450" t="s">
        <v>2583</v>
      </c>
      <c r="D1060" s="450"/>
      <c r="E1060" s="450"/>
      <c r="F1060" s="450"/>
      <c r="G1060" s="450" t="s">
        <v>22877</v>
      </c>
      <c r="H1060" s="450" t="s">
        <v>22878</v>
      </c>
      <c r="I1060" s="450" t="s">
        <v>33028</v>
      </c>
      <c r="J1060" s="450" t="s">
        <v>23185</v>
      </c>
      <c r="K1060" s="450"/>
    </row>
    <row r="1061" spans="1:11">
      <c r="A1061" s="451" t="s">
        <v>2584</v>
      </c>
      <c r="B1061" s="451"/>
      <c r="C1061" s="451" t="s">
        <v>2585</v>
      </c>
      <c r="D1061" s="451"/>
      <c r="E1061" s="451"/>
      <c r="F1061" s="451"/>
      <c r="G1061" s="451" t="s">
        <v>22877</v>
      </c>
      <c r="H1061" s="451" t="s">
        <v>22878</v>
      </c>
      <c r="I1061" s="451" t="s">
        <v>23388</v>
      </c>
      <c r="J1061" s="451" t="s">
        <v>22939</v>
      </c>
      <c r="K1061" s="451"/>
    </row>
    <row r="1062" spans="1:11">
      <c r="A1062" s="450" t="s">
        <v>22621</v>
      </c>
      <c r="B1062" s="450" t="s">
        <v>2589</v>
      </c>
      <c r="C1062" s="450" t="s">
        <v>2590</v>
      </c>
      <c r="D1062" s="450" t="s">
        <v>2591</v>
      </c>
      <c r="E1062" s="450"/>
      <c r="F1062" s="450"/>
      <c r="G1062" s="450" t="s">
        <v>22877</v>
      </c>
      <c r="H1062" s="450" t="s">
        <v>22878</v>
      </c>
      <c r="I1062" s="450" t="s">
        <v>23389</v>
      </c>
      <c r="J1062" s="450" t="s">
        <v>23390</v>
      </c>
      <c r="K1062" s="450"/>
    </row>
    <row r="1063" spans="1:11">
      <c r="A1063" s="451" t="s">
        <v>33029</v>
      </c>
      <c r="B1063" s="451"/>
      <c r="C1063" s="451" t="s">
        <v>2587</v>
      </c>
      <c r="D1063" s="451"/>
      <c r="E1063" s="451"/>
      <c r="F1063" s="451"/>
      <c r="G1063" s="451" t="s">
        <v>22877</v>
      </c>
      <c r="H1063" s="451" t="s">
        <v>22878</v>
      </c>
      <c r="I1063" s="451" t="s">
        <v>23391</v>
      </c>
      <c r="J1063" s="451" t="s">
        <v>22948</v>
      </c>
      <c r="K1063" s="451"/>
    </row>
    <row r="1064" spans="1:11">
      <c r="A1064" s="450" t="s">
        <v>2586</v>
      </c>
      <c r="B1064" s="450"/>
      <c r="C1064" s="450" t="s">
        <v>2587</v>
      </c>
      <c r="D1064" s="450"/>
      <c r="E1064" s="450"/>
      <c r="F1064" s="450"/>
      <c r="G1064" s="450" t="s">
        <v>22877</v>
      </c>
      <c r="H1064" s="450" t="s">
        <v>22878</v>
      </c>
      <c r="I1064" s="450" t="s">
        <v>23391</v>
      </c>
      <c r="J1064" s="450" t="s">
        <v>28871</v>
      </c>
      <c r="K1064" s="450"/>
    </row>
    <row r="1065" spans="1:11">
      <c r="A1065" s="451" t="s">
        <v>2588</v>
      </c>
      <c r="B1065" s="451" t="s">
        <v>2589</v>
      </c>
      <c r="C1065" s="451" t="s">
        <v>2590</v>
      </c>
      <c r="D1065" s="451" t="s">
        <v>2591</v>
      </c>
      <c r="E1065" s="451" t="s">
        <v>2592</v>
      </c>
      <c r="F1065" s="451"/>
      <c r="G1065" s="451" t="s">
        <v>22877</v>
      </c>
      <c r="H1065" s="451" t="s">
        <v>22878</v>
      </c>
      <c r="I1065" s="451" t="s">
        <v>23389</v>
      </c>
      <c r="J1065" s="451" t="s">
        <v>23390</v>
      </c>
      <c r="K1065" s="451"/>
    </row>
    <row r="1066" spans="1:11">
      <c r="A1066" s="450" t="s">
        <v>22622</v>
      </c>
      <c r="B1066" s="450" t="s">
        <v>22623</v>
      </c>
      <c r="C1066" s="450" t="s">
        <v>22624</v>
      </c>
      <c r="D1066" s="450" t="s">
        <v>22625</v>
      </c>
      <c r="E1066" s="450"/>
      <c r="F1066" s="450"/>
      <c r="G1066" s="450" t="s">
        <v>22877</v>
      </c>
      <c r="H1066" s="450" t="s">
        <v>22878</v>
      </c>
      <c r="I1066" s="450" t="s">
        <v>22625</v>
      </c>
      <c r="J1066" s="450" t="s">
        <v>23392</v>
      </c>
      <c r="K1066" s="450"/>
    </row>
    <row r="1067" spans="1:11">
      <c r="A1067" s="451" t="s">
        <v>20499</v>
      </c>
      <c r="B1067" s="451" t="s">
        <v>20498</v>
      </c>
      <c r="C1067" s="451" t="s">
        <v>20497</v>
      </c>
      <c r="D1067" s="451" t="s">
        <v>20500</v>
      </c>
      <c r="E1067" s="451"/>
      <c r="F1067" s="451"/>
      <c r="G1067" s="451" t="s">
        <v>22877</v>
      </c>
      <c r="H1067" s="451" t="s">
        <v>22878</v>
      </c>
      <c r="I1067" s="451" t="s">
        <v>20500</v>
      </c>
      <c r="J1067" s="451" t="s">
        <v>30427</v>
      </c>
      <c r="K1067" s="451"/>
    </row>
    <row r="1068" spans="1:11">
      <c r="A1068" s="450" t="s">
        <v>2593</v>
      </c>
      <c r="B1068" s="450"/>
      <c r="C1068" s="450" t="s">
        <v>2594</v>
      </c>
      <c r="D1068" s="450"/>
      <c r="E1068" s="450"/>
      <c r="F1068" s="450"/>
      <c r="G1068" s="450" t="s">
        <v>22877</v>
      </c>
      <c r="H1068" s="450" t="s">
        <v>22878</v>
      </c>
      <c r="I1068" s="450" t="s">
        <v>23393</v>
      </c>
      <c r="J1068" s="450" t="s">
        <v>22942</v>
      </c>
      <c r="K1068" s="450"/>
    </row>
    <row r="1069" spans="1:11">
      <c r="A1069" s="451" t="s">
        <v>2595</v>
      </c>
      <c r="B1069" s="451" t="s">
        <v>2596</v>
      </c>
      <c r="C1069" s="451" t="s">
        <v>2597</v>
      </c>
      <c r="D1069" s="451" t="s">
        <v>2598</v>
      </c>
      <c r="E1069" s="451"/>
      <c r="F1069" s="451" t="s">
        <v>33030</v>
      </c>
      <c r="G1069" s="451" t="s">
        <v>22882</v>
      </c>
      <c r="H1069" s="451" t="s">
        <v>22883</v>
      </c>
      <c r="I1069" s="451" t="s">
        <v>2598</v>
      </c>
      <c r="J1069" s="451" t="s">
        <v>33031</v>
      </c>
      <c r="K1069" s="451"/>
    </row>
    <row r="1070" spans="1:11">
      <c r="A1070" s="450" t="s">
        <v>2595</v>
      </c>
      <c r="B1070" s="450" t="s">
        <v>2596</v>
      </c>
      <c r="C1070" s="450" t="s">
        <v>2597</v>
      </c>
      <c r="D1070" s="450" t="s">
        <v>2598</v>
      </c>
      <c r="E1070" s="450" t="s">
        <v>2599</v>
      </c>
      <c r="F1070" s="450" t="s">
        <v>2600</v>
      </c>
      <c r="G1070" s="450" t="s">
        <v>22882</v>
      </c>
      <c r="H1070" s="450" t="s">
        <v>22883</v>
      </c>
      <c r="I1070" s="450" t="s">
        <v>30428</v>
      </c>
      <c r="J1070" s="450" t="s">
        <v>30429</v>
      </c>
      <c r="K1070" s="450"/>
    </row>
    <row r="1071" spans="1:11">
      <c r="A1071" s="451" t="s">
        <v>2601</v>
      </c>
      <c r="B1071" s="451"/>
      <c r="C1071" s="451" t="s">
        <v>2602</v>
      </c>
      <c r="D1071" s="451"/>
      <c r="E1071" s="451"/>
      <c r="F1071" s="451"/>
      <c r="G1071" s="451" t="s">
        <v>22991</v>
      </c>
      <c r="H1071" s="451" t="s">
        <v>22878</v>
      </c>
      <c r="I1071" s="451"/>
      <c r="J1071" s="451"/>
      <c r="K1071" s="451"/>
    </row>
    <row r="1072" spans="1:11">
      <c r="A1072" s="450" t="s">
        <v>2603</v>
      </c>
      <c r="B1072" s="450"/>
      <c r="C1072" s="450" t="s">
        <v>2604</v>
      </c>
      <c r="D1072" s="450"/>
      <c r="E1072" s="450"/>
      <c r="F1072" s="450"/>
      <c r="G1072" s="450" t="s">
        <v>22882</v>
      </c>
      <c r="H1072" s="450" t="s">
        <v>22883</v>
      </c>
      <c r="I1072" s="450" t="s">
        <v>33032</v>
      </c>
      <c r="J1072" s="450" t="s">
        <v>22942</v>
      </c>
      <c r="K1072" s="450"/>
    </row>
    <row r="1073" spans="1:11">
      <c r="A1073" s="451" t="s">
        <v>2605</v>
      </c>
      <c r="B1073" s="451"/>
      <c r="C1073" s="451" t="s">
        <v>2606</v>
      </c>
      <c r="D1073" s="451"/>
      <c r="E1073" s="451"/>
      <c r="F1073" s="451"/>
      <c r="G1073" s="451" t="s">
        <v>22877</v>
      </c>
      <c r="H1073" s="451" t="s">
        <v>22878</v>
      </c>
      <c r="I1073" s="451" t="s">
        <v>23394</v>
      </c>
      <c r="J1073" s="451" t="s">
        <v>23370</v>
      </c>
      <c r="K1073" s="451"/>
    </row>
    <row r="1074" spans="1:11">
      <c r="A1074" s="450" t="s">
        <v>2607</v>
      </c>
      <c r="B1074" s="450" t="s">
        <v>2608</v>
      </c>
      <c r="C1074" s="450" t="s">
        <v>2609</v>
      </c>
      <c r="D1074" s="450"/>
      <c r="E1074" s="450"/>
      <c r="F1074" s="450"/>
      <c r="G1074" s="450" t="s">
        <v>22882</v>
      </c>
      <c r="H1074" s="450" t="s">
        <v>22883</v>
      </c>
      <c r="I1074" s="450" t="s">
        <v>23395</v>
      </c>
      <c r="J1074" s="450" t="s">
        <v>23396</v>
      </c>
      <c r="K1074" s="450"/>
    </row>
    <row r="1075" spans="1:11">
      <c r="A1075" s="451" t="s">
        <v>2610</v>
      </c>
      <c r="B1075" s="451" t="s">
        <v>22626</v>
      </c>
      <c r="C1075" s="451" t="s">
        <v>2612</v>
      </c>
      <c r="D1075" s="451"/>
      <c r="E1075" s="451"/>
      <c r="F1075" s="451" t="s">
        <v>2613</v>
      </c>
      <c r="G1075" s="451" t="s">
        <v>22877</v>
      </c>
      <c r="H1075" s="451" t="s">
        <v>22878</v>
      </c>
      <c r="I1075" s="451" t="s">
        <v>23397</v>
      </c>
      <c r="J1075" s="451" t="s">
        <v>23398</v>
      </c>
      <c r="K1075" s="451"/>
    </row>
    <row r="1076" spans="1:11">
      <c r="A1076" s="450" t="s">
        <v>2610</v>
      </c>
      <c r="B1076" s="450" t="s">
        <v>2611</v>
      </c>
      <c r="C1076" s="450" t="s">
        <v>2612</v>
      </c>
      <c r="D1076" s="450"/>
      <c r="E1076" s="450"/>
      <c r="F1076" s="450" t="s">
        <v>2613</v>
      </c>
      <c r="G1076" s="450" t="s">
        <v>22877</v>
      </c>
      <c r="H1076" s="450" t="s">
        <v>22878</v>
      </c>
      <c r="I1076" s="450" t="s">
        <v>30430</v>
      </c>
      <c r="J1076" s="450" t="s">
        <v>30431</v>
      </c>
      <c r="K1076" s="450"/>
    </row>
    <row r="1077" spans="1:11">
      <c r="A1077" s="451" t="s">
        <v>22627</v>
      </c>
      <c r="B1077" s="451" t="s">
        <v>22628</v>
      </c>
      <c r="C1077" s="451" t="s">
        <v>22629</v>
      </c>
      <c r="D1077" s="451"/>
      <c r="E1077" s="451"/>
      <c r="F1077" s="451"/>
      <c r="G1077" s="451" t="s">
        <v>22877</v>
      </c>
      <c r="H1077" s="451" t="s">
        <v>22878</v>
      </c>
      <c r="I1077" s="451" t="s">
        <v>23399</v>
      </c>
      <c r="J1077" s="451" t="s">
        <v>23400</v>
      </c>
      <c r="K1077" s="451"/>
    </row>
    <row r="1078" spans="1:11">
      <c r="A1078" s="450" t="s">
        <v>2614</v>
      </c>
      <c r="B1078" s="450" t="s">
        <v>2615</v>
      </c>
      <c r="C1078" s="450" t="s">
        <v>2616</v>
      </c>
      <c r="D1078" s="450" t="s">
        <v>2617</v>
      </c>
      <c r="E1078" s="450"/>
      <c r="F1078" s="450"/>
      <c r="G1078" s="450" t="s">
        <v>22877</v>
      </c>
      <c r="H1078" s="450" t="s">
        <v>22878</v>
      </c>
      <c r="I1078" s="450" t="s">
        <v>33033</v>
      </c>
      <c r="J1078" s="450" t="s">
        <v>23401</v>
      </c>
      <c r="K1078" s="450"/>
    </row>
    <row r="1079" spans="1:11">
      <c r="A1079" s="451" t="s">
        <v>2614</v>
      </c>
      <c r="B1079" s="451" t="s">
        <v>2615</v>
      </c>
      <c r="C1079" s="451" t="s">
        <v>2616</v>
      </c>
      <c r="D1079" s="451" t="s">
        <v>2617</v>
      </c>
      <c r="E1079" s="451" t="s">
        <v>2618</v>
      </c>
      <c r="F1079" s="451"/>
      <c r="G1079" s="451" t="s">
        <v>22877</v>
      </c>
      <c r="H1079" s="451" t="s">
        <v>22878</v>
      </c>
      <c r="I1079" s="451" t="s">
        <v>30432</v>
      </c>
      <c r="J1079" s="451" t="s">
        <v>23401</v>
      </c>
      <c r="K1079" s="451"/>
    </row>
    <row r="1080" spans="1:11">
      <c r="A1080" s="450" t="s">
        <v>2619</v>
      </c>
      <c r="B1080" s="450" t="s">
        <v>21454</v>
      </c>
      <c r="C1080" s="450" t="s">
        <v>33034</v>
      </c>
      <c r="D1080" s="450"/>
      <c r="E1080" s="450"/>
      <c r="F1080" s="450"/>
      <c r="G1080" s="450" t="s">
        <v>22877</v>
      </c>
      <c r="H1080" s="450" t="s">
        <v>22878</v>
      </c>
      <c r="I1080" s="450" t="s">
        <v>23119</v>
      </c>
      <c r="J1080" s="450" t="s">
        <v>33035</v>
      </c>
      <c r="K1080" s="450"/>
    </row>
    <row r="1081" spans="1:11">
      <c r="A1081" s="451" t="s">
        <v>2619</v>
      </c>
      <c r="B1081" s="451" t="s">
        <v>21454</v>
      </c>
      <c r="C1081" s="451" t="s">
        <v>2620</v>
      </c>
      <c r="D1081" s="451"/>
      <c r="E1081" s="451"/>
      <c r="F1081" s="451"/>
      <c r="G1081" s="451" t="s">
        <v>22877</v>
      </c>
      <c r="H1081" s="451" t="s">
        <v>22878</v>
      </c>
      <c r="I1081" s="451" t="s">
        <v>30433</v>
      </c>
      <c r="J1081" s="451" t="s">
        <v>30434</v>
      </c>
      <c r="K1081" s="451"/>
    </row>
    <row r="1082" spans="1:11">
      <c r="A1082" s="450" t="s">
        <v>2621</v>
      </c>
      <c r="B1082" s="450"/>
      <c r="C1082" s="450" t="s">
        <v>2622</v>
      </c>
      <c r="D1082" s="450"/>
      <c r="E1082" s="450"/>
      <c r="F1082" s="450"/>
      <c r="G1082" s="450" t="s">
        <v>22877</v>
      </c>
      <c r="H1082" s="450" t="s">
        <v>22878</v>
      </c>
      <c r="I1082" s="450" t="s">
        <v>33036</v>
      </c>
      <c r="J1082" s="450" t="s">
        <v>23185</v>
      </c>
      <c r="K1082" s="450"/>
    </row>
    <row r="1083" spans="1:11">
      <c r="A1083" s="451" t="s">
        <v>2623</v>
      </c>
      <c r="B1083" s="451"/>
      <c r="C1083" s="451" t="s">
        <v>2624</v>
      </c>
      <c r="D1083" s="451"/>
      <c r="E1083" s="451"/>
      <c r="F1083" s="451"/>
      <c r="G1083" s="451" t="s">
        <v>22882</v>
      </c>
      <c r="H1083" s="451" t="s">
        <v>22883</v>
      </c>
      <c r="I1083" s="451" t="s">
        <v>23402</v>
      </c>
      <c r="J1083" s="451" t="s">
        <v>23185</v>
      </c>
      <c r="K1083" s="451"/>
    </row>
    <row r="1084" spans="1:11">
      <c r="A1084" s="450" t="s">
        <v>22630</v>
      </c>
      <c r="B1084" s="450" t="s">
        <v>22631</v>
      </c>
      <c r="C1084" s="450" t="s">
        <v>22632</v>
      </c>
      <c r="D1084" s="450"/>
      <c r="E1084" s="450"/>
      <c r="F1084" s="450"/>
      <c r="G1084" s="450" t="s">
        <v>22882</v>
      </c>
      <c r="H1084" s="450" t="s">
        <v>22883</v>
      </c>
      <c r="I1084" s="450" t="s">
        <v>23403</v>
      </c>
      <c r="J1084" s="450" t="s">
        <v>23404</v>
      </c>
      <c r="K1084" s="450"/>
    </row>
    <row r="1085" spans="1:11">
      <c r="A1085" s="451" t="s">
        <v>2625</v>
      </c>
      <c r="B1085" s="451"/>
      <c r="C1085" s="451" t="s">
        <v>2626</v>
      </c>
      <c r="D1085" s="451"/>
      <c r="E1085" s="451"/>
      <c r="F1085" s="451"/>
      <c r="G1085" s="451" t="s">
        <v>22882</v>
      </c>
      <c r="H1085" s="451" t="s">
        <v>22883</v>
      </c>
      <c r="I1085" s="451"/>
      <c r="J1085" s="451" t="s">
        <v>23185</v>
      </c>
      <c r="K1085" s="451"/>
    </row>
    <row r="1086" spans="1:11">
      <c r="A1086" s="450" t="s">
        <v>2627</v>
      </c>
      <c r="B1086" s="450"/>
      <c r="C1086" s="450" t="s">
        <v>2628</v>
      </c>
      <c r="D1086" s="450"/>
      <c r="E1086" s="450"/>
      <c r="F1086" s="450"/>
      <c r="G1086" s="450" t="s">
        <v>22882</v>
      </c>
      <c r="H1086" s="450" t="s">
        <v>22883</v>
      </c>
      <c r="I1086" s="450"/>
      <c r="J1086" s="450" t="s">
        <v>33037</v>
      </c>
      <c r="K1086" s="450"/>
    </row>
    <row r="1087" spans="1:11">
      <c r="A1087" s="451" t="s">
        <v>33038</v>
      </c>
      <c r="B1087" s="451"/>
      <c r="C1087" s="451" t="s">
        <v>2628</v>
      </c>
      <c r="D1087" s="451"/>
      <c r="E1087" s="451"/>
      <c r="F1087" s="451"/>
      <c r="G1087" s="451" t="s">
        <v>22882</v>
      </c>
      <c r="H1087" s="451" t="s">
        <v>22883</v>
      </c>
      <c r="I1087" s="451"/>
      <c r="J1087" s="451" t="s">
        <v>22942</v>
      </c>
      <c r="K1087" s="451"/>
    </row>
    <row r="1088" spans="1:11">
      <c r="A1088" s="450" t="s">
        <v>21455</v>
      </c>
      <c r="B1088" s="450"/>
      <c r="C1088" s="450" t="s">
        <v>2629</v>
      </c>
      <c r="D1088" s="450"/>
      <c r="E1088" s="450"/>
      <c r="F1088" s="450"/>
      <c r="G1088" s="450" t="s">
        <v>22877</v>
      </c>
      <c r="H1088" s="450" t="s">
        <v>22878</v>
      </c>
      <c r="I1088" s="450" t="s">
        <v>33039</v>
      </c>
      <c r="J1088" s="450" t="s">
        <v>22997</v>
      </c>
      <c r="K1088" s="450"/>
    </row>
    <row r="1089" spans="1:11">
      <c r="A1089" s="451" t="s">
        <v>2630</v>
      </c>
      <c r="B1089" s="451"/>
      <c r="C1089" s="451" t="s">
        <v>2631</v>
      </c>
      <c r="D1089" s="451"/>
      <c r="E1089" s="451"/>
      <c r="F1089" s="451"/>
      <c r="G1089" s="451" t="s">
        <v>22877</v>
      </c>
      <c r="H1089" s="451" t="s">
        <v>22878</v>
      </c>
      <c r="I1089" s="451" t="s">
        <v>23405</v>
      </c>
      <c r="J1089" s="451" t="s">
        <v>22997</v>
      </c>
      <c r="K1089" s="451"/>
    </row>
    <row r="1090" spans="1:11">
      <c r="A1090" s="450" t="s">
        <v>33040</v>
      </c>
      <c r="B1090" s="450" t="s">
        <v>2633</v>
      </c>
      <c r="C1090" s="450" t="s">
        <v>2634</v>
      </c>
      <c r="D1090" s="450" t="s">
        <v>2635</v>
      </c>
      <c r="E1090" s="450"/>
      <c r="F1090" s="450"/>
      <c r="G1090" s="450" t="s">
        <v>22877</v>
      </c>
      <c r="H1090" s="450" t="s">
        <v>22878</v>
      </c>
      <c r="I1090" s="450" t="s">
        <v>33041</v>
      </c>
      <c r="J1090" s="450" t="s">
        <v>33042</v>
      </c>
      <c r="K1090" s="450"/>
    </row>
    <row r="1091" spans="1:11">
      <c r="A1091" s="451" t="s">
        <v>2632</v>
      </c>
      <c r="B1091" s="451" t="s">
        <v>2633</v>
      </c>
      <c r="C1091" s="451" t="s">
        <v>2634</v>
      </c>
      <c r="D1091" s="451" t="s">
        <v>2635</v>
      </c>
      <c r="E1091" s="451" t="s">
        <v>2636</v>
      </c>
      <c r="F1091" s="451"/>
      <c r="G1091" s="451" t="s">
        <v>30435</v>
      </c>
      <c r="H1091" s="451" t="s">
        <v>22878</v>
      </c>
      <c r="I1091" s="451" t="s">
        <v>30436</v>
      </c>
      <c r="J1091" s="451" t="s">
        <v>2633</v>
      </c>
      <c r="K1091" s="451"/>
    </row>
    <row r="1092" spans="1:11">
      <c r="A1092" s="450" t="s">
        <v>33043</v>
      </c>
      <c r="B1092" s="450"/>
      <c r="C1092" s="450" t="s">
        <v>2638</v>
      </c>
      <c r="D1092" s="450"/>
      <c r="E1092" s="450"/>
      <c r="F1092" s="450"/>
      <c r="G1092" s="450" t="s">
        <v>22877</v>
      </c>
      <c r="H1092" s="450" t="s">
        <v>22878</v>
      </c>
      <c r="I1092" s="450" t="s">
        <v>33044</v>
      </c>
      <c r="J1092" s="450" t="s">
        <v>22943</v>
      </c>
      <c r="K1092" s="450"/>
    </row>
    <row r="1093" spans="1:11">
      <c r="A1093" s="451" t="s">
        <v>2637</v>
      </c>
      <c r="B1093" s="451"/>
      <c r="C1093" s="451" t="s">
        <v>2638</v>
      </c>
      <c r="D1093" s="451"/>
      <c r="E1093" s="451"/>
      <c r="F1093" s="451"/>
      <c r="G1093" s="451" t="s">
        <v>22882</v>
      </c>
      <c r="H1093" s="451" t="s">
        <v>22883</v>
      </c>
      <c r="I1093" s="451" t="s">
        <v>33045</v>
      </c>
      <c r="J1093" s="451" t="s">
        <v>22997</v>
      </c>
      <c r="K1093" s="451"/>
    </row>
    <row r="1094" spans="1:11">
      <c r="A1094" s="450" t="s">
        <v>2639</v>
      </c>
      <c r="B1094" s="450"/>
      <c r="C1094" s="450" t="s">
        <v>2640</v>
      </c>
      <c r="D1094" s="450"/>
      <c r="E1094" s="450"/>
      <c r="F1094" s="450"/>
      <c r="G1094" s="450" t="s">
        <v>22882</v>
      </c>
      <c r="H1094" s="450" t="s">
        <v>22883</v>
      </c>
      <c r="I1094" s="450" t="s">
        <v>33046</v>
      </c>
      <c r="J1094" s="450" t="s">
        <v>23185</v>
      </c>
      <c r="K1094" s="450"/>
    </row>
    <row r="1095" spans="1:11">
      <c r="A1095" s="451" t="s">
        <v>22633</v>
      </c>
      <c r="B1095" s="451"/>
      <c r="C1095" s="451" t="s">
        <v>2640</v>
      </c>
      <c r="D1095" s="451"/>
      <c r="E1095" s="451"/>
      <c r="F1095" s="451"/>
      <c r="G1095" s="451" t="s">
        <v>22882</v>
      </c>
      <c r="H1095" s="451" t="s">
        <v>22883</v>
      </c>
      <c r="I1095" s="451" t="s">
        <v>23406</v>
      </c>
      <c r="J1095" s="451" t="s">
        <v>22997</v>
      </c>
      <c r="K1095" s="451"/>
    </row>
    <row r="1096" spans="1:11">
      <c r="A1096" s="450" t="s">
        <v>30437</v>
      </c>
      <c r="B1096" s="450" t="s">
        <v>22634</v>
      </c>
      <c r="C1096" s="450" t="s">
        <v>2642</v>
      </c>
      <c r="D1096" s="450" t="s">
        <v>2643</v>
      </c>
      <c r="E1096" s="450"/>
      <c r="F1096" s="450"/>
      <c r="G1096" s="450" t="s">
        <v>23109</v>
      </c>
      <c r="H1096" s="450" t="s">
        <v>22878</v>
      </c>
      <c r="I1096" s="450" t="s">
        <v>23407</v>
      </c>
      <c r="J1096" s="450" t="s">
        <v>22634</v>
      </c>
      <c r="K1096" s="450"/>
    </row>
    <row r="1097" spans="1:11">
      <c r="A1097" s="451" t="s">
        <v>21456</v>
      </c>
      <c r="B1097" s="451" t="s">
        <v>2641</v>
      </c>
      <c r="C1097" s="451" t="s">
        <v>2642</v>
      </c>
      <c r="D1097" s="451" t="s">
        <v>2643</v>
      </c>
      <c r="E1097" s="451" t="s">
        <v>2644</v>
      </c>
      <c r="F1097" s="451"/>
      <c r="G1097" s="451" t="s">
        <v>22882</v>
      </c>
      <c r="H1097" s="451" t="s">
        <v>22883</v>
      </c>
      <c r="I1097" s="451" t="s">
        <v>2643</v>
      </c>
      <c r="J1097" s="451" t="s">
        <v>30438</v>
      </c>
      <c r="K1097" s="451"/>
    </row>
    <row r="1098" spans="1:11">
      <c r="A1098" s="450" t="s">
        <v>2645</v>
      </c>
      <c r="B1098" s="450" t="s">
        <v>2646</v>
      </c>
      <c r="C1098" s="450" t="s">
        <v>2647</v>
      </c>
      <c r="D1098" s="450" t="s">
        <v>2648</v>
      </c>
      <c r="E1098" s="450"/>
      <c r="F1098" s="450"/>
      <c r="G1098" s="450" t="s">
        <v>22882</v>
      </c>
      <c r="H1098" s="450" t="s">
        <v>22883</v>
      </c>
      <c r="I1098" s="450" t="s">
        <v>23408</v>
      </c>
      <c r="J1098" s="450" t="s">
        <v>23409</v>
      </c>
      <c r="K1098" s="450"/>
    </row>
    <row r="1099" spans="1:11">
      <c r="A1099" s="451" t="s">
        <v>2649</v>
      </c>
      <c r="B1099" s="451"/>
      <c r="C1099" s="451" t="s">
        <v>2650</v>
      </c>
      <c r="D1099" s="451"/>
      <c r="E1099" s="451"/>
      <c r="F1099" s="451"/>
      <c r="G1099" s="451" t="s">
        <v>22877</v>
      </c>
      <c r="H1099" s="451" t="s">
        <v>22878</v>
      </c>
      <c r="I1099" s="451"/>
      <c r="J1099" s="451" t="s">
        <v>23185</v>
      </c>
      <c r="K1099" s="451"/>
    </row>
    <row r="1100" spans="1:11">
      <c r="A1100" s="450" t="s">
        <v>2651</v>
      </c>
      <c r="B1100" s="450"/>
      <c r="C1100" s="450" t="s">
        <v>2652</v>
      </c>
      <c r="D1100" s="450"/>
      <c r="E1100" s="450"/>
      <c r="F1100" s="450"/>
      <c r="G1100" s="450" t="s">
        <v>22877</v>
      </c>
      <c r="H1100" s="450" t="s">
        <v>22878</v>
      </c>
      <c r="I1100" s="450" t="s">
        <v>23410</v>
      </c>
      <c r="J1100" s="450" t="s">
        <v>22997</v>
      </c>
      <c r="K1100" s="450"/>
    </row>
    <row r="1101" spans="1:11">
      <c r="A1101" s="451" t="s">
        <v>22635</v>
      </c>
      <c r="B1101" s="451" t="s">
        <v>22636</v>
      </c>
      <c r="C1101" s="451" t="s">
        <v>22637</v>
      </c>
      <c r="D1101" s="451"/>
      <c r="E1101" s="451"/>
      <c r="F1101" s="451"/>
      <c r="G1101" s="451" t="s">
        <v>22877</v>
      </c>
      <c r="H1101" s="451" t="s">
        <v>22878</v>
      </c>
      <c r="I1101" s="451" t="s">
        <v>23411</v>
      </c>
      <c r="J1101" s="451" t="s">
        <v>23412</v>
      </c>
      <c r="K1101" s="451"/>
    </row>
    <row r="1102" spans="1:11">
      <c r="A1102" s="450" t="s">
        <v>2653</v>
      </c>
      <c r="B1102" s="450"/>
      <c r="C1102" s="450" t="s">
        <v>2654</v>
      </c>
      <c r="D1102" s="450"/>
      <c r="E1102" s="450"/>
      <c r="F1102" s="450"/>
      <c r="G1102" s="450" t="s">
        <v>22877</v>
      </c>
      <c r="H1102" s="450" t="s">
        <v>22878</v>
      </c>
      <c r="I1102" s="450"/>
      <c r="J1102" s="450" t="s">
        <v>22942</v>
      </c>
      <c r="K1102" s="450"/>
    </row>
    <row r="1103" spans="1:11">
      <c r="A1103" s="451" t="s">
        <v>22638</v>
      </c>
      <c r="B1103" s="451" t="s">
        <v>22639</v>
      </c>
      <c r="C1103" s="451" t="s">
        <v>22640</v>
      </c>
      <c r="D1103" s="451" t="s">
        <v>22641</v>
      </c>
      <c r="E1103" s="451"/>
      <c r="F1103" s="451"/>
      <c r="G1103" s="451" t="s">
        <v>22877</v>
      </c>
      <c r="H1103" s="451" t="s">
        <v>22878</v>
      </c>
      <c r="I1103" s="451" t="s">
        <v>23413</v>
      </c>
      <c r="J1103" s="451" t="s">
        <v>23414</v>
      </c>
      <c r="K1103" s="451"/>
    </row>
    <row r="1104" spans="1:11">
      <c r="A1104" s="450" t="s">
        <v>33047</v>
      </c>
      <c r="B1104" s="450" t="s">
        <v>2656</v>
      </c>
      <c r="C1104" s="450" t="s">
        <v>2657</v>
      </c>
      <c r="D1104" s="450"/>
      <c r="E1104" s="450"/>
      <c r="F1104" s="450" t="s">
        <v>33048</v>
      </c>
      <c r="G1104" s="450" t="s">
        <v>22877</v>
      </c>
      <c r="H1104" s="450" t="s">
        <v>22878</v>
      </c>
      <c r="I1104" s="450"/>
      <c r="J1104" s="450" t="s">
        <v>33049</v>
      </c>
      <c r="K1104" s="450"/>
    </row>
    <row r="1105" spans="1:11">
      <c r="A1105" s="451" t="s">
        <v>2655</v>
      </c>
      <c r="B1105" s="451" t="s">
        <v>2656</v>
      </c>
      <c r="C1105" s="451" t="s">
        <v>2657</v>
      </c>
      <c r="D1105" s="451"/>
      <c r="E1105" s="451"/>
      <c r="F1105" s="451" t="s">
        <v>2658</v>
      </c>
      <c r="G1105" s="451" t="s">
        <v>22877</v>
      </c>
      <c r="H1105" s="451" t="s">
        <v>22878</v>
      </c>
      <c r="I1105" s="451" t="s">
        <v>30439</v>
      </c>
      <c r="J1105" s="451" t="s">
        <v>30440</v>
      </c>
      <c r="K1105" s="451"/>
    </row>
    <row r="1106" spans="1:11">
      <c r="A1106" s="450" t="s">
        <v>2659</v>
      </c>
      <c r="B1106" s="450" t="s">
        <v>2660</v>
      </c>
      <c r="C1106" s="450" t="s">
        <v>2661</v>
      </c>
      <c r="D1106" s="450" t="s">
        <v>2662</v>
      </c>
      <c r="E1106" s="450"/>
      <c r="F1106" s="450"/>
      <c r="G1106" s="450" t="s">
        <v>22882</v>
      </c>
      <c r="H1106" s="450" t="s">
        <v>22883</v>
      </c>
      <c r="I1106" s="450" t="s">
        <v>23415</v>
      </c>
      <c r="J1106" s="450" t="s">
        <v>23416</v>
      </c>
      <c r="K1106" s="450"/>
    </row>
    <row r="1107" spans="1:11">
      <c r="A1107" s="451" t="s">
        <v>2659</v>
      </c>
      <c r="B1107" s="451" t="s">
        <v>2660</v>
      </c>
      <c r="C1107" s="451" t="s">
        <v>2661</v>
      </c>
      <c r="D1107" s="451" t="s">
        <v>2662</v>
      </c>
      <c r="E1107" s="451" t="s">
        <v>2663</v>
      </c>
      <c r="F1107" s="451"/>
      <c r="G1107" s="451" t="s">
        <v>22882</v>
      </c>
      <c r="H1107" s="451" t="s">
        <v>22883</v>
      </c>
      <c r="I1107" s="451"/>
      <c r="J1107" s="451" t="s">
        <v>33050</v>
      </c>
      <c r="K1107" s="451"/>
    </row>
    <row r="1108" spans="1:11">
      <c r="A1108" s="450" t="s">
        <v>2664</v>
      </c>
      <c r="B1108" s="450"/>
      <c r="C1108" s="450" t="s">
        <v>2665</v>
      </c>
      <c r="D1108" s="450"/>
      <c r="E1108" s="450"/>
      <c r="F1108" s="450"/>
      <c r="G1108" s="450" t="s">
        <v>22882</v>
      </c>
      <c r="H1108" s="450" t="s">
        <v>22883</v>
      </c>
      <c r="I1108" s="450"/>
      <c r="J1108" s="450" t="s">
        <v>22997</v>
      </c>
      <c r="K1108" s="450"/>
    </row>
    <row r="1109" spans="1:11">
      <c r="A1109" s="451" t="s">
        <v>2666</v>
      </c>
      <c r="B1109" s="451"/>
      <c r="C1109" s="451" t="s">
        <v>2626</v>
      </c>
      <c r="D1109" s="451"/>
      <c r="E1109" s="451"/>
      <c r="F1109" s="451"/>
      <c r="G1109" s="451" t="s">
        <v>22877</v>
      </c>
      <c r="H1109" s="451" t="s">
        <v>22878</v>
      </c>
      <c r="I1109" s="451"/>
      <c r="J1109" s="451" t="s">
        <v>23370</v>
      </c>
      <c r="K1109" s="451"/>
    </row>
    <row r="1110" spans="1:11">
      <c r="A1110" s="450" t="s">
        <v>22642</v>
      </c>
      <c r="B1110" s="450" t="s">
        <v>22643</v>
      </c>
      <c r="C1110" s="450" t="s">
        <v>22644</v>
      </c>
      <c r="D1110" s="450"/>
      <c r="E1110" s="450"/>
      <c r="F1110" s="450"/>
      <c r="G1110" s="450" t="s">
        <v>22877</v>
      </c>
      <c r="H1110" s="450" t="s">
        <v>22878</v>
      </c>
      <c r="I1110" s="450" t="s">
        <v>23417</v>
      </c>
      <c r="J1110" s="450" t="s">
        <v>23418</v>
      </c>
      <c r="K1110" s="450"/>
    </row>
    <row r="1111" spans="1:11">
      <c r="A1111" s="451" t="s">
        <v>22645</v>
      </c>
      <c r="B1111" s="451" t="s">
        <v>22646</v>
      </c>
      <c r="C1111" s="451" t="s">
        <v>22647</v>
      </c>
      <c r="D1111" s="451"/>
      <c r="E1111" s="451"/>
      <c r="F1111" s="451" t="s">
        <v>22648</v>
      </c>
      <c r="G1111" s="451" t="s">
        <v>22877</v>
      </c>
      <c r="H1111" s="451" t="s">
        <v>22878</v>
      </c>
      <c r="I1111" s="451" t="s">
        <v>23419</v>
      </c>
      <c r="J1111" s="451" t="s">
        <v>23420</v>
      </c>
      <c r="K1111" s="451"/>
    </row>
    <row r="1112" spans="1:11">
      <c r="A1112" s="450" t="s">
        <v>2667</v>
      </c>
      <c r="B1112" s="450"/>
      <c r="C1112" s="450" t="s">
        <v>1412</v>
      </c>
      <c r="D1112" s="450"/>
      <c r="E1112" s="450"/>
      <c r="F1112" s="450"/>
      <c r="G1112" s="450" t="s">
        <v>22877</v>
      </c>
      <c r="H1112" s="450" t="s">
        <v>22878</v>
      </c>
      <c r="I1112" s="450" t="s">
        <v>23421</v>
      </c>
      <c r="J1112" s="450" t="s">
        <v>22997</v>
      </c>
      <c r="K1112" s="450"/>
    </row>
    <row r="1113" spans="1:11">
      <c r="A1113" s="451" t="s">
        <v>2668</v>
      </c>
      <c r="B1113" s="451" t="s">
        <v>22649</v>
      </c>
      <c r="C1113" s="451" t="s">
        <v>2670</v>
      </c>
      <c r="D1113" s="451"/>
      <c r="E1113" s="451"/>
      <c r="F1113" s="451" t="s">
        <v>2671</v>
      </c>
      <c r="G1113" s="451" t="s">
        <v>23422</v>
      </c>
      <c r="H1113" s="451" t="s">
        <v>22878</v>
      </c>
      <c r="I1113" s="451"/>
      <c r="J1113" s="451" t="s">
        <v>22649</v>
      </c>
      <c r="K1113" s="451"/>
    </row>
    <row r="1114" spans="1:11">
      <c r="A1114" s="450" t="s">
        <v>2668</v>
      </c>
      <c r="B1114" s="450" t="s">
        <v>2669</v>
      </c>
      <c r="C1114" s="450" t="s">
        <v>2670</v>
      </c>
      <c r="D1114" s="450"/>
      <c r="E1114" s="450"/>
      <c r="F1114" s="450" t="s">
        <v>2671</v>
      </c>
      <c r="G1114" s="450" t="s">
        <v>22877</v>
      </c>
      <c r="H1114" s="450" t="s">
        <v>22878</v>
      </c>
      <c r="I1114" s="450" t="s">
        <v>30441</v>
      </c>
      <c r="J1114" s="450" t="s">
        <v>30442</v>
      </c>
      <c r="K1114" s="450"/>
    </row>
    <row r="1115" spans="1:11">
      <c r="A1115" s="451" t="s">
        <v>2672</v>
      </c>
      <c r="B1115" s="451"/>
      <c r="C1115" s="451" t="s">
        <v>2673</v>
      </c>
      <c r="D1115" s="451"/>
      <c r="E1115" s="451"/>
      <c r="F1115" s="451"/>
      <c r="G1115" s="451" t="s">
        <v>22882</v>
      </c>
      <c r="H1115" s="451" t="s">
        <v>22883</v>
      </c>
      <c r="I1115" s="451"/>
      <c r="J1115" s="451" t="s">
        <v>22997</v>
      </c>
      <c r="K1115" s="451"/>
    </row>
    <row r="1116" spans="1:11">
      <c r="A1116" s="450" t="s">
        <v>2674</v>
      </c>
      <c r="B1116" s="450"/>
      <c r="C1116" s="450" t="s">
        <v>2675</v>
      </c>
      <c r="D1116" s="450"/>
      <c r="E1116" s="450"/>
      <c r="F1116" s="450"/>
      <c r="G1116" s="450" t="s">
        <v>23423</v>
      </c>
      <c r="H1116" s="450" t="s">
        <v>22878</v>
      </c>
      <c r="I1116" s="450"/>
      <c r="J1116" s="450" t="s">
        <v>23183</v>
      </c>
      <c r="K1116" s="450"/>
    </row>
    <row r="1117" spans="1:11">
      <c r="A1117" s="451" t="s">
        <v>2676</v>
      </c>
      <c r="B1117" s="451" t="s">
        <v>2677</v>
      </c>
      <c r="C1117" s="451" t="s">
        <v>1164</v>
      </c>
      <c r="D1117" s="451" t="s">
        <v>2678</v>
      </c>
      <c r="E1117" s="451"/>
      <c r="F1117" s="451"/>
      <c r="G1117" s="451" t="s">
        <v>23108</v>
      </c>
      <c r="H1117" s="451" t="s">
        <v>22878</v>
      </c>
      <c r="I1117" s="451" t="s">
        <v>33051</v>
      </c>
      <c r="J1117" s="451" t="s">
        <v>23424</v>
      </c>
      <c r="K1117" s="451" t="s">
        <v>23726</v>
      </c>
    </row>
    <row r="1118" spans="1:11">
      <c r="A1118" s="450" t="s">
        <v>2676</v>
      </c>
      <c r="B1118" s="450" t="s">
        <v>2677</v>
      </c>
      <c r="C1118" s="450" t="s">
        <v>1164</v>
      </c>
      <c r="D1118" s="450" t="s">
        <v>2678</v>
      </c>
      <c r="E1118" s="450" t="s">
        <v>2679</v>
      </c>
      <c r="F1118" s="450"/>
      <c r="G1118" s="450" t="s">
        <v>22877</v>
      </c>
      <c r="H1118" s="450" t="s">
        <v>22878</v>
      </c>
      <c r="I1118" s="450" t="s">
        <v>30443</v>
      </c>
      <c r="J1118" s="450" t="s">
        <v>23424</v>
      </c>
      <c r="K1118" s="450"/>
    </row>
    <row r="1119" spans="1:11">
      <c r="A1119" s="451" t="s">
        <v>2680</v>
      </c>
      <c r="B1119" s="451"/>
      <c r="C1119" s="451" t="s">
        <v>2681</v>
      </c>
      <c r="D1119" s="451"/>
      <c r="E1119" s="451"/>
      <c r="F1119" s="451"/>
      <c r="G1119" s="451" t="s">
        <v>23425</v>
      </c>
      <c r="H1119" s="451" t="s">
        <v>22878</v>
      </c>
      <c r="I1119" s="451"/>
      <c r="J1119" s="451" t="s">
        <v>23074</v>
      </c>
      <c r="K1119" s="451"/>
    </row>
    <row r="1120" spans="1:11">
      <c r="A1120" s="450" t="s">
        <v>33052</v>
      </c>
      <c r="B1120" s="450"/>
      <c r="C1120" s="450" t="s">
        <v>2684</v>
      </c>
      <c r="D1120" s="450"/>
      <c r="E1120" s="450"/>
      <c r="F1120" s="450"/>
      <c r="G1120" s="450" t="s">
        <v>22877</v>
      </c>
      <c r="H1120" s="450" t="s">
        <v>22878</v>
      </c>
      <c r="I1120" s="450" t="s">
        <v>33053</v>
      </c>
      <c r="J1120" s="450" t="s">
        <v>23185</v>
      </c>
      <c r="K1120" s="450"/>
    </row>
    <row r="1121" spans="1:11">
      <c r="A1121" s="451" t="s">
        <v>2683</v>
      </c>
      <c r="B1121" s="451"/>
      <c r="C1121" s="451" t="s">
        <v>2684</v>
      </c>
      <c r="D1121" s="451"/>
      <c r="E1121" s="451"/>
      <c r="F1121" s="451"/>
      <c r="G1121" s="451" t="s">
        <v>22877</v>
      </c>
      <c r="H1121" s="451" t="s">
        <v>22878</v>
      </c>
      <c r="I1121" s="451" t="s">
        <v>23177</v>
      </c>
      <c r="J1121" s="451" t="s">
        <v>23185</v>
      </c>
      <c r="K1121" s="451"/>
    </row>
    <row r="1122" spans="1:11">
      <c r="A1122" s="450" t="s">
        <v>21457</v>
      </c>
      <c r="B1122" s="450"/>
      <c r="C1122" s="450" t="s">
        <v>2682</v>
      </c>
      <c r="D1122" s="450"/>
      <c r="E1122" s="450"/>
      <c r="F1122" s="450"/>
      <c r="G1122" s="450" t="s">
        <v>22877</v>
      </c>
      <c r="H1122" s="450" t="s">
        <v>22878</v>
      </c>
      <c r="I1122" s="450" t="s">
        <v>33054</v>
      </c>
      <c r="J1122" s="450" t="s">
        <v>22939</v>
      </c>
      <c r="K1122" s="450"/>
    </row>
    <row r="1123" spans="1:11">
      <c r="A1123" s="451" t="s">
        <v>2685</v>
      </c>
      <c r="B1123" s="451"/>
      <c r="C1123" s="451" t="s">
        <v>2686</v>
      </c>
      <c r="D1123" s="451"/>
      <c r="E1123" s="451"/>
      <c r="F1123" s="451"/>
      <c r="G1123" s="451" t="s">
        <v>22877</v>
      </c>
      <c r="H1123" s="451" t="s">
        <v>22878</v>
      </c>
      <c r="I1123" s="451" t="s">
        <v>33055</v>
      </c>
      <c r="J1123" s="451" t="s">
        <v>22997</v>
      </c>
      <c r="K1123" s="451"/>
    </row>
    <row r="1124" spans="1:11">
      <c r="A1124" s="450" t="s">
        <v>33056</v>
      </c>
      <c r="B1124" s="450"/>
      <c r="C1124" s="450" t="s">
        <v>2688</v>
      </c>
      <c r="D1124" s="450"/>
      <c r="E1124" s="450"/>
      <c r="F1124" s="450"/>
      <c r="G1124" s="450" t="s">
        <v>22877</v>
      </c>
      <c r="H1124" s="450" t="s">
        <v>22878</v>
      </c>
      <c r="I1124" s="450" t="s">
        <v>33057</v>
      </c>
      <c r="J1124" s="450" t="s">
        <v>22942</v>
      </c>
      <c r="K1124" s="450"/>
    </row>
    <row r="1125" spans="1:11">
      <c r="A1125" s="451" t="s">
        <v>2687</v>
      </c>
      <c r="B1125" s="451"/>
      <c r="C1125" s="451" t="s">
        <v>2688</v>
      </c>
      <c r="D1125" s="451"/>
      <c r="E1125" s="451"/>
      <c r="F1125" s="451"/>
      <c r="G1125" s="451" t="s">
        <v>22877</v>
      </c>
      <c r="H1125" s="451" t="s">
        <v>22878</v>
      </c>
      <c r="I1125" s="451" t="s">
        <v>33058</v>
      </c>
      <c r="J1125" s="451" t="s">
        <v>22942</v>
      </c>
      <c r="K1125" s="451"/>
    </row>
    <row r="1126" spans="1:11">
      <c r="A1126" s="450" t="s">
        <v>2689</v>
      </c>
      <c r="B1126" s="450"/>
      <c r="C1126" s="450" t="s">
        <v>2690</v>
      </c>
      <c r="D1126" s="450"/>
      <c r="E1126" s="450"/>
      <c r="F1126" s="450"/>
      <c r="G1126" s="450" t="s">
        <v>22877</v>
      </c>
      <c r="H1126" s="450" t="s">
        <v>22878</v>
      </c>
      <c r="I1126" s="450" t="s">
        <v>33059</v>
      </c>
      <c r="J1126" s="450" t="s">
        <v>22942</v>
      </c>
      <c r="K1126" s="450"/>
    </row>
    <row r="1127" spans="1:11">
      <c r="A1127" s="451" t="s">
        <v>2691</v>
      </c>
      <c r="B1127" s="451"/>
      <c r="C1127" s="451" t="s">
        <v>2692</v>
      </c>
      <c r="D1127" s="451"/>
      <c r="E1127" s="451"/>
      <c r="F1127" s="451"/>
      <c r="G1127" s="451" t="s">
        <v>22877</v>
      </c>
      <c r="H1127" s="451" t="s">
        <v>22878</v>
      </c>
      <c r="I1127" s="451" t="s">
        <v>23426</v>
      </c>
      <c r="J1127" s="451" t="s">
        <v>23185</v>
      </c>
      <c r="K1127" s="451"/>
    </row>
    <row r="1128" spans="1:11">
      <c r="A1128" s="450" t="s">
        <v>22650</v>
      </c>
      <c r="B1128" s="450" t="s">
        <v>22651</v>
      </c>
      <c r="C1128" s="450" t="s">
        <v>22652</v>
      </c>
      <c r="D1128" s="450"/>
      <c r="E1128" s="450"/>
      <c r="F1128" s="450"/>
      <c r="G1128" s="450" t="s">
        <v>22877</v>
      </c>
      <c r="H1128" s="450" t="s">
        <v>22878</v>
      </c>
      <c r="I1128" s="450" t="s">
        <v>23427</v>
      </c>
      <c r="J1128" s="450" t="s">
        <v>23428</v>
      </c>
      <c r="K1128" s="450"/>
    </row>
    <row r="1129" spans="1:11">
      <c r="A1129" s="451" t="s">
        <v>2693</v>
      </c>
      <c r="B1129" s="451" t="s">
        <v>2694</v>
      </c>
      <c r="C1129" s="451" t="s">
        <v>2695</v>
      </c>
      <c r="D1129" s="451" t="s">
        <v>2696</v>
      </c>
      <c r="E1129" s="451"/>
      <c r="F1129" s="451"/>
      <c r="G1129" s="451" t="s">
        <v>22877</v>
      </c>
      <c r="H1129" s="451" t="s">
        <v>22878</v>
      </c>
      <c r="I1129" s="451" t="s">
        <v>33060</v>
      </c>
      <c r="J1129" s="451" t="s">
        <v>23429</v>
      </c>
      <c r="K1129" s="451"/>
    </row>
    <row r="1130" spans="1:11">
      <c r="A1130" s="450" t="s">
        <v>2693</v>
      </c>
      <c r="B1130" s="450" t="s">
        <v>2694</v>
      </c>
      <c r="C1130" s="450" t="s">
        <v>2695</v>
      </c>
      <c r="D1130" s="450" t="s">
        <v>2696</v>
      </c>
      <c r="E1130" s="450" t="s">
        <v>2697</v>
      </c>
      <c r="F1130" s="450"/>
      <c r="G1130" s="450" t="s">
        <v>22877</v>
      </c>
      <c r="H1130" s="450" t="s">
        <v>22878</v>
      </c>
      <c r="I1130" s="450" t="s">
        <v>30444</v>
      </c>
      <c r="J1130" s="450" t="s">
        <v>23429</v>
      </c>
      <c r="K1130" s="450"/>
    </row>
    <row r="1131" spans="1:11">
      <c r="A1131" s="451" t="s">
        <v>2698</v>
      </c>
      <c r="B1131" s="451"/>
      <c r="C1131" s="451" t="s">
        <v>2699</v>
      </c>
      <c r="D1131" s="451"/>
      <c r="E1131" s="451"/>
      <c r="F1131" s="451"/>
      <c r="G1131" s="451" t="s">
        <v>22882</v>
      </c>
      <c r="H1131" s="451" t="s">
        <v>22883</v>
      </c>
      <c r="I1131" s="451"/>
      <c r="J1131" s="451" t="s">
        <v>23185</v>
      </c>
      <c r="K1131" s="451"/>
    </row>
    <row r="1132" spans="1:11">
      <c r="A1132" s="450" t="s">
        <v>2700</v>
      </c>
      <c r="B1132" s="450" t="s">
        <v>2701</v>
      </c>
      <c r="C1132" s="450" t="s">
        <v>2702</v>
      </c>
      <c r="D1132" s="450" t="s">
        <v>2703</v>
      </c>
      <c r="E1132" s="450"/>
      <c r="F1132" s="450"/>
      <c r="G1132" s="450" t="s">
        <v>22877</v>
      </c>
      <c r="H1132" s="450" t="s">
        <v>22878</v>
      </c>
      <c r="I1132" s="450" t="s">
        <v>33061</v>
      </c>
      <c r="J1132" s="450" t="s">
        <v>23430</v>
      </c>
      <c r="K1132" s="450"/>
    </row>
    <row r="1133" spans="1:11">
      <c r="A1133" s="451" t="s">
        <v>2700</v>
      </c>
      <c r="B1133" s="451" t="s">
        <v>2701</v>
      </c>
      <c r="C1133" s="451" t="s">
        <v>2702</v>
      </c>
      <c r="D1133" s="451" t="s">
        <v>2703</v>
      </c>
      <c r="E1133" s="451" t="s">
        <v>2704</v>
      </c>
      <c r="F1133" s="451"/>
      <c r="G1133" s="451" t="s">
        <v>22877</v>
      </c>
      <c r="H1133" s="451" t="s">
        <v>22878</v>
      </c>
      <c r="I1133" s="451" t="s">
        <v>30445</v>
      </c>
      <c r="J1133" s="451" t="s">
        <v>23430</v>
      </c>
      <c r="K1133" s="451"/>
    </row>
    <row r="1134" spans="1:11">
      <c r="A1134" s="450" t="s">
        <v>33062</v>
      </c>
      <c r="B1134" s="450" t="s">
        <v>2706</v>
      </c>
      <c r="C1134" s="450" t="s">
        <v>2707</v>
      </c>
      <c r="D1134" s="450" t="s">
        <v>2708</v>
      </c>
      <c r="E1134" s="450"/>
      <c r="F1134" s="450"/>
      <c r="G1134" s="450" t="s">
        <v>22877</v>
      </c>
      <c r="H1134" s="450" t="s">
        <v>22878</v>
      </c>
      <c r="I1134" s="450" t="s">
        <v>33063</v>
      </c>
      <c r="J1134" s="450" t="s">
        <v>33064</v>
      </c>
      <c r="K1134" s="450"/>
    </row>
    <row r="1135" spans="1:11">
      <c r="A1135" s="451" t="s">
        <v>2705</v>
      </c>
      <c r="B1135" s="451" t="s">
        <v>2706</v>
      </c>
      <c r="C1135" s="451" t="s">
        <v>2707</v>
      </c>
      <c r="D1135" s="451" t="s">
        <v>2708</v>
      </c>
      <c r="E1135" s="451" t="s">
        <v>2709</v>
      </c>
      <c r="F1135" s="451"/>
      <c r="G1135" s="451" t="s">
        <v>22882</v>
      </c>
      <c r="H1135" s="451" t="s">
        <v>22883</v>
      </c>
      <c r="I1135" s="451"/>
      <c r="J1135" s="451" t="s">
        <v>30446</v>
      </c>
      <c r="K1135" s="451"/>
    </row>
    <row r="1136" spans="1:11">
      <c r="A1136" s="450" t="s">
        <v>33065</v>
      </c>
      <c r="B1136" s="450"/>
      <c r="C1136" s="450" t="s">
        <v>2710</v>
      </c>
      <c r="D1136" s="450"/>
      <c r="E1136" s="450"/>
      <c r="F1136" s="450"/>
      <c r="G1136" s="450" t="s">
        <v>22877</v>
      </c>
      <c r="H1136" s="450" t="s">
        <v>22878</v>
      </c>
      <c r="I1136" s="450" t="s">
        <v>33066</v>
      </c>
      <c r="J1136" s="450" t="s">
        <v>22997</v>
      </c>
      <c r="K1136" s="450"/>
    </row>
    <row r="1137" spans="1:11">
      <c r="A1137" s="451" t="s">
        <v>21458</v>
      </c>
      <c r="B1137" s="451"/>
      <c r="C1137" s="451" t="s">
        <v>2710</v>
      </c>
      <c r="D1137" s="451"/>
      <c r="E1137" s="451"/>
      <c r="F1137" s="451"/>
      <c r="G1137" s="451" t="s">
        <v>22877</v>
      </c>
      <c r="H1137" s="451" t="s">
        <v>22878</v>
      </c>
      <c r="I1137" s="451" t="s">
        <v>33067</v>
      </c>
      <c r="J1137" s="451" t="s">
        <v>23185</v>
      </c>
      <c r="K1137" s="451"/>
    </row>
    <row r="1138" spans="1:11">
      <c r="A1138" s="450" t="s">
        <v>2711</v>
      </c>
      <c r="B1138" s="450"/>
      <c r="C1138" s="450" t="s">
        <v>2712</v>
      </c>
      <c r="D1138" s="450"/>
      <c r="E1138" s="450"/>
      <c r="F1138" s="450"/>
      <c r="G1138" s="450" t="s">
        <v>22877</v>
      </c>
      <c r="H1138" s="450" t="s">
        <v>22878</v>
      </c>
      <c r="I1138" s="450" t="s">
        <v>33068</v>
      </c>
      <c r="J1138" s="450" t="s">
        <v>23185</v>
      </c>
      <c r="K1138" s="450"/>
    </row>
    <row r="1139" spans="1:11">
      <c r="A1139" s="451" t="s">
        <v>22653</v>
      </c>
      <c r="B1139" s="451"/>
      <c r="C1139" s="451" t="s">
        <v>2731</v>
      </c>
      <c r="D1139" s="451"/>
      <c r="E1139" s="451"/>
      <c r="F1139" s="451"/>
      <c r="G1139" s="451" t="s">
        <v>22877</v>
      </c>
      <c r="H1139" s="451" t="s">
        <v>22878</v>
      </c>
      <c r="I1139" s="451" t="s">
        <v>23431</v>
      </c>
      <c r="J1139" s="451" t="s">
        <v>22942</v>
      </c>
      <c r="K1139" s="451"/>
    </row>
    <row r="1140" spans="1:11">
      <c r="A1140" s="450" t="s">
        <v>2713</v>
      </c>
      <c r="B1140" s="450"/>
      <c r="C1140" s="450" t="s">
        <v>2714</v>
      </c>
      <c r="D1140" s="450"/>
      <c r="E1140" s="450"/>
      <c r="F1140" s="450"/>
      <c r="G1140" s="450" t="s">
        <v>22882</v>
      </c>
      <c r="H1140" s="450" t="s">
        <v>22883</v>
      </c>
      <c r="I1140" s="450"/>
      <c r="J1140" s="450" t="s">
        <v>23179</v>
      </c>
      <c r="K1140" s="450"/>
    </row>
    <row r="1141" spans="1:11">
      <c r="A1141" s="451" t="s">
        <v>22654</v>
      </c>
      <c r="B1141" s="451" t="s">
        <v>2716</v>
      </c>
      <c r="C1141" s="451" t="s">
        <v>2717</v>
      </c>
      <c r="D1141" s="451" t="s">
        <v>2718</v>
      </c>
      <c r="E1141" s="451"/>
      <c r="F1141" s="451"/>
      <c r="G1141" s="451" t="s">
        <v>22882</v>
      </c>
      <c r="H1141" s="451" t="s">
        <v>22883</v>
      </c>
      <c r="I1141" s="451"/>
      <c r="J1141" s="451" t="s">
        <v>23432</v>
      </c>
      <c r="K1141" s="451"/>
    </row>
    <row r="1142" spans="1:11">
      <c r="A1142" s="450" t="s">
        <v>22655</v>
      </c>
      <c r="B1142" s="450" t="s">
        <v>2721</v>
      </c>
      <c r="C1142" s="450" t="s">
        <v>2722</v>
      </c>
      <c r="D1142" s="450" t="s">
        <v>2723</v>
      </c>
      <c r="E1142" s="450"/>
      <c r="F1142" s="450"/>
      <c r="G1142" s="450" t="s">
        <v>22882</v>
      </c>
      <c r="H1142" s="450" t="s">
        <v>22883</v>
      </c>
      <c r="I1142" s="450" t="s">
        <v>23433</v>
      </c>
      <c r="J1142" s="450" t="s">
        <v>23434</v>
      </c>
      <c r="K1142" s="450"/>
    </row>
    <row r="1143" spans="1:11">
      <c r="A1143" s="451" t="s">
        <v>22656</v>
      </c>
      <c r="B1143" s="451" t="s">
        <v>2726</v>
      </c>
      <c r="C1143" s="451" t="s">
        <v>2727</v>
      </c>
      <c r="D1143" s="451" t="s">
        <v>2728</v>
      </c>
      <c r="E1143" s="451"/>
      <c r="F1143" s="451"/>
      <c r="G1143" s="451" t="s">
        <v>22882</v>
      </c>
      <c r="H1143" s="451" t="s">
        <v>22883</v>
      </c>
      <c r="I1143" s="451" t="s">
        <v>23435</v>
      </c>
      <c r="J1143" s="451" t="s">
        <v>23436</v>
      </c>
      <c r="K1143" s="451"/>
    </row>
    <row r="1144" spans="1:11">
      <c r="A1144" s="450" t="s">
        <v>2715</v>
      </c>
      <c r="B1144" s="450" t="s">
        <v>2716</v>
      </c>
      <c r="C1144" s="450" t="s">
        <v>2717</v>
      </c>
      <c r="D1144" s="450" t="s">
        <v>2718</v>
      </c>
      <c r="E1144" s="450" t="s">
        <v>2719</v>
      </c>
      <c r="F1144" s="450"/>
      <c r="G1144" s="450" t="s">
        <v>22882</v>
      </c>
      <c r="H1144" s="450" t="s">
        <v>22883</v>
      </c>
      <c r="I1144" s="450" t="s">
        <v>30447</v>
      </c>
      <c r="J1144" s="450" t="s">
        <v>23432</v>
      </c>
      <c r="K1144" s="450"/>
    </row>
    <row r="1145" spans="1:11">
      <c r="A1145" s="451" t="s">
        <v>2720</v>
      </c>
      <c r="B1145" s="451" t="s">
        <v>2721</v>
      </c>
      <c r="C1145" s="451" t="s">
        <v>2722</v>
      </c>
      <c r="D1145" s="451" t="s">
        <v>2723</v>
      </c>
      <c r="E1145" s="451" t="s">
        <v>2724</v>
      </c>
      <c r="F1145" s="451"/>
      <c r="G1145" s="451" t="s">
        <v>22882</v>
      </c>
      <c r="H1145" s="451" t="s">
        <v>22883</v>
      </c>
      <c r="I1145" s="451" t="s">
        <v>2723</v>
      </c>
      <c r="J1145" s="451" t="s">
        <v>30448</v>
      </c>
      <c r="K1145" s="451"/>
    </row>
    <row r="1146" spans="1:11">
      <c r="A1146" s="450" t="s">
        <v>2725</v>
      </c>
      <c r="B1146" s="450" t="s">
        <v>2726</v>
      </c>
      <c r="C1146" s="450" t="s">
        <v>2727</v>
      </c>
      <c r="D1146" s="450" t="s">
        <v>2728</v>
      </c>
      <c r="E1146" s="450" t="s">
        <v>2729</v>
      </c>
      <c r="F1146" s="450"/>
      <c r="G1146" s="450" t="s">
        <v>22882</v>
      </c>
      <c r="H1146" s="450" t="s">
        <v>22883</v>
      </c>
      <c r="I1146" s="450" t="s">
        <v>30449</v>
      </c>
      <c r="J1146" s="450" t="s">
        <v>30450</v>
      </c>
      <c r="K1146" s="450"/>
    </row>
    <row r="1147" spans="1:11">
      <c r="A1147" s="451" t="s">
        <v>2730</v>
      </c>
      <c r="B1147" s="451"/>
      <c r="C1147" s="451" t="s">
        <v>2731</v>
      </c>
      <c r="D1147" s="451"/>
      <c r="E1147" s="451"/>
      <c r="F1147" s="451"/>
      <c r="G1147" s="451" t="s">
        <v>22877</v>
      </c>
      <c r="H1147" s="451" t="s">
        <v>22878</v>
      </c>
      <c r="I1147" s="451" t="s">
        <v>33069</v>
      </c>
      <c r="J1147" s="451" t="s">
        <v>22997</v>
      </c>
      <c r="K1147" s="451"/>
    </row>
    <row r="1148" spans="1:11">
      <c r="A1148" s="450" t="s">
        <v>2732</v>
      </c>
      <c r="B1148" s="450"/>
      <c r="C1148" s="450" t="s">
        <v>2733</v>
      </c>
      <c r="D1148" s="450"/>
      <c r="E1148" s="450"/>
      <c r="F1148" s="450"/>
      <c r="G1148" s="450" t="s">
        <v>22877</v>
      </c>
      <c r="H1148" s="450" t="s">
        <v>22878</v>
      </c>
      <c r="I1148" s="450" t="s">
        <v>23437</v>
      </c>
      <c r="J1148" s="450" t="s">
        <v>22997</v>
      </c>
      <c r="K1148" s="450"/>
    </row>
    <row r="1149" spans="1:11">
      <c r="A1149" s="451" t="s">
        <v>22657</v>
      </c>
      <c r="B1149" s="451" t="s">
        <v>22658</v>
      </c>
      <c r="C1149" s="451" t="s">
        <v>2736</v>
      </c>
      <c r="D1149" s="451" t="s">
        <v>2737</v>
      </c>
      <c r="E1149" s="451"/>
      <c r="F1149" s="451"/>
      <c r="G1149" s="451" t="s">
        <v>22877</v>
      </c>
      <c r="H1149" s="451" t="s">
        <v>22878</v>
      </c>
      <c r="I1149" s="451" t="s">
        <v>23438</v>
      </c>
      <c r="J1149" s="451" t="s">
        <v>23439</v>
      </c>
      <c r="K1149" s="451"/>
    </row>
    <row r="1150" spans="1:11">
      <c r="A1150" s="450" t="s">
        <v>2734</v>
      </c>
      <c r="B1150" s="450" t="s">
        <v>2735</v>
      </c>
      <c r="C1150" s="450" t="s">
        <v>2736</v>
      </c>
      <c r="D1150" s="450" t="s">
        <v>2737</v>
      </c>
      <c r="E1150" s="450" t="s">
        <v>2738</v>
      </c>
      <c r="F1150" s="450"/>
      <c r="G1150" s="450" t="s">
        <v>22877</v>
      </c>
      <c r="H1150" s="450" t="s">
        <v>22878</v>
      </c>
      <c r="I1150" s="450" t="s">
        <v>30451</v>
      </c>
      <c r="J1150" s="450" t="s">
        <v>30452</v>
      </c>
      <c r="K1150" s="450"/>
    </row>
    <row r="1151" spans="1:11">
      <c r="A1151" s="451" t="s">
        <v>2739</v>
      </c>
      <c r="B1151" s="451" t="s">
        <v>2740</v>
      </c>
      <c r="C1151" s="451" t="s">
        <v>2741</v>
      </c>
      <c r="D1151" s="451" t="s">
        <v>2742</v>
      </c>
      <c r="E1151" s="451"/>
      <c r="F1151" s="451"/>
      <c r="G1151" s="451" t="s">
        <v>22877</v>
      </c>
      <c r="H1151" s="451" t="s">
        <v>22878</v>
      </c>
      <c r="I1151" s="451" t="s">
        <v>33070</v>
      </c>
      <c r="J1151" s="451" t="s">
        <v>23440</v>
      </c>
      <c r="K1151" s="451"/>
    </row>
    <row r="1152" spans="1:11">
      <c r="A1152" s="450" t="s">
        <v>2739</v>
      </c>
      <c r="B1152" s="450" t="s">
        <v>2740</v>
      </c>
      <c r="C1152" s="450" t="s">
        <v>2741</v>
      </c>
      <c r="D1152" s="450" t="s">
        <v>2742</v>
      </c>
      <c r="E1152" s="450" t="s">
        <v>2743</v>
      </c>
      <c r="F1152" s="450"/>
      <c r="G1152" s="450" t="s">
        <v>22877</v>
      </c>
      <c r="H1152" s="450" t="s">
        <v>22878</v>
      </c>
      <c r="I1152" s="450" t="s">
        <v>2742</v>
      </c>
      <c r="J1152" s="450" t="s">
        <v>23440</v>
      </c>
      <c r="K1152" s="450"/>
    </row>
    <row r="1153" spans="1:11">
      <c r="A1153" s="451" t="s">
        <v>2744</v>
      </c>
      <c r="B1153" s="451"/>
      <c r="C1153" s="451" t="s">
        <v>2745</v>
      </c>
      <c r="D1153" s="451"/>
      <c r="E1153" s="451"/>
      <c r="F1153" s="451"/>
      <c r="G1153" s="451" t="s">
        <v>22877</v>
      </c>
      <c r="H1153" s="451" t="s">
        <v>22878</v>
      </c>
      <c r="I1153" s="451" t="s">
        <v>33071</v>
      </c>
      <c r="J1153" s="451" t="s">
        <v>22939</v>
      </c>
      <c r="K1153" s="451"/>
    </row>
    <row r="1154" spans="1:11">
      <c r="A1154" s="450" t="s">
        <v>33072</v>
      </c>
      <c r="B1154" s="450"/>
      <c r="C1154" s="450" t="s">
        <v>2747</v>
      </c>
      <c r="D1154" s="450"/>
      <c r="E1154" s="450"/>
      <c r="F1154" s="450"/>
      <c r="G1154" s="450" t="s">
        <v>22882</v>
      </c>
      <c r="H1154" s="450" t="s">
        <v>22883</v>
      </c>
      <c r="I1154" s="450"/>
      <c r="J1154" s="450" t="s">
        <v>22942</v>
      </c>
      <c r="K1154" s="450"/>
    </row>
    <row r="1155" spans="1:11">
      <c r="A1155" s="451" t="s">
        <v>2746</v>
      </c>
      <c r="B1155" s="451"/>
      <c r="C1155" s="451" t="s">
        <v>2747</v>
      </c>
      <c r="D1155" s="451"/>
      <c r="E1155" s="451"/>
      <c r="F1155" s="451"/>
      <c r="G1155" s="451" t="s">
        <v>22882</v>
      </c>
      <c r="H1155" s="451" t="s">
        <v>22883</v>
      </c>
      <c r="I1155" s="451" t="s">
        <v>30453</v>
      </c>
      <c r="J1155" s="451" t="s">
        <v>23185</v>
      </c>
      <c r="K1155" s="451"/>
    </row>
    <row r="1156" spans="1:11">
      <c r="A1156" s="450" t="s">
        <v>22659</v>
      </c>
      <c r="B1156" s="450" t="s">
        <v>22660</v>
      </c>
      <c r="C1156" s="450" t="s">
        <v>22661</v>
      </c>
      <c r="D1156" s="450"/>
      <c r="E1156" s="450"/>
      <c r="F1156" s="450"/>
      <c r="G1156" s="450" t="s">
        <v>22877</v>
      </c>
      <c r="H1156" s="450" t="s">
        <v>22878</v>
      </c>
      <c r="I1156" s="450" t="s">
        <v>23441</v>
      </c>
      <c r="J1156" s="450" t="s">
        <v>23442</v>
      </c>
      <c r="K1156" s="450"/>
    </row>
    <row r="1157" spans="1:11">
      <c r="A1157" s="451" t="s">
        <v>2748</v>
      </c>
      <c r="B1157" s="451"/>
      <c r="C1157" s="451" t="s">
        <v>2749</v>
      </c>
      <c r="D1157" s="451"/>
      <c r="E1157" s="451"/>
      <c r="F1157" s="451"/>
      <c r="G1157" s="451" t="s">
        <v>22882</v>
      </c>
      <c r="H1157" s="451" t="s">
        <v>22883</v>
      </c>
      <c r="I1157" s="451" t="s">
        <v>33073</v>
      </c>
      <c r="J1157" s="451" t="s">
        <v>22942</v>
      </c>
      <c r="K1157" s="451"/>
    </row>
    <row r="1158" spans="1:11">
      <c r="A1158" s="450" t="s">
        <v>2750</v>
      </c>
      <c r="B1158" s="450"/>
      <c r="C1158" s="450" t="s">
        <v>2692</v>
      </c>
      <c r="D1158" s="450"/>
      <c r="E1158" s="450"/>
      <c r="F1158" s="450"/>
      <c r="G1158" s="450" t="s">
        <v>22882</v>
      </c>
      <c r="H1158" s="450" t="s">
        <v>22883</v>
      </c>
      <c r="I1158" s="450"/>
      <c r="J1158" s="450" t="s">
        <v>22942</v>
      </c>
      <c r="K1158" s="450"/>
    </row>
    <row r="1159" spans="1:11">
      <c r="A1159" s="451" t="s">
        <v>2751</v>
      </c>
      <c r="B1159" s="451"/>
      <c r="C1159" s="451" t="s">
        <v>1418</v>
      </c>
      <c r="D1159" s="451"/>
      <c r="E1159" s="451"/>
      <c r="F1159" s="451"/>
      <c r="G1159" s="451" t="s">
        <v>22877</v>
      </c>
      <c r="H1159" s="451" t="s">
        <v>22878</v>
      </c>
      <c r="I1159" s="451" t="s">
        <v>33074</v>
      </c>
      <c r="J1159" s="451" t="s">
        <v>23443</v>
      </c>
      <c r="K1159" s="451"/>
    </row>
    <row r="1160" spans="1:11">
      <c r="A1160" s="450" t="s">
        <v>2752</v>
      </c>
      <c r="B1160" s="450"/>
      <c r="C1160" s="450" t="s">
        <v>2753</v>
      </c>
      <c r="D1160" s="450"/>
      <c r="E1160" s="450"/>
      <c r="F1160" s="450"/>
      <c r="G1160" s="450" t="s">
        <v>22882</v>
      </c>
      <c r="H1160" s="450" t="s">
        <v>22883</v>
      </c>
      <c r="I1160" s="450"/>
      <c r="J1160" s="450" t="s">
        <v>22939</v>
      </c>
      <c r="K1160" s="450"/>
    </row>
    <row r="1161" spans="1:11">
      <c r="A1161" s="451" t="s">
        <v>33075</v>
      </c>
      <c r="B1161" s="451"/>
      <c r="C1161" s="451" t="s">
        <v>2755</v>
      </c>
      <c r="D1161" s="451"/>
      <c r="E1161" s="451"/>
      <c r="F1161" s="451"/>
      <c r="G1161" s="451" t="s">
        <v>22877</v>
      </c>
      <c r="H1161" s="451" t="s">
        <v>22878</v>
      </c>
      <c r="I1161" s="451" t="s">
        <v>33076</v>
      </c>
      <c r="J1161" s="451" t="s">
        <v>22942</v>
      </c>
      <c r="K1161" s="451"/>
    </row>
    <row r="1162" spans="1:11">
      <c r="A1162" s="450" t="s">
        <v>2754</v>
      </c>
      <c r="B1162" s="450"/>
      <c r="C1162" s="450" t="s">
        <v>2755</v>
      </c>
      <c r="D1162" s="450"/>
      <c r="E1162" s="450"/>
      <c r="F1162" s="450"/>
      <c r="G1162" s="450" t="s">
        <v>22877</v>
      </c>
      <c r="H1162" s="450" t="s">
        <v>22878</v>
      </c>
      <c r="I1162" s="450" t="s">
        <v>30454</v>
      </c>
      <c r="J1162" s="450" t="s">
        <v>28871</v>
      </c>
      <c r="K1162" s="450"/>
    </row>
    <row r="1163" spans="1:11">
      <c r="A1163" s="451" t="s">
        <v>2756</v>
      </c>
      <c r="B1163" s="451" t="s">
        <v>22662</v>
      </c>
      <c r="C1163" s="451" t="s">
        <v>2758</v>
      </c>
      <c r="D1163" s="451"/>
      <c r="E1163" s="451"/>
      <c r="F1163" s="451" t="s">
        <v>2759</v>
      </c>
      <c r="G1163" s="451" t="s">
        <v>22877</v>
      </c>
      <c r="H1163" s="451" t="s">
        <v>22878</v>
      </c>
      <c r="I1163" s="451" t="s">
        <v>23444</v>
      </c>
      <c r="J1163" s="451" t="s">
        <v>23445</v>
      </c>
      <c r="K1163" s="451"/>
    </row>
    <row r="1164" spans="1:11">
      <c r="A1164" s="450" t="s">
        <v>2756</v>
      </c>
      <c r="B1164" s="450" t="s">
        <v>2757</v>
      </c>
      <c r="C1164" s="450" t="s">
        <v>2758</v>
      </c>
      <c r="D1164" s="450"/>
      <c r="E1164" s="450"/>
      <c r="F1164" s="450" t="s">
        <v>2759</v>
      </c>
      <c r="G1164" s="450" t="s">
        <v>22877</v>
      </c>
      <c r="H1164" s="450" t="s">
        <v>22878</v>
      </c>
      <c r="I1164" s="450" t="s">
        <v>30455</v>
      </c>
      <c r="J1164" s="450" t="s">
        <v>30456</v>
      </c>
      <c r="K1164" s="450"/>
    </row>
    <row r="1165" spans="1:11">
      <c r="A1165" s="451" t="s">
        <v>33077</v>
      </c>
      <c r="B1165" s="451" t="s">
        <v>2761</v>
      </c>
      <c r="C1165" s="451" t="s">
        <v>2762</v>
      </c>
      <c r="D1165" s="451" t="s">
        <v>2763</v>
      </c>
      <c r="E1165" s="451"/>
      <c r="F1165" s="451"/>
      <c r="G1165" s="451" t="s">
        <v>22877</v>
      </c>
      <c r="H1165" s="451" t="s">
        <v>22878</v>
      </c>
      <c r="I1165" s="451" t="s">
        <v>23446</v>
      </c>
      <c r="J1165" s="451" t="s">
        <v>33078</v>
      </c>
      <c r="K1165" s="451"/>
    </row>
    <row r="1166" spans="1:11">
      <c r="A1166" s="450" t="s">
        <v>2760</v>
      </c>
      <c r="B1166" s="450" t="s">
        <v>2761</v>
      </c>
      <c r="C1166" s="450" t="s">
        <v>2762</v>
      </c>
      <c r="D1166" s="450" t="s">
        <v>2763</v>
      </c>
      <c r="E1166" s="450" t="s">
        <v>2764</v>
      </c>
      <c r="F1166" s="450"/>
      <c r="G1166" s="450" t="s">
        <v>22877</v>
      </c>
      <c r="H1166" s="450" t="s">
        <v>22878</v>
      </c>
      <c r="I1166" s="450" t="s">
        <v>23446</v>
      </c>
      <c r="J1166" s="450" t="s">
        <v>30457</v>
      </c>
      <c r="K1166" s="450"/>
    </row>
    <row r="1167" spans="1:11">
      <c r="A1167" s="451" t="s">
        <v>2765</v>
      </c>
      <c r="B1167" s="451"/>
      <c r="C1167" s="451" t="s">
        <v>2766</v>
      </c>
      <c r="D1167" s="451"/>
      <c r="E1167" s="451"/>
      <c r="F1167" s="451"/>
      <c r="G1167" s="451" t="s">
        <v>22877</v>
      </c>
      <c r="H1167" s="451" t="s">
        <v>22878</v>
      </c>
      <c r="I1167" s="451" t="s">
        <v>23447</v>
      </c>
      <c r="J1167" s="451" t="s">
        <v>22997</v>
      </c>
      <c r="K1167" s="451"/>
    </row>
    <row r="1168" spans="1:11">
      <c r="A1168" s="450" t="s">
        <v>33079</v>
      </c>
      <c r="B1168" s="450" t="s">
        <v>2768</v>
      </c>
      <c r="C1168" s="450" t="s">
        <v>2769</v>
      </c>
      <c r="D1168" s="450" t="s">
        <v>2770</v>
      </c>
      <c r="E1168" s="450"/>
      <c r="F1168" s="450"/>
      <c r="G1168" s="450" t="s">
        <v>22877</v>
      </c>
      <c r="H1168" s="450" t="s">
        <v>22878</v>
      </c>
      <c r="I1168" s="450" t="s">
        <v>33080</v>
      </c>
      <c r="J1168" s="450" t="s">
        <v>33081</v>
      </c>
      <c r="K1168" s="450"/>
    </row>
    <row r="1169" spans="1:11">
      <c r="A1169" s="451" t="s">
        <v>2767</v>
      </c>
      <c r="B1169" s="451" t="s">
        <v>2768</v>
      </c>
      <c r="C1169" s="451" t="s">
        <v>2769</v>
      </c>
      <c r="D1169" s="451" t="s">
        <v>2770</v>
      </c>
      <c r="E1169" s="451"/>
      <c r="F1169" s="451"/>
      <c r="G1169" s="451" t="s">
        <v>22877</v>
      </c>
      <c r="H1169" s="451" t="s">
        <v>22878</v>
      </c>
      <c r="I1169" s="451" t="s">
        <v>2770</v>
      </c>
      <c r="J1169" s="451" t="s">
        <v>30458</v>
      </c>
      <c r="K1169" s="451"/>
    </row>
    <row r="1170" spans="1:11">
      <c r="A1170" s="450" t="s">
        <v>33082</v>
      </c>
      <c r="B1170" s="450" t="s">
        <v>2798</v>
      </c>
      <c r="C1170" s="450" t="s">
        <v>2799</v>
      </c>
      <c r="D1170" s="450" t="s">
        <v>2800</v>
      </c>
      <c r="E1170" s="450"/>
      <c r="F1170" s="450"/>
      <c r="G1170" s="450" t="s">
        <v>22877</v>
      </c>
      <c r="H1170" s="450" t="s">
        <v>22878</v>
      </c>
      <c r="I1170" s="450" t="s">
        <v>33083</v>
      </c>
      <c r="J1170" s="450" t="s">
        <v>33084</v>
      </c>
      <c r="K1170" s="450"/>
    </row>
    <row r="1171" spans="1:11">
      <c r="A1171" s="451" t="s">
        <v>21472</v>
      </c>
      <c r="B1171" s="451" t="s">
        <v>2798</v>
      </c>
      <c r="C1171" s="451" t="s">
        <v>2799</v>
      </c>
      <c r="D1171" s="451" t="s">
        <v>2800</v>
      </c>
      <c r="E1171" s="451"/>
      <c r="F1171" s="451"/>
      <c r="G1171" s="451" t="s">
        <v>22882</v>
      </c>
      <c r="H1171" s="451" t="s">
        <v>22883</v>
      </c>
      <c r="I1171" s="451" t="s">
        <v>2800</v>
      </c>
      <c r="J1171" s="451" t="s">
        <v>30459</v>
      </c>
      <c r="K1171" s="451"/>
    </row>
    <row r="1172" spans="1:11">
      <c r="A1172" s="450" t="s">
        <v>33085</v>
      </c>
      <c r="B1172" s="450"/>
      <c r="C1172" s="450" t="s">
        <v>2802</v>
      </c>
      <c r="D1172" s="450" t="s">
        <v>2803</v>
      </c>
      <c r="E1172" s="450"/>
      <c r="F1172" s="450"/>
      <c r="G1172" s="450" t="s">
        <v>22877</v>
      </c>
      <c r="H1172" s="450" t="s">
        <v>22878</v>
      </c>
      <c r="I1172" s="450" t="s">
        <v>33086</v>
      </c>
      <c r="J1172" s="450" t="s">
        <v>33087</v>
      </c>
      <c r="K1172" s="450"/>
    </row>
    <row r="1173" spans="1:11">
      <c r="A1173" s="451" t="s">
        <v>2801</v>
      </c>
      <c r="B1173" s="451"/>
      <c r="C1173" s="451" t="s">
        <v>2802</v>
      </c>
      <c r="D1173" s="451" t="s">
        <v>2803</v>
      </c>
      <c r="E1173" s="451" t="s">
        <v>2804</v>
      </c>
      <c r="F1173" s="451"/>
      <c r="G1173" s="451" t="s">
        <v>22877</v>
      </c>
      <c r="H1173" s="451" t="s">
        <v>22878</v>
      </c>
      <c r="I1173" s="451" t="s">
        <v>33088</v>
      </c>
      <c r="J1173" s="451" t="s">
        <v>33089</v>
      </c>
      <c r="K1173" s="451"/>
    </row>
    <row r="1174" spans="1:11">
      <c r="A1174" s="450" t="s">
        <v>2805</v>
      </c>
      <c r="B1174" s="450"/>
      <c r="C1174" s="450" t="s">
        <v>1206</v>
      </c>
      <c r="D1174" s="450"/>
      <c r="E1174" s="450"/>
      <c r="F1174" s="450"/>
      <c r="G1174" s="450" t="s">
        <v>22877</v>
      </c>
      <c r="H1174" s="450" t="s">
        <v>22878</v>
      </c>
      <c r="I1174" s="450" t="s">
        <v>33090</v>
      </c>
      <c r="J1174" s="450" t="s">
        <v>23185</v>
      </c>
      <c r="K1174" s="450"/>
    </row>
    <row r="1175" spans="1:11">
      <c r="A1175" s="451" t="s">
        <v>33091</v>
      </c>
      <c r="B1175" s="451"/>
      <c r="C1175" s="451" t="s">
        <v>1206</v>
      </c>
      <c r="D1175" s="451"/>
      <c r="E1175" s="451"/>
      <c r="F1175" s="451"/>
      <c r="G1175" s="451" t="s">
        <v>22877</v>
      </c>
      <c r="H1175" s="451" t="s">
        <v>22878</v>
      </c>
      <c r="I1175" s="451" t="s">
        <v>33092</v>
      </c>
      <c r="J1175" s="451" t="s">
        <v>22997</v>
      </c>
      <c r="K1175" s="451"/>
    </row>
    <row r="1176" spans="1:11">
      <c r="A1176" s="450" t="s">
        <v>33093</v>
      </c>
      <c r="B1176" s="450"/>
      <c r="C1176" s="450" t="s">
        <v>2807</v>
      </c>
      <c r="D1176" s="450"/>
      <c r="E1176" s="450"/>
      <c r="F1176" s="450"/>
      <c r="G1176" s="450" t="s">
        <v>22877</v>
      </c>
      <c r="H1176" s="450" t="s">
        <v>22878</v>
      </c>
      <c r="I1176" s="450" t="s">
        <v>33094</v>
      </c>
      <c r="J1176" s="450" t="s">
        <v>22997</v>
      </c>
      <c r="K1176" s="450"/>
    </row>
    <row r="1177" spans="1:11">
      <c r="A1177" s="451" t="s">
        <v>2806</v>
      </c>
      <c r="B1177" s="451"/>
      <c r="C1177" s="451" t="s">
        <v>2807</v>
      </c>
      <c r="D1177" s="451"/>
      <c r="E1177" s="451"/>
      <c r="F1177" s="451"/>
      <c r="G1177" s="451" t="s">
        <v>22877</v>
      </c>
      <c r="H1177" s="451" t="s">
        <v>22878</v>
      </c>
      <c r="I1177" s="451" t="s">
        <v>33095</v>
      </c>
      <c r="J1177" s="451" t="s">
        <v>23185</v>
      </c>
      <c r="K1177" s="451"/>
    </row>
    <row r="1178" spans="1:11">
      <c r="A1178" s="450" t="s">
        <v>33096</v>
      </c>
      <c r="B1178" s="450"/>
      <c r="C1178" s="450" t="s">
        <v>2809</v>
      </c>
      <c r="D1178" s="450" t="s">
        <v>2810</v>
      </c>
      <c r="E1178" s="450"/>
      <c r="F1178" s="450"/>
      <c r="G1178" s="450" t="s">
        <v>22877</v>
      </c>
      <c r="H1178" s="450" t="s">
        <v>22878</v>
      </c>
      <c r="I1178" s="450" t="s">
        <v>33097</v>
      </c>
      <c r="J1178" s="450" t="s">
        <v>33098</v>
      </c>
      <c r="K1178" s="450"/>
    </row>
    <row r="1179" spans="1:11">
      <c r="A1179" s="451" t="s">
        <v>2808</v>
      </c>
      <c r="B1179" s="451"/>
      <c r="C1179" s="451" t="s">
        <v>2809</v>
      </c>
      <c r="D1179" s="451" t="s">
        <v>2810</v>
      </c>
      <c r="E1179" s="451"/>
      <c r="F1179" s="451"/>
      <c r="G1179" s="451" t="s">
        <v>22882</v>
      </c>
      <c r="H1179" s="451" t="s">
        <v>22883</v>
      </c>
      <c r="I1179" s="451" t="s">
        <v>2810</v>
      </c>
      <c r="J1179" s="451" t="s">
        <v>30460</v>
      </c>
      <c r="K1179" s="451"/>
    </row>
    <row r="1180" spans="1:11">
      <c r="A1180" s="450" t="s">
        <v>33099</v>
      </c>
      <c r="B1180" s="450" t="s">
        <v>2812</v>
      </c>
      <c r="C1180" s="450" t="s">
        <v>2813</v>
      </c>
      <c r="D1180" s="450" t="s">
        <v>2814</v>
      </c>
      <c r="E1180" s="450"/>
      <c r="F1180" s="450"/>
      <c r="G1180" s="450" t="s">
        <v>22882</v>
      </c>
      <c r="H1180" s="450" t="s">
        <v>22883</v>
      </c>
      <c r="I1180" s="450" t="s">
        <v>33100</v>
      </c>
      <c r="J1180" s="450" t="s">
        <v>33101</v>
      </c>
      <c r="K1180" s="450"/>
    </row>
    <row r="1181" spans="1:11">
      <c r="A1181" s="451" t="s">
        <v>2811</v>
      </c>
      <c r="B1181" s="451" t="s">
        <v>2812</v>
      </c>
      <c r="C1181" s="451" t="s">
        <v>2813</v>
      </c>
      <c r="D1181" s="451" t="s">
        <v>2814</v>
      </c>
      <c r="E1181" s="451"/>
      <c r="F1181" s="451"/>
      <c r="G1181" s="451" t="s">
        <v>22882</v>
      </c>
      <c r="H1181" s="451" t="s">
        <v>22883</v>
      </c>
      <c r="I1181" s="451" t="s">
        <v>30461</v>
      </c>
      <c r="J1181" s="451" t="s">
        <v>30462</v>
      </c>
      <c r="K1181" s="451"/>
    </row>
    <row r="1182" spans="1:11">
      <c r="A1182" s="450" t="s">
        <v>30463</v>
      </c>
      <c r="B1182" s="450" t="s">
        <v>22663</v>
      </c>
      <c r="C1182" s="450" t="s">
        <v>22664</v>
      </c>
      <c r="D1182" s="450"/>
      <c r="E1182" s="450"/>
      <c r="F1182" s="450"/>
      <c r="G1182" s="450" t="s">
        <v>22877</v>
      </c>
      <c r="H1182" s="450" t="s">
        <v>22878</v>
      </c>
      <c r="I1182" s="450" t="s">
        <v>23448</v>
      </c>
      <c r="J1182" s="450" t="s">
        <v>23449</v>
      </c>
      <c r="K1182" s="450"/>
    </row>
    <row r="1183" spans="1:11">
      <c r="A1183" s="451" t="s">
        <v>33102</v>
      </c>
      <c r="B1183" s="451" t="s">
        <v>2771</v>
      </c>
      <c r="C1183" s="451" t="s">
        <v>2772</v>
      </c>
      <c r="D1183" s="451" t="s">
        <v>2773</v>
      </c>
      <c r="E1183" s="451"/>
      <c r="F1183" s="451"/>
      <c r="G1183" s="451" t="s">
        <v>33103</v>
      </c>
      <c r="H1183" s="451" t="s">
        <v>22878</v>
      </c>
      <c r="I1183" s="451" t="s">
        <v>33104</v>
      </c>
      <c r="J1183" s="451"/>
      <c r="K1183" s="451"/>
    </row>
    <row r="1184" spans="1:11">
      <c r="A1184" s="450" t="s">
        <v>21459</v>
      </c>
      <c r="B1184" s="450" t="s">
        <v>2771</v>
      </c>
      <c r="C1184" s="450" t="s">
        <v>2772</v>
      </c>
      <c r="D1184" s="450" t="s">
        <v>2773</v>
      </c>
      <c r="E1184" s="450" t="s">
        <v>2774</v>
      </c>
      <c r="F1184" s="450"/>
      <c r="G1184" s="450" t="s">
        <v>22882</v>
      </c>
      <c r="H1184" s="450" t="s">
        <v>22883</v>
      </c>
      <c r="I1184" s="450" t="s">
        <v>24865</v>
      </c>
      <c r="J1184" s="450" t="s">
        <v>30464</v>
      </c>
      <c r="K1184" s="450"/>
    </row>
    <row r="1185" spans="1:11">
      <c r="A1185" s="451" t="s">
        <v>33105</v>
      </c>
      <c r="B1185" s="451" t="s">
        <v>2775</v>
      </c>
      <c r="C1185" s="451" t="s">
        <v>2776</v>
      </c>
      <c r="D1185" s="451" t="s">
        <v>2777</v>
      </c>
      <c r="E1185" s="451"/>
      <c r="F1185" s="451"/>
      <c r="G1185" s="451" t="s">
        <v>22877</v>
      </c>
      <c r="H1185" s="451" t="s">
        <v>22878</v>
      </c>
      <c r="I1185" s="451" t="s">
        <v>33106</v>
      </c>
      <c r="J1185" s="451" t="s">
        <v>33107</v>
      </c>
      <c r="K1185" s="451"/>
    </row>
    <row r="1186" spans="1:11">
      <c r="A1186" s="450" t="s">
        <v>21460</v>
      </c>
      <c r="B1186" s="450" t="s">
        <v>2775</v>
      </c>
      <c r="C1186" s="450" t="s">
        <v>2776</v>
      </c>
      <c r="D1186" s="450" t="s">
        <v>2777</v>
      </c>
      <c r="E1186" s="450"/>
      <c r="F1186" s="450"/>
      <c r="G1186" s="450" t="s">
        <v>22877</v>
      </c>
      <c r="H1186" s="450" t="s">
        <v>22878</v>
      </c>
      <c r="I1186" s="450" t="s">
        <v>2777</v>
      </c>
      <c r="J1186" s="450" t="s">
        <v>30465</v>
      </c>
      <c r="K1186" s="450"/>
    </row>
    <row r="1187" spans="1:11">
      <c r="A1187" s="451" t="s">
        <v>21461</v>
      </c>
      <c r="B1187" s="451"/>
      <c r="C1187" s="451" t="s">
        <v>2778</v>
      </c>
      <c r="D1187" s="451"/>
      <c r="E1187" s="451"/>
      <c r="F1187" s="451"/>
      <c r="G1187" s="451" t="s">
        <v>22877</v>
      </c>
      <c r="H1187" s="451" t="s">
        <v>22878</v>
      </c>
      <c r="I1187" s="451" t="s">
        <v>33108</v>
      </c>
      <c r="J1187" s="451" t="s">
        <v>22939</v>
      </c>
      <c r="K1187" s="451"/>
    </row>
    <row r="1188" spans="1:11">
      <c r="A1188" s="450" t="s">
        <v>21462</v>
      </c>
      <c r="B1188" s="450"/>
      <c r="C1188" s="450" t="s">
        <v>2779</v>
      </c>
      <c r="D1188" s="450"/>
      <c r="E1188" s="450"/>
      <c r="F1188" s="450"/>
      <c r="G1188" s="450" t="s">
        <v>22877</v>
      </c>
      <c r="H1188" s="450" t="s">
        <v>22878</v>
      </c>
      <c r="I1188" s="450" t="s">
        <v>23450</v>
      </c>
      <c r="J1188" s="450" t="s">
        <v>23185</v>
      </c>
      <c r="K1188" s="450"/>
    </row>
    <row r="1189" spans="1:11">
      <c r="A1189" s="451" t="s">
        <v>33109</v>
      </c>
      <c r="B1189" s="451" t="s">
        <v>2780</v>
      </c>
      <c r="C1189" s="451" t="s">
        <v>2781</v>
      </c>
      <c r="D1189" s="451" t="s">
        <v>2782</v>
      </c>
      <c r="E1189" s="451"/>
      <c r="F1189" s="451"/>
      <c r="G1189" s="451" t="s">
        <v>22882</v>
      </c>
      <c r="H1189" s="451" t="s">
        <v>22883</v>
      </c>
      <c r="I1189" s="451"/>
      <c r="J1189" s="451" t="s">
        <v>33110</v>
      </c>
      <c r="K1189" s="451"/>
    </row>
    <row r="1190" spans="1:11">
      <c r="A1190" s="450" t="s">
        <v>21463</v>
      </c>
      <c r="B1190" s="450" t="s">
        <v>2780</v>
      </c>
      <c r="C1190" s="450" t="s">
        <v>2781</v>
      </c>
      <c r="D1190" s="450" t="s">
        <v>2782</v>
      </c>
      <c r="E1190" s="450"/>
      <c r="F1190" s="450"/>
      <c r="G1190" s="450" t="s">
        <v>22882</v>
      </c>
      <c r="H1190" s="450" t="s">
        <v>22883</v>
      </c>
      <c r="I1190" s="450" t="s">
        <v>30466</v>
      </c>
      <c r="J1190" s="450" t="s">
        <v>30467</v>
      </c>
      <c r="K1190" s="450"/>
    </row>
    <row r="1191" spans="1:11">
      <c r="A1191" s="451" t="s">
        <v>33111</v>
      </c>
      <c r="B1191" s="451" t="s">
        <v>2783</v>
      </c>
      <c r="C1191" s="451" t="s">
        <v>2784</v>
      </c>
      <c r="D1191" s="451" t="s">
        <v>2785</v>
      </c>
      <c r="E1191" s="451"/>
      <c r="F1191" s="451"/>
      <c r="G1191" s="451" t="s">
        <v>22882</v>
      </c>
      <c r="H1191" s="451" t="s">
        <v>22883</v>
      </c>
      <c r="I1191" s="451"/>
      <c r="J1191" s="451" t="s">
        <v>33112</v>
      </c>
      <c r="K1191" s="451"/>
    </row>
    <row r="1192" spans="1:11">
      <c r="A1192" s="450" t="s">
        <v>21464</v>
      </c>
      <c r="B1192" s="450" t="s">
        <v>2783</v>
      </c>
      <c r="C1192" s="450" t="s">
        <v>2784</v>
      </c>
      <c r="D1192" s="450" t="s">
        <v>2785</v>
      </c>
      <c r="E1192" s="450"/>
      <c r="F1192" s="450"/>
      <c r="G1192" s="450" t="s">
        <v>22882</v>
      </c>
      <c r="H1192" s="450" t="s">
        <v>22883</v>
      </c>
      <c r="I1192" s="450" t="s">
        <v>2785</v>
      </c>
      <c r="J1192" s="450" t="s">
        <v>30468</v>
      </c>
      <c r="K1192" s="450"/>
    </row>
    <row r="1193" spans="1:11">
      <c r="A1193" s="451" t="s">
        <v>21465</v>
      </c>
      <c r="B1193" s="451"/>
      <c r="C1193" s="451" t="s">
        <v>2786</v>
      </c>
      <c r="D1193" s="451"/>
      <c r="E1193" s="451"/>
      <c r="F1193" s="451"/>
      <c r="G1193" s="451" t="s">
        <v>22882</v>
      </c>
      <c r="H1193" s="451" t="s">
        <v>22883</v>
      </c>
      <c r="I1193" s="451"/>
      <c r="J1193" s="451" t="s">
        <v>22997</v>
      </c>
      <c r="K1193" s="451"/>
    </row>
    <row r="1194" spans="1:11">
      <c r="A1194" s="450" t="s">
        <v>33113</v>
      </c>
      <c r="B1194" s="450" t="s">
        <v>2787</v>
      </c>
      <c r="C1194" s="450" t="s">
        <v>2788</v>
      </c>
      <c r="D1194" s="450" t="s">
        <v>2789</v>
      </c>
      <c r="E1194" s="450"/>
      <c r="F1194" s="450"/>
      <c r="G1194" s="450" t="s">
        <v>22877</v>
      </c>
      <c r="H1194" s="450" t="s">
        <v>22878</v>
      </c>
      <c r="I1194" s="450" t="s">
        <v>33114</v>
      </c>
      <c r="J1194" s="450" t="s">
        <v>33115</v>
      </c>
      <c r="K1194" s="450"/>
    </row>
    <row r="1195" spans="1:11">
      <c r="A1195" s="451" t="s">
        <v>21466</v>
      </c>
      <c r="B1195" s="451" t="s">
        <v>2787</v>
      </c>
      <c r="C1195" s="451" t="s">
        <v>2788</v>
      </c>
      <c r="D1195" s="451" t="s">
        <v>2789</v>
      </c>
      <c r="E1195" s="451"/>
      <c r="F1195" s="451"/>
      <c r="G1195" s="451" t="s">
        <v>23525</v>
      </c>
      <c r="H1195" s="451" t="s">
        <v>22878</v>
      </c>
      <c r="I1195" s="451" t="s">
        <v>30469</v>
      </c>
      <c r="J1195" s="451" t="s">
        <v>2787</v>
      </c>
      <c r="K1195" s="451"/>
    </row>
    <row r="1196" spans="1:11">
      <c r="A1196" s="450" t="s">
        <v>20110</v>
      </c>
      <c r="B1196" s="450" t="s">
        <v>20111</v>
      </c>
      <c r="C1196" s="450" t="s">
        <v>20112</v>
      </c>
      <c r="D1196" s="450" t="s">
        <v>20113</v>
      </c>
      <c r="E1196" s="450"/>
      <c r="F1196" s="450"/>
      <c r="G1196" s="450" t="s">
        <v>22877</v>
      </c>
      <c r="H1196" s="450" t="s">
        <v>22878</v>
      </c>
      <c r="I1196" s="450" t="s">
        <v>20113</v>
      </c>
      <c r="J1196" s="450" t="s">
        <v>33116</v>
      </c>
      <c r="K1196" s="450"/>
    </row>
    <row r="1197" spans="1:11">
      <c r="A1197" s="451" t="s">
        <v>20110</v>
      </c>
      <c r="B1197" s="451" t="s">
        <v>20111</v>
      </c>
      <c r="C1197" s="451" t="s">
        <v>20112</v>
      </c>
      <c r="D1197" s="451" t="s">
        <v>20113</v>
      </c>
      <c r="E1197" s="451" t="s">
        <v>20114</v>
      </c>
      <c r="F1197" s="451"/>
      <c r="G1197" s="451" t="s">
        <v>22877</v>
      </c>
      <c r="H1197" s="451" t="s">
        <v>22878</v>
      </c>
      <c r="I1197" s="451" t="s">
        <v>20113</v>
      </c>
      <c r="J1197" s="451" t="s">
        <v>33116</v>
      </c>
      <c r="K1197" s="451"/>
    </row>
    <row r="1198" spans="1:11">
      <c r="A1198" s="450" t="s">
        <v>20210</v>
      </c>
      <c r="B1198" s="450" t="s">
        <v>20212</v>
      </c>
      <c r="C1198" s="450" t="s">
        <v>20112</v>
      </c>
      <c r="D1198" s="450" t="s">
        <v>20113</v>
      </c>
      <c r="E1198" s="450"/>
      <c r="F1198" s="450" t="s">
        <v>20211</v>
      </c>
      <c r="G1198" s="450" t="s">
        <v>22877</v>
      </c>
      <c r="H1198" s="450" t="s">
        <v>22878</v>
      </c>
      <c r="I1198" s="450" t="s">
        <v>20113</v>
      </c>
      <c r="J1198" s="450" t="s">
        <v>30470</v>
      </c>
      <c r="K1198" s="450"/>
    </row>
    <row r="1199" spans="1:11">
      <c r="A1199" s="451" t="s">
        <v>21467</v>
      </c>
      <c r="B1199" s="451"/>
      <c r="C1199" s="451" t="s">
        <v>2790</v>
      </c>
      <c r="D1199" s="451"/>
      <c r="E1199" s="451"/>
      <c r="F1199" s="451"/>
      <c r="G1199" s="451" t="s">
        <v>22877</v>
      </c>
      <c r="H1199" s="451" t="s">
        <v>22878</v>
      </c>
      <c r="I1199" s="451" t="s">
        <v>33117</v>
      </c>
      <c r="J1199" s="451" t="s">
        <v>22948</v>
      </c>
      <c r="K1199" s="451"/>
    </row>
    <row r="1200" spans="1:11">
      <c r="A1200" s="450" t="s">
        <v>33118</v>
      </c>
      <c r="B1200" s="450"/>
      <c r="C1200" s="450" t="s">
        <v>2791</v>
      </c>
      <c r="D1200" s="450"/>
      <c r="E1200" s="450"/>
      <c r="F1200" s="450"/>
      <c r="G1200" s="450" t="s">
        <v>22877</v>
      </c>
      <c r="H1200" s="450" t="s">
        <v>22878</v>
      </c>
      <c r="I1200" s="450" t="s">
        <v>33119</v>
      </c>
      <c r="J1200" s="450" t="s">
        <v>22942</v>
      </c>
      <c r="K1200" s="450"/>
    </row>
    <row r="1201" spans="1:11">
      <c r="A1201" s="451" t="s">
        <v>21468</v>
      </c>
      <c r="B1201" s="451"/>
      <c r="C1201" s="451" t="s">
        <v>2791</v>
      </c>
      <c r="D1201" s="451"/>
      <c r="E1201" s="451"/>
      <c r="F1201" s="451"/>
      <c r="G1201" s="451" t="s">
        <v>22877</v>
      </c>
      <c r="H1201" s="451" t="s">
        <v>22878</v>
      </c>
      <c r="I1201" s="451" t="s">
        <v>30471</v>
      </c>
      <c r="J1201" s="451" t="s">
        <v>22942</v>
      </c>
      <c r="K1201" s="451"/>
    </row>
    <row r="1202" spans="1:11">
      <c r="A1202" s="450" t="s">
        <v>21469</v>
      </c>
      <c r="B1202" s="450" t="s">
        <v>2792</v>
      </c>
      <c r="C1202" s="450" t="s">
        <v>2793</v>
      </c>
      <c r="D1202" s="450" t="s">
        <v>2794</v>
      </c>
      <c r="E1202" s="450"/>
      <c r="F1202" s="450"/>
      <c r="G1202" s="450" t="s">
        <v>22877</v>
      </c>
      <c r="H1202" s="450" t="s">
        <v>22878</v>
      </c>
      <c r="I1202" s="450" t="s">
        <v>23451</v>
      </c>
      <c r="J1202" s="450" t="s">
        <v>23452</v>
      </c>
      <c r="K1202" s="450"/>
    </row>
    <row r="1203" spans="1:11">
      <c r="A1203" s="451" t="s">
        <v>30472</v>
      </c>
      <c r="B1203" s="451" t="s">
        <v>2795</v>
      </c>
      <c r="C1203" s="451" t="s">
        <v>2796</v>
      </c>
      <c r="D1203" s="451" t="s">
        <v>2797</v>
      </c>
      <c r="E1203" s="451"/>
      <c r="F1203" s="451"/>
      <c r="G1203" s="451" t="s">
        <v>30473</v>
      </c>
      <c r="H1203" s="451" t="s">
        <v>22878</v>
      </c>
      <c r="I1203" s="451" t="s">
        <v>23453</v>
      </c>
      <c r="J1203" s="451" t="s">
        <v>2795</v>
      </c>
      <c r="K1203" s="451"/>
    </row>
    <row r="1204" spans="1:11">
      <c r="A1204" s="450" t="s">
        <v>33120</v>
      </c>
      <c r="B1204" s="450"/>
      <c r="C1204" s="450" t="s">
        <v>2481</v>
      </c>
      <c r="D1204" s="450"/>
      <c r="E1204" s="450"/>
      <c r="F1204" s="450"/>
      <c r="G1204" s="450" t="s">
        <v>22882</v>
      </c>
      <c r="H1204" s="450" t="s">
        <v>22883</v>
      </c>
      <c r="I1204" s="450"/>
      <c r="J1204" s="450" t="s">
        <v>23185</v>
      </c>
      <c r="K1204" s="450"/>
    </row>
    <row r="1205" spans="1:11">
      <c r="A1205" s="451" t="s">
        <v>21470</v>
      </c>
      <c r="B1205" s="451" t="s">
        <v>2795</v>
      </c>
      <c r="C1205" s="451" t="s">
        <v>2796</v>
      </c>
      <c r="D1205" s="451" t="s">
        <v>2797</v>
      </c>
      <c r="E1205" s="451"/>
      <c r="F1205" s="451"/>
      <c r="G1205" s="451" t="s">
        <v>22882</v>
      </c>
      <c r="H1205" s="451" t="s">
        <v>22883</v>
      </c>
      <c r="I1205" s="451"/>
      <c r="J1205" s="451" t="s">
        <v>33121</v>
      </c>
      <c r="K1205" s="451"/>
    </row>
    <row r="1206" spans="1:11">
      <c r="A1206" s="450" t="s">
        <v>21471</v>
      </c>
      <c r="B1206" s="450"/>
      <c r="C1206" s="450" t="s">
        <v>2481</v>
      </c>
      <c r="D1206" s="450"/>
      <c r="E1206" s="450"/>
      <c r="F1206" s="450"/>
      <c r="G1206" s="450" t="s">
        <v>22882</v>
      </c>
      <c r="H1206" s="450" t="s">
        <v>22883</v>
      </c>
      <c r="I1206" s="450"/>
      <c r="J1206" s="450" t="s">
        <v>22939</v>
      </c>
      <c r="K1206" s="450"/>
    </row>
    <row r="1207" spans="1:11">
      <c r="A1207" s="451" t="s">
        <v>30474</v>
      </c>
      <c r="B1207" s="451" t="s">
        <v>22665</v>
      </c>
      <c r="C1207" s="451" t="s">
        <v>22666</v>
      </c>
      <c r="D1207" s="451" t="s">
        <v>22667</v>
      </c>
      <c r="E1207" s="451"/>
      <c r="F1207" s="451" t="s">
        <v>22668</v>
      </c>
      <c r="G1207" s="451" t="s">
        <v>22877</v>
      </c>
      <c r="H1207" s="451" t="s">
        <v>22878</v>
      </c>
      <c r="I1207" s="451" t="s">
        <v>23454</v>
      </c>
      <c r="J1207" s="451" t="s">
        <v>23455</v>
      </c>
      <c r="K1207" s="451"/>
    </row>
    <row r="1208" spans="1:11">
      <c r="A1208" s="450" t="s">
        <v>2815</v>
      </c>
      <c r="B1208" s="450" t="s">
        <v>2816</v>
      </c>
      <c r="C1208" s="450" t="s">
        <v>2817</v>
      </c>
      <c r="D1208" s="450" t="s">
        <v>2818</v>
      </c>
      <c r="E1208" s="450" t="s">
        <v>2819</v>
      </c>
      <c r="F1208" s="450" t="s">
        <v>2820</v>
      </c>
      <c r="G1208" s="450" t="s">
        <v>22882</v>
      </c>
      <c r="H1208" s="450" t="s">
        <v>22883</v>
      </c>
      <c r="I1208" s="450"/>
      <c r="J1208" s="450" t="s">
        <v>30475</v>
      </c>
      <c r="K1208" s="450"/>
    </row>
    <row r="1209" spans="1:11">
      <c r="A1209" s="451" t="s">
        <v>21473</v>
      </c>
      <c r="B1209" s="451" t="s">
        <v>2821</v>
      </c>
      <c r="C1209" s="451" t="s">
        <v>2822</v>
      </c>
      <c r="D1209" s="451" t="s">
        <v>2823</v>
      </c>
      <c r="E1209" s="451"/>
      <c r="F1209" s="451"/>
      <c r="G1209" s="451" t="s">
        <v>22877</v>
      </c>
      <c r="H1209" s="451" t="s">
        <v>22878</v>
      </c>
      <c r="I1209" s="451" t="s">
        <v>23456</v>
      </c>
      <c r="J1209" s="451" t="s">
        <v>23457</v>
      </c>
      <c r="K1209" s="451"/>
    </row>
    <row r="1210" spans="1:11">
      <c r="A1210" s="450" t="s">
        <v>2824</v>
      </c>
      <c r="B1210" s="450" t="s">
        <v>22669</v>
      </c>
      <c r="C1210" s="450" t="s">
        <v>2536</v>
      </c>
      <c r="D1210" s="450" t="s">
        <v>2826</v>
      </c>
      <c r="E1210" s="450"/>
      <c r="F1210" s="450"/>
      <c r="G1210" s="450" t="s">
        <v>22882</v>
      </c>
      <c r="H1210" s="450" t="s">
        <v>22883</v>
      </c>
      <c r="I1210" s="450" t="s">
        <v>23458</v>
      </c>
      <c r="J1210" s="450" t="s">
        <v>23459</v>
      </c>
      <c r="K1210" s="450"/>
    </row>
    <row r="1211" spans="1:11">
      <c r="A1211" s="451" t="s">
        <v>2824</v>
      </c>
      <c r="B1211" s="451" t="s">
        <v>2825</v>
      </c>
      <c r="C1211" s="451" t="s">
        <v>2536</v>
      </c>
      <c r="D1211" s="451" t="s">
        <v>2826</v>
      </c>
      <c r="E1211" s="451" t="s">
        <v>2827</v>
      </c>
      <c r="F1211" s="451"/>
      <c r="G1211" s="451" t="s">
        <v>22882</v>
      </c>
      <c r="H1211" s="451" t="s">
        <v>22883</v>
      </c>
      <c r="I1211" s="451" t="s">
        <v>30476</v>
      </c>
      <c r="J1211" s="451" t="s">
        <v>30477</v>
      </c>
      <c r="K1211" s="451"/>
    </row>
    <row r="1212" spans="1:11">
      <c r="A1212" s="450" t="s">
        <v>33122</v>
      </c>
      <c r="B1212" s="450" t="s">
        <v>2829</v>
      </c>
      <c r="C1212" s="450" t="s">
        <v>2830</v>
      </c>
      <c r="D1212" s="450" t="s">
        <v>2831</v>
      </c>
      <c r="E1212" s="450"/>
      <c r="F1212" s="450"/>
      <c r="G1212" s="450" t="s">
        <v>22877</v>
      </c>
      <c r="H1212" s="450" t="s">
        <v>22878</v>
      </c>
      <c r="I1212" s="450" t="s">
        <v>33123</v>
      </c>
      <c r="J1212" s="450" t="s">
        <v>33124</v>
      </c>
      <c r="K1212" s="450"/>
    </row>
    <row r="1213" spans="1:11">
      <c r="A1213" s="451" t="s">
        <v>2828</v>
      </c>
      <c r="B1213" s="451" t="s">
        <v>2829</v>
      </c>
      <c r="C1213" s="451" t="s">
        <v>2830</v>
      </c>
      <c r="D1213" s="451" t="s">
        <v>2831</v>
      </c>
      <c r="E1213" s="451" t="s">
        <v>2832</v>
      </c>
      <c r="F1213" s="451"/>
      <c r="G1213" s="451" t="s">
        <v>22877</v>
      </c>
      <c r="H1213" s="451" t="s">
        <v>22878</v>
      </c>
      <c r="I1213" s="451" t="s">
        <v>30478</v>
      </c>
      <c r="J1213" s="451" t="s">
        <v>30479</v>
      </c>
      <c r="K1213" s="451"/>
    </row>
    <row r="1214" spans="1:11">
      <c r="A1214" s="450" t="s">
        <v>33125</v>
      </c>
      <c r="B1214" s="450" t="s">
        <v>2834</v>
      </c>
      <c r="C1214" s="450" t="s">
        <v>2835</v>
      </c>
      <c r="D1214" s="450" t="s">
        <v>2836</v>
      </c>
      <c r="E1214" s="450"/>
      <c r="F1214" s="450"/>
      <c r="G1214" s="450" t="s">
        <v>22877</v>
      </c>
      <c r="H1214" s="450" t="s">
        <v>22878</v>
      </c>
      <c r="I1214" s="450" t="s">
        <v>33126</v>
      </c>
      <c r="J1214" s="450" t="s">
        <v>33127</v>
      </c>
      <c r="K1214" s="450"/>
    </row>
    <row r="1215" spans="1:11">
      <c r="A1215" s="451" t="s">
        <v>2833</v>
      </c>
      <c r="B1215" s="451" t="s">
        <v>2834</v>
      </c>
      <c r="C1215" s="451" t="s">
        <v>2835</v>
      </c>
      <c r="D1215" s="451" t="s">
        <v>2836</v>
      </c>
      <c r="E1215" s="451"/>
      <c r="F1215" s="451"/>
      <c r="G1215" s="451" t="s">
        <v>22877</v>
      </c>
      <c r="H1215" s="451" t="s">
        <v>22878</v>
      </c>
      <c r="I1215" s="451" t="s">
        <v>30480</v>
      </c>
      <c r="J1215" s="451" t="s">
        <v>30481</v>
      </c>
      <c r="K1215" s="451"/>
    </row>
    <row r="1216" spans="1:11">
      <c r="A1216" s="450" t="s">
        <v>22670</v>
      </c>
      <c r="B1216" s="450" t="s">
        <v>22671</v>
      </c>
      <c r="C1216" s="450" t="s">
        <v>22672</v>
      </c>
      <c r="D1216" s="450"/>
      <c r="E1216" s="450"/>
      <c r="F1216" s="450"/>
      <c r="G1216" s="450" t="s">
        <v>22877</v>
      </c>
      <c r="H1216" s="450" t="s">
        <v>22878</v>
      </c>
      <c r="I1216" s="450" t="s">
        <v>23460</v>
      </c>
      <c r="J1216" s="450" t="s">
        <v>23461</v>
      </c>
      <c r="K1216" s="450"/>
    </row>
    <row r="1217" spans="1:11">
      <c r="A1217" s="451" t="s">
        <v>33128</v>
      </c>
      <c r="B1217" s="451" t="s">
        <v>2838</v>
      </c>
      <c r="C1217" s="451" t="s">
        <v>2839</v>
      </c>
      <c r="D1217" s="451" t="s">
        <v>2840</v>
      </c>
      <c r="E1217" s="451"/>
      <c r="F1217" s="451"/>
      <c r="G1217" s="451" t="s">
        <v>22877</v>
      </c>
      <c r="H1217" s="451" t="s">
        <v>22878</v>
      </c>
      <c r="I1217" s="451" t="s">
        <v>23462</v>
      </c>
      <c r="J1217" s="451" t="s">
        <v>33129</v>
      </c>
      <c r="K1217" s="451"/>
    </row>
    <row r="1218" spans="1:11">
      <c r="A1218" s="450" t="s">
        <v>2837</v>
      </c>
      <c r="B1218" s="450" t="s">
        <v>2838</v>
      </c>
      <c r="C1218" s="450" t="s">
        <v>2839</v>
      </c>
      <c r="D1218" s="450" t="s">
        <v>2840</v>
      </c>
      <c r="E1218" s="450"/>
      <c r="F1218" s="450"/>
      <c r="G1218" s="450" t="s">
        <v>22877</v>
      </c>
      <c r="H1218" s="450" t="s">
        <v>22878</v>
      </c>
      <c r="I1218" s="450" t="s">
        <v>30482</v>
      </c>
      <c r="J1218" s="450" t="s">
        <v>30483</v>
      </c>
      <c r="K1218" s="450"/>
    </row>
    <row r="1219" spans="1:11">
      <c r="A1219" s="451" t="s">
        <v>33130</v>
      </c>
      <c r="B1219" s="451"/>
      <c r="C1219" s="451" t="s">
        <v>2844</v>
      </c>
      <c r="D1219" s="451"/>
      <c r="E1219" s="451"/>
      <c r="F1219" s="451"/>
      <c r="G1219" s="451" t="s">
        <v>22877</v>
      </c>
      <c r="H1219" s="451" t="s">
        <v>22878</v>
      </c>
      <c r="I1219" s="451" t="s">
        <v>11365</v>
      </c>
      <c r="J1219" s="451" t="s">
        <v>22948</v>
      </c>
      <c r="K1219" s="451"/>
    </row>
    <row r="1220" spans="1:11">
      <c r="A1220" s="450" t="s">
        <v>2841</v>
      </c>
      <c r="B1220" s="450"/>
      <c r="C1220" s="450" t="s">
        <v>2842</v>
      </c>
      <c r="D1220" s="450"/>
      <c r="E1220" s="450"/>
      <c r="F1220" s="450"/>
      <c r="G1220" s="450" t="s">
        <v>22877</v>
      </c>
      <c r="H1220" s="450" t="s">
        <v>22878</v>
      </c>
      <c r="I1220" s="450" t="s">
        <v>33131</v>
      </c>
      <c r="J1220" s="450" t="s">
        <v>22942</v>
      </c>
      <c r="K1220" s="450"/>
    </row>
    <row r="1221" spans="1:11">
      <c r="A1221" s="451" t="s">
        <v>2843</v>
      </c>
      <c r="B1221" s="451"/>
      <c r="C1221" s="451" t="s">
        <v>2844</v>
      </c>
      <c r="D1221" s="451"/>
      <c r="E1221" s="451"/>
      <c r="F1221" s="451"/>
      <c r="G1221" s="451" t="s">
        <v>22877</v>
      </c>
      <c r="H1221" s="451" t="s">
        <v>22878</v>
      </c>
      <c r="I1221" s="451" t="s">
        <v>16917</v>
      </c>
      <c r="J1221" s="451" t="s">
        <v>22942</v>
      </c>
      <c r="K1221" s="451"/>
    </row>
    <row r="1222" spans="1:11">
      <c r="A1222" s="450" t="s">
        <v>2845</v>
      </c>
      <c r="B1222" s="450" t="s">
        <v>2846</v>
      </c>
      <c r="C1222" s="450" t="s">
        <v>2847</v>
      </c>
      <c r="D1222" s="450" t="s">
        <v>2848</v>
      </c>
      <c r="E1222" s="450"/>
      <c r="F1222" s="450"/>
      <c r="G1222" s="450" t="s">
        <v>22877</v>
      </c>
      <c r="H1222" s="450" t="s">
        <v>22878</v>
      </c>
      <c r="I1222" s="450" t="s">
        <v>2848</v>
      </c>
      <c r="J1222" s="450" t="s">
        <v>33132</v>
      </c>
      <c r="K1222" s="450"/>
    </row>
    <row r="1223" spans="1:11">
      <c r="A1223" s="451" t="s">
        <v>2845</v>
      </c>
      <c r="B1223" s="451" t="s">
        <v>2846</v>
      </c>
      <c r="C1223" s="451" t="s">
        <v>2847</v>
      </c>
      <c r="D1223" s="451" t="s">
        <v>2848</v>
      </c>
      <c r="E1223" s="451" t="s">
        <v>2849</v>
      </c>
      <c r="F1223" s="451"/>
      <c r="G1223" s="451" t="s">
        <v>22877</v>
      </c>
      <c r="H1223" s="451" t="s">
        <v>22878</v>
      </c>
      <c r="I1223" s="451" t="s">
        <v>2848</v>
      </c>
      <c r="J1223" s="451" t="s">
        <v>30484</v>
      </c>
      <c r="K1223" s="451"/>
    </row>
    <row r="1224" spans="1:11">
      <c r="A1224" s="450" t="s">
        <v>2850</v>
      </c>
      <c r="B1224" s="450"/>
      <c r="C1224" s="450" t="s">
        <v>2851</v>
      </c>
      <c r="D1224" s="450"/>
      <c r="E1224" s="450"/>
      <c r="F1224" s="450"/>
      <c r="G1224" s="450" t="s">
        <v>22882</v>
      </c>
      <c r="H1224" s="450" t="s">
        <v>22883</v>
      </c>
      <c r="I1224" s="450"/>
      <c r="J1224" s="450" t="s">
        <v>22997</v>
      </c>
      <c r="K1224" s="450"/>
    </row>
    <row r="1225" spans="1:11">
      <c r="A1225" s="451" t="s">
        <v>2852</v>
      </c>
      <c r="B1225" s="451" t="s">
        <v>2853</v>
      </c>
      <c r="C1225" s="451" t="s">
        <v>2854</v>
      </c>
      <c r="D1225" s="451" t="s">
        <v>2855</v>
      </c>
      <c r="E1225" s="451"/>
      <c r="F1225" s="451"/>
      <c r="G1225" s="451" t="s">
        <v>22877</v>
      </c>
      <c r="H1225" s="451" t="s">
        <v>22878</v>
      </c>
      <c r="I1225" s="451" t="s">
        <v>33133</v>
      </c>
      <c r="J1225" s="451" t="s">
        <v>33134</v>
      </c>
      <c r="K1225" s="451"/>
    </row>
    <row r="1226" spans="1:11">
      <c r="A1226" s="450" t="s">
        <v>2852</v>
      </c>
      <c r="B1226" s="450" t="s">
        <v>2853</v>
      </c>
      <c r="C1226" s="450" t="s">
        <v>2854</v>
      </c>
      <c r="D1226" s="450" t="s">
        <v>2855</v>
      </c>
      <c r="E1226" s="450" t="s">
        <v>2856</v>
      </c>
      <c r="F1226" s="450"/>
      <c r="G1226" s="450" t="s">
        <v>22877</v>
      </c>
      <c r="H1226" s="450" t="s">
        <v>22878</v>
      </c>
      <c r="I1226" s="450" t="s">
        <v>30485</v>
      </c>
      <c r="J1226" s="450" t="s">
        <v>30486</v>
      </c>
      <c r="K1226" s="450"/>
    </row>
    <row r="1227" spans="1:11">
      <c r="A1227" s="451" t="s">
        <v>2857</v>
      </c>
      <c r="B1227" s="451" t="s">
        <v>22673</v>
      </c>
      <c r="C1227" s="451" t="s">
        <v>2377</v>
      </c>
      <c r="D1227" s="451" t="s">
        <v>2859</v>
      </c>
      <c r="E1227" s="451"/>
      <c r="F1227" s="451"/>
      <c r="G1227" s="451" t="s">
        <v>22877</v>
      </c>
      <c r="H1227" s="451" t="s">
        <v>22878</v>
      </c>
      <c r="I1227" s="451" t="s">
        <v>2859</v>
      </c>
      <c r="J1227" s="451" t="s">
        <v>23463</v>
      </c>
      <c r="K1227" s="451"/>
    </row>
    <row r="1228" spans="1:11">
      <c r="A1228" s="450" t="s">
        <v>2857</v>
      </c>
      <c r="B1228" s="450" t="s">
        <v>2858</v>
      </c>
      <c r="C1228" s="450" t="s">
        <v>2377</v>
      </c>
      <c r="D1228" s="450" t="s">
        <v>2859</v>
      </c>
      <c r="E1228" s="450" t="s">
        <v>2860</v>
      </c>
      <c r="F1228" s="450"/>
      <c r="G1228" s="450" t="s">
        <v>22877</v>
      </c>
      <c r="H1228" s="450" t="s">
        <v>22878</v>
      </c>
      <c r="I1228" s="450" t="s">
        <v>30487</v>
      </c>
      <c r="J1228" s="450" t="s">
        <v>30488</v>
      </c>
      <c r="K1228" s="450"/>
    </row>
    <row r="1229" spans="1:11">
      <c r="A1229" s="451" t="s">
        <v>33135</v>
      </c>
      <c r="B1229" s="451" t="s">
        <v>2862</v>
      </c>
      <c r="C1229" s="451" t="s">
        <v>2863</v>
      </c>
      <c r="D1229" s="451"/>
      <c r="E1229" s="451"/>
      <c r="F1229" s="451"/>
      <c r="G1229" s="451" t="s">
        <v>22882</v>
      </c>
      <c r="H1229" s="451" t="s">
        <v>22883</v>
      </c>
      <c r="I1229" s="451" t="s">
        <v>33136</v>
      </c>
      <c r="J1229" s="451" t="s">
        <v>33137</v>
      </c>
      <c r="K1229" s="451"/>
    </row>
    <row r="1230" spans="1:11">
      <c r="A1230" s="450" t="s">
        <v>2861</v>
      </c>
      <c r="B1230" s="450" t="s">
        <v>2862</v>
      </c>
      <c r="C1230" s="450" t="s">
        <v>2863</v>
      </c>
      <c r="D1230" s="450"/>
      <c r="E1230" s="450"/>
      <c r="F1230" s="450"/>
      <c r="G1230" s="450" t="s">
        <v>22882</v>
      </c>
      <c r="H1230" s="450" t="s">
        <v>22883</v>
      </c>
      <c r="I1230" s="450"/>
      <c r="J1230" s="450" t="s">
        <v>30489</v>
      </c>
      <c r="K1230" s="450"/>
    </row>
    <row r="1231" spans="1:11">
      <c r="A1231" s="451" t="s">
        <v>2864</v>
      </c>
      <c r="B1231" s="451"/>
      <c r="C1231" s="451" t="s">
        <v>2865</v>
      </c>
      <c r="D1231" s="451"/>
      <c r="E1231" s="451"/>
      <c r="F1231" s="451"/>
      <c r="G1231" s="451" t="s">
        <v>22877</v>
      </c>
      <c r="H1231" s="451" t="s">
        <v>22878</v>
      </c>
      <c r="I1231" s="451" t="s">
        <v>23464</v>
      </c>
      <c r="J1231" s="451" t="s">
        <v>22942</v>
      </c>
      <c r="K1231" s="451"/>
    </row>
    <row r="1232" spans="1:11">
      <c r="A1232" s="450" t="s">
        <v>22674</v>
      </c>
      <c r="B1232" s="450" t="s">
        <v>22675</v>
      </c>
      <c r="C1232" s="450" t="s">
        <v>22676</v>
      </c>
      <c r="D1232" s="450"/>
      <c r="E1232" s="450"/>
      <c r="F1232" s="450" t="s">
        <v>22677</v>
      </c>
      <c r="G1232" s="450" t="s">
        <v>22877</v>
      </c>
      <c r="H1232" s="450" t="s">
        <v>22878</v>
      </c>
      <c r="I1232" s="450" t="s">
        <v>23465</v>
      </c>
      <c r="J1232" s="450" t="s">
        <v>23466</v>
      </c>
      <c r="K1232" s="450"/>
    </row>
    <row r="1233" spans="1:11">
      <c r="A1233" s="451" t="s">
        <v>33138</v>
      </c>
      <c r="B1233" s="451" t="s">
        <v>2867</v>
      </c>
      <c r="C1233" s="451" t="s">
        <v>2868</v>
      </c>
      <c r="D1233" s="451" t="s">
        <v>2869</v>
      </c>
      <c r="E1233" s="451"/>
      <c r="F1233" s="451"/>
      <c r="G1233" s="451" t="s">
        <v>22877</v>
      </c>
      <c r="H1233" s="451" t="s">
        <v>22878</v>
      </c>
      <c r="I1233" s="451" t="s">
        <v>33139</v>
      </c>
      <c r="J1233" s="451" t="s">
        <v>33140</v>
      </c>
      <c r="K1233" s="451"/>
    </row>
    <row r="1234" spans="1:11">
      <c r="A1234" s="450" t="s">
        <v>2866</v>
      </c>
      <c r="B1234" s="450" t="s">
        <v>2867</v>
      </c>
      <c r="C1234" s="450" t="s">
        <v>2868</v>
      </c>
      <c r="D1234" s="450" t="s">
        <v>2869</v>
      </c>
      <c r="E1234" s="450"/>
      <c r="F1234" s="450"/>
      <c r="G1234" s="450" t="s">
        <v>22877</v>
      </c>
      <c r="H1234" s="450" t="s">
        <v>22878</v>
      </c>
      <c r="I1234" s="450" t="s">
        <v>30490</v>
      </c>
      <c r="J1234" s="450" t="s">
        <v>30491</v>
      </c>
      <c r="K1234" s="450"/>
    </row>
    <row r="1235" spans="1:11">
      <c r="A1235" s="451" t="s">
        <v>33141</v>
      </c>
      <c r="B1235" s="451" t="s">
        <v>2871</v>
      </c>
      <c r="C1235" s="451" t="s">
        <v>2872</v>
      </c>
      <c r="D1235" s="451" t="s">
        <v>2873</v>
      </c>
      <c r="E1235" s="451"/>
      <c r="F1235" s="451"/>
      <c r="G1235" s="451" t="s">
        <v>22877</v>
      </c>
      <c r="H1235" s="451" t="s">
        <v>22878</v>
      </c>
      <c r="I1235" s="451" t="s">
        <v>33142</v>
      </c>
      <c r="J1235" s="451" t="s">
        <v>33143</v>
      </c>
      <c r="K1235" s="451"/>
    </row>
    <row r="1236" spans="1:11">
      <c r="A1236" s="450" t="s">
        <v>2870</v>
      </c>
      <c r="B1236" s="450" t="s">
        <v>2871</v>
      </c>
      <c r="C1236" s="450" t="s">
        <v>2872</v>
      </c>
      <c r="D1236" s="450" t="s">
        <v>2873</v>
      </c>
      <c r="E1236" s="450" t="s">
        <v>2874</v>
      </c>
      <c r="F1236" s="450"/>
      <c r="G1236" s="450" t="s">
        <v>22877</v>
      </c>
      <c r="H1236" s="450" t="s">
        <v>22878</v>
      </c>
      <c r="I1236" s="450" t="s">
        <v>2873</v>
      </c>
      <c r="J1236" s="450" t="s">
        <v>30492</v>
      </c>
      <c r="K1236" s="450"/>
    </row>
    <row r="1237" spans="1:11">
      <c r="A1237" s="451" t="s">
        <v>33144</v>
      </c>
      <c r="B1237" s="451"/>
      <c r="C1237" s="451" t="s">
        <v>2876</v>
      </c>
      <c r="D1237" s="451"/>
      <c r="E1237" s="451"/>
      <c r="F1237" s="451"/>
      <c r="G1237" s="451" t="s">
        <v>22882</v>
      </c>
      <c r="H1237" s="451" t="s">
        <v>22883</v>
      </c>
      <c r="I1237" s="451"/>
      <c r="J1237" s="451" t="s">
        <v>23185</v>
      </c>
      <c r="K1237" s="451"/>
    </row>
    <row r="1238" spans="1:11">
      <c r="A1238" s="450" t="s">
        <v>2875</v>
      </c>
      <c r="B1238" s="450"/>
      <c r="C1238" s="450" t="s">
        <v>2876</v>
      </c>
      <c r="D1238" s="450"/>
      <c r="E1238" s="450"/>
      <c r="F1238" s="450"/>
      <c r="G1238" s="450" t="s">
        <v>22882</v>
      </c>
      <c r="H1238" s="450" t="s">
        <v>22883</v>
      </c>
      <c r="I1238" s="450"/>
      <c r="J1238" s="450" t="s">
        <v>22939</v>
      </c>
      <c r="K1238" s="450"/>
    </row>
    <row r="1239" spans="1:11">
      <c r="A1239" s="451" t="s">
        <v>2877</v>
      </c>
      <c r="B1239" s="451"/>
      <c r="C1239" s="451" t="s">
        <v>2878</v>
      </c>
      <c r="D1239" s="451"/>
      <c r="E1239" s="451"/>
      <c r="F1239" s="451"/>
      <c r="G1239" s="451" t="s">
        <v>22882</v>
      </c>
      <c r="H1239" s="451" t="s">
        <v>22883</v>
      </c>
      <c r="I1239" s="451"/>
      <c r="J1239" s="451" t="s">
        <v>22997</v>
      </c>
      <c r="K1239" s="451"/>
    </row>
    <row r="1240" spans="1:11">
      <c r="A1240" s="450" t="s">
        <v>2879</v>
      </c>
      <c r="B1240" s="450"/>
      <c r="C1240" s="450" t="s">
        <v>2880</v>
      </c>
      <c r="D1240" s="450"/>
      <c r="E1240" s="450"/>
      <c r="F1240" s="450"/>
      <c r="G1240" s="450" t="s">
        <v>22882</v>
      </c>
      <c r="H1240" s="450" t="s">
        <v>22883</v>
      </c>
      <c r="I1240" s="450"/>
      <c r="J1240" s="450" t="s">
        <v>23185</v>
      </c>
      <c r="K1240" s="450"/>
    </row>
    <row r="1241" spans="1:11">
      <c r="A1241" s="451" t="s">
        <v>33145</v>
      </c>
      <c r="B1241" s="451"/>
      <c r="C1241" s="451" t="s">
        <v>2882</v>
      </c>
      <c r="D1241" s="451"/>
      <c r="E1241" s="451"/>
      <c r="F1241" s="451"/>
      <c r="G1241" s="451" t="s">
        <v>22877</v>
      </c>
      <c r="H1241" s="451" t="s">
        <v>22878</v>
      </c>
      <c r="I1241" s="451" t="s">
        <v>33146</v>
      </c>
      <c r="J1241" s="451" t="s">
        <v>22948</v>
      </c>
      <c r="K1241" s="451"/>
    </row>
    <row r="1242" spans="1:11">
      <c r="A1242" s="450" t="s">
        <v>2881</v>
      </c>
      <c r="B1242" s="450"/>
      <c r="C1242" s="450" t="s">
        <v>2882</v>
      </c>
      <c r="D1242" s="450"/>
      <c r="E1242" s="450"/>
      <c r="F1242" s="450"/>
      <c r="G1242" s="450" t="s">
        <v>22877</v>
      </c>
      <c r="H1242" s="450" t="s">
        <v>22878</v>
      </c>
      <c r="I1242" s="450" t="s">
        <v>30493</v>
      </c>
      <c r="J1242" s="450" t="s">
        <v>28403</v>
      </c>
      <c r="K1242" s="450"/>
    </row>
    <row r="1243" spans="1:11">
      <c r="A1243" s="451" t="s">
        <v>2883</v>
      </c>
      <c r="B1243" s="451" t="s">
        <v>2884</v>
      </c>
      <c r="C1243" s="451" t="s">
        <v>2885</v>
      </c>
      <c r="D1243" s="451" t="s">
        <v>2886</v>
      </c>
      <c r="E1243" s="451"/>
      <c r="F1243" s="451"/>
      <c r="G1243" s="451" t="s">
        <v>22877</v>
      </c>
      <c r="H1243" s="451" t="s">
        <v>22878</v>
      </c>
      <c r="I1243" s="451" t="s">
        <v>33147</v>
      </c>
      <c r="J1243" s="451" t="s">
        <v>33148</v>
      </c>
      <c r="K1243" s="451"/>
    </row>
    <row r="1244" spans="1:11">
      <c r="A1244" s="450" t="s">
        <v>2883</v>
      </c>
      <c r="B1244" s="450" t="s">
        <v>2884</v>
      </c>
      <c r="C1244" s="450" t="s">
        <v>2885</v>
      </c>
      <c r="D1244" s="450" t="s">
        <v>2886</v>
      </c>
      <c r="E1244" s="450" t="s">
        <v>2887</v>
      </c>
      <c r="F1244" s="450"/>
      <c r="G1244" s="450" t="s">
        <v>22882</v>
      </c>
      <c r="H1244" s="450" t="s">
        <v>22883</v>
      </c>
      <c r="I1244" s="450"/>
      <c r="J1244" s="450" t="s">
        <v>30494</v>
      </c>
      <c r="K1244" s="450"/>
    </row>
    <row r="1245" spans="1:11">
      <c r="A1245" s="451" t="s">
        <v>33149</v>
      </c>
      <c r="B1245" s="451"/>
      <c r="C1245" s="451" t="s">
        <v>2889</v>
      </c>
      <c r="D1245" s="451"/>
      <c r="E1245" s="451"/>
      <c r="F1245" s="451"/>
      <c r="G1245" s="451" t="s">
        <v>22882</v>
      </c>
      <c r="H1245" s="451" t="s">
        <v>22883</v>
      </c>
      <c r="I1245" s="451" t="s">
        <v>33150</v>
      </c>
      <c r="J1245" s="451" t="s">
        <v>22942</v>
      </c>
      <c r="K1245" s="451"/>
    </row>
    <row r="1246" spans="1:11">
      <c r="A1246" s="450" t="s">
        <v>2888</v>
      </c>
      <c r="B1246" s="450"/>
      <c r="C1246" s="450" t="s">
        <v>2889</v>
      </c>
      <c r="D1246" s="450"/>
      <c r="E1246" s="450"/>
      <c r="F1246" s="450"/>
      <c r="G1246" s="450" t="s">
        <v>22882</v>
      </c>
      <c r="H1246" s="450" t="s">
        <v>22883</v>
      </c>
      <c r="I1246" s="450" t="s">
        <v>30495</v>
      </c>
      <c r="J1246" s="450" t="s">
        <v>22942</v>
      </c>
      <c r="K1246" s="450"/>
    </row>
    <row r="1247" spans="1:11">
      <c r="A1247" s="451" t="s">
        <v>22678</v>
      </c>
      <c r="B1247" s="451" t="s">
        <v>22679</v>
      </c>
      <c r="C1247" s="451" t="s">
        <v>22680</v>
      </c>
      <c r="D1247" s="451" t="s">
        <v>22681</v>
      </c>
      <c r="E1247" s="451"/>
      <c r="F1247" s="451"/>
      <c r="G1247" s="451" t="s">
        <v>22877</v>
      </c>
      <c r="H1247" s="451" t="s">
        <v>22878</v>
      </c>
      <c r="I1247" s="451" t="s">
        <v>23467</v>
      </c>
      <c r="J1247" s="451" t="s">
        <v>23468</v>
      </c>
      <c r="K1247" s="451"/>
    </row>
    <row r="1248" spans="1:11">
      <c r="A1248" s="450" t="s">
        <v>2890</v>
      </c>
      <c r="B1248" s="450"/>
      <c r="C1248" s="450" t="s">
        <v>2891</v>
      </c>
      <c r="D1248" s="450"/>
      <c r="E1248" s="450"/>
      <c r="F1248" s="450"/>
      <c r="G1248" s="450" t="s">
        <v>22877</v>
      </c>
      <c r="H1248" s="450" t="s">
        <v>22878</v>
      </c>
      <c r="I1248" s="450" t="s">
        <v>33151</v>
      </c>
      <c r="J1248" s="450" t="s">
        <v>22942</v>
      </c>
      <c r="K1248" s="450"/>
    </row>
    <row r="1249" spans="1:11">
      <c r="A1249" s="451" t="s">
        <v>33152</v>
      </c>
      <c r="B1249" s="451"/>
      <c r="C1249" s="451" t="s">
        <v>2893</v>
      </c>
      <c r="D1249" s="451"/>
      <c r="E1249" s="451"/>
      <c r="F1249" s="451"/>
      <c r="G1249" s="451" t="s">
        <v>22882</v>
      </c>
      <c r="H1249" s="451" t="s">
        <v>22883</v>
      </c>
      <c r="I1249" s="451"/>
      <c r="J1249" s="451" t="s">
        <v>22948</v>
      </c>
      <c r="K1249" s="451"/>
    </row>
    <row r="1250" spans="1:11">
      <c r="A1250" s="450" t="s">
        <v>2892</v>
      </c>
      <c r="B1250" s="450"/>
      <c r="C1250" s="450" t="s">
        <v>2893</v>
      </c>
      <c r="D1250" s="450"/>
      <c r="E1250" s="450"/>
      <c r="F1250" s="450"/>
      <c r="G1250" s="450" t="s">
        <v>22877</v>
      </c>
      <c r="H1250" s="450" t="s">
        <v>22878</v>
      </c>
      <c r="I1250" s="450" t="s">
        <v>30496</v>
      </c>
      <c r="J1250" s="450" t="s">
        <v>22942</v>
      </c>
      <c r="K1250" s="450"/>
    </row>
    <row r="1251" spans="1:11">
      <c r="A1251" s="451" t="s">
        <v>2894</v>
      </c>
      <c r="B1251" s="451" t="s">
        <v>2895</v>
      </c>
      <c r="C1251" s="451" t="s">
        <v>2896</v>
      </c>
      <c r="D1251" s="451" t="s">
        <v>2897</v>
      </c>
      <c r="E1251" s="451" t="s">
        <v>2898</v>
      </c>
      <c r="F1251" s="451"/>
      <c r="G1251" s="451" t="s">
        <v>22877</v>
      </c>
      <c r="H1251" s="451" t="s">
        <v>22878</v>
      </c>
      <c r="I1251" s="451" t="s">
        <v>33153</v>
      </c>
      <c r="J1251" s="451" t="s">
        <v>23470</v>
      </c>
      <c r="K1251" s="451"/>
    </row>
    <row r="1252" spans="1:11">
      <c r="A1252" s="450" t="s">
        <v>22682</v>
      </c>
      <c r="B1252" s="450" t="s">
        <v>2895</v>
      </c>
      <c r="C1252" s="450" t="s">
        <v>2896</v>
      </c>
      <c r="D1252" s="450" t="s">
        <v>2897</v>
      </c>
      <c r="E1252" s="450"/>
      <c r="F1252" s="450"/>
      <c r="G1252" s="450" t="s">
        <v>22877</v>
      </c>
      <c r="H1252" s="450" t="s">
        <v>22878</v>
      </c>
      <c r="I1252" s="450" t="s">
        <v>23469</v>
      </c>
      <c r="J1252" s="450" t="s">
        <v>23470</v>
      </c>
      <c r="K1252" s="450"/>
    </row>
    <row r="1253" spans="1:11">
      <c r="A1253" s="451" t="s">
        <v>2899</v>
      </c>
      <c r="B1253" s="451" t="s">
        <v>2900</v>
      </c>
      <c r="C1253" s="451" t="s">
        <v>2901</v>
      </c>
      <c r="D1253" s="451" t="s">
        <v>2902</v>
      </c>
      <c r="E1253" s="451" t="s">
        <v>2903</v>
      </c>
      <c r="F1253" s="451"/>
      <c r="G1253" s="451" t="s">
        <v>22877</v>
      </c>
      <c r="H1253" s="451" t="s">
        <v>22878</v>
      </c>
      <c r="I1253" s="451" t="s">
        <v>2902</v>
      </c>
      <c r="J1253" s="451" t="s">
        <v>33154</v>
      </c>
      <c r="K1253" s="451"/>
    </row>
    <row r="1254" spans="1:11">
      <c r="A1254" s="450" t="s">
        <v>22683</v>
      </c>
      <c r="B1254" s="450" t="s">
        <v>2900</v>
      </c>
      <c r="C1254" s="450" t="s">
        <v>2901</v>
      </c>
      <c r="D1254" s="450" t="s">
        <v>2902</v>
      </c>
      <c r="E1254" s="450"/>
      <c r="F1254" s="450"/>
      <c r="G1254" s="450" t="s">
        <v>22877</v>
      </c>
      <c r="H1254" s="450" t="s">
        <v>22878</v>
      </c>
      <c r="I1254" s="450" t="s">
        <v>23471</v>
      </c>
      <c r="J1254" s="450" t="s">
        <v>23472</v>
      </c>
      <c r="K1254" s="450"/>
    </row>
    <row r="1255" spans="1:11">
      <c r="A1255" s="451" t="s">
        <v>2904</v>
      </c>
      <c r="B1255" s="451"/>
      <c r="C1255" s="451" t="s">
        <v>2905</v>
      </c>
      <c r="D1255" s="451"/>
      <c r="E1255" s="451"/>
      <c r="F1255" s="451"/>
      <c r="G1255" s="451" t="s">
        <v>22877</v>
      </c>
      <c r="H1255" s="451" t="s">
        <v>22878</v>
      </c>
      <c r="I1255" s="451" t="s">
        <v>33155</v>
      </c>
      <c r="J1255" s="451" t="s">
        <v>22997</v>
      </c>
      <c r="K1255" s="451"/>
    </row>
    <row r="1256" spans="1:11">
      <c r="A1256" s="450" t="s">
        <v>22684</v>
      </c>
      <c r="B1256" s="450"/>
      <c r="C1256" s="450" t="s">
        <v>2905</v>
      </c>
      <c r="D1256" s="450"/>
      <c r="E1256" s="450"/>
      <c r="F1256" s="450"/>
      <c r="G1256" s="450" t="s">
        <v>22877</v>
      </c>
      <c r="H1256" s="450" t="s">
        <v>22878</v>
      </c>
      <c r="I1256" s="450" t="s">
        <v>23473</v>
      </c>
      <c r="J1256" s="450" t="s">
        <v>22942</v>
      </c>
      <c r="K1256" s="450"/>
    </row>
    <row r="1257" spans="1:11">
      <c r="A1257" s="451" t="s">
        <v>2906</v>
      </c>
      <c r="B1257" s="451" t="s">
        <v>2907</v>
      </c>
      <c r="C1257" s="451" t="s">
        <v>2908</v>
      </c>
      <c r="D1257" s="451" t="s">
        <v>2909</v>
      </c>
      <c r="E1257" s="451" t="s">
        <v>2910</v>
      </c>
      <c r="F1257" s="451"/>
      <c r="G1257" s="451" t="s">
        <v>22877</v>
      </c>
      <c r="H1257" s="451" t="s">
        <v>22878</v>
      </c>
      <c r="I1257" s="451" t="s">
        <v>30497</v>
      </c>
      <c r="J1257" s="451" t="s">
        <v>30498</v>
      </c>
      <c r="K1257" s="451"/>
    </row>
    <row r="1258" spans="1:11">
      <c r="A1258" s="450" t="s">
        <v>2911</v>
      </c>
      <c r="B1258" s="450" t="s">
        <v>2912</v>
      </c>
      <c r="C1258" s="450" t="s">
        <v>2913</v>
      </c>
      <c r="D1258" s="450" t="s">
        <v>2914</v>
      </c>
      <c r="E1258" s="450"/>
      <c r="F1258" s="450"/>
      <c r="G1258" s="450" t="s">
        <v>22882</v>
      </c>
      <c r="H1258" s="450" t="s">
        <v>22883</v>
      </c>
      <c r="I1258" s="450" t="s">
        <v>30499</v>
      </c>
      <c r="J1258" s="450" t="s">
        <v>30500</v>
      </c>
      <c r="K1258" s="450"/>
    </row>
    <row r="1259" spans="1:11">
      <c r="A1259" s="451" t="s">
        <v>22685</v>
      </c>
      <c r="B1259" s="451" t="s">
        <v>2907</v>
      </c>
      <c r="C1259" s="451" t="s">
        <v>2908</v>
      </c>
      <c r="D1259" s="451" t="s">
        <v>2909</v>
      </c>
      <c r="E1259" s="451"/>
      <c r="F1259" s="451"/>
      <c r="G1259" s="451" t="s">
        <v>22877</v>
      </c>
      <c r="H1259" s="451" t="s">
        <v>22878</v>
      </c>
      <c r="I1259" s="451" t="s">
        <v>23474</v>
      </c>
      <c r="J1259" s="451" t="s">
        <v>23475</v>
      </c>
      <c r="K1259" s="451"/>
    </row>
    <row r="1260" spans="1:11">
      <c r="A1260" s="450" t="s">
        <v>22686</v>
      </c>
      <c r="B1260" s="450" t="s">
        <v>2912</v>
      </c>
      <c r="C1260" s="450" t="s">
        <v>2913</v>
      </c>
      <c r="D1260" s="450" t="s">
        <v>2914</v>
      </c>
      <c r="E1260" s="450"/>
      <c r="F1260" s="450"/>
      <c r="G1260" s="450" t="s">
        <v>22877</v>
      </c>
      <c r="H1260" s="450" t="s">
        <v>22878</v>
      </c>
      <c r="I1260" s="450" t="s">
        <v>23476</v>
      </c>
      <c r="J1260" s="450" t="s">
        <v>23477</v>
      </c>
      <c r="K1260" s="450"/>
    </row>
    <row r="1261" spans="1:11">
      <c r="A1261" s="451" t="s">
        <v>2915</v>
      </c>
      <c r="B1261" s="451" t="s">
        <v>2916</v>
      </c>
      <c r="C1261" s="451" t="s">
        <v>2917</v>
      </c>
      <c r="D1261" s="451" t="s">
        <v>2918</v>
      </c>
      <c r="E1261" s="451"/>
      <c r="F1261" s="451"/>
      <c r="G1261" s="451" t="s">
        <v>22877</v>
      </c>
      <c r="H1261" s="451" t="s">
        <v>22878</v>
      </c>
      <c r="I1261" s="451" t="s">
        <v>33156</v>
      </c>
      <c r="J1261" s="451" t="s">
        <v>33157</v>
      </c>
      <c r="K1261" s="451"/>
    </row>
    <row r="1262" spans="1:11">
      <c r="A1262" s="450" t="s">
        <v>30501</v>
      </c>
      <c r="B1262" s="450" t="s">
        <v>2916</v>
      </c>
      <c r="C1262" s="450" t="s">
        <v>2917</v>
      </c>
      <c r="D1262" s="450" t="s">
        <v>2918</v>
      </c>
      <c r="E1262" s="450"/>
      <c r="F1262" s="450"/>
      <c r="G1262" s="450" t="s">
        <v>22877</v>
      </c>
      <c r="H1262" s="450" t="s">
        <v>22878</v>
      </c>
      <c r="I1262" s="450" t="s">
        <v>23478</v>
      </c>
      <c r="J1262" s="450" t="s">
        <v>23479</v>
      </c>
      <c r="K1262" s="450"/>
    </row>
    <row r="1263" spans="1:11">
      <c r="A1263" s="451" t="s">
        <v>2919</v>
      </c>
      <c r="B1263" s="451"/>
      <c r="C1263" s="451" t="s">
        <v>2920</v>
      </c>
      <c r="D1263" s="451"/>
      <c r="E1263" s="451"/>
      <c r="F1263" s="451"/>
      <c r="G1263" s="451" t="s">
        <v>22877</v>
      </c>
      <c r="H1263" s="451" t="s">
        <v>22878</v>
      </c>
      <c r="I1263" s="451" t="s">
        <v>23480</v>
      </c>
      <c r="J1263" s="451" t="s">
        <v>23185</v>
      </c>
      <c r="K1263" s="451"/>
    </row>
    <row r="1264" spans="1:11">
      <c r="A1264" s="450" t="s">
        <v>2921</v>
      </c>
      <c r="B1264" s="450" t="s">
        <v>30502</v>
      </c>
      <c r="C1264" s="450" t="s">
        <v>2922</v>
      </c>
      <c r="D1264" s="450" t="s">
        <v>39486</v>
      </c>
      <c r="E1264" s="450"/>
      <c r="F1264" s="450"/>
      <c r="G1264" s="450" t="s">
        <v>22877</v>
      </c>
      <c r="H1264" s="450" t="s">
        <v>22878</v>
      </c>
      <c r="I1264" s="450" t="s">
        <v>23481</v>
      </c>
      <c r="J1264" s="450" t="s">
        <v>22997</v>
      </c>
      <c r="K1264" s="450"/>
    </row>
    <row r="1265" spans="1:11">
      <c r="A1265" s="451" t="s">
        <v>22687</v>
      </c>
      <c r="B1265" s="451" t="s">
        <v>2923</v>
      </c>
      <c r="C1265" s="451" t="s">
        <v>2924</v>
      </c>
      <c r="D1265" s="451" t="s">
        <v>2925</v>
      </c>
      <c r="E1265" s="451"/>
      <c r="F1265" s="451"/>
      <c r="G1265" s="451" t="s">
        <v>22877</v>
      </c>
      <c r="H1265" s="451" t="s">
        <v>22878</v>
      </c>
      <c r="I1265" s="451" t="s">
        <v>23482</v>
      </c>
      <c r="J1265" s="451" t="s">
        <v>23483</v>
      </c>
      <c r="K1265" s="451"/>
    </row>
    <row r="1266" spans="1:11">
      <c r="A1266" s="450" t="s">
        <v>22688</v>
      </c>
      <c r="B1266" s="450" t="s">
        <v>2927</v>
      </c>
      <c r="C1266" s="450" t="s">
        <v>2928</v>
      </c>
      <c r="D1266" s="450" t="s">
        <v>2929</v>
      </c>
      <c r="E1266" s="450"/>
      <c r="F1266" s="450"/>
      <c r="G1266" s="450" t="s">
        <v>22877</v>
      </c>
      <c r="H1266" s="450" t="s">
        <v>22878</v>
      </c>
      <c r="I1266" s="450" t="s">
        <v>23484</v>
      </c>
      <c r="J1266" s="450" t="s">
        <v>23485</v>
      </c>
      <c r="K1266" s="450"/>
    </row>
    <row r="1267" spans="1:11">
      <c r="A1267" s="451" t="s">
        <v>21474</v>
      </c>
      <c r="B1267" s="451" t="s">
        <v>2923</v>
      </c>
      <c r="C1267" s="451" t="s">
        <v>2924</v>
      </c>
      <c r="D1267" s="451" t="s">
        <v>2925</v>
      </c>
      <c r="E1267" s="451" t="s">
        <v>2926</v>
      </c>
      <c r="F1267" s="451"/>
      <c r="G1267" s="451" t="s">
        <v>22882</v>
      </c>
      <c r="H1267" s="451" t="s">
        <v>22883</v>
      </c>
      <c r="I1267" s="451"/>
      <c r="J1267" s="451" t="s">
        <v>30503</v>
      </c>
      <c r="K1267" s="451"/>
    </row>
    <row r="1268" spans="1:11">
      <c r="A1268" s="450" t="s">
        <v>21475</v>
      </c>
      <c r="B1268" s="450" t="s">
        <v>2927</v>
      </c>
      <c r="C1268" s="450" t="s">
        <v>2928</v>
      </c>
      <c r="D1268" s="450" t="s">
        <v>2929</v>
      </c>
      <c r="E1268" s="450" t="s">
        <v>2930</v>
      </c>
      <c r="F1268" s="450"/>
      <c r="G1268" s="450" t="s">
        <v>22877</v>
      </c>
      <c r="H1268" s="450" t="s">
        <v>22878</v>
      </c>
      <c r="I1268" s="450" t="s">
        <v>2929</v>
      </c>
      <c r="J1268" s="450" t="s">
        <v>30504</v>
      </c>
      <c r="K1268" s="450"/>
    </row>
    <row r="1269" spans="1:11">
      <c r="A1269" s="451" t="s">
        <v>2931</v>
      </c>
      <c r="B1269" s="451"/>
      <c r="C1269" s="451" t="s">
        <v>2110</v>
      </c>
      <c r="D1269" s="451"/>
      <c r="E1269" s="451"/>
      <c r="F1269" s="451"/>
      <c r="G1269" s="451" t="s">
        <v>22877</v>
      </c>
      <c r="H1269" s="451" t="s">
        <v>22878</v>
      </c>
      <c r="I1269" s="451" t="s">
        <v>23486</v>
      </c>
      <c r="J1269" s="451" t="s">
        <v>22942</v>
      </c>
      <c r="K1269" s="451"/>
    </row>
    <row r="1270" spans="1:11">
      <c r="A1270" s="450" t="s">
        <v>2932</v>
      </c>
      <c r="B1270" s="450" t="s">
        <v>2933</v>
      </c>
      <c r="C1270" s="450" t="s">
        <v>2934</v>
      </c>
      <c r="D1270" s="450"/>
      <c r="E1270" s="450"/>
      <c r="F1270" s="450"/>
      <c r="G1270" s="450" t="s">
        <v>22877</v>
      </c>
      <c r="H1270" s="450" t="s">
        <v>22878</v>
      </c>
      <c r="I1270" s="450" t="s">
        <v>23487</v>
      </c>
      <c r="J1270" s="450" t="s">
        <v>23488</v>
      </c>
      <c r="K1270" s="450"/>
    </row>
    <row r="1271" spans="1:11">
      <c r="A1271" s="451" t="s">
        <v>33158</v>
      </c>
      <c r="B1271" s="451"/>
      <c r="C1271" s="451" t="s">
        <v>2936</v>
      </c>
      <c r="D1271" s="451"/>
      <c r="E1271" s="451"/>
      <c r="F1271" s="451"/>
      <c r="G1271" s="451" t="s">
        <v>22877</v>
      </c>
      <c r="H1271" s="451" t="s">
        <v>22878</v>
      </c>
      <c r="I1271" s="451" t="s">
        <v>33159</v>
      </c>
      <c r="J1271" s="451" t="s">
        <v>23185</v>
      </c>
      <c r="K1271" s="451"/>
    </row>
    <row r="1272" spans="1:11">
      <c r="A1272" s="450" t="s">
        <v>2935</v>
      </c>
      <c r="B1272" s="450"/>
      <c r="C1272" s="450" t="s">
        <v>2936</v>
      </c>
      <c r="D1272" s="450"/>
      <c r="E1272" s="450"/>
      <c r="F1272" s="450"/>
      <c r="G1272" s="450" t="s">
        <v>22877</v>
      </c>
      <c r="H1272" s="450" t="s">
        <v>22878</v>
      </c>
      <c r="I1272" s="450" t="s">
        <v>30505</v>
      </c>
      <c r="J1272" s="450" t="s">
        <v>23185</v>
      </c>
      <c r="K1272" s="450"/>
    </row>
    <row r="1273" spans="1:11">
      <c r="A1273" s="451" t="s">
        <v>33160</v>
      </c>
      <c r="B1273" s="451" t="s">
        <v>2938</v>
      </c>
      <c r="C1273" s="451" t="s">
        <v>2939</v>
      </c>
      <c r="D1273" s="451"/>
      <c r="E1273" s="451"/>
      <c r="F1273" s="451" t="s">
        <v>2940</v>
      </c>
      <c r="G1273" s="451" t="s">
        <v>22877</v>
      </c>
      <c r="H1273" s="451" t="s">
        <v>22878</v>
      </c>
      <c r="I1273" s="451" t="s">
        <v>33161</v>
      </c>
      <c r="J1273" s="451" t="s">
        <v>33162</v>
      </c>
      <c r="K1273" s="451"/>
    </row>
    <row r="1274" spans="1:11">
      <c r="A1274" s="450" t="s">
        <v>2937</v>
      </c>
      <c r="B1274" s="450" t="s">
        <v>2938</v>
      </c>
      <c r="C1274" s="450" t="s">
        <v>2939</v>
      </c>
      <c r="D1274" s="450"/>
      <c r="E1274" s="450"/>
      <c r="F1274" s="450" t="s">
        <v>2940</v>
      </c>
      <c r="G1274" s="450" t="s">
        <v>22877</v>
      </c>
      <c r="H1274" s="450" t="s">
        <v>22878</v>
      </c>
      <c r="I1274" s="450" t="s">
        <v>30506</v>
      </c>
      <c r="J1274" s="450" t="s">
        <v>30507</v>
      </c>
      <c r="K1274" s="450"/>
    </row>
    <row r="1275" spans="1:11">
      <c r="A1275" s="451" t="s">
        <v>33163</v>
      </c>
      <c r="B1275" s="451"/>
      <c r="C1275" s="451" t="s">
        <v>2942</v>
      </c>
      <c r="D1275" s="451"/>
      <c r="E1275" s="451"/>
      <c r="F1275" s="451"/>
      <c r="G1275" s="451" t="s">
        <v>22877</v>
      </c>
      <c r="H1275" s="451" t="s">
        <v>22878</v>
      </c>
      <c r="I1275" s="451" t="s">
        <v>33164</v>
      </c>
      <c r="J1275" s="451" t="s">
        <v>22948</v>
      </c>
      <c r="K1275" s="451"/>
    </row>
    <row r="1276" spans="1:11">
      <c r="A1276" s="450" t="s">
        <v>2941</v>
      </c>
      <c r="B1276" s="450"/>
      <c r="C1276" s="450" t="s">
        <v>2942</v>
      </c>
      <c r="D1276" s="450"/>
      <c r="E1276" s="450"/>
      <c r="F1276" s="450"/>
      <c r="G1276" s="450" t="s">
        <v>22877</v>
      </c>
      <c r="H1276" s="450" t="s">
        <v>22878</v>
      </c>
      <c r="I1276" s="450" t="s">
        <v>33165</v>
      </c>
      <c r="J1276" s="450" t="s">
        <v>23370</v>
      </c>
      <c r="K1276" s="450"/>
    </row>
    <row r="1277" spans="1:11">
      <c r="A1277" s="451" t="s">
        <v>2943</v>
      </c>
      <c r="B1277" s="451"/>
      <c r="C1277" s="451" t="s">
        <v>2944</v>
      </c>
      <c r="D1277" s="451"/>
      <c r="E1277" s="451"/>
      <c r="F1277" s="451"/>
      <c r="G1277" s="451" t="s">
        <v>22882</v>
      </c>
      <c r="H1277" s="451" t="s">
        <v>22883</v>
      </c>
      <c r="I1277" s="451"/>
      <c r="J1277" s="451" t="s">
        <v>22939</v>
      </c>
      <c r="K1277" s="451"/>
    </row>
    <row r="1278" spans="1:11">
      <c r="A1278" s="450" t="s">
        <v>2945</v>
      </c>
      <c r="B1278" s="450" t="s">
        <v>2946</v>
      </c>
      <c r="C1278" s="450" t="s">
        <v>2947</v>
      </c>
      <c r="D1278" s="450"/>
      <c r="E1278" s="450"/>
      <c r="F1278" s="450"/>
      <c r="G1278" s="450" t="s">
        <v>23489</v>
      </c>
      <c r="H1278" s="450" t="s">
        <v>22878</v>
      </c>
      <c r="I1278" s="450" t="s">
        <v>23490</v>
      </c>
      <c r="J1278" s="450"/>
      <c r="K1278" s="450"/>
    </row>
    <row r="1279" spans="1:11">
      <c r="A1279" s="451" t="s">
        <v>2948</v>
      </c>
      <c r="B1279" s="451"/>
      <c r="C1279" s="451" t="s">
        <v>2949</v>
      </c>
      <c r="D1279" s="451"/>
      <c r="E1279" s="451"/>
      <c r="F1279" s="451"/>
      <c r="G1279" s="451" t="s">
        <v>22882</v>
      </c>
      <c r="H1279" s="451" t="s">
        <v>22883</v>
      </c>
      <c r="I1279" s="451" t="s">
        <v>23491</v>
      </c>
      <c r="J1279" s="451" t="s">
        <v>23492</v>
      </c>
      <c r="K1279" s="451"/>
    </row>
    <row r="1280" spans="1:11">
      <c r="A1280" s="450" t="s">
        <v>29987</v>
      </c>
      <c r="B1280" s="450" t="s">
        <v>29988</v>
      </c>
      <c r="C1280" s="450" t="s">
        <v>29989</v>
      </c>
      <c r="D1280" s="450"/>
      <c r="E1280" s="450"/>
      <c r="F1280" s="450"/>
      <c r="G1280" s="450"/>
      <c r="H1280" s="450"/>
      <c r="I1280" s="450"/>
      <c r="J1280" s="450"/>
      <c r="K1280" s="450"/>
    </row>
    <row r="1281" spans="1:11">
      <c r="A1281" s="451" t="s">
        <v>2950</v>
      </c>
      <c r="B1281" s="451" t="s">
        <v>2951</v>
      </c>
      <c r="C1281" s="451" t="s">
        <v>2952</v>
      </c>
      <c r="D1281" s="451"/>
      <c r="E1281" s="451"/>
      <c r="F1281" s="451"/>
      <c r="G1281" s="451" t="s">
        <v>22877</v>
      </c>
      <c r="H1281" s="451" t="s">
        <v>22878</v>
      </c>
      <c r="I1281" s="451" t="s">
        <v>23493</v>
      </c>
      <c r="J1281" s="451" t="s">
        <v>23494</v>
      </c>
      <c r="K1281" s="451"/>
    </row>
    <row r="1282" spans="1:11">
      <c r="A1282" s="450" t="s">
        <v>2953</v>
      </c>
      <c r="B1282" s="450"/>
      <c r="C1282" s="450" t="s">
        <v>2954</v>
      </c>
      <c r="D1282" s="450"/>
      <c r="E1282" s="450"/>
      <c r="F1282" s="450"/>
      <c r="G1282" s="450" t="s">
        <v>23092</v>
      </c>
      <c r="H1282" s="450" t="s">
        <v>22878</v>
      </c>
      <c r="I1282" s="450"/>
      <c r="J1282" s="450"/>
      <c r="K1282" s="450"/>
    </row>
    <row r="1283" spans="1:11">
      <c r="A1283" s="451" t="s">
        <v>2955</v>
      </c>
      <c r="B1283" s="451" t="s">
        <v>2956</v>
      </c>
      <c r="C1283" s="451" t="s">
        <v>2957</v>
      </c>
      <c r="D1283" s="451" t="s">
        <v>2958</v>
      </c>
      <c r="E1283" s="451"/>
      <c r="F1283" s="451"/>
      <c r="G1283" s="451" t="s">
        <v>33166</v>
      </c>
      <c r="H1283" s="451" t="s">
        <v>22878</v>
      </c>
      <c r="I1283" s="451"/>
      <c r="J1283" s="451" t="s">
        <v>2956</v>
      </c>
      <c r="K1283" s="451"/>
    </row>
    <row r="1284" spans="1:11">
      <c r="A1284" s="450" t="s">
        <v>2955</v>
      </c>
      <c r="B1284" s="450" t="s">
        <v>2956</v>
      </c>
      <c r="C1284" s="450" t="s">
        <v>2957</v>
      </c>
      <c r="D1284" s="450" t="s">
        <v>2958</v>
      </c>
      <c r="E1284" s="450" t="s">
        <v>2959</v>
      </c>
      <c r="F1284" s="450"/>
      <c r="G1284" s="450" t="s">
        <v>22882</v>
      </c>
      <c r="H1284" s="450" t="s">
        <v>22883</v>
      </c>
      <c r="I1284" s="450" t="s">
        <v>23413</v>
      </c>
      <c r="J1284" s="450" t="s">
        <v>30508</v>
      </c>
      <c r="K1284" s="450"/>
    </row>
    <row r="1285" spans="1:11">
      <c r="A1285" s="451" t="s">
        <v>2960</v>
      </c>
      <c r="B1285" s="451" t="s">
        <v>2961</v>
      </c>
      <c r="C1285" s="451" t="s">
        <v>2962</v>
      </c>
      <c r="D1285" s="451" t="s">
        <v>2963</v>
      </c>
      <c r="E1285" s="451"/>
      <c r="F1285" s="451"/>
      <c r="G1285" s="451"/>
      <c r="H1285" s="451" t="s">
        <v>22878</v>
      </c>
      <c r="I1285" s="451" t="s">
        <v>23446</v>
      </c>
      <c r="J1285" s="451"/>
      <c r="K1285" s="451"/>
    </row>
    <row r="1286" spans="1:11">
      <c r="A1286" s="450" t="s">
        <v>2960</v>
      </c>
      <c r="B1286" s="450" t="s">
        <v>2961</v>
      </c>
      <c r="C1286" s="450" t="s">
        <v>2962</v>
      </c>
      <c r="D1286" s="450" t="s">
        <v>2963</v>
      </c>
      <c r="E1286" s="450" t="s">
        <v>2964</v>
      </c>
      <c r="F1286" s="450"/>
      <c r="G1286" s="450" t="s">
        <v>22882</v>
      </c>
      <c r="H1286" s="450" t="s">
        <v>22883</v>
      </c>
      <c r="I1286" s="450" t="s">
        <v>2963</v>
      </c>
      <c r="J1286" s="450" t="s">
        <v>30509</v>
      </c>
      <c r="K1286" s="450"/>
    </row>
    <row r="1287" spans="1:11">
      <c r="A1287" s="451" t="s">
        <v>2965</v>
      </c>
      <c r="B1287" s="451" t="s">
        <v>2966</v>
      </c>
      <c r="C1287" s="451" t="s">
        <v>2967</v>
      </c>
      <c r="D1287" s="451" t="s">
        <v>2968</v>
      </c>
      <c r="E1287" s="451"/>
      <c r="F1287" s="451"/>
      <c r="G1287" s="451" t="s">
        <v>33167</v>
      </c>
      <c r="H1287" s="451" t="s">
        <v>22878</v>
      </c>
      <c r="I1287" s="451" t="s">
        <v>33168</v>
      </c>
      <c r="J1287" s="451" t="s">
        <v>2966</v>
      </c>
      <c r="K1287" s="451"/>
    </row>
    <row r="1288" spans="1:11">
      <c r="A1288" s="450" t="s">
        <v>2965</v>
      </c>
      <c r="B1288" s="450" t="s">
        <v>2966</v>
      </c>
      <c r="C1288" s="450" t="s">
        <v>2967</v>
      </c>
      <c r="D1288" s="450" t="s">
        <v>2968</v>
      </c>
      <c r="E1288" s="450" t="s">
        <v>2969</v>
      </c>
      <c r="F1288" s="450"/>
      <c r="G1288" s="450" t="s">
        <v>22882</v>
      </c>
      <c r="H1288" s="450" t="s">
        <v>22883</v>
      </c>
      <c r="I1288" s="450" t="s">
        <v>30510</v>
      </c>
      <c r="J1288" s="450" t="s">
        <v>30511</v>
      </c>
      <c r="K1288" s="450"/>
    </row>
    <row r="1289" spans="1:11">
      <c r="A1289" s="451" t="s">
        <v>2970</v>
      </c>
      <c r="B1289" s="451" t="s">
        <v>2971</v>
      </c>
      <c r="C1289" s="451" t="s">
        <v>2972</v>
      </c>
      <c r="D1289" s="451" t="s">
        <v>2973</v>
      </c>
      <c r="E1289" s="451"/>
      <c r="F1289" s="451"/>
      <c r="G1289" s="451" t="s">
        <v>33169</v>
      </c>
      <c r="H1289" s="451" t="s">
        <v>22878</v>
      </c>
      <c r="I1289" s="451" t="s">
        <v>33170</v>
      </c>
      <c r="J1289" s="451" t="s">
        <v>2971</v>
      </c>
      <c r="K1289" s="451"/>
    </row>
    <row r="1290" spans="1:11">
      <c r="A1290" s="450" t="s">
        <v>2970</v>
      </c>
      <c r="B1290" s="450" t="s">
        <v>2971</v>
      </c>
      <c r="C1290" s="450" t="s">
        <v>2972</v>
      </c>
      <c r="D1290" s="450" t="s">
        <v>2973</v>
      </c>
      <c r="E1290" s="450" t="s">
        <v>2974</v>
      </c>
      <c r="F1290" s="450"/>
      <c r="G1290" s="450" t="s">
        <v>22882</v>
      </c>
      <c r="H1290" s="450" t="s">
        <v>22883</v>
      </c>
      <c r="I1290" s="450" t="s">
        <v>30512</v>
      </c>
      <c r="J1290" s="450" t="s">
        <v>30513</v>
      </c>
      <c r="K1290" s="450"/>
    </row>
    <row r="1291" spans="1:11">
      <c r="A1291" s="451" t="s">
        <v>2975</v>
      </c>
      <c r="B1291" s="451" t="s">
        <v>2976</v>
      </c>
      <c r="C1291" s="451" t="s">
        <v>2977</v>
      </c>
      <c r="D1291" s="451" t="s">
        <v>2978</v>
      </c>
      <c r="E1291" s="451"/>
      <c r="F1291" s="451"/>
      <c r="G1291" s="451" t="s">
        <v>33171</v>
      </c>
      <c r="H1291" s="451" t="s">
        <v>22878</v>
      </c>
      <c r="I1291" s="451" t="s">
        <v>33172</v>
      </c>
      <c r="J1291" s="451" t="s">
        <v>2976</v>
      </c>
      <c r="K1291" s="451"/>
    </row>
    <row r="1292" spans="1:11">
      <c r="A1292" s="450" t="s">
        <v>2975</v>
      </c>
      <c r="B1292" s="450" t="s">
        <v>2976</v>
      </c>
      <c r="C1292" s="450" t="s">
        <v>2977</v>
      </c>
      <c r="D1292" s="450" t="s">
        <v>2978</v>
      </c>
      <c r="E1292" s="450" t="s">
        <v>2979</v>
      </c>
      <c r="F1292" s="450"/>
      <c r="G1292" s="450" t="s">
        <v>22882</v>
      </c>
      <c r="H1292" s="450" t="s">
        <v>22883</v>
      </c>
      <c r="I1292" s="450" t="s">
        <v>2978</v>
      </c>
      <c r="J1292" s="450" t="s">
        <v>30514</v>
      </c>
      <c r="K1292" s="450"/>
    </row>
    <row r="1293" spans="1:11">
      <c r="A1293" s="451" t="s">
        <v>2980</v>
      </c>
      <c r="B1293" s="451" t="s">
        <v>2981</v>
      </c>
      <c r="C1293" s="451" t="s">
        <v>2982</v>
      </c>
      <c r="D1293" s="451" t="s">
        <v>2983</v>
      </c>
      <c r="E1293" s="451"/>
      <c r="F1293" s="451" t="s">
        <v>2985</v>
      </c>
      <c r="G1293" s="451" t="s">
        <v>33169</v>
      </c>
      <c r="H1293" s="451" t="s">
        <v>22878</v>
      </c>
      <c r="I1293" s="451" t="s">
        <v>33173</v>
      </c>
      <c r="J1293" s="451" t="s">
        <v>2981</v>
      </c>
      <c r="K1293" s="451"/>
    </row>
    <row r="1294" spans="1:11">
      <c r="A1294" s="450" t="s">
        <v>2980</v>
      </c>
      <c r="B1294" s="450" t="s">
        <v>2981</v>
      </c>
      <c r="C1294" s="450" t="s">
        <v>2982</v>
      </c>
      <c r="D1294" s="450" t="s">
        <v>2983</v>
      </c>
      <c r="E1294" s="450" t="s">
        <v>2984</v>
      </c>
      <c r="F1294" s="450" t="s">
        <v>2985</v>
      </c>
      <c r="G1294" s="450" t="s">
        <v>22882</v>
      </c>
      <c r="H1294" s="450" t="s">
        <v>22883</v>
      </c>
      <c r="I1294" s="450" t="s">
        <v>2983</v>
      </c>
      <c r="J1294" s="450" t="s">
        <v>30515</v>
      </c>
      <c r="K1294" s="450"/>
    </row>
    <row r="1295" spans="1:11">
      <c r="A1295" s="451" t="s">
        <v>33174</v>
      </c>
      <c r="B1295" s="451" t="s">
        <v>2987</v>
      </c>
      <c r="C1295" s="451" t="s">
        <v>32828</v>
      </c>
      <c r="D1295" s="451" t="s">
        <v>2988</v>
      </c>
      <c r="E1295" s="451"/>
      <c r="F1295" s="451"/>
      <c r="G1295" s="451" t="s">
        <v>22877</v>
      </c>
      <c r="H1295" s="451" t="s">
        <v>22878</v>
      </c>
      <c r="I1295" s="451" t="s">
        <v>23389</v>
      </c>
      <c r="J1295" s="451" t="s">
        <v>23495</v>
      </c>
      <c r="K1295" s="451"/>
    </row>
    <row r="1296" spans="1:11">
      <c r="A1296" s="450" t="s">
        <v>2986</v>
      </c>
      <c r="B1296" s="450" t="s">
        <v>2987</v>
      </c>
      <c r="C1296" s="450" t="s">
        <v>2226</v>
      </c>
      <c r="D1296" s="450" t="s">
        <v>2988</v>
      </c>
      <c r="E1296" s="450" t="s">
        <v>2989</v>
      </c>
      <c r="F1296" s="450"/>
      <c r="G1296" s="450" t="s">
        <v>22882</v>
      </c>
      <c r="H1296" s="450" t="s">
        <v>22883</v>
      </c>
      <c r="I1296" s="450" t="s">
        <v>23389</v>
      </c>
      <c r="J1296" s="450" t="s">
        <v>23495</v>
      </c>
      <c r="K1296" s="450"/>
    </row>
    <row r="1297" spans="1:11">
      <c r="A1297" s="451" t="s">
        <v>21476</v>
      </c>
      <c r="B1297" s="451"/>
      <c r="C1297" s="451" t="s">
        <v>2361</v>
      </c>
      <c r="D1297" s="451"/>
      <c r="E1297" s="451"/>
      <c r="F1297" s="451"/>
      <c r="G1297" s="451" t="s">
        <v>22877</v>
      </c>
      <c r="H1297" s="451" t="s">
        <v>22878</v>
      </c>
      <c r="I1297" s="451" t="s">
        <v>33175</v>
      </c>
      <c r="J1297" s="451" t="s">
        <v>23185</v>
      </c>
      <c r="K1297" s="451"/>
    </row>
    <row r="1298" spans="1:11">
      <c r="A1298" s="450" t="s">
        <v>33176</v>
      </c>
      <c r="B1298" s="450"/>
      <c r="C1298" s="450" t="s">
        <v>2991</v>
      </c>
      <c r="D1298" s="450"/>
      <c r="E1298" s="450"/>
      <c r="F1298" s="450"/>
      <c r="G1298" s="450" t="s">
        <v>22882</v>
      </c>
      <c r="H1298" s="450" t="s">
        <v>22883</v>
      </c>
      <c r="I1298" s="450"/>
      <c r="J1298" s="450" t="s">
        <v>22942</v>
      </c>
      <c r="K1298" s="450"/>
    </row>
    <row r="1299" spans="1:11">
      <c r="A1299" s="451" t="s">
        <v>2990</v>
      </c>
      <c r="B1299" s="451"/>
      <c r="C1299" s="451" t="s">
        <v>2991</v>
      </c>
      <c r="D1299" s="451"/>
      <c r="E1299" s="451"/>
      <c r="F1299" s="451"/>
      <c r="G1299" s="451" t="s">
        <v>22882</v>
      </c>
      <c r="H1299" s="451" t="s">
        <v>22883</v>
      </c>
      <c r="I1299" s="451"/>
      <c r="J1299" s="451" t="s">
        <v>28403</v>
      </c>
      <c r="K1299" s="451"/>
    </row>
    <row r="1300" spans="1:11">
      <c r="A1300" s="450" t="s">
        <v>2992</v>
      </c>
      <c r="B1300" s="450"/>
      <c r="C1300" s="450" t="s">
        <v>2993</v>
      </c>
      <c r="D1300" s="450"/>
      <c r="E1300" s="450"/>
      <c r="F1300" s="450"/>
      <c r="G1300" s="450" t="s">
        <v>22877</v>
      </c>
      <c r="H1300" s="450" t="s">
        <v>22878</v>
      </c>
      <c r="I1300" s="450" t="s">
        <v>33177</v>
      </c>
      <c r="J1300" s="450" t="s">
        <v>22942</v>
      </c>
      <c r="K1300" s="450"/>
    </row>
    <row r="1301" spans="1:11">
      <c r="A1301" s="451" t="s">
        <v>2994</v>
      </c>
      <c r="B1301" s="451"/>
      <c r="C1301" s="451" t="s">
        <v>2995</v>
      </c>
      <c r="D1301" s="451"/>
      <c r="E1301" s="451"/>
      <c r="F1301" s="451"/>
      <c r="G1301" s="451" t="s">
        <v>22882</v>
      </c>
      <c r="H1301" s="451" t="s">
        <v>22883</v>
      </c>
      <c r="I1301" s="451"/>
      <c r="J1301" s="451" t="s">
        <v>22997</v>
      </c>
      <c r="K1301" s="451"/>
    </row>
    <row r="1302" spans="1:11">
      <c r="A1302" s="450" t="s">
        <v>2996</v>
      </c>
      <c r="B1302" s="450"/>
      <c r="C1302" s="450" t="s">
        <v>2997</v>
      </c>
      <c r="D1302" s="450"/>
      <c r="E1302" s="450"/>
      <c r="F1302" s="450"/>
      <c r="G1302" s="450" t="s">
        <v>22882</v>
      </c>
      <c r="H1302" s="450" t="s">
        <v>22883</v>
      </c>
      <c r="I1302" s="450"/>
      <c r="J1302" s="450" t="s">
        <v>22942</v>
      </c>
      <c r="K1302" s="450"/>
    </row>
    <row r="1303" spans="1:11">
      <c r="A1303" s="451" t="s">
        <v>33178</v>
      </c>
      <c r="B1303" s="451"/>
      <c r="C1303" s="451" t="s">
        <v>2999</v>
      </c>
      <c r="D1303" s="451"/>
      <c r="E1303" s="451"/>
      <c r="F1303" s="451"/>
      <c r="G1303" s="451" t="s">
        <v>22877</v>
      </c>
      <c r="H1303" s="451" t="s">
        <v>22878</v>
      </c>
      <c r="I1303" s="451" t="s">
        <v>33179</v>
      </c>
      <c r="J1303" s="451" t="s">
        <v>22939</v>
      </c>
      <c r="K1303" s="451"/>
    </row>
    <row r="1304" spans="1:11">
      <c r="A1304" s="450" t="s">
        <v>2998</v>
      </c>
      <c r="B1304" s="450"/>
      <c r="C1304" s="450" t="s">
        <v>2999</v>
      </c>
      <c r="D1304" s="450"/>
      <c r="E1304" s="450"/>
      <c r="F1304" s="450"/>
      <c r="G1304" s="450" t="s">
        <v>22877</v>
      </c>
      <c r="H1304" s="450" t="s">
        <v>22878</v>
      </c>
      <c r="I1304" s="450" t="s">
        <v>33180</v>
      </c>
      <c r="J1304" s="450" t="s">
        <v>23179</v>
      </c>
      <c r="K1304" s="450"/>
    </row>
    <row r="1305" spans="1:11">
      <c r="A1305" s="451" t="s">
        <v>33181</v>
      </c>
      <c r="B1305" s="451"/>
      <c r="C1305" s="451" t="s">
        <v>3001</v>
      </c>
      <c r="D1305" s="451"/>
      <c r="E1305" s="451"/>
      <c r="F1305" s="451"/>
      <c r="G1305" s="451" t="s">
        <v>22877</v>
      </c>
      <c r="H1305" s="451" t="s">
        <v>22878</v>
      </c>
      <c r="I1305" s="451" t="s">
        <v>33182</v>
      </c>
      <c r="J1305" s="451" t="s">
        <v>22942</v>
      </c>
      <c r="K1305" s="451"/>
    </row>
    <row r="1306" spans="1:11">
      <c r="A1306" s="450" t="s">
        <v>3000</v>
      </c>
      <c r="B1306" s="450"/>
      <c r="C1306" s="450" t="s">
        <v>3001</v>
      </c>
      <c r="D1306" s="450"/>
      <c r="E1306" s="450"/>
      <c r="F1306" s="450"/>
      <c r="G1306" s="450" t="s">
        <v>22877</v>
      </c>
      <c r="H1306" s="450" t="s">
        <v>22878</v>
      </c>
      <c r="I1306" s="450" t="s">
        <v>33183</v>
      </c>
      <c r="J1306" s="450" t="s">
        <v>23185</v>
      </c>
      <c r="K1306" s="450"/>
    </row>
    <row r="1307" spans="1:11">
      <c r="A1307" s="451" t="s">
        <v>3002</v>
      </c>
      <c r="B1307" s="451"/>
      <c r="C1307" s="451" t="s">
        <v>3003</v>
      </c>
      <c r="D1307" s="451"/>
      <c r="E1307" s="451"/>
      <c r="F1307" s="451"/>
      <c r="G1307" s="451" t="s">
        <v>22877</v>
      </c>
      <c r="H1307" s="451" t="s">
        <v>22878</v>
      </c>
      <c r="I1307" s="451" t="s">
        <v>33184</v>
      </c>
      <c r="J1307" s="451" t="s">
        <v>22942</v>
      </c>
      <c r="K1307" s="451"/>
    </row>
    <row r="1308" spans="1:11">
      <c r="A1308" s="450" t="s">
        <v>3004</v>
      </c>
      <c r="B1308" s="450"/>
      <c r="C1308" s="450" t="s">
        <v>2842</v>
      </c>
      <c r="D1308" s="450"/>
      <c r="E1308" s="450"/>
      <c r="F1308" s="450"/>
      <c r="G1308" s="450" t="s">
        <v>22882</v>
      </c>
      <c r="H1308" s="450" t="s">
        <v>22883</v>
      </c>
      <c r="I1308" s="450" t="s">
        <v>33185</v>
      </c>
      <c r="J1308" s="450" t="s">
        <v>23185</v>
      </c>
      <c r="K1308" s="450"/>
    </row>
    <row r="1309" spans="1:11">
      <c r="A1309" s="451" t="s">
        <v>33186</v>
      </c>
      <c r="B1309" s="451"/>
      <c r="C1309" s="451" t="s">
        <v>2842</v>
      </c>
      <c r="D1309" s="451"/>
      <c r="E1309" s="451"/>
      <c r="F1309" s="451"/>
      <c r="G1309" s="451" t="s">
        <v>22877</v>
      </c>
      <c r="H1309" s="451" t="s">
        <v>22878</v>
      </c>
      <c r="I1309" s="451" t="s">
        <v>33187</v>
      </c>
      <c r="J1309" s="451" t="s">
        <v>22948</v>
      </c>
      <c r="K1309" s="451"/>
    </row>
    <row r="1310" spans="1:11">
      <c r="A1310" s="450" t="s">
        <v>3005</v>
      </c>
      <c r="B1310" s="450"/>
      <c r="C1310" s="450" t="s">
        <v>3006</v>
      </c>
      <c r="D1310" s="450"/>
      <c r="E1310" s="450"/>
      <c r="F1310" s="450"/>
      <c r="G1310" s="450" t="s">
        <v>22877</v>
      </c>
      <c r="H1310" s="450" t="s">
        <v>22878</v>
      </c>
      <c r="I1310" s="450" t="s">
        <v>33188</v>
      </c>
      <c r="J1310" s="450" t="s">
        <v>23185</v>
      </c>
      <c r="K1310" s="450"/>
    </row>
    <row r="1311" spans="1:11">
      <c r="A1311" s="451" t="s">
        <v>3007</v>
      </c>
      <c r="B1311" s="451"/>
      <c r="C1311" s="451" t="s">
        <v>3008</v>
      </c>
      <c r="D1311" s="451"/>
      <c r="E1311" s="451"/>
      <c r="F1311" s="451"/>
      <c r="G1311" s="451" t="s">
        <v>22877</v>
      </c>
      <c r="H1311" s="451" t="s">
        <v>22878</v>
      </c>
      <c r="I1311" s="451" t="s">
        <v>33189</v>
      </c>
      <c r="J1311" s="451" t="s">
        <v>22997</v>
      </c>
      <c r="K1311" s="451"/>
    </row>
    <row r="1312" spans="1:11">
      <c r="A1312" s="450" t="s">
        <v>3009</v>
      </c>
      <c r="B1312" s="450"/>
      <c r="C1312" s="450" t="s">
        <v>3010</v>
      </c>
      <c r="D1312" s="450"/>
      <c r="E1312" s="450"/>
      <c r="F1312" s="450"/>
      <c r="G1312" s="450" t="s">
        <v>22877</v>
      </c>
      <c r="H1312" s="450" t="s">
        <v>22878</v>
      </c>
      <c r="I1312" s="450" t="s">
        <v>33190</v>
      </c>
      <c r="J1312" s="450" t="s">
        <v>22942</v>
      </c>
      <c r="K1312" s="450"/>
    </row>
    <row r="1313" spans="1:11">
      <c r="A1313" s="451" t="s">
        <v>3011</v>
      </c>
      <c r="B1313" s="451"/>
      <c r="C1313" s="451" t="s">
        <v>3012</v>
      </c>
      <c r="D1313" s="451"/>
      <c r="E1313" s="451"/>
      <c r="F1313" s="451"/>
      <c r="G1313" s="451" t="s">
        <v>22882</v>
      </c>
      <c r="H1313" s="451" t="s">
        <v>22883</v>
      </c>
      <c r="I1313" s="451"/>
      <c r="J1313" s="451" t="s">
        <v>22997</v>
      </c>
      <c r="K1313" s="451"/>
    </row>
    <row r="1314" spans="1:11">
      <c r="A1314" s="450" t="s">
        <v>33191</v>
      </c>
      <c r="B1314" s="450"/>
      <c r="C1314" s="450" t="s">
        <v>3013</v>
      </c>
      <c r="D1314" s="450"/>
      <c r="E1314" s="450"/>
      <c r="F1314" s="450"/>
      <c r="G1314" s="450" t="s">
        <v>22882</v>
      </c>
      <c r="H1314" s="450" t="s">
        <v>22883</v>
      </c>
      <c r="I1314" s="450"/>
      <c r="J1314" s="450" t="s">
        <v>22939</v>
      </c>
      <c r="K1314" s="450"/>
    </row>
    <row r="1315" spans="1:11">
      <c r="A1315" s="451" t="s">
        <v>21477</v>
      </c>
      <c r="B1315" s="451"/>
      <c r="C1315" s="451" t="s">
        <v>3013</v>
      </c>
      <c r="D1315" s="451"/>
      <c r="E1315" s="451"/>
      <c r="F1315" s="451"/>
      <c r="G1315" s="451" t="s">
        <v>22882</v>
      </c>
      <c r="H1315" s="451" t="s">
        <v>22883</v>
      </c>
      <c r="I1315" s="451"/>
      <c r="J1315" s="451" t="s">
        <v>23185</v>
      </c>
      <c r="K1315" s="451"/>
    </row>
    <row r="1316" spans="1:11">
      <c r="A1316" s="450" t="s">
        <v>3014</v>
      </c>
      <c r="B1316" s="450"/>
      <c r="C1316" s="450" t="s">
        <v>2690</v>
      </c>
      <c r="D1316" s="450"/>
      <c r="E1316" s="450"/>
      <c r="F1316" s="450"/>
      <c r="G1316" s="450" t="s">
        <v>22882</v>
      </c>
      <c r="H1316" s="450" t="s">
        <v>22883</v>
      </c>
      <c r="I1316" s="450" t="s">
        <v>30516</v>
      </c>
      <c r="J1316" s="450" t="s">
        <v>22997</v>
      </c>
      <c r="K1316" s="450"/>
    </row>
    <row r="1317" spans="1:11">
      <c r="A1317" s="451" t="s">
        <v>33192</v>
      </c>
      <c r="B1317" s="451"/>
      <c r="C1317" s="451" t="s">
        <v>2690</v>
      </c>
      <c r="D1317" s="451"/>
      <c r="E1317" s="451"/>
      <c r="F1317" s="451"/>
      <c r="G1317" s="451" t="s">
        <v>22877</v>
      </c>
      <c r="H1317" s="451" t="s">
        <v>22878</v>
      </c>
      <c r="I1317" s="451" t="s">
        <v>23372</v>
      </c>
      <c r="J1317" s="451" t="s">
        <v>22942</v>
      </c>
      <c r="K1317" s="451"/>
    </row>
    <row r="1318" spans="1:11">
      <c r="A1318" s="450" t="s">
        <v>33193</v>
      </c>
      <c r="B1318" s="450"/>
      <c r="C1318" s="450" t="s">
        <v>3016</v>
      </c>
      <c r="D1318" s="450"/>
      <c r="E1318" s="450"/>
      <c r="F1318" s="450"/>
      <c r="G1318" s="450" t="s">
        <v>22882</v>
      </c>
      <c r="H1318" s="450" t="s">
        <v>22883</v>
      </c>
      <c r="I1318" s="450"/>
      <c r="J1318" s="450" t="s">
        <v>22942</v>
      </c>
      <c r="K1318" s="450"/>
    </row>
    <row r="1319" spans="1:11">
      <c r="A1319" s="451" t="s">
        <v>3015</v>
      </c>
      <c r="B1319" s="451"/>
      <c r="C1319" s="451" t="s">
        <v>3016</v>
      </c>
      <c r="D1319" s="451"/>
      <c r="E1319" s="451"/>
      <c r="F1319" s="451"/>
      <c r="G1319" s="451" t="s">
        <v>22882</v>
      </c>
      <c r="H1319" s="451" t="s">
        <v>22883</v>
      </c>
      <c r="I1319" s="451"/>
      <c r="J1319" s="451" t="s">
        <v>23185</v>
      </c>
      <c r="K1319" s="451"/>
    </row>
    <row r="1320" spans="1:11">
      <c r="A1320" s="450" t="s">
        <v>3017</v>
      </c>
      <c r="B1320" s="450" t="s">
        <v>3018</v>
      </c>
      <c r="C1320" s="450" t="s">
        <v>3019</v>
      </c>
      <c r="D1320" s="450" t="s">
        <v>3020</v>
      </c>
      <c r="E1320" s="450"/>
      <c r="F1320" s="450"/>
      <c r="G1320" s="450" t="s">
        <v>22877</v>
      </c>
      <c r="H1320" s="450" t="s">
        <v>22878</v>
      </c>
      <c r="I1320" s="450" t="s">
        <v>33188</v>
      </c>
      <c r="J1320" s="450" t="s">
        <v>23496</v>
      </c>
      <c r="K1320" s="450"/>
    </row>
    <row r="1321" spans="1:11">
      <c r="A1321" s="451" t="s">
        <v>3017</v>
      </c>
      <c r="B1321" s="451" t="s">
        <v>3018</v>
      </c>
      <c r="C1321" s="451" t="s">
        <v>3019</v>
      </c>
      <c r="D1321" s="451" t="s">
        <v>3020</v>
      </c>
      <c r="E1321" s="451" t="s">
        <v>3021</v>
      </c>
      <c r="F1321" s="451"/>
      <c r="G1321" s="451" t="s">
        <v>22882</v>
      </c>
      <c r="H1321" s="451" t="s">
        <v>22883</v>
      </c>
      <c r="I1321" s="451" t="s">
        <v>30517</v>
      </c>
      <c r="J1321" s="451" t="s">
        <v>23496</v>
      </c>
      <c r="K1321" s="451"/>
    </row>
    <row r="1322" spans="1:11">
      <c r="A1322" s="450" t="s">
        <v>3022</v>
      </c>
      <c r="B1322" s="450"/>
      <c r="C1322" s="450" t="s">
        <v>3023</v>
      </c>
      <c r="D1322" s="450"/>
      <c r="E1322" s="450"/>
      <c r="F1322" s="450"/>
      <c r="G1322" s="450" t="s">
        <v>22877</v>
      </c>
      <c r="H1322" s="450" t="s">
        <v>22878</v>
      </c>
      <c r="I1322" s="450" t="s">
        <v>23497</v>
      </c>
      <c r="J1322" s="450" t="s">
        <v>23185</v>
      </c>
      <c r="K1322" s="450"/>
    </row>
    <row r="1323" spans="1:11">
      <c r="A1323" s="451" t="s">
        <v>22689</v>
      </c>
      <c r="B1323" s="451" t="s">
        <v>22690</v>
      </c>
      <c r="C1323" s="451" t="s">
        <v>22691</v>
      </c>
      <c r="D1323" s="451"/>
      <c r="E1323" s="451"/>
      <c r="F1323" s="451"/>
      <c r="G1323" s="451" t="s">
        <v>22877</v>
      </c>
      <c r="H1323" s="451" t="s">
        <v>22878</v>
      </c>
      <c r="I1323" s="451" t="s">
        <v>23498</v>
      </c>
      <c r="J1323" s="451" t="s">
        <v>23499</v>
      </c>
      <c r="K1323" s="451"/>
    </row>
    <row r="1324" spans="1:11">
      <c r="A1324" s="450" t="s">
        <v>3024</v>
      </c>
      <c r="B1324" s="450"/>
      <c r="C1324" s="450" t="s">
        <v>3025</v>
      </c>
      <c r="D1324" s="450"/>
      <c r="E1324" s="450"/>
      <c r="F1324" s="450"/>
      <c r="G1324" s="450" t="s">
        <v>22877</v>
      </c>
      <c r="H1324" s="450" t="s">
        <v>22878</v>
      </c>
      <c r="I1324" s="450" t="s">
        <v>33194</v>
      </c>
      <c r="J1324" s="450" t="s">
        <v>23185</v>
      </c>
      <c r="K1324" s="450"/>
    </row>
    <row r="1325" spans="1:11">
      <c r="A1325" s="451" t="s">
        <v>3026</v>
      </c>
      <c r="B1325" s="451"/>
      <c r="C1325" s="451" t="s">
        <v>3027</v>
      </c>
      <c r="D1325" s="451"/>
      <c r="E1325" s="451"/>
      <c r="F1325" s="451"/>
      <c r="G1325" s="451" t="s">
        <v>22882</v>
      </c>
      <c r="H1325" s="451" t="s">
        <v>22883</v>
      </c>
      <c r="I1325" s="451"/>
      <c r="J1325" s="451" t="s">
        <v>22948</v>
      </c>
      <c r="K1325" s="451"/>
    </row>
    <row r="1326" spans="1:11">
      <c r="A1326" s="450" t="s">
        <v>3028</v>
      </c>
      <c r="B1326" s="450" t="s">
        <v>3029</v>
      </c>
      <c r="C1326" s="450" t="s">
        <v>3030</v>
      </c>
      <c r="D1326" s="450" t="s">
        <v>3031</v>
      </c>
      <c r="E1326" s="450"/>
      <c r="F1326" s="450"/>
      <c r="G1326" s="450" t="s">
        <v>22877</v>
      </c>
      <c r="H1326" s="450" t="s">
        <v>22878</v>
      </c>
      <c r="I1326" s="450" t="s">
        <v>30518</v>
      </c>
      <c r="J1326" s="450" t="s">
        <v>30519</v>
      </c>
      <c r="K1326" s="450"/>
    </row>
    <row r="1327" spans="1:11">
      <c r="A1327" s="451" t="s">
        <v>3032</v>
      </c>
      <c r="B1327" s="451" t="s">
        <v>3033</v>
      </c>
      <c r="C1327" s="451" t="s">
        <v>3034</v>
      </c>
      <c r="D1327" s="451"/>
      <c r="E1327" s="451"/>
      <c r="F1327" s="451"/>
      <c r="G1327" s="451" t="s">
        <v>22877</v>
      </c>
      <c r="H1327" s="451" t="s">
        <v>22878</v>
      </c>
      <c r="I1327" s="451" t="s">
        <v>30520</v>
      </c>
      <c r="J1327" s="451" t="s">
        <v>30521</v>
      </c>
      <c r="K1327" s="451"/>
    </row>
    <row r="1328" spans="1:11">
      <c r="A1328" s="450" t="s">
        <v>3035</v>
      </c>
      <c r="B1328" s="450" t="s">
        <v>3036</v>
      </c>
      <c r="C1328" s="450" t="s">
        <v>3037</v>
      </c>
      <c r="D1328" s="450"/>
      <c r="E1328" s="450"/>
      <c r="F1328" s="450"/>
      <c r="G1328" s="450" t="s">
        <v>22877</v>
      </c>
      <c r="H1328" s="450" t="s">
        <v>22878</v>
      </c>
      <c r="I1328" s="450" t="s">
        <v>23500</v>
      </c>
      <c r="J1328" s="450" t="s">
        <v>23501</v>
      </c>
      <c r="K1328" s="450"/>
    </row>
    <row r="1329" spans="1:11">
      <c r="A1329" s="451" t="s">
        <v>22692</v>
      </c>
      <c r="B1329" s="451" t="s">
        <v>22693</v>
      </c>
      <c r="C1329" s="451" t="s">
        <v>22694</v>
      </c>
      <c r="D1329" s="451"/>
      <c r="E1329" s="451"/>
      <c r="F1329" s="451"/>
      <c r="G1329" s="451" t="s">
        <v>22877</v>
      </c>
      <c r="H1329" s="451" t="s">
        <v>22878</v>
      </c>
      <c r="I1329" s="451" t="s">
        <v>23502</v>
      </c>
      <c r="J1329" s="451" t="s">
        <v>23503</v>
      </c>
      <c r="K1329" s="451"/>
    </row>
    <row r="1330" spans="1:11">
      <c r="A1330" s="450" t="s">
        <v>22695</v>
      </c>
      <c r="B1330" s="450" t="s">
        <v>3039</v>
      </c>
      <c r="C1330" s="450" t="s">
        <v>3040</v>
      </c>
      <c r="D1330" s="450" t="s">
        <v>3041</v>
      </c>
      <c r="E1330" s="450"/>
      <c r="F1330" s="450"/>
      <c r="G1330" s="450" t="s">
        <v>22882</v>
      </c>
      <c r="H1330" s="450" t="s">
        <v>22883</v>
      </c>
      <c r="I1330" s="450" t="s">
        <v>23504</v>
      </c>
      <c r="J1330" s="450" t="s">
        <v>23505</v>
      </c>
      <c r="K1330" s="450"/>
    </row>
    <row r="1331" spans="1:11">
      <c r="A1331" s="451" t="s">
        <v>22696</v>
      </c>
      <c r="B1331" s="451" t="s">
        <v>3029</v>
      </c>
      <c r="C1331" s="451" t="s">
        <v>3030</v>
      </c>
      <c r="D1331" s="451" t="s">
        <v>3031</v>
      </c>
      <c r="E1331" s="451"/>
      <c r="F1331" s="451"/>
      <c r="G1331" s="451" t="s">
        <v>22877</v>
      </c>
      <c r="H1331" s="451" t="s">
        <v>22878</v>
      </c>
      <c r="I1331" s="451" t="s">
        <v>3031</v>
      </c>
      <c r="J1331" s="451" t="s">
        <v>23506</v>
      </c>
      <c r="K1331" s="451"/>
    </row>
    <row r="1332" spans="1:11">
      <c r="A1332" s="450" t="s">
        <v>22697</v>
      </c>
      <c r="B1332" s="450" t="s">
        <v>22698</v>
      </c>
      <c r="C1332" s="450" t="s">
        <v>22699</v>
      </c>
      <c r="D1332" s="450"/>
      <c r="E1332" s="450"/>
      <c r="F1332" s="450"/>
      <c r="G1332" s="450" t="s">
        <v>22877</v>
      </c>
      <c r="H1332" s="450" t="s">
        <v>22878</v>
      </c>
      <c r="I1332" s="450" t="s">
        <v>23507</v>
      </c>
      <c r="J1332" s="450" t="s">
        <v>23508</v>
      </c>
      <c r="K1332" s="450"/>
    </row>
    <row r="1333" spans="1:11">
      <c r="A1333" s="451" t="s">
        <v>3038</v>
      </c>
      <c r="B1333" s="451" t="s">
        <v>3039</v>
      </c>
      <c r="C1333" s="451" t="s">
        <v>3040</v>
      </c>
      <c r="D1333" s="451" t="s">
        <v>3041</v>
      </c>
      <c r="E1333" s="451" t="s">
        <v>3042</v>
      </c>
      <c r="F1333" s="451"/>
      <c r="G1333" s="451" t="s">
        <v>22882</v>
      </c>
      <c r="H1333" s="451" t="s">
        <v>22883</v>
      </c>
      <c r="I1333" s="451"/>
      <c r="J1333" s="451" t="s">
        <v>30522</v>
      </c>
      <c r="K1333" s="451"/>
    </row>
    <row r="1334" spans="1:11">
      <c r="A1334" s="450" t="s">
        <v>3043</v>
      </c>
      <c r="B1334" s="450"/>
      <c r="C1334" s="450" t="s">
        <v>3044</v>
      </c>
      <c r="D1334" s="450"/>
      <c r="E1334" s="450"/>
      <c r="F1334" s="450"/>
      <c r="G1334" s="450" t="s">
        <v>22877</v>
      </c>
      <c r="H1334" s="450" t="s">
        <v>22878</v>
      </c>
      <c r="I1334" s="450" t="s">
        <v>33195</v>
      </c>
      <c r="J1334" s="450" t="s">
        <v>22997</v>
      </c>
      <c r="K1334" s="450"/>
    </row>
    <row r="1335" spans="1:11">
      <c r="A1335" s="451" t="s">
        <v>33196</v>
      </c>
      <c r="B1335" s="451"/>
      <c r="C1335" s="451" t="s">
        <v>3046</v>
      </c>
      <c r="D1335" s="451"/>
      <c r="E1335" s="451"/>
      <c r="F1335" s="451"/>
      <c r="G1335" s="451" t="s">
        <v>22877</v>
      </c>
      <c r="H1335" s="451" t="s">
        <v>22878</v>
      </c>
      <c r="I1335" s="451" t="s">
        <v>33197</v>
      </c>
      <c r="J1335" s="451" t="s">
        <v>22942</v>
      </c>
      <c r="K1335" s="451"/>
    </row>
    <row r="1336" spans="1:11">
      <c r="A1336" s="450" t="s">
        <v>3045</v>
      </c>
      <c r="B1336" s="450"/>
      <c r="C1336" s="450" t="s">
        <v>3046</v>
      </c>
      <c r="D1336" s="450"/>
      <c r="E1336" s="450"/>
      <c r="F1336" s="450"/>
      <c r="G1336" s="450" t="s">
        <v>22877</v>
      </c>
      <c r="H1336" s="450" t="s">
        <v>22878</v>
      </c>
      <c r="I1336" s="450" t="s">
        <v>33198</v>
      </c>
      <c r="J1336" s="450" t="s">
        <v>22942</v>
      </c>
      <c r="K1336" s="450"/>
    </row>
    <row r="1337" spans="1:11">
      <c r="A1337" s="451" t="s">
        <v>3047</v>
      </c>
      <c r="B1337" s="451"/>
      <c r="C1337" s="451" t="s">
        <v>3048</v>
      </c>
      <c r="D1337" s="451" t="s">
        <v>3049</v>
      </c>
      <c r="E1337" s="451"/>
      <c r="F1337" s="451"/>
      <c r="G1337" s="451" t="s">
        <v>22877</v>
      </c>
      <c r="H1337" s="451" t="s">
        <v>22878</v>
      </c>
      <c r="I1337" s="451" t="s">
        <v>33199</v>
      </c>
      <c r="J1337" s="451" t="s">
        <v>33200</v>
      </c>
      <c r="K1337" s="451"/>
    </row>
    <row r="1338" spans="1:11">
      <c r="A1338" s="450" t="s">
        <v>33201</v>
      </c>
      <c r="B1338" s="450"/>
      <c r="C1338" s="450" t="s">
        <v>3051</v>
      </c>
      <c r="D1338" s="450"/>
      <c r="E1338" s="450"/>
      <c r="F1338" s="450"/>
      <c r="G1338" s="450" t="s">
        <v>22882</v>
      </c>
      <c r="H1338" s="450" t="s">
        <v>22883</v>
      </c>
      <c r="I1338" s="450"/>
      <c r="J1338" s="450" t="s">
        <v>22942</v>
      </c>
      <c r="K1338" s="450"/>
    </row>
    <row r="1339" spans="1:11">
      <c r="A1339" s="451" t="s">
        <v>3050</v>
      </c>
      <c r="B1339" s="451"/>
      <c r="C1339" s="451" t="s">
        <v>3051</v>
      </c>
      <c r="D1339" s="451"/>
      <c r="E1339" s="451"/>
      <c r="F1339" s="451"/>
      <c r="G1339" s="451" t="s">
        <v>22882</v>
      </c>
      <c r="H1339" s="451" t="s">
        <v>22883</v>
      </c>
      <c r="I1339" s="451" t="s">
        <v>33202</v>
      </c>
      <c r="J1339" s="451" t="s">
        <v>22997</v>
      </c>
      <c r="K1339" s="451"/>
    </row>
    <row r="1340" spans="1:11">
      <c r="A1340" s="450" t="s">
        <v>33203</v>
      </c>
      <c r="B1340" s="450"/>
      <c r="C1340" s="450" t="s">
        <v>2253</v>
      </c>
      <c r="D1340" s="450"/>
      <c r="E1340" s="450"/>
      <c r="F1340" s="450"/>
      <c r="G1340" s="450" t="s">
        <v>22877</v>
      </c>
      <c r="H1340" s="450" t="s">
        <v>22878</v>
      </c>
      <c r="I1340" s="450" t="s">
        <v>33204</v>
      </c>
      <c r="J1340" s="450" t="s">
        <v>22942</v>
      </c>
      <c r="K1340" s="450"/>
    </row>
    <row r="1341" spans="1:11">
      <c r="A1341" s="451" t="s">
        <v>3052</v>
      </c>
      <c r="B1341" s="451"/>
      <c r="C1341" s="451" t="s">
        <v>2253</v>
      </c>
      <c r="D1341" s="451"/>
      <c r="E1341" s="451"/>
      <c r="F1341" s="451"/>
      <c r="G1341" s="451" t="s">
        <v>22877</v>
      </c>
      <c r="H1341" s="451" t="s">
        <v>22878</v>
      </c>
      <c r="I1341" s="451" t="s">
        <v>32841</v>
      </c>
      <c r="J1341" s="451" t="s">
        <v>23185</v>
      </c>
      <c r="K1341" s="451"/>
    </row>
    <row r="1342" spans="1:11">
      <c r="A1342" s="450" t="s">
        <v>21478</v>
      </c>
      <c r="B1342" s="450"/>
      <c r="C1342" s="450" t="s">
        <v>3053</v>
      </c>
      <c r="D1342" s="450"/>
      <c r="E1342" s="450"/>
      <c r="F1342" s="450"/>
      <c r="G1342" s="450" t="s">
        <v>22882</v>
      </c>
      <c r="H1342" s="450" t="s">
        <v>22883</v>
      </c>
      <c r="I1342" s="450"/>
      <c r="J1342" s="450" t="s">
        <v>22942</v>
      </c>
      <c r="K1342" s="450"/>
    </row>
    <row r="1343" spans="1:11">
      <c r="A1343" s="451" t="s">
        <v>22700</v>
      </c>
      <c r="B1343" s="451"/>
      <c r="C1343" s="451" t="s">
        <v>3089</v>
      </c>
      <c r="D1343" s="451"/>
      <c r="E1343" s="451"/>
      <c r="F1343" s="451"/>
      <c r="G1343" s="451" t="s">
        <v>22877</v>
      </c>
      <c r="H1343" s="451" t="s">
        <v>22878</v>
      </c>
      <c r="I1343" s="451" t="s">
        <v>12241</v>
      </c>
      <c r="J1343" s="451" t="s">
        <v>22997</v>
      </c>
      <c r="K1343" s="451"/>
    </row>
    <row r="1344" spans="1:11">
      <c r="A1344" s="450" t="s">
        <v>22701</v>
      </c>
      <c r="B1344" s="450" t="s">
        <v>22702</v>
      </c>
      <c r="C1344" s="450" t="s">
        <v>3091</v>
      </c>
      <c r="D1344" s="450" t="s">
        <v>3092</v>
      </c>
      <c r="E1344" s="450"/>
      <c r="F1344" s="450"/>
      <c r="G1344" s="450" t="s">
        <v>22877</v>
      </c>
      <c r="H1344" s="450" t="s">
        <v>22878</v>
      </c>
      <c r="I1344" s="450" t="s">
        <v>23509</v>
      </c>
      <c r="J1344" s="450" t="s">
        <v>23510</v>
      </c>
      <c r="K1344" s="450"/>
    </row>
    <row r="1345" spans="1:11">
      <c r="A1345" s="451" t="s">
        <v>33205</v>
      </c>
      <c r="B1345" s="451"/>
      <c r="C1345" s="451" t="s">
        <v>3104</v>
      </c>
      <c r="D1345" s="451"/>
      <c r="E1345" s="451"/>
      <c r="F1345" s="451"/>
      <c r="G1345" s="451" t="s">
        <v>22877</v>
      </c>
      <c r="H1345" s="451" t="s">
        <v>22878</v>
      </c>
      <c r="I1345" s="451" t="s">
        <v>33206</v>
      </c>
      <c r="J1345" s="451" t="s">
        <v>23185</v>
      </c>
      <c r="K1345" s="451"/>
    </row>
    <row r="1346" spans="1:11">
      <c r="A1346" s="450" t="s">
        <v>22703</v>
      </c>
      <c r="B1346" s="450"/>
      <c r="C1346" s="450" t="s">
        <v>3094</v>
      </c>
      <c r="D1346" s="450"/>
      <c r="E1346" s="450"/>
      <c r="F1346" s="450"/>
      <c r="G1346" s="450" t="s">
        <v>22882</v>
      </c>
      <c r="H1346" s="450" t="s">
        <v>22883</v>
      </c>
      <c r="I1346" s="450"/>
      <c r="J1346" s="450" t="s">
        <v>22997</v>
      </c>
      <c r="K1346" s="450"/>
    </row>
    <row r="1347" spans="1:11">
      <c r="A1347" s="451" t="s">
        <v>22704</v>
      </c>
      <c r="B1347" s="451" t="s">
        <v>3095</v>
      </c>
      <c r="C1347" s="451" t="s">
        <v>3096</v>
      </c>
      <c r="D1347" s="451" t="s">
        <v>3097</v>
      </c>
      <c r="E1347" s="451"/>
      <c r="F1347" s="451"/>
      <c r="G1347" s="451" t="s">
        <v>22877</v>
      </c>
      <c r="H1347" s="451" t="s">
        <v>22878</v>
      </c>
      <c r="I1347" s="451" t="s">
        <v>3097</v>
      </c>
      <c r="J1347" s="451" t="s">
        <v>23511</v>
      </c>
      <c r="K1347" s="451"/>
    </row>
    <row r="1348" spans="1:11">
      <c r="A1348" s="450" t="s">
        <v>22705</v>
      </c>
      <c r="B1348" s="450" t="s">
        <v>22702</v>
      </c>
      <c r="C1348" s="450" t="s">
        <v>3091</v>
      </c>
      <c r="D1348" s="450" t="s">
        <v>3092</v>
      </c>
      <c r="E1348" s="450"/>
      <c r="F1348" s="450"/>
      <c r="G1348" s="450" t="s">
        <v>22877</v>
      </c>
      <c r="H1348" s="450" t="s">
        <v>22878</v>
      </c>
      <c r="I1348" s="450" t="s">
        <v>23509</v>
      </c>
      <c r="J1348" s="450" t="s">
        <v>23510</v>
      </c>
      <c r="K1348" s="450"/>
    </row>
    <row r="1349" spans="1:11">
      <c r="A1349" s="451" t="s">
        <v>33207</v>
      </c>
      <c r="B1349" s="451"/>
      <c r="C1349" s="451" t="s">
        <v>3099</v>
      </c>
      <c r="D1349" s="451"/>
      <c r="E1349" s="451"/>
      <c r="F1349" s="451"/>
      <c r="G1349" s="451" t="s">
        <v>22877</v>
      </c>
      <c r="H1349" s="451" t="s">
        <v>22878</v>
      </c>
      <c r="I1349" s="451" t="s">
        <v>33208</v>
      </c>
      <c r="J1349" s="451" t="s">
        <v>23185</v>
      </c>
      <c r="K1349" s="451"/>
    </row>
    <row r="1350" spans="1:11">
      <c r="A1350" s="450" t="s">
        <v>33209</v>
      </c>
      <c r="B1350" s="450"/>
      <c r="C1350" s="450" t="s">
        <v>3100</v>
      </c>
      <c r="D1350" s="450"/>
      <c r="E1350" s="450"/>
      <c r="F1350" s="450"/>
      <c r="G1350" s="450" t="s">
        <v>22877</v>
      </c>
      <c r="H1350" s="450" t="s">
        <v>22878</v>
      </c>
      <c r="I1350" s="450" t="s">
        <v>33210</v>
      </c>
      <c r="J1350" s="450" t="s">
        <v>22997</v>
      </c>
      <c r="K1350" s="450"/>
    </row>
    <row r="1351" spans="1:11">
      <c r="A1351" s="451" t="s">
        <v>22706</v>
      </c>
      <c r="B1351" s="451"/>
      <c r="C1351" s="451" t="s">
        <v>3101</v>
      </c>
      <c r="D1351" s="451"/>
      <c r="E1351" s="451"/>
      <c r="F1351" s="451"/>
      <c r="G1351" s="451" t="s">
        <v>22877</v>
      </c>
      <c r="H1351" s="451" t="s">
        <v>22878</v>
      </c>
      <c r="I1351" s="451" t="s">
        <v>23512</v>
      </c>
      <c r="J1351" s="451" t="s">
        <v>22939</v>
      </c>
      <c r="K1351" s="451"/>
    </row>
    <row r="1352" spans="1:11">
      <c r="A1352" s="450" t="s">
        <v>22707</v>
      </c>
      <c r="B1352" s="450" t="s">
        <v>3054</v>
      </c>
      <c r="C1352" s="450" t="s">
        <v>3055</v>
      </c>
      <c r="D1352" s="450" t="s">
        <v>3056</v>
      </c>
      <c r="E1352" s="450"/>
      <c r="F1352" s="450"/>
      <c r="G1352" s="450" t="s">
        <v>22877</v>
      </c>
      <c r="H1352" s="450" t="s">
        <v>22878</v>
      </c>
      <c r="I1352" s="450" t="s">
        <v>23513</v>
      </c>
      <c r="J1352" s="450" t="s">
        <v>23514</v>
      </c>
      <c r="K1352" s="450"/>
    </row>
    <row r="1353" spans="1:11">
      <c r="A1353" s="451" t="s">
        <v>3060</v>
      </c>
      <c r="B1353" s="451"/>
      <c r="C1353" s="451" t="s">
        <v>3061</v>
      </c>
      <c r="D1353" s="451"/>
      <c r="E1353" s="451"/>
      <c r="F1353" s="451"/>
      <c r="G1353" s="451" t="s">
        <v>22877</v>
      </c>
      <c r="H1353" s="451" t="s">
        <v>22878</v>
      </c>
      <c r="I1353" s="451" t="s">
        <v>33211</v>
      </c>
      <c r="J1353" s="451" t="s">
        <v>23185</v>
      </c>
      <c r="K1353" s="451"/>
    </row>
    <row r="1354" spans="1:11">
      <c r="A1354" s="450" t="s">
        <v>3062</v>
      </c>
      <c r="B1354" s="450"/>
      <c r="C1354" s="450" t="s">
        <v>2924</v>
      </c>
      <c r="D1354" s="450"/>
      <c r="E1354" s="450"/>
      <c r="F1354" s="450"/>
      <c r="G1354" s="450" t="s">
        <v>22877</v>
      </c>
      <c r="H1354" s="450" t="s">
        <v>22878</v>
      </c>
      <c r="I1354" s="450" t="s">
        <v>33212</v>
      </c>
      <c r="J1354" s="450" t="s">
        <v>22997</v>
      </c>
      <c r="K1354" s="450"/>
    </row>
    <row r="1355" spans="1:11">
      <c r="A1355" s="451" t="s">
        <v>3063</v>
      </c>
      <c r="B1355" s="451"/>
      <c r="C1355" s="451" t="s">
        <v>3064</v>
      </c>
      <c r="D1355" s="451"/>
      <c r="E1355" s="451"/>
      <c r="F1355" s="451"/>
      <c r="G1355" s="451" t="s">
        <v>22882</v>
      </c>
      <c r="H1355" s="451" t="s">
        <v>22883</v>
      </c>
      <c r="I1355" s="451"/>
      <c r="J1355" s="451" t="s">
        <v>22939</v>
      </c>
      <c r="K1355" s="451"/>
    </row>
    <row r="1356" spans="1:11">
      <c r="A1356" s="450" t="s">
        <v>3065</v>
      </c>
      <c r="B1356" s="450"/>
      <c r="C1356" s="450" t="s">
        <v>3066</v>
      </c>
      <c r="D1356" s="450"/>
      <c r="E1356" s="450"/>
      <c r="F1356" s="450"/>
      <c r="G1356" s="450" t="s">
        <v>22877</v>
      </c>
      <c r="H1356" s="450" t="s">
        <v>22878</v>
      </c>
      <c r="I1356" s="450" t="s">
        <v>33213</v>
      </c>
      <c r="J1356" s="450" t="s">
        <v>23185</v>
      </c>
      <c r="K1356" s="450"/>
    </row>
    <row r="1357" spans="1:11">
      <c r="A1357" s="451" t="s">
        <v>33214</v>
      </c>
      <c r="B1357" s="451"/>
      <c r="C1357" s="451" t="s">
        <v>1249</v>
      </c>
      <c r="D1357" s="451"/>
      <c r="E1357" s="451"/>
      <c r="F1357" s="451"/>
      <c r="G1357" s="451" t="s">
        <v>22882</v>
      </c>
      <c r="H1357" s="451" t="s">
        <v>22883</v>
      </c>
      <c r="I1357" s="451"/>
      <c r="J1357" s="451" t="s">
        <v>22997</v>
      </c>
      <c r="K1357" s="451"/>
    </row>
    <row r="1358" spans="1:11">
      <c r="A1358" s="450" t="s">
        <v>21481</v>
      </c>
      <c r="B1358" s="450"/>
      <c r="C1358" s="450" t="s">
        <v>1249</v>
      </c>
      <c r="D1358" s="450"/>
      <c r="E1358" s="450"/>
      <c r="F1358" s="450"/>
      <c r="G1358" s="450" t="s">
        <v>22882</v>
      </c>
      <c r="H1358" s="450" t="s">
        <v>22883</v>
      </c>
      <c r="I1358" s="450"/>
      <c r="J1358" s="450" t="s">
        <v>22997</v>
      </c>
      <c r="K1358" s="450"/>
    </row>
    <row r="1359" spans="1:11">
      <c r="A1359" s="451" t="s">
        <v>22708</v>
      </c>
      <c r="B1359" s="451" t="s">
        <v>3070</v>
      </c>
      <c r="C1359" s="451" t="s">
        <v>3071</v>
      </c>
      <c r="D1359" s="451" t="s">
        <v>3072</v>
      </c>
      <c r="E1359" s="451"/>
      <c r="F1359" s="451"/>
      <c r="G1359" s="451" t="s">
        <v>22877</v>
      </c>
      <c r="H1359" s="451" t="s">
        <v>22878</v>
      </c>
      <c r="I1359" s="451" t="s">
        <v>3072</v>
      </c>
      <c r="J1359" s="451" t="s">
        <v>23515</v>
      </c>
      <c r="K1359" s="451"/>
    </row>
    <row r="1360" spans="1:11">
      <c r="A1360" s="450" t="s">
        <v>3067</v>
      </c>
      <c r="B1360" s="450"/>
      <c r="C1360" s="450" t="s">
        <v>3068</v>
      </c>
      <c r="D1360" s="450"/>
      <c r="E1360" s="450"/>
      <c r="F1360" s="450"/>
      <c r="G1360" s="450" t="s">
        <v>22882</v>
      </c>
      <c r="H1360" s="450" t="s">
        <v>22883</v>
      </c>
      <c r="I1360" s="450"/>
      <c r="J1360" s="450" t="s">
        <v>22939</v>
      </c>
      <c r="K1360" s="450"/>
    </row>
    <row r="1361" spans="1:11">
      <c r="A1361" s="451" t="s">
        <v>22709</v>
      </c>
      <c r="B1361" s="451" t="s">
        <v>22710</v>
      </c>
      <c r="C1361" s="451" t="s">
        <v>3075</v>
      </c>
      <c r="D1361" s="451" t="s">
        <v>3076</v>
      </c>
      <c r="E1361" s="451"/>
      <c r="F1361" s="451"/>
      <c r="G1361" s="451" t="s">
        <v>22877</v>
      </c>
      <c r="H1361" s="451" t="s">
        <v>22878</v>
      </c>
      <c r="I1361" s="451" t="s">
        <v>3076</v>
      </c>
      <c r="J1361" s="451" t="s">
        <v>23516</v>
      </c>
      <c r="K1361" s="451"/>
    </row>
    <row r="1362" spans="1:11">
      <c r="A1362" s="450" t="s">
        <v>3069</v>
      </c>
      <c r="B1362" s="450" t="s">
        <v>3070</v>
      </c>
      <c r="C1362" s="450" t="s">
        <v>3071</v>
      </c>
      <c r="D1362" s="450" t="s">
        <v>3072</v>
      </c>
      <c r="E1362" s="450"/>
      <c r="F1362" s="450"/>
      <c r="G1362" s="450" t="s">
        <v>22877</v>
      </c>
      <c r="H1362" s="450" t="s">
        <v>22878</v>
      </c>
      <c r="I1362" s="450" t="s">
        <v>30523</v>
      </c>
      <c r="J1362" s="450" t="s">
        <v>30524</v>
      </c>
      <c r="K1362" s="450"/>
    </row>
    <row r="1363" spans="1:11">
      <c r="A1363" s="451" t="s">
        <v>3073</v>
      </c>
      <c r="B1363" s="451" t="s">
        <v>3074</v>
      </c>
      <c r="C1363" s="451" t="s">
        <v>3075</v>
      </c>
      <c r="D1363" s="451" t="s">
        <v>3076</v>
      </c>
      <c r="E1363" s="451" t="s">
        <v>3077</v>
      </c>
      <c r="F1363" s="451"/>
      <c r="G1363" s="451" t="s">
        <v>22877</v>
      </c>
      <c r="H1363" s="451" t="s">
        <v>22878</v>
      </c>
      <c r="I1363" s="451" t="s">
        <v>30525</v>
      </c>
      <c r="J1363" s="451" t="s">
        <v>30526</v>
      </c>
      <c r="K1363" s="451"/>
    </row>
    <row r="1364" spans="1:11">
      <c r="A1364" s="450" t="s">
        <v>22711</v>
      </c>
      <c r="B1364" s="450" t="s">
        <v>3081</v>
      </c>
      <c r="C1364" s="450" t="s">
        <v>1395</v>
      </c>
      <c r="D1364" s="450" t="s">
        <v>3082</v>
      </c>
      <c r="E1364" s="450"/>
      <c r="F1364" s="450"/>
      <c r="G1364" s="450" t="s">
        <v>22877</v>
      </c>
      <c r="H1364" s="450" t="s">
        <v>22878</v>
      </c>
      <c r="I1364" s="450" t="s">
        <v>23517</v>
      </c>
      <c r="J1364" s="450" t="s">
        <v>23518</v>
      </c>
      <c r="K1364" s="450"/>
    </row>
    <row r="1365" spans="1:11">
      <c r="A1365" s="451" t="s">
        <v>3078</v>
      </c>
      <c r="B1365" s="451"/>
      <c r="C1365" s="451" t="s">
        <v>3079</v>
      </c>
      <c r="D1365" s="451"/>
      <c r="E1365" s="451"/>
      <c r="F1365" s="451"/>
      <c r="G1365" s="451" t="s">
        <v>22877</v>
      </c>
      <c r="H1365" s="451" t="s">
        <v>22878</v>
      </c>
      <c r="I1365" s="451" t="s">
        <v>3031</v>
      </c>
      <c r="J1365" s="451" t="s">
        <v>22942</v>
      </c>
      <c r="K1365" s="451"/>
    </row>
    <row r="1366" spans="1:11">
      <c r="A1366" s="450" t="s">
        <v>3080</v>
      </c>
      <c r="B1366" s="450" t="s">
        <v>3081</v>
      </c>
      <c r="C1366" s="450" t="s">
        <v>1395</v>
      </c>
      <c r="D1366" s="450" t="s">
        <v>3082</v>
      </c>
      <c r="E1366" s="450" t="s">
        <v>3083</v>
      </c>
      <c r="F1366" s="450"/>
      <c r="G1366" s="450" t="s">
        <v>22877</v>
      </c>
      <c r="H1366" s="450" t="s">
        <v>22878</v>
      </c>
      <c r="I1366" s="450" t="s">
        <v>30527</v>
      </c>
      <c r="J1366" s="450" t="s">
        <v>23518</v>
      </c>
      <c r="K1366" s="450"/>
    </row>
    <row r="1367" spans="1:11">
      <c r="A1367" s="451" t="s">
        <v>3084</v>
      </c>
      <c r="B1367" s="451"/>
      <c r="C1367" s="451" t="s">
        <v>3085</v>
      </c>
      <c r="D1367" s="451"/>
      <c r="E1367" s="451"/>
      <c r="F1367" s="451"/>
      <c r="G1367" s="451" t="s">
        <v>22877</v>
      </c>
      <c r="H1367" s="451" t="s">
        <v>22878</v>
      </c>
      <c r="I1367" s="451" t="s">
        <v>23519</v>
      </c>
      <c r="J1367" s="451" t="s">
        <v>22997</v>
      </c>
      <c r="K1367" s="451"/>
    </row>
    <row r="1368" spans="1:11">
      <c r="A1368" s="450" t="s">
        <v>33215</v>
      </c>
      <c r="B1368" s="450" t="s">
        <v>3087</v>
      </c>
      <c r="C1368" s="450" t="s">
        <v>3055</v>
      </c>
      <c r="D1368" s="450"/>
      <c r="E1368" s="450"/>
      <c r="F1368" s="450" t="s">
        <v>33216</v>
      </c>
      <c r="G1368" s="450" t="s">
        <v>22877</v>
      </c>
      <c r="H1368" s="450" t="s">
        <v>22878</v>
      </c>
      <c r="I1368" s="450" t="s">
        <v>23517</v>
      </c>
      <c r="J1368" s="450" t="s">
        <v>33217</v>
      </c>
      <c r="K1368" s="450"/>
    </row>
    <row r="1369" spans="1:11">
      <c r="A1369" s="451" t="s">
        <v>3086</v>
      </c>
      <c r="B1369" s="451" t="s">
        <v>3087</v>
      </c>
      <c r="C1369" s="451" t="s">
        <v>3055</v>
      </c>
      <c r="D1369" s="451"/>
      <c r="E1369" s="451"/>
      <c r="F1369" s="451" t="s">
        <v>3088</v>
      </c>
      <c r="G1369" s="451" t="s">
        <v>22877</v>
      </c>
      <c r="H1369" s="451" t="s">
        <v>22878</v>
      </c>
      <c r="I1369" s="451" t="s">
        <v>30527</v>
      </c>
      <c r="J1369" s="451" t="s">
        <v>30528</v>
      </c>
      <c r="K1369" s="451"/>
    </row>
    <row r="1370" spans="1:11">
      <c r="A1370" s="450" t="s">
        <v>21479</v>
      </c>
      <c r="B1370" s="450" t="s">
        <v>3054</v>
      </c>
      <c r="C1370" s="450" t="s">
        <v>3055</v>
      </c>
      <c r="D1370" s="450" t="s">
        <v>3056</v>
      </c>
      <c r="E1370" s="450"/>
      <c r="F1370" s="450"/>
      <c r="G1370" s="450" t="s">
        <v>22877</v>
      </c>
      <c r="H1370" s="450" t="s">
        <v>22878</v>
      </c>
      <c r="I1370" s="450" t="s">
        <v>30529</v>
      </c>
      <c r="J1370" s="450" t="s">
        <v>23514</v>
      </c>
      <c r="K1370" s="450"/>
    </row>
    <row r="1371" spans="1:11">
      <c r="A1371" s="451" t="s">
        <v>21480</v>
      </c>
      <c r="B1371" s="451" t="s">
        <v>3057</v>
      </c>
      <c r="C1371" s="451" t="s">
        <v>3058</v>
      </c>
      <c r="D1371" s="451" t="s">
        <v>3059</v>
      </c>
      <c r="E1371" s="451"/>
      <c r="F1371" s="451"/>
      <c r="G1371" s="451" t="s">
        <v>22877</v>
      </c>
      <c r="H1371" s="451" t="s">
        <v>22878</v>
      </c>
      <c r="I1371" s="451" t="s">
        <v>3059</v>
      </c>
      <c r="J1371" s="451" t="s">
        <v>33218</v>
      </c>
      <c r="K1371" s="451"/>
    </row>
    <row r="1372" spans="1:11">
      <c r="A1372" s="450" t="s">
        <v>22712</v>
      </c>
      <c r="B1372" s="450" t="s">
        <v>21355</v>
      </c>
      <c r="C1372" s="450" t="s">
        <v>21356</v>
      </c>
      <c r="D1372" s="450" t="s">
        <v>3059</v>
      </c>
      <c r="E1372" s="450"/>
      <c r="F1372" s="450"/>
      <c r="G1372" s="450" t="s">
        <v>22877</v>
      </c>
      <c r="H1372" s="450" t="s">
        <v>22878</v>
      </c>
      <c r="I1372" s="450" t="s">
        <v>3059</v>
      </c>
      <c r="J1372" s="450" t="s">
        <v>23520</v>
      </c>
      <c r="K1372" s="450"/>
    </row>
    <row r="1373" spans="1:11">
      <c r="A1373" s="451" t="s">
        <v>3103</v>
      </c>
      <c r="B1373" s="451"/>
      <c r="C1373" s="451" t="s">
        <v>3104</v>
      </c>
      <c r="D1373" s="451"/>
      <c r="E1373" s="451"/>
      <c r="F1373" s="451"/>
      <c r="G1373" s="451" t="s">
        <v>22882</v>
      </c>
      <c r="H1373" s="451" t="s">
        <v>22883</v>
      </c>
      <c r="I1373" s="451" t="s">
        <v>33219</v>
      </c>
      <c r="J1373" s="451" t="s">
        <v>23185</v>
      </c>
      <c r="K1373" s="451"/>
    </row>
    <row r="1374" spans="1:11">
      <c r="A1374" s="450" t="s">
        <v>21482</v>
      </c>
      <c r="B1374" s="450"/>
      <c r="C1374" s="450" t="s">
        <v>3089</v>
      </c>
      <c r="D1374" s="450"/>
      <c r="E1374" s="450"/>
      <c r="F1374" s="450"/>
      <c r="G1374" s="450" t="s">
        <v>30530</v>
      </c>
      <c r="H1374" s="450" t="s">
        <v>22878</v>
      </c>
      <c r="I1374" s="450"/>
      <c r="J1374" s="450"/>
      <c r="K1374" s="450"/>
    </row>
    <row r="1375" spans="1:11">
      <c r="A1375" s="451" t="s">
        <v>21483</v>
      </c>
      <c r="B1375" s="451" t="s">
        <v>3090</v>
      </c>
      <c r="C1375" s="451" t="s">
        <v>3091</v>
      </c>
      <c r="D1375" s="451" t="s">
        <v>3092</v>
      </c>
      <c r="E1375" s="451" t="s">
        <v>3093</v>
      </c>
      <c r="F1375" s="451"/>
      <c r="G1375" s="451" t="s">
        <v>22877</v>
      </c>
      <c r="H1375" s="451" t="s">
        <v>22878</v>
      </c>
      <c r="I1375" s="451" t="s">
        <v>3092</v>
      </c>
      <c r="J1375" s="451" t="s">
        <v>30531</v>
      </c>
      <c r="K1375" s="451"/>
    </row>
    <row r="1376" spans="1:11">
      <c r="A1376" s="450" t="s">
        <v>21484</v>
      </c>
      <c r="B1376" s="450"/>
      <c r="C1376" s="450" t="s">
        <v>3094</v>
      </c>
      <c r="D1376" s="450"/>
      <c r="E1376" s="450"/>
      <c r="F1376" s="450"/>
      <c r="G1376" s="450" t="s">
        <v>22882</v>
      </c>
      <c r="H1376" s="450" t="s">
        <v>22883</v>
      </c>
      <c r="I1376" s="450" t="s">
        <v>30532</v>
      </c>
      <c r="J1376" s="450" t="s">
        <v>22997</v>
      </c>
      <c r="K1376" s="450"/>
    </row>
    <row r="1377" spans="1:11">
      <c r="A1377" s="451" t="s">
        <v>21485</v>
      </c>
      <c r="B1377" s="451" t="s">
        <v>3095</v>
      </c>
      <c r="C1377" s="451" t="s">
        <v>3096</v>
      </c>
      <c r="D1377" s="451" t="s">
        <v>3097</v>
      </c>
      <c r="E1377" s="451" t="s">
        <v>3098</v>
      </c>
      <c r="F1377" s="451"/>
      <c r="G1377" s="451" t="s">
        <v>22877</v>
      </c>
      <c r="H1377" s="451" t="s">
        <v>22878</v>
      </c>
      <c r="I1377" s="451" t="s">
        <v>3097</v>
      </c>
      <c r="J1377" s="451" t="s">
        <v>23511</v>
      </c>
      <c r="K1377" s="451"/>
    </row>
    <row r="1378" spans="1:11">
      <c r="A1378" s="450" t="s">
        <v>21486</v>
      </c>
      <c r="B1378" s="450" t="s">
        <v>3090</v>
      </c>
      <c r="C1378" s="450" t="s">
        <v>3091</v>
      </c>
      <c r="D1378" s="450" t="s">
        <v>3092</v>
      </c>
      <c r="E1378" s="450" t="s">
        <v>3093</v>
      </c>
      <c r="F1378" s="450"/>
      <c r="G1378" s="450" t="s">
        <v>22877</v>
      </c>
      <c r="H1378" s="450" t="s">
        <v>22878</v>
      </c>
      <c r="I1378" s="450" t="s">
        <v>30533</v>
      </c>
      <c r="J1378" s="450" t="s">
        <v>30534</v>
      </c>
      <c r="K1378" s="450"/>
    </row>
    <row r="1379" spans="1:11">
      <c r="A1379" s="451" t="s">
        <v>21487</v>
      </c>
      <c r="B1379" s="451"/>
      <c r="C1379" s="451" t="s">
        <v>3099</v>
      </c>
      <c r="D1379" s="451"/>
      <c r="E1379" s="451"/>
      <c r="F1379" s="451"/>
      <c r="G1379" s="451" t="s">
        <v>22877</v>
      </c>
      <c r="H1379" s="451" t="s">
        <v>22878</v>
      </c>
      <c r="I1379" s="451" t="s">
        <v>33208</v>
      </c>
      <c r="J1379" s="451" t="s">
        <v>23185</v>
      </c>
      <c r="K1379" s="451"/>
    </row>
    <row r="1380" spans="1:11">
      <c r="A1380" s="450" t="s">
        <v>21488</v>
      </c>
      <c r="B1380" s="450"/>
      <c r="C1380" s="450" t="s">
        <v>3100</v>
      </c>
      <c r="D1380" s="450"/>
      <c r="E1380" s="450"/>
      <c r="F1380" s="450"/>
      <c r="G1380" s="450" t="s">
        <v>22882</v>
      </c>
      <c r="H1380" s="450" t="s">
        <v>22883</v>
      </c>
      <c r="I1380" s="450" t="s">
        <v>33210</v>
      </c>
      <c r="J1380" s="450" t="s">
        <v>22997</v>
      </c>
      <c r="K1380" s="450"/>
    </row>
    <row r="1381" spans="1:11">
      <c r="A1381" s="451" t="s">
        <v>21489</v>
      </c>
      <c r="B1381" s="451"/>
      <c r="C1381" s="451" t="s">
        <v>3101</v>
      </c>
      <c r="D1381" s="451"/>
      <c r="E1381" s="451"/>
      <c r="F1381" s="451"/>
      <c r="G1381" s="451" t="s">
        <v>22877</v>
      </c>
      <c r="H1381" s="451" t="s">
        <v>22878</v>
      </c>
      <c r="I1381" s="451" t="s">
        <v>23512</v>
      </c>
      <c r="J1381" s="451" t="s">
        <v>22939</v>
      </c>
      <c r="K1381" s="451"/>
    </row>
    <row r="1382" spans="1:11">
      <c r="A1382" s="450" t="s">
        <v>21490</v>
      </c>
      <c r="B1382" s="450"/>
      <c r="C1382" s="450" t="s">
        <v>3102</v>
      </c>
      <c r="D1382" s="450"/>
      <c r="E1382" s="450"/>
      <c r="F1382" s="450"/>
      <c r="G1382" s="450" t="s">
        <v>22877</v>
      </c>
      <c r="H1382" s="450" t="s">
        <v>22878</v>
      </c>
      <c r="I1382" s="450" t="s">
        <v>23521</v>
      </c>
      <c r="J1382" s="450" t="s">
        <v>23185</v>
      </c>
      <c r="K1382" s="450"/>
    </row>
    <row r="1383" spans="1:11">
      <c r="A1383" s="451" t="s">
        <v>21491</v>
      </c>
      <c r="B1383" s="451" t="s">
        <v>3057</v>
      </c>
      <c r="C1383" s="451" t="s">
        <v>3058</v>
      </c>
      <c r="D1383" s="451">
        <v>2052522260</v>
      </c>
      <c r="E1383" s="451"/>
      <c r="F1383" s="451"/>
      <c r="G1383" s="451" t="s">
        <v>22877</v>
      </c>
      <c r="H1383" s="451" t="s">
        <v>22878</v>
      </c>
      <c r="I1383" s="451" t="s">
        <v>3059</v>
      </c>
      <c r="J1383" s="451" t="s">
        <v>33220</v>
      </c>
      <c r="K1383" s="451"/>
    </row>
    <row r="1384" spans="1:11">
      <c r="A1384" s="450" t="s">
        <v>21491</v>
      </c>
      <c r="B1384" s="450" t="s">
        <v>21355</v>
      </c>
      <c r="C1384" s="450" t="s">
        <v>21356</v>
      </c>
      <c r="D1384" s="450" t="s">
        <v>3059</v>
      </c>
      <c r="E1384" s="450"/>
      <c r="F1384" s="450"/>
      <c r="G1384" s="450" t="s">
        <v>22877</v>
      </c>
      <c r="H1384" s="450" t="s">
        <v>22878</v>
      </c>
      <c r="I1384" s="450" t="s">
        <v>3059</v>
      </c>
      <c r="J1384" s="450" t="s">
        <v>30535</v>
      </c>
      <c r="K1384" s="450"/>
    </row>
    <row r="1385" spans="1:11">
      <c r="A1385" s="451" t="s">
        <v>22713</v>
      </c>
      <c r="B1385" s="451" t="s">
        <v>22714</v>
      </c>
      <c r="C1385" s="451" t="s">
        <v>22715</v>
      </c>
      <c r="D1385" s="451"/>
      <c r="E1385" s="451"/>
      <c r="F1385" s="451"/>
      <c r="G1385" s="451" t="s">
        <v>22877</v>
      </c>
      <c r="H1385" s="451" t="s">
        <v>22878</v>
      </c>
      <c r="I1385" s="451" t="s">
        <v>23522</v>
      </c>
      <c r="J1385" s="451" t="s">
        <v>23523</v>
      </c>
      <c r="K1385" s="451"/>
    </row>
    <row r="1386" spans="1:11">
      <c r="A1386" s="450" t="s">
        <v>3105</v>
      </c>
      <c r="B1386" s="450"/>
      <c r="C1386" s="450" t="s">
        <v>3106</v>
      </c>
      <c r="D1386" s="450"/>
      <c r="E1386" s="450"/>
      <c r="F1386" s="450"/>
      <c r="G1386" s="450" t="s">
        <v>22882</v>
      </c>
      <c r="H1386" s="450" t="s">
        <v>22883</v>
      </c>
      <c r="I1386" s="450" t="s">
        <v>33221</v>
      </c>
      <c r="J1386" s="450" t="s">
        <v>23185</v>
      </c>
      <c r="K1386" s="450"/>
    </row>
    <row r="1387" spans="1:11">
      <c r="A1387" s="451" t="s">
        <v>3107</v>
      </c>
      <c r="B1387" s="451"/>
      <c r="C1387" s="451" t="s">
        <v>3108</v>
      </c>
      <c r="D1387" s="451"/>
      <c r="E1387" s="451"/>
      <c r="F1387" s="451"/>
      <c r="G1387" s="451" t="s">
        <v>22882</v>
      </c>
      <c r="H1387" s="451" t="s">
        <v>22883</v>
      </c>
      <c r="I1387" s="451"/>
      <c r="J1387" s="451" t="s">
        <v>22942</v>
      </c>
      <c r="K1387" s="451"/>
    </row>
    <row r="1388" spans="1:11">
      <c r="A1388" s="450" t="s">
        <v>3109</v>
      </c>
      <c r="B1388" s="450"/>
      <c r="C1388" s="450" t="s">
        <v>3110</v>
      </c>
      <c r="D1388" s="450"/>
      <c r="E1388" s="450"/>
      <c r="F1388" s="450"/>
      <c r="G1388" s="450" t="s">
        <v>22877</v>
      </c>
      <c r="H1388" s="450" t="s">
        <v>22878</v>
      </c>
      <c r="I1388" s="450" t="s">
        <v>33222</v>
      </c>
      <c r="J1388" s="450" t="s">
        <v>23185</v>
      </c>
      <c r="K1388" s="450"/>
    </row>
    <row r="1389" spans="1:11">
      <c r="A1389" s="451" t="s">
        <v>33223</v>
      </c>
      <c r="B1389" s="451"/>
      <c r="C1389" s="451" t="s">
        <v>3112</v>
      </c>
      <c r="D1389" s="451"/>
      <c r="E1389" s="451"/>
      <c r="F1389" s="451"/>
      <c r="G1389" s="451" t="s">
        <v>22877</v>
      </c>
      <c r="H1389" s="451" t="s">
        <v>22878</v>
      </c>
      <c r="I1389" s="451" t="s">
        <v>33224</v>
      </c>
      <c r="J1389" s="451" t="s">
        <v>23185</v>
      </c>
      <c r="K1389" s="451"/>
    </row>
    <row r="1390" spans="1:11">
      <c r="A1390" s="450" t="s">
        <v>3111</v>
      </c>
      <c r="B1390" s="450"/>
      <c r="C1390" s="450" t="s">
        <v>3112</v>
      </c>
      <c r="D1390" s="450"/>
      <c r="E1390" s="450"/>
      <c r="F1390" s="450"/>
      <c r="G1390" s="450" t="s">
        <v>22882</v>
      </c>
      <c r="H1390" s="450" t="s">
        <v>22883</v>
      </c>
      <c r="I1390" s="450" t="s">
        <v>33225</v>
      </c>
      <c r="J1390" s="450" t="s">
        <v>23185</v>
      </c>
      <c r="K1390" s="450"/>
    </row>
    <row r="1391" spans="1:11">
      <c r="A1391" s="451" t="s">
        <v>3113</v>
      </c>
      <c r="B1391" s="451"/>
      <c r="C1391" s="451" t="s">
        <v>3114</v>
      </c>
      <c r="D1391" s="451"/>
      <c r="E1391" s="451"/>
      <c r="F1391" s="451"/>
      <c r="G1391" s="451" t="s">
        <v>22877</v>
      </c>
      <c r="H1391" s="451" t="s">
        <v>22878</v>
      </c>
      <c r="I1391" s="451" t="s">
        <v>33224</v>
      </c>
      <c r="J1391" s="451" t="s">
        <v>22939</v>
      </c>
      <c r="K1391" s="451"/>
    </row>
    <row r="1392" spans="1:11">
      <c r="A1392" s="450" t="s">
        <v>3115</v>
      </c>
      <c r="B1392" s="450"/>
      <c r="C1392" s="450" t="s">
        <v>3116</v>
      </c>
      <c r="D1392" s="450"/>
      <c r="E1392" s="450"/>
      <c r="F1392" s="450"/>
      <c r="G1392" s="450" t="s">
        <v>22877</v>
      </c>
      <c r="H1392" s="450" t="s">
        <v>22878</v>
      </c>
      <c r="I1392" s="450" t="s">
        <v>33226</v>
      </c>
      <c r="J1392" s="450" t="s">
        <v>22997</v>
      </c>
      <c r="K1392" s="450"/>
    </row>
    <row r="1393" spans="1:11">
      <c r="A1393" s="451" t="s">
        <v>3117</v>
      </c>
      <c r="B1393" s="451"/>
      <c r="C1393" s="451" t="s">
        <v>3118</v>
      </c>
      <c r="D1393" s="451"/>
      <c r="E1393" s="451"/>
      <c r="F1393" s="451"/>
      <c r="G1393" s="451" t="s">
        <v>22882</v>
      </c>
      <c r="H1393" s="451" t="s">
        <v>22883</v>
      </c>
      <c r="I1393" s="451"/>
      <c r="J1393" s="451" t="s">
        <v>22948</v>
      </c>
      <c r="K1393" s="451"/>
    </row>
    <row r="1394" spans="1:11">
      <c r="A1394" s="450" t="s">
        <v>21492</v>
      </c>
      <c r="B1394" s="450"/>
      <c r="C1394" s="450" t="s">
        <v>3119</v>
      </c>
      <c r="D1394" s="450"/>
      <c r="E1394" s="450"/>
      <c r="F1394" s="450"/>
      <c r="G1394" s="450" t="s">
        <v>22877</v>
      </c>
      <c r="H1394" s="450" t="s">
        <v>22878</v>
      </c>
      <c r="I1394" s="450" t="s">
        <v>33227</v>
      </c>
      <c r="J1394" s="450" t="s">
        <v>23185</v>
      </c>
      <c r="K1394" s="450"/>
    </row>
    <row r="1395" spans="1:11">
      <c r="A1395" s="451" t="s">
        <v>3120</v>
      </c>
      <c r="B1395" s="451"/>
      <c r="C1395" s="451" t="s">
        <v>3121</v>
      </c>
      <c r="D1395" s="451"/>
      <c r="E1395" s="451"/>
      <c r="F1395" s="451"/>
      <c r="G1395" s="451" t="s">
        <v>22877</v>
      </c>
      <c r="H1395" s="451" t="s">
        <v>22878</v>
      </c>
      <c r="I1395" s="451" t="s">
        <v>23524</v>
      </c>
      <c r="J1395" s="451" t="s">
        <v>23185</v>
      </c>
      <c r="K1395" s="451"/>
    </row>
    <row r="1396" spans="1:11">
      <c r="A1396" s="450" t="s">
        <v>3122</v>
      </c>
      <c r="B1396" s="450" t="s">
        <v>3123</v>
      </c>
      <c r="C1396" s="450" t="s">
        <v>3124</v>
      </c>
      <c r="D1396" s="450" t="s">
        <v>3125</v>
      </c>
      <c r="E1396" s="450"/>
      <c r="F1396" s="450"/>
      <c r="G1396" s="450" t="s">
        <v>23525</v>
      </c>
      <c r="H1396" s="450" t="s">
        <v>22878</v>
      </c>
      <c r="I1396" s="450" t="s">
        <v>33228</v>
      </c>
      <c r="J1396" s="450" t="s">
        <v>3123</v>
      </c>
      <c r="K1396" s="450"/>
    </row>
    <row r="1397" spans="1:11">
      <c r="A1397" s="451" t="s">
        <v>3122</v>
      </c>
      <c r="B1397" s="451" t="s">
        <v>3123</v>
      </c>
      <c r="C1397" s="451" t="s">
        <v>3124</v>
      </c>
      <c r="D1397" s="451" t="s">
        <v>3125</v>
      </c>
      <c r="E1397" s="451" t="s">
        <v>3126</v>
      </c>
      <c r="F1397" s="451"/>
      <c r="G1397" s="451" t="s">
        <v>22877</v>
      </c>
      <c r="H1397" s="451" t="s">
        <v>22878</v>
      </c>
      <c r="I1397" s="451" t="s">
        <v>23389</v>
      </c>
      <c r="J1397" s="451" t="s">
        <v>30536</v>
      </c>
      <c r="K1397" s="451"/>
    </row>
    <row r="1398" spans="1:11">
      <c r="A1398" s="450" t="s">
        <v>21097</v>
      </c>
      <c r="B1398" s="450" t="s">
        <v>21098</v>
      </c>
      <c r="C1398" s="450" t="s">
        <v>21099</v>
      </c>
      <c r="D1398" s="450" t="s">
        <v>21100</v>
      </c>
      <c r="E1398" s="450"/>
      <c r="F1398" s="450" t="s">
        <v>21101</v>
      </c>
      <c r="G1398" s="450" t="s">
        <v>22877</v>
      </c>
      <c r="H1398" s="450" t="s">
        <v>22878</v>
      </c>
      <c r="I1398" s="450" t="s">
        <v>30537</v>
      </c>
      <c r="J1398" s="450" t="s">
        <v>30538</v>
      </c>
      <c r="K1398" s="450"/>
    </row>
    <row r="1399" spans="1:11">
      <c r="A1399" s="451" t="s">
        <v>21493</v>
      </c>
      <c r="B1399" s="451"/>
      <c r="C1399" s="451" t="s">
        <v>3127</v>
      </c>
      <c r="D1399" s="451"/>
      <c r="E1399" s="451"/>
      <c r="F1399" s="451"/>
      <c r="G1399" s="451" t="s">
        <v>22877</v>
      </c>
      <c r="H1399" s="451" t="s">
        <v>22878</v>
      </c>
      <c r="I1399" s="451" t="s">
        <v>33229</v>
      </c>
      <c r="J1399" s="451" t="s">
        <v>23185</v>
      </c>
      <c r="K1399" s="451"/>
    </row>
    <row r="1400" spans="1:11">
      <c r="A1400" s="450" t="s">
        <v>3128</v>
      </c>
      <c r="B1400" s="450"/>
      <c r="C1400" s="450" t="s">
        <v>3129</v>
      </c>
      <c r="D1400" s="450"/>
      <c r="E1400" s="450"/>
      <c r="F1400" s="450"/>
      <c r="G1400" s="450" t="s">
        <v>22882</v>
      </c>
      <c r="H1400" s="450" t="s">
        <v>22883</v>
      </c>
      <c r="I1400" s="450"/>
      <c r="J1400" s="450" t="s">
        <v>22942</v>
      </c>
      <c r="K1400" s="450"/>
    </row>
    <row r="1401" spans="1:11">
      <c r="A1401" s="451" t="s">
        <v>3130</v>
      </c>
      <c r="B1401" s="451"/>
      <c r="C1401" s="451" t="s">
        <v>3131</v>
      </c>
      <c r="D1401" s="451"/>
      <c r="E1401" s="451"/>
      <c r="F1401" s="451"/>
      <c r="G1401" s="451" t="s">
        <v>22877</v>
      </c>
      <c r="H1401" s="451" t="s">
        <v>22878</v>
      </c>
      <c r="I1401" s="451" t="s">
        <v>33230</v>
      </c>
      <c r="J1401" s="451" t="s">
        <v>23185</v>
      </c>
      <c r="K1401" s="451"/>
    </row>
    <row r="1402" spans="1:11">
      <c r="A1402" s="450" t="s">
        <v>3132</v>
      </c>
      <c r="B1402" s="450"/>
      <c r="C1402" s="450" t="s">
        <v>3133</v>
      </c>
      <c r="D1402" s="450"/>
      <c r="E1402" s="450"/>
      <c r="F1402" s="450"/>
      <c r="G1402" s="450" t="s">
        <v>22877</v>
      </c>
      <c r="H1402" s="450" t="s">
        <v>22878</v>
      </c>
      <c r="I1402" s="450" t="s">
        <v>33231</v>
      </c>
      <c r="J1402" s="450" t="s">
        <v>22942</v>
      </c>
      <c r="K1402" s="450"/>
    </row>
    <row r="1403" spans="1:11">
      <c r="A1403" s="451" t="s">
        <v>33232</v>
      </c>
      <c r="B1403" s="451" t="s">
        <v>3135</v>
      </c>
      <c r="C1403" s="451" t="s">
        <v>3136</v>
      </c>
      <c r="D1403" s="451" t="s">
        <v>3137</v>
      </c>
      <c r="E1403" s="451"/>
      <c r="F1403" s="451"/>
      <c r="G1403" s="451" t="s">
        <v>22877</v>
      </c>
      <c r="H1403" s="451" t="s">
        <v>22878</v>
      </c>
      <c r="I1403" s="451" t="s">
        <v>23526</v>
      </c>
      <c r="J1403" s="451" t="s">
        <v>33233</v>
      </c>
      <c r="K1403" s="451"/>
    </row>
    <row r="1404" spans="1:11">
      <c r="A1404" s="450" t="s">
        <v>22716</v>
      </c>
      <c r="B1404" s="450"/>
      <c r="C1404" s="450" t="s">
        <v>3140</v>
      </c>
      <c r="D1404" s="450" t="s">
        <v>3141</v>
      </c>
      <c r="E1404" s="450"/>
      <c r="F1404" s="450"/>
      <c r="G1404" s="450" t="s">
        <v>22877</v>
      </c>
      <c r="H1404" s="450" t="s">
        <v>22878</v>
      </c>
      <c r="I1404" s="450" t="s">
        <v>23526</v>
      </c>
      <c r="J1404" s="450" t="s">
        <v>23527</v>
      </c>
      <c r="K1404" s="450"/>
    </row>
    <row r="1405" spans="1:11">
      <c r="A1405" s="451" t="s">
        <v>3134</v>
      </c>
      <c r="B1405" s="451" t="s">
        <v>3135</v>
      </c>
      <c r="C1405" s="451" t="s">
        <v>3136</v>
      </c>
      <c r="D1405" s="451" t="s">
        <v>3137</v>
      </c>
      <c r="E1405" s="451" t="s">
        <v>3138</v>
      </c>
      <c r="F1405" s="451"/>
      <c r="G1405" s="451" t="s">
        <v>22882</v>
      </c>
      <c r="H1405" s="451" t="s">
        <v>22883</v>
      </c>
      <c r="I1405" s="451" t="s">
        <v>30539</v>
      </c>
      <c r="J1405" s="451" t="s">
        <v>30540</v>
      </c>
      <c r="K1405" s="451"/>
    </row>
    <row r="1406" spans="1:11">
      <c r="A1406" s="450" t="s">
        <v>3139</v>
      </c>
      <c r="B1406" s="450"/>
      <c r="C1406" s="450" t="s">
        <v>3140</v>
      </c>
      <c r="D1406" s="450" t="s">
        <v>3141</v>
      </c>
      <c r="E1406" s="450"/>
      <c r="F1406" s="450"/>
      <c r="G1406" s="450" t="s">
        <v>22882</v>
      </c>
      <c r="H1406" s="450" t="s">
        <v>22883</v>
      </c>
      <c r="I1406" s="450" t="s">
        <v>3141</v>
      </c>
      <c r="J1406" s="450" t="s">
        <v>30541</v>
      </c>
      <c r="K1406" s="450"/>
    </row>
    <row r="1407" spans="1:11">
      <c r="A1407" s="451" t="s">
        <v>3142</v>
      </c>
      <c r="B1407" s="451" t="s">
        <v>3143</v>
      </c>
      <c r="C1407" s="451" t="s">
        <v>3144</v>
      </c>
      <c r="D1407" s="451" t="s">
        <v>3145</v>
      </c>
      <c r="E1407" s="451"/>
      <c r="F1407" s="451"/>
      <c r="G1407" s="451" t="s">
        <v>22882</v>
      </c>
      <c r="H1407" s="451" t="s">
        <v>22883</v>
      </c>
      <c r="I1407" s="451"/>
      <c r="J1407" s="451" t="s">
        <v>23528</v>
      </c>
      <c r="K1407" s="451"/>
    </row>
    <row r="1408" spans="1:11">
      <c r="A1408" s="450" t="s">
        <v>3146</v>
      </c>
      <c r="B1408" s="450"/>
      <c r="C1408" s="450" t="s">
        <v>3147</v>
      </c>
      <c r="D1408" s="450"/>
      <c r="E1408" s="450"/>
      <c r="F1408" s="450"/>
      <c r="G1408" s="450" t="s">
        <v>22877</v>
      </c>
      <c r="H1408" s="450" t="s">
        <v>22878</v>
      </c>
      <c r="I1408" s="450" t="s">
        <v>23529</v>
      </c>
      <c r="J1408" s="450" t="s">
        <v>22997</v>
      </c>
      <c r="K1408" s="450"/>
    </row>
    <row r="1409" spans="1:11">
      <c r="A1409" s="451" t="s">
        <v>3148</v>
      </c>
      <c r="B1409" s="451" t="s">
        <v>33234</v>
      </c>
      <c r="C1409" s="451" t="s">
        <v>3150</v>
      </c>
      <c r="D1409" s="451" t="s">
        <v>3151</v>
      </c>
      <c r="E1409" s="451"/>
      <c r="F1409" s="451"/>
      <c r="G1409" s="451" t="s">
        <v>22877</v>
      </c>
      <c r="H1409" s="451" t="s">
        <v>22878</v>
      </c>
      <c r="I1409" s="451" t="s">
        <v>3151</v>
      </c>
      <c r="J1409" s="451" t="s">
        <v>33235</v>
      </c>
      <c r="K1409" s="451"/>
    </row>
    <row r="1410" spans="1:11">
      <c r="A1410" s="450" t="s">
        <v>3148</v>
      </c>
      <c r="B1410" s="450" t="s">
        <v>3149</v>
      </c>
      <c r="C1410" s="450" t="s">
        <v>3150</v>
      </c>
      <c r="D1410" s="450" t="s">
        <v>3151</v>
      </c>
      <c r="E1410" s="450" t="s">
        <v>3152</v>
      </c>
      <c r="F1410" s="450"/>
      <c r="G1410" s="450" t="s">
        <v>22877</v>
      </c>
      <c r="H1410" s="450" t="s">
        <v>22878</v>
      </c>
      <c r="I1410" s="450" t="s">
        <v>3151</v>
      </c>
      <c r="J1410" s="450" t="s">
        <v>30542</v>
      </c>
      <c r="K1410" s="450"/>
    </row>
    <row r="1411" spans="1:11">
      <c r="A1411" s="451" t="s">
        <v>3153</v>
      </c>
      <c r="B1411" s="451"/>
      <c r="C1411" s="451" t="s">
        <v>3154</v>
      </c>
      <c r="D1411" s="451"/>
      <c r="E1411" s="451"/>
      <c r="F1411" s="451"/>
      <c r="G1411" s="451" t="s">
        <v>22877</v>
      </c>
      <c r="H1411" s="451" t="s">
        <v>22878</v>
      </c>
      <c r="I1411" s="451" t="s">
        <v>33236</v>
      </c>
      <c r="J1411" s="451" t="s">
        <v>23185</v>
      </c>
      <c r="K1411" s="451"/>
    </row>
    <row r="1412" spans="1:11">
      <c r="A1412" s="450" t="s">
        <v>33237</v>
      </c>
      <c r="B1412" s="450"/>
      <c r="C1412" s="450" t="s">
        <v>3154</v>
      </c>
      <c r="D1412" s="450"/>
      <c r="E1412" s="450"/>
      <c r="F1412" s="450"/>
      <c r="G1412" s="450" t="s">
        <v>22877</v>
      </c>
      <c r="H1412" s="450" t="s">
        <v>22878</v>
      </c>
      <c r="I1412" s="450" t="s">
        <v>33238</v>
      </c>
      <c r="J1412" s="450" t="s">
        <v>22997</v>
      </c>
      <c r="K1412" s="450"/>
    </row>
    <row r="1413" spans="1:11">
      <c r="A1413" s="451" t="s">
        <v>33239</v>
      </c>
      <c r="B1413" s="451"/>
      <c r="C1413" s="451" t="s">
        <v>2029</v>
      </c>
      <c r="D1413" s="451"/>
      <c r="E1413" s="451"/>
      <c r="F1413" s="451"/>
      <c r="G1413" s="451" t="s">
        <v>22877</v>
      </c>
      <c r="H1413" s="451" t="s">
        <v>22878</v>
      </c>
      <c r="I1413" s="451" t="s">
        <v>33240</v>
      </c>
      <c r="J1413" s="451" t="s">
        <v>22942</v>
      </c>
      <c r="K1413" s="451"/>
    </row>
    <row r="1414" spans="1:11">
      <c r="A1414" s="450" t="s">
        <v>3155</v>
      </c>
      <c r="B1414" s="450"/>
      <c r="C1414" s="450" t="s">
        <v>2029</v>
      </c>
      <c r="D1414" s="450"/>
      <c r="E1414" s="450"/>
      <c r="F1414" s="450"/>
      <c r="G1414" s="450" t="s">
        <v>22877</v>
      </c>
      <c r="H1414" s="450" t="s">
        <v>22878</v>
      </c>
      <c r="I1414" s="450" t="s">
        <v>33241</v>
      </c>
      <c r="J1414" s="450" t="s">
        <v>22942</v>
      </c>
      <c r="K1414" s="450"/>
    </row>
    <row r="1415" spans="1:11">
      <c r="A1415" s="451" t="s">
        <v>3156</v>
      </c>
      <c r="B1415" s="451"/>
      <c r="C1415" s="451" t="s">
        <v>3157</v>
      </c>
      <c r="D1415" s="451"/>
      <c r="E1415" s="451"/>
      <c r="F1415" s="451"/>
      <c r="G1415" s="451" t="s">
        <v>22877</v>
      </c>
      <c r="H1415" s="451" t="s">
        <v>22878</v>
      </c>
      <c r="I1415" s="451" t="s">
        <v>33242</v>
      </c>
      <c r="J1415" s="451" t="s">
        <v>23185</v>
      </c>
      <c r="K1415" s="451"/>
    </row>
    <row r="1416" spans="1:11">
      <c r="A1416" s="450" t="s">
        <v>33243</v>
      </c>
      <c r="B1416" s="450"/>
      <c r="C1416" s="450" t="s">
        <v>3157</v>
      </c>
      <c r="D1416" s="450"/>
      <c r="E1416" s="450"/>
      <c r="F1416" s="450"/>
      <c r="G1416" s="450" t="s">
        <v>22877</v>
      </c>
      <c r="H1416" s="450" t="s">
        <v>22878</v>
      </c>
      <c r="I1416" s="450" t="s">
        <v>33244</v>
      </c>
      <c r="J1416" s="450" t="s">
        <v>23185</v>
      </c>
      <c r="K1416" s="450"/>
    </row>
    <row r="1417" spans="1:11">
      <c r="A1417" s="451" t="s">
        <v>3158</v>
      </c>
      <c r="B1417" s="451"/>
      <c r="C1417" s="451" t="s">
        <v>3159</v>
      </c>
      <c r="D1417" s="451"/>
      <c r="E1417" s="451"/>
      <c r="F1417" s="451"/>
      <c r="G1417" s="451" t="s">
        <v>22882</v>
      </c>
      <c r="H1417" s="451" t="s">
        <v>22883</v>
      </c>
      <c r="I1417" s="451"/>
      <c r="J1417" s="451" t="s">
        <v>22942</v>
      </c>
      <c r="K1417" s="451"/>
    </row>
    <row r="1418" spans="1:11">
      <c r="A1418" s="450" t="s">
        <v>3160</v>
      </c>
      <c r="B1418" s="450"/>
      <c r="C1418" s="450" t="s">
        <v>3124</v>
      </c>
      <c r="D1418" s="450"/>
      <c r="E1418" s="450"/>
      <c r="F1418" s="450"/>
      <c r="G1418" s="450" t="s">
        <v>22882</v>
      </c>
      <c r="H1418" s="450" t="s">
        <v>22883</v>
      </c>
      <c r="I1418" s="450"/>
      <c r="J1418" s="450" t="s">
        <v>23179</v>
      </c>
      <c r="K1418" s="450"/>
    </row>
    <row r="1419" spans="1:11">
      <c r="A1419" s="451" t="s">
        <v>3161</v>
      </c>
      <c r="B1419" s="451"/>
      <c r="C1419" s="451" t="s">
        <v>3162</v>
      </c>
      <c r="D1419" s="451"/>
      <c r="E1419" s="451"/>
      <c r="F1419" s="451"/>
      <c r="G1419" s="451" t="s">
        <v>22882</v>
      </c>
      <c r="H1419" s="451" t="s">
        <v>22883</v>
      </c>
      <c r="I1419" s="451"/>
      <c r="J1419" s="451" t="s">
        <v>23185</v>
      </c>
      <c r="K1419" s="451"/>
    </row>
    <row r="1420" spans="1:11">
      <c r="A1420" s="450" t="s">
        <v>33245</v>
      </c>
      <c r="B1420" s="450"/>
      <c r="C1420" s="450" t="s">
        <v>3159</v>
      </c>
      <c r="D1420" s="450"/>
      <c r="E1420" s="450"/>
      <c r="F1420" s="450"/>
      <c r="G1420" s="450" t="s">
        <v>22882</v>
      </c>
      <c r="H1420" s="450" t="s">
        <v>22883</v>
      </c>
      <c r="I1420" s="450"/>
      <c r="J1420" s="450" t="s">
        <v>22948</v>
      </c>
      <c r="K1420" s="450"/>
    </row>
    <row r="1421" spans="1:11">
      <c r="A1421" s="451" t="s">
        <v>33246</v>
      </c>
      <c r="B1421" s="451"/>
      <c r="C1421" s="451" t="s">
        <v>3124</v>
      </c>
      <c r="D1421" s="451"/>
      <c r="E1421" s="451"/>
      <c r="F1421" s="451"/>
      <c r="G1421" s="451" t="s">
        <v>22877</v>
      </c>
      <c r="H1421" s="451" t="s">
        <v>22878</v>
      </c>
      <c r="I1421" s="451" t="s">
        <v>33247</v>
      </c>
      <c r="J1421" s="451" t="s">
        <v>23185</v>
      </c>
      <c r="K1421" s="451"/>
    </row>
    <row r="1422" spans="1:11">
      <c r="A1422" s="450" t="s">
        <v>3163</v>
      </c>
      <c r="B1422" s="450"/>
      <c r="C1422" s="450" t="s">
        <v>3164</v>
      </c>
      <c r="D1422" s="450"/>
      <c r="E1422" s="450"/>
      <c r="F1422" s="450"/>
      <c r="G1422" s="450" t="s">
        <v>22882</v>
      </c>
      <c r="H1422" s="450" t="s">
        <v>22883</v>
      </c>
      <c r="I1422" s="450" t="s">
        <v>33248</v>
      </c>
      <c r="J1422" s="450" t="s">
        <v>22942</v>
      </c>
      <c r="K1422" s="450"/>
    </row>
    <row r="1423" spans="1:11">
      <c r="A1423" s="451" t="s">
        <v>22717</v>
      </c>
      <c r="B1423" s="451"/>
      <c r="C1423" s="451" t="s">
        <v>3164</v>
      </c>
      <c r="D1423" s="451"/>
      <c r="E1423" s="451"/>
      <c r="F1423" s="451"/>
      <c r="G1423" s="451" t="s">
        <v>22882</v>
      </c>
      <c r="H1423" s="451" t="s">
        <v>22883</v>
      </c>
      <c r="I1423" s="451"/>
      <c r="J1423" s="451" t="s">
        <v>22942</v>
      </c>
      <c r="K1423" s="451"/>
    </row>
    <row r="1424" spans="1:11">
      <c r="A1424" s="450" t="s">
        <v>22718</v>
      </c>
      <c r="B1424" s="450" t="s">
        <v>22719</v>
      </c>
      <c r="C1424" s="450" t="s">
        <v>3167</v>
      </c>
      <c r="D1424" s="450"/>
      <c r="E1424" s="450"/>
      <c r="F1424" s="450"/>
      <c r="G1424" s="450" t="s">
        <v>22877</v>
      </c>
      <c r="H1424" s="450" t="s">
        <v>22878</v>
      </c>
      <c r="I1424" s="450" t="s">
        <v>23530</v>
      </c>
      <c r="J1424" s="450" t="s">
        <v>23531</v>
      </c>
      <c r="K1424" s="450"/>
    </row>
    <row r="1425" spans="1:11">
      <c r="A1425" s="451" t="s">
        <v>3165</v>
      </c>
      <c r="B1425" s="451" t="s">
        <v>3166</v>
      </c>
      <c r="C1425" s="451" t="s">
        <v>3167</v>
      </c>
      <c r="D1425" s="451"/>
      <c r="E1425" s="451"/>
      <c r="F1425" s="451"/>
      <c r="G1425" s="451" t="s">
        <v>22877</v>
      </c>
      <c r="H1425" s="451" t="s">
        <v>22878</v>
      </c>
      <c r="I1425" s="451" t="s">
        <v>30543</v>
      </c>
      <c r="J1425" s="451" t="s">
        <v>30544</v>
      </c>
      <c r="K1425" s="451"/>
    </row>
    <row r="1426" spans="1:11">
      <c r="A1426" s="450" t="s">
        <v>3168</v>
      </c>
      <c r="B1426" s="450"/>
      <c r="C1426" s="450" t="s">
        <v>3169</v>
      </c>
      <c r="D1426" s="450"/>
      <c r="E1426" s="450"/>
      <c r="F1426" s="450"/>
      <c r="G1426" s="450" t="s">
        <v>22877</v>
      </c>
      <c r="H1426" s="450" t="s">
        <v>22878</v>
      </c>
      <c r="I1426" s="450" t="s">
        <v>33249</v>
      </c>
      <c r="J1426" s="450" t="s">
        <v>23185</v>
      </c>
      <c r="K1426" s="450"/>
    </row>
    <row r="1427" spans="1:11">
      <c r="A1427" s="451" t="s">
        <v>33250</v>
      </c>
      <c r="B1427" s="451"/>
      <c r="C1427" s="451" t="s">
        <v>3169</v>
      </c>
      <c r="D1427" s="451"/>
      <c r="E1427" s="451"/>
      <c r="F1427" s="451"/>
      <c r="G1427" s="451" t="s">
        <v>22877</v>
      </c>
      <c r="H1427" s="451" t="s">
        <v>22878</v>
      </c>
      <c r="I1427" s="451" t="s">
        <v>33251</v>
      </c>
      <c r="J1427" s="451" t="s">
        <v>22997</v>
      </c>
      <c r="K1427" s="451"/>
    </row>
    <row r="1428" spans="1:11">
      <c r="A1428" s="450" t="s">
        <v>33252</v>
      </c>
      <c r="B1428" s="450"/>
      <c r="C1428" s="450" t="s">
        <v>3171</v>
      </c>
      <c r="D1428" s="450"/>
      <c r="E1428" s="450"/>
      <c r="F1428" s="450"/>
      <c r="G1428" s="450" t="s">
        <v>22882</v>
      </c>
      <c r="H1428" s="450" t="s">
        <v>22883</v>
      </c>
      <c r="I1428" s="450"/>
      <c r="J1428" s="450" t="s">
        <v>22942</v>
      </c>
      <c r="K1428" s="450"/>
    </row>
    <row r="1429" spans="1:11">
      <c r="A1429" s="451" t="s">
        <v>3170</v>
      </c>
      <c r="B1429" s="451"/>
      <c r="C1429" s="451" t="s">
        <v>3171</v>
      </c>
      <c r="D1429" s="451"/>
      <c r="E1429" s="451"/>
      <c r="F1429" s="451"/>
      <c r="G1429" s="451" t="s">
        <v>22882</v>
      </c>
      <c r="H1429" s="451" t="s">
        <v>22883</v>
      </c>
      <c r="I1429" s="451" t="s">
        <v>33253</v>
      </c>
      <c r="J1429" s="451" t="s">
        <v>22942</v>
      </c>
      <c r="K1429" s="451"/>
    </row>
    <row r="1430" spans="1:11">
      <c r="A1430" s="450" t="s">
        <v>3172</v>
      </c>
      <c r="B1430" s="450"/>
      <c r="C1430" s="450" t="s">
        <v>3173</v>
      </c>
      <c r="D1430" s="450"/>
      <c r="E1430" s="450"/>
      <c r="F1430" s="450"/>
      <c r="G1430" s="450" t="s">
        <v>22877</v>
      </c>
      <c r="H1430" s="450" t="s">
        <v>22878</v>
      </c>
      <c r="I1430" s="450" t="s">
        <v>23532</v>
      </c>
      <c r="J1430" s="450" t="s">
        <v>22948</v>
      </c>
      <c r="K1430" s="450"/>
    </row>
    <row r="1431" spans="1:11">
      <c r="A1431" s="451" t="s">
        <v>22720</v>
      </c>
      <c r="B1431" s="451" t="s">
        <v>22721</v>
      </c>
      <c r="C1431" s="451" t="s">
        <v>22722</v>
      </c>
      <c r="D1431" s="451"/>
      <c r="E1431" s="451"/>
      <c r="F1431" s="451"/>
      <c r="G1431" s="451" t="s">
        <v>22877</v>
      </c>
      <c r="H1431" s="451" t="s">
        <v>22878</v>
      </c>
      <c r="I1431" s="451" t="s">
        <v>23533</v>
      </c>
      <c r="J1431" s="451" t="s">
        <v>23534</v>
      </c>
      <c r="K1431" s="451"/>
    </row>
    <row r="1432" spans="1:11">
      <c r="A1432" s="450" t="s">
        <v>3174</v>
      </c>
      <c r="B1432" s="450"/>
      <c r="C1432" s="450" t="s">
        <v>2954</v>
      </c>
      <c r="D1432" s="450"/>
      <c r="E1432" s="450"/>
      <c r="F1432" s="450"/>
      <c r="G1432" s="450" t="s">
        <v>22882</v>
      </c>
      <c r="H1432" s="450" t="s">
        <v>22883</v>
      </c>
      <c r="I1432" s="450"/>
      <c r="J1432" s="450" t="s">
        <v>22943</v>
      </c>
      <c r="K1432" s="450"/>
    </row>
    <row r="1433" spans="1:11">
      <c r="A1433" s="451" t="s">
        <v>21494</v>
      </c>
      <c r="B1433" s="451"/>
      <c r="C1433" s="451" t="s">
        <v>3175</v>
      </c>
      <c r="D1433" s="451"/>
      <c r="E1433" s="451"/>
      <c r="F1433" s="451"/>
      <c r="G1433" s="451" t="s">
        <v>22882</v>
      </c>
      <c r="H1433" s="451" t="s">
        <v>22883</v>
      </c>
      <c r="I1433" s="451"/>
      <c r="J1433" s="451" t="s">
        <v>22997</v>
      </c>
      <c r="K1433" s="451"/>
    </row>
    <row r="1434" spans="1:11">
      <c r="A1434" s="450" t="s">
        <v>33254</v>
      </c>
      <c r="B1434" s="450"/>
      <c r="C1434" s="450" t="s">
        <v>3177</v>
      </c>
      <c r="D1434" s="450"/>
      <c r="E1434" s="450"/>
      <c r="F1434" s="450"/>
      <c r="G1434" s="450" t="s">
        <v>22877</v>
      </c>
      <c r="H1434" s="450" t="s">
        <v>22878</v>
      </c>
      <c r="I1434" s="450" t="s">
        <v>33255</v>
      </c>
      <c r="J1434" s="450" t="s">
        <v>22997</v>
      </c>
      <c r="K1434" s="450"/>
    </row>
    <row r="1435" spans="1:11">
      <c r="A1435" s="451" t="s">
        <v>33256</v>
      </c>
      <c r="B1435" s="451"/>
      <c r="C1435" s="451" t="s">
        <v>3179</v>
      </c>
      <c r="D1435" s="451"/>
      <c r="E1435" s="451"/>
      <c r="F1435" s="451"/>
      <c r="G1435" s="451" t="s">
        <v>22877</v>
      </c>
      <c r="H1435" s="451" t="s">
        <v>22878</v>
      </c>
      <c r="I1435" s="451" t="s">
        <v>33257</v>
      </c>
      <c r="J1435" s="451" t="s">
        <v>22997</v>
      </c>
      <c r="K1435" s="451"/>
    </row>
    <row r="1436" spans="1:11">
      <c r="A1436" s="450" t="s">
        <v>3176</v>
      </c>
      <c r="B1436" s="450"/>
      <c r="C1436" s="450" t="s">
        <v>3177</v>
      </c>
      <c r="D1436" s="450"/>
      <c r="E1436" s="450"/>
      <c r="F1436" s="450"/>
      <c r="G1436" s="450" t="s">
        <v>22877</v>
      </c>
      <c r="H1436" s="450" t="s">
        <v>22878</v>
      </c>
      <c r="I1436" s="450" t="s">
        <v>33258</v>
      </c>
      <c r="J1436" s="450" t="s">
        <v>23185</v>
      </c>
      <c r="K1436" s="450"/>
    </row>
    <row r="1437" spans="1:11">
      <c r="A1437" s="451" t="s">
        <v>3178</v>
      </c>
      <c r="B1437" s="451"/>
      <c r="C1437" s="451" t="s">
        <v>3179</v>
      </c>
      <c r="D1437" s="451"/>
      <c r="E1437" s="451"/>
      <c r="F1437" s="451"/>
      <c r="G1437" s="451" t="s">
        <v>22877</v>
      </c>
      <c r="H1437" s="451" t="s">
        <v>22878</v>
      </c>
      <c r="I1437" s="451" t="s">
        <v>33259</v>
      </c>
      <c r="J1437" s="451" t="s">
        <v>23185</v>
      </c>
      <c r="K1437" s="451"/>
    </row>
    <row r="1438" spans="1:11">
      <c r="A1438" s="450" t="s">
        <v>3180</v>
      </c>
      <c r="B1438" s="450"/>
      <c r="C1438" s="450" t="s">
        <v>3181</v>
      </c>
      <c r="D1438" s="450"/>
      <c r="E1438" s="450"/>
      <c r="F1438" s="450"/>
      <c r="G1438" s="450" t="s">
        <v>22877</v>
      </c>
      <c r="H1438" s="450" t="s">
        <v>22878</v>
      </c>
      <c r="I1438" s="450" t="s">
        <v>23535</v>
      </c>
      <c r="J1438" s="450" t="s">
        <v>22942</v>
      </c>
      <c r="K1438" s="450"/>
    </row>
    <row r="1439" spans="1:11">
      <c r="A1439" s="451" t="s">
        <v>21495</v>
      </c>
      <c r="B1439" s="451" t="s">
        <v>3182</v>
      </c>
      <c r="C1439" s="451" t="s">
        <v>3183</v>
      </c>
      <c r="D1439" s="451" t="s">
        <v>3184</v>
      </c>
      <c r="E1439" s="451" t="s">
        <v>3185</v>
      </c>
      <c r="F1439" s="451"/>
      <c r="G1439" s="451" t="s">
        <v>22877</v>
      </c>
      <c r="H1439" s="451" t="s">
        <v>22878</v>
      </c>
      <c r="I1439" s="451" t="s">
        <v>3184</v>
      </c>
      <c r="J1439" s="451" t="s">
        <v>30545</v>
      </c>
      <c r="K1439" s="451"/>
    </row>
    <row r="1440" spans="1:11">
      <c r="A1440" s="450" t="s">
        <v>30546</v>
      </c>
      <c r="B1440" s="450" t="s">
        <v>22723</v>
      </c>
      <c r="C1440" s="450" t="s">
        <v>3183</v>
      </c>
      <c r="D1440" s="450" t="s">
        <v>3184</v>
      </c>
      <c r="E1440" s="450"/>
      <c r="F1440" s="450"/>
      <c r="G1440" s="450" t="s">
        <v>22877</v>
      </c>
      <c r="H1440" s="450" t="s">
        <v>22878</v>
      </c>
      <c r="I1440" s="450" t="s">
        <v>23389</v>
      </c>
      <c r="J1440" s="450" t="s">
        <v>23536</v>
      </c>
      <c r="K1440" s="450"/>
    </row>
    <row r="1441" spans="1:11">
      <c r="A1441" s="451" t="s">
        <v>3186</v>
      </c>
      <c r="B1441" s="451"/>
      <c r="C1441" s="451" t="s">
        <v>3187</v>
      </c>
      <c r="D1441" s="451"/>
      <c r="E1441" s="451"/>
      <c r="F1441" s="451"/>
      <c r="G1441" s="451" t="s">
        <v>22882</v>
      </c>
      <c r="H1441" s="451" t="s">
        <v>22883</v>
      </c>
      <c r="I1441" s="451"/>
      <c r="J1441" s="451" t="s">
        <v>23133</v>
      </c>
      <c r="K1441" s="451"/>
    </row>
    <row r="1442" spans="1:11">
      <c r="A1442" s="450" t="s">
        <v>33260</v>
      </c>
      <c r="B1442" s="450"/>
      <c r="C1442" s="450" t="s">
        <v>3189</v>
      </c>
      <c r="D1442" s="450"/>
      <c r="E1442" s="450"/>
      <c r="F1442" s="450"/>
      <c r="G1442" s="450" t="s">
        <v>22882</v>
      </c>
      <c r="H1442" s="450" t="s">
        <v>22883</v>
      </c>
      <c r="I1442" s="450"/>
      <c r="J1442" s="450" t="s">
        <v>22948</v>
      </c>
      <c r="K1442" s="450"/>
    </row>
    <row r="1443" spans="1:11">
      <c r="A1443" s="451" t="s">
        <v>33261</v>
      </c>
      <c r="B1443" s="451"/>
      <c r="C1443" s="451" t="s">
        <v>33262</v>
      </c>
      <c r="D1443" s="451"/>
      <c r="E1443" s="451"/>
      <c r="F1443" s="451"/>
      <c r="G1443" s="451" t="s">
        <v>22882</v>
      </c>
      <c r="H1443" s="451" t="s">
        <v>22883</v>
      </c>
      <c r="I1443" s="451"/>
      <c r="J1443" s="451" t="s">
        <v>22942</v>
      </c>
      <c r="K1443" s="451"/>
    </row>
    <row r="1444" spans="1:11">
      <c r="A1444" s="450" t="s">
        <v>3188</v>
      </c>
      <c r="B1444" s="450"/>
      <c r="C1444" s="450" t="s">
        <v>3189</v>
      </c>
      <c r="D1444" s="450"/>
      <c r="E1444" s="450"/>
      <c r="F1444" s="450"/>
      <c r="G1444" s="450" t="s">
        <v>22882</v>
      </c>
      <c r="H1444" s="450" t="s">
        <v>22883</v>
      </c>
      <c r="I1444" s="450" t="s">
        <v>30547</v>
      </c>
      <c r="J1444" s="450" t="s">
        <v>28871</v>
      </c>
      <c r="K1444" s="450"/>
    </row>
    <row r="1445" spans="1:11">
      <c r="A1445" s="451" t="s">
        <v>3190</v>
      </c>
      <c r="B1445" s="451"/>
      <c r="C1445" s="451" t="s">
        <v>3191</v>
      </c>
      <c r="D1445" s="451"/>
      <c r="E1445" s="451"/>
      <c r="F1445" s="451"/>
      <c r="G1445" s="451" t="s">
        <v>22882</v>
      </c>
      <c r="H1445" s="451" t="s">
        <v>22883</v>
      </c>
      <c r="I1445" s="451"/>
      <c r="J1445" s="451" t="s">
        <v>22942</v>
      </c>
      <c r="K1445" s="451"/>
    </row>
    <row r="1446" spans="1:11">
      <c r="A1446" s="450" t="s">
        <v>3192</v>
      </c>
      <c r="B1446" s="450" t="s">
        <v>30548</v>
      </c>
      <c r="C1446" s="450" t="s">
        <v>3194</v>
      </c>
      <c r="D1446" s="450" t="s">
        <v>3195</v>
      </c>
      <c r="E1446" s="450"/>
      <c r="F1446" s="450"/>
      <c r="G1446" s="450" t="s">
        <v>23537</v>
      </c>
      <c r="H1446" s="450" t="s">
        <v>22878</v>
      </c>
      <c r="I1446" s="450"/>
      <c r="J1446" s="450" t="s">
        <v>23538</v>
      </c>
      <c r="K1446" s="450"/>
    </row>
    <row r="1447" spans="1:11">
      <c r="A1447" s="451" t="s">
        <v>3192</v>
      </c>
      <c r="B1447" s="451" t="s">
        <v>30549</v>
      </c>
      <c r="C1447" s="451" t="s">
        <v>3194</v>
      </c>
      <c r="D1447" s="451" t="s">
        <v>3195</v>
      </c>
      <c r="E1447" s="451" t="s">
        <v>3196</v>
      </c>
      <c r="F1447" s="451"/>
      <c r="G1447" s="451" t="s">
        <v>22877</v>
      </c>
      <c r="H1447" s="451" t="s">
        <v>22878</v>
      </c>
      <c r="I1447" s="451" t="s">
        <v>3195</v>
      </c>
      <c r="J1447" s="451" t="s">
        <v>30550</v>
      </c>
      <c r="K1447" s="451"/>
    </row>
    <row r="1448" spans="1:11">
      <c r="A1448" s="450" t="s">
        <v>3197</v>
      </c>
      <c r="B1448" s="450" t="s">
        <v>3198</v>
      </c>
      <c r="C1448" s="450" t="s">
        <v>1213</v>
      </c>
      <c r="D1448" s="450"/>
      <c r="E1448" s="450"/>
      <c r="F1448" s="450"/>
      <c r="G1448" s="450" t="s">
        <v>22877</v>
      </c>
      <c r="H1448" s="450" t="s">
        <v>22878</v>
      </c>
      <c r="I1448" s="450" t="s">
        <v>23539</v>
      </c>
      <c r="J1448" s="450" t="s">
        <v>23540</v>
      </c>
      <c r="K1448" s="450"/>
    </row>
    <row r="1449" spans="1:11">
      <c r="A1449" s="451" t="s">
        <v>3199</v>
      </c>
      <c r="B1449" s="451" t="s">
        <v>33263</v>
      </c>
      <c r="C1449" s="451" t="s">
        <v>3201</v>
      </c>
      <c r="D1449" s="451" t="s">
        <v>3202</v>
      </c>
      <c r="E1449" s="451"/>
      <c r="F1449" s="451"/>
      <c r="G1449" s="451" t="s">
        <v>22877</v>
      </c>
      <c r="H1449" s="451" t="s">
        <v>22878</v>
      </c>
      <c r="I1449" s="451" t="s">
        <v>3202</v>
      </c>
      <c r="J1449" s="451" t="s">
        <v>33264</v>
      </c>
      <c r="K1449" s="451"/>
    </row>
    <row r="1450" spans="1:11">
      <c r="A1450" s="450" t="s">
        <v>3199</v>
      </c>
      <c r="B1450" s="450" t="s">
        <v>3200</v>
      </c>
      <c r="C1450" s="450" t="s">
        <v>3201</v>
      </c>
      <c r="D1450" s="450" t="s">
        <v>3202</v>
      </c>
      <c r="E1450" s="450" t="s">
        <v>3203</v>
      </c>
      <c r="F1450" s="450"/>
      <c r="G1450" s="450" t="s">
        <v>22877</v>
      </c>
      <c r="H1450" s="450" t="s">
        <v>22878</v>
      </c>
      <c r="I1450" s="450" t="s">
        <v>3202</v>
      </c>
      <c r="J1450" s="450" t="s">
        <v>30551</v>
      </c>
      <c r="K1450" s="450"/>
    </row>
    <row r="1451" spans="1:11">
      <c r="A1451" s="451" t="s">
        <v>3204</v>
      </c>
      <c r="B1451" s="451"/>
      <c r="C1451" s="451" t="s">
        <v>3205</v>
      </c>
      <c r="D1451" s="451"/>
      <c r="E1451" s="451"/>
      <c r="F1451" s="451"/>
      <c r="G1451" s="451" t="s">
        <v>22877</v>
      </c>
      <c r="H1451" s="451" t="s">
        <v>22878</v>
      </c>
      <c r="I1451" s="451" t="s">
        <v>23541</v>
      </c>
      <c r="J1451" s="451" t="s">
        <v>23185</v>
      </c>
      <c r="K1451" s="451"/>
    </row>
    <row r="1452" spans="1:11">
      <c r="A1452" s="450" t="s">
        <v>3206</v>
      </c>
      <c r="B1452" s="450" t="s">
        <v>3207</v>
      </c>
      <c r="C1452" s="450" t="s">
        <v>3208</v>
      </c>
      <c r="D1452" s="450" t="s">
        <v>3209</v>
      </c>
      <c r="E1452" s="450"/>
      <c r="F1452" s="450"/>
      <c r="G1452" s="450" t="s">
        <v>22877</v>
      </c>
      <c r="H1452" s="450" t="s">
        <v>22878</v>
      </c>
      <c r="I1452" s="450" t="s">
        <v>3209</v>
      </c>
      <c r="J1452" s="450" t="s">
        <v>23542</v>
      </c>
      <c r="K1452" s="450"/>
    </row>
    <row r="1453" spans="1:11">
      <c r="A1453" s="451" t="s">
        <v>3206</v>
      </c>
      <c r="B1453" s="451" t="s">
        <v>3207</v>
      </c>
      <c r="C1453" s="451" t="s">
        <v>3208</v>
      </c>
      <c r="D1453" s="451" t="s">
        <v>3209</v>
      </c>
      <c r="E1453" s="451" t="s">
        <v>3210</v>
      </c>
      <c r="F1453" s="451"/>
      <c r="G1453" s="451" t="s">
        <v>22877</v>
      </c>
      <c r="H1453" s="451" t="s">
        <v>22878</v>
      </c>
      <c r="I1453" s="451" t="s">
        <v>3209</v>
      </c>
      <c r="J1453" s="451" t="s">
        <v>23542</v>
      </c>
      <c r="K1453" s="451"/>
    </row>
    <row r="1454" spans="1:11">
      <c r="A1454" s="450" t="s">
        <v>3211</v>
      </c>
      <c r="B1454" s="450" t="s">
        <v>3212</v>
      </c>
      <c r="C1454" s="450" t="s">
        <v>3213</v>
      </c>
      <c r="D1454" s="450" t="s">
        <v>3214</v>
      </c>
      <c r="E1454" s="450"/>
      <c r="F1454" s="450"/>
      <c r="G1454" s="450" t="s">
        <v>22877</v>
      </c>
      <c r="H1454" s="450" t="s">
        <v>22878</v>
      </c>
      <c r="I1454" s="450" t="s">
        <v>3214</v>
      </c>
      <c r="J1454" s="450" t="s">
        <v>23543</v>
      </c>
      <c r="K1454" s="450"/>
    </row>
    <row r="1455" spans="1:11">
      <c r="A1455" s="451" t="s">
        <v>3211</v>
      </c>
      <c r="B1455" s="451" t="s">
        <v>3212</v>
      </c>
      <c r="C1455" s="451" t="s">
        <v>3213</v>
      </c>
      <c r="D1455" s="451" t="s">
        <v>3214</v>
      </c>
      <c r="E1455" s="451" t="s">
        <v>3215</v>
      </c>
      <c r="F1455" s="451"/>
      <c r="G1455" s="451" t="s">
        <v>22877</v>
      </c>
      <c r="H1455" s="451" t="s">
        <v>22878</v>
      </c>
      <c r="I1455" s="451" t="s">
        <v>3214</v>
      </c>
      <c r="J1455" s="451" t="s">
        <v>23543</v>
      </c>
      <c r="K1455" s="451"/>
    </row>
    <row r="1456" spans="1:11">
      <c r="A1456" s="450" t="s">
        <v>3216</v>
      </c>
      <c r="B1456" s="450" t="s">
        <v>33265</v>
      </c>
      <c r="C1456" s="450" t="s">
        <v>2143</v>
      </c>
      <c r="D1456" s="450" t="s">
        <v>3218</v>
      </c>
      <c r="E1456" s="450"/>
      <c r="F1456" s="450"/>
      <c r="G1456" s="450" t="s">
        <v>22877</v>
      </c>
      <c r="H1456" s="450" t="s">
        <v>22878</v>
      </c>
      <c r="I1456" s="450" t="s">
        <v>3218</v>
      </c>
      <c r="J1456" s="450" t="s">
        <v>33266</v>
      </c>
      <c r="K1456" s="450"/>
    </row>
    <row r="1457" spans="1:11">
      <c r="A1457" s="451" t="s">
        <v>3216</v>
      </c>
      <c r="B1457" s="451" t="s">
        <v>3217</v>
      </c>
      <c r="C1457" s="451" t="s">
        <v>2143</v>
      </c>
      <c r="D1457" s="451" t="s">
        <v>3218</v>
      </c>
      <c r="E1457" s="451" t="s">
        <v>3219</v>
      </c>
      <c r="F1457" s="451"/>
      <c r="G1457" s="451" t="s">
        <v>22877</v>
      </c>
      <c r="H1457" s="451" t="s">
        <v>22878</v>
      </c>
      <c r="I1457" s="451" t="s">
        <v>3218</v>
      </c>
      <c r="J1457" s="451" t="s">
        <v>30552</v>
      </c>
      <c r="K1457" s="451"/>
    </row>
    <row r="1458" spans="1:11">
      <c r="A1458" s="450" t="s">
        <v>3220</v>
      </c>
      <c r="B1458" s="450" t="s">
        <v>3221</v>
      </c>
      <c r="C1458" s="450" t="s">
        <v>3222</v>
      </c>
      <c r="D1458" s="450"/>
      <c r="E1458" s="450"/>
      <c r="F1458" s="450"/>
      <c r="G1458" s="450" t="s">
        <v>22877</v>
      </c>
      <c r="H1458" s="450" t="s">
        <v>22878</v>
      </c>
      <c r="I1458" s="450" t="s">
        <v>23544</v>
      </c>
      <c r="J1458" s="450" t="s">
        <v>23545</v>
      </c>
      <c r="K1458" s="450"/>
    </row>
    <row r="1459" spans="1:11">
      <c r="A1459" s="451" t="s">
        <v>3223</v>
      </c>
      <c r="B1459" s="451"/>
      <c r="C1459" s="451" t="s">
        <v>3224</v>
      </c>
      <c r="D1459" s="451"/>
      <c r="E1459" s="451"/>
      <c r="F1459" s="451"/>
      <c r="G1459" s="451" t="s">
        <v>22877</v>
      </c>
      <c r="H1459" s="451" t="s">
        <v>22878</v>
      </c>
      <c r="I1459" s="451" t="s">
        <v>33267</v>
      </c>
      <c r="J1459" s="451" t="s">
        <v>23185</v>
      </c>
      <c r="K1459" s="451"/>
    </row>
    <row r="1460" spans="1:11">
      <c r="A1460" s="450" t="s">
        <v>33268</v>
      </c>
      <c r="B1460" s="450"/>
      <c r="C1460" s="450" t="s">
        <v>33269</v>
      </c>
      <c r="D1460" s="450"/>
      <c r="E1460" s="450"/>
      <c r="F1460" s="450"/>
      <c r="G1460" s="450" t="s">
        <v>22877</v>
      </c>
      <c r="H1460" s="450" t="s">
        <v>22878</v>
      </c>
      <c r="I1460" s="450" t="s">
        <v>33267</v>
      </c>
      <c r="J1460" s="450" t="s">
        <v>23185</v>
      </c>
      <c r="K1460" s="450"/>
    </row>
    <row r="1461" spans="1:11">
      <c r="A1461" s="451" t="s">
        <v>33270</v>
      </c>
      <c r="B1461" s="451"/>
      <c r="C1461" s="451" t="s">
        <v>3226</v>
      </c>
      <c r="D1461" s="451"/>
      <c r="E1461" s="451"/>
      <c r="F1461" s="451"/>
      <c r="G1461" s="451" t="s">
        <v>22882</v>
      </c>
      <c r="H1461" s="451" t="s">
        <v>22883</v>
      </c>
      <c r="I1461" s="451"/>
      <c r="J1461" s="451" t="s">
        <v>22997</v>
      </c>
      <c r="K1461" s="451"/>
    </row>
    <row r="1462" spans="1:11">
      <c r="A1462" s="450" t="s">
        <v>3225</v>
      </c>
      <c r="B1462" s="450"/>
      <c r="C1462" s="450" t="s">
        <v>3226</v>
      </c>
      <c r="D1462" s="450"/>
      <c r="E1462" s="450"/>
      <c r="F1462" s="450"/>
      <c r="G1462" s="450" t="s">
        <v>22877</v>
      </c>
      <c r="H1462" s="450" t="s">
        <v>22878</v>
      </c>
      <c r="I1462" s="450" t="s">
        <v>33271</v>
      </c>
      <c r="J1462" s="450" t="s">
        <v>22939</v>
      </c>
      <c r="K1462" s="450"/>
    </row>
    <row r="1463" spans="1:11">
      <c r="A1463" s="451" t="s">
        <v>3227</v>
      </c>
      <c r="B1463" s="451"/>
      <c r="C1463" s="451" t="s">
        <v>3228</v>
      </c>
      <c r="D1463" s="451"/>
      <c r="E1463" s="451"/>
      <c r="F1463" s="451"/>
      <c r="G1463" s="451" t="s">
        <v>22877</v>
      </c>
      <c r="H1463" s="451" t="s">
        <v>22878</v>
      </c>
      <c r="I1463" s="451"/>
      <c r="J1463" s="451" t="s">
        <v>23185</v>
      </c>
      <c r="K1463" s="451"/>
    </row>
    <row r="1464" spans="1:11">
      <c r="A1464" s="450" t="s">
        <v>3229</v>
      </c>
      <c r="B1464" s="450"/>
      <c r="C1464" s="450" t="s">
        <v>3230</v>
      </c>
      <c r="D1464" s="450"/>
      <c r="E1464" s="450"/>
      <c r="F1464" s="450"/>
      <c r="G1464" s="450" t="s">
        <v>22882</v>
      </c>
      <c r="H1464" s="450" t="s">
        <v>22883</v>
      </c>
      <c r="I1464" s="450" t="s">
        <v>33272</v>
      </c>
      <c r="J1464" s="450" t="s">
        <v>23185</v>
      </c>
      <c r="K1464" s="450"/>
    </row>
    <row r="1465" spans="1:11">
      <c r="A1465" s="451" t="s">
        <v>33273</v>
      </c>
      <c r="B1465" s="451"/>
      <c r="C1465" s="451" t="s">
        <v>3230</v>
      </c>
      <c r="D1465" s="451"/>
      <c r="E1465" s="451"/>
      <c r="F1465" s="451"/>
      <c r="G1465" s="451" t="s">
        <v>22882</v>
      </c>
      <c r="H1465" s="451" t="s">
        <v>22883</v>
      </c>
      <c r="I1465" s="451" t="s">
        <v>33274</v>
      </c>
      <c r="J1465" s="451" t="s">
        <v>22997</v>
      </c>
      <c r="K1465" s="451"/>
    </row>
    <row r="1466" spans="1:11">
      <c r="A1466" s="450" t="s">
        <v>3231</v>
      </c>
      <c r="B1466" s="450"/>
      <c r="C1466" s="450" t="s">
        <v>3232</v>
      </c>
      <c r="D1466" s="450"/>
      <c r="E1466" s="450"/>
      <c r="F1466" s="450"/>
      <c r="G1466" s="450" t="s">
        <v>22877</v>
      </c>
      <c r="H1466" s="450" t="s">
        <v>22878</v>
      </c>
      <c r="I1466" s="450" t="s">
        <v>33275</v>
      </c>
      <c r="J1466" s="450" t="s">
        <v>22997</v>
      </c>
      <c r="K1466" s="450"/>
    </row>
    <row r="1467" spans="1:11">
      <c r="A1467" s="451" t="s">
        <v>3233</v>
      </c>
      <c r="B1467" s="451"/>
      <c r="C1467" s="451" t="s">
        <v>3234</v>
      </c>
      <c r="D1467" s="451"/>
      <c r="E1467" s="451"/>
      <c r="F1467" s="451"/>
      <c r="G1467" s="451" t="s">
        <v>22877</v>
      </c>
      <c r="H1467" s="451" t="s">
        <v>22878</v>
      </c>
      <c r="I1467" s="451" t="s">
        <v>23546</v>
      </c>
      <c r="J1467" s="451" t="s">
        <v>22997</v>
      </c>
      <c r="K1467" s="451"/>
    </row>
    <row r="1468" spans="1:11">
      <c r="A1468" s="450" t="s">
        <v>33276</v>
      </c>
      <c r="B1468" s="450" t="s">
        <v>3236</v>
      </c>
      <c r="C1468" s="450" t="s">
        <v>3237</v>
      </c>
      <c r="D1468" s="450" t="s">
        <v>3238</v>
      </c>
      <c r="E1468" s="450"/>
      <c r="F1468" s="450"/>
      <c r="G1468" s="450" t="s">
        <v>22877</v>
      </c>
      <c r="H1468" s="450" t="s">
        <v>22878</v>
      </c>
      <c r="I1468" s="450" t="s">
        <v>3238</v>
      </c>
      <c r="J1468" s="450" t="s">
        <v>33277</v>
      </c>
      <c r="K1468" s="450"/>
    </row>
    <row r="1469" spans="1:11">
      <c r="A1469" s="451" t="s">
        <v>3235</v>
      </c>
      <c r="B1469" s="451" t="s">
        <v>3236</v>
      </c>
      <c r="C1469" s="451" t="s">
        <v>3237</v>
      </c>
      <c r="D1469" s="451" t="s">
        <v>3238</v>
      </c>
      <c r="E1469" s="451" t="s">
        <v>3239</v>
      </c>
      <c r="F1469" s="451"/>
      <c r="G1469" s="451" t="s">
        <v>22877</v>
      </c>
      <c r="H1469" s="451" t="s">
        <v>22878</v>
      </c>
      <c r="I1469" s="451" t="s">
        <v>3238</v>
      </c>
      <c r="J1469" s="451" t="s">
        <v>30553</v>
      </c>
      <c r="K1469" s="451"/>
    </row>
    <row r="1470" spans="1:11">
      <c r="A1470" s="450" t="s">
        <v>3240</v>
      </c>
      <c r="B1470" s="450"/>
      <c r="C1470" s="450" t="s">
        <v>3241</v>
      </c>
      <c r="D1470" s="450"/>
      <c r="E1470" s="450"/>
      <c r="F1470" s="450"/>
      <c r="G1470" s="450" t="s">
        <v>22882</v>
      </c>
      <c r="H1470" s="450" t="s">
        <v>22883</v>
      </c>
      <c r="I1470" s="450"/>
      <c r="J1470" s="450" t="s">
        <v>22942</v>
      </c>
      <c r="K1470" s="450"/>
    </row>
    <row r="1471" spans="1:11">
      <c r="A1471" s="451" t="s">
        <v>3242</v>
      </c>
      <c r="B1471" s="451"/>
      <c r="C1471" s="451" t="s">
        <v>3243</v>
      </c>
      <c r="D1471" s="451"/>
      <c r="E1471" s="451"/>
      <c r="F1471" s="451"/>
      <c r="G1471" s="451" t="s">
        <v>22882</v>
      </c>
      <c r="H1471" s="451" t="s">
        <v>22883</v>
      </c>
      <c r="I1471" s="451" t="s">
        <v>33278</v>
      </c>
      <c r="J1471" s="451" t="s">
        <v>22997</v>
      </c>
      <c r="K1471" s="451"/>
    </row>
    <row r="1472" spans="1:11">
      <c r="A1472" s="450" t="s">
        <v>3244</v>
      </c>
      <c r="B1472" s="450"/>
      <c r="C1472" s="450" t="s">
        <v>3245</v>
      </c>
      <c r="D1472" s="450"/>
      <c r="E1472" s="450"/>
      <c r="F1472" s="450"/>
      <c r="G1472" s="450" t="s">
        <v>22882</v>
      </c>
      <c r="H1472" s="450" t="s">
        <v>22883</v>
      </c>
      <c r="I1472" s="450"/>
      <c r="J1472" s="450" t="s">
        <v>22942</v>
      </c>
      <c r="K1472" s="450"/>
    </row>
    <row r="1473" spans="1:11">
      <c r="A1473" s="451" t="s">
        <v>3246</v>
      </c>
      <c r="B1473" s="451" t="s">
        <v>3247</v>
      </c>
      <c r="C1473" s="451" t="s">
        <v>3248</v>
      </c>
      <c r="D1473" s="451" t="s">
        <v>3249</v>
      </c>
      <c r="E1473" s="451"/>
      <c r="F1473" s="451"/>
      <c r="G1473" s="451" t="s">
        <v>22877</v>
      </c>
      <c r="H1473" s="451" t="s">
        <v>22878</v>
      </c>
      <c r="I1473" s="451" t="s">
        <v>33279</v>
      </c>
      <c r="J1473" s="451" t="s">
        <v>33280</v>
      </c>
      <c r="K1473" s="451"/>
    </row>
    <row r="1474" spans="1:11">
      <c r="A1474" s="450" t="s">
        <v>3246</v>
      </c>
      <c r="B1474" s="450" t="s">
        <v>3247</v>
      </c>
      <c r="C1474" s="450" t="s">
        <v>3248</v>
      </c>
      <c r="D1474" s="450" t="s">
        <v>3249</v>
      </c>
      <c r="E1474" s="450" t="s">
        <v>3250</v>
      </c>
      <c r="F1474" s="450"/>
      <c r="G1474" s="450" t="s">
        <v>22877</v>
      </c>
      <c r="H1474" s="450" t="s">
        <v>22878</v>
      </c>
      <c r="I1474" s="450" t="s">
        <v>3249</v>
      </c>
      <c r="J1474" s="450" t="s">
        <v>30554</v>
      </c>
      <c r="K1474" s="450"/>
    </row>
    <row r="1475" spans="1:11">
      <c r="A1475" s="451" t="s">
        <v>33281</v>
      </c>
      <c r="B1475" s="451"/>
      <c r="C1475" s="451" t="s">
        <v>3252</v>
      </c>
      <c r="D1475" s="451"/>
      <c r="E1475" s="451"/>
      <c r="F1475" s="451"/>
      <c r="G1475" s="451" t="s">
        <v>22877</v>
      </c>
      <c r="H1475" s="451" t="s">
        <v>22878</v>
      </c>
      <c r="I1475" s="451" t="s">
        <v>23547</v>
      </c>
      <c r="J1475" s="451" t="s">
        <v>22942</v>
      </c>
      <c r="K1475" s="451"/>
    </row>
    <row r="1476" spans="1:11">
      <c r="A1476" s="450" t="s">
        <v>3251</v>
      </c>
      <c r="B1476" s="450"/>
      <c r="C1476" s="450" t="s">
        <v>3252</v>
      </c>
      <c r="D1476" s="450"/>
      <c r="E1476" s="450"/>
      <c r="F1476" s="450"/>
      <c r="G1476" s="450" t="s">
        <v>22877</v>
      </c>
      <c r="H1476" s="450" t="s">
        <v>22878</v>
      </c>
      <c r="I1476" s="450" t="s">
        <v>23547</v>
      </c>
      <c r="J1476" s="450" t="s">
        <v>22997</v>
      </c>
      <c r="K1476" s="450"/>
    </row>
    <row r="1477" spans="1:11">
      <c r="A1477" s="451" t="s">
        <v>33282</v>
      </c>
      <c r="B1477" s="451" t="s">
        <v>20524</v>
      </c>
      <c r="C1477" s="451" t="s">
        <v>20525</v>
      </c>
      <c r="D1477" s="451" t="s">
        <v>20526</v>
      </c>
      <c r="E1477" s="451"/>
      <c r="F1477" s="451"/>
      <c r="G1477" s="451" t="s">
        <v>22877</v>
      </c>
      <c r="H1477" s="451" t="s">
        <v>22878</v>
      </c>
      <c r="I1477" s="451" t="s">
        <v>20526</v>
      </c>
      <c r="J1477" s="451" t="s">
        <v>33283</v>
      </c>
      <c r="K1477" s="451"/>
    </row>
    <row r="1478" spans="1:11">
      <c r="A1478" s="450" t="s">
        <v>20523</v>
      </c>
      <c r="B1478" s="450" t="s">
        <v>20524</v>
      </c>
      <c r="C1478" s="450" t="s">
        <v>20525</v>
      </c>
      <c r="D1478" s="450" t="s">
        <v>20526</v>
      </c>
      <c r="E1478" s="450"/>
      <c r="F1478" s="450"/>
      <c r="G1478" s="450" t="s">
        <v>22877</v>
      </c>
      <c r="H1478" s="450" t="s">
        <v>22878</v>
      </c>
      <c r="I1478" s="450" t="s">
        <v>20526</v>
      </c>
      <c r="J1478" s="450" t="s">
        <v>30555</v>
      </c>
      <c r="K1478" s="450"/>
    </row>
    <row r="1479" spans="1:11">
      <c r="A1479" s="451" t="s">
        <v>3253</v>
      </c>
      <c r="B1479" s="451" t="s">
        <v>3254</v>
      </c>
      <c r="C1479" s="451" t="s">
        <v>3255</v>
      </c>
      <c r="D1479" s="451" t="s">
        <v>3256</v>
      </c>
      <c r="E1479" s="451"/>
      <c r="F1479" s="451"/>
      <c r="G1479" s="451" t="s">
        <v>22882</v>
      </c>
      <c r="H1479" s="451" t="s">
        <v>22883</v>
      </c>
      <c r="I1479" s="451"/>
      <c r="J1479" s="451" t="s">
        <v>23548</v>
      </c>
      <c r="K1479" s="451"/>
    </row>
    <row r="1480" spans="1:11">
      <c r="A1480" s="450" t="s">
        <v>33284</v>
      </c>
      <c r="B1480" s="450"/>
      <c r="C1480" s="450" t="s">
        <v>3258</v>
      </c>
      <c r="D1480" s="450"/>
      <c r="E1480" s="450"/>
      <c r="F1480" s="450"/>
      <c r="G1480" s="450" t="s">
        <v>22877</v>
      </c>
      <c r="H1480" s="450" t="s">
        <v>22878</v>
      </c>
      <c r="I1480" s="450" t="s">
        <v>23549</v>
      </c>
      <c r="J1480" s="450" t="s">
        <v>23185</v>
      </c>
      <c r="K1480" s="450"/>
    </row>
    <row r="1481" spans="1:11">
      <c r="A1481" s="451" t="s">
        <v>3257</v>
      </c>
      <c r="B1481" s="451"/>
      <c r="C1481" s="451" t="s">
        <v>3258</v>
      </c>
      <c r="D1481" s="451"/>
      <c r="E1481" s="451"/>
      <c r="F1481" s="451"/>
      <c r="G1481" s="451" t="s">
        <v>22877</v>
      </c>
      <c r="H1481" s="451" t="s">
        <v>22878</v>
      </c>
      <c r="I1481" s="451" t="s">
        <v>23549</v>
      </c>
      <c r="J1481" s="451" t="s">
        <v>23185</v>
      </c>
      <c r="K1481" s="451"/>
    </row>
    <row r="1482" spans="1:11">
      <c r="A1482" s="450" t="s">
        <v>22724</v>
      </c>
      <c r="B1482" s="450" t="s">
        <v>3262</v>
      </c>
      <c r="C1482" s="450" t="s">
        <v>2842</v>
      </c>
      <c r="D1482" s="450" t="s">
        <v>3263</v>
      </c>
      <c r="E1482" s="450"/>
      <c r="F1482" s="450"/>
      <c r="G1482" s="450" t="s">
        <v>22877</v>
      </c>
      <c r="H1482" s="450" t="s">
        <v>22878</v>
      </c>
      <c r="I1482" s="450" t="s">
        <v>3263</v>
      </c>
      <c r="J1482" s="450" t="s">
        <v>23550</v>
      </c>
      <c r="K1482" s="450"/>
    </row>
    <row r="1483" spans="1:11">
      <c r="A1483" s="451" t="s">
        <v>3259</v>
      </c>
      <c r="B1483" s="451"/>
      <c r="C1483" s="451" t="s">
        <v>3260</v>
      </c>
      <c r="D1483" s="451"/>
      <c r="E1483" s="451"/>
      <c r="F1483" s="451"/>
      <c r="G1483" s="451" t="s">
        <v>22882</v>
      </c>
      <c r="H1483" s="451" t="s">
        <v>22883</v>
      </c>
      <c r="I1483" s="451" t="s">
        <v>23551</v>
      </c>
      <c r="J1483" s="451" t="s">
        <v>22997</v>
      </c>
      <c r="K1483" s="451"/>
    </row>
    <row r="1484" spans="1:11">
      <c r="A1484" s="450" t="s">
        <v>3261</v>
      </c>
      <c r="B1484" s="450" t="s">
        <v>3262</v>
      </c>
      <c r="C1484" s="450" t="s">
        <v>2842</v>
      </c>
      <c r="D1484" s="450" t="s">
        <v>3263</v>
      </c>
      <c r="E1484" s="450"/>
      <c r="F1484" s="450"/>
      <c r="G1484" s="450" t="s">
        <v>22877</v>
      </c>
      <c r="H1484" s="450" t="s">
        <v>22878</v>
      </c>
      <c r="I1484" s="450" t="s">
        <v>3263</v>
      </c>
      <c r="J1484" s="450" t="s">
        <v>30556</v>
      </c>
      <c r="K1484" s="450"/>
    </row>
    <row r="1485" spans="1:11">
      <c r="A1485" s="451" t="s">
        <v>3264</v>
      </c>
      <c r="B1485" s="451" t="s">
        <v>3265</v>
      </c>
      <c r="C1485" s="451" t="s">
        <v>3266</v>
      </c>
      <c r="D1485" s="451"/>
      <c r="E1485" s="451"/>
      <c r="F1485" s="451"/>
      <c r="G1485" s="451" t="s">
        <v>22882</v>
      </c>
      <c r="H1485" s="451" t="s">
        <v>22883</v>
      </c>
      <c r="I1485" s="451"/>
      <c r="J1485" s="451" t="s">
        <v>23552</v>
      </c>
      <c r="K1485" s="451"/>
    </row>
    <row r="1486" spans="1:11">
      <c r="A1486" s="450" t="s">
        <v>33285</v>
      </c>
      <c r="B1486" s="450"/>
      <c r="C1486" s="450" t="s">
        <v>3268</v>
      </c>
      <c r="D1486" s="450"/>
      <c r="E1486" s="450"/>
      <c r="F1486" s="450"/>
      <c r="G1486" s="450" t="s">
        <v>22877</v>
      </c>
      <c r="H1486" s="450" t="s">
        <v>22878</v>
      </c>
      <c r="I1486" s="450" t="s">
        <v>23553</v>
      </c>
      <c r="J1486" s="450" t="s">
        <v>22942</v>
      </c>
      <c r="K1486" s="450"/>
    </row>
    <row r="1487" spans="1:11">
      <c r="A1487" s="451" t="s">
        <v>3267</v>
      </c>
      <c r="B1487" s="451"/>
      <c r="C1487" s="451" t="s">
        <v>3268</v>
      </c>
      <c r="D1487" s="451"/>
      <c r="E1487" s="451"/>
      <c r="F1487" s="451"/>
      <c r="G1487" s="451" t="s">
        <v>22877</v>
      </c>
      <c r="H1487" s="451" t="s">
        <v>22878</v>
      </c>
      <c r="I1487" s="451" t="s">
        <v>23553</v>
      </c>
      <c r="J1487" s="451" t="s">
        <v>28403</v>
      </c>
      <c r="K1487" s="451"/>
    </row>
    <row r="1488" spans="1:11">
      <c r="A1488" s="450" t="s">
        <v>3269</v>
      </c>
      <c r="B1488" s="450" t="s">
        <v>3270</v>
      </c>
      <c r="C1488" s="450" t="s">
        <v>3271</v>
      </c>
      <c r="D1488" s="450"/>
      <c r="E1488" s="450"/>
      <c r="F1488" s="450"/>
      <c r="G1488" s="450" t="s">
        <v>22877</v>
      </c>
      <c r="H1488" s="450" t="s">
        <v>22878</v>
      </c>
      <c r="I1488" s="450" t="s">
        <v>23554</v>
      </c>
      <c r="J1488" s="450" t="s">
        <v>33286</v>
      </c>
      <c r="K1488" s="450"/>
    </row>
    <row r="1489" spans="1:11">
      <c r="A1489" s="451" t="s">
        <v>22725</v>
      </c>
      <c r="B1489" s="451" t="s">
        <v>3270</v>
      </c>
      <c r="C1489" s="451" t="s">
        <v>3271</v>
      </c>
      <c r="D1489" s="451"/>
      <c r="E1489" s="451"/>
      <c r="F1489" s="451"/>
      <c r="G1489" s="451" t="s">
        <v>22877</v>
      </c>
      <c r="H1489" s="451" t="s">
        <v>22878</v>
      </c>
      <c r="I1489" s="451" t="s">
        <v>23554</v>
      </c>
      <c r="J1489" s="451" t="s">
        <v>23555</v>
      </c>
      <c r="K1489" s="451"/>
    </row>
    <row r="1490" spans="1:11">
      <c r="A1490" s="450" t="s">
        <v>33287</v>
      </c>
      <c r="B1490" s="450"/>
      <c r="C1490" s="450" t="s">
        <v>3273</v>
      </c>
      <c r="D1490" s="450"/>
      <c r="E1490" s="450"/>
      <c r="F1490" s="450"/>
      <c r="G1490" s="450" t="s">
        <v>22882</v>
      </c>
      <c r="H1490" s="450" t="s">
        <v>22883</v>
      </c>
      <c r="I1490" s="450" t="s">
        <v>33288</v>
      </c>
      <c r="J1490" s="450" t="s">
        <v>22942</v>
      </c>
      <c r="K1490" s="450"/>
    </row>
    <row r="1491" spans="1:11">
      <c r="A1491" s="451" t="s">
        <v>3272</v>
      </c>
      <c r="B1491" s="451"/>
      <c r="C1491" s="451" t="s">
        <v>3273</v>
      </c>
      <c r="D1491" s="451"/>
      <c r="E1491" s="451"/>
      <c r="F1491" s="451"/>
      <c r="G1491" s="451" t="s">
        <v>22882</v>
      </c>
      <c r="H1491" s="451" t="s">
        <v>22883</v>
      </c>
      <c r="I1491" s="451" t="s">
        <v>33288</v>
      </c>
      <c r="J1491" s="451" t="s">
        <v>23185</v>
      </c>
      <c r="K1491" s="451"/>
    </row>
    <row r="1492" spans="1:11">
      <c r="A1492" s="450" t="s">
        <v>3274</v>
      </c>
      <c r="B1492" s="450"/>
      <c r="C1492" s="450" t="s">
        <v>3275</v>
      </c>
      <c r="D1492" s="450"/>
      <c r="E1492" s="450"/>
      <c r="F1492" s="450"/>
      <c r="G1492" s="450" t="s">
        <v>22882</v>
      </c>
      <c r="H1492" s="450" t="s">
        <v>22883</v>
      </c>
      <c r="I1492" s="450"/>
      <c r="J1492" s="450" t="s">
        <v>23185</v>
      </c>
      <c r="K1492" s="450"/>
    </row>
    <row r="1493" spans="1:11">
      <c r="A1493" s="451" t="s">
        <v>33289</v>
      </c>
      <c r="B1493" s="451"/>
      <c r="C1493" s="451" t="s">
        <v>3277</v>
      </c>
      <c r="D1493" s="451"/>
      <c r="E1493" s="451"/>
      <c r="F1493" s="451"/>
      <c r="G1493" s="451" t="s">
        <v>22877</v>
      </c>
      <c r="H1493" s="451" t="s">
        <v>22878</v>
      </c>
      <c r="I1493" s="451" t="s">
        <v>33290</v>
      </c>
      <c r="J1493" s="451" t="s">
        <v>22942</v>
      </c>
      <c r="K1493" s="451"/>
    </row>
    <row r="1494" spans="1:11">
      <c r="A1494" s="450" t="s">
        <v>3276</v>
      </c>
      <c r="B1494" s="450"/>
      <c r="C1494" s="450" t="s">
        <v>3277</v>
      </c>
      <c r="D1494" s="450"/>
      <c r="E1494" s="450"/>
      <c r="F1494" s="450"/>
      <c r="G1494" s="450" t="s">
        <v>22877</v>
      </c>
      <c r="H1494" s="450" t="s">
        <v>22878</v>
      </c>
      <c r="I1494" s="450" t="s">
        <v>33291</v>
      </c>
      <c r="J1494" s="450" t="s">
        <v>22997</v>
      </c>
      <c r="K1494" s="450"/>
    </row>
    <row r="1495" spans="1:11">
      <c r="A1495" s="451" t="s">
        <v>3278</v>
      </c>
      <c r="B1495" s="451"/>
      <c r="C1495" s="451" t="s">
        <v>3279</v>
      </c>
      <c r="D1495" s="451"/>
      <c r="E1495" s="451"/>
      <c r="F1495" s="451"/>
      <c r="G1495" s="451" t="s">
        <v>22882</v>
      </c>
      <c r="H1495" s="451" t="s">
        <v>22883</v>
      </c>
      <c r="I1495" s="451"/>
      <c r="J1495" s="451" t="s">
        <v>22942</v>
      </c>
      <c r="K1495" s="451"/>
    </row>
    <row r="1496" spans="1:11">
      <c r="A1496" s="450" t="s">
        <v>33292</v>
      </c>
      <c r="B1496" s="450"/>
      <c r="C1496" s="450" t="s">
        <v>3279</v>
      </c>
      <c r="D1496" s="450"/>
      <c r="E1496" s="450"/>
      <c r="F1496" s="450"/>
      <c r="G1496" s="450" t="s">
        <v>22877</v>
      </c>
      <c r="H1496" s="450" t="s">
        <v>22878</v>
      </c>
      <c r="I1496" s="450" t="s">
        <v>33293</v>
      </c>
      <c r="J1496" s="450" t="s">
        <v>22942</v>
      </c>
      <c r="K1496" s="450"/>
    </row>
    <row r="1497" spans="1:11">
      <c r="A1497" s="451" t="s">
        <v>33294</v>
      </c>
      <c r="B1497" s="451"/>
      <c r="C1497" s="451" t="s">
        <v>3281</v>
      </c>
      <c r="D1497" s="451"/>
      <c r="E1497" s="451"/>
      <c r="F1497" s="451"/>
      <c r="G1497" s="451" t="s">
        <v>22877</v>
      </c>
      <c r="H1497" s="451" t="s">
        <v>22878</v>
      </c>
      <c r="I1497" s="451" t="s">
        <v>23556</v>
      </c>
      <c r="J1497" s="451" t="s">
        <v>23185</v>
      </c>
      <c r="K1497" s="451"/>
    </row>
    <row r="1498" spans="1:11">
      <c r="A1498" s="450" t="s">
        <v>3280</v>
      </c>
      <c r="B1498" s="450"/>
      <c r="C1498" s="450" t="s">
        <v>3281</v>
      </c>
      <c r="D1498" s="450"/>
      <c r="E1498" s="450"/>
      <c r="F1498" s="450"/>
      <c r="G1498" s="450" t="s">
        <v>22877</v>
      </c>
      <c r="H1498" s="450" t="s">
        <v>22878</v>
      </c>
      <c r="I1498" s="450" t="s">
        <v>23556</v>
      </c>
      <c r="J1498" s="450" t="s">
        <v>23185</v>
      </c>
      <c r="K1498" s="450"/>
    </row>
    <row r="1499" spans="1:11">
      <c r="A1499" s="451" t="s">
        <v>3282</v>
      </c>
      <c r="B1499" s="451"/>
      <c r="C1499" s="451" t="s">
        <v>3283</v>
      </c>
      <c r="D1499" s="451"/>
      <c r="E1499" s="451"/>
      <c r="F1499" s="451"/>
      <c r="G1499" s="451" t="s">
        <v>22882</v>
      </c>
      <c r="H1499" s="451" t="s">
        <v>22883</v>
      </c>
      <c r="I1499" s="451"/>
      <c r="J1499" s="451" t="s">
        <v>23185</v>
      </c>
      <c r="K1499" s="451"/>
    </row>
    <row r="1500" spans="1:11">
      <c r="A1500" s="450" t="s">
        <v>3284</v>
      </c>
      <c r="B1500" s="450" t="s">
        <v>3285</v>
      </c>
      <c r="C1500" s="450" t="s">
        <v>3286</v>
      </c>
      <c r="D1500" s="450"/>
      <c r="E1500" s="450"/>
      <c r="F1500" s="450"/>
      <c r="G1500" s="450" t="s">
        <v>22882</v>
      </c>
      <c r="H1500" s="450" t="s">
        <v>22883</v>
      </c>
      <c r="I1500" s="450"/>
      <c r="J1500" s="450" t="s">
        <v>23557</v>
      </c>
      <c r="K1500" s="450"/>
    </row>
    <row r="1501" spans="1:11">
      <c r="A1501" s="451" t="s">
        <v>22726</v>
      </c>
      <c r="B1501" s="451" t="s">
        <v>22727</v>
      </c>
      <c r="C1501" s="451" t="s">
        <v>22728</v>
      </c>
      <c r="D1501" s="451"/>
      <c r="E1501" s="451"/>
      <c r="F1501" s="451"/>
      <c r="G1501" s="451" t="s">
        <v>22877</v>
      </c>
      <c r="H1501" s="451" t="s">
        <v>22878</v>
      </c>
      <c r="I1501" s="451" t="s">
        <v>23558</v>
      </c>
      <c r="J1501" s="451" t="s">
        <v>23559</v>
      </c>
      <c r="K1501" s="451"/>
    </row>
    <row r="1502" spans="1:11">
      <c r="A1502" s="450" t="s">
        <v>3287</v>
      </c>
      <c r="B1502" s="450" t="s">
        <v>3288</v>
      </c>
      <c r="C1502" s="450" t="s">
        <v>3289</v>
      </c>
      <c r="D1502" s="450" t="s">
        <v>3290</v>
      </c>
      <c r="E1502" s="450"/>
      <c r="F1502" s="450"/>
      <c r="G1502" s="450" t="s">
        <v>22877</v>
      </c>
      <c r="H1502" s="450" t="s">
        <v>22878</v>
      </c>
      <c r="I1502" s="450" t="s">
        <v>23560</v>
      </c>
      <c r="J1502" s="450" t="s">
        <v>23561</v>
      </c>
      <c r="K1502" s="450"/>
    </row>
    <row r="1503" spans="1:11">
      <c r="A1503" s="451" t="s">
        <v>33295</v>
      </c>
      <c r="B1503" s="451" t="s">
        <v>33296</v>
      </c>
      <c r="C1503" s="451" t="s">
        <v>3293</v>
      </c>
      <c r="D1503" s="451" t="s">
        <v>3294</v>
      </c>
      <c r="E1503" s="451"/>
      <c r="F1503" s="451"/>
      <c r="G1503" s="451" t="s">
        <v>22877</v>
      </c>
      <c r="H1503" s="451" t="s">
        <v>22878</v>
      </c>
      <c r="I1503" s="451" t="s">
        <v>3294</v>
      </c>
      <c r="J1503" s="451" t="s">
        <v>33297</v>
      </c>
      <c r="K1503" s="451"/>
    </row>
    <row r="1504" spans="1:11">
      <c r="A1504" s="450" t="s">
        <v>3291</v>
      </c>
      <c r="B1504" s="450" t="s">
        <v>3292</v>
      </c>
      <c r="C1504" s="450" t="s">
        <v>3293</v>
      </c>
      <c r="D1504" s="450" t="s">
        <v>3294</v>
      </c>
      <c r="E1504" s="450" t="s">
        <v>3295</v>
      </c>
      <c r="F1504" s="450"/>
      <c r="G1504" s="450" t="s">
        <v>22877</v>
      </c>
      <c r="H1504" s="450" t="s">
        <v>22878</v>
      </c>
      <c r="I1504" s="450" t="s">
        <v>3294</v>
      </c>
      <c r="J1504" s="450" t="s">
        <v>30557</v>
      </c>
      <c r="K1504" s="450"/>
    </row>
    <row r="1505" spans="1:11">
      <c r="A1505" s="451" t="s">
        <v>33298</v>
      </c>
      <c r="B1505" s="451" t="s">
        <v>3297</v>
      </c>
      <c r="C1505" s="451" t="s">
        <v>3298</v>
      </c>
      <c r="D1505" s="451" t="s">
        <v>3299</v>
      </c>
      <c r="E1505" s="451"/>
      <c r="F1505" s="451"/>
      <c r="G1505" s="451" t="s">
        <v>22882</v>
      </c>
      <c r="H1505" s="451" t="s">
        <v>22883</v>
      </c>
      <c r="I1505" s="451" t="s">
        <v>33299</v>
      </c>
      <c r="J1505" s="451" t="s">
        <v>33300</v>
      </c>
      <c r="K1505" s="451"/>
    </row>
    <row r="1506" spans="1:11">
      <c r="A1506" s="450" t="s">
        <v>3296</v>
      </c>
      <c r="B1506" s="450" t="s">
        <v>3297</v>
      </c>
      <c r="C1506" s="450" t="s">
        <v>3298</v>
      </c>
      <c r="D1506" s="450" t="s">
        <v>3299</v>
      </c>
      <c r="E1506" s="450"/>
      <c r="F1506" s="450"/>
      <c r="G1506" s="450" t="s">
        <v>22882</v>
      </c>
      <c r="H1506" s="450" t="s">
        <v>22883</v>
      </c>
      <c r="I1506" s="450" t="s">
        <v>3299</v>
      </c>
      <c r="J1506" s="450" t="s">
        <v>30558</v>
      </c>
      <c r="K1506" s="450"/>
    </row>
    <row r="1507" spans="1:11">
      <c r="A1507" s="451" t="s">
        <v>3300</v>
      </c>
      <c r="B1507" s="451"/>
      <c r="C1507" s="451" t="s">
        <v>3301</v>
      </c>
      <c r="D1507" s="451"/>
      <c r="E1507" s="451"/>
      <c r="F1507" s="451"/>
      <c r="G1507" s="451" t="s">
        <v>22882</v>
      </c>
      <c r="H1507" s="451" t="s">
        <v>22883</v>
      </c>
      <c r="I1507" s="451"/>
      <c r="J1507" s="451" t="s">
        <v>23133</v>
      </c>
      <c r="K1507" s="451"/>
    </row>
    <row r="1508" spans="1:11">
      <c r="A1508" s="450" t="s">
        <v>33301</v>
      </c>
      <c r="B1508" s="450"/>
      <c r="C1508" s="450" t="s">
        <v>3301</v>
      </c>
      <c r="D1508" s="450"/>
      <c r="E1508" s="450"/>
      <c r="F1508" s="450"/>
      <c r="G1508" s="450" t="s">
        <v>22882</v>
      </c>
      <c r="H1508" s="450" t="s">
        <v>22883</v>
      </c>
      <c r="I1508" s="450"/>
      <c r="J1508" s="450" t="s">
        <v>22942</v>
      </c>
      <c r="K1508" s="450"/>
    </row>
    <row r="1509" spans="1:11">
      <c r="A1509" s="451" t="s">
        <v>3302</v>
      </c>
      <c r="B1509" s="451"/>
      <c r="C1509" s="451" t="s">
        <v>3303</v>
      </c>
      <c r="D1509" s="451"/>
      <c r="E1509" s="451"/>
      <c r="F1509" s="451"/>
      <c r="G1509" s="451" t="s">
        <v>23091</v>
      </c>
      <c r="H1509" s="451" t="s">
        <v>22878</v>
      </c>
      <c r="I1509" s="451"/>
      <c r="J1509" s="451"/>
      <c r="K1509" s="451"/>
    </row>
    <row r="1510" spans="1:11">
      <c r="A1510" s="450" t="s">
        <v>22729</v>
      </c>
      <c r="B1510" s="450" t="s">
        <v>22730</v>
      </c>
      <c r="C1510" s="450" t="s">
        <v>3306</v>
      </c>
      <c r="D1510" s="450"/>
      <c r="E1510" s="450"/>
      <c r="F1510" s="450"/>
      <c r="G1510" s="450" t="s">
        <v>22882</v>
      </c>
      <c r="H1510" s="450" t="s">
        <v>22883</v>
      </c>
      <c r="I1510" s="450"/>
      <c r="J1510" s="450" t="s">
        <v>23562</v>
      </c>
      <c r="K1510" s="450"/>
    </row>
    <row r="1511" spans="1:11">
      <c r="A1511" s="451" t="s">
        <v>3304</v>
      </c>
      <c r="B1511" s="451" t="s">
        <v>3305</v>
      </c>
      <c r="C1511" s="451" t="s">
        <v>3306</v>
      </c>
      <c r="D1511" s="451"/>
      <c r="E1511" s="451"/>
      <c r="F1511" s="451"/>
      <c r="G1511" s="451" t="s">
        <v>22877</v>
      </c>
      <c r="H1511" s="451" t="s">
        <v>22878</v>
      </c>
      <c r="I1511" s="451" t="s">
        <v>30559</v>
      </c>
      <c r="J1511" s="451" t="s">
        <v>30560</v>
      </c>
      <c r="K1511" s="451"/>
    </row>
    <row r="1512" spans="1:11">
      <c r="A1512" s="450" t="s">
        <v>3307</v>
      </c>
      <c r="B1512" s="450"/>
      <c r="C1512" s="450" t="s">
        <v>3308</v>
      </c>
      <c r="D1512" s="450"/>
      <c r="E1512" s="450"/>
      <c r="F1512" s="450"/>
      <c r="G1512" s="450" t="s">
        <v>22877</v>
      </c>
      <c r="H1512" s="450" t="s">
        <v>22878</v>
      </c>
      <c r="I1512" s="450" t="s">
        <v>33302</v>
      </c>
      <c r="J1512" s="450" t="s">
        <v>22939</v>
      </c>
      <c r="K1512" s="450"/>
    </row>
    <row r="1513" spans="1:11">
      <c r="A1513" s="451" t="s">
        <v>3309</v>
      </c>
      <c r="B1513" s="451"/>
      <c r="C1513" s="451" t="s">
        <v>3310</v>
      </c>
      <c r="D1513" s="451"/>
      <c r="E1513" s="451"/>
      <c r="F1513" s="451"/>
      <c r="G1513" s="451" t="s">
        <v>22877</v>
      </c>
      <c r="H1513" s="451" t="s">
        <v>22878</v>
      </c>
      <c r="I1513" s="451"/>
      <c r="J1513" s="451" t="s">
        <v>22997</v>
      </c>
      <c r="K1513" s="451"/>
    </row>
    <row r="1514" spans="1:11">
      <c r="A1514" s="450" t="s">
        <v>3311</v>
      </c>
      <c r="B1514" s="450"/>
      <c r="C1514" s="450" t="s">
        <v>3312</v>
      </c>
      <c r="D1514" s="450"/>
      <c r="E1514" s="450"/>
      <c r="F1514" s="450"/>
      <c r="G1514" s="450" t="s">
        <v>22882</v>
      </c>
      <c r="H1514" s="450" t="s">
        <v>22883</v>
      </c>
      <c r="I1514" s="450"/>
      <c r="J1514" s="450" t="s">
        <v>22997</v>
      </c>
      <c r="K1514" s="450"/>
    </row>
    <row r="1515" spans="1:11">
      <c r="A1515" s="451" t="s">
        <v>3313</v>
      </c>
      <c r="B1515" s="451"/>
      <c r="C1515" s="451" t="s">
        <v>3314</v>
      </c>
      <c r="D1515" s="451"/>
      <c r="E1515" s="451"/>
      <c r="F1515" s="451"/>
      <c r="G1515" s="451" t="s">
        <v>22882</v>
      </c>
      <c r="H1515" s="451" t="s">
        <v>22883</v>
      </c>
      <c r="I1515" s="451" t="s">
        <v>23563</v>
      </c>
      <c r="J1515" s="451" t="s">
        <v>22997</v>
      </c>
      <c r="K1515" s="451"/>
    </row>
    <row r="1516" spans="1:11">
      <c r="A1516" s="450" t="s">
        <v>22731</v>
      </c>
      <c r="B1516" s="450" t="s">
        <v>22732</v>
      </c>
      <c r="C1516" s="450" t="s">
        <v>22733</v>
      </c>
      <c r="D1516" s="450" t="s">
        <v>22734</v>
      </c>
      <c r="E1516" s="450"/>
      <c r="F1516" s="450"/>
      <c r="G1516" s="450" t="s">
        <v>22877</v>
      </c>
      <c r="H1516" s="450" t="s">
        <v>22878</v>
      </c>
      <c r="I1516" s="450" t="s">
        <v>22734</v>
      </c>
      <c r="J1516" s="450" t="s">
        <v>23564</v>
      </c>
      <c r="K1516" s="450"/>
    </row>
    <row r="1517" spans="1:11">
      <c r="A1517" s="451" t="s">
        <v>3315</v>
      </c>
      <c r="B1517" s="451"/>
      <c r="C1517" s="451" t="s">
        <v>3316</v>
      </c>
      <c r="D1517" s="451"/>
      <c r="E1517" s="451"/>
      <c r="F1517" s="451"/>
      <c r="G1517" s="451" t="s">
        <v>22877</v>
      </c>
      <c r="H1517" s="451" t="s">
        <v>22878</v>
      </c>
      <c r="I1517" s="451" t="s">
        <v>33303</v>
      </c>
      <c r="J1517" s="451" t="s">
        <v>22942</v>
      </c>
      <c r="K1517" s="451"/>
    </row>
    <row r="1518" spans="1:11">
      <c r="A1518" s="450" t="s">
        <v>3317</v>
      </c>
      <c r="B1518" s="450"/>
      <c r="C1518" s="450" t="s">
        <v>3318</v>
      </c>
      <c r="D1518" s="450"/>
      <c r="E1518" s="450"/>
      <c r="F1518" s="450"/>
      <c r="G1518" s="450" t="s">
        <v>22877</v>
      </c>
      <c r="H1518" s="450" t="s">
        <v>22878</v>
      </c>
      <c r="I1518" s="450" t="s">
        <v>33304</v>
      </c>
      <c r="J1518" s="450" t="s">
        <v>23185</v>
      </c>
      <c r="K1518" s="450"/>
    </row>
    <row r="1519" spans="1:11">
      <c r="A1519" s="451" t="s">
        <v>33305</v>
      </c>
      <c r="B1519" s="451"/>
      <c r="C1519" s="451"/>
      <c r="D1519" s="451" t="s">
        <v>3320</v>
      </c>
      <c r="E1519" s="451"/>
      <c r="F1519" s="451"/>
      <c r="G1519" s="451" t="s">
        <v>23525</v>
      </c>
      <c r="H1519" s="451" t="s">
        <v>22878</v>
      </c>
      <c r="I1519" s="451" t="s">
        <v>3320</v>
      </c>
      <c r="J1519" s="451"/>
      <c r="K1519" s="451"/>
    </row>
    <row r="1520" spans="1:11">
      <c r="A1520" s="450" t="s">
        <v>3319</v>
      </c>
      <c r="B1520" s="450"/>
      <c r="C1520" s="450"/>
      <c r="D1520" s="450" t="s">
        <v>3320</v>
      </c>
      <c r="E1520" s="450" t="s">
        <v>3321</v>
      </c>
      <c r="F1520" s="450"/>
      <c r="G1520" s="450" t="s">
        <v>22882</v>
      </c>
      <c r="H1520" s="450" t="s">
        <v>22883</v>
      </c>
      <c r="I1520" s="450" t="s">
        <v>3320</v>
      </c>
      <c r="J1520" s="450" t="s">
        <v>30561</v>
      </c>
      <c r="K1520" s="450"/>
    </row>
    <row r="1521" spans="1:11">
      <c r="A1521" s="451" t="s">
        <v>22735</v>
      </c>
      <c r="B1521" s="451" t="s">
        <v>22736</v>
      </c>
      <c r="C1521" s="451" t="s">
        <v>22737</v>
      </c>
      <c r="D1521" s="451"/>
      <c r="E1521" s="451"/>
      <c r="F1521" s="451"/>
      <c r="G1521" s="451" t="s">
        <v>22877</v>
      </c>
      <c r="H1521" s="451" t="s">
        <v>22878</v>
      </c>
      <c r="I1521" s="451"/>
      <c r="J1521" s="451" t="s">
        <v>23565</v>
      </c>
      <c r="K1521" s="451"/>
    </row>
    <row r="1522" spans="1:11">
      <c r="A1522" s="450" t="s">
        <v>22738</v>
      </c>
      <c r="B1522" s="450" t="s">
        <v>22739</v>
      </c>
      <c r="C1522" s="450" t="s">
        <v>22740</v>
      </c>
      <c r="D1522" s="450"/>
      <c r="E1522" s="450"/>
      <c r="F1522" s="450"/>
      <c r="G1522" s="450" t="s">
        <v>22877</v>
      </c>
      <c r="H1522" s="450" t="s">
        <v>22878</v>
      </c>
      <c r="I1522" s="450" t="s">
        <v>23566</v>
      </c>
      <c r="J1522" s="450" t="s">
        <v>23567</v>
      </c>
      <c r="K1522" s="450"/>
    </row>
    <row r="1523" spans="1:11">
      <c r="A1523" s="451" t="s">
        <v>33306</v>
      </c>
      <c r="B1523" s="451"/>
      <c r="C1523" s="451" t="s">
        <v>3323</v>
      </c>
      <c r="D1523" s="451" t="s">
        <v>3320</v>
      </c>
      <c r="E1523" s="451"/>
      <c r="F1523" s="451"/>
      <c r="G1523" s="451" t="s">
        <v>22882</v>
      </c>
      <c r="H1523" s="451" t="s">
        <v>22883</v>
      </c>
      <c r="I1523" s="451" t="s">
        <v>33307</v>
      </c>
      <c r="J1523" s="451" t="s">
        <v>33308</v>
      </c>
      <c r="K1523" s="451"/>
    </row>
    <row r="1524" spans="1:11">
      <c r="A1524" s="450" t="s">
        <v>3322</v>
      </c>
      <c r="B1524" s="450"/>
      <c r="C1524" s="450" t="s">
        <v>3323</v>
      </c>
      <c r="D1524" s="450" t="s">
        <v>3320</v>
      </c>
      <c r="E1524" s="450" t="s">
        <v>3324</v>
      </c>
      <c r="F1524" s="450"/>
      <c r="G1524" s="450" t="s">
        <v>22882</v>
      </c>
      <c r="H1524" s="450" t="s">
        <v>22883</v>
      </c>
      <c r="I1524" s="450" t="s">
        <v>3320</v>
      </c>
      <c r="J1524" s="450" t="s">
        <v>33309</v>
      </c>
      <c r="K1524" s="450"/>
    </row>
    <row r="1525" spans="1:11">
      <c r="A1525" s="451" t="s">
        <v>3325</v>
      </c>
      <c r="B1525" s="451"/>
      <c r="C1525" s="451" t="s">
        <v>3326</v>
      </c>
      <c r="D1525" s="451"/>
      <c r="E1525" s="451"/>
      <c r="F1525" s="451"/>
      <c r="G1525" s="451" t="s">
        <v>22882</v>
      </c>
      <c r="H1525" s="451" t="s">
        <v>22883</v>
      </c>
      <c r="I1525" s="451"/>
      <c r="J1525" s="451" t="s">
        <v>22942</v>
      </c>
      <c r="K1525" s="451"/>
    </row>
    <row r="1526" spans="1:11">
      <c r="A1526" s="450" t="s">
        <v>33310</v>
      </c>
      <c r="B1526" s="450"/>
      <c r="C1526" s="450" t="s">
        <v>3328</v>
      </c>
      <c r="D1526" s="450"/>
      <c r="E1526" s="450"/>
      <c r="F1526" s="450"/>
      <c r="G1526" s="450" t="s">
        <v>22877</v>
      </c>
      <c r="H1526" s="450" t="s">
        <v>22878</v>
      </c>
      <c r="I1526" s="450" t="s">
        <v>33311</v>
      </c>
      <c r="J1526" s="450" t="s">
        <v>22942</v>
      </c>
      <c r="K1526" s="450"/>
    </row>
    <row r="1527" spans="1:11">
      <c r="A1527" s="451" t="s">
        <v>3327</v>
      </c>
      <c r="B1527" s="451"/>
      <c r="C1527" s="451" t="s">
        <v>3328</v>
      </c>
      <c r="D1527" s="451"/>
      <c r="E1527" s="451"/>
      <c r="F1527" s="451"/>
      <c r="G1527" s="451" t="s">
        <v>22877</v>
      </c>
      <c r="H1527" s="451" t="s">
        <v>22878</v>
      </c>
      <c r="I1527" s="451" t="s">
        <v>30562</v>
      </c>
      <c r="J1527" s="451" t="s">
        <v>23185</v>
      </c>
      <c r="K1527" s="451"/>
    </row>
    <row r="1528" spans="1:11">
      <c r="A1528" s="450" t="s">
        <v>22741</v>
      </c>
      <c r="B1528" s="450" t="s">
        <v>22742</v>
      </c>
      <c r="C1528" s="450" t="s">
        <v>22743</v>
      </c>
      <c r="D1528" s="450"/>
      <c r="E1528" s="450"/>
      <c r="F1528" s="450"/>
      <c r="G1528" s="450" t="s">
        <v>22877</v>
      </c>
      <c r="H1528" s="450" t="s">
        <v>22878</v>
      </c>
      <c r="I1528" s="450" t="s">
        <v>23568</v>
      </c>
      <c r="J1528" s="450" t="s">
        <v>23569</v>
      </c>
      <c r="K1528" s="450"/>
    </row>
    <row r="1529" spans="1:11">
      <c r="A1529" s="451" t="s">
        <v>3329</v>
      </c>
      <c r="B1529" s="451"/>
      <c r="C1529" s="451" t="s">
        <v>3330</v>
      </c>
      <c r="D1529" s="451"/>
      <c r="E1529" s="451"/>
      <c r="F1529" s="451"/>
      <c r="G1529" s="451" t="s">
        <v>22882</v>
      </c>
      <c r="H1529" s="451" t="s">
        <v>22883</v>
      </c>
      <c r="I1529" s="451" t="s">
        <v>33312</v>
      </c>
      <c r="J1529" s="451" t="s">
        <v>22942</v>
      </c>
      <c r="K1529" s="451"/>
    </row>
    <row r="1530" spans="1:11">
      <c r="A1530" s="450" t="s">
        <v>33313</v>
      </c>
      <c r="B1530" s="450"/>
      <c r="C1530" s="450" t="s">
        <v>3330</v>
      </c>
      <c r="D1530" s="450"/>
      <c r="E1530" s="450"/>
      <c r="F1530" s="450"/>
      <c r="G1530" s="450" t="s">
        <v>22882</v>
      </c>
      <c r="H1530" s="450" t="s">
        <v>22883</v>
      </c>
      <c r="I1530" s="450"/>
      <c r="J1530" s="450" t="s">
        <v>22942</v>
      </c>
      <c r="K1530" s="450"/>
    </row>
    <row r="1531" spans="1:11">
      <c r="A1531" s="451" t="s">
        <v>3331</v>
      </c>
      <c r="B1531" s="451"/>
      <c r="C1531" s="451" t="s">
        <v>3332</v>
      </c>
      <c r="D1531" s="451"/>
      <c r="E1531" s="451"/>
      <c r="F1531" s="451"/>
      <c r="G1531" s="451" t="s">
        <v>22882</v>
      </c>
      <c r="H1531" s="451" t="s">
        <v>22883</v>
      </c>
      <c r="I1531" s="451"/>
      <c r="J1531" s="451" t="s">
        <v>23185</v>
      </c>
      <c r="K1531" s="451"/>
    </row>
    <row r="1532" spans="1:11">
      <c r="A1532" s="450" t="s">
        <v>33314</v>
      </c>
      <c r="B1532" s="450"/>
      <c r="C1532" s="450" t="s">
        <v>3334</v>
      </c>
      <c r="D1532" s="450"/>
      <c r="E1532" s="450"/>
      <c r="F1532" s="450"/>
      <c r="G1532" s="450" t="s">
        <v>22877</v>
      </c>
      <c r="H1532" s="450" t="s">
        <v>22878</v>
      </c>
      <c r="I1532" s="450" t="s">
        <v>33315</v>
      </c>
      <c r="J1532" s="450" t="s">
        <v>22942</v>
      </c>
      <c r="K1532" s="450"/>
    </row>
    <row r="1533" spans="1:11">
      <c r="A1533" s="451" t="s">
        <v>3333</v>
      </c>
      <c r="B1533" s="451"/>
      <c r="C1533" s="451" t="s">
        <v>3334</v>
      </c>
      <c r="D1533" s="451"/>
      <c r="E1533" s="451"/>
      <c r="F1533" s="451"/>
      <c r="G1533" s="451" t="s">
        <v>22877</v>
      </c>
      <c r="H1533" s="451" t="s">
        <v>22878</v>
      </c>
      <c r="I1533" s="451" t="s">
        <v>33315</v>
      </c>
      <c r="J1533" s="451" t="s">
        <v>22942</v>
      </c>
      <c r="K1533" s="451"/>
    </row>
    <row r="1534" spans="1:11">
      <c r="A1534" s="450" t="s">
        <v>33316</v>
      </c>
      <c r="B1534" s="450"/>
      <c r="C1534" s="450" t="s">
        <v>3336</v>
      </c>
      <c r="D1534" s="450"/>
      <c r="E1534" s="450"/>
      <c r="F1534" s="450"/>
      <c r="G1534" s="450" t="s">
        <v>22877</v>
      </c>
      <c r="H1534" s="450" t="s">
        <v>22878</v>
      </c>
      <c r="I1534" s="450" t="s">
        <v>23570</v>
      </c>
      <c r="J1534" s="450" t="s">
        <v>22948</v>
      </c>
      <c r="K1534" s="450"/>
    </row>
    <row r="1535" spans="1:11">
      <c r="A1535" s="451" t="s">
        <v>3335</v>
      </c>
      <c r="B1535" s="451"/>
      <c r="C1535" s="451" t="s">
        <v>3336</v>
      </c>
      <c r="D1535" s="451"/>
      <c r="E1535" s="451"/>
      <c r="F1535" s="451"/>
      <c r="G1535" s="451" t="s">
        <v>22877</v>
      </c>
      <c r="H1535" s="451" t="s">
        <v>22878</v>
      </c>
      <c r="I1535" s="451" t="s">
        <v>23570</v>
      </c>
      <c r="J1535" s="451" t="s">
        <v>28403</v>
      </c>
      <c r="K1535" s="451"/>
    </row>
    <row r="1536" spans="1:11">
      <c r="A1536" s="450" t="s">
        <v>22744</v>
      </c>
      <c r="B1536" s="450" t="s">
        <v>22745</v>
      </c>
      <c r="C1536" s="450" t="s">
        <v>22746</v>
      </c>
      <c r="D1536" s="450"/>
      <c r="E1536" s="450"/>
      <c r="F1536" s="450"/>
      <c r="G1536" s="450" t="s">
        <v>22877</v>
      </c>
      <c r="H1536" s="450" t="s">
        <v>22878</v>
      </c>
      <c r="I1536" s="450" t="s">
        <v>23571</v>
      </c>
      <c r="J1536" s="450" t="s">
        <v>23572</v>
      </c>
      <c r="K1536" s="450"/>
    </row>
    <row r="1537" spans="1:11">
      <c r="A1537" s="451" t="s">
        <v>21496</v>
      </c>
      <c r="B1537" s="451"/>
      <c r="C1537" s="451" t="s">
        <v>3337</v>
      </c>
      <c r="D1537" s="451"/>
      <c r="E1537" s="451"/>
      <c r="F1537" s="451"/>
      <c r="G1537" s="451" t="s">
        <v>22877</v>
      </c>
      <c r="H1537" s="451" t="s">
        <v>22878</v>
      </c>
      <c r="I1537" s="451" t="s">
        <v>23573</v>
      </c>
      <c r="J1537" s="451" t="s">
        <v>23185</v>
      </c>
      <c r="K1537" s="451"/>
    </row>
    <row r="1538" spans="1:11">
      <c r="A1538" s="450" t="s">
        <v>3338</v>
      </c>
      <c r="B1538" s="450"/>
      <c r="C1538" s="450" t="s">
        <v>3339</v>
      </c>
      <c r="D1538" s="450"/>
      <c r="E1538" s="450"/>
      <c r="F1538" s="450"/>
      <c r="G1538" s="450" t="s">
        <v>22877</v>
      </c>
      <c r="H1538" s="450" t="s">
        <v>22878</v>
      </c>
      <c r="I1538" s="450"/>
      <c r="J1538" s="450" t="s">
        <v>22997</v>
      </c>
      <c r="K1538" s="450"/>
    </row>
    <row r="1539" spans="1:11">
      <c r="A1539" s="451" t="s">
        <v>33317</v>
      </c>
      <c r="B1539" s="451" t="s">
        <v>3341</v>
      </c>
      <c r="C1539" s="451" t="s">
        <v>3342</v>
      </c>
      <c r="D1539" s="451"/>
      <c r="E1539" s="451"/>
      <c r="F1539" s="451"/>
      <c r="G1539" s="451" t="s">
        <v>22877</v>
      </c>
      <c r="H1539" s="451" t="s">
        <v>22878</v>
      </c>
      <c r="I1539" s="451"/>
      <c r="J1539" s="451" t="s">
        <v>33318</v>
      </c>
      <c r="K1539" s="451"/>
    </row>
    <row r="1540" spans="1:11">
      <c r="A1540" s="450" t="s">
        <v>3340</v>
      </c>
      <c r="B1540" s="450" t="s">
        <v>3341</v>
      </c>
      <c r="C1540" s="450" t="s">
        <v>3342</v>
      </c>
      <c r="D1540" s="450"/>
      <c r="E1540" s="450"/>
      <c r="F1540" s="450"/>
      <c r="G1540" s="450" t="s">
        <v>22877</v>
      </c>
      <c r="H1540" s="450" t="s">
        <v>22878</v>
      </c>
      <c r="I1540" s="450" t="s">
        <v>30563</v>
      </c>
      <c r="J1540" s="450" t="s">
        <v>30564</v>
      </c>
      <c r="K1540" s="450"/>
    </row>
    <row r="1541" spans="1:11">
      <c r="A1541" s="451" t="s">
        <v>3343</v>
      </c>
      <c r="B1541" s="451" t="s">
        <v>3344</v>
      </c>
      <c r="C1541" s="451" t="s">
        <v>3345</v>
      </c>
      <c r="D1541" s="451" t="s">
        <v>3346</v>
      </c>
      <c r="E1541" s="451"/>
      <c r="F1541" s="451"/>
      <c r="G1541" s="451" t="s">
        <v>22877</v>
      </c>
      <c r="H1541" s="451" t="s">
        <v>22878</v>
      </c>
      <c r="I1541" s="451" t="s">
        <v>33319</v>
      </c>
      <c r="J1541" s="451" t="s">
        <v>33320</v>
      </c>
      <c r="K1541" s="451"/>
    </row>
    <row r="1542" spans="1:11">
      <c r="A1542" s="450" t="s">
        <v>3343</v>
      </c>
      <c r="B1542" s="450" t="s">
        <v>3344</v>
      </c>
      <c r="C1542" s="450" t="s">
        <v>3345</v>
      </c>
      <c r="D1542" s="450" t="s">
        <v>3346</v>
      </c>
      <c r="E1542" s="450" t="s">
        <v>3347</v>
      </c>
      <c r="F1542" s="450"/>
      <c r="G1542" s="450" t="s">
        <v>22877</v>
      </c>
      <c r="H1542" s="450" t="s">
        <v>22878</v>
      </c>
      <c r="I1542" s="450" t="s">
        <v>30565</v>
      </c>
      <c r="J1542" s="450" t="s">
        <v>30566</v>
      </c>
      <c r="K1542" s="450"/>
    </row>
    <row r="1543" spans="1:11">
      <c r="A1543" s="451" t="s">
        <v>33321</v>
      </c>
      <c r="B1543" s="451"/>
      <c r="C1543" s="451" t="s">
        <v>3349</v>
      </c>
      <c r="D1543" s="451"/>
      <c r="E1543" s="451"/>
      <c r="F1543" s="451"/>
      <c r="G1543" s="451" t="s">
        <v>22882</v>
      </c>
      <c r="H1543" s="451" t="s">
        <v>22883</v>
      </c>
      <c r="I1543" s="451"/>
      <c r="J1543" s="451" t="s">
        <v>22997</v>
      </c>
      <c r="K1543" s="451"/>
    </row>
    <row r="1544" spans="1:11">
      <c r="A1544" s="450" t="s">
        <v>3348</v>
      </c>
      <c r="B1544" s="450"/>
      <c r="C1544" s="450" t="s">
        <v>3349</v>
      </c>
      <c r="D1544" s="450"/>
      <c r="E1544" s="450"/>
      <c r="F1544" s="450"/>
      <c r="G1544" s="450" t="s">
        <v>22882</v>
      </c>
      <c r="H1544" s="450" t="s">
        <v>22883</v>
      </c>
      <c r="I1544" s="450"/>
      <c r="J1544" s="450" t="s">
        <v>23185</v>
      </c>
      <c r="K1544" s="450"/>
    </row>
    <row r="1545" spans="1:11">
      <c r="A1545" s="451" t="s">
        <v>3350</v>
      </c>
      <c r="B1545" s="451"/>
      <c r="C1545" s="451" t="s">
        <v>3351</v>
      </c>
      <c r="D1545" s="451"/>
      <c r="E1545" s="451"/>
      <c r="F1545" s="451"/>
      <c r="G1545" s="451" t="s">
        <v>22882</v>
      </c>
      <c r="H1545" s="451" t="s">
        <v>22883</v>
      </c>
      <c r="I1545" s="451"/>
      <c r="J1545" s="451" t="s">
        <v>22942</v>
      </c>
      <c r="K1545" s="451"/>
    </row>
    <row r="1546" spans="1:11">
      <c r="A1546" s="450" t="s">
        <v>33322</v>
      </c>
      <c r="B1546" s="450"/>
      <c r="C1546" s="450" t="s">
        <v>3353</v>
      </c>
      <c r="D1546" s="450"/>
      <c r="E1546" s="450"/>
      <c r="F1546" s="450"/>
      <c r="G1546" s="450" t="s">
        <v>22877</v>
      </c>
      <c r="H1546" s="450" t="s">
        <v>22878</v>
      </c>
      <c r="I1546" s="450" t="s">
        <v>33323</v>
      </c>
      <c r="J1546" s="450" t="s">
        <v>22942</v>
      </c>
      <c r="K1546" s="450"/>
    </row>
    <row r="1547" spans="1:11">
      <c r="A1547" s="451" t="s">
        <v>3352</v>
      </c>
      <c r="B1547" s="451"/>
      <c r="C1547" s="451" t="s">
        <v>3353</v>
      </c>
      <c r="D1547" s="451"/>
      <c r="E1547" s="451"/>
      <c r="F1547" s="451"/>
      <c r="G1547" s="451" t="s">
        <v>22882</v>
      </c>
      <c r="H1547" s="451" t="s">
        <v>22883</v>
      </c>
      <c r="I1547" s="451"/>
      <c r="J1547" s="451" t="s">
        <v>23185</v>
      </c>
      <c r="K1547" s="451"/>
    </row>
    <row r="1548" spans="1:11">
      <c r="A1548" s="450" t="s">
        <v>33324</v>
      </c>
      <c r="B1548" s="450"/>
      <c r="C1548" s="450" t="s">
        <v>3355</v>
      </c>
      <c r="D1548" s="450"/>
      <c r="E1548" s="450"/>
      <c r="F1548" s="450"/>
      <c r="G1548" s="450" t="s">
        <v>22877</v>
      </c>
      <c r="H1548" s="450" t="s">
        <v>22878</v>
      </c>
      <c r="I1548" s="450"/>
      <c r="J1548" s="450" t="s">
        <v>22939</v>
      </c>
      <c r="K1548" s="450"/>
    </row>
    <row r="1549" spans="1:11">
      <c r="A1549" s="451" t="s">
        <v>3354</v>
      </c>
      <c r="B1549" s="451"/>
      <c r="C1549" s="451" t="s">
        <v>3355</v>
      </c>
      <c r="D1549" s="451"/>
      <c r="E1549" s="451"/>
      <c r="F1549" s="451"/>
      <c r="G1549" s="451" t="s">
        <v>22877</v>
      </c>
      <c r="H1549" s="451" t="s">
        <v>22878</v>
      </c>
      <c r="I1549" s="451" t="s">
        <v>33325</v>
      </c>
      <c r="J1549" s="451" t="s">
        <v>33326</v>
      </c>
      <c r="K1549" s="451"/>
    </row>
    <row r="1550" spans="1:11">
      <c r="A1550" s="450" t="s">
        <v>33327</v>
      </c>
      <c r="B1550" s="450"/>
      <c r="C1550" s="450" t="s">
        <v>3351</v>
      </c>
      <c r="D1550" s="450"/>
      <c r="E1550" s="450"/>
      <c r="F1550" s="450"/>
      <c r="G1550" s="450" t="s">
        <v>22882</v>
      </c>
      <c r="H1550" s="450" t="s">
        <v>22883</v>
      </c>
      <c r="I1550" s="450"/>
      <c r="J1550" s="450" t="s">
        <v>22942</v>
      </c>
      <c r="K1550" s="450"/>
    </row>
    <row r="1551" spans="1:11">
      <c r="A1551" s="451" t="s">
        <v>3356</v>
      </c>
      <c r="B1551" s="451"/>
      <c r="C1551" s="451" t="s">
        <v>3357</v>
      </c>
      <c r="D1551" s="451"/>
      <c r="E1551" s="451"/>
      <c r="F1551" s="451"/>
      <c r="G1551" s="451" t="s">
        <v>22882</v>
      </c>
      <c r="H1551" s="451" t="s">
        <v>22883</v>
      </c>
      <c r="I1551" s="451" t="s">
        <v>33328</v>
      </c>
      <c r="J1551" s="451" t="s">
        <v>23185</v>
      </c>
      <c r="K1551" s="451"/>
    </row>
    <row r="1552" spans="1:11">
      <c r="A1552" s="450" t="s">
        <v>3358</v>
      </c>
      <c r="B1552" s="450"/>
      <c r="C1552" s="450" t="s">
        <v>3359</v>
      </c>
      <c r="D1552" s="450"/>
      <c r="E1552" s="450"/>
      <c r="F1552" s="450"/>
      <c r="G1552" s="450" t="s">
        <v>22882</v>
      </c>
      <c r="H1552" s="450" t="s">
        <v>22883</v>
      </c>
      <c r="I1552" s="450"/>
      <c r="J1552" s="450" t="s">
        <v>23185</v>
      </c>
      <c r="K1552" s="450"/>
    </row>
    <row r="1553" spans="1:11">
      <c r="A1553" s="451" t="s">
        <v>3360</v>
      </c>
      <c r="B1553" s="451"/>
      <c r="C1553" s="451" t="s">
        <v>3361</v>
      </c>
      <c r="D1553" s="451"/>
      <c r="E1553" s="451"/>
      <c r="F1553" s="451"/>
      <c r="G1553" s="451" t="s">
        <v>22877</v>
      </c>
      <c r="H1553" s="451" t="s">
        <v>22878</v>
      </c>
      <c r="I1553" s="451" t="s">
        <v>33329</v>
      </c>
      <c r="J1553" s="451" t="s">
        <v>22997</v>
      </c>
      <c r="K1553" s="451"/>
    </row>
    <row r="1554" spans="1:11">
      <c r="A1554" s="450" t="s">
        <v>3362</v>
      </c>
      <c r="B1554" s="450"/>
      <c r="C1554" s="450" t="s">
        <v>3363</v>
      </c>
      <c r="D1554" s="450"/>
      <c r="E1554" s="450"/>
      <c r="F1554" s="450"/>
      <c r="G1554" s="450" t="s">
        <v>22877</v>
      </c>
      <c r="H1554" s="450" t="s">
        <v>22878</v>
      </c>
      <c r="I1554" s="450"/>
      <c r="J1554" s="450" t="s">
        <v>22997</v>
      </c>
      <c r="K1554" s="450"/>
    </row>
    <row r="1555" spans="1:11">
      <c r="A1555" s="451" t="s">
        <v>22749</v>
      </c>
      <c r="B1555" s="451" t="s">
        <v>3365</v>
      </c>
      <c r="C1555" s="451" t="s">
        <v>3366</v>
      </c>
      <c r="D1555" s="451" t="s">
        <v>3367</v>
      </c>
      <c r="E1555" s="451"/>
      <c r="F1555" s="451"/>
      <c r="G1555" s="451" t="s">
        <v>22877</v>
      </c>
      <c r="H1555" s="451" t="s">
        <v>22878</v>
      </c>
      <c r="I1555" s="451" t="s">
        <v>3367</v>
      </c>
      <c r="J1555" s="451" t="s">
        <v>23574</v>
      </c>
      <c r="K1555" s="451"/>
    </row>
    <row r="1556" spans="1:11">
      <c r="A1556" s="450" t="s">
        <v>22747</v>
      </c>
      <c r="B1556" s="450" t="s">
        <v>22748</v>
      </c>
      <c r="C1556" s="450" t="s">
        <v>3371</v>
      </c>
      <c r="D1556" s="450" t="s">
        <v>3372</v>
      </c>
      <c r="E1556" s="450"/>
      <c r="F1556" s="450"/>
      <c r="G1556" s="450" t="s">
        <v>22877</v>
      </c>
      <c r="H1556" s="450" t="s">
        <v>22878</v>
      </c>
      <c r="I1556" s="450" t="s">
        <v>23575</v>
      </c>
      <c r="J1556" s="450" t="s">
        <v>23576</v>
      </c>
      <c r="K1556" s="450"/>
    </row>
    <row r="1557" spans="1:11">
      <c r="A1557" s="451" t="s">
        <v>3364</v>
      </c>
      <c r="B1557" s="451" t="s">
        <v>3365</v>
      </c>
      <c r="C1557" s="451" t="s">
        <v>3366</v>
      </c>
      <c r="D1557" s="451" t="s">
        <v>3367</v>
      </c>
      <c r="E1557" s="451" t="s">
        <v>3368</v>
      </c>
      <c r="F1557" s="451"/>
      <c r="G1557" s="451" t="s">
        <v>22877</v>
      </c>
      <c r="H1557" s="451" t="s">
        <v>22878</v>
      </c>
      <c r="I1557" s="451" t="s">
        <v>29394</v>
      </c>
      <c r="J1557" s="451" t="s">
        <v>30567</v>
      </c>
      <c r="K1557" s="451"/>
    </row>
    <row r="1558" spans="1:11">
      <c r="A1558" s="450" t="s">
        <v>3369</v>
      </c>
      <c r="B1558" s="450" t="s">
        <v>3370</v>
      </c>
      <c r="C1558" s="450" t="s">
        <v>3371</v>
      </c>
      <c r="D1558" s="450" t="s">
        <v>3372</v>
      </c>
      <c r="E1558" s="450" t="s">
        <v>3367</v>
      </c>
      <c r="F1558" s="450"/>
      <c r="G1558" s="450" t="s">
        <v>22877</v>
      </c>
      <c r="H1558" s="450" t="s">
        <v>22878</v>
      </c>
      <c r="I1558" s="450" t="s">
        <v>3372</v>
      </c>
      <c r="J1558" s="450" t="s">
        <v>30568</v>
      </c>
      <c r="K1558" s="450"/>
    </row>
    <row r="1559" spans="1:11">
      <c r="A1559" s="451" t="s">
        <v>3373</v>
      </c>
      <c r="B1559" s="451"/>
      <c r="C1559" s="451" t="s">
        <v>3316</v>
      </c>
      <c r="D1559" s="451"/>
      <c r="E1559" s="451"/>
      <c r="F1559" s="451"/>
      <c r="G1559" s="451" t="s">
        <v>22877</v>
      </c>
      <c r="H1559" s="451" t="s">
        <v>22878</v>
      </c>
      <c r="I1559" s="451" t="s">
        <v>33303</v>
      </c>
      <c r="J1559" s="451" t="s">
        <v>22942</v>
      </c>
      <c r="K1559" s="451"/>
    </row>
    <row r="1560" spans="1:11">
      <c r="A1560" s="450" t="s">
        <v>3374</v>
      </c>
      <c r="B1560" s="450"/>
      <c r="C1560" s="450" t="s">
        <v>3375</v>
      </c>
      <c r="D1560" s="450"/>
      <c r="E1560" s="450"/>
      <c r="F1560" s="450"/>
      <c r="G1560" s="450" t="s">
        <v>22877</v>
      </c>
      <c r="H1560" s="450" t="s">
        <v>22878</v>
      </c>
      <c r="I1560" s="450"/>
      <c r="J1560" s="450" t="s">
        <v>22942</v>
      </c>
      <c r="K1560" s="450"/>
    </row>
    <row r="1561" spans="1:11">
      <c r="A1561" s="451" t="s">
        <v>3376</v>
      </c>
      <c r="B1561" s="451"/>
      <c r="C1561" s="451" t="s">
        <v>3377</v>
      </c>
      <c r="D1561" s="451"/>
      <c r="E1561" s="451"/>
      <c r="F1561" s="451"/>
      <c r="G1561" s="451" t="s">
        <v>22877</v>
      </c>
      <c r="H1561" s="451" t="s">
        <v>22878</v>
      </c>
      <c r="I1561" s="451" t="s">
        <v>30569</v>
      </c>
      <c r="J1561" s="451" t="s">
        <v>28871</v>
      </c>
      <c r="K1561" s="451"/>
    </row>
    <row r="1562" spans="1:11">
      <c r="A1562" s="450" t="s">
        <v>33330</v>
      </c>
      <c r="B1562" s="450"/>
      <c r="C1562" s="450" t="s">
        <v>33331</v>
      </c>
      <c r="D1562" s="450"/>
      <c r="E1562" s="450"/>
      <c r="F1562" s="450"/>
      <c r="G1562" s="450" t="s">
        <v>22877</v>
      </c>
      <c r="H1562" s="450" t="s">
        <v>22878</v>
      </c>
      <c r="I1562" s="450"/>
      <c r="J1562" s="450" t="s">
        <v>22948</v>
      </c>
      <c r="K1562" s="450"/>
    </row>
    <row r="1563" spans="1:11">
      <c r="A1563" s="451" t="s">
        <v>33332</v>
      </c>
      <c r="B1563" s="451"/>
      <c r="C1563" s="451" t="s">
        <v>3379</v>
      </c>
      <c r="D1563" s="451"/>
      <c r="E1563" s="451"/>
      <c r="F1563" s="451"/>
      <c r="G1563" s="451" t="s">
        <v>22882</v>
      </c>
      <c r="H1563" s="451" t="s">
        <v>22883</v>
      </c>
      <c r="I1563" s="451"/>
      <c r="J1563" s="451" t="s">
        <v>22997</v>
      </c>
      <c r="K1563" s="451"/>
    </row>
    <row r="1564" spans="1:11">
      <c r="A1564" s="450" t="s">
        <v>3378</v>
      </c>
      <c r="B1564" s="450"/>
      <c r="C1564" s="450" t="s">
        <v>3379</v>
      </c>
      <c r="D1564" s="450"/>
      <c r="E1564" s="450"/>
      <c r="F1564" s="450"/>
      <c r="G1564" s="450" t="s">
        <v>22882</v>
      </c>
      <c r="H1564" s="450" t="s">
        <v>22883</v>
      </c>
      <c r="I1564" s="450"/>
      <c r="J1564" s="450" t="s">
        <v>23185</v>
      </c>
      <c r="K1564" s="450"/>
    </row>
    <row r="1565" spans="1:11">
      <c r="A1565" s="451" t="s">
        <v>33333</v>
      </c>
      <c r="B1565" s="451" t="s">
        <v>3381</v>
      </c>
      <c r="C1565" s="451" t="s">
        <v>1480</v>
      </c>
      <c r="D1565" s="451"/>
      <c r="E1565" s="451"/>
      <c r="F1565" s="451"/>
      <c r="G1565" s="451" t="s">
        <v>33334</v>
      </c>
      <c r="H1565" s="451" t="s">
        <v>22878</v>
      </c>
      <c r="I1565" s="451"/>
      <c r="J1565" s="451" t="s">
        <v>33335</v>
      </c>
      <c r="K1565" s="451"/>
    </row>
    <row r="1566" spans="1:11">
      <c r="A1566" s="450" t="s">
        <v>3380</v>
      </c>
      <c r="B1566" s="450" t="s">
        <v>3381</v>
      </c>
      <c r="C1566" s="450" t="s">
        <v>1480</v>
      </c>
      <c r="D1566" s="450"/>
      <c r="E1566" s="450"/>
      <c r="F1566" s="450"/>
      <c r="G1566" s="450" t="s">
        <v>22877</v>
      </c>
      <c r="H1566" s="450" t="s">
        <v>22878</v>
      </c>
      <c r="I1566" s="450" t="s">
        <v>30570</v>
      </c>
      <c r="J1566" s="450" t="s">
        <v>30571</v>
      </c>
      <c r="K1566" s="450"/>
    </row>
    <row r="1567" spans="1:11">
      <c r="A1567" s="451" t="s">
        <v>3382</v>
      </c>
      <c r="B1567" s="451" t="s">
        <v>3383</v>
      </c>
      <c r="C1567" s="451" t="s">
        <v>3384</v>
      </c>
      <c r="D1567" s="451"/>
      <c r="E1567" s="451"/>
      <c r="F1567" s="451"/>
      <c r="G1567" s="451" t="s">
        <v>22877</v>
      </c>
      <c r="H1567" s="451" t="s">
        <v>22878</v>
      </c>
      <c r="I1567" s="451" t="s">
        <v>23577</v>
      </c>
      <c r="J1567" s="451" t="s">
        <v>33336</v>
      </c>
      <c r="K1567" s="451"/>
    </row>
    <row r="1568" spans="1:11">
      <c r="A1568" s="450" t="s">
        <v>22750</v>
      </c>
      <c r="B1568" s="450" t="s">
        <v>22751</v>
      </c>
      <c r="C1568" s="450" t="s">
        <v>3384</v>
      </c>
      <c r="D1568" s="450"/>
      <c r="E1568" s="450"/>
      <c r="F1568" s="450"/>
      <c r="G1568" s="450" t="s">
        <v>22882</v>
      </c>
      <c r="H1568" s="450" t="s">
        <v>22883</v>
      </c>
      <c r="I1568" s="450" t="s">
        <v>23577</v>
      </c>
      <c r="J1568" s="450" t="s">
        <v>23578</v>
      </c>
      <c r="K1568" s="450"/>
    </row>
    <row r="1569" spans="1:11">
      <c r="A1569" s="451" t="s">
        <v>33337</v>
      </c>
      <c r="B1569" s="451" t="s">
        <v>33338</v>
      </c>
      <c r="C1569" s="451" t="s">
        <v>3387</v>
      </c>
      <c r="D1569" s="451" t="s">
        <v>3388</v>
      </c>
      <c r="E1569" s="451"/>
      <c r="F1569" s="451"/>
      <c r="G1569" s="451" t="s">
        <v>22877</v>
      </c>
      <c r="H1569" s="451" t="s">
        <v>22878</v>
      </c>
      <c r="I1569" s="451" t="s">
        <v>3388</v>
      </c>
      <c r="J1569" s="451" t="s">
        <v>33339</v>
      </c>
      <c r="K1569" s="451"/>
    </row>
    <row r="1570" spans="1:11">
      <c r="A1570" s="450" t="s">
        <v>3385</v>
      </c>
      <c r="B1570" s="450" t="s">
        <v>3386</v>
      </c>
      <c r="C1570" s="450" t="s">
        <v>3387</v>
      </c>
      <c r="D1570" s="450" t="s">
        <v>3388</v>
      </c>
      <c r="E1570" s="450" t="s">
        <v>3389</v>
      </c>
      <c r="F1570" s="450"/>
      <c r="G1570" s="450" t="s">
        <v>22877</v>
      </c>
      <c r="H1570" s="450" t="s">
        <v>22878</v>
      </c>
      <c r="I1570" s="450" t="s">
        <v>3388</v>
      </c>
      <c r="J1570" s="450" t="s">
        <v>30572</v>
      </c>
      <c r="K1570" s="450"/>
    </row>
    <row r="1571" spans="1:11">
      <c r="A1571" s="451" t="s">
        <v>33340</v>
      </c>
      <c r="B1571" s="451" t="s">
        <v>3391</v>
      </c>
      <c r="C1571" s="451" t="s">
        <v>3392</v>
      </c>
      <c r="D1571" s="451" t="s">
        <v>3393</v>
      </c>
      <c r="E1571" s="451"/>
      <c r="F1571" s="451"/>
      <c r="G1571" s="451" t="s">
        <v>22877</v>
      </c>
      <c r="H1571" s="451" t="s">
        <v>22878</v>
      </c>
      <c r="I1571" s="451" t="s">
        <v>3393</v>
      </c>
      <c r="J1571" s="451" t="s">
        <v>23579</v>
      </c>
      <c r="K1571" s="451"/>
    </row>
    <row r="1572" spans="1:11">
      <c r="A1572" s="450" t="s">
        <v>3390</v>
      </c>
      <c r="B1572" s="450" t="s">
        <v>3391</v>
      </c>
      <c r="C1572" s="450" t="s">
        <v>3392</v>
      </c>
      <c r="D1572" s="450" t="s">
        <v>3393</v>
      </c>
      <c r="E1572" s="450" t="s">
        <v>3394</v>
      </c>
      <c r="F1572" s="450"/>
      <c r="G1572" s="450" t="s">
        <v>22877</v>
      </c>
      <c r="H1572" s="450" t="s">
        <v>22878</v>
      </c>
      <c r="I1572" s="450" t="s">
        <v>3393</v>
      </c>
      <c r="J1572" s="450" t="s">
        <v>23579</v>
      </c>
      <c r="K1572" s="450"/>
    </row>
    <row r="1573" spans="1:11">
      <c r="A1573" s="451" t="s">
        <v>3395</v>
      </c>
      <c r="B1573" s="451"/>
      <c r="C1573" s="451" t="s">
        <v>3396</v>
      </c>
      <c r="D1573" s="451"/>
      <c r="E1573" s="451"/>
      <c r="F1573" s="451"/>
      <c r="G1573" s="451" t="s">
        <v>22882</v>
      </c>
      <c r="H1573" s="451" t="s">
        <v>22883</v>
      </c>
      <c r="I1573" s="451"/>
      <c r="J1573" s="451" t="s">
        <v>23185</v>
      </c>
      <c r="K1573" s="451"/>
    </row>
    <row r="1574" spans="1:11">
      <c r="A1574" s="450" t="s">
        <v>33341</v>
      </c>
      <c r="B1574" s="450"/>
      <c r="C1574" s="450" t="s">
        <v>33342</v>
      </c>
      <c r="D1574" s="450"/>
      <c r="E1574" s="450"/>
      <c r="F1574" s="450"/>
      <c r="G1574" s="450" t="s">
        <v>22882</v>
      </c>
      <c r="H1574" s="450" t="s">
        <v>22883</v>
      </c>
      <c r="I1574" s="450"/>
      <c r="J1574" s="450" t="s">
        <v>23185</v>
      </c>
      <c r="K1574" s="450"/>
    </row>
    <row r="1575" spans="1:11">
      <c r="A1575" s="451" t="s">
        <v>33343</v>
      </c>
      <c r="B1575" s="451"/>
      <c r="C1575" s="451" t="s">
        <v>3398</v>
      </c>
      <c r="D1575" s="451"/>
      <c r="E1575" s="451"/>
      <c r="F1575" s="451"/>
      <c r="G1575" s="451" t="s">
        <v>22877</v>
      </c>
      <c r="H1575" s="451" t="s">
        <v>22878</v>
      </c>
      <c r="I1575" s="451"/>
      <c r="J1575" s="451" t="s">
        <v>22942</v>
      </c>
      <c r="K1575" s="451"/>
    </row>
    <row r="1576" spans="1:11">
      <c r="A1576" s="450" t="s">
        <v>3397</v>
      </c>
      <c r="B1576" s="450"/>
      <c r="C1576" s="450" t="s">
        <v>3398</v>
      </c>
      <c r="D1576" s="450"/>
      <c r="E1576" s="450"/>
      <c r="F1576" s="450"/>
      <c r="G1576" s="450" t="s">
        <v>22877</v>
      </c>
      <c r="H1576" s="450" t="s">
        <v>22878</v>
      </c>
      <c r="I1576" s="450" t="s">
        <v>33344</v>
      </c>
      <c r="J1576" s="450" t="s">
        <v>22942</v>
      </c>
      <c r="K1576" s="450"/>
    </row>
    <row r="1577" spans="1:11">
      <c r="A1577" s="451" t="s">
        <v>3399</v>
      </c>
      <c r="B1577" s="451"/>
      <c r="C1577" s="451" t="s">
        <v>3400</v>
      </c>
      <c r="D1577" s="451"/>
      <c r="E1577" s="451"/>
      <c r="F1577" s="451"/>
      <c r="G1577" s="451" t="s">
        <v>22882</v>
      </c>
      <c r="H1577" s="451" t="s">
        <v>22883</v>
      </c>
      <c r="I1577" s="451" t="s">
        <v>33345</v>
      </c>
      <c r="J1577" s="451" t="s">
        <v>22939</v>
      </c>
      <c r="K1577" s="451"/>
    </row>
    <row r="1578" spans="1:11">
      <c r="A1578" s="450" t="s">
        <v>22752</v>
      </c>
      <c r="B1578" s="450"/>
      <c r="C1578" s="450" t="s">
        <v>3400</v>
      </c>
      <c r="D1578" s="450"/>
      <c r="E1578" s="450"/>
      <c r="F1578" s="450"/>
      <c r="G1578" s="450" t="s">
        <v>22877</v>
      </c>
      <c r="H1578" s="450" t="s">
        <v>22878</v>
      </c>
      <c r="I1578" s="450" t="s">
        <v>23580</v>
      </c>
      <c r="J1578" s="450" t="s">
        <v>22939</v>
      </c>
      <c r="K1578" s="450"/>
    </row>
    <row r="1579" spans="1:11">
      <c r="A1579" s="451" t="s">
        <v>3401</v>
      </c>
      <c r="B1579" s="451"/>
      <c r="C1579" s="451" t="s">
        <v>3402</v>
      </c>
      <c r="D1579" s="451"/>
      <c r="E1579" s="451"/>
      <c r="F1579" s="451"/>
      <c r="G1579" s="451" t="s">
        <v>22877</v>
      </c>
      <c r="H1579" s="451" t="s">
        <v>22878</v>
      </c>
      <c r="I1579" s="451"/>
      <c r="J1579" s="451" t="s">
        <v>22939</v>
      </c>
      <c r="K1579" s="451"/>
    </row>
    <row r="1580" spans="1:11">
      <c r="A1580" s="450" t="s">
        <v>3403</v>
      </c>
      <c r="B1580" s="450"/>
      <c r="C1580" s="450" t="s">
        <v>3404</v>
      </c>
      <c r="D1580" s="450"/>
      <c r="E1580" s="450"/>
      <c r="F1580" s="450"/>
      <c r="G1580" s="450" t="s">
        <v>22882</v>
      </c>
      <c r="H1580" s="450" t="s">
        <v>22883</v>
      </c>
      <c r="I1580" s="450"/>
      <c r="J1580" s="450" t="s">
        <v>23185</v>
      </c>
      <c r="K1580" s="450"/>
    </row>
    <row r="1581" spans="1:11">
      <c r="A1581" s="451" t="s">
        <v>3405</v>
      </c>
      <c r="B1581" s="451" t="s">
        <v>3406</v>
      </c>
      <c r="C1581" s="451" t="s">
        <v>3407</v>
      </c>
      <c r="D1581" s="451"/>
      <c r="E1581" s="451"/>
      <c r="F1581" s="451"/>
      <c r="G1581" s="451" t="s">
        <v>22877</v>
      </c>
      <c r="H1581" s="451" t="s">
        <v>22878</v>
      </c>
      <c r="I1581" s="451"/>
      <c r="J1581" s="451" t="s">
        <v>33346</v>
      </c>
      <c r="K1581" s="451"/>
    </row>
    <row r="1582" spans="1:11">
      <c r="A1582" s="450" t="s">
        <v>33347</v>
      </c>
      <c r="B1582" s="450" t="s">
        <v>3409</v>
      </c>
      <c r="C1582" s="450" t="s">
        <v>3410</v>
      </c>
      <c r="D1582" s="450"/>
      <c r="E1582" s="450"/>
      <c r="F1582" s="450"/>
      <c r="G1582" s="450" t="s">
        <v>22877</v>
      </c>
      <c r="H1582" s="450" t="s">
        <v>22878</v>
      </c>
      <c r="I1582" s="450"/>
      <c r="J1582" s="450" t="s">
        <v>33348</v>
      </c>
      <c r="K1582" s="450"/>
    </row>
    <row r="1583" spans="1:11">
      <c r="A1583" s="451" t="s">
        <v>3408</v>
      </c>
      <c r="B1583" s="451" t="s">
        <v>3409</v>
      </c>
      <c r="C1583" s="451" t="s">
        <v>3410</v>
      </c>
      <c r="D1583" s="451"/>
      <c r="E1583" s="451"/>
      <c r="F1583" s="451"/>
      <c r="G1583" s="451" t="s">
        <v>22877</v>
      </c>
      <c r="H1583" s="451" t="s">
        <v>22878</v>
      </c>
      <c r="I1583" s="451"/>
      <c r="J1583" s="451" t="s">
        <v>33349</v>
      </c>
      <c r="K1583" s="451"/>
    </row>
    <row r="1584" spans="1:11">
      <c r="A1584" s="450" t="s">
        <v>22753</v>
      </c>
      <c r="B1584" s="450" t="s">
        <v>22754</v>
      </c>
      <c r="C1584" s="450" t="s">
        <v>22755</v>
      </c>
      <c r="D1584" s="450"/>
      <c r="E1584" s="450"/>
      <c r="F1584" s="450"/>
      <c r="G1584" s="450" t="s">
        <v>22877</v>
      </c>
      <c r="H1584" s="450" t="s">
        <v>22878</v>
      </c>
      <c r="I1584" s="450"/>
      <c r="J1584" s="450" t="s">
        <v>23581</v>
      </c>
      <c r="K1584" s="450"/>
    </row>
    <row r="1585" spans="1:11">
      <c r="A1585" s="451" t="s">
        <v>33350</v>
      </c>
      <c r="B1585" s="451"/>
      <c r="C1585" s="451" t="s">
        <v>3411</v>
      </c>
      <c r="D1585" s="451"/>
      <c r="E1585" s="451"/>
      <c r="F1585" s="451"/>
      <c r="G1585" s="451" t="s">
        <v>22877</v>
      </c>
      <c r="H1585" s="451" t="s">
        <v>22878</v>
      </c>
      <c r="I1585" s="451" t="s">
        <v>23582</v>
      </c>
      <c r="J1585" s="451" t="s">
        <v>22942</v>
      </c>
      <c r="K1585" s="451"/>
    </row>
    <row r="1586" spans="1:11">
      <c r="A1586" s="450" t="s">
        <v>21497</v>
      </c>
      <c r="B1586" s="450"/>
      <c r="C1586" s="450" t="s">
        <v>3411</v>
      </c>
      <c r="D1586" s="450"/>
      <c r="E1586" s="450"/>
      <c r="F1586" s="450"/>
      <c r="G1586" s="450" t="s">
        <v>22877</v>
      </c>
      <c r="H1586" s="450" t="s">
        <v>22878</v>
      </c>
      <c r="I1586" s="450" t="s">
        <v>23582</v>
      </c>
      <c r="J1586" s="450" t="s">
        <v>23185</v>
      </c>
      <c r="K1586" s="450"/>
    </row>
    <row r="1587" spans="1:11">
      <c r="A1587" s="451" t="s">
        <v>20115</v>
      </c>
      <c r="B1587" s="451" t="s">
        <v>20082</v>
      </c>
      <c r="C1587" s="451" t="s">
        <v>20083</v>
      </c>
      <c r="D1587" s="451" t="s">
        <v>20084</v>
      </c>
      <c r="E1587" s="451"/>
      <c r="F1587" s="451" t="s">
        <v>33351</v>
      </c>
      <c r="G1587" s="451" t="s">
        <v>22877</v>
      </c>
      <c r="H1587" s="451" t="s">
        <v>22878</v>
      </c>
      <c r="I1587" s="451" t="s">
        <v>20084</v>
      </c>
      <c r="J1587" s="451" t="s">
        <v>23583</v>
      </c>
      <c r="K1587" s="451"/>
    </row>
    <row r="1588" spans="1:11">
      <c r="A1588" s="450" t="s">
        <v>20115</v>
      </c>
      <c r="B1588" s="450" t="s">
        <v>20082</v>
      </c>
      <c r="C1588" s="450" t="s">
        <v>20083</v>
      </c>
      <c r="D1588" s="450" t="s">
        <v>20084</v>
      </c>
      <c r="E1588" s="450"/>
      <c r="F1588" s="450" t="s">
        <v>20116</v>
      </c>
      <c r="G1588" s="450" t="s">
        <v>22877</v>
      </c>
      <c r="H1588" s="450" t="s">
        <v>22878</v>
      </c>
      <c r="I1588" s="450" t="s">
        <v>20084</v>
      </c>
      <c r="J1588" s="450" t="s">
        <v>23583</v>
      </c>
      <c r="K1588" s="450"/>
    </row>
    <row r="1589" spans="1:11">
      <c r="A1589" s="451" t="s">
        <v>3412</v>
      </c>
      <c r="B1589" s="451"/>
      <c r="C1589" s="451" t="s">
        <v>1213</v>
      </c>
      <c r="D1589" s="451"/>
      <c r="E1589" s="451"/>
      <c r="F1589" s="451"/>
      <c r="G1589" s="451" t="s">
        <v>22882</v>
      </c>
      <c r="H1589" s="451" t="s">
        <v>22883</v>
      </c>
      <c r="I1589" s="451"/>
      <c r="J1589" s="451" t="s">
        <v>22942</v>
      </c>
      <c r="K1589" s="451"/>
    </row>
    <row r="1590" spans="1:11">
      <c r="A1590" s="450" t="s">
        <v>3413</v>
      </c>
      <c r="B1590" s="450"/>
      <c r="C1590" s="450" t="s">
        <v>3414</v>
      </c>
      <c r="D1590" s="450"/>
      <c r="E1590" s="450"/>
      <c r="F1590" s="450"/>
      <c r="G1590" s="450" t="s">
        <v>22882</v>
      </c>
      <c r="H1590" s="450" t="s">
        <v>22883</v>
      </c>
      <c r="I1590" s="450"/>
      <c r="J1590" s="450" t="s">
        <v>22997</v>
      </c>
      <c r="K1590" s="450"/>
    </row>
    <row r="1591" spans="1:11">
      <c r="A1591" s="451" t="s">
        <v>33352</v>
      </c>
      <c r="B1591" s="451"/>
      <c r="C1591" s="451" t="s">
        <v>3416</v>
      </c>
      <c r="D1591" s="451"/>
      <c r="E1591" s="451"/>
      <c r="F1591" s="451"/>
      <c r="G1591" s="451" t="s">
        <v>22877</v>
      </c>
      <c r="H1591" s="451" t="s">
        <v>22878</v>
      </c>
      <c r="I1591" s="451"/>
      <c r="J1591" s="451" t="s">
        <v>22997</v>
      </c>
      <c r="K1591" s="451"/>
    </row>
    <row r="1592" spans="1:11">
      <c r="A1592" s="450" t="s">
        <v>3415</v>
      </c>
      <c r="B1592" s="450"/>
      <c r="C1592" s="450" t="s">
        <v>3416</v>
      </c>
      <c r="D1592" s="450"/>
      <c r="E1592" s="450"/>
      <c r="F1592" s="450"/>
      <c r="G1592" s="450" t="s">
        <v>22877</v>
      </c>
      <c r="H1592" s="450" t="s">
        <v>22878</v>
      </c>
      <c r="I1592" s="450" t="s">
        <v>33345</v>
      </c>
      <c r="J1592" s="450" t="s">
        <v>23185</v>
      </c>
      <c r="K1592" s="450"/>
    </row>
    <row r="1593" spans="1:11">
      <c r="A1593" s="451" t="s">
        <v>33353</v>
      </c>
      <c r="B1593" s="451"/>
      <c r="C1593" s="451" t="s">
        <v>3418</v>
      </c>
      <c r="D1593" s="451"/>
      <c r="E1593" s="451"/>
      <c r="F1593" s="451"/>
      <c r="G1593" s="451" t="s">
        <v>22877</v>
      </c>
      <c r="H1593" s="451" t="s">
        <v>22878</v>
      </c>
      <c r="I1593" s="451" t="s">
        <v>33354</v>
      </c>
      <c r="J1593" s="451" t="s">
        <v>22997</v>
      </c>
      <c r="K1593" s="451"/>
    </row>
    <row r="1594" spans="1:11">
      <c r="A1594" s="450" t="s">
        <v>3417</v>
      </c>
      <c r="B1594" s="450"/>
      <c r="C1594" s="450" t="s">
        <v>3418</v>
      </c>
      <c r="D1594" s="450"/>
      <c r="E1594" s="450"/>
      <c r="F1594" s="450"/>
      <c r="G1594" s="450" t="s">
        <v>22877</v>
      </c>
      <c r="H1594" s="450" t="s">
        <v>22878</v>
      </c>
      <c r="I1594" s="450" t="s">
        <v>33354</v>
      </c>
      <c r="J1594" s="450" t="s">
        <v>23185</v>
      </c>
      <c r="K1594" s="450"/>
    </row>
    <row r="1595" spans="1:11">
      <c r="A1595" s="451" t="s">
        <v>3419</v>
      </c>
      <c r="B1595" s="451"/>
      <c r="C1595" s="451" t="s">
        <v>3420</v>
      </c>
      <c r="D1595" s="451"/>
      <c r="E1595" s="451"/>
      <c r="F1595" s="451"/>
      <c r="G1595" s="451" t="s">
        <v>22882</v>
      </c>
      <c r="H1595" s="451" t="s">
        <v>22883</v>
      </c>
      <c r="I1595" s="451"/>
      <c r="J1595" s="451" t="s">
        <v>23370</v>
      </c>
      <c r="K1595" s="451"/>
    </row>
    <row r="1596" spans="1:11">
      <c r="A1596" s="450" t="s">
        <v>22756</v>
      </c>
      <c r="B1596" s="450" t="s">
        <v>22757</v>
      </c>
      <c r="C1596" s="450" t="s">
        <v>22758</v>
      </c>
      <c r="D1596" s="450"/>
      <c r="E1596" s="450"/>
      <c r="F1596" s="450"/>
      <c r="G1596" s="450" t="s">
        <v>22877</v>
      </c>
      <c r="H1596" s="450" t="s">
        <v>22878</v>
      </c>
      <c r="I1596" s="450" t="s">
        <v>23584</v>
      </c>
      <c r="J1596" s="450" t="s">
        <v>23585</v>
      </c>
      <c r="K1596" s="450"/>
    </row>
    <row r="1597" spans="1:11">
      <c r="A1597" s="451" t="s">
        <v>3421</v>
      </c>
      <c r="B1597" s="451"/>
      <c r="C1597" s="451" t="s">
        <v>3422</v>
      </c>
      <c r="D1597" s="451"/>
      <c r="E1597" s="451"/>
      <c r="F1597" s="451"/>
      <c r="G1597" s="451" t="s">
        <v>22882</v>
      </c>
      <c r="H1597" s="451" t="s">
        <v>22883</v>
      </c>
      <c r="I1597" s="451"/>
      <c r="J1597" s="451" t="s">
        <v>23185</v>
      </c>
      <c r="K1597" s="451"/>
    </row>
    <row r="1598" spans="1:11">
      <c r="A1598" s="450" t="s">
        <v>33355</v>
      </c>
      <c r="B1598" s="450"/>
      <c r="C1598" s="450" t="s">
        <v>3420</v>
      </c>
      <c r="D1598" s="450"/>
      <c r="E1598" s="450"/>
      <c r="F1598" s="450"/>
      <c r="G1598" s="450" t="s">
        <v>23092</v>
      </c>
      <c r="H1598" s="450" t="s">
        <v>22883</v>
      </c>
      <c r="I1598" s="450"/>
      <c r="J1598" s="450"/>
      <c r="K1598" s="450"/>
    </row>
    <row r="1599" spans="1:11">
      <c r="A1599" s="451" t="s">
        <v>3423</v>
      </c>
      <c r="B1599" s="451"/>
      <c r="C1599" s="451" t="s">
        <v>3424</v>
      </c>
      <c r="D1599" s="451"/>
      <c r="E1599" s="451"/>
      <c r="F1599" s="451"/>
      <c r="G1599" s="451" t="s">
        <v>22882</v>
      </c>
      <c r="H1599" s="451" t="s">
        <v>22883</v>
      </c>
      <c r="I1599" s="451" t="s">
        <v>33356</v>
      </c>
      <c r="J1599" s="451" t="s">
        <v>22997</v>
      </c>
      <c r="K1599" s="451"/>
    </row>
    <row r="1600" spans="1:11">
      <c r="A1600" s="450" t="s">
        <v>3425</v>
      </c>
      <c r="B1600" s="450"/>
      <c r="C1600" s="450" t="s">
        <v>3426</v>
      </c>
      <c r="D1600" s="450"/>
      <c r="E1600" s="450"/>
      <c r="F1600" s="450"/>
      <c r="G1600" s="450" t="s">
        <v>22882</v>
      </c>
      <c r="H1600" s="450" t="s">
        <v>22883</v>
      </c>
      <c r="I1600" s="450" t="s">
        <v>33357</v>
      </c>
      <c r="J1600" s="450" t="s">
        <v>22948</v>
      </c>
      <c r="K1600" s="450"/>
    </row>
    <row r="1601" spans="1:11">
      <c r="A1601" s="451" t="s">
        <v>3427</v>
      </c>
      <c r="B1601" s="451"/>
      <c r="C1601" s="451" t="s">
        <v>2942</v>
      </c>
      <c r="D1601" s="451"/>
      <c r="E1601" s="451"/>
      <c r="F1601" s="451"/>
      <c r="G1601" s="451" t="s">
        <v>22882</v>
      </c>
      <c r="H1601" s="451" t="s">
        <v>22883</v>
      </c>
      <c r="I1601" s="451"/>
      <c r="J1601" s="451" t="s">
        <v>22942</v>
      </c>
      <c r="K1601" s="451"/>
    </row>
    <row r="1602" spans="1:11">
      <c r="A1602" s="450" t="s">
        <v>3428</v>
      </c>
      <c r="B1602" s="450"/>
      <c r="C1602" s="450" t="s">
        <v>3429</v>
      </c>
      <c r="D1602" s="450"/>
      <c r="E1602" s="450"/>
      <c r="F1602" s="450"/>
      <c r="G1602" s="450" t="s">
        <v>22882</v>
      </c>
      <c r="H1602" s="450" t="s">
        <v>22883</v>
      </c>
      <c r="I1602" s="450" t="s">
        <v>33358</v>
      </c>
      <c r="J1602" s="450" t="s">
        <v>22942</v>
      </c>
      <c r="K1602" s="450"/>
    </row>
    <row r="1603" spans="1:11">
      <c r="A1603" s="451" t="s">
        <v>33359</v>
      </c>
      <c r="B1603" s="451"/>
      <c r="C1603" s="451" t="s">
        <v>3431</v>
      </c>
      <c r="D1603" s="451"/>
      <c r="E1603" s="451"/>
      <c r="F1603" s="451"/>
      <c r="G1603" s="451" t="s">
        <v>22877</v>
      </c>
      <c r="H1603" s="451" t="s">
        <v>22878</v>
      </c>
      <c r="I1603" s="451" t="s">
        <v>33360</v>
      </c>
      <c r="J1603" s="451" t="s">
        <v>22948</v>
      </c>
      <c r="K1603" s="451"/>
    </row>
    <row r="1604" spans="1:11">
      <c r="A1604" s="450" t="s">
        <v>3430</v>
      </c>
      <c r="B1604" s="450"/>
      <c r="C1604" s="450" t="s">
        <v>3431</v>
      </c>
      <c r="D1604" s="450"/>
      <c r="E1604" s="450"/>
      <c r="F1604" s="450"/>
      <c r="G1604" s="450" t="s">
        <v>22882</v>
      </c>
      <c r="H1604" s="450" t="s">
        <v>22883</v>
      </c>
      <c r="I1604" s="450" t="s">
        <v>33361</v>
      </c>
      <c r="J1604" s="450" t="s">
        <v>22943</v>
      </c>
      <c r="K1604" s="450"/>
    </row>
    <row r="1605" spans="1:11">
      <c r="A1605" s="451" t="s">
        <v>3432</v>
      </c>
      <c r="B1605" s="451"/>
      <c r="C1605" s="451" t="s">
        <v>3433</v>
      </c>
      <c r="D1605" s="451"/>
      <c r="E1605" s="451"/>
      <c r="F1605" s="451"/>
      <c r="G1605" s="451" t="s">
        <v>22877</v>
      </c>
      <c r="H1605" s="451" t="s">
        <v>22878</v>
      </c>
      <c r="I1605" s="451" t="s">
        <v>33362</v>
      </c>
      <c r="J1605" s="451" t="s">
        <v>23185</v>
      </c>
      <c r="K1605" s="451"/>
    </row>
    <row r="1606" spans="1:11">
      <c r="A1606" s="450" t="s">
        <v>3434</v>
      </c>
      <c r="B1606" s="450"/>
      <c r="C1606" s="450" t="s">
        <v>3435</v>
      </c>
      <c r="D1606" s="450"/>
      <c r="E1606" s="450"/>
      <c r="F1606" s="450"/>
      <c r="G1606" s="450" t="s">
        <v>22877</v>
      </c>
      <c r="H1606" s="450" t="s">
        <v>22878</v>
      </c>
      <c r="I1606" s="450" t="s">
        <v>33363</v>
      </c>
      <c r="J1606" s="450" t="s">
        <v>22997</v>
      </c>
      <c r="K1606" s="450"/>
    </row>
    <row r="1607" spans="1:11">
      <c r="A1607" s="451" t="s">
        <v>3436</v>
      </c>
      <c r="B1607" s="451"/>
      <c r="C1607" s="451" t="s">
        <v>3437</v>
      </c>
      <c r="D1607" s="451"/>
      <c r="E1607" s="451"/>
      <c r="F1607" s="451"/>
      <c r="G1607" s="451" t="s">
        <v>22882</v>
      </c>
      <c r="H1607" s="451" t="s">
        <v>22883</v>
      </c>
      <c r="I1607" s="451" t="s">
        <v>23586</v>
      </c>
      <c r="J1607" s="451" t="s">
        <v>23185</v>
      </c>
      <c r="K1607" s="451"/>
    </row>
    <row r="1608" spans="1:11">
      <c r="A1608" s="450" t="s">
        <v>3438</v>
      </c>
      <c r="B1608" s="450" t="s">
        <v>3439</v>
      </c>
      <c r="C1608" s="450" t="s">
        <v>3440</v>
      </c>
      <c r="D1608" s="450"/>
      <c r="E1608" s="450"/>
      <c r="F1608" s="450"/>
      <c r="G1608" s="450" t="s">
        <v>22877</v>
      </c>
      <c r="H1608" s="450" t="s">
        <v>22878</v>
      </c>
      <c r="I1608" s="450" t="s">
        <v>30573</v>
      </c>
      <c r="J1608" s="450" t="s">
        <v>26549</v>
      </c>
      <c r="K1608" s="450"/>
    </row>
    <row r="1609" spans="1:11">
      <c r="A1609" s="451" t="s">
        <v>30574</v>
      </c>
      <c r="B1609" s="451" t="s">
        <v>22759</v>
      </c>
      <c r="C1609" s="451" t="s">
        <v>3440</v>
      </c>
      <c r="D1609" s="451"/>
      <c r="E1609" s="451"/>
      <c r="F1609" s="451"/>
      <c r="G1609" s="451" t="s">
        <v>22877</v>
      </c>
      <c r="H1609" s="451" t="s">
        <v>22878</v>
      </c>
      <c r="I1609" s="451" t="s">
        <v>23587</v>
      </c>
      <c r="J1609" s="451" t="s">
        <v>23588</v>
      </c>
      <c r="K1609" s="451"/>
    </row>
    <row r="1610" spans="1:11">
      <c r="A1610" s="450" t="s">
        <v>3441</v>
      </c>
      <c r="B1610" s="450"/>
      <c r="C1610" s="450" t="s">
        <v>3442</v>
      </c>
      <c r="D1610" s="450"/>
      <c r="E1610" s="450"/>
      <c r="F1610" s="450"/>
      <c r="G1610" s="450" t="s">
        <v>22882</v>
      </c>
      <c r="H1610" s="450" t="s">
        <v>22883</v>
      </c>
      <c r="I1610" s="450"/>
      <c r="J1610" s="450" t="s">
        <v>22943</v>
      </c>
      <c r="K1610" s="450"/>
    </row>
    <row r="1611" spans="1:11">
      <c r="A1611" s="451" t="s">
        <v>3443</v>
      </c>
      <c r="B1611" s="451" t="s">
        <v>3444</v>
      </c>
      <c r="C1611" s="451" t="s">
        <v>3445</v>
      </c>
      <c r="D1611" s="451"/>
      <c r="E1611" s="451"/>
      <c r="F1611" s="451" t="s">
        <v>3446</v>
      </c>
      <c r="G1611" s="451" t="s">
        <v>22877</v>
      </c>
      <c r="H1611" s="451" t="s">
        <v>22878</v>
      </c>
      <c r="I1611" s="451" t="s">
        <v>30575</v>
      </c>
      <c r="J1611" s="451" t="s">
        <v>27743</v>
      </c>
      <c r="K1611" s="451"/>
    </row>
    <row r="1612" spans="1:11">
      <c r="A1612" s="450" t="s">
        <v>3447</v>
      </c>
      <c r="B1612" s="450" t="s">
        <v>3448</v>
      </c>
      <c r="C1612" s="450" t="s">
        <v>3449</v>
      </c>
      <c r="D1612" s="450"/>
      <c r="E1612" s="450"/>
      <c r="F1612" s="450"/>
      <c r="G1612" s="450" t="s">
        <v>22877</v>
      </c>
      <c r="H1612" s="450" t="s">
        <v>22878</v>
      </c>
      <c r="I1612" s="450" t="s">
        <v>30576</v>
      </c>
      <c r="J1612" s="450" t="s">
        <v>30577</v>
      </c>
      <c r="K1612" s="450"/>
    </row>
    <row r="1613" spans="1:11">
      <c r="A1613" s="451" t="s">
        <v>3450</v>
      </c>
      <c r="B1613" s="451" t="s">
        <v>3451</v>
      </c>
      <c r="C1613" s="451" t="s">
        <v>3452</v>
      </c>
      <c r="D1613" s="451"/>
      <c r="E1613" s="451"/>
      <c r="F1613" s="451"/>
      <c r="G1613" s="451" t="s">
        <v>22877</v>
      </c>
      <c r="H1613" s="451" t="s">
        <v>22878</v>
      </c>
      <c r="I1613" s="451" t="s">
        <v>24360</v>
      </c>
      <c r="J1613" s="451" t="s">
        <v>30578</v>
      </c>
      <c r="K1613" s="451"/>
    </row>
    <row r="1614" spans="1:11">
      <c r="A1614" s="450" t="s">
        <v>3453</v>
      </c>
      <c r="B1614" s="450"/>
      <c r="C1614" s="450" t="s">
        <v>3454</v>
      </c>
      <c r="D1614" s="450"/>
      <c r="E1614" s="450"/>
      <c r="F1614" s="450"/>
      <c r="G1614" s="450" t="s">
        <v>22877</v>
      </c>
      <c r="H1614" s="450" t="s">
        <v>22878</v>
      </c>
      <c r="I1614" s="450" t="s">
        <v>30579</v>
      </c>
      <c r="J1614" s="450" t="s">
        <v>22997</v>
      </c>
      <c r="K1614" s="450"/>
    </row>
    <row r="1615" spans="1:11">
      <c r="A1615" s="451" t="s">
        <v>22760</v>
      </c>
      <c r="B1615" s="451" t="s">
        <v>3451</v>
      </c>
      <c r="C1615" s="451" t="s">
        <v>3452</v>
      </c>
      <c r="D1615" s="451"/>
      <c r="E1615" s="451"/>
      <c r="F1615" s="451"/>
      <c r="G1615" s="451" t="s">
        <v>22877</v>
      </c>
      <c r="H1615" s="451" t="s">
        <v>22878</v>
      </c>
      <c r="I1615" s="451" t="s">
        <v>23589</v>
      </c>
      <c r="J1615" s="451" t="s">
        <v>23590</v>
      </c>
      <c r="K1615" s="451"/>
    </row>
    <row r="1616" spans="1:11">
      <c r="A1616" s="450" t="s">
        <v>22761</v>
      </c>
      <c r="B1616" s="450" t="s">
        <v>3448</v>
      </c>
      <c r="C1616" s="450" t="s">
        <v>3449</v>
      </c>
      <c r="D1616" s="450"/>
      <c r="E1616" s="450"/>
      <c r="F1616" s="450"/>
      <c r="G1616" s="450" t="s">
        <v>22877</v>
      </c>
      <c r="H1616" s="450" t="s">
        <v>22878</v>
      </c>
      <c r="I1616" s="450" t="s">
        <v>23591</v>
      </c>
      <c r="J1616" s="450" t="s">
        <v>23592</v>
      </c>
      <c r="K1616" s="450"/>
    </row>
    <row r="1617" spans="1:11">
      <c r="A1617" s="451" t="s">
        <v>22762</v>
      </c>
      <c r="B1617" s="451" t="s">
        <v>22763</v>
      </c>
      <c r="C1617" s="451" t="s">
        <v>22764</v>
      </c>
      <c r="D1617" s="451"/>
      <c r="E1617" s="451"/>
      <c r="F1617" s="451"/>
      <c r="G1617" s="451" t="s">
        <v>22877</v>
      </c>
      <c r="H1617" s="451" t="s">
        <v>22878</v>
      </c>
      <c r="I1617" s="451" t="s">
        <v>4583</v>
      </c>
      <c r="J1617" s="451" t="s">
        <v>23593</v>
      </c>
      <c r="K1617" s="451"/>
    </row>
    <row r="1618" spans="1:11">
      <c r="A1618" s="450" t="s">
        <v>22765</v>
      </c>
      <c r="B1618" s="450" t="s">
        <v>22766</v>
      </c>
      <c r="C1618" s="450" t="s">
        <v>22767</v>
      </c>
      <c r="D1618" s="450"/>
      <c r="E1618" s="450"/>
      <c r="F1618" s="450"/>
      <c r="G1618" s="450" t="s">
        <v>22877</v>
      </c>
      <c r="H1618" s="450" t="s">
        <v>22878</v>
      </c>
      <c r="I1618" s="450" t="s">
        <v>23594</v>
      </c>
      <c r="J1618" s="450" t="s">
        <v>23595</v>
      </c>
      <c r="K1618" s="450"/>
    </row>
    <row r="1619" spans="1:11">
      <c r="A1619" s="451" t="s">
        <v>22768</v>
      </c>
      <c r="B1619" s="451"/>
      <c r="C1619" s="451" t="s">
        <v>3454</v>
      </c>
      <c r="D1619" s="451"/>
      <c r="E1619" s="451"/>
      <c r="F1619" s="451"/>
      <c r="G1619" s="451" t="s">
        <v>22877</v>
      </c>
      <c r="H1619" s="451" t="s">
        <v>22878</v>
      </c>
      <c r="I1619" s="451" t="s">
        <v>23596</v>
      </c>
      <c r="J1619" s="451" t="s">
        <v>22942</v>
      </c>
      <c r="K1619" s="451"/>
    </row>
    <row r="1620" spans="1:11">
      <c r="A1620" s="450" t="s">
        <v>22769</v>
      </c>
      <c r="B1620" s="450" t="s">
        <v>22770</v>
      </c>
      <c r="C1620" s="450" t="s">
        <v>22771</v>
      </c>
      <c r="D1620" s="450"/>
      <c r="E1620" s="450"/>
      <c r="F1620" s="450" t="s">
        <v>3446</v>
      </c>
      <c r="G1620" s="450" t="s">
        <v>22877</v>
      </c>
      <c r="H1620" s="450" t="s">
        <v>22878</v>
      </c>
      <c r="I1620" s="450" t="s">
        <v>23597</v>
      </c>
      <c r="J1620" s="450" t="s">
        <v>23598</v>
      </c>
      <c r="K1620" s="450"/>
    </row>
    <row r="1621" spans="1:11">
      <c r="A1621" s="451" t="s">
        <v>21498</v>
      </c>
      <c r="B1621" s="451"/>
      <c r="C1621" s="451" t="s">
        <v>3455</v>
      </c>
      <c r="D1621" s="451"/>
      <c r="E1621" s="451"/>
      <c r="F1621" s="451"/>
      <c r="G1621" s="451" t="s">
        <v>22882</v>
      </c>
      <c r="H1621" s="451" t="s">
        <v>22883</v>
      </c>
      <c r="I1621" s="451"/>
      <c r="J1621" s="451" t="s">
        <v>22997</v>
      </c>
      <c r="K1621" s="451"/>
    </row>
    <row r="1622" spans="1:11">
      <c r="A1622" s="450" t="s">
        <v>30580</v>
      </c>
      <c r="B1622" s="450"/>
      <c r="C1622" s="450" t="s">
        <v>3455</v>
      </c>
      <c r="D1622" s="450"/>
      <c r="E1622" s="450"/>
      <c r="F1622" s="450"/>
      <c r="G1622" s="450" t="s">
        <v>22882</v>
      </c>
      <c r="H1622" s="450" t="s">
        <v>22883</v>
      </c>
      <c r="I1622" s="450"/>
      <c r="J1622" s="450" t="s">
        <v>22997</v>
      </c>
      <c r="K1622" s="450"/>
    </row>
    <row r="1623" spans="1:11">
      <c r="A1623" s="451" t="s">
        <v>3456</v>
      </c>
      <c r="B1623" s="451" t="s">
        <v>3457</v>
      </c>
      <c r="C1623" s="451" t="s">
        <v>3458</v>
      </c>
      <c r="D1623" s="451"/>
      <c r="E1623" s="451"/>
      <c r="F1623" s="451"/>
      <c r="G1623" s="451" t="s">
        <v>22877</v>
      </c>
      <c r="H1623" s="451" t="s">
        <v>22878</v>
      </c>
      <c r="I1623" s="451" t="s">
        <v>24360</v>
      </c>
      <c r="J1623" s="451" t="s">
        <v>30581</v>
      </c>
      <c r="K1623" s="451"/>
    </row>
    <row r="1624" spans="1:11" ht="15.5">
      <c r="A1624" s="448" t="s">
        <v>33364</v>
      </c>
      <c r="B1624" s="448" t="s">
        <v>33365</v>
      </c>
      <c r="C1624" s="448" t="s">
        <v>33366</v>
      </c>
      <c r="D1624" s="448"/>
      <c r="E1624" s="448"/>
      <c r="F1624" s="448"/>
      <c r="G1624" s="448"/>
      <c r="H1624" s="448"/>
      <c r="I1624" s="448"/>
      <c r="J1624" s="448"/>
      <c r="K1624" s="448"/>
    </row>
    <row r="1625" spans="1:11">
      <c r="A1625" s="451" t="s">
        <v>33367</v>
      </c>
      <c r="B1625" s="451"/>
      <c r="C1625" s="451" t="s">
        <v>1215</v>
      </c>
      <c r="D1625" s="451"/>
      <c r="E1625" s="451"/>
      <c r="F1625" s="451"/>
      <c r="G1625" s="451" t="s">
        <v>22882</v>
      </c>
      <c r="H1625" s="451" t="s">
        <v>22883</v>
      </c>
      <c r="I1625" s="451"/>
      <c r="J1625" s="451" t="s">
        <v>22942</v>
      </c>
      <c r="K1625" s="451"/>
    </row>
    <row r="1626" spans="1:11">
      <c r="A1626" s="450" t="s">
        <v>3459</v>
      </c>
      <c r="B1626" s="450"/>
      <c r="C1626" s="450" t="s">
        <v>1215</v>
      </c>
      <c r="D1626" s="450"/>
      <c r="E1626" s="450"/>
      <c r="F1626" s="450"/>
      <c r="G1626" s="450" t="s">
        <v>22877</v>
      </c>
      <c r="H1626" s="450" t="s">
        <v>22878</v>
      </c>
      <c r="I1626" s="450"/>
      <c r="J1626" s="450" t="s">
        <v>22942</v>
      </c>
      <c r="K1626" s="450"/>
    </row>
    <row r="1627" spans="1:11">
      <c r="A1627" s="451" t="s">
        <v>3460</v>
      </c>
      <c r="B1627" s="451"/>
      <c r="C1627" s="451" t="s">
        <v>3461</v>
      </c>
      <c r="D1627" s="451"/>
      <c r="E1627" s="451"/>
      <c r="F1627" s="451"/>
      <c r="G1627" s="451" t="s">
        <v>22882</v>
      </c>
      <c r="H1627" s="451" t="s">
        <v>22883</v>
      </c>
      <c r="I1627" s="451"/>
      <c r="J1627" s="451" t="s">
        <v>23185</v>
      </c>
      <c r="K1627" s="451"/>
    </row>
    <row r="1628" spans="1:11">
      <c r="A1628" s="450" t="s">
        <v>3462</v>
      </c>
      <c r="B1628" s="450" t="s">
        <v>3463</v>
      </c>
      <c r="C1628" s="450" t="s">
        <v>3464</v>
      </c>
      <c r="D1628" s="450" t="s">
        <v>3465</v>
      </c>
      <c r="E1628" s="450"/>
      <c r="F1628" s="450"/>
      <c r="G1628" s="450" t="s">
        <v>22877</v>
      </c>
      <c r="H1628" s="450" t="s">
        <v>22878</v>
      </c>
      <c r="I1628" s="450" t="s">
        <v>33368</v>
      </c>
      <c r="J1628" s="450" t="s">
        <v>33369</v>
      </c>
      <c r="K1628" s="450"/>
    </row>
    <row r="1629" spans="1:11">
      <c r="A1629" s="451" t="s">
        <v>3462</v>
      </c>
      <c r="B1629" s="451" t="s">
        <v>3463</v>
      </c>
      <c r="C1629" s="451" t="s">
        <v>3464</v>
      </c>
      <c r="D1629" s="451" t="s">
        <v>3465</v>
      </c>
      <c r="E1629" s="451" t="s">
        <v>3466</v>
      </c>
      <c r="F1629" s="451"/>
      <c r="G1629" s="451" t="s">
        <v>22877</v>
      </c>
      <c r="H1629" s="451" t="s">
        <v>22878</v>
      </c>
      <c r="I1629" s="451" t="s">
        <v>30582</v>
      </c>
      <c r="J1629" s="451" t="s">
        <v>30583</v>
      </c>
      <c r="K1629" s="451"/>
    </row>
    <row r="1630" spans="1:11">
      <c r="A1630" s="450" t="s">
        <v>22772</v>
      </c>
      <c r="B1630" s="450" t="s">
        <v>22773</v>
      </c>
      <c r="C1630" s="450" t="s">
        <v>22774</v>
      </c>
      <c r="D1630" s="450"/>
      <c r="E1630" s="450"/>
      <c r="F1630" s="450"/>
      <c r="G1630" s="450" t="s">
        <v>22877</v>
      </c>
      <c r="H1630" s="450" t="s">
        <v>22878</v>
      </c>
      <c r="I1630" s="450" t="s">
        <v>23599</v>
      </c>
      <c r="J1630" s="450" t="s">
        <v>23600</v>
      </c>
      <c r="K1630" s="450"/>
    </row>
    <row r="1631" spans="1:11">
      <c r="A1631" s="451" t="s">
        <v>3467</v>
      </c>
      <c r="B1631" s="451" t="s">
        <v>3468</v>
      </c>
      <c r="C1631" s="451" t="s">
        <v>3469</v>
      </c>
      <c r="D1631" s="451" t="s">
        <v>3470</v>
      </c>
      <c r="E1631" s="451"/>
      <c r="F1631" s="451"/>
      <c r="G1631" s="451" t="s">
        <v>22877</v>
      </c>
      <c r="H1631" s="451" t="s">
        <v>22878</v>
      </c>
      <c r="I1631" s="451" t="s">
        <v>23601</v>
      </c>
      <c r="J1631" s="451" t="s">
        <v>23602</v>
      </c>
      <c r="K1631" s="451"/>
    </row>
    <row r="1632" spans="1:11">
      <c r="A1632" s="450" t="s">
        <v>3471</v>
      </c>
      <c r="B1632" s="450"/>
      <c r="C1632" s="450" t="s">
        <v>3472</v>
      </c>
      <c r="D1632" s="450"/>
      <c r="E1632" s="450"/>
      <c r="F1632" s="450"/>
      <c r="G1632" s="450" t="s">
        <v>22882</v>
      </c>
      <c r="H1632" s="450" t="s">
        <v>22883</v>
      </c>
      <c r="I1632" s="450"/>
      <c r="J1632" s="450" t="s">
        <v>22997</v>
      </c>
      <c r="K1632" s="450"/>
    </row>
    <row r="1633" spans="1:11">
      <c r="A1633" s="451" t="s">
        <v>22775</v>
      </c>
      <c r="B1633" s="451"/>
      <c r="C1633" s="451" t="s">
        <v>3472</v>
      </c>
      <c r="D1633" s="451"/>
      <c r="E1633" s="451"/>
      <c r="F1633" s="451"/>
      <c r="G1633" s="451" t="s">
        <v>22882</v>
      </c>
      <c r="H1633" s="451" t="s">
        <v>22883</v>
      </c>
      <c r="I1633" s="451"/>
      <c r="J1633" s="451" t="s">
        <v>22997</v>
      </c>
      <c r="K1633" s="451"/>
    </row>
    <row r="1634" spans="1:11">
      <c r="A1634" s="450" t="s">
        <v>33370</v>
      </c>
      <c r="B1634" s="450" t="s">
        <v>3474</v>
      </c>
      <c r="C1634" s="450" t="s">
        <v>3475</v>
      </c>
      <c r="D1634" s="450" t="s">
        <v>3476</v>
      </c>
      <c r="E1634" s="450"/>
      <c r="F1634" s="450"/>
      <c r="G1634" s="450" t="s">
        <v>22882</v>
      </c>
      <c r="H1634" s="450" t="s">
        <v>22883</v>
      </c>
      <c r="I1634" s="450" t="s">
        <v>33371</v>
      </c>
      <c r="J1634" s="450" t="s">
        <v>33372</v>
      </c>
      <c r="K1634" s="450"/>
    </row>
    <row r="1635" spans="1:11">
      <c r="A1635" s="451" t="s">
        <v>3473</v>
      </c>
      <c r="B1635" s="451" t="s">
        <v>3474</v>
      </c>
      <c r="C1635" s="451" t="s">
        <v>3475</v>
      </c>
      <c r="D1635" s="451" t="s">
        <v>3476</v>
      </c>
      <c r="E1635" s="451" t="s">
        <v>3477</v>
      </c>
      <c r="F1635" s="451"/>
      <c r="G1635" s="451" t="s">
        <v>22993</v>
      </c>
      <c r="H1635" s="451" t="s">
        <v>22878</v>
      </c>
      <c r="I1635" s="451" t="s">
        <v>30584</v>
      </c>
      <c r="J1635" s="451" t="s">
        <v>3474</v>
      </c>
      <c r="K1635" s="451"/>
    </row>
    <row r="1636" spans="1:11">
      <c r="A1636" s="450" t="s">
        <v>22776</v>
      </c>
      <c r="B1636" s="450" t="s">
        <v>22777</v>
      </c>
      <c r="C1636" s="450" t="s">
        <v>3494</v>
      </c>
      <c r="D1636" s="450" t="s">
        <v>3495</v>
      </c>
      <c r="E1636" s="450"/>
      <c r="F1636" s="450"/>
      <c r="G1636" s="450" t="s">
        <v>22877</v>
      </c>
      <c r="H1636" s="450" t="s">
        <v>22878</v>
      </c>
      <c r="I1636" s="450" t="s">
        <v>3495</v>
      </c>
      <c r="J1636" s="450" t="s">
        <v>23603</v>
      </c>
      <c r="K1636" s="450"/>
    </row>
    <row r="1637" spans="1:11">
      <c r="A1637" s="451" t="s">
        <v>3478</v>
      </c>
      <c r="B1637" s="451" t="s">
        <v>22778</v>
      </c>
      <c r="C1637" s="451" t="s">
        <v>3480</v>
      </c>
      <c r="D1637" s="451" t="s">
        <v>3481</v>
      </c>
      <c r="E1637" s="451"/>
      <c r="F1637" s="451"/>
      <c r="G1637" s="451" t="s">
        <v>22877</v>
      </c>
      <c r="H1637" s="451" t="s">
        <v>22878</v>
      </c>
      <c r="I1637" s="451" t="s">
        <v>23604</v>
      </c>
      <c r="J1637" s="451" t="s">
        <v>23605</v>
      </c>
      <c r="K1637" s="451"/>
    </row>
    <row r="1638" spans="1:11">
      <c r="A1638" s="450" t="s">
        <v>3478</v>
      </c>
      <c r="B1638" s="450" t="s">
        <v>3479</v>
      </c>
      <c r="C1638" s="450" t="s">
        <v>3480</v>
      </c>
      <c r="D1638" s="450" t="s">
        <v>3481</v>
      </c>
      <c r="E1638" s="450" t="s">
        <v>3482</v>
      </c>
      <c r="F1638" s="450"/>
      <c r="G1638" s="450" t="s">
        <v>22877</v>
      </c>
      <c r="H1638" s="450" t="s">
        <v>22878</v>
      </c>
      <c r="I1638" s="450" t="s">
        <v>3481</v>
      </c>
      <c r="J1638" s="450" t="s">
        <v>30585</v>
      </c>
      <c r="K1638" s="450"/>
    </row>
    <row r="1639" spans="1:11">
      <c r="A1639" s="451" t="s">
        <v>3483</v>
      </c>
      <c r="B1639" s="451" t="s">
        <v>3484</v>
      </c>
      <c r="C1639" s="451" t="s">
        <v>3485</v>
      </c>
      <c r="D1639" s="451" t="s">
        <v>3486</v>
      </c>
      <c r="E1639" s="451" t="s">
        <v>3487</v>
      </c>
      <c r="F1639" s="451"/>
      <c r="G1639" s="451" t="s">
        <v>22877</v>
      </c>
      <c r="H1639" s="451" t="s">
        <v>22878</v>
      </c>
      <c r="I1639" s="451" t="s">
        <v>33373</v>
      </c>
      <c r="J1639" s="451" t="s">
        <v>33374</v>
      </c>
      <c r="K1639" s="451"/>
    </row>
    <row r="1640" spans="1:11">
      <c r="A1640" s="450" t="s">
        <v>22779</v>
      </c>
      <c r="B1640" s="450" t="s">
        <v>3484</v>
      </c>
      <c r="C1640" s="450" t="s">
        <v>22780</v>
      </c>
      <c r="D1640" s="450" t="s">
        <v>3486</v>
      </c>
      <c r="E1640" s="450"/>
      <c r="F1640" s="450"/>
      <c r="G1640" s="450" t="s">
        <v>22877</v>
      </c>
      <c r="H1640" s="450" t="s">
        <v>22878</v>
      </c>
      <c r="I1640" s="450" t="s">
        <v>23606</v>
      </c>
      <c r="J1640" s="450" t="s">
        <v>23607</v>
      </c>
      <c r="K1640" s="450"/>
    </row>
    <row r="1641" spans="1:11">
      <c r="A1641" s="451" t="s">
        <v>3488</v>
      </c>
      <c r="B1641" s="451" t="s">
        <v>22781</v>
      </c>
      <c r="C1641" s="451" t="s">
        <v>1810</v>
      </c>
      <c r="D1641" s="451" t="s">
        <v>3490</v>
      </c>
      <c r="E1641" s="451"/>
      <c r="F1641" s="451"/>
      <c r="G1641" s="451" t="s">
        <v>22877</v>
      </c>
      <c r="H1641" s="451" t="s">
        <v>22878</v>
      </c>
      <c r="I1641" s="451" t="s">
        <v>23608</v>
      </c>
      <c r="J1641" s="451" t="s">
        <v>23609</v>
      </c>
      <c r="K1641" s="451"/>
    </row>
    <row r="1642" spans="1:11">
      <c r="A1642" s="450" t="s">
        <v>3488</v>
      </c>
      <c r="B1642" s="450" t="s">
        <v>3489</v>
      </c>
      <c r="C1642" s="450" t="s">
        <v>1810</v>
      </c>
      <c r="D1642" s="450" t="s">
        <v>3490</v>
      </c>
      <c r="E1642" s="450" t="s">
        <v>3491</v>
      </c>
      <c r="F1642" s="450"/>
      <c r="G1642" s="450" t="s">
        <v>22877</v>
      </c>
      <c r="H1642" s="450" t="s">
        <v>22878</v>
      </c>
      <c r="I1642" s="450" t="s">
        <v>30586</v>
      </c>
      <c r="J1642" s="450" t="s">
        <v>30587</v>
      </c>
      <c r="K1642" s="450"/>
    </row>
    <row r="1643" spans="1:11">
      <c r="A1643" s="451" t="s">
        <v>3492</v>
      </c>
      <c r="B1643" s="451" t="s">
        <v>3493</v>
      </c>
      <c r="C1643" s="451" t="s">
        <v>3494</v>
      </c>
      <c r="D1643" s="451" t="s">
        <v>3495</v>
      </c>
      <c r="E1643" s="451" t="s">
        <v>3496</v>
      </c>
      <c r="F1643" s="451"/>
      <c r="G1643" s="451" t="s">
        <v>22877</v>
      </c>
      <c r="H1643" s="451" t="s">
        <v>22878</v>
      </c>
      <c r="I1643" s="451" t="s">
        <v>3495</v>
      </c>
      <c r="J1643" s="451" t="s">
        <v>30588</v>
      </c>
      <c r="K1643" s="451"/>
    </row>
    <row r="1644" spans="1:11">
      <c r="A1644" s="450" t="s">
        <v>3497</v>
      </c>
      <c r="B1644" s="450"/>
      <c r="C1644" s="450" t="s">
        <v>3498</v>
      </c>
      <c r="D1644" s="450"/>
      <c r="E1644" s="450"/>
      <c r="F1644" s="450"/>
      <c r="G1644" s="450" t="s">
        <v>22877</v>
      </c>
      <c r="H1644" s="450" t="s">
        <v>22878</v>
      </c>
      <c r="I1644" s="450" t="s">
        <v>23610</v>
      </c>
      <c r="J1644" s="450" t="s">
        <v>22942</v>
      </c>
      <c r="K1644" s="450"/>
    </row>
    <row r="1645" spans="1:11">
      <c r="A1645" s="451" t="s">
        <v>22782</v>
      </c>
      <c r="B1645" s="451" t="s">
        <v>22783</v>
      </c>
      <c r="C1645" s="451" t="s">
        <v>22784</v>
      </c>
      <c r="D1645" s="451"/>
      <c r="E1645" s="451"/>
      <c r="F1645" s="451"/>
      <c r="G1645" s="451" t="s">
        <v>22877</v>
      </c>
      <c r="H1645" s="451" t="s">
        <v>22878</v>
      </c>
      <c r="I1645" s="451" t="s">
        <v>23611</v>
      </c>
      <c r="J1645" s="451" t="s">
        <v>23612</v>
      </c>
      <c r="K1645" s="451"/>
    </row>
    <row r="1646" spans="1:11">
      <c r="A1646" s="450" t="s">
        <v>3499</v>
      </c>
      <c r="B1646" s="450"/>
      <c r="C1646" s="450" t="s">
        <v>3500</v>
      </c>
      <c r="D1646" s="450"/>
      <c r="E1646" s="450"/>
      <c r="F1646" s="450"/>
      <c r="G1646" s="450" t="s">
        <v>22877</v>
      </c>
      <c r="H1646" s="450" t="s">
        <v>22878</v>
      </c>
      <c r="I1646" s="450" t="s">
        <v>33375</v>
      </c>
      <c r="J1646" s="450" t="s">
        <v>22939</v>
      </c>
      <c r="K1646" s="450"/>
    </row>
    <row r="1647" spans="1:11">
      <c r="A1647" s="451" t="s">
        <v>33376</v>
      </c>
      <c r="B1647" s="451"/>
      <c r="C1647" s="451" t="s">
        <v>3502</v>
      </c>
      <c r="D1647" s="451"/>
      <c r="E1647" s="451"/>
      <c r="F1647" s="451"/>
      <c r="G1647" s="451" t="s">
        <v>22882</v>
      </c>
      <c r="H1647" s="451" t="s">
        <v>22883</v>
      </c>
      <c r="I1647" s="451" t="s">
        <v>33377</v>
      </c>
      <c r="J1647" s="451" t="s">
        <v>22942</v>
      </c>
      <c r="K1647" s="451"/>
    </row>
    <row r="1648" spans="1:11">
      <c r="A1648" s="450" t="s">
        <v>3501</v>
      </c>
      <c r="B1648" s="450"/>
      <c r="C1648" s="450" t="s">
        <v>3502</v>
      </c>
      <c r="D1648" s="450"/>
      <c r="E1648" s="450"/>
      <c r="F1648" s="450"/>
      <c r="G1648" s="450" t="s">
        <v>22882</v>
      </c>
      <c r="H1648" s="450" t="s">
        <v>22883</v>
      </c>
      <c r="I1648" s="450" t="s">
        <v>30589</v>
      </c>
      <c r="J1648" s="450" t="s">
        <v>30590</v>
      </c>
      <c r="K1648" s="450"/>
    </row>
    <row r="1649" spans="1:11">
      <c r="A1649" s="451" t="s">
        <v>22785</v>
      </c>
      <c r="B1649" s="451" t="s">
        <v>22786</v>
      </c>
      <c r="C1649" s="451" t="s">
        <v>3507</v>
      </c>
      <c r="D1649" s="451"/>
      <c r="E1649" s="451"/>
      <c r="F1649" s="451"/>
      <c r="G1649" s="451" t="s">
        <v>22877</v>
      </c>
      <c r="H1649" s="451" t="s">
        <v>22878</v>
      </c>
      <c r="I1649" s="451" t="s">
        <v>23613</v>
      </c>
      <c r="J1649" s="451" t="s">
        <v>23614</v>
      </c>
      <c r="K1649" s="451"/>
    </row>
    <row r="1650" spans="1:11">
      <c r="A1650" s="450" t="s">
        <v>3503</v>
      </c>
      <c r="B1650" s="450"/>
      <c r="C1650" s="450" t="s">
        <v>3504</v>
      </c>
      <c r="D1650" s="450"/>
      <c r="E1650" s="450"/>
      <c r="F1650" s="450"/>
      <c r="G1650" s="450" t="s">
        <v>22882</v>
      </c>
      <c r="H1650" s="450" t="s">
        <v>22883</v>
      </c>
      <c r="I1650" s="450" t="s">
        <v>23615</v>
      </c>
      <c r="J1650" s="450" t="s">
        <v>22942</v>
      </c>
      <c r="K1650" s="450"/>
    </row>
    <row r="1651" spans="1:11">
      <c r="A1651" s="451" t="s">
        <v>3505</v>
      </c>
      <c r="B1651" s="451" t="s">
        <v>3506</v>
      </c>
      <c r="C1651" s="451" t="s">
        <v>3507</v>
      </c>
      <c r="D1651" s="451"/>
      <c r="E1651" s="451"/>
      <c r="F1651" s="451"/>
      <c r="G1651" s="451" t="s">
        <v>22882</v>
      </c>
      <c r="H1651" s="451" t="s">
        <v>22883</v>
      </c>
      <c r="I1651" s="451" t="s">
        <v>30591</v>
      </c>
      <c r="J1651" s="451" t="s">
        <v>30592</v>
      </c>
      <c r="K1651" s="451"/>
    </row>
    <row r="1652" spans="1:11">
      <c r="A1652" s="450" t="s">
        <v>33378</v>
      </c>
      <c r="B1652" s="450"/>
      <c r="C1652" s="450" t="s">
        <v>3509</v>
      </c>
      <c r="D1652" s="450"/>
      <c r="E1652" s="450"/>
      <c r="F1652" s="450"/>
      <c r="G1652" s="450" t="s">
        <v>22877</v>
      </c>
      <c r="H1652" s="450" t="s">
        <v>22878</v>
      </c>
      <c r="I1652" s="450" t="s">
        <v>33379</v>
      </c>
      <c r="J1652" s="450" t="s">
        <v>22948</v>
      </c>
      <c r="K1652" s="450"/>
    </row>
    <row r="1653" spans="1:11">
      <c r="A1653" s="451" t="s">
        <v>3508</v>
      </c>
      <c r="B1653" s="451"/>
      <c r="C1653" s="451" t="s">
        <v>3509</v>
      </c>
      <c r="D1653" s="451"/>
      <c r="E1653" s="451"/>
      <c r="F1653" s="451"/>
      <c r="G1653" s="451" t="s">
        <v>22882</v>
      </c>
      <c r="H1653" s="451" t="s">
        <v>22883</v>
      </c>
      <c r="I1653" s="451" t="s">
        <v>33380</v>
      </c>
      <c r="J1653" s="451" t="s">
        <v>28403</v>
      </c>
      <c r="K1653" s="451"/>
    </row>
    <row r="1654" spans="1:11">
      <c r="A1654" s="450" t="s">
        <v>3510</v>
      </c>
      <c r="B1654" s="450"/>
      <c r="C1654" s="450" t="s">
        <v>3511</v>
      </c>
      <c r="D1654" s="450"/>
      <c r="E1654" s="450"/>
      <c r="F1654" s="450"/>
      <c r="G1654" s="450" t="s">
        <v>22882</v>
      </c>
      <c r="H1654" s="450" t="s">
        <v>22883</v>
      </c>
      <c r="I1654" s="450"/>
      <c r="J1654" s="450" t="s">
        <v>22942</v>
      </c>
      <c r="K1654" s="450"/>
    </row>
    <row r="1655" spans="1:11">
      <c r="A1655" s="451" t="s">
        <v>3512</v>
      </c>
      <c r="B1655" s="451"/>
      <c r="C1655" s="451" t="s">
        <v>3513</v>
      </c>
      <c r="D1655" s="451"/>
      <c r="E1655" s="451"/>
      <c r="F1655" s="451"/>
      <c r="G1655" s="451" t="s">
        <v>22882</v>
      </c>
      <c r="H1655" s="451" t="s">
        <v>22883</v>
      </c>
      <c r="I1655" s="451" t="s">
        <v>33381</v>
      </c>
      <c r="J1655" s="451" t="s">
        <v>23185</v>
      </c>
      <c r="K1655" s="451"/>
    </row>
    <row r="1656" spans="1:11">
      <c r="A1656" s="450" t="s">
        <v>33382</v>
      </c>
      <c r="B1656" s="450"/>
      <c r="C1656" s="450" t="s">
        <v>3515</v>
      </c>
      <c r="D1656" s="450"/>
      <c r="E1656" s="450"/>
      <c r="F1656" s="450"/>
      <c r="G1656" s="450" t="s">
        <v>22882</v>
      </c>
      <c r="H1656" s="450" t="s">
        <v>22883</v>
      </c>
      <c r="I1656" s="450"/>
      <c r="J1656" s="450" t="s">
        <v>22942</v>
      </c>
      <c r="K1656" s="450"/>
    </row>
    <row r="1657" spans="1:11">
      <c r="A1657" s="451" t="s">
        <v>3514</v>
      </c>
      <c r="B1657" s="451"/>
      <c r="C1657" s="451" t="s">
        <v>3515</v>
      </c>
      <c r="D1657" s="451"/>
      <c r="E1657" s="451"/>
      <c r="F1657" s="451"/>
      <c r="G1657" s="451" t="s">
        <v>22882</v>
      </c>
      <c r="H1657" s="451" t="s">
        <v>22883</v>
      </c>
      <c r="I1657" s="451" t="s">
        <v>33383</v>
      </c>
      <c r="J1657" s="451" t="s">
        <v>22997</v>
      </c>
      <c r="K1657" s="451"/>
    </row>
    <row r="1658" spans="1:11">
      <c r="A1658" s="450" t="s">
        <v>3516</v>
      </c>
      <c r="B1658" s="450"/>
      <c r="C1658" s="450" t="s">
        <v>3517</v>
      </c>
      <c r="D1658" s="450"/>
      <c r="E1658" s="450"/>
      <c r="F1658" s="450"/>
      <c r="G1658" s="450" t="s">
        <v>22877</v>
      </c>
      <c r="H1658" s="450" t="s">
        <v>22878</v>
      </c>
      <c r="I1658" s="450" t="s">
        <v>33384</v>
      </c>
      <c r="J1658" s="450" t="s">
        <v>22997</v>
      </c>
      <c r="K1658" s="450"/>
    </row>
    <row r="1659" spans="1:11">
      <c r="A1659" s="451" t="s">
        <v>3518</v>
      </c>
      <c r="B1659" s="451"/>
      <c r="C1659" s="451" t="s">
        <v>2085</v>
      </c>
      <c r="D1659" s="451"/>
      <c r="E1659" s="451"/>
      <c r="F1659" s="451"/>
      <c r="G1659" s="451" t="s">
        <v>22882</v>
      </c>
      <c r="H1659" s="451" t="s">
        <v>22883</v>
      </c>
      <c r="I1659" s="451" t="s">
        <v>33385</v>
      </c>
      <c r="J1659" s="451" t="s">
        <v>22997</v>
      </c>
      <c r="K1659" s="451"/>
    </row>
    <row r="1660" spans="1:11">
      <c r="A1660" s="450" t="s">
        <v>3519</v>
      </c>
      <c r="B1660" s="450"/>
      <c r="C1660" s="450" t="s">
        <v>3520</v>
      </c>
      <c r="D1660" s="450"/>
      <c r="E1660" s="450"/>
      <c r="F1660" s="450"/>
      <c r="G1660" s="450" t="s">
        <v>22882</v>
      </c>
      <c r="H1660" s="450" t="s">
        <v>22883</v>
      </c>
      <c r="I1660" s="450" t="s">
        <v>33386</v>
      </c>
      <c r="J1660" s="450" t="s">
        <v>22942</v>
      </c>
      <c r="K1660" s="450"/>
    </row>
    <row r="1661" spans="1:11">
      <c r="A1661" s="451" t="s">
        <v>3521</v>
      </c>
      <c r="B1661" s="451"/>
      <c r="C1661" s="451" t="s">
        <v>3522</v>
      </c>
      <c r="D1661" s="451"/>
      <c r="E1661" s="451"/>
      <c r="F1661" s="451"/>
      <c r="G1661" s="451" t="s">
        <v>22877</v>
      </c>
      <c r="H1661" s="451" t="s">
        <v>22878</v>
      </c>
      <c r="I1661" s="451" t="s">
        <v>33387</v>
      </c>
      <c r="J1661" s="451" t="s">
        <v>22942</v>
      </c>
      <c r="K1661" s="451"/>
    </row>
    <row r="1662" spans="1:11">
      <c r="A1662" s="450" t="s">
        <v>33388</v>
      </c>
      <c r="B1662" s="450"/>
      <c r="C1662" s="450" t="s">
        <v>3524</v>
      </c>
      <c r="D1662" s="450"/>
      <c r="E1662" s="450"/>
      <c r="F1662" s="450"/>
      <c r="G1662" s="450" t="s">
        <v>22882</v>
      </c>
      <c r="H1662" s="450" t="s">
        <v>22883</v>
      </c>
      <c r="I1662" s="450" t="s">
        <v>23616</v>
      </c>
      <c r="J1662" s="450" t="s">
        <v>22942</v>
      </c>
      <c r="K1662" s="450"/>
    </row>
    <row r="1663" spans="1:11">
      <c r="A1663" s="451" t="s">
        <v>3523</v>
      </c>
      <c r="B1663" s="451"/>
      <c r="C1663" s="451" t="s">
        <v>3524</v>
      </c>
      <c r="D1663" s="451"/>
      <c r="E1663" s="451"/>
      <c r="F1663" s="451"/>
      <c r="G1663" s="451" t="s">
        <v>22882</v>
      </c>
      <c r="H1663" s="451" t="s">
        <v>22883</v>
      </c>
      <c r="I1663" s="451" t="s">
        <v>33389</v>
      </c>
      <c r="J1663" s="451" t="s">
        <v>28871</v>
      </c>
      <c r="K1663" s="451"/>
    </row>
    <row r="1664" spans="1:11">
      <c r="A1664" s="450" t="s">
        <v>3525</v>
      </c>
      <c r="B1664" s="450"/>
      <c r="C1664" s="450" t="s">
        <v>3526</v>
      </c>
      <c r="D1664" s="450"/>
      <c r="E1664" s="450"/>
      <c r="F1664" s="450"/>
      <c r="G1664" s="450" t="s">
        <v>22877</v>
      </c>
      <c r="H1664" s="450" t="s">
        <v>22878</v>
      </c>
      <c r="I1664" s="450" t="s">
        <v>33390</v>
      </c>
      <c r="J1664" s="450" t="s">
        <v>23185</v>
      </c>
      <c r="K1664" s="450"/>
    </row>
    <row r="1665" spans="1:11">
      <c r="A1665" s="451" t="s">
        <v>3527</v>
      </c>
      <c r="B1665" s="451"/>
      <c r="C1665" s="451" t="s">
        <v>3528</v>
      </c>
      <c r="D1665" s="451"/>
      <c r="E1665" s="451"/>
      <c r="F1665" s="451"/>
      <c r="G1665" s="451" t="s">
        <v>22882</v>
      </c>
      <c r="H1665" s="451" t="s">
        <v>22883</v>
      </c>
      <c r="I1665" s="451" t="s">
        <v>33391</v>
      </c>
      <c r="J1665" s="451" t="s">
        <v>23185</v>
      </c>
      <c r="K1665" s="451"/>
    </row>
    <row r="1666" spans="1:11">
      <c r="A1666" s="450" t="s">
        <v>21499</v>
      </c>
      <c r="B1666" s="450"/>
      <c r="C1666" s="450" t="s">
        <v>3529</v>
      </c>
      <c r="D1666" s="450"/>
      <c r="E1666" s="450"/>
      <c r="F1666" s="450"/>
      <c r="G1666" s="450" t="s">
        <v>22882</v>
      </c>
      <c r="H1666" s="450" t="s">
        <v>22883</v>
      </c>
      <c r="I1666" s="450"/>
      <c r="J1666" s="450" t="s">
        <v>22997</v>
      </c>
      <c r="K1666" s="450"/>
    </row>
    <row r="1667" spans="1:11">
      <c r="A1667" s="451" t="s">
        <v>3530</v>
      </c>
      <c r="B1667" s="451" t="s">
        <v>3531</v>
      </c>
      <c r="C1667" s="451" t="s">
        <v>2168</v>
      </c>
      <c r="D1667" s="451" t="s">
        <v>3532</v>
      </c>
      <c r="E1667" s="451"/>
      <c r="F1667" s="451"/>
      <c r="G1667" s="451" t="s">
        <v>22877</v>
      </c>
      <c r="H1667" s="451" t="s">
        <v>22878</v>
      </c>
      <c r="I1667" s="451" t="s">
        <v>3532</v>
      </c>
      <c r="J1667" s="451" t="s">
        <v>23617</v>
      </c>
      <c r="K1667" s="451"/>
    </row>
    <row r="1668" spans="1:11">
      <c r="A1668" s="450" t="s">
        <v>3533</v>
      </c>
      <c r="B1668" s="450"/>
      <c r="C1668" s="450" t="s">
        <v>3534</v>
      </c>
      <c r="D1668" s="450"/>
      <c r="E1668" s="450"/>
      <c r="F1668" s="450"/>
      <c r="G1668" s="450" t="s">
        <v>22877</v>
      </c>
      <c r="H1668" s="450" t="s">
        <v>22878</v>
      </c>
      <c r="I1668" s="450" t="s">
        <v>33392</v>
      </c>
      <c r="J1668" s="450" t="s">
        <v>22942</v>
      </c>
      <c r="K1668" s="450"/>
    </row>
    <row r="1669" spans="1:11">
      <c r="A1669" s="451" t="s">
        <v>3535</v>
      </c>
      <c r="B1669" s="451"/>
      <c r="C1669" s="451" t="s">
        <v>3536</v>
      </c>
      <c r="D1669" s="451"/>
      <c r="E1669" s="451"/>
      <c r="F1669" s="451"/>
      <c r="G1669" s="451" t="s">
        <v>22882</v>
      </c>
      <c r="H1669" s="451" t="s">
        <v>22883</v>
      </c>
      <c r="I1669" s="451"/>
      <c r="J1669" s="451" t="s">
        <v>23185</v>
      </c>
      <c r="K1669" s="451"/>
    </row>
    <row r="1670" spans="1:11">
      <c r="A1670" s="450" t="s">
        <v>33393</v>
      </c>
      <c r="B1670" s="450"/>
      <c r="C1670" s="450" t="s">
        <v>3538</v>
      </c>
      <c r="D1670" s="450"/>
      <c r="E1670" s="450"/>
      <c r="F1670" s="450"/>
      <c r="G1670" s="450" t="s">
        <v>22877</v>
      </c>
      <c r="H1670" s="450" t="s">
        <v>22878</v>
      </c>
      <c r="I1670" s="450" t="s">
        <v>33394</v>
      </c>
      <c r="J1670" s="450" t="s">
        <v>22942</v>
      </c>
      <c r="K1670" s="450"/>
    </row>
    <row r="1671" spans="1:11">
      <c r="A1671" s="451" t="s">
        <v>3537</v>
      </c>
      <c r="B1671" s="451"/>
      <c r="C1671" s="451" t="s">
        <v>3538</v>
      </c>
      <c r="D1671" s="451"/>
      <c r="E1671" s="451"/>
      <c r="F1671" s="451"/>
      <c r="G1671" s="451" t="s">
        <v>22877</v>
      </c>
      <c r="H1671" s="451" t="s">
        <v>22878</v>
      </c>
      <c r="I1671" s="451" t="s">
        <v>33395</v>
      </c>
      <c r="J1671" s="451" t="s">
        <v>22997</v>
      </c>
      <c r="K1671" s="451"/>
    </row>
    <row r="1672" spans="1:11">
      <c r="A1672" s="450" t="s">
        <v>33396</v>
      </c>
      <c r="B1672" s="450"/>
      <c r="C1672" s="450" t="s">
        <v>3539</v>
      </c>
      <c r="D1672" s="450"/>
      <c r="E1672" s="450"/>
      <c r="F1672" s="450"/>
      <c r="G1672" s="450" t="s">
        <v>22877</v>
      </c>
      <c r="H1672" s="450" t="s">
        <v>22878</v>
      </c>
      <c r="I1672" s="450" t="s">
        <v>33397</v>
      </c>
      <c r="J1672" s="450" t="s">
        <v>22997</v>
      </c>
      <c r="K1672" s="450"/>
    </row>
    <row r="1673" spans="1:11">
      <c r="A1673" s="451" t="s">
        <v>21500</v>
      </c>
      <c r="B1673" s="451"/>
      <c r="C1673" s="451" t="s">
        <v>3539</v>
      </c>
      <c r="D1673" s="451"/>
      <c r="E1673" s="451"/>
      <c r="F1673" s="451"/>
      <c r="G1673" s="451" t="s">
        <v>22877</v>
      </c>
      <c r="H1673" s="451" t="s">
        <v>22878</v>
      </c>
      <c r="I1673" s="451" t="s">
        <v>30593</v>
      </c>
      <c r="J1673" s="451" t="s">
        <v>23185</v>
      </c>
      <c r="K1673" s="451"/>
    </row>
    <row r="1674" spans="1:11">
      <c r="A1674" s="450" t="s">
        <v>33398</v>
      </c>
      <c r="B1674" s="450" t="s">
        <v>3541</v>
      </c>
      <c r="C1674" s="450" t="s">
        <v>3542</v>
      </c>
      <c r="D1674" s="450" t="s">
        <v>3543</v>
      </c>
      <c r="E1674" s="450"/>
      <c r="F1674" s="450"/>
      <c r="G1674" s="450" t="s">
        <v>22882</v>
      </c>
      <c r="H1674" s="450" t="s">
        <v>22883</v>
      </c>
      <c r="I1674" s="450" t="s">
        <v>3543</v>
      </c>
      <c r="J1674" s="450" t="s">
        <v>33399</v>
      </c>
      <c r="K1674" s="450"/>
    </row>
    <row r="1675" spans="1:11">
      <c r="A1675" s="451" t="s">
        <v>3540</v>
      </c>
      <c r="B1675" s="451" t="s">
        <v>3541</v>
      </c>
      <c r="C1675" s="451" t="s">
        <v>3542</v>
      </c>
      <c r="D1675" s="451" t="s">
        <v>3543</v>
      </c>
      <c r="E1675" s="451" t="s">
        <v>3544</v>
      </c>
      <c r="F1675" s="451"/>
      <c r="G1675" s="451" t="s">
        <v>22882</v>
      </c>
      <c r="H1675" s="451" t="s">
        <v>22883</v>
      </c>
      <c r="I1675" s="451" t="s">
        <v>30594</v>
      </c>
      <c r="J1675" s="451" t="s">
        <v>30595</v>
      </c>
      <c r="K1675" s="451"/>
    </row>
    <row r="1676" spans="1:11">
      <c r="A1676" s="450" t="s">
        <v>33400</v>
      </c>
      <c r="B1676" s="450" t="s">
        <v>3546</v>
      </c>
      <c r="C1676" s="450" t="s">
        <v>3547</v>
      </c>
      <c r="D1676" s="450" t="s">
        <v>3548</v>
      </c>
      <c r="E1676" s="450"/>
      <c r="F1676" s="450"/>
      <c r="G1676" s="450" t="s">
        <v>22877</v>
      </c>
      <c r="H1676" s="450" t="s">
        <v>22878</v>
      </c>
      <c r="I1676" s="450" t="s">
        <v>3548</v>
      </c>
      <c r="J1676" s="450" t="s">
        <v>33401</v>
      </c>
      <c r="K1676" s="450"/>
    </row>
    <row r="1677" spans="1:11">
      <c r="A1677" s="451" t="s">
        <v>3545</v>
      </c>
      <c r="B1677" s="451" t="s">
        <v>3546</v>
      </c>
      <c r="C1677" s="451" t="s">
        <v>3547</v>
      </c>
      <c r="D1677" s="451" t="s">
        <v>3548</v>
      </c>
      <c r="E1677" s="451"/>
      <c r="F1677" s="451"/>
      <c r="G1677" s="451" t="s">
        <v>22882</v>
      </c>
      <c r="H1677" s="451" t="s">
        <v>22883</v>
      </c>
      <c r="I1677" s="451" t="s">
        <v>3548</v>
      </c>
      <c r="J1677" s="451" t="s">
        <v>30596</v>
      </c>
      <c r="K1677" s="451"/>
    </row>
    <row r="1678" spans="1:11">
      <c r="A1678" s="450" t="s">
        <v>33402</v>
      </c>
      <c r="B1678" s="450"/>
      <c r="C1678" s="450" t="s">
        <v>3550</v>
      </c>
      <c r="D1678" s="450"/>
      <c r="E1678" s="450"/>
      <c r="F1678" s="450"/>
      <c r="G1678" s="450" t="s">
        <v>22877</v>
      </c>
      <c r="H1678" s="450" t="s">
        <v>22878</v>
      </c>
      <c r="I1678" s="450" t="s">
        <v>33403</v>
      </c>
      <c r="J1678" s="450" t="s">
        <v>22942</v>
      </c>
      <c r="K1678" s="450"/>
    </row>
    <row r="1679" spans="1:11">
      <c r="A1679" s="451" t="s">
        <v>3549</v>
      </c>
      <c r="B1679" s="451"/>
      <c r="C1679" s="451" t="s">
        <v>3550</v>
      </c>
      <c r="D1679" s="451"/>
      <c r="E1679" s="451"/>
      <c r="F1679" s="451"/>
      <c r="G1679" s="451" t="s">
        <v>22877</v>
      </c>
      <c r="H1679" s="451" t="s">
        <v>22878</v>
      </c>
      <c r="I1679" s="451" t="s">
        <v>33404</v>
      </c>
      <c r="J1679" s="451" t="s">
        <v>23185</v>
      </c>
      <c r="K1679" s="451"/>
    </row>
    <row r="1680" spans="1:11">
      <c r="A1680" s="450" t="s">
        <v>3551</v>
      </c>
      <c r="B1680" s="450"/>
      <c r="C1680" s="450" t="s">
        <v>3552</v>
      </c>
      <c r="D1680" s="450"/>
      <c r="E1680" s="450"/>
      <c r="F1680" s="450"/>
      <c r="G1680" s="450" t="s">
        <v>22877</v>
      </c>
      <c r="H1680" s="450" t="s">
        <v>22878</v>
      </c>
      <c r="I1680" s="450" t="s">
        <v>33405</v>
      </c>
      <c r="J1680" s="450" t="s">
        <v>22942</v>
      </c>
      <c r="K1680" s="450"/>
    </row>
    <row r="1681" spans="1:11">
      <c r="A1681" s="451" t="s">
        <v>3553</v>
      </c>
      <c r="B1681" s="451"/>
      <c r="C1681" s="451" t="s">
        <v>2139</v>
      </c>
      <c r="D1681" s="451"/>
      <c r="E1681" s="451"/>
      <c r="F1681" s="451"/>
      <c r="G1681" s="451" t="s">
        <v>22877</v>
      </c>
      <c r="H1681" s="451" t="s">
        <v>22878</v>
      </c>
      <c r="I1681" s="451" t="s">
        <v>33406</v>
      </c>
      <c r="J1681" s="451" t="s">
        <v>22942</v>
      </c>
      <c r="K1681" s="451"/>
    </row>
    <row r="1682" spans="1:11">
      <c r="A1682" s="450" t="s">
        <v>3554</v>
      </c>
      <c r="B1682" s="450"/>
      <c r="C1682" s="450" t="s">
        <v>3555</v>
      </c>
      <c r="D1682" s="450"/>
      <c r="E1682" s="450"/>
      <c r="F1682" s="450"/>
      <c r="G1682" s="450" t="s">
        <v>22877</v>
      </c>
      <c r="H1682" s="450" t="s">
        <v>22878</v>
      </c>
      <c r="I1682" s="450" t="s">
        <v>33407</v>
      </c>
      <c r="J1682" s="450" t="s">
        <v>22942</v>
      </c>
      <c r="K1682" s="450"/>
    </row>
    <row r="1683" spans="1:11">
      <c r="A1683" s="451" t="s">
        <v>33408</v>
      </c>
      <c r="B1683" s="451"/>
      <c r="C1683" s="451" t="s">
        <v>3557</v>
      </c>
      <c r="D1683" s="451"/>
      <c r="E1683" s="451"/>
      <c r="F1683" s="451"/>
      <c r="G1683" s="451" t="s">
        <v>22877</v>
      </c>
      <c r="H1683" s="451" t="s">
        <v>22878</v>
      </c>
      <c r="I1683" s="451" t="s">
        <v>33409</v>
      </c>
      <c r="J1683" s="451" t="s">
        <v>22948</v>
      </c>
      <c r="K1683" s="451"/>
    </row>
    <row r="1684" spans="1:11">
      <c r="A1684" s="450" t="s">
        <v>3556</v>
      </c>
      <c r="B1684" s="450"/>
      <c r="C1684" s="450" t="s">
        <v>3557</v>
      </c>
      <c r="D1684" s="450"/>
      <c r="E1684" s="450"/>
      <c r="F1684" s="450"/>
      <c r="G1684" s="450" t="s">
        <v>22877</v>
      </c>
      <c r="H1684" s="450" t="s">
        <v>22878</v>
      </c>
      <c r="I1684" s="450" t="s">
        <v>30597</v>
      </c>
      <c r="J1684" s="450" t="s">
        <v>22942</v>
      </c>
      <c r="K1684" s="450"/>
    </row>
    <row r="1685" spans="1:11">
      <c r="A1685" s="451" t="s">
        <v>22787</v>
      </c>
      <c r="B1685" s="451" t="s">
        <v>22788</v>
      </c>
      <c r="C1685" s="451" t="s">
        <v>22789</v>
      </c>
      <c r="D1685" s="451"/>
      <c r="E1685" s="451"/>
      <c r="F1685" s="451"/>
      <c r="G1685" s="451" t="s">
        <v>22877</v>
      </c>
      <c r="H1685" s="451" t="s">
        <v>22878</v>
      </c>
      <c r="I1685" s="451" t="s">
        <v>23618</v>
      </c>
      <c r="J1685" s="451" t="s">
        <v>23619</v>
      </c>
      <c r="K1685" s="451"/>
    </row>
    <row r="1686" spans="1:11">
      <c r="A1686" s="450" t="s">
        <v>33410</v>
      </c>
      <c r="B1686" s="450" t="s">
        <v>3559</v>
      </c>
      <c r="C1686" s="450" t="s">
        <v>3560</v>
      </c>
      <c r="D1686" s="450"/>
      <c r="E1686" s="450"/>
      <c r="F1686" s="450"/>
      <c r="G1686" s="450" t="s">
        <v>22882</v>
      </c>
      <c r="H1686" s="450" t="s">
        <v>22883</v>
      </c>
      <c r="I1686" s="450" t="s">
        <v>33411</v>
      </c>
      <c r="J1686" s="450" t="s">
        <v>33412</v>
      </c>
      <c r="K1686" s="450"/>
    </row>
    <row r="1687" spans="1:11">
      <c r="A1687" s="451" t="s">
        <v>3558</v>
      </c>
      <c r="B1687" s="451" t="s">
        <v>3559</v>
      </c>
      <c r="C1687" s="451" t="s">
        <v>3560</v>
      </c>
      <c r="D1687" s="451"/>
      <c r="E1687" s="451"/>
      <c r="F1687" s="451"/>
      <c r="G1687" s="451" t="s">
        <v>22882</v>
      </c>
      <c r="H1687" s="451" t="s">
        <v>22883</v>
      </c>
      <c r="I1687" s="451" t="s">
        <v>30598</v>
      </c>
      <c r="J1687" s="451" t="s">
        <v>30599</v>
      </c>
      <c r="K1687" s="451"/>
    </row>
    <row r="1688" spans="1:11">
      <c r="A1688" s="450" t="s">
        <v>3561</v>
      </c>
      <c r="B1688" s="450"/>
      <c r="C1688" s="450" t="s">
        <v>3562</v>
      </c>
      <c r="D1688" s="450"/>
      <c r="E1688" s="450"/>
      <c r="F1688" s="450"/>
      <c r="G1688" s="450" t="s">
        <v>22882</v>
      </c>
      <c r="H1688" s="450" t="s">
        <v>22883</v>
      </c>
      <c r="I1688" s="450"/>
      <c r="J1688" s="450" t="s">
        <v>22997</v>
      </c>
      <c r="K1688" s="450"/>
    </row>
    <row r="1689" spans="1:11">
      <c r="A1689" s="451" t="s">
        <v>33413</v>
      </c>
      <c r="B1689" s="451"/>
      <c r="C1689" s="451" t="s">
        <v>3562</v>
      </c>
      <c r="D1689" s="451"/>
      <c r="E1689" s="451"/>
      <c r="F1689" s="451"/>
      <c r="G1689" s="451" t="s">
        <v>22877</v>
      </c>
      <c r="H1689" s="451" t="s">
        <v>22878</v>
      </c>
      <c r="I1689" s="451" t="s">
        <v>33414</v>
      </c>
      <c r="J1689" s="451" t="s">
        <v>22948</v>
      </c>
      <c r="K1689" s="451"/>
    </row>
    <row r="1690" spans="1:11">
      <c r="A1690" s="450" t="s">
        <v>3563</v>
      </c>
      <c r="B1690" s="450"/>
      <c r="C1690" s="450" t="s">
        <v>3564</v>
      </c>
      <c r="D1690" s="450"/>
      <c r="E1690" s="450"/>
      <c r="F1690" s="450"/>
      <c r="G1690" s="450" t="s">
        <v>22877</v>
      </c>
      <c r="H1690" s="450" t="s">
        <v>22878</v>
      </c>
      <c r="I1690" s="450" t="s">
        <v>33415</v>
      </c>
      <c r="J1690" s="450" t="s">
        <v>23185</v>
      </c>
      <c r="K1690" s="450"/>
    </row>
    <row r="1691" spans="1:11">
      <c r="A1691" s="451" t="s">
        <v>33416</v>
      </c>
      <c r="B1691" s="451"/>
      <c r="C1691" s="451" t="s">
        <v>3566</v>
      </c>
      <c r="D1691" s="451"/>
      <c r="E1691" s="451"/>
      <c r="F1691" s="451"/>
      <c r="G1691" s="451" t="s">
        <v>22877</v>
      </c>
      <c r="H1691" s="451" t="s">
        <v>22878</v>
      </c>
      <c r="I1691" s="451" t="s">
        <v>33417</v>
      </c>
      <c r="J1691" s="451" t="s">
        <v>22942</v>
      </c>
      <c r="K1691" s="451"/>
    </row>
    <row r="1692" spans="1:11">
      <c r="A1692" s="450" t="s">
        <v>3565</v>
      </c>
      <c r="B1692" s="450"/>
      <c r="C1692" s="450" t="s">
        <v>3566</v>
      </c>
      <c r="D1692" s="450"/>
      <c r="E1692" s="450"/>
      <c r="F1692" s="450"/>
      <c r="G1692" s="450" t="s">
        <v>22877</v>
      </c>
      <c r="H1692" s="450" t="s">
        <v>22878</v>
      </c>
      <c r="I1692" s="450" t="s">
        <v>33418</v>
      </c>
      <c r="J1692" s="450" t="s">
        <v>22942</v>
      </c>
      <c r="K1692" s="450"/>
    </row>
    <row r="1693" spans="1:11">
      <c r="A1693" s="451" t="s">
        <v>3568</v>
      </c>
      <c r="B1693" s="451"/>
      <c r="C1693" s="451" t="s">
        <v>3569</v>
      </c>
      <c r="D1693" s="451"/>
      <c r="E1693" s="451"/>
      <c r="F1693" s="451"/>
      <c r="G1693" s="451" t="s">
        <v>22882</v>
      </c>
      <c r="H1693" s="451" t="s">
        <v>22883</v>
      </c>
      <c r="I1693" s="451" t="s">
        <v>33419</v>
      </c>
      <c r="J1693" s="451" t="s">
        <v>23185</v>
      </c>
      <c r="K1693" s="451"/>
    </row>
    <row r="1694" spans="1:11">
      <c r="A1694" s="450" t="s">
        <v>21501</v>
      </c>
      <c r="B1694" s="450"/>
      <c r="C1694" s="450" t="s">
        <v>3567</v>
      </c>
      <c r="D1694" s="450"/>
      <c r="E1694" s="450"/>
      <c r="F1694" s="450"/>
      <c r="G1694" s="450" t="s">
        <v>22877</v>
      </c>
      <c r="H1694" s="450" t="s">
        <v>22878</v>
      </c>
      <c r="I1694" s="450" t="s">
        <v>33420</v>
      </c>
      <c r="J1694" s="450" t="s">
        <v>22997</v>
      </c>
      <c r="K1694" s="450"/>
    </row>
    <row r="1695" spans="1:11">
      <c r="A1695" s="451" t="s">
        <v>33421</v>
      </c>
      <c r="B1695" s="451"/>
      <c r="C1695" s="451" t="s">
        <v>3569</v>
      </c>
      <c r="D1695" s="451"/>
      <c r="E1695" s="451"/>
      <c r="F1695" s="451"/>
      <c r="G1695" s="451" t="s">
        <v>22877</v>
      </c>
      <c r="H1695" s="451" t="s">
        <v>22878</v>
      </c>
      <c r="I1695" s="451" t="s">
        <v>33422</v>
      </c>
      <c r="J1695" s="451" t="s">
        <v>22997</v>
      </c>
      <c r="K1695" s="451"/>
    </row>
    <row r="1696" spans="1:11">
      <c r="A1696" s="450" t="s">
        <v>33423</v>
      </c>
      <c r="B1696" s="450"/>
      <c r="C1696" s="450" t="s">
        <v>3571</v>
      </c>
      <c r="D1696" s="450"/>
      <c r="E1696" s="450"/>
      <c r="F1696" s="450"/>
      <c r="G1696" s="450" t="s">
        <v>22877</v>
      </c>
      <c r="H1696" s="450" t="s">
        <v>22878</v>
      </c>
      <c r="I1696" s="450" t="s">
        <v>33424</v>
      </c>
      <c r="J1696" s="450" t="s">
        <v>22942</v>
      </c>
      <c r="K1696" s="450"/>
    </row>
    <row r="1697" spans="1:11">
      <c r="A1697" s="451" t="s">
        <v>3570</v>
      </c>
      <c r="B1697" s="451"/>
      <c r="C1697" s="451" t="s">
        <v>3571</v>
      </c>
      <c r="D1697" s="451"/>
      <c r="E1697" s="451"/>
      <c r="F1697" s="451"/>
      <c r="G1697" s="451" t="s">
        <v>22877</v>
      </c>
      <c r="H1697" s="451" t="s">
        <v>22878</v>
      </c>
      <c r="I1697" s="451" t="s">
        <v>30600</v>
      </c>
      <c r="J1697" s="451" t="s">
        <v>22942</v>
      </c>
      <c r="K1697" s="451"/>
    </row>
    <row r="1698" spans="1:11">
      <c r="A1698" s="450" t="s">
        <v>3572</v>
      </c>
      <c r="B1698" s="450" t="s">
        <v>33425</v>
      </c>
      <c r="C1698" s="450" t="s">
        <v>3574</v>
      </c>
      <c r="D1698" s="450"/>
      <c r="E1698" s="450"/>
      <c r="F1698" s="450" t="s">
        <v>3575</v>
      </c>
      <c r="G1698" s="450" t="s">
        <v>33426</v>
      </c>
      <c r="H1698" s="450" t="s">
        <v>22878</v>
      </c>
      <c r="I1698" s="450"/>
      <c r="J1698" s="450" t="s">
        <v>33425</v>
      </c>
      <c r="K1698" s="450"/>
    </row>
    <row r="1699" spans="1:11">
      <c r="A1699" s="451" t="s">
        <v>3572</v>
      </c>
      <c r="B1699" s="451" t="s">
        <v>3573</v>
      </c>
      <c r="C1699" s="451" t="s">
        <v>3574</v>
      </c>
      <c r="D1699" s="451"/>
      <c r="E1699" s="451"/>
      <c r="F1699" s="451" t="s">
        <v>3575</v>
      </c>
      <c r="G1699" s="451" t="s">
        <v>22882</v>
      </c>
      <c r="H1699" s="451" t="s">
        <v>22883</v>
      </c>
      <c r="I1699" s="451"/>
      <c r="J1699" s="451" t="s">
        <v>30601</v>
      </c>
      <c r="K1699" s="451"/>
    </row>
    <row r="1700" spans="1:11">
      <c r="A1700" s="450" t="s">
        <v>3576</v>
      </c>
      <c r="B1700" s="450"/>
      <c r="C1700" s="450" t="s">
        <v>3577</v>
      </c>
      <c r="D1700" s="450"/>
      <c r="E1700" s="450"/>
      <c r="F1700" s="450"/>
      <c r="G1700" s="450" t="s">
        <v>22882</v>
      </c>
      <c r="H1700" s="450" t="s">
        <v>22883</v>
      </c>
      <c r="I1700" s="450" t="s">
        <v>33427</v>
      </c>
      <c r="J1700" s="450" t="s">
        <v>23185</v>
      </c>
      <c r="K1700" s="450"/>
    </row>
    <row r="1701" spans="1:11">
      <c r="A1701" s="451" t="s">
        <v>22790</v>
      </c>
      <c r="B1701" s="451"/>
      <c r="C1701" s="451" t="s">
        <v>3577</v>
      </c>
      <c r="D1701" s="451"/>
      <c r="E1701" s="451"/>
      <c r="F1701" s="451"/>
      <c r="G1701" s="451" t="s">
        <v>22882</v>
      </c>
      <c r="H1701" s="451" t="s">
        <v>22883</v>
      </c>
      <c r="I1701" s="451" t="s">
        <v>23620</v>
      </c>
      <c r="J1701" s="451" t="s">
        <v>22942</v>
      </c>
      <c r="K1701" s="451"/>
    </row>
    <row r="1702" spans="1:11">
      <c r="A1702" s="450" t="s">
        <v>3578</v>
      </c>
      <c r="B1702" s="450" t="s">
        <v>3579</v>
      </c>
      <c r="C1702" s="450" t="s">
        <v>3580</v>
      </c>
      <c r="D1702" s="450"/>
      <c r="E1702" s="450"/>
      <c r="F1702" s="450"/>
      <c r="G1702" s="450" t="s">
        <v>22877</v>
      </c>
      <c r="H1702" s="450" t="s">
        <v>22878</v>
      </c>
      <c r="I1702" s="450" t="s">
        <v>23621</v>
      </c>
      <c r="J1702" s="450" t="s">
        <v>23622</v>
      </c>
      <c r="K1702" s="450"/>
    </row>
    <row r="1703" spans="1:11">
      <c r="A1703" s="451" t="s">
        <v>3581</v>
      </c>
      <c r="B1703" s="451"/>
      <c r="C1703" s="451" t="s">
        <v>3582</v>
      </c>
      <c r="D1703" s="451"/>
      <c r="E1703" s="451"/>
      <c r="F1703" s="451"/>
      <c r="G1703" s="451" t="s">
        <v>22877</v>
      </c>
      <c r="H1703" s="451" t="s">
        <v>22878</v>
      </c>
      <c r="I1703" s="451" t="s">
        <v>33428</v>
      </c>
      <c r="J1703" s="451" t="s">
        <v>22997</v>
      </c>
      <c r="K1703" s="451"/>
    </row>
    <row r="1704" spans="1:11">
      <c r="A1704" s="450" t="s">
        <v>3583</v>
      </c>
      <c r="B1704" s="450"/>
      <c r="C1704" s="450" t="s">
        <v>3584</v>
      </c>
      <c r="D1704" s="450"/>
      <c r="E1704" s="450"/>
      <c r="F1704" s="450"/>
      <c r="G1704" s="450" t="s">
        <v>22877</v>
      </c>
      <c r="H1704" s="450" t="s">
        <v>22878</v>
      </c>
      <c r="I1704" s="450" t="s">
        <v>33428</v>
      </c>
      <c r="J1704" s="450" t="s">
        <v>23185</v>
      </c>
      <c r="K1704" s="450"/>
    </row>
    <row r="1705" spans="1:11">
      <c r="A1705" s="451" t="s">
        <v>3585</v>
      </c>
      <c r="B1705" s="451"/>
      <c r="C1705" s="451" t="s">
        <v>1934</v>
      </c>
      <c r="D1705" s="451"/>
      <c r="E1705" s="451"/>
      <c r="F1705" s="451"/>
      <c r="G1705" s="451" t="s">
        <v>22882</v>
      </c>
      <c r="H1705" s="451" t="s">
        <v>22883</v>
      </c>
      <c r="I1705" s="451" t="s">
        <v>23623</v>
      </c>
      <c r="J1705" s="451" t="s">
        <v>23185</v>
      </c>
      <c r="K1705" s="451"/>
    </row>
    <row r="1706" spans="1:11">
      <c r="A1706" s="450" t="s">
        <v>3586</v>
      </c>
      <c r="B1706" s="450" t="s">
        <v>22791</v>
      </c>
      <c r="C1706" s="450" t="s">
        <v>3588</v>
      </c>
      <c r="D1706" s="450" t="s">
        <v>3589</v>
      </c>
      <c r="E1706" s="450"/>
      <c r="F1706" s="450"/>
      <c r="G1706" s="450" t="s">
        <v>22877</v>
      </c>
      <c r="H1706" s="450" t="s">
        <v>22878</v>
      </c>
      <c r="I1706" s="450" t="s">
        <v>23624</v>
      </c>
      <c r="J1706" s="450" t="s">
        <v>23625</v>
      </c>
      <c r="K1706" s="450"/>
    </row>
    <row r="1707" spans="1:11">
      <c r="A1707" s="451" t="s">
        <v>3586</v>
      </c>
      <c r="B1707" s="451" t="s">
        <v>3587</v>
      </c>
      <c r="C1707" s="451" t="s">
        <v>3588</v>
      </c>
      <c r="D1707" s="451" t="s">
        <v>3589</v>
      </c>
      <c r="E1707" s="451" t="s">
        <v>3590</v>
      </c>
      <c r="F1707" s="451"/>
      <c r="G1707" s="451" t="s">
        <v>30602</v>
      </c>
      <c r="H1707" s="451" t="s">
        <v>22878</v>
      </c>
      <c r="I1707" s="451" t="s">
        <v>30603</v>
      </c>
      <c r="J1707" s="451" t="s">
        <v>22791</v>
      </c>
      <c r="K1707" s="451"/>
    </row>
    <row r="1708" spans="1:11">
      <c r="A1708" s="450" t="s">
        <v>3591</v>
      </c>
      <c r="B1708" s="450"/>
      <c r="C1708" s="450" t="s">
        <v>3592</v>
      </c>
      <c r="D1708" s="450"/>
      <c r="E1708" s="450"/>
      <c r="F1708" s="450"/>
      <c r="G1708" s="450" t="s">
        <v>22882</v>
      </c>
      <c r="H1708" s="450" t="s">
        <v>22883</v>
      </c>
      <c r="I1708" s="450" t="s">
        <v>23626</v>
      </c>
      <c r="J1708" s="450" t="s">
        <v>23185</v>
      </c>
      <c r="K1708" s="450"/>
    </row>
    <row r="1709" spans="1:11">
      <c r="A1709" s="451" t="s">
        <v>33429</v>
      </c>
      <c r="B1709" s="451" t="s">
        <v>21502</v>
      </c>
      <c r="C1709" s="451" t="s">
        <v>3594</v>
      </c>
      <c r="D1709" s="451"/>
      <c r="E1709" s="451"/>
      <c r="F1709" s="451"/>
      <c r="G1709" s="451" t="s">
        <v>22877</v>
      </c>
      <c r="H1709" s="451" t="s">
        <v>22878</v>
      </c>
      <c r="I1709" s="451" t="s">
        <v>33430</v>
      </c>
      <c r="J1709" s="451" t="s">
        <v>33431</v>
      </c>
      <c r="K1709" s="451"/>
    </row>
    <row r="1710" spans="1:11">
      <c r="A1710" s="450" t="s">
        <v>3593</v>
      </c>
      <c r="B1710" s="450" t="s">
        <v>21502</v>
      </c>
      <c r="C1710" s="450" t="s">
        <v>3594</v>
      </c>
      <c r="D1710" s="450"/>
      <c r="E1710" s="450"/>
      <c r="F1710" s="450"/>
      <c r="G1710" s="450" t="s">
        <v>22877</v>
      </c>
      <c r="H1710" s="450" t="s">
        <v>22878</v>
      </c>
      <c r="I1710" s="450" t="s">
        <v>30604</v>
      </c>
      <c r="J1710" s="450" t="s">
        <v>30605</v>
      </c>
      <c r="K1710" s="450"/>
    </row>
    <row r="1711" spans="1:11">
      <c r="A1711" s="451" t="s">
        <v>33432</v>
      </c>
      <c r="B1711" s="451"/>
      <c r="C1711" s="451" t="s">
        <v>3596</v>
      </c>
      <c r="D1711" s="451"/>
      <c r="E1711" s="451"/>
      <c r="F1711" s="451"/>
      <c r="G1711" s="451" t="s">
        <v>22877</v>
      </c>
      <c r="H1711" s="451" t="s">
        <v>22878</v>
      </c>
      <c r="I1711" s="451" t="s">
        <v>33433</v>
      </c>
      <c r="J1711" s="451" t="s">
        <v>22942</v>
      </c>
      <c r="K1711" s="451"/>
    </row>
    <row r="1712" spans="1:11">
      <c r="A1712" s="450" t="s">
        <v>3595</v>
      </c>
      <c r="B1712" s="450"/>
      <c r="C1712" s="450" t="s">
        <v>3596</v>
      </c>
      <c r="D1712" s="450"/>
      <c r="E1712" s="450"/>
      <c r="F1712" s="450"/>
      <c r="G1712" s="450" t="s">
        <v>22882</v>
      </c>
      <c r="H1712" s="450" t="s">
        <v>22883</v>
      </c>
      <c r="I1712" s="450" t="s">
        <v>30606</v>
      </c>
      <c r="J1712" s="450" t="s">
        <v>22997</v>
      </c>
      <c r="K1712" s="450"/>
    </row>
    <row r="1713" spans="1:11">
      <c r="A1713" s="451" t="s">
        <v>3599</v>
      </c>
      <c r="B1713" s="451"/>
      <c r="C1713" s="451" t="s">
        <v>3600</v>
      </c>
      <c r="D1713" s="451"/>
      <c r="E1713" s="451"/>
      <c r="F1713" s="451"/>
      <c r="G1713" s="451" t="s">
        <v>22877</v>
      </c>
      <c r="H1713" s="451" t="s">
        <v>22878</v>
      </c>
      <c r="I1713" s="451" t="s">
        <v>33434</v>
      </c>
      <c r="J1713" s="451" t="s">
        <v>22942</v>
      </c>
      <c r="K1713" s="451"/>
    </row>
    <row r="1714" spans="1:11">
      <c r="A1714" s="450" t="s">
        <v>33435</v>
      </c>
      <c r="B1714" s="450"/>
      <c r="C1714" s="450" t="s">
        <v>3598</v>
      </c>
      <c r="D1714" s="450"/>
      <c r="E1714" s="450"/>
      <c r="F1714" s="450"/>
      <c r="G1714" s="450" t="s">
        <v>22877</v>
      </c>
      <c r="H1714" s="450" t="s">
        <v>22878</v>
      </c>
      <c r="I1714" s="450" t="s">
        <v>33436</v>
      </c>
      <c r="J1714" s="450" t="s">
        <v>22997</v>
      </c>
      <c r="K1714" s="450"/>
    </row>
    <row r="1715" spans="1:11">
      <c r="A1715" s="451" t="s">
        <v>21503</v>
      </c>
      <c r="B1715" s="451"/>
      <c r="C1715" s="451" t="s">
        <v>3597</v>
      </c>
      <c r="D1715" s="451"/>
      <c r="E1715" s="451"/>
      <c r="F1715" s="451"/>
      <c r="G1715" s="451" t="s">
        <v>22877</v>
      </c>
      <c r="H1715" s="451" t="s">
        <v>22878</v>
      </c>
      <c r="I1715" s="451" t="s">
        <v>33437</v>
      </c>
      <c r="J1715" s="451" t="s">
        <v>22997</v>
      </c>
      <c r="K1715" s="451"/>
    </row>
    <row r="1716" spans="1:11">
      <c r="A1716" s="450" t="s">
        <v>21504</v>
      </c>
      <c r="B1716" s="450"/>
      <c r="C1716" s="450" t="s">
        <v>3598</v>
      </c>
      <c r="D1716" s="450"/>
      <c r="E1716" s="450"/>
      <c r="F1716" s="450"/>
      <c r="G1716" s="450" t="s">
        <v>22877</v>
      </c>
      <c r="H1716" s="450" t="s">
        <v>22878</v>
      </c>
      <c r="I1716" s="450" t="s">
        <v>33436</v>
      </c>
      <c r="J1716" s="450" t="s">
        <v>23185</v>
      </c>
      <c r="K1716" s="450"/>
    </row>
    <row r="1717" spans="1:11">
      <c r="A1717" s="451" t="s">
        <v>3601</v>
      </c>
      <c r="B1717" s="451"/>
      <c r="C1717" s="451" t="s">
        <v>3602</v>
      </c>
      <c r="D1717" s="451"/>
      <c r="E1717" s="451"/>
      <c r="F1717" s="451"/>
      <c r="G1717" s="451" t="s">
        <v>22882</v>
      </c>
      <c r="H1717" s="451" t="s">
        <v>22883</v>
      </c>
      <c r="I1717" s="451"/>
      <c r="J1717" s="451" t="s">
        <v>22942</v>
      </c>
      <c r="K1717" s="451"/>
    </row>
    <row r="1718" spans="1:11">
      <c r="A1718" s="450" t="s">
        <v>21505</v>
      </c>
      <c r="B1718" s="450"/>
      <c r="C1718" s="450" t="s">
        <v>3603</v>
      </c>
      <c r="D1718" s="450"/>
      <c r="E1718" s="450"/>
      <c r="F1718" s="450"/>
      <c r="G1718" s="450" t="s">
        <v>22882</v>
      </c>
      <c r="H1718" s="450" t="s">
        <v>22883</v>
      </c>
      <c r="I1718" s="450" t="s">
        <v>33438</v>
      </c>
      <c r="J1718" s="450" t="s">
        <v>23185</v>
      </c>
      <c r="K1718" s="450"/>
    </row>
    <row r="1719" spans="1:11">
      <c r="A1719" s="451" t="s">
        <v>3604</v>
      </c>
      <c r="B1719" s="451"/>
      <c r="C1719" s="451" t="s">
        <v>3605</v>
      </c>
      <c r="D1719" s="451"/>
      <c r="E1719" s="451"/>
      <c r="F1719" s="451"/>
      <c r="G1719" s="451" t="s">
        <v>22877</v>
      </c>
      <c r="H1719" s="451" t="s">
        <v>22878</v>
      </c>
      <c r="I1719" s="451" t="s">
        <v>33439</v>
      </c>
      <c r="J1719" s="451" t="s">
        <v>22942</v>
      </c>
      <c r="K1719" s="451"/>
    </row>
    <row r="1720" spans="1:11">
      <c r="A1720" s="450" t="s">
        <v>33440</v>
      </c>
      <c r="B1720" s="450"/>
      <c r="C1720" s="450" t="s">
        <v>3605</v>
      </c>
      <c r="D1720" s="450"/>
      <c r="E1720" s="450"/>
      <c r="F1720" s="450"/>
      <c r="G1720" s="450" t="s">
        <v>22877</v>
      </c>
      <c r="H1720" s="450" t="s">
        <v>22878</v>
      </c>
      <c r="I1720" s="450" t="s">
        <v>33441</v>
      </c>
      <c r="J1720" s="450" t="s">
        <v>22942</v>
      </c>
      <c r="K1720" s="450"/>
    </row>
    <row r="1721" spans="1:11">
      <c r="A1721" s="451" t="s">
        <v>33442</v>
      </c>
      <c r="B1721" s="451"/>
      <c r="C1721" s="451" t="s">
        <v>3607</v>
      </c>
      <c r="D1721" s="451"/>
      <c r="E1721" s="451"/>
      <c r="F1721" s="451"/>
      <c r="G1721" s="451" t="s">
        <v>22882</v>
      </c>
      <c r="H1721" s="451" t="s">
        <v>22883</v>
      </c>
      <c r="I1721" s="451" t="s">
        <v>33443</v>
      </c>
      <c r="J1721" s="451" t="s">
        <v>22942</v>
      </c>
      <c r="K1721" s="451"/>
    </row>
    <row r="1722" spans="1:11">
      <c r="A1722" s="450" t="s">
        <v>3606</v>
      </c>
      <c r="B1722" s="450"/>
      <c r="C1722" s="450" t="s">
        <v>3607</v>
      </c>
      <c r="D1722" s="450"/>
      <c r="E1722" s="450"/>
      <c r="F1722" s="450"/>
      <c r="G1722" s="450" t="s">
        <v>22882</v>
      </c>
      <c r="H1722" s="450" t="s">
        <v>22883</v>
      </c>
      <c r="I1722" s="450" t="s">
        <v>30606</v>
      </c>
      <c r="J1722" s="450" t="s">
        <v>22997</v>
      </c>
      <c r="K1722" s="450"/>
    </row>
    <row r="1723" spans="1:11">
      <c r="A1723" s="451" t="s">
        <v>3608</v>
      </c>
      <c r="B1723" s="451" t="s">
        <v>3609</v>
      </c>
      <c r="C1723" s="451" t="s">
        <v>3610</v>
      </c>
      <c r="D1723" s="451" t="s">
        <v>3611</v>
      </c>
      <c r="E1723" s="451"/>
      <c r="F1723" s="451"/>
      <c r="G1723" s="451" t="s">
        <v>22877</v>
      </c>
      <c r="H1723" s="451" t="s">
        <v>22878</v>
      </c>
      <c r="I1723" s="451" t="s">
        <v>33444</v>
      </c>
      <c r="J1723" s="451" t="s">
        <v>23627</v>
      </c>
      <c r="K1723" s="451"/>
    </row>
    <row r="1724" spans="1:11">
      <c r="A1724" s="450" t="s">
        <v>3608</v>
      </c>
      <c r="B1724" s="450" t="s">
        <v>3609</v>
      </c>
      <c r="C1724" s="450" t="s">
        <v>3610</v>
      </c>
      <c r="D1724" s="450" t="s">
        <v>3611</v>
      </c>
      <c r="E1724" s="450" t="s">
        <v>3612</v>
      </c>
      <c r="F1724" s="450"/>
      <c r="G1724" s="450" t="s">
        <v>22877</v>
      </c>
      <c r="H1724" s="450" t="s">
        <v>22878</v>
      </c>
      <c r="I1724" s="450" t="s">
        <v>30607</v>
      </c>
      <c r="J1724" s="450" t="s">
        <v>23627</v>
      </c>
      <c r="K1724" s="450"/>
    </row>
    <row r="1725" spans="1:11">
      <c r="A1725" s="451" t="s">
        <v>3613</v>
      </c>
      <c r="B1725" s="451" t="s">
        <v>3614</v>
      </c>
      <c r="C1725" s="451" t="s">
        <v>3615</v>
      </c>
      <c r="D1725" s="451" t="s">
        <v>3616</v>
      </c>
      <c r="E1725" s="451"/>
      <c r="F1725" s="451"/>
      <c r="G1725" s="451" t="s">
        <v>22882</v>
      </c>
      <c r="H1725" s="451" t="s">
        <v>22883</v>
      </c>
      <c r="I1725" s="451" t="s">
        <v>3616</v>
      </c>
      <c r="J1725" s="451" t="s">
        <v>33445</v>
      </c>
      <c r="K1725" s="451"/>
    </row>
    <row r="1726" spans="1:11">
      <c r="A1726" s="450" t="s">
        <v>3613</v>
      </c>
      <c r="B1726" s="450" t="s">
        <v>3614</v>
      </c>
      <c r="C1726" s="450" t="s">
        <v>3615</v>
      </c>
      <c r="D1726" s="450" t="s">
        <v>3616</v>
      </c>
      <c r="E1726" s="450" t="s">
        <v>3617</v>
      </c>
      <c r="F1726" s="450"/>
      <c r="G1726" s="450" t="s">
        <v>22882</v>
      </c>
      <c r="H1726" s="450" t="s">
        <v>22883</v>
      </c>
      <c r="I1726" s="450" t="s">
        <v>3616</v>
      </c>
      <c r="J1726" s="450" t="s">
        <v>30608</v>
      </c>
      <c r="K1726" s="450"/>
    </row>
    <row r="1727" spans="1:11">
      <c r="A1727" s="451" t="s">
        <v>3618</v>
      </c>
      <c r="B1727" s="451"/>
      <c r="C1727" s="451" t="s">
        <v>3619</v>
      </c>
      <c r="D1727" s="451"/>
      <c r="E1727" s="451"/>
      <c r="F1727" s="451"/>
      <c r="G1727" s="451" t="s">
        <v>22877</v>
      </c>
      <c r="H1727" s="451" t="s">
        <v>22878</v>
      </c>
      <c r="I1727" s="451" t="s">
        <v>33446</v>
      </c>
      <c r="J1727" s="451" t="s">
        <v>23185</v>
      </c>
      <c r="K1727" s="451"/>
    </row>
    <row r="1728" spans="1:11">
      <c r="A1728" s="450" t="s">
        <v>33447</v>
      </c>
      <c r="B1728" s="450"/>
      <c r="C1728" s="450" t="s">
        <v>3621</v>
      </c>
      <c r="D1728" s="450"/>
      <c r="E1728" s="450"/>
      <c r="F1728" s="450"/>
      <c r="G1728" s="450" t="s">
        <v>22882</v>
      </c>
      <c r="H1728" s="450" t="s">
        <v>22883</v>
      </c>
      <c r="I1728" s="450" t="s">
        <v>33448</v>
      </c>
      <c r="J1728" s="450" t="s">
        <v>22942</v>
      </c>
      <c r="K1728" s="450"/>
    </row>
    <row r="1729" spans="1:11">
      <c r="A1729" s="451" t="s">
        <v>3620</v>
      </c>
      <c r="B1729" s="451"/>
      <c r="C1729" s="451" t="s">
        <v>3621</v>
      </c>
      <c r="D1729" s="451"/>
      <c r="E1729" s="451"/>
      <c r="F1729" s="451"/>
      <c r="G1729" s="451" t="s">
        <v>22882</v>
      </c>
      <c r="H1729" s="451" t="s">
        <v>22883</v>
      </c>
      <c r="I1729" s="451" t="s">
        <v>33448</v>
      </c>
      <c r="J1729" s="451" t="s">
        <v>28403</v>
      </c>
      <c r="K1729" s="451"/>
    </row>
    <row r="1730" spans="1:11">
      <c r="A1730" s="450" t="s">
        <v>3622</v>
      </c>
      <c r="B1730" s="450"/>
      <c r="C1730" s="450" t="s">
        <v>3623</v>
      </c>
      <c r="D1730" s="450"/>
      <c r="E1730" s="450"/>
      <c r="F1730" s="450"/>
      <c r="G1730" s="450" t="s">
        <v>22877</v>
      </c>
      <c r="H1730" s="450" t="s">
        <v>22878</v>
      </c>
      <c r="I1730" s="450" t="s">
        <v>33449</v>
      </c>
      <c r="J1730" s="450" t="s">
        <v>23185</v>
      </c>
      <c r="K1730" s="450"/>
    </row>
    <row r="1731" spans="1:11">
      <c r="A1731" s="451" t="s">
        <v>3624</v>
      </c>
      <c r="B1731" s="451"/>
      <c r="C1731" s="451" t="s">
        <v>3625</v>
      </c>
      <c r="D1731" s="451"/>
      <c r="E1731" s="451"/>
      <c r="F1731" s="451"/>
      <c r="G1731" s="451" t="s">
        <v>22882</v>
      </c>
      <c r="H1731" s="451" t="s">
        <v>22883</v>
      </c>
      <c r="I1731" s="451" t="s">
        <v>33450</v>
      </c>
      <c r="J1731" s="451" t="s">
        <v>22997</v>
      </c>
      <c r="K1731" s="451"/>
    </row>
    <row r="1732" spans="1:11">
      <c r="A1732" s="450" t="s">
        <v>33451</v>
      </c>
      <c r="B1732" s="450"/>
      <c r="C1732" s="450" t="s">
        <v>3627</v>
      </c>
      <c r="D1732" s="450"/>
      <c r="E1732" s="450"/>
      <c r="F1732" s="450"/>
      <c r="G1732" s="450" t="s">
        <v>22877</v>
      </c>
      <c r="H1732" s="450" t="s">
        <v>22878</v>
      </c>
      <c r="I1732" s="450" t="s">
        <v>33452</v>
      </c>
      <c r="J1732" s="450" t="s">
        <v>23185</v>
      </c>
      <c r="K1732" s="450"/>
    </row>
    <row r="1733" spans="1:11">
      <c r="A1733" s="451" t="s">
        <v>3626</v>
      </c>
      <c r="B1733" s="451"/>
      <c r="C1733" s="451" t="s">
        <v>3627</v>
      </c>
      <c r="D1733" s="451"/>
      <c r="E1733" s="451"/>
      <c r="F1733" s="451"/>
      <c r="G1733" s="451" t="s">
        <v>22877</v>
      </c>
      <c r="H1733" s="451" t="s">
        <v>22878</v>
      </c>
      <c r="I1733" s="451" t="s">
        <v>30609</v>
      </c>
      <c r="J1733" s="451" t="s">
        <v>23185</v>
      </c>
      <c r="K1733" s="451"/>
    </row>
    <row r="1734" spans="1:11">
      <c r="A1734" s="450" t="s">
        <v>33453</v>
      </c>
      <c r="B1734" s="450" t="s">
        <v>3629</v>
      </c>
      <c r="C1734" s="450" t="s">
        <v>3630</v>
      </c>
      <c r="D1734" s="450" t="s">
        <v>3631</v>
      </c>
      <c r="E1734" s="450"/>
      <c r="F1734" s="450"/>
      <c r="G1734" s="450" t="s">
        <v>22882</v>
      </c>
      <c r="H1734" s="450" t="s">
        <v>22883</v>
      </c>
      <c r="I1734" s="450" t="s">
        <v>3631</v>
      </c>
      <c r="J1734" s="450" t="s">
        <v>23628</v>
      </c>
      <c r="K1734" s="450"/>
    </row>
    <row r="1735" spans="1:11">
      <c r="A1735" s="451" t="s">
        <v>3628</v>
      </c>
      <c r="B1735" s="451" t="s">
        <v>3629</v>
      </c>
      <c r="C1735" s="451" t="s">
        <v>3630</v>
      </c>
      <c r="D1735" s="451" t="s">
        <v>3631</v>
      </c>
      <c r="E1735" s="451"/>
      <c r="F1735" s="451"/>
      <c r="G1735" s="451" t="s">
        <v>22882</v>
      </c>
      <c r="H1735" s="451" t="s">
        <v>22883</v>
      </c>
      <c r="I1735" s="451" t="s">
        <v>3631</v>
      </c>
      <c r="J1735" s="451" t="s">
        <v>23628</v>
      </c>
      <c r="K1735" s="451"/>
    </row>
    <row r="1736" spans="1:11">
      <c r="A1736" s="450" t="s">
        <v>3632</v>
      </c>
      <c r="B1736" s="450"/>
      <c r="C1736" s="450" t="s">
        <v>3633</v>
      </c>
      <c r="D1736" s="450"/>
      <c r="E1736" s="450"/>
      <c r="F1736" s="450"/>
      <c r="G1736" s="450" t="s">
        <v>22882</v>
      </c>
      <c r="H1736" s="450" t="s">
        <v>22883</v>
      </c>
      <c r="I1736" s="450" t="s">
        <v>33454</v>
      </c>
      <c r="J1736" s="450" t="s">
        <v>23185</v>
      </c>
      <c r="K1736" s="450"/>
    </row>
    <row r="1737" spans="1:11">
      <c r="A1737" s="451" t="s">
        <v>3634</v>
      </c>
      <c r="B1737" s="451"/>
      <c r="C1737" s="451" t="s">
        <v>3635</v>
      </c>
      <c r="D1737" s="451"/>
      <c r="E1737" s="451"/>
      <c r="F1737" s="451"/>
      <c r="G1737" s="451" t="s">
        <v>22877</v>
      </c>
      <c r="H1737" s="451" t="s">
        <v>22878</v>
      </c>
      <c r="I1737" s="451" t="s">
        <v>23629</v>
      </c>
      <c r="J1737" s="451" t="s">
        <v>22939</v>
      </c>
      <c r="K1737" s="451"/>
    </row>
    <row r="1738" spans="1:11">
      <c r="A1738" s="450" t="s">
        <v>3641</v>
      </c>
      <c r="B1738" s="450" t="s">
        <v>3642</v>
      </c>
      <c r="C1738" s="450" t="s">
        <v>3643</v>
      </c>
      <c r="D1738" s="450" t="s">
        <v>3644</v>
      </c>
      <c r="E1738" s="450"/>
      <c r="F1738" s="450"/>
      <c r="G1738" s="450" t="s">
        <v>22877</v>
      </c>
      <c r="H1738" s="450" t="s">
        <v>22878</v>
      </c>
      <c r="I1738" s="450" t="s">
        <v>23630</v>
      </c>
      <c r="J1738" s="450" t="s">
        <v>23631</v>
      </c>
      <c r="K1738" s="450"/>
    </row>
    <row r="1739" spans="1:11">
      <c r="A1739" s="451" t="s">
        <v>33455</v>
      </c>
      <c r="B1739" s="451" t="s">
        <v>3646</v>
      </c>
      <c r="C1739" s="451" t="s">
        <v>3647</v>
      </c>
      <c r="D1739" s="451" t="s">
        <v>3648</v>
      </c>
      <c r="E1739" s="451"/>
      <c r="F1739" s="451"/>
      <c r="G1739" s="451" t="s">
        <v>22877</v>
      </c>
      <c r="H1739" s="451" t="s">
        <v>22878</v>
      </c>
      <c r="I1739" s="451" t="s">
        <v>33456</v>
      </c>
      <c r="J1739" s="451" t="s">
        <v>33457</v>
      </c>
      <c r="K1739" s="451"/>
    </row>
    <row r="1740" spans="1:11">
      <c r="A1740" s="450" t="s">
        <v>3645</v>
      </c>
      <c r="B1740" s="450" t="s">
        <v>3646</v>
      </c>
      <c r="C1740" s="450" t="s">
        <v>3647</v>
      </c>
      <c r="D1740" s="450" t="s">
        <v>3648</v>
      </c>
      <c r="E1740" s="450" t="s">
        <v>3649</v>
      </c>
      <c r="F1740" s="450"/>
      <c r="G1740" s="450" t="s">
        <v>22882</v>
      </c>
      <c r="H1740" s="450" t="s">
        <v>22883</v>
      </c>
      <c r="I1740" s="450" t="s">
        <v>30610</v>
      </c>
      <c r="J1740" s="450" t="s">
        <v>30611</v>
      </c>
      <c r="K1740" s="450"/>
    </row>
    <row r="1741" spans="1:11">
      <c r="A1741" s="451" t="s">
        <v>3650</v>
      </c>
      <c r="B1741" s="451" t="s">
        <v>3651</v>
      </c>
      <c r="C1741" s="451" t="s">
        <v>3652</v>
      </c>
      <c r="D1741" s="451" t="s">
        <v>3653</v>
      </c>
      <c r="E1741" s="451"/>
      <c r="F1741" s="451"/>
      <c r="G1741" s="451" t="s">
        <v>22877</v>
      </c>
      <c r="H1741" s="451" t="s">
        <v>22878</v>
      </c>
      <c r="I1741" s="451" t="s">
        <v>33458</v>
      </c>
      <c r="J1741" s="451" t="s">
        <v>33459</v>
      </c>
      <c r="K1741" s="451"/>
    </row>
    <row r="1742" spans="1:11">
      <c r="A1742" s="450" t="s">
        <v>3650</v>
      </c>
      <c r="B1742" s="450" t="s">
        <v>3651</v>
      </c>
      <c r="C1742" s="450" t="s">
        <v>3652</v>
      </c>
      <c r="D1742" s="450" t="s">
        <v>3653</v>
      </c>
      <c r="E1742" s="450" t="s">
        <v>3654</v>
      </c>
      <c r="F1742" s="450"/>
      <c r="G1742" s="450" t="s">
        <v>22882</v>
      </c>
      <c r="H1742" s="450" t="s">
        <v>22883</v>
      </c>
      <c r="I1742" s="450" t="s">
        <v>3653</v>
      </c>
      <c r="J1742" s="450" t="s">
        <v>30612</v>
      </c>
      <c r="K1742" s="450"/>
    </row>
    <row r="1743" spans="1:11">
      <c r="A1743" s="451" t="s">
        <v>3655</v>
      </c>
      <c r="B1743" s="451"/>
      <c r="C1743" s="451" t="s">
        <v>3656</v>
      </c>
      <c r="D1743" s="451"/>
      <c r="E1743" s="451"/>
      <c r="F1743" s="451"/>
      <c r="G1743" s="451" t="s">
        <v>22882</v>
      </c>
      <c r="H1743" s="451" t="s">
        <v>22883</v>
      </c>
      <c r="I1743" s="451"/>
      <c r="J1743" s="451" t="s">
        <v>23185</v>
      </c>
      <c r="K1743" s="451"/>
    </row>
    <row r="1744" spans="1:11">
      <c r="A1744" s="450" t="s">
        <v>21506</v>
      </c>
      <c r="B1744" s="450" t="s">
        <v>3636</v>
      </c>
      <c r="C1744" s="450" t="s">
        <v>3637</v>
      </c>
      <c r="D1744" s="450" t="s">
        <v>3638</v>
      </c>
      <c r="E1744" s="450"/>
      <c r="F1744" s="450"/>
      <c r="G1744" s="450" t="s">
        <v>22882</v>
      </c>
      <c r="H1744" s="450" t="s">
        <v>22883</v>
      </c>
      <c r="I1744" s="450" t="s">
        <v>23632</v>
      </c>
      <c r="J1744" s="450" t="s">
        <v>23633</v>
      </c>
      <c r="K1744" s="450"/>
    </row>
    <row r="1745" spans="1:11">
      <c r="A1745" s="451" t="s">
        <v>21506</v>
      </c>
      <c r="B1745" s="451" t="s">
        <v>3636</v>
      </c>
      <c r="C1745" s="451" t="s">
        <v>3637</v>
      </c>
      <c r="D1745" s="451" t="s">
        <v>3638</v>
      </c>
      <c r="E1745" s="451" t="s">
        <v>3639</v>
      </c>
      <c r="F1745" s="451"/>
      <c r="G1745" s="451" t="s">
        <v>22882</v>
      </c>
      <c r="H1745" s="451" t="s">
        <v>22883</v>
      </c>
      <c r="I1745" s="451" t="s">
        <v>23632</v>
      </c>
      <c r="J1745" s="451" t="s">
        <v>23633</v>
      </c>
      <c r="K1745" s="451"/>
    </row>
    <row r="1746" spans="1:11">
      <c r="A1746" s="450" t="s">
        <v>21507</v>
      </c>
      <c r="B1746" s="450"/>
      <c r="C1746" s="450" t="s">
        <v>3640</v>
      </c>
      <c r="D1746" s="450"/>
      <c r="E1746" s="450"/>
      <c r="F1746" s="450"/>
      <c r="G1746" s="450" t="s">
        <v>22877</v>
      </c>
      <c r="H1746" s="450" t="s">
        <v>22878</v>
      </c>
      <c r="I1746" s="450" t="s">
        <v>33460</v>
      </c>
      <c r="J1746" s="450" t="s">
        <v>33461</v>
      </c>
      <c r="K1746" s="450"/>
    </row>
    <row r="1747" spans="1:11">
      <c r="A1747" s="451" t="s">
        <v>3657</v>
      </c>
      <c r="B1747" s="451"/>
      <c r="C1747" s="451" t="s">
        <v>3658</v>
      </c>
      <c r="D1747" s="451"/>
      <c r="E1747" s="451"/>
      <c r="F1747" s="451"/>
      <c r="G1747" s="451" t="s">
        <v>22877</v>
      </c>
      <c r="H1747" s="451" t="s">
        <v>22878</v>
      </c>
      <c r="I1747" s="451" t="s">
        <v>33462</v>
      </c>
      <c r="J1747" s="451" t="s">
        <v>22943</v>
      </c>
      <c r="K1747" s="451"/>
    </row>
    <row r="1748" spans="1:11">
      <c r="A1748" s="450" t="s">
        <v>3659</v>
      </c>
      <c r="B1748" s="450"/>
      <c r="C1748" s="450" t="s">
        <v>3619</v>
      </c>
      <c r="D1748" s="450"/>
      <c r="E1748" s="450"/>
      <c r="F1748" s="450"/>
      <c r="G1748" s="450" t="s">
        <v>22882</v>
      </c>
      <c r="H1748" s="450" t="s">
        <v>22883</v>
      </c>
      <c r="I1748" s="450"/>
      <c r="J1748" s="450" t="s">
        <v>23185</v>
      </c>
      <c r="K1748" s="450"/>
    </row>
    <row r="1749" spans="1:11">
      <c r="A1749" s="451" t="s">
        <v>33463</v>
      </c>
      <c r="B1749" s="451" t="s">
        <v>3661</v>
      </c>
      <c r="C1749" s="451" t="s">
        <v>3662</v>
      </c>
      <c r="D1749" s="451" t="s">
        <v>3663</v>
      </c>
      <c r="E1749" s="451"/>
      <c r="F1749" s="451"/>
      <c r="G1749" s="451" t="s">
        <v>22877</v>
      </c>
      <c r="H1749" s="451" t="s">
        <v>22878</v>
      </c>
      <c r="I1749" s="451" t="s">
        <v>3663</v>
      </c>
      <c r="J1749" s="451" t="s">
        <v>33464</v>
      </c>
      <c r="K1749" s="451"/>
    </row>
    <row r="1750" spans="1:11">
      <c r="A1750" s="450" t="s">
        <v>3660</v>
      </c>
      <c r="B1750" s="450" t="s">
        <v>3661</v>
      </c>
      <c r="C1750" s="450" t="s">
        <v>3662</v>
      </c>
      <c r="D1750" s="450" t="s">
        <v>3663</v>
      </c>
      <c r="E1750" s="450" t="s">
        <v>3664</v>
      </c>
      <c r="F1750" s="450"/>
      <c r="G1750" s="450" t="s">
        <v>22877</v>
      </c>
      <c r="H1750" s="450" t="s">
        <v>22878</v>
      </c>
      <c r="I1750" s="450" t="s">
        <v>3663</v>
      </c>
      <c r="J1750" s="450" t="s">
        <v>30613</v>
      </c>
      <c r="K1750" s="450"/>
    </row>
    <row r="1751" spans="1:11">
      <c r="A1751" s="451" t="s">
        <v>3665</v>
      </c>
      <c r="B1751" s="451" t="s">
        <v>3666</v>
      </c>
      <c r="C1751" s="451" t="s">
        <v>3667</v>
      </c>
      <c r="D1751" s="451" t="s">
        <v>3668</v>
      </c>
      <c r="E1751" s="451"/>
      <c r="F1751" s="451"/>
      <c r="G1751" s="451" t="s">
        <v>22877</v>
      </c>
      <c r="H1751" s="451" t="s">
        <v>22878</v>
      </c>
      <c r="I1751" s="451" t="s">
        <v>3668</v>
      </c>
      <c r="J1751" s="451" t="s">
        <v>23634</v>
      </c>
      <c r="K1751" s="451"/>
    </row>
    <row r="1752" spans="1:11">
      <c r="A1752" s="450" t="s">
        <v>22792</v>
      </c>
      <c r="B1752" s="450" t="s">
        <v>3666</v>
      </c>
      <c r="C1752" s="450" t="s">
        <v>3667</v>
      </c>
      <c r="D1752" s="450" t="s">
        <v>3668</v>
      </c>
      <c r="E1752" s="450"/>
      <c r="F1752" s="450"/>
      <c r="G1752" s="450" t="s">
        <v>22877</v>
      </c>
      <c r="H1752" s="450" t="s">
        <v>22878</v>
      </c>
      <c r="I1752" s="450" t="s">
        <v>3668</v>
      </c>
      <c r="J1752" s="450" t="s">
        <v>23634</v>
      </c>
      <c r="K1752" s="450"/>
    </row>
    <row r="1753" spans="1:11">
      <c r="A1753" s="451" t="s">
        <v>33465</v>
      </c>
      <c r="B1753" s="451"/>
      <c r="C1753" s="451" t="s">
        <v>3670</v>
      </c>
      <c r="D1753" s="451"/>
      <c r="E1753" s="451"/>
      <c r="F1753" s="451"/>
      <c r="G1753" s="451" t="s">
        <v>22882</v>
      </c>
      <c r="H1753" s="451" t="s">
        <v>22883</v>
      </c>
      <c r="I1753" s="451"/>
      <c r="J1753" s="451" t="s">
        <v>23185</v>
      </c>
      <c r="K1753" s="451"/>
    </row>
    <row r="1754" spans="1:11">
      <c r="A1754" s="450" t="s">
        <v>3669</v>
      </c>
      <c r="B1754" s="450"/>
      <c r="C1754" s="450" t="s">
        <v>3670</v>
      </c>
      <c r="D1754" s="450"/>
      <c r="E1754" s="450"/>
      <c r="F1754" s="450"/>
      <c r="G1754" s="450" t="s">
        <v>22882</v>
      </c>
      <c r="H1754" s="450" t="s">
        <v>22883</v>
      </c>
      <c r="I1754" s="450" t="s">
        <v>33466</v>
      </c>
      <c r="J1754" s="450" t="s">
        <v>23185</v>
      </c>
      <c r="K1754" s="450"/>
    </row>
    <row r="1755" spans="1:11">
      <c r="A1755" s="451" t="s">
        <v>3671</v>
      </c>
      <c r="B1755" s="451"/>
      <c r="C1755" s="451" t="s">
        <v>3672</v>
      </c>
      <c r="D1755" s="451"/>
      <c r="E1755" s="451"/>
      <c r="F1755" s="451"/>
      <c r="G1755" s="451" t="s">
        <v>22882</v>
      </c>
      <c r="H1755" s="451" t="s">
        <v>22883</v>
      </c>
      <c r="I1755" s="451"/>
      <c r="J1755" s="451" t="s">
        <v>23185</v>
      </c>
      <c r="K1755" s="451"/>
    </row>
    <row r="1756" spans="1:11">
      <c r="A1756" s="450" t="s">
        <v>33467</v>
      </c>
      <c r="B1756" s="450"/>
      <c r="C1756" s="450" t="s">
        <v>3674</v>
      </c>
      <c r="D1756" s="450"/>
      <c r="E1756" s="450"/>
      <c r="F1756" s="450"/>
      <c r="G1756" s="450" t="s">
        <v>22877</v>
      </c>
      <c r="H1756" s="450" t="s">
        <v>22878</v>
      </c>
      <c r="I1756" s="450" t="s">
        <v>23635</v>
      </c>
      <c r="J1756" s="450" t="s">
        <v>22943</v>
      </c>
      <c r="K1756" s="450"/>
    </row>
    <row r="1757" spans="1:11">
      <c r="A1757" s="451" t="s">
        <v>3673</v>
      </c>
      <c r="B1757" s="451"/>
      <c r="C1757" s="451" t="s">
        <v>3674</v>
      </c>
      <c r="D1757" s="451"/>
      <c r="E1757" s="451"/>
      <c r="F1757" s="451"/>
      <c r="G1757" s="451" t="s">
        <v>22877</v>
      </c>
      <c r="H1757" s="451" t="s">
        <v>22878</v>
      </c>
      <c r="I1757" s="451" t="s">
        <v>23635</v>
      </c>
      <c r="J1757" s="451" t="s">
        <v>22997</v>
      </c>
      <c r="K1757" s="451"/>
    </row>
    <row r="1758" spans="1:11">
      <c r="A1758" s="450" t="s">
        <v>22793</v>
      </c>
      <c r="B1758" s="450" t="s">
        <v>22794</v>
      </c>
      <c r="C1758" s="450" t="s">
        <v>22795</v>
      </c>
      <c r="D1758" s="450"/>
      <c r="E1758" s="450"/>
      <c r="F1758" s="450"/>
      <c r="G1758" s="450" t="s">
        <v>22877</v>
      </c>
      <c r="H1758" s="450" t="s">
        <v>22878</v>
      </c>
      <c r="I1758" s="450" t="s">
        <v>23636</v>
      </c>
      <c r="J1758" s="450" t="s">
        <v>23637</v>
      </c>
      <c r="K1758" s="450"/>
    </row>
    <row r="1759" spans="1:11">
      <c r="A1759" s="451" t="s">
        <v>3675</v>
      </c>
      <c r="B1759" s="451"/>
      <c r="C1759" s="451" t="s">
        <v>3676</v>
      </c>
      <c r="D1759" s="451"/>
      <c r="E1759" s="451"/>
      <c r="F1759" s="451"/>
      <c r="G1759" s="451" t="s">
        <v>22882</v>
      </c>
      <c r="H1759" s="451" t="s">
        <v>22883</v>
      </c>
      <c r="I1759" s="451" t="s">
        <v>23638</v>
      </c>
      <c r="J1759" s="451" t="s">
        <v>23185</v>
      </c>
      <c r="K1759" s="451"/>
    </row>
    <row r="1760" spans="1:11">
      <c r="A1760" s="450" t="s">
        <v>3677</v>
      </c>
      <c r="B1760" s="450" t="s">
        <v>3678</v>
      </c>
      <c r="C1760" s="450" t="s">
        <v>3679</v>
      </c>
      <c r="D1760" s="450">
        <v>6203263152</v>
      </c>
      <c r="E1760" s="450">
        <v>6203265789</v>
      </c>
      <c r="F1760" s="450" t="s">
        <v>3680</v>
      </c>
      <c r="G1760" s="450" t="s">
        <v>22877</v>
      </c>
      <c r="H1760" s="450" t="s">
        <v>22878</v>
      </c>
      <c r="I1760" s="450" t="s">
        <v>33468</v>
      </c>
      <c r="J1760" s="450" t="s">
        <v>33469</v>
      </c>
      <c r="K1760" s="450"/>
    </row>
    <row r="1761" spans="1:11">
      <c r="A1761" s="451" t="s">
        <v>22796</v>
      </c>
      <c r="B1761" s="451" t="s">
        <v>3678</v>
      </c>
      <c r="C1761" s="451" t="s">
        <v>3679</v>
      </c>
      <c r="D1761" s="451">
        <v>6203263152</v>
      </c>
      <c r="E1761" s="451"/>
      <c r="F1761" s="451" t="s">
        <v>3680</v>
      </c>
      <c r="G1761" s="451" t="s">
        <v>22877</v>
      </c>
      <c r="H1761" s="451" t="s">
        <v>22878</v>
      </c>
      <c r="I1761" s="451" t="s">
        <v>23639</v>
      </c>
      <c r="J1761" s="451" t="s">
        <v>23640</v>
      </c>
      <c r="K1761" s="451"/>
    </row>
    <row r="1762" spans="1:11">
      <c r="A1762" s="450" t="s">
        <v>3681</v>
      </c>
      <c r="B1762" s="450"/>
      <c r="C1762" s="450" t="s">
        <v>3682</v>
      </c>
      <c r="D1762" s="450"/>
      <c r="E1762" s="450"/>
      <c r="F1762" s="450"/>
      <c r="G1762" s="450" t="s">
        <v>22877</v>
      </c>
      <c r="H1762" s="450" t="s">
        <v>22878</v>
      </c>
      <c r="I1762" s="450"/>
      <c r="J1762" s="450" t="s">
        <v>22943</v>
      </c>
      <c r="K1762" s="450"/>
    </row>
    <row r="1763" spans="1:11">
      <c r="A1763" s="451" t="s">
        <v>3683</v>
      </c>
      <c r="B1763" s="451"/>
      <c r="C1763" s="451" t="s">
        <v>3684</v>
      </c>
      <c r="D1763" s="451"/>
      <c r="E1763" s="451"/>
      <c r="F1763" s="451"/>
      <c r="G1763" s="451" t="s">
        <v>22882</v>
      </c>
      <c r="H1763" s="451" t="s">
        <v>22883</v>
      </c>
      <c r="I1763" s="451" t="s">
        <v>33470</v>
      </c>
      <c r="J1763" s="451" t="s">
        <v>22943</v>
      </c>
      <c r="K1763" s="451"/>
    </row>
    <row r="1764" spans="1:11">
      <c r="A1764" s="450" t="s">
        <v>33471</v>
      </c>
      <c r="B1764" s="450"/>
      <c r="C1764" s="450" t="s">
        <v>3686</v>
      </c>
      <c r="D1764" s="450"/>
      <c r="E1764" s="450"/>
      <c r="F1764" s="450"/>
      <c r="G1764" s="450" t="s">
        <v>22877</v>
      </c>
      <c r="H1764" s="450" t="s">
        <v>22878</v>
      </c>
      <c r="I1764" s="450" t="s">
        <v>33472</v>
      </c>
      <c r="J1764" s="450" t="s">
        <v>22943</v>
      </c>
      <c r="K1764" s="450"/>
    </row>
    <row r="1765" spans="1:11">
      <c r="A1765" s="451" t="s">
        <v>3685</v>
      </c>
      <c r="B1765" s="451"/>
      <c r="C1765" s="451" t="s">
        <v>3686</v>
      </c>
      <c r="D1765" s="451"/>
      <c r="E1765" s="451"/>
      <c r="F1765" s="451"/>
      <c r="G1765" s="451" t="s">
        <v>22882</v>
      </c>
      <c r="H1765" s="451" t="s">
        <v>22883</v>
      </c>
      <c r="I1765" s="451" t="s">
        <v>30614</v>
      </c>
      <c r="J1765" s="451" t="s">
        <v>22942</v>
      </c>
      <c r="K1765" s="451"/>
    </row>
    <row r="1766" spans="1:11">
      <c r="A1766" s="450" t="s">
        <v>22797</v>
      </c>
      <c r="B1766" s="450" t="s">
        <v>3690</v>
      </c>
      <c r="C1766" s="450" t="s">
        <v>3691</v>
      </c>
      <c r="D1766" s="450"/>
      <c r="E1766" s="450"/>
      <c r="F1766" s="450" t="s">
        <v>22798</v>
      </c>
      <c r="G1766" s="450" t="s">
        <v>22877</v>
      </c>
      <c r="H1766" s="450" t="s">
        <v>22878</v>
      </c>
      <c r="I1766" s="450" t="s">
        <v>23641</v>
      </c>
      <c r="J1766" s="450" t="s">
        <v>23642</v>
      </c>
      <c r="K1766" s="450"/>
    </row>
    <row r="1767" spans="1:11">
      <c r="A1767" s="451" t="s">
        <v>33473</v>
      </c>
      <c r="B1767" s="451"/>
      <c r="C1767" s="451" t="s">
        <v>3688</v>
      </c>
      <c r="D1767" s="451"/>
      <c r="E1767" s="451"/>
      <c r="F1767" s="451"/>
      <c r="G1767" s="451" t="s">
        <v>22882</v>
      </c>
      <c r="H1767" s="451" t="s">
        <v>22883</v>
      </c>
      <c r="I1767" s="451" t="s">
        <v>33474</v>
      </c>
      <c r="J1767" s="451" t="s">
        <v>22943</v>
      </c>
      <c r="K1767" s="451"/>
    </row>
    <row r="1768" spans="1:11">
      <c r="A1768" s="450" t="s">
        <v>3687</v>
      </c>
      <c r="B1768" s="450"/>
      <c r="C1768" s="450" t="s">
        <v>3688</v>
      </c>
      <c r="D1768" s="450"/>
      <c r="E1768" s="450"/>
      <c r="F1768" s="450"/>
      <c r="G1768" s="450" t="s">
        <v>22882</v>
      </c>
      <c r="H1768" s="450" t="s">
        <v>22883</v>
      </c>
      <c r="I1768" s="450" t="s">
        <v>30615</v>
      </c>
      <c r="J1768" s="450" t="s">
        <v>23185</v>
      </c>
      <c r="K1768" s="450"/>
    </row>
    <row r="1769" spans="1:11">
      <c r="A1769" s="451" t="s">
        <v>3689</v>
      </c>
      <c r="B1769" s="451" t="s">
        <v>3690</v>
      </c>
      <c r="C1769" s="451" t="s">
        <v>3691</v>
      </c>
      <c r="D1769" s="451"/>
      <c r="E1769" s="451"/>
      <c r="F1769" s="451" t="s">
        <v>3692</v>
      </c>
      <c r="G1769" s="451" t="s">
        <v>22877</v>
      </c>
      <c r="H1769" s="451" t="s">
        <v>22878</v>
      </c>
      <c r="I1769" s="451" t="s">
        <v>23641</v>
      </c>
      <c r="J1769" s="451" t="s">
        <v>30616</v>
      </c>
      <c r="K1769" s="451"/>
    </row>
    <row r="1770" spans="1:11">
      <c r="A1770" s="450" t="s">
        <v>3693</v>
      </c>
      <c r="B1770" s="450"/>
      <c r="C1770" s="450" t="s">
        <v>3694</v>
      </c>
      <c r="D1770" s="450"/>
      <c r="E1770" s="450"/>
      <c r="F1770" s="450"/>
      <c r="G1770" s="450" t="s">
        <v>22877</v>
      </c>
      <c r="H1770" s="450" t="s">
        <v>22878</v>
      </c>
      <c r="I1770" s="450" t="s">
        <v>33475</v>
      </c>
      <c r="J1770" s="450" t="s">
        <v>22997</v>
      </c>
      <c r="K1770" s="450"/>
    </row>
    <row r="1771" spans="1:11">
      <c r="A1771" s="451" t="s">
        <v>3695</v>
      </c>
      <c r="B1771" s="451"/>
      <c r="C1771" s="451" t="s">
        <v>3696</v>
      </c>
      <c r="D1771" s="451"/>
      <c r="E1771" s="451"/>
      <c r="F1771" s="451"/>
      <c r="G1771" s="451" t="s">
        <v>22882</v>
      </c>
      <c r="H1771" s="451" t="s">
        <v>22883</v>
      </c>
      <c r="I1771" s="451"/>
      <c r="J1771" s="451" t="s">
        <v>22943</v>
      </c>
      <c r="K1771" s="451"/>
    </row>
    <row r="1772" spans="1:11">
      <c r="A1772" s="450" t="s">
        <v>3697</v>
      </c>
      <c r="B1772" s="450"/>
      <c r="C1772" s="450" t="s">
        <v>3698</v>
      </c>
      <c r="D1772" s="450"/>
      <c r="E1772" s="450"/>
      <c r="F1772" s="450"/>
      <c r="G1772" s="450" t="s">
        <v>22882</v>
      </c>
      <c r="H1772" s="450" t="s">
        <v>22883</v>
      </c>
      <c r="I1772" s="450"/>
      <c r="J1772" s="450" t="s">
        <v>23185</v>
      </c>
      <c r="K1772" s="450"/>
    </row>
    <row r="1773" spans="1:11">
      <c r="A1773" s="451" t="s">
        <v>22799</v>
      </c>
      <c r="B1773" s="451" t="s">
        <v>22800</v>
      </c>
      <c r="C1773" s="451" t="s">
        <v>22801</v>
      </c>
      <c r="D1773" s="451"/>
      <c r="E1773" s="451"/>
      <c r="F1773" s="451"/>
      <c r="G1773" s="451" t="s">
        <v>22877</v>
      </c>
      <c r="H1773" s="451" t="s">
        <v>22878</v>
      </c>
      <c r="I1773" s="451" t="s">
        <v>23643</v>
      </c>
      <c r="J1773" s="451" t="s">
        <v>23644</v>
      </c>
      <c r="K1773" s="451"/>
    </row>
    <row r="1774" spans="1:11">
      <c r="A1774" s="450" t="s">
        <v>3699</v>
      </c>
      <c r="B1774" s="450"/>
      <c r="C1774" s="450" t="s">
        <v>3700</v>
      </c>
      <c r="D1774" s="450"/>
      <c r="E1774" s="450"/>
      <c r="F1774" s="450"/>
      <c r="G1774" s="450" t="s">
        <v>22882</v>
      </c>
      <c r="H1774" s="450" t="s">
        <v>22883</v>
      </c>
      <c r="I1774" s="450" t="s">
        <v>32696</v>
      </c>
      <c r="J1774" s="450" t="s">
        <v>23185</v>
      </c>
      <c r="K1774" s="450"/>
    </row>
    <row r="1775" spans="1:11">
      <c r="A1775" s="451" t="s">
        <v>33476</v>
      </c>
      <c r="B1775" s="451"/>
      <c r="C1775" s="451" t="s">
        <v>3702</v>
      </c>
      <c r="D1775" s="451"/>
      <c r="E1775" s="451"/>
      <c r="F1775" s="451"/>
      <c r="G1775" s="451" t="s">
        <v>22882</v>
      </c>
      <c r="H1775" s="451" t="s">
        <v>22883</v>
      </c>
      <c r="I1775" s="451" t="s">
        <v>33477</v>
      </c>
      <c r="J1775" s="451" t="s">
        <v>23185</v>
      </c>
      <c r="K1775" s="451"/>
    </row>
    <row r="1776" spans="1:11">
      <c r="A1776" s="450" t="s">
        <v>3701</v>
      </c>
      <c r="B1776" s="450"/>
      <c r="C1776" s="450" t="s">
        <v>3702</v>
      </c>
      <c r="D1776" s="450"/>
      <c r="E1776" s="450"/>
      <c r="F1776" s="450"/>
      <c r="G1776" s="450" t="s">
        <v>22882</v>
      </c>
      <c r="H1776" s="450" t="s">
        <v>22883</v>
      </c>
      <c r="I1776" s="450" t="s">
        <v>33478</v>
      </c>
      <c r="J1776" s="450" t="s">
        <v>23185</v>
      </c>
      <c r="K1776" s="450"/>
    </row>
    <row r="1777" spans="1:11">
      <c r="A1777" s="451" t="s">
        <v>3703</v>
      </c>
      <c r="B1777" s="451"/>
      <c r="C1777" s="451" t="s">
        <v>3704</v>
      </c>
      <c r="D1777" s="451"/>
      <c r="E1777" s="451"/>
      <c r="F1777" s="451"/>
      <c r="G1777" s="451" t="s">
        <v>22882</v>
      </c>
      <c r="H1777" s="451" t="s">
        <v>22883</v>
      </c>
      <c r="I1777" s="451"/>
      <c r="J1777" s="451" t="s">
        <v>22943</v>
      </c>
      <c r="K1777" s="451"/>
    </row>
    <row r="1778" spans="1:11">
      <c r="A1778" s="450" t="s">
        <v>3705</v>
      </c>
      <c r="B1778" s="450"/>
      <c r="C1778" s="450" t="s">
        <v>3706</v>
      </c>
      <c r="D1778" s="450"/>
      <c r="E1778" s="450"/>
      <c r="F1778" s="450"/>
      <c r="G1778" s="450" t="s">
        <v>22882</v>
      </c>
      <c r="H1778" s="450" t="s">
        <v>22883</v>
      </c>
      <c r="I1778" s="450" t="s">
        <v>23645</v>
      </c>
      <c r="J1778" s="450" t="s">
        <v>23133</v>
      </c>
      <c r="K1778" s="450"/>
    </row>
    <row r="1779" spans="1:11">
      <c r="A1779" s="451" t="s">
        <v>33479</v>
      </c>
      <c r="B1779" s="451" t="s">
        <v>20324</v>
      </c>
      <c r="C1779" s="451" t="s">
        <v>20325</v>
      </c>
      <c r="D1779" s="451" t="s">
        <v>33480</v>
      </c>
      <c r="E1779" s="451"/>
      <c r="F1779" s="451" t="s">
        <v>33481</v>
      </c>
      <c r="G1779" s="451" t="s">
        <v>22882</v>
      </c>
      <c r="H1779" s="451" t="s">
        <v>22883</v>
      </c>
      <c r="I1779" s="451" t="s">
        <v>33480</v>
      </c>
      <c r="J1779" s="451" t="s">
        <v>33482</v>
      </c>
      <c r="K1779" s="451"/>
    </row>
    <row r="1780" spans="1:11">
      <c r="A1780" s="450" t="s">
        <v>20323</v>
      </c>
      <c r="B1780" s="450" t="s">
        <v>20324</v>
      </c>
      <c r="C1780" s="450" t="s">
        <v>20325</v>
      </c>
      <c r="D1780" s="450" t="s">
        <v>20326</v>
      </c>
      <c r="E1780" s="450"/>
      <c r="F1780" s="450" t="s">
        <v>20327</v>
      </c>
      <c r="G1780" s="450" t="s">
        <v>22882</v>
      </c>
      <c r="H1780" s="450" t="s">
        <v>22883</v>
      </c>
      <c r="I1780" s="450" t="s">
        <v>20326</v>
      </c>
      <c r="J1780" s="450" t="s">
        <v>30617</v>
      </c>
      <c r="K1780" s="450"/>
    </row>
    <row r="1781" spans="1:11">
      <c r="A1781" s="451" t="s">
        <v>3707</v>
      </c>
      <c r="B1781" s="451"/>
      <c r="C1781" s="451" t="s">
        <v>3708</v>
      </c>
      <c r="D1781" s="451"/>
      <c r="E1781" s="451"/>
      <c r="F1781" s="451"/>
      <c r="G1781" s="451" t="s">
        <v>22877</v>
      </c>
      <c r="H1781" s="451" t="s">
        <v>22878</v>
      </c>
      <c r="I1781" s="451" t="s">
        <v>33483</v>
      </c>
      <c r="J1781" s="451" t="s">
        <v>23185</v>
      </c>
      <c r="K1781" s="451"/>
    </row>
    <row r="1782" spans="1:11">
      <c r="A1782" s="450" t="s">
        <v>33484</v>
      </c>
      <c r="B1782" s="450"/>
      <c r="C1782" s="450" t="s">
        <v>3710</v>
      </c>
      <c r="D1782" s="450"/>
      <c r="E1782" s="450"/>
      <c r="F1782" s="450"/>
      <c r="G1782" s="450" t="s">
        <v>22877</v>
      </c>
      <c r="H1782" s="450" t="s">
        <v>22878</v>
      </c>
      <c r="I1782" s="450" t="s">
        <v>23646</v>
      </c>
      <c r="J1782" s="450" t="s">
        <v>22943</v>
      </c>
      <c r="K1782" s="450"/>
    </row>
    <row r="1783" spans="1:11">
      <c r="A1783" s="451" t="s">
        <v>3709</v>
      </c>
      <c r="B1783" s="451"/>
      <c r="C1783" s="451" t="s">
        <v>3710</v>
      </c>
      <c r="D1783" s="451"/>
      <c r="E1783" s="451"/>
      <c r="F1783" s="451"/>
      <c r="G1783" s="451" t="s">
        <v>22882</v>
      </c>
      <c r="H1783" s="451" t="s">
        <v>22883</v>
      </c>
      <c r="I1783" s="451" t="s">
        <v>23646</v>
      </c>
      <c r="J1783" s="451" t="s">
        <v>22997</v>
      </c>
      <c r="K1783" s="451"/>
    </row>
    <row r="1784" spans="1:11">
      <c r="A1784" s="450" t="s">
        <v>22802</v>
      </c>
      <c r="B1784" s="450" t="s">
        <v>22803</v>
      </c>
      <c r="C1784" s="450" t="s">
        <v>12921</v>
      </c>
      <c r="D1784" s="450" t="s">
        <v>22804</v>
      </c>
      <c r="E1784" s="450"/>
      <c r="F1784" s="450"/>
      <c r="G1784" s="450" t="s">
        <v>22877</v>
      </c>
      <c r="H1784" s="450" t="s">
        <v>22878</v>
      </c>
      <c r="I1784" s="450" t="s">
        <v>23647</v>
      </c>
      <c r="J1784" s="450" t="s">
        <v>23648</v>
      </c>
      <c r="K1784" s="450"/>
    </row>
    <row r="1785" spans="1:11">
      <c r="A1785" s="451" t="s">
        <v>33485</v>
      </c>
      <c r="B1785" s="451"/>
      <c r="C1785" s="451" t="s">
        <v>3712</v>
      </c>
      <c r="D1785" s="451"/>
      <c r="E1785" s="451"/>
      <c r="F1785" s="451"/>
      <c r="G1785" s="451" t="s">
        <v>22882</v>
      </c>
      <c r="H1785" s="451" t="s">
        <v>22883</v>
      </c>
      <c r="I1785" s="451" t="s">
        <v>33486</v>
      </c>
      <c r="J1785" s="451" t="s">
        <v>23185</v>
      </c>
      <c r="K1785" s="451"/>
    </row>
    <row r="1786" spans="1:11">
      <c r="A1786" s="450" t="s">
        <v>3711</v>
      </c>
      <c r="B1786" s="450"/>
      <c r="C1786" s="450" t="s">
        <v>3712</v>
      </c>
      <c r="D1786" s="450"/>
      <c r="E1786" s="450"/>
      <c r="F1786" s="450"/>
      <c r="G1786" s="450" t="s">
        <v>22882</v>
      </c>
      <c r="H1786" s="450" t="s">
        <v>22883</v>
      </c>
      <c r="I1786" s="450" t="s">
        <v>33486</v>
      </c>
      <c r="J1786" s="450" t="s">
        <v>23185</v>
      </c>
      <c r="K1786" s="450"/>
    </row>
    <row r="1787" spans="1:11">
      <c r="A1787" s="451" t="s">
        <v>3713</v>
      </c>
      <c r="B1787" s="451"/>
      <c r="C1787" s="451" t="s">
        <v>3714</v>
      </c>
      <c r="D1787" s="451"/>
      <c r="E1787" s="451"/>
      <c r="F1787" s="451"/>
      <c r="G1787" s="451" t="s">
        <v>22877</v>
      </c>
      <c r="H1787" s="451" t="s">
        <v>22878</v>
      </c>
      <c r="I1787" s="451" t="s">
        <v>33487</v>
      </c>
      <c r="J1787" s="451" t="s">
        <v>22943</v>
      </c>
      <c r="K1787" s="451"/>
    </row>
    <row r="1788" spans="1:11">
      <c r="A1788" s="450" t="s">
        <v>33488</v>
      </c>
      <c r="B1788" s="450"/>
      <c r="C1788" s="450" t="s">
        <v>3716</v>
      </c>
      <c r="D1788" s="450"/>
      <c r="E1788" s="450"/>
      <c r="F1788" s="450"/>
      <c r="G1788" s="450" t="s">
        <v>22882</v>
      </c>
      <c r="H1788" s="450" t="s">
        <v>22883</v>
      </c>
      <c r="I1788" s="450" t="s">
        <v>33489</v>
      </c>
      <c r="J1788" s="450" t="s">
        <v>22943</v>
      </c>
      <c r="K1788" s="450"/>
    </row>
    <row r="1789" spans="1:11">
      <c r="A1789" s="451" t="s">
        <v>3715</v>
      </c>
      <c r="B1789" s="451"/>
      <c r="C1789" s="451" t="s">
        <v>3716</v>
      </c>
      <c r="D1789" s="451"/>
      <c r="E1789" s="451"/>
      <c r="F1789" s="451"/>
      <c r="G1789" s="451" t="s">
        <v>22882</v>
      </c>
      <c r="H1789" s="451" t="s">
        <v>22883</v>
      </c>
      <c r="I1789" s="451" t="s">
        <v>33489</v>
      </c>
      <c r="J1789" s="451" t="s">
        <v>22997</v>
      </c>
      <c r="K1789" s="451"/>
    </row>
    <row r="1790" spans="1:11">
      <c r="A1790" s="450" t="s">
        <v>3717</v>
      </c>
      <c r="B1790" s="450"/>
      <c r="C1790" s="450" t="s">
        <v>3718</v>
      </c>
      <c r="D1790" s="450"/>
      <c r="E1790" s="450"/>
      <c r="F1790" s="450"/>
      <c r="G1790" s="450" t="s">
        <v>22882</v>
      </c>
      <c r="H1790" s="450" t="s">
        <v>22883</v>
      </c>
      <c r="I1790" s="450" t="s">
        <v>33490</v>
      </c>
      <c r="J1790" s="450" t="s">
        <v>22939</v>
      </c>
      <c r="K1790" s="450"/>
    </row>
    <row r="1791" spans="1:11">
      <c r="A1791" s="451" t="s">
        <v>33491</v>
      </c>
      <c r="B1791" s="451"/>
      <c r="C1791" s="451" t="s">
        <v>22805</v>
      </c>
      <c r="D1791" s="451"/>
      <c r="E1791" s="451"/>
      <c r="F1791" s="451"/>
      <c r="G1791" s="451" t="s">
        <v>22882</v>
      </c>
      <c r="H1791" s="451" t="s">
        <v>22883</v>
      </c>
      <c r="I1791" s="451" t="s">
        <v>33492</v>
      </c>
      <c r="J1791" s="451" t="s">
        <v>22939</v>
      </c>
      <c r="K1791" s="451"/>
    </row>
    <row r="1792" spans="1:11">
      <c r="A1792" s="450" t="s">
        <v>3719</v>
      </c>
      <c r="B1792" s="450"/>
      <c r="C1792" s="450" t="s">
        <v>3720</v>
      </c>
      <c r="D1792" s="450"/>
      <c r="E1792" s="450"/>
      <c r="F1792" s="450"/>
      <c r="G1792" s="450" t="s">
        <v>22877</v>
      </c>
      <c r="H1792" s="450" t="s">
        <v>22878</v>
      </c>
      <c r="I1792" s="450" t="s">
        <v>33493</v>
      </c>
      <c r="J1792" s="450" t="s">
        <v>23185</v>
      </c>
      <c r="K1792" s="450"/>
    </row>
    <row r="1793" spans="1:11">
      <c r="A1793" s="451" t="s">
        <v>3721</v>
      </c>
      <c r="B1793" s="451"/>
      <c r="C1793" s="451" t="s">
        <v>1454</v>
      </c>
      <c r="D1793" s="451"/>
      <c r="E1793" s="451"/>
      <c r="F1793" s="451"/>
      <c r="G1793" s="451" t="s">
        <v>22882</v>
      </c>
      <c r="H1793" s="451" t="s">
        <v>22883</v>
      </c>
      <c r="I1793" s="451"/>
      <c r="J1793" s="451" t="s">
        <v>23185</v>
      </c>
      <c r="K1793" s="451"/>
    </row>
    <row r="1794" spans="1:11">
      <c r="A1794" s="450" t="s">
        <v>3722</v>
      </c>
      <c r="B1794" s="450"/>
      <c r="C1794" s="450" t="s">
        <v>3723</v>
      </c>
      <c r="D1794" s="450"/>
      <c r="E1794" s="450"/>
      <c r="F1794" s="450"/>
      <c r="G1794" s="450" t="s">
        <v>33494</v>
      </c>
      <c r="H1794" s="450" t="s">
        <v>22878</v>
      </c>
      <c r="I1794" s="450"/>
      <c r="J1794" s="450"/>
      <c r="K1794" s="450"/>
    </row>
    <row r="1795" spans="1:11">
      <c r="A1795" s="451" t="s">
        <v>3724</v>
      </c>
      <c r="B1795" s="451"/>
      <c r="C1795" s="451" t="s">
        <v>3725</v>
      </c>
      <c r="D1795" s="451"/>
      <c r="E1795" s="451"/>
      <c r="F1795" s="451"/>
      <c r="G1795" s="451" t="s">
        <v>22877</v>
      </c>
      <c r="H1795" s="451" t="s">
        <v>22878</v>
      </c>
      <c r="I1795" s="451" t="s">
        <v>33495</v>
      </c>
      <c r="J1795" s="451" t="s">
        <v>22942</v>
      </c>
      <c r="K1795" s="451"/>
    </row>
    <row r="1796" spans="1:11">
      <c r="A1796" s="450" t="s">
        <v>33496</v>
      </c>
      <c r="B1796" s="450"/>
      <c r="C1796" s="450" t="s">
        <v>3725</v>
      </c>
      <c r="D1796" s="450"/>
      <c r="E1796" s="450"/>
      <c r="F1796" s="450"/>
      <c r="G1796" s="450" t="s">
        <v>22877</v>
      </c>
      <c r="H1796" s="450" t="s">
        <v>22878</v>
      </c>
      <c r="I1796" s="450" t="s">
        <v>33495</v>
      </c>
      <c r="J1796" s="450" t="s">
        <v>22943</v>
      </c>
      <c r="K1796" s="450"/>
    </row>
    <row r="1797" spans="1:11">
      <c r="A1797" s="451" t="s">
        <v>3726</v>
      </c>
      <c r="B1797" s="451"/>
      <c r="C1797" s="451" t="s">
        <v>3727</v>
      </c>
      <c r="D1797" s="451"/>
      <c r="E1797" s="451"/>
      <c r="F1797" s="451"/>
      <c r="G1797" s="451" t="s">
        <v>22877</v>
      </c>
      <c r="H1797" s="451" t="s">
        <v>22878</v>
      </c>
      <c r="I1797" s="451" t="s">
        <v>33497</v>
      </c>
      <c r="J1797" s="451" t="s">
        <v>23185</v>
      </c>
      <c r="K1797" s="451"/>
    </row>
    <row r="1798" spans="1:11">
      <c r="A1798" s="450" t="s">
        <v>33498</v>
      </c>
      <c r="B1798" s="450"/>
      <c r="C1798" s="450" t="s">
        <v>2249</v>
      </c>
      <c r="D1798" s="450"/>
      <c r="E1798" s="450"/>
      <c r="F1798" s="450"/>
      <c r="G1798" s="450" t="s">
        <v>22877</v>
      </c>
      <c r="H1798" s="450" t="s">
        <v>22878</v>
      </c>
      <c r="I1798" s="450" t="s">
        <v>33499</v>
      </c>
      <c r="J1798" s="450" t="s">
        <v>22943</v>
      </c>
      <c r="K1798" s="450"/>
    </row>
    <row r="1799" spans="1:11">
      <c r="A1799" s="451" t="s">
        <v>3728</v>
      </c>
      <c r="B1799" s="451"/>
      <c r="C1799" s="451" t="s">
        <v>2249</v>
      </c>
      <c r="D1799" s="451"/>
      <c r="E1799" s="451"/>
      <c r="F1799" s="451"/>
      <c r="G1799" s="451" t="s">
        <v>22877</v>
      </c>
      <c r="H1799" s="451" t="s">
        <v>22878</v>
      </c>
      <c r="I1799" s="451" t="s">
        <v>33499</v>
      </c>
      <c r="J1799" s="451" t="s">
        <v>22939</v>
      </c>
      <c r="K1799" s="451"/>
    </row>
    <row r="1800" spans="1:11">
      <c r="A1800" s="450" t="s">
        <v>21508</v>
      </c>
      <c r="B1800" s="450"/>
      <c r="C1800" s="450" t="s">
        <v>1213</v>
      </c>
      <c r="D1800" s="450"/>
      <c r="E1800" s="450"/>
      <c r="F1800" s="450"/>
      <c r="G1800" s="450" t="s">
        <v>22877</v>
      </c>
      <c r="H1800" s="450" t="s">
        <v>22878</v>
      </c>
      <c r="I1800" s="450" t="s">
        <v>33500</v>
      </c>
      <c r="J1800" s="450" t="s">
        <v>23185</v>
      </c>
      <c r="K1800" s="450"/>
    </row>
    <row r="1801" spans="1:11">
      <c r="A1801" s="451" t="s">
        <v>3729</v>
      </c>
      <c r="B1801" s="451"/>
      <c r="C1801" s="451" t="s">
        <v>3730</v>
      </c>
      <c r="D1801" s="451"/>
      <c r="E1801" s="451"/>
      <c r="F1801" s="451"/>
      <c r="G1801" s="451" t="s">
        <v>22877</v>
      </c>
      <c r="H1801" s="451" t="s">
        <v>22878</v>
      </c>
      <c r="I1801" s="451" t="s">
        <v>23649</v>
      </c>
      <c r="J1801" s="451" t="s">
        <v>22943</v>
      </c>
      <c r="K1801" s="451"/>
    </row>
    <row r="1802" spans="1:11">
      <c r="A1802" s="450" t="s">
        <v>3731</v>
      </c>
      <c r="B1802" s="450" t="s">
        <v>33501</v>
      </c>
      <c r="C1802" s="450" t="s">
        <v>3733</v>
      </c>
      <c r="D1802" s="450" t="s">
        <v>3734</v>
      </c>
      <c r="E1802" s="450"/>
      <c r="F1802" s="450"/>
      <c r="G1802" s="450" t="s">
        <v>22877</v>
      </c>
      <c r="H1802" s="450" t="s">
        <v>22878</v>
      </c>
      <c r="I1802" s="450" t="s">
        <v>3734</v>
      </c>
      <c r="J1802" s="450" t="s">
        <v>33502</v>
      </c>
      <c r="K1802" s="450"/>
    </row>
    <row r="1803" spans="1:11">
      <c r="A1803" s="451" t="s">
        <v>3731</v>
      </c>
      <c r="B1803" s="451" t="s">
        <v>3732</v>
      </c>
      <c r="C1803" s="451" t="s">
        <v>3733</v>
      </c>
      <c r="D1803" s="451" t="s">
        <v>3734</v>
      </c>
      <c r="E1803" s="451"/>
      <c r="F1803" s="451"/>
      <c r="G1803" s="451" t="s">
        <v>22877</v>
      </c>
      <c r="H1803" s="451" t="s">
        <v>22878</v>
      </c>
      <c r="I1803" s="451" t="s">
        <v>3734</v>
      </c>
      <c r="J1803" s="451" t="s">
        <v>30618</v>
      </c>
      <c r="K1803" s="451"/>
    </row>
    <row r="1804" spans="1:11">
      <c r="A1804" s="450" t="s">
        <v>33503</v>
      </c>
      <c r="B1804" s="450"/>
      <c r="C1804" s="450" t="s">
        <v>1254</v>
      </c>
      <c r="D1804" s="450"/>
      <c r="E1804" s="450"/>
      <c r="F1804" s="450"/>
      <c r="G1804" s="450" t="s">
        <v>22877</v>
      </c>
      <c r="H1804" s="450" t="s">
        <v>22878</v>
      </c>
      <c r="I1804" s="450" t="s">
        <v>33504</v>
      </c>
      <c r="J1804" s="450" t="s">
        <v>23185</v>
      </c>
      <c r="K1804" s="450"/>
    </row>
    <row r="1805" spans="1:11">
      <c r="A1805" s="451" t="s">
        <v>3735</v>
      </c>
      <c r="B1805" s="451"/>
      <c r="C1805" s="451" t="s">
        <v>1254</v>
      </c>
      <c r="D1805" s="451"/>
      <c r="E1805" s="451"/>
      <c r="F1805" s="451"/>
      <c r="G1805" s="451" t="s">
        <v>22877</v>
      </c>
      <c r="H1805" s="451" t="s">
        <v>22878</v>
      </c>
      <c r="I1805" s="451" t="s">
        <v>33504</v>
      </c>
      <c r="J1805" s="451" t="s">
        <v>23133</v>
      </c>
      <c r="K1805" s="451"/>
    </row>
    <row r="1806" spans="1:11">
      <c r="A1806" s="450" t="s">
        <v>3736</v>
      </c>
      <c r="B1806" s="450"/>
      <c r="C1806" s="450" t="s">
        <v>3737</v>
      </c>
      <c r="D1806" s="450"/>
      <c r="E1806" s="450"/>
      <c r="F1806" s="450"/>
      <c r="G1806" s="450" t="s">
        <v>22877</v>
      </c>
      <c r="H1806" s="450" t="s">
        <v>22878</v>
      </c>
      <c r="I1806" s="450" t="s">
        <v>23650</v>
      </c>
      <c r="J1806" s="450" t="s">
        <v>22943</v>
      </c>
      <c r="K1806" s="450"/>
    </row>
    <row r="1807" spans="1:11">
      <c r="A1807" s="451" t="s">
        <v>33505</v>
      </c>
      <c r="B1807" s="451" t="s">
        <v>3739</v>
      </c>
      <c r="C1807" s="451" t="s">
        <v>3740</v>
      </c>
      <c r="D1807" s="451" t="s">
        <v>3741</v>
      </c>
      <c r="E1807" s="451"/>
      <c r="F1807" s="451"/>
      <c r="G1807" s="451" t="s">
        <v>22877</v>
      </c>
      <c r="H1807" s="451" t="s">
        <v>22878</v>
      </c>
      <c r="I1807" s="451" t="s">
        <v>33506</v>
      </c>
      <c r="J1807" s="451" t="s">
        <v>23651</v>
      </c>
      <c r="K1807" s="451"/>
    </row>
    <row r="1808" spans="1:11">
      <c r="A1808" s="450" t="s">
        <v>3738</v>
      </c>
      <c r="B1808" s="450" t="s">
        <v>3739</v>
      </c>
      <c r="C1808" s="450" t="s">
        <v>3740</v>
      </c>
      <c r="D1808" s="450" t="s">
        <v>3741</v>
      </c>
      <c r="E1808" s="450" t="s">
        <v>3742</v>
      </c>
      <c r="F1808" s="450"/>
      <c r="G1808" s="450" t="s">
        <v>22877</v>
      </c>
      <c r="H1808" s="450" t="s">
        <v>22878</v>
      </c>
      <c r="I1808" s="450" t="s">
        <v>30619</v>
      </c>
      <c r="J1808" s="450" t="s">
        <v>23651</v>
      </c>
      <c r="K1808" s="450"/>
    </row>
    <row r="1809" spans="1:11">
      <c r="A1809" s="451" t="s">
        <v>33507</v>
      </c>
      <c r="B1809" s="451"/>
      <c r="C1809" s="451" t="s">
        <v>3744</v>
      </c>
      <c r="D1809" s="451"/>
      <c r="E1809" s="451"/>
      <c r="F1809" s="451"/>
      <c r="G1809" s="451" t="s">
        <v>22882</v>
      </c>
      <c r="H1809" s="451" t="s">
        <v>22883</v>
      </c>
      <c r="I1809" s="451"/>
      <c r="J1809" s="451" t="s">
        <v>22943</v>
      </c>
      <c r="K1809" s="451"/>
    </row>
    <row r="1810" spans="1:11">
      <c r="A1810" s="450" t="s">
        <v>3743</v>
      </c>
      <c r="B1810" s="450"/>
      <c r="C1810" s="450" t="s">
        <v>3744</v>
      </c>
      <c r="D1810" s="450"/>
      <c r="E1810" s="450"/>
      <c r="F1810" s="450"/>
      <c r="G1810" s="450" t="s">
        <v>22882</v>
      </c>
      <c r="H1810" s="450" t="s">
        <v>22883</v>
      </c>
      <c r="I1810" s="450" t="s">
        <v>33508</v>
      </c>
      <c r="J1810" s="450" t="s">
        <v>22942</v>
      </c>
      <c r="K1810" s="450"/>
    </row>
    <row r="1811" spans="1:11">
      <c r="A1811" s="451" t="s">
        <v>21509</v>
      </c>
      <c r="B1811" s="451"/>
      <c r="C1811" s="451" t="s">
        <v>3745</v>
      </c>
      <c r="D1811" s="451"/>
      <c r="E1811" s="451"/>
      <c r="F1811" s="451"/>
      <c r="G1811" s="451" t="s">
        <v>22877</v>
      </c>
      <c r="H1811" s="451" t="s">
        <v>22878</v>
      </c>
      <c r="I1811" s="451" t="s">
        <v>23652</v>
      </c>
      <c r="J1811" s="451" t="s">
        <v>23185</v>
      </c>
      <c r="K1811" s="451"/>
    </row>
    <row r="1812" spans="1:11">
      <c r="A1812" s="450" t="s">
        <v>22806</v>
      </c>
      <c r="B1812" s="450" t="s">
        <v>22807</v>
      </c>
      <c r="C1812" s="450" t="s">
        <v>22808</v>
      </c>
      <c r="D1812" s="450"/>
      <c r="E1812" s="450"/>
      <c r="F1812" s="450"/>
      <c r="G1812" s="450" t="s">
        <v>22877</v>
      </c>
      <c r="H1812" s="450" t="s">
        <v>22878</v>
      </c>
      <c r="I1812" s="450" t="s">
        <v>23653</v>
      </c>
      <c r="J1812" s="450" t="s">
        <v>23654</v>
      </c>
      <c r="K1812" s="450"/>
    </row>
    <row r="1813" spans="1:11">
      <c r="A1813" s="451" t="s">
        <v>22809</v>
      </c>
      <c r="B1813" s="451" t="s">
        <v>2816</v>
      </c>
      <c r="C1813" s="451" t="s">
        <v>2817</v>
      </c>
      <c r="D1813" s="451" t="s">
        <v>2818</v>
      </c>
      <c r="E1813" s="451"/>
      <c r="F1813" s="451" t="s">
        <v>2820</v>
      </c>
      <c r="G1813" s="451" t="s">
        <v>22882</v>
      </c>
      <c r="H1813" s="451" t="s">
        <v>22883</v>
      </c>
      <c r="I1813" s="451" t="s">
        <v>23655</v>
      </c>
      <c r="J1813" s="451" t="s">
        <v>23656</v>
      </c>
      <c r="K1813" s="451"/>
    </row>
    <row r="1814" spans="1:11">
      <c r="A1814" s="450" t="s">
        <v>3746</v>
      </c>
      <c r="B1814" s="450"/>
      <c r="C1814" s="450" t="s">
        <v>3747</v>
      </c>
      <c r="D1814" s="450"/>
      <c r="E1814" s="450"/>
      <c r="F1814" s="450"/>
      <c r="G1814" s="450" t="s">
        <v>22877</v>
      </c>
      <c r="H1814" s="450" t="s">
        <v>22878</v>
      </c>
      <c r="I1814" s="450" t="s">
        <v>33509</v>
      </c>
      <c r="J1814" s="450" t="s">
        <v>23184</v>
      </c>
      <c r="K1814" s="450"/>
    </row>
    <row r="1815" spans="1:11">
      <c r="A1815" s="451" t="s">
        <v>33510</v>
      </c>
      <c r="B1815" s="451"/>
      <c r="C1815" s="451" t="s">
        <v>3771</v>
      </c>
      <c r="D1815" s="451"/>
      <c r="E1815" s="451"/>
      <c r="F1815" s="451"/>
      <c r="G1815" s="451" t="s">
        <v>33511</v>
      </c>
      <c r="H1815" s="451" t="s">
        <v>22878</v>
      </c>
      <c r="I1815" s="451"/>
      <c r="J1815" s="451"/>
      <c r="K1815" s="451"/>
    </row>
    <row r="1816" spans="1:11">
      <c r="A1816" s="450" t="s">
        <v>33512</v>
      </c>
      <c r="B1816" s="450"/>
      <c r="C1816" s="450" t="s">
        <v>3748</v>
      </c>
      <c r="D1816" s="450"/>
      <c r="E1816" s="450"/>
      <c r="F1816" s="450"/>
      <c r="G1816" s="450" t="s">
        <v>22877</v>
      </c>
      <c r="H1816" s="450" t="s">
        <v>22878</v>
      </c>
      <c r="I1816" s="450" t="s">
        <v>33513</v>
      </c>
      <c r="J1816" s="450" t="s">
        <v>22997</v>
      </c>
      <c r="K1816" s="450"/>
    </row>
    <row r="1817" spans="1:11">
      <c r="A1817" s="451" t="s">
        <v>3768</v>
      </c>
      <c r="B1817" s="451"/>
      <c r="C1817" s="451" t="s">
        <v>3769</v>
      </c>
      <c r="D1817" s="451"/>
      <c r="E1817" s="451"/>
      <c r="F1817" s="451"/>
      <c r="G1817" s="451" t="s">
        <v>22877</v>
      </c>
      <c r="H1817" s="451" t="s">
        <v>22878</v>
      </c>
      <c r="I1817" s="451" t="s">
        <v>33514</v>
      </c>
      <c r="J1817" s="451" t="s">
        <v>22943</v>
      </c>
      <c r="K1817" s="451"/>
    </row>
    <row r="1818" spans="1:11">
      <c r="A1818" s="450" t="s">
        <v>3770</v>
      </c>
      <c r="B1818" s="450"/>
      <c r="C1818" s="450" t="s">
        <v>3771</v>
      </c>
      <c r="D1818" s="450"/>
      <c r="E1818" s="450"/>
      <c r="F1818" s="450"/>
      <c r="G1818" s="450" t="s">
        <v>23108</v>
      </c>
      <c r="H1818" s="450" t="s">
        <v>22878</v>
      </c>
      <c r="I1818" s="450"/>
      <c r="J1818" s="450"/>
      <c r="K1818" s="450" t="s">
        <v>23726</v>
      </c>
    </row>
    <row r="1819" spans="1:11">
      <c r="A1819" s="451" t="s">
        <v>21510</v>
      </c>
      <c r="B1819" s="451"/>
      <c r="C1819" s="451" t="s">
        <v>3748</v>
      </c>
      <c r="D1819" s="451"/>
      <c r="E1819" s="451"/>
      <c r="F1819" s="451"/>
      <c r="G1819" s="451" t="s">
        <v>22877</v>
      </c>
      <c r="H1819" s="451" t="s">
        <v>22878</v>
      </c>
      <c r="I1819" s="451" t="s">
        <v>33515</v>
      </c>
      <c r="J1819" s="451" t="s">
        <v>22997</v>
      </c>
      <c r="K1819" s="451"/>
    </row>
    <row r="1820" spans="1:11">
      <c r="A1820" s="450" t="s">
        <v>33516</v>
      </c>
      <c r="B1820" s="450"/>
      <c r="C1820" s="450" t="s">
        <v>3749</v>
      </c>
      <c r="D1820" s="450"/>
      <c r="E1820" s="450"/>
      <c r="F1820" s="450"/>
      <c r="G1820" s="450" t="s">
        <v>22877</v>
      </c>
      <c r="H1820" s="450" t="s">
        <v>22878</v>
      </c>
      <c r="I1820" s="450" t="s">
        <v>33517</v>
      </c>
      <c r="J1820" s="450" t="s">
        <v>22943</v>
      </c>
      <c r="K1820" s="450"/>
    </row>
    <row r="1821" spans="1:11">
      <c r="A1821" s="451" t="s">
        <v>21511</v>
      </c>
      <c r="B1821" s="451"/>
      <c r="C1821" s="451" t="s">
        <v>3749</v>
      </c>
      <c r="D1821" s="451"/>
      <c r="E1821" s="451"/>
      <c r="F1821" s="451"/>
      <c r="G1821" s="451" t="s">
        <v>22877</v>
      </c>
      <c r="H1821" s="451" t="s">
        <v>22878</v>
      </c>
      <c r="I1821" s="451" t="s">
        <v>33517</v>
      </c>
      <c r="J1821" s="451" t="s">
        <v>22942</v>
      </c>
      <c r="K1821" s="451"/>
    </row>
    <row r="1822" spans="1:11">
      <c r="A1822" s="450" t="s">
        <v>21512</v>
      </c>
      <c r="B1822" s="450"/>
      <c r="C1822" s="450" t="s">
        <v>3750</v>
      </c>
      <c r="D1822" s="450"/>
      <c r="E1822" s="450"/>
      <c r="F1822" s="450"/>
      <c r="G1822" s="450" t="s">
        <v>22877</v>
      </c>
      <c r="H1822" s="450" t="s">
        <v>22878</v>
      </c>
      <c r="I1822" s="450" t="s">
        <v>33518</v>
      </c>
      <c r="J1822" s="450" t="s">
        <v>22943</v>
      </c>
      <c r="K1822" s="450"/>
    </row>
    <row r="1823" spans="1:11">
      <c r="A1823" s="451" t="s">
        <v>33519</v>
      </c>
      <c r="B1823" s="451"/>
      <c r="C1823" s="451" t="s">
        <v>33520</v>
      </c>
      <c r="D1823" s="451"/>
      <c r="E1823" s="451"/>
      <c r="F1823" s="451"/>
      <c r="G1823" s="451" t="s">
        <v>22877</v>
      </c>
      <c r="H1823" s="451" t="s">
        <v>22878</v>
      </c>
      <c r="I1823" s="451" t="s">
        <v>33521</v>
      </c>
      <c r="J1823" s="451" t="s">
        <v>23184</v>
      </c>
      <c r="K1823" s="451"/>
    </row>
    <row r="1824" spans="1:11">
      <c r="A1824" s="450" t="s">
        <v>21513</v>
      </c>
      <c r="B1824" s="450"/>
      <c r="C1824" s="450" t="s">
        <v>3751</v>
      </c>
      <c r="D1824" s="450"/>
      <c r="E1824" s="450"/>
      <c r="F1824" s="450"/>
      <c r="G1824" s="450" t="s">
        <v>22882</v>
      </c>
      <c r="H1824" s="450" t="s">
        <v>22883</v>
      </c>
      <c r="I1824" s="450" t="s">
        <v>33521</v>
      </c>
      <c r="J1824" s="450" t="s">
        <v>22939</v>
      </c>
      <c r="K1824" s="450"/>
    </row>
    <row r="1825" spans="1:11">
      <c r="A1825" s="451" t="s">
        <v>33522</v>
      </c>
      <c r="B1825" s="451"/>
      <c r="C1825" s="451" t="s">
        <v>3752</v>
      </c>
      <c r="D1825" s="451"/>
      <c r="E1825" s="451"/>
      <c r="F1825" s="451"/>
      <c r="G1825" s="451" t="s">
        <v>22882</v>
      </c>
      <c r="H1825" s="451" t="s">
        <v>22883</v>
      </c>
      <c r="I1825" s="451"/>
      <c r="J1825" s="451" t="s">
        <v>23185</v>
      </c>
      <c r="K1825" s="451"/>
    </row>
    <row r="1826" spans="1:11">
      <c r="A1826" s="450" t="s">
        <v>21514</v>
      </c>
      <c r="B1826" s="450"/>
      <c r="C1826" s="450" t="s">
        <v>3752</v>
      </c>
      <c r="D1826" s="450"/>
      <c r="E1826" s="450"/>
      <c r="F1826" s="450"/>
      <c r="G1826" s="450" t="s">
        <v>22882</v>
      </c>
      <c r="H1826" s="450" t="s">
        <v>22883</v>
      </c>
      <c r="I1826" s="450" t="s">
        <v>33523</v>
      </c>
      <c r="J1826" s="450" t="s">
        <v>22939</v>
      </c>
      <c r="K1826" s="450"/>
    </row>
    <row r="1827" spans="1:11">
      <c r="A1827" s="451" t="s">
        <v>21515</v>
      </c>
      <c r="B1827" s="451"/>
      <c r="C1827" s="451" t="s">
        <v>3753</v>
      </c>
      <c r="D1827" s="451"/>
      <c r="E1827" s="451"/>
      <c r="F1827" s="451"/>
      <c r="G1827" s="451" t="s">
        <v>22877</v>
      </c>
      <c r="H1827" s="451" t="s">
        <v>22878</v>
      </c>
      <c r="I1827" s="451" t="s">
        <v>33524</v>
      </c>
      <c r="J1827" s="451" t="s">
        <v>22943</v>
      </c>
      <c r="K1827" s="451"/>
    </row>
    <row r="1828" spans="1:11">
      <c r="A1828" s="450" t="s">
        <v>21516</v>
      </c>
      <c r="B1828" s="450"/>
      <c r="C1828" s="450" t="s">
        <v>3754</v>
      </c>
      <c r="D1828" s="450"/>
      <c r="E1828" s="450"/>
      <c r="F1828" s="450"/>
      <c r="G1828" s="450" t="s">
        <v>22877</v>
      </c>
      <c r="H1828" s="450" t="s">
        <v>22878</v>
      </c>
      <c r="I1828" s="450"/>
      <c r="J1828" s="450" t="s">
        <v>22943</v>
      </c>
      <c r="K1828" s="450"/>
    </row>
    <row r="1829" spans="1:11">
      <c r="A1829" s="451" t="s">
        <v>21517</v>
      </c>
      <c r="B1829" s="451" t="s">
        <v>3755</v>
      </c>
      <c r="C1829" s="451" t="s">
        <v>1334</v>
      </c>
      <c r="D1829" s="451" t="s">
        <v>3756</v>
      </c>
      <c r="E1829" s="451"/>
      <c r="F1829" s="451"/>
      <c r="G1829" s="451" t="s">
        <v>22877</v>
      </c>
      <c r="H1829" s="451" t="s">
        <v>22878</v>
      </c>
      <c r="I1829" s="451" t="s">
        <v>23657</v>
      </c>
      <c r="J1829" s="451" t="s">
        <v>23658</v>
      </c>
      <c r="K1829" s="451"/>
    </row>
    <row r="1830" spans="1:11">
      <c r="A1830" s="450" t="s">
        <v>21518</v>
      </c>
      <c r="B1830" s="450"/>
      <c r="C1830" s="450" t="s">
        <v>3757</v>
      </c>
      <c r="D1830" s="450"/>
      <c r="E1830" s="450"/>
      <c r="F1830" s="450"/>
      <c r="G1830" s="450" t="s">
        <v>23659</v>
      </c>
      <c r="H1830" s="450" t="s">
        <v>22878</v>
      </c>
      <c r="I1830" s="450"/>
      <c r="J1830" s="450" t="s">
        <v>23183</v>
      </c>
      <c r="K1830" s="450"/>
    </row>
    <row r="1831" spans="1:11">
      <c r="A1831" s="451" t="s">
        <v>3772</v>
      </c>
      <c r="B1831" s="451" t="s">
        <v>3773</v>
      </c>
      <c r="C1831" s="451" t="s">
        <v>2021</v>
      </c>
      <c r="D1831" s="451" t="s">
        <v>3774</v>
      </c>
      <c r="E1831" s="451"/>
      <c r="F1831" s="451"/>
      <c r="G1831" s="451" t="s">
        <v>22877</v>
      </c>
      <c r="H1831" s="451" t="s">
        <v>22878</v>
      </c>
      <c r="I1831" s="451" t="s">
        <v>3774</v>
      </c>
      <c r="J1831" s="451" t="s">
        <v>23660</v>
      </c>
      <c r="K1831" s="451"/>
    </row>
    <row r="1832" spans="1:11">
      <c r="A1832" s="450" t="s">
        <v>3772</v>
      </c>
      <c r="B1832" s="450" t="s">
        <v>3758</v>
      </c>
      <c r="C1832" s="450" t="s">
        <v>2844</v>
      </c>
      <c r="D1832" s="450" t="s">
        <v>3759</v>
      </c>
      <c r="E1832" s="450" t="s">
        <v>3760</v>
      </c>
      <c r="F1832" s="450"/>
      <c r="G1832" s="450" t="s">
        <v>22882</v>
      </c>
      <c r="H1832" s="450" t="s">
        <v>22883</v>
      </c>
      <c r="I1832" s="450" t="s">
        <v>30620</v>
      </c>
      <c r="J1832" s="450" t="s">
        <v>30621</v>
      </c>
      <c r="K1832" s="450"/>
    </row>
    <row r="1833" spans="1:11">
      <c r="A1833" s="451" t="s">
        <v>3772</v>
      </c>
      <c r="B1833" s="451" t="s">
        <v>3773</v>
      </c>
      <c r="C1833" s="451" t="s">
        <v>2021</v>
      </c>
      <c r="D1833" s="451" t="s">
        <v>3774</v>
      </c>
      <c r="E1833" s="451" t="s">
        <v>3775</v>
      </c>
      <c r="F1833" s="451"/>
      <c r="G1833" s="451" t="s">
        <v>22882</v>
      </c>
      <c r="H1833" s="451" t="s">
        <v>22883</v>
      </c>
      <c r="I1833" s="451" t="s">
        <v>30622</v>
      </c>
      <c r="J1833" s="451" t="s">
        <v>30623</v>
      </c>
      <c r="K1833" s="451"/>
    </row>
    <row r="1834" spans="1:11">
      <c r="A1834" s="450" t="s">
        <v>21519</v>
      </c>
      <c r="B1834" s="450" t="s">
        <v>3761</v>
      </c>
      <c r="C1834" s="450" t="s">
        <v>3762</v>
      </c>
      <c r="D1834" s="450" t="s">
        <v>3763</v>
      </c>
      <c r="E1834" s="450"/>
      <c r="F1834" s="450"/>
      <c r="G1834" s="450" t="s">
        <v>22877</v>
      </c>
      <c r="H1834" s="450" t="s">
        <v>22878</v>
      </c>
      <c r="I1834" s="450" t="s">
        <v>33525</v>
      </c>
      <c r="J1834" s="450" t="s">
        <v>23661</v>
      </c>
      <c r="K1834" s="450"/>
    </row>
    <row r="1835" spans="1:11">
      <c r="A1835" s="451" t="s">
        <v>21519</v>
      </c>
      <c r="B1835" s="451" t="s">
        <v>3761</v>
      </c>
      <c r="C1835" s="451" t="s">
        <v>3762</v>
      </c>
      <c r="D1835" s="451" t="s">
        <v>3763</v>
      </c>
      <c r="E1835" s="451" t="s">
        <v>3764</v>
      </c>
      <c r="F1835" s="451"/>
      <c r="G1835" s="451" t="s">
        <v>22882</v>
      </c>
      <c r="H1835" s="451" t="s">
        <v>22883</v>
      </c>
      <c r="I1835" s="451" t="s">
        <v>3763</v>
      </c>
      <c r="J1835" s="451" t="s">
        <v>23661</v>
      </c>
      <c r="K1835" s="451"/>
    </row>
    <row r="1836" spans="1:11">
      <c r="A1836" s="450" t="s">
        <v>30624</v>
      </c>
      <c r="B1836" s="450" t="s">
        <v>22810</v>
      </c>
      <c r="C1836" s="450" t="s">
        <v>3306</v>
      </c>
      <c r="D1836" s="450" t="s">
        <v>3766</v>
      </c>
      <c r="E1836" s="450"/>
      <c r="F1836" s="450"/>
      <c r="G1836" s="450" t="s">
        <v>22877</v>
      </c>
      <c r="H1836" s="450" t="s">
        <v>22878</v>
      </c>
      <c r="I1836" s="450" t="s">
        <v>23662</v>
      </c>
      <c r="J1836" s="450" t="s">
        <v>23663</v>
      </c>
      <c r="K1836" s="450"/>
    </row>
    <row r="1837" spans="1:11">
      <c r="A1837" s="451" t="s">
        <v>21520</v>
      </c>
      <c r="B1837" s="451" t="s">
        <v>3765</v>
      </c>
      <c r="C1837" s="451" t="s">
        <v>3306</v>
      </c>
      <c r="D1837" s="451" t="s">
        <v>3766</v>
      </c>
      <c r="E1837" s="451" t="s">
        <v>3767</v>
      </c>
      <c r="F1837" s="451"/>
      <c r="G1837" s="451" t="s">
        <v>22877</v>
      </c>
      <c r="H1837" s="451" t="s">
        <v>22878</v>
      </c>
      <c r="I1837" s="451" t="s">
        <v>3766</v>
      </c>
      <c r="J1837" s="451" t="s">
        <v>30625</v>
      </c>
      <c r="K1837" s="451"/>
    </row>
    <row r="1838" spans="1:11">
      <c r="A1838" s="450" t="s">
        <v>3776</v>
      </c>
      <c r="B1838" s="450" t="s">
        <v>3777</v>
      </c>
      <c r="C1838" s="450" t="s">
        <v>3778</v>
      </c>
      <c r="D1838" s="450"/>
      <c r="E1838" s="450"/>
      <c r="F1838" s="450"/>
      <c r="G1838" s="450" t="s">
        <v>22877</v>
      </c>
      <c r="H1838" s="450" t="s">
        <v>22878</v>
      </c>
      <c r="I1838" s="450" t="s">
        <v>30626</v>
      </c>
      <c r="J1838" s="450" t="s">
        <v>30627</v>
      </c>
      <c r="K1838" s="450"/>
    </row>
    <row r="1839" spans="1:11">
      <c r="A1839" s="451" t="s">
        <v>3779</v>
      </c>
      <c r="B1839" s="451"/>
      <c r="C1839" s="451" t="s">
        <v>3780</v>
      </c>
      <c r="D1839" s="451"/>
      <c r="E1839" s="451"/>
      <c r="F1839" s="451"/>
      <c r="G1839" s="451" t="s">
        <v>22882</v>
      </c>
      <c r="H1839" s="451" t="s">
        <v>22883</v>
      </c>
      <c r="I1839" s="451"/>
      <c r="J1839" s="451" t="s">
        <v>22997</v>
      </c>
      <c r="K1839" s="451"/>
    </row>
    <row r="1840" spans="1:11">
      <c r="A1840" s="450" t="s">
        <v>3781</v>
      </c>
      <c r="B1840" s="450"/>
      <c r="C1840" s="450" t="s">
        <v>1997</v>
      </c>
      <c r="D1840" s="450"/>
      <c r="E1840" s="450"/>
      <c r="F1840" s="450"/>
      <c r="G1840" s="450" t="s">
        <v>3781</v>
      </c>
      <c r="H1840" s="450" t="s">
        <v>22883</v>
      </c>
      <c r="I1840" s="450"/>
      <c r="J1840" s="450"/>
      <c r="K1840" s="450"/>
    </row>
    <row r="1841" spans="1:11">
      <c r="A1841" s="451" t="s">
        <v>3782</v>
      </c>
      <c r="B1841" s="451"/>
      <c r="C1841" s="451" t="s">
        <v>3783</v>
      </c>
      <c r="D1841" s="451"/>
      <c r="E1841" s="451"/>
      <c r="F1841" s="451"/>
      <c r="G1841" s="451" t="s">
        <v>33526</v>
      </c>
      <c r="H1841" s="451" t="s">
        <v>22883</v>
      </c>
      <c r="I1841" s="451"/>
      <c r="J1841" s="451"/>
      <c r="K1841" s="451"/>
    </row>
    <row r="1842" spans="1:11">
      <c r="A1842" s="450" t="s">
        <v>3784</v>
      </c>
      <c r="B1842" s="450"/>
      <c r="C1842" s="450" t="s">
        <v>3785</v>
      </c>
      <c r="D1842" s="450"/>
      <c r="E1842" s="450"/>
      <c r="F1842" s="450"/>
      <c r="G1842" s="450" t="s">
        <v>22877</v>
      </c>
      <c r="H1842" s="450" t="s">
        <v>22878</v>
      </c>
      <c r="I1842" s="450" t="s">
        <v>33527</v>
      </c>
      <c r="J1842" s="450" t="s">
        <v>23185</v>
      </c>
      <c r="K1842" s="450"/>
    </row>
    <row r="1843" spans="1:11">
      <c r="A1843" s="451" t="s">
        <v>3786</v>
      </c>
      <c r="B1843" s="451" t="s">
        <v>3787</v>
      </c>
      <c r="C1843" s="451" t="s">
        <v>3788</v>
      </c>
      <c r="D1843" s="451"/>
      <c r="E1843" s="451"/>
      <c r="F1843" s="451"/>
      <c r="G1843" s="451" t="s">
        <v>22877</v>
      </c>
      <c r="H1843" s="451" t="s">
        <v>22878</v>
      </c>
      <c r="I1843" s="451"/>
      <c r="J1843" s="451" t="s">
        <v>33528</v>
      </c>
      <c r="K1843" s="451"/>
    </row>
    <row r="1844" spans="1:11">
      <c r="A1844" s="450" t="s">
        <v>3789</v>
      </c>
      <c r="B1844" s="450"/>
      <c r="C1844" s="450" t="s">
        <v>3790</v>
      </c>
      <c r="D1844" s="450"/>
      <c r="E1844" s="450"/>
      <c r="F1844" s="450"/>
      <c r="G1844" s="450" t="s">
        <v>33529</v>
      </c>
      <c r="H1844" s="450" t="s">
        <v>22883</v>
      </c>
      <c r="I1844" s="450"/>
      <c r="J1844" s="450" t="s">
        <v>33530</v>
      </c>
      <c r="K1844" s="450"/>
    </row>
    <row r="1845" spans="1:11">
      <c r="A1845" s="451" t="s">
        <v>3791</v>
      </c>
      <c r="B1845" s="451"/>
      <c r="C1845" s="451" t="s">
        <v>2692</v>
      </c>
      <c r="D1845" s="451"/>
      <c r="E1845" s="451"/>
      <c r="F1845" s="451"/>
      <c r="G1845" s="451" t="s">
        <v>22877</v>
      </c>
      <c r="H1845" s="451" t="s">
        <v>22878</v>
      </c>
      <c r="I1845" s="451" t="s">
        <v>33531</v>
      </c>
      <c r="J1845" s="451" t="s">
        <v>22943</v>
      </c>
      <c r="K1845" s="451"/>
    </row>
    <row r="1846" spans="1:11">
      <c r="A1846" s="450" t="s">
        <v>3792</v>
      </c>
      <c r="B1846" s="450"/>
      <c r="C1846" s="450" t="s">
        <v>3793</v>
      </c>
      <c r="D1846" s="450"/>
      <c r="E1846" s="450"/>
      <c r="F1846" s="450"/>
      <c r="G1846" s="450" t="s">
        <v>33532</v>
      </c>
      <c r="H1846" s="450" t="s">
        <v>22883</v>
      </c>
      <c r="I1846" s="450" t="s">
        <v>33533</v>
      </c>
      <c r="J1846" s="450" t="s">
        <v>33534</v>
      </c>
      <c r="K1846" s="450" t="s">
        <v>33535</v>
      </c>
    </row>
    <row r="1847" spans="1:11">
      <c r="A1847" s="451" t="s">
        <v>3794</v>
      </c>
      <c r="B1847" s="451"/>
      <c r="C1847" s="451" t="s">
        <v>3795</v>
      </c>
      <c r="D1847" s="451"/>
      <c r="E1847" s="451"/>
      <c r="F1847" s="451"/>
      <c r="G1847" s="451" t="s">
        <v>22877</v>
      </c>
      <c r="H1847" s="451" t="s">
        <v>22878</v>
      </c>
      <c r="I1847" s="451" t="s">
        <v>24155</v>
      </c>
      <c r="J1847" s="451" t="s">
        <v>23185</v>
      </c>
      <c r="K1847" s="451"/>
    </row>
    <row r="1848" spans="1:11">
      <c r="A1848" s="450" t="s">
        <v>3796</v>
      </c>
      <c r="B1848" s="450"/>
      <c r="C1848" s="450" t="s">
        <v>3797</v>
      </c>
      <c r="D1848" s="450"/>
      <c r="E1848" s="450"/>
      <c r="F1848" s="450"/>
      <c r="G1848" s="450" t="s">
        <v>33536</v>
      </c>
      <c r="H1848" s="450" t="s">
        <v>22883</v>
      </c>
      <c r="I1848" s="450"/>
      <c r="J1848" s="450"/>
      <c r="K1848" s="450"/>
    </row>
    <row r="1849" spans="1:11">
      <c r="A1849" s="451" t="s">
        <v>3798</v>
      </c>
      <c r="B1849" s="451"/>
      <c r="C1849" s="451" t="s">
        <v>3201</v>
      </c>
      <c r="D1849" s="451"/>
      <c r="E1849" s="451"/>
      <c r="F1849" s="451"/>
      <c r="G1849" s="451" t="s">
        <v>30628</v>
      </c>
      <c r="H1849" s="451" t="s">
        <v>22883</v>
      </c>
      <c r="I1849" s="451"/>
      <c r="J1849" s="451" t="s">
        <v>30629</v>
      </c>
      <c r="K1849" s="451"/>
    </row>
    <row r="1850" spans="1:11">
      <c r="A1850" s="450" t="s">
        <v>3799</v>
      </c>
      <c r="B1850" s="450" t="s">
        <v>3800</v>
      </c>
      <c r="C1850" s="450" t="s">
        <v>3801</v>
      </c>
      <c r="D1850" s="450" t="s">
        <v>3802</v>
      </c>
      <c r="E1850" s="450"/>
      <c r="F1850" s="450"/>
      <c r="G1850" s="450" t="s">
        <v>22877</v>
      </c>
      <c r="H1850" s="450" t="s">
        <v>22878</v>
      </c>
      <c r="I1850" s="450" t="s">
        <v>33537</v>
      </c>
      <c r="J1850" s="450" t="s">
        <v>33538</v>
      </c>
      <c r="K1850" s="450"/>
    </row>
    <row r="1851" spans="1:11">
      <c r="A1851" s="451" t="s">
        <v>3799</v>
      </c>
      <c r="B1851" s="451" t="s">
        <v>3800</v>
      </c>
      <c r="C1851" s="451" t="s">
        <v>3801</v>
      </c>
      <c r="D1851" s="451" t="s">
        <v>3802</v>
      </c>
      <c r="E1851" s="451" t="s">
        <v>3803</v>
      </c>
      <c r="F1851" s="451"/>
      <c r="G1851" s="451" t="s">
        <v>30630</v>
      </c>
      <c r="H1851" s="451" t="s">
        <v>22883</v>
      </c>
      <c r="I1851" s="451" t="s">
        <v>3802</v>
      </c>
      <c r="J1851" s="451" t="s">
        <v>3800</v>
      </c>
      <c r="K1851" s="451" t="s">
        <v>30631</v>
      </c>
    </row>
    <row r="1852" spans="1:11">
      <c r="A1852" s="450" t="s">
        <v>22190</v>
      </c>
      <c r="B1852" s="450" t="s">
        <v>22191</v>
      </c>
      <c r="C1852" s="450" t="s">
        <v>22192</v>
      </c>
      <c r="D1852" s="450" t="s">
        <v>22193</v>
      </c>
      <c r="E1852" s="450"/>
      <c r="F1852" s="450"/>
      <c r="G1852" s="450" t="s">
        <v>22877</v>
      </c>
      <c r="H1852" s="450" t="s">
        <v>22878</v>
      </c>
      <c r="I1852" s="450" t="s">
        <v>22193</v>
      </c>
      <c r="J1852" s="450" t="s">
        <v>30632</v>
      </c>
      <c r="K1852" s="450"/>
    </row>
    <row r="1853" spans="1:11">
      <c r="A1853" s="451" t="s">
        <v>22811</v>
      </c>
      <c r="B1853" s="451" t="s">
        <v>22812</v>
      </c>
      <c r="C1853" s="451" t="s">
        <v>3806</v>
      </c>
      <c r="D1853" s="451" t="s">
        <v>3807</v>
      </c>
      <c r="E1853" s="451"/>
      <c r="F1853" s="451"/>
      <c r="G1853" s="451" t="s">
        <v>22877</v>
      </c>
      <c r="H1853" s="451" t="s">
        <v>22878</v>
      </c>
      <c r="I1853" s="451" t="s">
        <v>23664</v>
      </c>
      <c r="J1853" s="451" t="s">
        <v>23665</v>
      </c>
      <c r="K1853" s="451"/>
    </row>
    <row r="1854" spans="1:11">
      <c r="A1854" s="450" t="s">
        <v>3804</v>
      </c>
      <c r="B1854" s="450" t="s">
        <v>3805</v>
      </c>
      <c r="C1854" s="450" t="s">
        <v>3806</v>
      </c>
      <c r="D1854" s="450" t="s">
        <v>3807</v>
      </c>
      <c r="E1854" s="450"/>
      <c r="F1854" s="450"/>
      <c r="G1854" s="450" t="s">
        <v>22877</v>
      </c>
      <c r="H1854" s="450" t="s">
        <v>22878</v>
      </c>
      <c r="I1854" s="450" t="s">
        <v>3807</v>
      </c>
      <c r="J1854" s="450" t="s">
        <v>30633</v>
      </c>
      <c r="K1854" s="450"/>
    </row>
    <row r="1855" spans="1:11">
      <c r="A1855" s="451" t="s">
        <v>3808</v>
      </c>
      <c r="B1855" s="451" t="s">
        <v>3809</v>
      </c>
      <c r="C1855" s="451" t="s">
        <v>3810</v>
      </c>
      <c r="D1855" s="451"/>
      <c r="E1855" s="451"/>
      <c r="F1855" s="451"/>
      <c r="G1855" s="451" t="s">
        <v>22877</v>
      </c>
      <c r="H1855" s="451" t="s">
        <v>22878</v>
      </c>
      <c r="I1855" s="451" t="s">
        <v>33539</v>
      </c>
      <c r="J1855" s="451" t="s">
        <v>33540</v>
      </c>
      <c r="K1855" s="451"/>
    </row>
    <row r="1856" spans="1:11">
      <c r="A1856" s="450" t="s">
        <v>22813</v>
      </c>
      <c r="B1856" s="450" t="s">
        <v>3809</v>
      </c>
      <c r="C1856" s="450" t="s">
        <v>3810</v>
      </c>
      <c r="D1856" s="450"/>
      <c r="E1856" s="450"/>
      <c r="F1856" s="450"/>
      <c r="G1856" s="450" t="s">
        <v>22877</v>
      </c>
      <c r="H1856" s="450" t="s">
        <v>22878</v>
      </c>
      <c r="I1856" s="450" t="s">
        <v>23666</v>
      </c>
      <c r="J1856" s="450" t="s">
        <v>23667</v>
      </c>
      <c r="K1856" s="450"/>
    </row>
    <row r="1857" spans="1:11">
      <c r="A1857" s="451" t="s">
        <v>3811</v>
      </c>
      <c r="B1857" s="451"/>
      <c r="C1857" s="451" t="s">
        <v>3812</v>
      </c>
      <c r="D1857" s="451"/>
      <c r="E1857" s="451"/>
      <c r="F1857" s="451"/>
      <c r="G1857" s="451" t="s">
        <v>22877</v>
      </c>
      <c r="H1857" s="451" t="s">
        <v>22878</v>
      </c>
      <c r="I1857" s="451" t="s">
        <v>33541</v>
      </c>
      <c r="J1857" s="451" t="s">
        <v>23185</v>
      </c>
      <c r="K1857" s="451"/>
    </row>
    <row r="1858" spans="1:11">
      <c r="A1858" s="450" t="s">
        <v>22814</v>
      </c>
      <c r="B1858" s="450"/>
      <c r="C1858" s="450" t="s">
        <v>3814</v>
      </c>
      <c r="D1858" s="450" t="s">
        <v>3815</v>
      </c>
      <c r="E1858" s="450"/>
      <c r="F1858" s="450"/>
      <c r="G1858" s="450" t="s">
        <v>22877</v>
      </c>
      <c r="H1858" s="450" t="s">
        <v>22878</v>
      </c>
      <c r="I1858" s="450" t="s">
        <v>3815</v>
      </c>
      <c r="J1858" s="450" t="s">
        <v>23668</v>
      </c>
      <c r="K1858" s="450"/>
    </row>
    <row r="1859" spans="1:11">
      <c r="A1859" s="451" t="s">
        <v>22815</v>
      </c>
      <c r="B1859" s="451" t="s">
        <v>3818</v>
      </c>
      <c r="C1859" s="451" t="s">
        <v>3819</v>
      </c>
      <c r="D1859" s="451" t="s">
        <v>3820</v>
      </c>
      <c r="E1859" s="451"/>
      <c r="F1859" s="451"/>
      <c r="G1859" s="451" t="s">
        <v>22882</v>
      </c>
      <c r="H1859" s="451" t="s">
        <v>22883</v>
      </c>
      <c r="I1859" s="451" t="s">
        <v>3820</v>
      </c>
      <c r="J1859" s="451" t="s">
        <v>23669</v>
      </c>
      <c r="K1859" s="451"/>
    </row>
    <row r="1860" spans="1:11">
      <c r="A1860" s="450" t="s">
        <v>3813</v>
      </c>
      <c r="B1860" s="450"/>
      <c r="C1860" s="450" t="s">
        <v>3814</v>
      </c>
      <c r="D1860" s="450" t="s">
        <v>3815</v>
      </c>
      <c r="E1860" s="450" t="s">
        <v>3816</v>
      </c>
      <c r="F1860" s="450"/>
      <c r="G1860" s="450" t="s">
        <v>22882</v>
      </c>
      <c r="H1860" s="450" t="s">
        <v>22883</v>
      </c>
      <c r="I1860" s="450" t="s">
        <v>3815</v>
      </c>
      <c r="J1860" s="450" t="s">
        <v>30634</v>
      </c>
      <c r="K1860" s="450"/>
    </row>
    <row r="1861" spans="1:11">
      <c r="A1861" s="451" t="s">
        <v>3817</v>
      </c>
      <c r="B1861" s="451" t="s">
        <v>3818</v>
      </c>
      <c r="C1861" s="451" t="s">
        <v>3819</v>
      </c>
      <c r="D1861" s="451" t="s">
        <v>3820</v>
      </c>
      <c r="E1861" s="451"/>
      <c r="F1861" s="451"/>
      <c r="G1861" s="451" t="s">
        <v>22882</v>
      </c>
      <c r="H1861" s="451" t="s">
        <v>22883</v>
      </c>
      <c r="I1861" s="451" t="s">
        <v>3820</v>
      </c>
      <c r="J1861" s="451" t="s">
        <v>30635</v>
      </c>
      <c r="K1861" s="451"/>
    </row>
    <row r="1862" spans="1:11">
      <c r="A1862" s="450" t="s">
        <v>3821</v>
      </c>
      <c r="B1862" s="450"/>
      <c r="C1862" s="450" t="s">
        <v>3822</v>
      </c>
      <c r="D1862" s="450"/>
      <c r="E1862" s="450"/>
      <c r="F1862" s="450"/>
      <c r="G1862" s="450" t="s">
        <v>22882</v>
      </c>
      <c r="H1862" s="450" t="s">
        <v>22883</v>
      </c>
      <c r="I1862" s="450"/>
      <c r="J1862" s="450" t="s">
        <v>23185</v>
      </c>
      <c r="K1862" s="450"/>
    </row>
    <row r="1863" spans="1:11">
      <c r="A1863" s="451" t="s">
        <v>33542</v>
      </c>
      <c r="B1863" s="451"/>
      <c r="C1863" s="451" t="s">
        <v>3822</v>
      </c>
      <c r="D1863" s="451"/>
      <c r="E1863" s="451"/>
      <c r="F1863" s="451"/>
      <c r="G1863" s="451" t="s">
        <v>22882</v>
      </c>
      <c r="H1863" s="451" t="s">
        <v>22883</v>
      </c>
      <c r="I1863" s="451"/>
      <c r="J1863" s="451" t="s">
        <v>23121</v>
      </c>
      <c r="K1863" s="451"/>
    </row>
    <row r="1864" spans="1:11">
      <c r="A1864" s="450" t="s">
        <v>3823</v>
      </c>
      <c r="B1864" s="450"/>
      <c r="C1864" s="450" t="s">
        <v>3733</v>
      </c>
      <c r="D1864" s="450"/>
      <c r="E1864" s="450"/>
      <c r="F1864" s="450"/>
      <c r="G1864" s="450" t="s">
        <v>22877</v>
      </c>
      <c r="H1864" s="450" t="s">
        <v>22878</v>
      </c>
      <c r="I1864" s="450" t="s">
        <v>23670</v>
      </c>
      <c r="J1864" s="450" t="s">
        <v>22997</v>
      </c>
      <c r="K1864" s="450"/>
    </row>
    <row r="1865" spans="1:11">
      <c r="A1865" s="451" t="s">
        <v>3824</v>
      </c>
      <c r="B1865" s="451" t="s">
        <v>3825</v>
      </c>
      <c r="C1865" s="451" t="s">
        <v>3826</v>
      </c>
      <c r="D1865" s="451" t="s">
        <v>3827</v>
      </c>
      <c r="E1865" s="451"/>
      <c r="F1865" s="451"/>
      <c r="G1865" s="451" t="s">
        <v>22877</v>
      </c>
      <c r="H1865" s="451" t="s">
        <v>22878</v>
      </c>
      <c r="I1865" s="451" t="s">
        <v>33543</v>
      </c>
      <c r="J1865" s="451" t="s">
        <v>33544</v>
      </c>
      <c r="K1865" s="451"/>
    </row>
    <row r="1866" spans="1:11">
      <c r="A1866" s="450" t="s">
        <v>3824</v>
      </c>
      <c r="B1866" s="450" t="s">
        <v>3825</v>
      </c>
      <c r="C1866" s="450" t="s">
        <v>3826</v>
      </c>
      <c r="D1866" s="450" t="s">
        <v>3827</v>
      </c>
      <c r="E1866" s="450" t="s">
        <v>3828</v>
      </c>
      <c r="F1866" s="450"/>
      <c r="G1866" s="450" t="s">
        <v>22877</v>
      </c>
      <c r="H1866" s="450" t="s">
        <v>22878</v>
      </c>
      <c r="I1866" s="450" t="s">
        <v>3827</v>
      </c>
      <c r="J1866" s="450" t="s">
        <v>30636</v>
      </c>
      <c r="K1866" s="450"/>
    </row>
    <row r="1867" spans="1:11">
      <c r="A1867" s="451" t="s">
        <v>3829</v>
      </c>
      <c r="B1867" s="451"/>
      <c r="C1867" s="451" t="s">
        <v>3830</v>
      </c>
      <c r="D1867" s="451"/>
      <c r="E1867" s="451"/>
      <c r="F1867" s="451"/>
      <c r="G1867" s="451" t="s">
        <v>22877</v>
      </c>
      <c r="H1867" s="451" t="s">
        <v>22878</v>
      </c>
      <c r="I1867" s="451" t="s">
        <v>33545</v>
      </c>
      <c r="J1867" s="451" t="s">
        <v>22943</v>
      </c>
      <c r="K1867" s="451"/>
    </row>
    <row r="1868" spans="1:11">
      <c r="A1868" s="450" t="s">
        <v>33546</v>
      </c>
      <c r="B1868" s="450"/>
      <c r="C1868" s="450" t="s">
        <v>3832</v>
      </c>
      <c r="D1868" s="450"/>
      <c r="E1868" s="450"/>
      <c r="F1868" s="450"/>
      <c r="G1868" s="450" t="s">
        <v>22882</v>
      </c>
      <c r="H1868" s="450" t="s">
        <v>22883</v>
      </c>
      <c r="I1868" s="450" t="s">
        <v>33547</v>
      </c>
      <c r="J1868" s="450" t="s">
        <v>22943</v>
      </c>
      <c r="K1868" s="450"/>
    </row>
    <row r="1869" spans="1:11">
      <c r="A1869" s="451" t="s">
        <v>3831</v>
      </c>
      <c r="B1869" s="451"/>
      <c r="C1869" s="451" t="s">
        <v>3832</v>
      </c>
      <c r="D1869" s="451"/>
      <c r="E1869" s="451"/>
      <c r="F1869" s="451"/>
      <c r="G1869" s="451" t="s">
        <v>22882</v>
      </c>
      <c r="H1869" s="451" t="s">
        <v>22883</v>
      </c>
      <c r="I1869" s="451" t="s">
        <v>33547</v>
      </c>
      <c r="J1869" s="451" t="s">
        <v>22902</v>
      </c>
      <c r="K1869" s="451"/>
    </row>
    <row r="1870" spans="1:11">
      <c r="A1870" s="450" t="s">
        <v>3833</v>
      </c>
      <c r="B1870" s="450"/>
      <c r="C1870" s="450" t="s">
        <v>3834</v>
      </c>
      <c r="D1870" s="450"/>
      <c r="E1870" s="450"/>
      <c r="F1870" s="450"/>
      <c r="G1870" s="450" t="s">
        <v>22877</v>
      </c>
      <c r="H1870" s="450" t="s">
        <v>22878</v>
      </c>
      <c r="I1870" s="450" t="s">
        <v>33548</v>
      </c>
      <c r="J1870" s="450" t="s">
        <v>22943</v>
      </c>
      <c r="K1870" s="450"/>
    </row>
    <row r="1871" spans="1:11">
      <c r="A1871" s="451" t="s">
        <v>3835</v>
      </c>
      <c r="B1871" s="451"/>
      <c r="C1871" s="451" t="s">
        <v>3836</v>
      </c>
      <c r="D1871" s="451"/>
      <c r="E1871" s="451"/>
      <c r="F1871" s="451"/>
      <c r="G1871" s="451" t="s">
        <v>22877</v>
      </c>
      <c r="H1871" s="451" t="s">
        <v>22878</v>
      </c>
      <c r="I1871" s="451" t="s">
        <v>33549</v>
      </c>
      <c r="J1871" s="451" t="s">
        <v>22997</v>
      </c>
      <c r="K1871" s="451"/>
    </row>
    <row r="1872" spans="1:11">
      <c r="A1872" s="450" t="s">
        <v>3837</v>
      </c>
      <c r="B1872" s="450"/>
      <c r="C1872" s="450" t="s">
        <v>1073</v>
      </c>
      <c r="D1872" s="450"/>
      <c r="E1872" s="450"/>
      <c r="F1872" s="450"/>
      <c r="G1872" s="450" t="s">
        <v>22882</v>
      </c>
      <c r="H1872" s="450" t="s">
        <v>22883</v>
      </c>
      <c r="I1872" s="450"/>
      <c r="J1872" s="450" t="s">
        <v>23185</v>
      </c>
      <c r="K1872" s="450"/>
    </row>
    <row r="1873" spans="1:11">
      <c r="A1873" s="451" t="s">
        <v>3838</v>
      </c>
      <c r="B1873" s="451"/>
      <c r="C1873" s="451" t="s">
        <v>3839</v>
      </c>
      <c r="D1873" s="451"/>
      <c r="E1873" s="451"/>
      <c r="F1873" s="451"/>
      <c r="G1873" s="451" t="s">
        <v>22882</v>
      </c>
      <c r="H1873" s="451" t="s">
        <v>22883</v>
      </c>
      <c r="I1873" s="451" t="s">
        <v>33550</v>
      </c>
      <c r="J1873" s="451" t="s">
        <v>22939</v>
      </c>
      <c r="K1873" s="451"/>
    </row>
    <row r="1874" spans="1:11">
      <c r="A1874" s="450" t="s">
        <v>33551</v>
      </c>
      <c r="B1874" s="450"/>
      <c r="C1874" s="450" t="s">
        <v>3841</v>
      </c>
      <c r="D1874" s="450"/>
      <c r="E1874" s="450"/>
      <c r="F1874" s="450"/>
      <c r="G1874" s="450" t="s">
        <v>22877</v>
      </c>
      <c r="H1874" s="450" t="s">
        <v>22878</v>
      </c>
      <c r="I1874" s="450" t="s">
        <v>33552</v>
      </c>
      <c r="J1874" s="450" t="s">
        <v>22942</v>
      </c>
      <c r="K1874" s="450"/>
    </row>
    <row r="1875" spans="1:11">
      <c r="A1875" s="451" t="s">
        <v>3840</v>
      </c>
      <c r="B1875" s="451"/>
      <c r="C1875" s="451" t="s">
        <v>3841</v>
      </c>
      <c r="D1875" s="451"/>
      <c r="E1875" s="451"/>
      <c r="F1875" s="451"/>
      <c r="G1875" s="451" t="s">
        <v>22877</v>
      </c>
      <c r="H1875" s="451" t="s">
        <v>22878</v>
      </c>
      <c r="I1875" s="451" t="s">
        <v>33552</v>
      </c>
      <c r="J1875" s="451" t="s">
        <v>22902</v>
      </c>
      <c r="K1875" s="451"/>
    </row>
    <row r="1876" spans="1:11">
      <c r="A1876" s="450" t="s">
        <v>3842</v>
      </c>
      <c r="B1876" s="450"/>
      <c r="C1876" s="450" t="s">
        <v>3843</v>
      </c>
      <c r="D1876" s="450"/>
      <c r="E1876" s="450"/>
      <c r="F1876" s="450"/>
      <c r="G1876" s="450" t="s">
        <v>22882</v>
      </c>
      <c r="H1876" s="450" t="s">
        <v>22883</v>
      </c>
      <c r="I1876" s="450"/>
      <c r="J1876" s="450" t="s">
        <v>22997</v>
      </c>
      <c r="K1876" s="450"/>
    </row>
    <row r="1877" spans="1:11">
      <c r="A1877" s="451" t="s">
        <v>33553</v>
      </c>
      <c r="B1877" s="451"/>
      <c r="C1877" s="451" t="s">
        <v>3845</v>
      </c>
      <c r="D1877" s="451"/>
      <c r="E1877" s="451"/>
      <c r="F1877" s="451"/>
      <c r="G1877" s="451" t="s">
        <v>22882</v>
      </c>
      <c r="H1877" s="451" t="s">
        <v>22883</v>
      </c>
      <c r="I1877" s="451" t="s">
        <v>33554</v>
      </c>
      <c r="J1877" s="451" t="s">
        <v>22943</v>
      </c>
      <c r="K1877" s="451"/>
    </row>
    <row r="1878" spans="1:11">
      <c r="A1878" s="450" t="s">
        <v>3844</v>
      </c>
      <c r="B1878" s="450"/>
      <c r="C1878" s="450" t="s">
        <v>3845</v>
      </c>
      <c r="D1878" s="450"/>
      <c r="E1878" s="450"/>
      <c r="F1878" s="450"/>
      <c r="G1878" s="450" t="s">
        <v>22877</v>
      </c>
      <c r="H1878" s="450" t="s">
        <v>22878</v>
      </c>
      <c r="I1878" s="450" t="s">
        <v>33554</v>
      </c>
      <c r="J1878" s="450" t="s">
        <v>22943</v>
      </c>
      <c r="K1878" s="450"/>
    </row>
    <row r="1879" spans="1:11">
      <c r="A1879" s="451" t="s">
        <v>3846</v>
      </c>
      <c r="B1879" s="451"/>
      <c r="C1879" s="451" t="s">
        <v>3847</v>
      </c>
      <c r="D1879" s="451"/>
      <c r="E1879" s="451"/>
      <c r="F1879" s="451"/>
      <c r="G1879" s="451" t="s">
        <v>22882</v>
      </c>
      <c r="H1879" s="451" t="s">
        <v>22883</v>
      </c>
      <c r="I1879" s="451" t="s">
        <v>33555</v>
      </c>
      <c r="J1879" s="451" t="s">
        <v>22997</v>
      </c>
      <c r="K1879" s="451"/>
    </row>
    <row r="1880" spans="1:11">
      <c r="A1880" s="450" t="s">
        <v>33556</v>
      </c>
      <c r="B1880" s="450"/>
      <c r="C1880" s="450" t="s">
        <v>3849</v>
      </c>
      <c r="D1880" s="450"/>
      <c r="E1880" s="450"/>
      <c r="F1880" s="450"/>
      <c r="G1880" s="450" t="s">
        <v>22882</v>
      </c>
      <c r="H1880" s="450" t="s">
        <v>22883</v>
      </c>
      <c r="I1880" s="450" t="s">
        <v>33557</v>
      </c>
      <c r="J1880" s="450" t="s">
        <v>22943</v>
      </c>
      <c r="K1880" s="450"/>
    </row>
    <row r="1881" spans="1:11">
      <c r="A1881" s="451" t="s">
        <v>3848</v>
      </c>
      <c r="B1881" s="451"/>
      <c r="C1881" s="451" t="s">
        <v>3849</v>
      </c>
      <c r="D1881" s="451"/>
      <c r="E1881" s="451"/>
      <c r="F1881" s="451"/>
      <c r="G1881" s="451" t="s">
        <v>22882</v>
      </c>
      <c r="H1881" s="451" t="s">
        <v>22883</v>
      </c>
      <c r="I1881" s="451" t="s">
        <v>33557</v>
      </c>
      <c r="J1881" s="451" t="s">
        <v>22902</v>
      </c>
      <c r="K1881" s="451"/>
    </row>
    <row r="1882" spans="1:11">
      <c r="A1882" s="450" t="s">
        <v>3850</v>
      </c>
      <c r="B1882" s="450"/>
      <c r="C1882" s="450" t="s">
        <v>3851</v>
      </c>
      <c r="D1882" s="450"/>
      <c r="E1882" s="450"/>
      <c r="F1882" s="450"/>
      <c r="G1882" s="450" t="s">
        <v>22877</v>
      </c>
      <c r="H1882" s="450" t="s">
        <v>22878</v>
      </c>
      <c r="I1882" s="450" t="s">
        <v>33558</v>
      </c>
      <c r="J1882" s="450" t="s">
        <v>23185</v>
      </c>
      <c r="K1882" s="450"/>
    </row>
    <row r="1883" spans="1:11">
      <c r="A1883" s="451" t="s">
        <v>3852</v>
      </c>
      <c r="B1883" s="451"/>
      <c r="C1883" s="451" t="s">
        <v>2106</v>
      </c>
      <c r="D1883" s="451"/>
      <c r="E1883" s="451"/>
      <c r="F1883" s="451"/>
      <c r="G1883" s="451" t="s">
        <v>22877</v>
      </c>
      <c r="H1883" s="451" t="s">
        <v>22878</v>
      </c>
      <c r="I1883" s="451" t="s">
        <v>33559</v>
      </c>
      <c r="J1883" s="451" t="s">
        <v>22942</v>
      </c>
      <c r="K1883" s="451"/>
    </row>
    <row r="1884" spans="1:11">
      <c r="A1884" s="450" t="s">
        <v>3854</v>
      </c>
      <c r="B1884" s="450"/>
      <c r="C1884" s="450" t="s">
        <v>2896</v>
      </c>
      <c r="D1884" s="450"/>
      <c r="E1884" s="450"/>
      <c r="F1884" s="450"/>
      <c r="G1884" s="450" t="s">
        <v>22991</v>
      </c>
      <c r="H1884" s="450" t="s">
        <v>22883</v>
      </c>
      <c r="I1884" s="450"/>
      <c r="J1884" s="450"/>
      <c r="K1884" s="450"/>
    </row>
    <row r="1885" spans="1:11">
      <c r="A1885" s="451" t="s">
        <v>21521</v>
      </c>
      <c r="B1885" s="451"/>
      <c r="C1885" s="451" t="s">
        <v>3853</v>
      </c>
      <c r="D1885" s="451"/>
      <c r="E1885" s="451"/>
      <c r="F1885" s="451"/>
      <c r="G1885" s="451" t="s">
        <v>22882</v>
      </c>
      <c r="H1885" s="451" t="s">
        <v>22883</v>
      </c>
      <c r="I1885" s="451" t="s">
        <v>23671</v>
      </c>
      <c r="J1885" s="451" t="s">
        <v>23185</v>
      </c>
      <c r="K1885" s="451"/>
    </row>
    <row r="1886" spans="1:11">
      <c r="A1886" s="450" t="s">
        <v>3855</v>
      </c>
      <c r="B1886" s="450" t="s">
        <v>3856</v>
      </c>
      <c r="C1886" s="450" t="s">
        <v>3857</v>
      </c>
      <c r="D1886" s="450" t="s">
        <v>3858</v>
      </c>
      <c r="E1886" s="450"/>
      <c r="F1886" s="450"/>
      <c r="G1886" s="450" t="s">
        <v>22882</v>
      </c>
      <c r="H1886" s="450" t="s">
        <v>22883</v>
      </c>
      <c r="I1886" s="450" t="s">
        <v>33560</v>
      </c>
      <c r="J1886" s="450" t="s">
        <v>33561</v>
      </c>
      <c r="K1886" s="450"/>
    </row>
    <row r="1887" spans="1:11">
      <c r="A1887" s="451" t="s">
        <v>3855</v>
      </c>
      <c r="B1887" s="451" t="s">
        <v>3856</v>
      </c>
      <c r="C1887" s="451" t="s">
        <v>3857</v>
      </c>
      <c r="D1887" s="451" t="s">
        <v>3858</v>
      </c>
      <c r="E1887" s="451" t="s">
        <v>3859</v>
      </c>
      <c r="F1887" s="451"/>
      <c r="G1887" s="451" t="s">
        <v>22882</v>
      </c>
      <c r="H1887" s="451" t="s">
        <v>22883</v>
      </c>
      <c r="I1887" s="451" t="s">
        <v>3858</v>
      </c>
      <c r="J1887" s="451" t="s">
        <v>30637</v>
      </c>
      <c r="K1887" s="451"/>
    </row>
    <row r="1888" spans="1:11">
      <c r="A1888" s="450" t="s">
        <v>3860</v>
      </c>
      <c r="B1888" s="450"/>
      <c r="C1888" s="450" t="s">
        <v>3861</v>
      </c>
      <c r="D1888" s="450"/>
      <c r="E1888" s="450"/>
      <c r="F1888" s="450"/>
      <c r="G1888" s="450" t="s">
        <v>22877</v>
      </c>
      <c r="H1888" s="450" t="s">
        <v>22878</v>
      </c>
      <c r="I1888" s="450" t="s">
        <v>23672</v>
      </c>
      <c r="J1888" s="450" t="s">
        <v>22942</v>
      </c>
      <c r="K1888" s="450"/>
    </row>
    <row r="1889" spans="1:11">
      <c r="A1889" s="451" t="s">
        <v>33562</v>
      </c>
      <c r="B1889" s="451" t="s">
        <v>3862</v>
      </c>
      <c r="C1889" s="451" t="s">
        <v>3863</v>
      </c>
      <c r="D1889" s="451" t="s">
        <v>3864</v>
      </c>
      <c r="E1889" s="451"/>
      <c r="F1889" s="451"/>
      <c r="G1889" s="451" t="s">
        <v>22877</v>
      </c>
      <c r="H1889" s="451" t="s">
        <v>22878</v>
      </c>
      <c r="I1889" s="451" t="s">
        <v>33563</v>
      </c>
      <c r="J1889" s="451" t="s">
        <v>33564</v>
      </c>
      <c r="K1889" s="451"/>
    </row>
    <row r="1890" spans="1:11">
      <c r="A1890" s="450" t="s">
        <v>21522</v>
      </c>
      <c r="B1890" s="450" t="s">
        <v>3862</v>
      </c>
      <c r="C1890" s="450" t="s">
        <v>3863</v>
      </c>
      <c r="D1890" s="450" t="s">
        <v>3864</v>
      </c>
      <c r="E1890" s="450" t="s">
        <v>3865</v>
      </c>
      <c r="F1890" s="450"/>
      <c r="G1890" s="450" t="s">
        <v>22877</v>
      </c>
      <c r="H1890" s="450" t="s">
        <v>22878</v>
      </c>
      <c r="I1890" s="450" t="s">
        <v>3864</v>
      </c>
      <c r="J1890" s="450" t="s">
        <v>30638</v>
      </c>
      <c r="K1890" s="450"/>
    </row>
    <row r="1891" spans="1:11">
      <c r="A1891" s="451" t="s">
        <v>3866</v>
      </c>
      <c r="B1891" s="451"/>
      <c r="C1891" s="451" t="s">
        <v>3867</v>
      </c>
      <c r="D1891" s="451"/>
      <c r="E1891" s="451"/>
      <c r="F1891" s="451"/>
      <c r="G1891" s="451" t="s">
        <v>22882</v>
      </c>
      <c r="H1891" s="451" t="s">
        <v>22883</v>
      </c>
      <c r="I1891" s="451" t="s">
        <v>33565</v>
      </c>
      <c r="J1891" s="451" t="s">
        <v>23185</v>
      </c>
      <c r="K1891" s="451"/>
    </row>
    <row r="1892" spans="1:11">
      <c r="A1892" s="450" t="s">
        <v>33566</v>
      </c>
      <c r="B1892" s="450"/>
      <c r="C1892" s="450" t="s">
        <v>2702</v>
      </c>
      <c r="D1892" s="450"/>
      <c r="E1892" s="450"/>
      <c r="F1892" s="450"/>
      <c r="G1892" s="450" t="s">
        <v>22882</v>
      </c>
      <c r="H1892" s="450" t="s">
        <v>22883</v>
      </c>
      <c r="I1892" s="450" t="s">
        <v>33567</v>
      </c>
      <c r="J1892" s="450" t="s">
        <v>22942</v>
      </c>
      <c r="K1892" s="450"/>
    </row>
    <row r="1893" spans="1:11">
      <c r="A1893" s="451" t="s">
        <v>3868</v>
      </c>
      <c r="B1893" s="451"/>
      <c r="C1893" s="451" t="s">
        <v>2702</v>
      </c>
      <c r="D1893" s="451"/>
      <c r="E1893" s="451"/>
      <c r="F1893" s="451"/>
      <c r="G1893" s="451" t="s">
        <v>22882</v>
      </c>
      <c r="H1893" s="451" t="s">
        <v>22883</v>
      </c>
      <c r="I1893" s="451" t="s">
        <v>33567</v>
      </c>
      <c r="J1893" s="451" t="s">
        <v>22943</v>
      </c>
      <c r="K1893" s="451"/>
    </row>
    <row r="1894" spans="1:11">
      <c r="A1894" s="450" t="s">
        <v>3869</v>
      </c>
      <c r="B1894" s="450"/>
      <c r="C1894" s="450" t="s">
        <v>3870</v>
      </c>
      <c r="D1894" s="450"/>
      <c r="E1894" s="450"/>
      <c r="F1894" s="450"/>
      <c r="G1894" s="450" t="s">
        <v>22877</v>
      </c>
      <c r="H1894" s="450" t="s">
        <v>22878</v>
      </c>
      <c r="I1894" s="450" t="s">
        <v>33568</v>
      </c>
      <c r="J1894" s="450" t="s">
        <v>22997</v>
      </c>
      <c r="K1894" s="450"/>
    </row>
    <row r="1895" spans="1:11">
      <c r="A1895" s="451" t="s">
        <v>3871</v>
      </c>
      <c r="B1895" s="451"/>
      <c r="C1895" s="451" t="s">
        <v>3872</v>
      </c>
      <c r="D1895" s="451"/>
      <c r="E1895" s="451"/>
      <c r="F1895" s="451"/>
      <c r="G1895" s="451" t="s">
        <v>22877</v>
      </c>
      <c r="H1895" s="451" t="s">
        <v>22878</v>
      </c>
      <c r="I1895" s="451" t="s">
        <v>33569</v>
      </c>
      <c r="J1895" s="451" t="s">
        <v>22942</v>
      </c>
      <c r="K1895" s="451"/>
    </row>
    <row r="1896" spans="1:11">
      <c r="A1896" s="450" t="s">
        <v>3873</v>
      </c>
      <c r="B1896" s="450"/>
      <c r="C1896" s="450" t="s">
        <v>3874</v>
      </c>
      <c r="D1896" s="450"/>
      <c r="E1896" s="450"/>
      <c r="F1896" s="450"/>
      <c r="G1896" s="450" t="s">
        <v>22882</v>
      </c>
      <c r="H1896" s="450" t="s">
        <v>22883</v>
      </c>
      <c r="I1896" s="450" t="s">
        <v>33570</v>
      </c>
      <c r="J1896" s="450" t="s">
        <v>22943</v>
      </c>
      <c r="K1896" s="450"/>
    </row>
    <row r="1897" spans="1:11">
      <c r="A1897" s="451" t="s">
        <v>33571</v>
      </c>
      <c r="B1897" s="451"/>
      <c r="C1897" s="451" t="s">
        <v>3876</v>
      </c>
      <c r="D1897" s="451"/>
      <c r="E1897" s="451"/>
      <c r="F1897" s="451"/>
      <c r="G1897" s="451" t="s">
        <v>22877</v>
      </c>
      <c r="H1897" s="451" t="s">
        <v>22878</v>
      </c>
      <c r="I1897" s="451" t="s">
        <v>33572</v>
      </c>
      <c r="J1897" s="451" t="s">
        <v>22943</v>
      </c>
      <c r="K1897" s="451"/>
    </row>
    <row r="1898" spans="1:11">
      <c r="A1898" s="450" t="s">
        <v>3875</v>
      </c>
      <c r="B1898" s="450"/>
      <c r="C1898" s="450" t="s">
        <v>3876</v>
      </c>
      <c r="D1898" s="450"/>
      <c r="E1898" s="450"/>
      <c r="F1898" s="450"/>
      <c r="G1898" s="450" t="s">
        <v>22882</v>
      </c>
      <c r="H1898" s="450" t="s">
        <v>22883</v>
      </c>
      <c r="I1898" s="450" t="s">
        <v>33572</v>
      </c>
      <c r="J1898" s="450" t="s">
        <v>23185</v>
      </c>
      <c r="K1898" s="450"/>
    </row>
    <row r="1899" spans="1:11">
      <c r="A1899" s="451" t="s">
        <v>3877</v>
      </c>
      <c r="B1899" s="451"/>
      <c r="C1899" s="451" t="s">
        <v>3878</v>
      </c>
      <c r="D1899" s="451"/>
      <c r="E1899" s="451"/>
      <c r="F1899" s="451"/>
      <c r="G1899" s="451" t="s">
        <v>22882</v>
      </c>
      <c r="H1899" s="451" t="s">
        <v>22883</v>
      </c>
      <c r="I1899" s="451"/>
      <c r="J1899" s="451" t="s">
        <v>23185</v>
      </c>
      <c r="K1899" s="451"/>
    </row>
    <row r="1900" spans="1:11">
      <c r="A1900" s="450" t="s">
        <v>3879</v>
      </c>
      <c r="B1900" s="450"/>
      <c r="C1900" s="450" t="s">
        <v>3880</v>
      </c>
      <c r="D1900" s="450"/>
      <c r="E1900" s="450"/>
      <c r="F1900" s="450"/>
      <c r="G1900" s="450" t="s">
        <v>22882</v>
      </c>
      <c r="H1900" s="450" t="s">
        <v>22883</v>
      </c>
      <c r="I1900" s="450"/>
      <c r="J1900" s="450" t="s">
        <v>33573</v>
      </c>
      <c r="K1900" s="450"/>
    </row>
    <row r="1901" spans="1:11">
      <c r="A1901" s="451" t="s">
        <v>33574</v>
      </c>
      <c r="B1901" s="451"/>
      <c r="C1901" s="451" t="s">
        <v>3884</v>
      </c>
      <c r="D1901" s="451"/>
      <c r="E1901" s="451"/>
      <c r="F1901" s="451"/>
      <c r="G1901" s="451" t="s">
        <v>22882</v>
      </c>
      <c r="H1901" s="451" t="s">
        <v>22883</v>
      </c>
      <c r="I1901" s="451"/>
      <c r="J1901" s="451" t="s">
        <v>22997</v>
      </c>
      <c r="K1901" s="451"/>
    </row>
    <row r="1902" spans="1:11">
      <c r="A1902" s="450" t="s">
        <v>33575</v>
      </c>
      <c r="B1902" s="450"/>
      <c r="C1902" s="450" t="s">
        <v>3881</v>
      </c>
      <c r="D1902" s="450"/>
      <c r="E1902" s="450"/>
      <c r="F1902" s="450"/>
      <c r="G1902" s="450" t="s">
        <v>22882</v>
      </c>
      <c r="H1902" s="450" t="s">
        <v>22883</v>
      </c>
      <c r="I1902" s="450"/>
      <c r="J1902" s="450" t="s">
        <v>22997</v>
      </c>
      <c r="K1902" s="450"/>
    </row>
    <row r="1903" spans="1:11">
      <c r="A1903" s="451" t="s">
        <v>33576</v>
      </c>
      <c r="B1903" s="451"/>
      <c r="C1903" s="451" t="s">
        <v>3882</v>
      </c>
      <c r="D1903" s="451"/>
      <c r="E1903" s="451"/>
      <c r="F1903" s="451"/>
      <c r="G1903" s="451" t="s">
        <v>22882</v>
      </c>
      <c r="H1903" s="451" t="s">
        <v>22883</v>
      </c>
      <c r="I1903" s="451"/>
      <c r="J1903" s="451" t="s">
        <v>23185</v>
      </c>
      <c r="K1903" s="451"/>
    </row>
    <row r="1904" spans="1:11">
      <c r="A1904" s="450" t="s">
        <v>3883</v>
      </c>
      <c r="B1904" s="450"/>
      <c r="C1904" s="450" t="s">
        <v>3884</v>
      </c>
      <c r="D1904" s="450"/>
      <c r="E1904" s="450"/>
      <c r="F1904" s="450"/>
      <c r="G1904" s="450" t="s">
        <v>22882</v>
      </c>
      <c r="H1904" s="450" t="s">
        <v>22883</v>
      </c>
      <c r="I1904" s="450" t="s">
        <v>33577</v>
      </c>
      <c r="J1904" s="450" t="s">
        <v>23185</v>
      </c>
      <c r="K1904" s="450"/>
    </row>
    <row r="1905" spans="1:11">
      <c r="A1905" s="451" t="s">
        <v>3885</v>
      </c>
      <c r="B1905" s="451"/>
      <c r="C1905" s="451" t="s">
        <v>3886</v>
      </c>
      <c r="D1905" s="451"/>
      <c r="E1905" s="451"/>
      <c r="F1905" s="451"/>
      <c r="G1905" s="451" t="s">
        <v>22882</v>
      </c>
      <c r="H1905" s="451" t="s">
        <v>22883</v>
      </c>
      <c r="I1905" s="451"/>
      <c r="J1905" s="451" t="s">
        <v>22997</v>
      </c>
      <c r="K1905" s="451"/>
    </row>
    <row r="1906" spans="1:11">
      <c r="A1906" s="450" t="s">
        <v>30639</v>
      </c>
      <c r="B1906" s="450" t="s">
        <v>22816</v>
      </c>
      <c r="C1906" s="450" t="s">
        <v>22817</v>
      </c>
      <c r="D1906" s="450" t="s">
        <v>22818</v>
      </c>
      <c r="E1906" s="450"/>
      <c r="F1906" s="450"/>
      <c r="G1906" s="450" t="s">
        <v>22877</v>
      </c>
      <c r="H1906" s="450" t="s">
        <v>22878</v>
      </c>
      <c r="I1906" s="450" t="s">
        <v>22818</v>
      </c>
      <c r="J1906" s="450" t="s">
        <v>23673</v>
      </c>
      <c r="K1906" s="450"/>
    </row>
    <row r="1907" spans="1:11">
      <c r="A1907" s="451" t="s">
        <v>21523</v>
      </c>
      <c r="B1907" s="451"/>
      <c r="C1907" s="451" t="s">
        <v>3881</v>
      </c>
      <c r="D1907" s="451"/>
      <c r="E1907" s="451"/>
      <c r="F1907" s="451"/>
      <c r="G1907" s="451" t="s">
        <v>22882</v>
      </c>
      <c r="H1907" s="451" t="s">
        <v>22883</v>
      </c>
      <c r="I1907" s="451"/>
      <c r="J1907" s="451" t="s">
        <v>22902</v>
      </c>
      <c r="K1907" s="451"/>
    </row>
    <row r="1908" spans="1:11">
      <c r="A1908" s="450" t="s">
        <v>21524</v>
      </c>
      <c r="B1908" s="450"/>
      <c r="C1908" s="450" t="s">
        <v>3882</v>
      </c>
      <c r="D1908" s="450"/>
      <c r="E1908" s="450"/>
      <c r="F1908" s="450"/>
      <c r="G1908" s="450" t="s">
        <v>22882</v>
      </c>
      <c r="H1908" s="450" t="s">
        <v>22883</v>
      </c>
      <c r="I1908" s="450"/>
      <c r="J1908" s="450" t="s">
        <v>23185</v>
      </c>
      <c r="K1908" s="450"/>
    </row>
    <row r="1909" spans="1:11">
      <c r="A1909" s="451" t="s">
        <v>3887</v>
      </c>
      <c r="B1909" s="451"/>
      <c r="C1909" s="451" t="s">
        <v>3888</v>
      </c>
      <c r="D1909" s="451"/>
      <c r="E1909" s="451"/>
      <c r="F1909" s="451"/>
      <c r="G1909" s="451" t="s">
        <v>22882</v>
      </c>
      <c r="H1909" s="451" t="s">
        <v>22883</v>
      </c>
      <c r="I1909" s="451"/>
      <c r="J1909" s="451" t="s">
        <v>22943</v>
      </c>
      <c r="K1909" s="451"/>
    </row>
    <row r="1910" spans="1:11">
      <c r="A1910" s="450" t="s">
        <v>33578</v>
      </c>
      <c r="B1910" s="450"/>
      <c r="C1910" s="450" t="s">
        <v>33579</v>
      </c>
      <c r="D1910" s="450"/>
      <c r="E1910" s="450"/>
      <c r="F1910" s="450"/>
      <c r="G1910" s="450" t="s">
        <v>22877</v>
      </c>
      <c r="H1910" s="450" t="s">
        <v>22878</v>
      </c>
      <c r="I1910" s="450" t="s">
        <v>33580</v>
      </c>
      <c r="J1910" s="450" t="s">
        <v>22943</v>
      </c>
      <c r="K1910" s="450"/>
    </row>
    <row r="1911" spans="1:11">
      <c r="A1911" s="451" t="s">
        <v>3889</v>
      </c>
      <c r="B1911" s="451"/>
      <c r="C1911" s="451" t="s">
        <v>3890</v>
      </c>
      <c r="D1911" s="451"/>
      <c r="E1911" s="451"/>
      <c r="F1911" s="451"/>
      <c r="G1911" s="451" t="s">
        <v>22877</v>
      </c>
      <c r="H1911" s="451" t="s">
        <v>22878</v>
      </c>
      <c r="I1911" s="451" t="s">
        <v>33580</v>
      </c>
      <c r="J1911" s="451" t="s">
        <v>23185</v>
      </c>
      <c r="K1911" s="451"/>
    </row>
    <row r="1912" spans="1:11">
      <c r="A1912" s="450" t="s">
        <v>3891</v>
      </c>
      <c r="B1912" s="450"/>
      <c r="C1912" s="450" t="s">
        <v>3892</v>
      </c>
      <c r="D1912" s="450"/>
      <c r="E1912" s="450"/>
      <c r="F1912" s="450"/>
      <c r="G1912" s="450" t="s">
        <v>22877</v>
      </c>
      <c r="H1912" s="450" t="s">
        <v>22878</v>
      </c>
      <c r="I1912" s="450" t="s">
        <v>33581</v>
      </c>
      <c r="J1912" s="450" t="s">
        <v>22997</v>
      </c>
      <c r="K1912" s="450"/>
    </row>
    <row r="1913" spans="1:11">
      <c r="A1913" s="451" t="s">
        <v>3893</v>
      </c>
      <c r="B1913" s="451"/>
      <c r="C1913" s="451" t="s">
        <v>3894</v>
      </c>
      <c r="D1913" s="451"/>
      <c r="E1913" s="451"/>
      <c r="F1913" s="451"/>
      <c r="G1913" s="451" t="s">
        <v>22877</v>
      </c>
      <c r="H1913" s="451" t="s">
        <v>22878</v>
      </c>
      <c r="I1913" s="451" t="s">
        <v>33582</v>
      </c>
      <c r="J1913" s="451" t="s">
        <v>23185</v>
      </c>
      <c r="K1913" s="451"/>
    </row>
    <row r="1914" spans="1:11">
      <c r="A1914" s="450" t="s">
        <v>3895</v>
      </c>
      <c r="B1914" s="450"/>
      <c r="C1914" s="450" t="s">
        <v>3896</v>
      </c>
      <c r="D1914" s="450"/>
      <c r="E1914" s="450"/>
      <c r="F1914" s="450"/>
      <c r="G1914" s="450" t="s">
        <v>22877</v>
      </c>
      <c r="H1914" s="450" t="s">
        <v>22878</v>
      </c>
      <c r="I1914" s="450" t="s">
        <v>33583</v>
      </c>
      <c r="J1914" s="450" t="s">
        <v>22997</v>
      </c>
      <c r="K1914" s="450"/>
    </row>
    <row r="1915" spans="1:11">
      <c r="A1915" s="451" t="s">
        <v>3897</v>
      </c>
      <c r="B1915" s="451"/>
      <c r="C1915" s="451" t="s">
        <v>3898</v>
      </c>
      <c r="D1915" s="451"/>
      <c r="E1915" s="451"/>
      <c r="F1915" s="451"/>
      <c r="G1915" s="451" t="s">
        <v>22877</v>
      </c>
      <c r="H1915" s="451" t="s">
        <v>22878</v>
      </c>
      <c r="I1915" s="451" t="s">
        <v>23674</v>
      </c>
      <c r="J1915" s="451" t="s">
        <v>22943</v>
      </c>
      <c r="K1915" s="451"/>
    </row>
    <row r="1916" spans="1:11">
      <c r="A1916" s="450" t="s">
        <v>3899</v>
      </c>
      <c r="B1916" s="450" t="s">
        <v>3900</v>
      </c>
      <c r="C1916" s="450" t="s">
        <v>1378</v>
      </c>
      <c r="D1916" s="450" t="s">
        <v>3901</v>
      </c>
      <c r="E1916" s="450" t="s">
        <v>3902</v>
      </c>
      <c r="F1916" s="450"/>
      <c r="G1916" s="450" t="s">
        <v>22877</v>
      </c>
      <c r="H1916" s="450" t="s">
        <v>22878</v>
      </c>
      <c r="I1916" s="450" t="s">
        <v>3901</v>
      </c>
      <c r="J1916" s="450" t="s">
        <v>33584</v>
      </c>
      <c r="K1916" s="450"/>
    </row>
    <row r="1917" spans="1:11">
      <c r="A1917" s="451" t="s">
        <v>22819</v>
      </c>
      <c r="B1917" s="451" t="s">
        <v>3900</v>
      </c>
      <c r="C1917" s="451" t="s">
        <v>1378</v>
      </c>
      <c r="D1917" s="451" t="s">
        <v>3901</v>
      </c>
      <c r="E1917" s="451"/>
      <c r="F1917" s="451"/>
      <c r="G1917" s="451" t="s">
        <v>22877</v>
      </c>
      <c r="H1917" s="451" t="s">
        <v>22878</v>
      </c>
      <c r="I1917" s="451" t="s">
        <v>3901</v>
      </c>
      <c r="J1917" s="451" t="s">
        <v>23675</v>
      </c>
      <c r="K1917" s="451"/>
    </row>
    <row r="1918" spans="1:11">
      <c r="A1918" s="450" t="s">
        <v>3903</v>
      </c>
      <c r="B1918" s="450" t="s">
        <v>3904</v>
      </c>
      <c r="C1918" s="450" t="s">
        <v>3905</v>
      </c>
      <c r="D1918" s="450" t="s">
        <v>3906</v>
      </c>
      <c r="E1918" s="450"/>
      <c r="F1918" s="450"/>
      <c r="G1918" s="450" t="s">
        <v>22882</v>
      </c>
      <c r="H1918" s="450" t="s">
        <v>22883</v>
      </c>
      <c r="I1918" s="450" t="s">
        <v>33585</v>
      </c>
      <c r="J1918" s="450" t="s">
        <v>33586</v>
      </c>
      <c r="K1918" s="450"/>
    </row>
    <row r="1919" spans="1:11">
      <c r="A1919" s="451" t="s">
        <v>22820</v>
      </c>
      <c r="B1919" s="451" t="s">
        <v>3904</v>
      </c>
      <c r="C1919" s="451" t="s">
        <v>3905</v>
      </c>
      <c r="D1919" s="451" t="s">
        <v>3906</v>
      </c>
      <c r="E1919" s="451"/>
      <c r="F1919" s="451"/>
      <c r="G1919" s="451" t="s">
        <v>22877</v>
      </c>
      <c r="H1919" s="451" t="s">
        <v>22878</v>
      </c>
      <c r="I1919" s="451" t="s">
        <v>3906</v>
      </c>
      <c r="J1919" s="451" t="s">
        <v>23676</v>
      </c>
      <c r="K1919" s="451"/>
    </row>
    <row r="1920" spans="1:11">
      <c r="A1920" s="450" t="s">
        <v>22821</v>
      </c>
      <c r="B1920" s="450" t="s">
        <v>22822</v>
      </c>
      <c r="C1920" s="450" t="s">
        <v>22823</v>
      </c>
      <c r="D1920" s="450" t="s">
        <v>22824</v>
      </c>
      <c r="E1920" s="450"/>
      <c r="F1920" s="450"/>
      <c r="G1920" s="450" t="s">
        <v>22877</v>
      </c>
      <c r="H1920" s="450" t="s">
        <v>22878</v>
      </c>
      <c r="I1920" s="450" t="s">
        <v>22824</v>
      </c>
      <c r="J1920" s="450" t="s">
        <v>23677</v>
      </c>
      <c r="K1920" s="450"/>
    </row>
    <row r="1921" spans="1:11">
      <c r="A1921" s="451" t="s">
        <v>33587</v>
      </c>
      <c r="B1921" s="451"/>
      <c r="C1921" s="451" t="s">
        <v>3908</v>
      </c>
      <c r="D1921" s="451"/>
      <c r="E1921" s="451"/>
      <c r="F1921" s="451"/>
      <c r="G1921" s="451" t="s">
        <v>22882</v>
      </c>
      <c r="H1921" s="451" t="s">
        <v>22883</v>
      </c>
      <c r="I1921" s="451"/>
      <c r="J1921" s="451" t="s">
        <v>22997</v>
      </c>
      <c r="K1921" s="451"/>
    </row>
    <row r="1922" spans="1:11">
      <c r="A1922" s="450" t="s">
        <v>3907</v>
      </c>
      <c r="B1922" s="450"/>
      <c r="C1922" s="450" t="s">
        <v>3908</v>
      </c>
      <c r="D1922" s="450"/>
      <c r="E1922" s="450"/>
      <c r="F1922" s="450"/>
      <c r="G1922" s="450" t="s">
        <v>22882</v>
      </c>
      <c r="H1922" s="450" t="s">
        <v>22883</v>
      </c>
      <c r="I1922" s="450"/>
      <c r="J1922" s="450" t="s">
        <v>23185</v>
      </c>
      <c r="K1922" s="450"/>
    </row>
    <row r="1923" spans="1:11">
      <c r="A1923" s="451" t="s">
        <v>33588</v>
      </c>
      <c r="B1923" s="451"/>
      <c r="C1923" s="451" t="s">
        <v>3910</v>
      </c>
      <c r="D1923" s="451"/>
      <c r="E1923" s="451"/>
      <c r="F1923" s="451"/>
      <c r="G1923" s="451" t="s">
        <v>22882</v>
      </c>
      <c r="H1923" s="451" t="s">
        <v>22883</v>
      </c>
      <c r="I1923" s="451"/>
      <c r="J1923" s="451" t="s">
        <v>22943</v>
      </c>
      <c r="K1923" s="451"/>
    </row>
    <row r="1924" spans="1:11">
      <c r="A1924" s="450" t="s">
        <v>3909</v>
      </c>
      <c r="B1924" s="450"/>
      <c r="C1924" s="450" t="s">
        <v>3910</v>
      </c>
      <c r="D1924" s="450"/>
      <c r="E1924" s="450"/>
      <c r="F1924" s="450"/>
      <c r="G1924" s="450" t="s">
        <v>22882</v>
      </c>
      <c r="H1924" s="450" t="s">
        <v>22883</v>
      </c>
      <c r="I1924" s="450" t="s">
        <v>30640</v>
      </c>
      <c r="J1924" s="450" t="s">
        <v>22902</v>
      </c>
      <c r="K1924" s="450"/>
    </row>
    <row r="1925" spans="1:11">
      <c r="A1925" s="451" t="s">
        <v>33589</v>
      </c>
      <c r="B1925" s="451" t="s">
        <v>3912</v>
      </c>
      <c r="C1925" s="451" t="s">
        <v>3913</v>
      </c>
      <c r="D1925" s="451" t="s">
        <v>3914</v>
      </c>
      <c r="E1925" s="451"/>
      <c r="F1925" s="451"/>
      <c r="G1925" s="451" t="s">
        <v>22877</v>
      </c>
      <c r="H1925" s="451" t="s">
        <v>22878</v>
      </c>
      <c r="I1925" s="451" t="s">
        <v>3914</v>
      </c>
      <c r="J1925" s="451" t="s">
        <v>23678</v>
      </c>
      <c r="K1925" s="451"/>
    </row>
    <row r="1926" spans="1:11">
      <c r="A1926" s="450" t="s">
        <v>3911</v>
      </c>
      <c r="B1926" s="450" t="s">
        <v>3912</v>
      </c>
      <c r="C1926" s="450" t="s">
        <v>3913</v>
      </c>
      <c r="D1926" s="450" t="s">
        <v>3914</v>
      </c>
      <c r="E1926" s="450" t="s">
        <v>3915</v>
      </c>
      <c r="F1926" s="450"/>
      <c r="G1926" s="450" t="s">
        <v>22877</v>
      </c>
      <c r="H1926" s="450" t="s">
        <v>22878</v>
      </c>
      <c r="I1926" s="450" t="s">
        <v>3914</v>
      </c>
      <c r="J1926" s="450" t="s">
        <v>23678</v>
      </c>
      <c r="K1926" s="450"/>
    </row>
    <row r="1927" spans="1:11">
      <c r="A1927" s="451" t="s">
        <v>3916</v>
      </c>
      <c r="B1927" s="451"/>
      <c r="C1927" s="451" t="s">
        <v>3917</v>
      </c>
      <c r="D1927" s="451"/>
      <c r="E1927" s="451"/>
      <c r="F1927" s="451"/>
      <c r="G1927" s="451" t="s">
        <v>22882</v>
      </c>
      <c r="H1927" s="451" t="s">
        <v>22883</v>
      </c>
      <c r="I1927" s="451"/>
      <c r="J1927" s="451" t="s">
        <v>22943</v>
      </c>
      <c r="K1927" s="451"/>
    </row>
    <row r="1928" spans="1:11">
      <c r="A1928" s="450" t="s">
        <v>33590</v>
      </c>
      <c r="B1928" s="450"/>
      <c r="C1928" s="450" t="s">
        <v>3919</v>
      </c>
      <c r="D1928" s="450"/>
      <c r="E1928" s="450"/>
      <c r="F1928" s="450"/>
      <c r="G1928" s="450" t="s">
        <v>22882</v>
      </c>
      <c r="H1928" s="450" t="s">
        <v>22883</v>
      </c>
      <c r="I1928" s="450"/>
      <c r="J1928" s="450" t="s">
        <v>22943</v>
      </c>
      <c r="K1928" s="450"/>
    </row>
    <row r="1929" spans="1:11">
      <c r="A1929" s="451" t="s">
        <v>3918</v>
      </c>
      <c r="B1929" s="451"/>
      <c r="C1929" s="451" t="s">
        <v>3919</v>
      </c>
      <c r="D1929" s="451"/>
      <c r="E1929" s="451"/>
      <c r="F1929" s="451"/>
      <c r="G1929" s="451" t="s">
        <v>22882</v>
      </c>
      <c r="H1929" s="451" t="s">
        <v>22883</v>
      </c>
      <c r="I1929" s="451" t="s">
        <v>33591</v>
      </c>
      <c r="J1929" s="451" t="s">
        <v>23185</v>
      </c>
      <c r="K1929" s="451"/>
    </row>
    <row r="1930" spans="1:11">
      <c r="A1930" s="450" t="s">
        <v>3920</v>
      </c>
      <c r="B1930" s="450"/>
      <c r="C1930" s="450" t="s">
        <v>3921</v>
      </c>
      <c r="D1930" s="450"/>
      <c r="E1930" s="450"/>
      <c r="F1930" s="450"/>
      <c r="G1930" s="450" t="s">
        <v>22877</v>
      </c>
      <c r="H1930" s="450" t="s">
        <v>22878</v>
      </c>
      <c r="I1930" s="450" t="s">
        <v>23679</v>
      </c>
      <c r="J1930" s="450" t="s">
        <v>23185</v>
      </c>
      <c r="K1930" s="450"/>
    </row>
    <row r="1931" spans="1:11">
      <c r="A1931" s="451" t="s">
        <v>22825</v>
      </c>
      <c r="B1931" s="451" t="s">
        <v>3923</v>
      </c>
      <c r="C1931" s="451" t="s">
        <v>3924</v>
      </c>
      <c r="D1931" s="451" t="s">
        <v>3925</v>
      </c>
      <c r="E1931" s="451"/>
      <c r="F1931" s="451"/>
      <c r="G1931" s="451" t="s">
        <v>22882</v>
      </c>
      <c r="H1931" s="451" t="s">
        <v>22883</v>
      </c>
      <c r="I1931" s="451" t="s">
        <v>23680</v>
      </c>
      <c r="J1931" s="451" t="s">
        <v>23681</v>
      </c>
      <c r="K1931" s="451"/>
    </row>
    <row r="1932" spans="1:11">
      <c r="A1932" s="450" t="s">
        <v>22826</v>
      </c>
      <c r="B1932" s="450" t="s">
        <v>3928</v>
      </c>
      <c r="C1932" s="450" t="s">
        <v>3929</v>
      </c>
      <c r="D1932" s="450" t="s">
        <v>3930</v>
      </c>
      <c r="E1932" s="450"/>
      <c r="F1932" s="450"/>
      <c r="G1932" s="450" t="s">
        <v>22882</v>
      </c>
      <c r="H1932" s="450" t="s">
        <v>22883</v>
      </c>
      <c r="I1932" s="450" t="s">
        <v>3930</v>
      </c>
      <c r="J1932" s="450" t="s">
        <v>23682</v>
      </c>
      <c r="K1932" s="450"/>
    </row>
    <row r="1933" spans="1:11">
      <c r="A1933" s="451" t="s">
        <v>3922</v>
      </c>
      <c r="B1933" s="451" t="s">
        <v>3923</v>
      </c>
      <c r="C1933" s="451" t="s">
        <v>3924</v>
      </c>
      <c r="D1933" s="451" t="s">
        <v>3925</v>
      </c>
      <c r="E1933" s="451" t="s">
        <v>3926</v>
      </c>
      <c r="F1933" s="451"/>
      <c r="G1933" s="451" t="s">
        <v>22877</v>
      </c>
      <c r="H1933" s="451" t="s">
        <v>22878</v>
      </c>
      <c r="I1933" s="451" t="s">
        <v>3925</v>
      </c>
      <c r="J1933" s="451" t="s">
        <v>30641</v>
      </c>
      <c r="K1933" s="451"/>
    </row>
    <row r="1934" spans="1:11">
      <c r="A1934" s="450" t="s">
        <v>3927</v>
      </c>
      <c r="B1934" s="450" t="s">
        <v>3928</v>
      </c>
      <c r="C1934" s="450" t="s">
        <v>3929</v>
      </c>
      <c r="D1934" s="450" t="s">
        <v>3930</v>
      </c>
      <c r="E1934" s="450" t="s">
        <v>3931</v>
      </c>
      <c r="F1934" s="450"/>
      <c r="G1934" s="450" t="s">
        <v>22877</v>
      </c>
      <c r="H1934" s="450" t="s">
        <v>22878</v>
      </c>
      <c r="I1934" s="450" t="s">
        <v>30642</v>
      </c>
      <c r="J1934" s="450" t="s">
        <v>23026</v>
      </c>
      <c r="K1934" s="450"/>
    </row>
    <row r="1935" spans="1:11">
      <c r="A1935" s="451" t="s">
        <v>33592</v>
      </c>
      <c r="B1935" s="451"/>
      <c r="C1935" s="451" t="s">
        <v>3932</v>
      </c>
      <c r="D1935" s="451"/>
      <c r="E1935" s="451"/>
      <c r="F1935" s="451"/>
      <c r="G1935" s="451" t="s">
        <v>22882</v>
      </c>
      <c r="H1935" s="451" t="s">
        <v>22883</v>
      </c>
      <c r="I1935" s="451"/>
      <c r="J1935" s="451" t="s">
        <v>23185</v>
      </c>
      <c r="K1935" s="451"/>
    </row>
    <row r="1936" spans="1:11">
      <c r="A1936" s="450" t="s">
        <v>21525</v>
      </c>
      <c r="B1936" s="450"/>
      <c r="C1936" s="450" t="s">
        <v>3932</v>
      </c>
      <c r="D1936" s="450"/>
      <c r="E1936" s="450"/>
      <c r="F1936" s="450"/>
      <c r="G1936" s="450" t="s">
        <v>22877</v>
      </c>
      <c r="H1936" s="450" t="s">
        <v>22878</v>
      </c>
      <c r="I1936" s="450" t="s">
        <v>33593</v>
      </c>
      <c r="J1936" s="450" t="s">
        <v>23185</v>
      </c>
      <c r="K1936" s="450"/>
    </row>
    <row r="1937" spans="1:11">
      <c r="A1937" s="451" t="s">
        <v>3933</v>
      </c>
      <c r="B1937" s="451"/>
      <c r="C1937" s="451" t="s">
        <v>3934</v>
      </c>
      <c r="D1937" s="451"/>
      <c r="E1937" s="451"/>
      <c r="F1937" s="451"/>
      <c r="G1937" s="451" t="s">
        <v>22882</v>
      </c>
      <c r="H1937" s="451" t="s">
        <v>22883</v>
      </c>
      <c r="I1937" s="451"/>
      <c r="J1937" s="451" t="s">
        <v>23185</v>
      </c>
      <c r="K1937" s="451"/>
    </row>
    <row r="1938" spans="1:11">
      <c r="A1938" s="450" t="s">
        <v>3935</v>
      </c>
      <c r="B1938" s="450"/>
      <c r="C1938" s="450" t="s">
        <v>3936</v>
      </c>
      <c r="D1938" s="450"/>
      <c r="E1938" s="450"/>
      <c r="F1938" s="450"/>
      <c r="G1938" s="450" t="s">
        <v>22877</v>
      </c>
      <c r="H1938" s="450" t="s">
        <v>22878</v>
      </c>
      <c r="I1938" s="450" t="s">
        <v>23683</v>
      </c>
      <c r="J1938" s="450" t="s">
        <v>22997</v>
      </c>
      <c r="K1938" s="450"/>
    </row>
    <row r="1939" spans="1:11">
      <c r="A1939" s="451" t="s">
        <v>22827</v>
      </c>
      <c r="B1939" s="451" t="s">
        <v>22828</v>
      </c>
      <c r="C1939" s="451" t="s">
        <v>22829</v>
      </c>
      <c r="D1939" s="451"/>
      <c r="E1939" s="451"/>
      <c r="F1939" s="451"/>
      <c r="G1939" s="451" t="s">
        <v>22877</v>
      </c>
      <c r="H1939" s="451" t="s">
        <v>22878</v>
      </c>
      <c r="I1939" s="451" t="s">
        <v>23684</v>
      </c>
      <c r="J1939" s="451" t="s">
        <v>23685</v>
      </c>
      <c r="K1939" s="451"/>
    </row>
    <row r="1940" spans="1:11">
      <c r="A1940" s="450" t="s">
        <v>3937</v>
      </c>
      <c r="B1940" s="450"/>
      <c r="C1940" s="450" t="s">
        <v>3938</v>
      </c>
      <c r="D1940" s="450"/>
      <c r="E1940" s="450"/>
      <c r="F1940" s="450"/>
      <c r="G1940" s="450" t="s">
        <v>22877</v>
      </c>
      <c r="H1940" s="450" t="s">
        <v>22878</v>
      </c>
      <c r="I1940" s="450" t="s">
        <v>33594</v>
      </c>
      <c r="J1940" s="450" t="s">
        <v>23185</v>
      </c>
      <c r="K1940" s="450"/>
    </row>
    <row r="1941" spans="1:11">
      <c r="A1941" s="451" t="s">
        <v>33595</v>
      </c>
      <c r="B1941" s="451"/>
      <c r="C1941" s="451" t="s">
        <v>3720</v>
      </c>
      <c r="D1941" s="451"/>
      <c r="E1941" s="451"/>
      <c r="F1941" s="451"/>
      <c r="G1941" s="451" t="s">
        <v>22882</v>
      </c>
      <c r="H1941" s="451" t="s">
        <v>22883</v>
      </c>
      <c r="I1941" s="451" t="s">
        <v>33596</v>
      </c>
      <c r="J1941" s="451" t="s">
        <v>22943</v>
      </c>
      <c r="K1941" s="451"/>
    </row>
    <row r="1942" spans="1:11">
      <c r="A1942" s="450" t="s">
        <v>3939</v>
      </c>
      <c r="B1942" s="450"/>
      <c r="C1942" s="450" t="s">
        <v>3720</v>
      </c>
      <c r="D1942" s="450"/>
      <c r="E1942" s="450"/>
      <c r="F1942" s="450"/>
      <c r="G1942" s="450" t="s">
        <v>22882</v>
      </c>
      <c r="H1942" s="450" t="s">
        <v>22883</v>
      </c>
      <c r="I1942" s="450" t="s">
        <v>33596</v>
      </c>
      <c r="J1942" s="450" t="s">
        <v>22943</v>
      </c>
      <c r="K1942" s="450"/>
    </row>
    <row r="1943" spans="1:11">
      <c r="A1943" s="451" t="s">
        <v>3940</v>
      </c>
      <c r="B1943" s="451"/>
      <c r="C1943" s="451" t="s">
        <v>3941</v>
      </c>
      <c r="D1943" s="451"/>
      <c r="E1943" s="451"/>
      <c r="F1943" s="451"/>
      <c r="G1943" s="451" t="s">
        <v>22877</v>
      </c>
      <c r="H1943" s="451" t="s">
        <v>22878</v>
      </c>
      <c r="I1943" s="451" t="s">
        <v>33597</v>
      </c>
      <c r="J1943" s="451" t="s">
        <v>22943</v>
      </c>
      <c r="K1943" s="451"/>
    </row>
    <row r="1944" spans="1:11">
      <c r="A1944" s="450" t="s">
        <v>3942</v>
      </c>
      <c r="B1944" s="450"/>
      <c r="C1944" s="450" t="s">
        <v>3943</v>
      </c>
      <c r="D1944" s="450"/>
      <c r="E1944" s="450"/>
      <c r="F1944" s="450"/>
      <c r="G1944" s="450" t="s">
        <v>22882</v>
      </c>
      <c r="H1944" s="450" t="s">
        <v>22883</v>
      </c>
      <c r="I1944" s="450"/>
      <c r="J1944" s="450" t="s">
        <v>23184</v>
      </c>
      <c r="K1944" s="450"/>
    </row>
    <row r="1945" spans="1:11">
      <c r="A1945" s="451" t="s">
        <v>3944</v>
      </c>
      <c r="B1945" s="451"/>
      <c r="C1945" s="451" t="s">
        <v>3547</v>
      </c>
      <c r="D1945" s="451"/>
      <c r="E1945" s="451"/>
      <c r="F1945" s="451"/>
      <c r="G1945" s="451" t="s">
        <v>22882</v>
      </c>
      <c r="H1945" s="451" t="s">
        <v>22883</v>
      </c>
      <c r="I1945" s="451" t="s">
        <v>23686</v>
      </c>
      <c r="J1945" s="451" t="s">
        <v>22948</v>
      </c>
      <c r="K1945" s="451"/>
    </row>
    <row r="1946" spans="1:11">
      <c r="A1946" s="450" t="s">
        <v>22830</v>
      </c>
      <c r="B1946" s="450" t="s">
        <v>22831</v>
      </c>
      <c r="C1946" s="450" t="s">
        <v>22832</v>
      </c>
      <c r="D1946" s="450"/>
      <c r="E1946" s="450"/>
      <c r="F1946" s="450"/>
      <c r="G1946" s="450" t="s">
        <v>22877</v>
      </c>
      <c r="H1946" s="450" t="s">
        <v>22878</v>
      </c>
      <c r="I1946" s="450" t="s">
        <v>23687</v>
      </c>
      <c r="J1946" s="450" t="s">
        <v>23688</v>
      </c>
      <c r="K1946" s="450"/>
    </row>
    <row r="1947" spans="1:11">
      <c r="A1947" s="451" t="s">
        <v>22833</v>
      </c>
      <c r="B1947" s="451" t="s">
        <v>22834</v>
      </c>
      <c r="C1947" s="451" t="s">
        <v>3947</v>
      </c>
      <c r="D1947" s="451" t="s">
        <v>3948</v>
      </c>
      <c r="E1947" s="451"/>
      <c r="F1947" s="451"/>
      <c r="G1947" s="451" t="s">
        <v>22877</v>
      </c>
      <c r="H1947" s="451" t="s">
        <v>22878</v>
      </c>
      <c r="I1947" s="451" t="s">
        <v>3948</v>
      </c>
      <c r="J1947" s="451" t="s">
        <v>23689</v>
      </c>
      <c r="K1947" s="451"/>
    </row>
    <row r="1948" spans="1:11">
      <c r="A1948" s="450" t="s">
        <v>3945</v>
      </c>
      <c r="B1948" s="450" t="s">
        <v>3946</v>
      </c>
      <c r="C1948" s="450" t="s">
        <v>3947</v>
      </c>
      <c r="D1948" s="450" t="s">
        <v>3948</v>
      </c>
      <c r="E1948" s="450" t="s">
        <v>3949</v>
      </c>
      <c r="F1948" s="450"/>
      <c r="G1948" s="450" t="s">
        <v>22877</v>
      </c>
      <c r="H1948" s="450" t="s">
        <v>22878</v>
      </c>
      <c r="I1948" s="450" t="s">
        <v>30643</v>
      </c>
      <c r="J1948" s="450" t="s">
        <v>30644</v>
      </c>
      <c r="K1948" s="450"/>
    </row>
    <row r="1949" spans="1:11">
      <c r="A1949" s="451" t="s">
        <v>3950</v>
      </c>
      <c r="B1949" s="451"/>
      <c r="C1949" s="451" t="s">
        <v>3951</v>
      </c>
      <c r="D1949" s="451"/>
      <c r="E1949" s="451"/>
      <c r="F1949" s="451"/>
      <c r="G1949" s="451" t="s">
        <v>22877</v>
      </c>
      <c r="H1949" s="451" t="s">
        <v>22878</v>
      </c>
      <c r="I1949" s="451" t="s">
        <v>23690</v>
      </c>
      <c r="J1949" s="451" t="s">
        <v>22943</v>
      </c>
      <c r="K1949" s="451"/>
    </row>
    <row r="1950" spans="1:11">
      <c r="A1950" s="450" t="s">
        <v>3952</v>
      </c>
      <c r="B1950" s="450" t="s">
        <v>3953</v>
      </c>
      <c r="C1950" s="450" t="s">
        <v>3954</v>
      </c>
      <c r="D1950" s="450" t="s">
        <v>3955</v>
      </c>
      <c r="E1950" s="450"/>
      <c r="F1950" s="450"/>
      <c r="G1950" s="450" t="s">
        <v>22882</v>
      </c>
      <c r="H1950" s="450" t="s">
        <v>22883</v>
      </c>
      <c r="I1950" s="450" t="s">
        <v>3955</v>
      </c>
      <c r="J1950" s="450" t="s">
        <v>33598</v>
      </c>
      <c r="K1950" s="450"/>
    </row>
    <row r="1951" spans="1:11">
      <c r="A1951" s="451" t="s">
        <v>3952</v>
      </c>
      <c r="B1951" s="451" t="s">
        <v>3953</v>
      </c>
      <c r="C1951" s="451" t="s">
        <v>3954</v>
      </c>
      <c r="D1951" s="451" t="s">
        <v>3955</v>
      </c>
      <c r="E1951" s="451" t="s">
        <v>3956</v>
      </c>
      <c r="F1951" s="451"/>
      <c r="G1951" s="451" t="s">
        <v>22877</v>
      </c>
      <c r="H1951" s="451" t="s">
        <v>22878</v>
      </c>
      <c r="I1951" s="451" t="s">
        <v>30645</v>
      </c>
      <c r="J1951" s="451" t="s">
        <v>30646</v>
      </c>
      <c r="K1951" s="451"/>
    </row>
    <row r="1952" spans="1:11">
      <c r="A1952" s="450" t="s">
        <v>33599</v>
      </c>
      <c r="B1952" s="450"/>
      <c r="C1952" s="450" t="s">
        <v>3967</v>
      </c>
      <c r="D1952" s="450"/>
      <c r="E1952" s="450"/>
      <c r="F1952" s="450"/>
      <c r="G1952" s="450" t="s">
        <v>22877</v>
      </c>
      <c r="H1952" s="450" t="s">
        <v>22878</v>
      </c>
      <c r="I1952" s="450" t="s">
        <v>33600</v>
      </c>
      <c r="J1952" s="450" t="s">
        <v>22943</v>
      </c>
      <c r="K1952" s="450"/>
    </row>
    <row r="1953" spans="1:11">
      <c r="A1953" s="451" t="s">
        <v>33601</v>
      </c>
      <c r="B1953" s="451"/>
      <c r="C1953" s="451" t="s">
        <v>3958</v>
      </c>
      <c r="D1953" s="451"/>
      <c r="E1953" s="451"/>
      <c r="F1953" s="451"/>
      <c r="G1953" s="451" t="s">
        <v>22877</v>
      </c>
      <c r="H1953" s="451" t="s">
        <v>22878</v>
      </c>
      <c r="I1953" s="451" t="s">
        <v>33602</v>
      </c>
      <c r="J1953" s="451" t="s">
        <v>22943</v>
      </c>
      <c r="K1953" s="451"/>
    </row>
    <row r="1954" spans="1:11">
      <c r="A1954" s="450" t="s">
        <v>33603</v>
      </c>
      <c r="B1954" s="450"/>
      <c r="C1954" s="450" t="s">
        <v>3965</v>
      </c>
      <c r="D1954" s="450"/>
      <c r="E1954" s="450"/>
      <c r="F1954" s="450"/>
      <c r="G1954" s="450" t="s">
        <v>22882</v>
      </c>
      <c r="H1954" s="450" t="s">
        <v>22883</v>
      </c>
      <c r="I1954" s="450"/>
      <c r="J1954" s="450" t="s">
        <v>22943</v>
      </c>
      <c r="K1954" s="450"/>
    </row>
    <row r="1955" spans="1:11">
      <c r="A1955" s="451" t="s">
        <v>22835</v>
      </c>
      <c r="B1955" s="451"/>
      <c r="C1955" s="451" t="s">
        <v>3963</v>
      </c>
      <c r="D1955" s="451"/>
      <c r="E1955" s="451"/>
      <c r="F1955" s="451"/>
      <c r="G1955" s="451" t="s">
        <v>22882</v>
      </c>
      <c r="H1955" s="451" t="s">
        <v>22883</v>
      </c>
      <c r="I1955" s="451" t="s">
        <v>23691</v>
      </c>
      <c r="J1955" s="451" t="s">
        <v>22948</v>
      </c>
      <c r="K1955" s="451"/>
    </row>
    <row r="1956" spans="1:11">
      <c r="A1956" s="450" t="s">
        <v>22836</v>
      </c>
      <c r="B1956" s="450" t="s">
        <v>22837</v>
      </c>
      <c r="C1956" s="450" t="s">
        <v>22838</v>
      </c>
      <c r="D1956" s="450"/>
      <c r="E1956" s="450"/>
      <c r="F1956" s="450"/>
      <c r="G1956" s="450" t="s">
        <v>22877</v>
      </c>
      <c r="H1956" s="450" t="s">
        <v>22878</v>
      </c>
      <c r="I1956" s="450" t="s">
        <v>23692</v>
      </c>
      <c r="J1956" s="450" t="s">
        <v>23693</v>
      </c>
      <c r="K1956" s="450"/>
    </row>
    <row r="1957" spans="1:11">
      <c r="A1957" s="451" t="s">
        <v>33604</v>
      </c>
      <c r="B1957" s="451"/>
      <c r="C1957" s="451" t="s">
        <v>2110</v>
      </c>
      <c r="D1957" s="451"/>
      <c r="E1957" s="451"/>
      <c r="F1957" s="451"/>
      <c r="G1957" s="451" t="s">
        <v>22877</v>
      </c>
      <c r="H1957" s="451" t="s">
        <v>22878</v>
      </c>
      <c r="I1957" s="451" t="s">
        <v>33605</v>
      </c>
      <c r="J1957" s="451" t="s">
        <v>22948</v>
      </c>
      <c r="K1957" s="451"/>
    </row>
    <row r="1958" spans="1:11">
      <c r="A1958" s="450" t="s">
        <v>22839</v>
      </c>
      <c r="B1958" s="450"/>
      <c r="C1958" s="450" t="s">
        <v>3961</v>
      </c>
      <c r="D1958" s="450"/>
      <c r="E1958" s="450"/>
      <c r="F1958" s="450"/>
      <c r="G1958" s="450" t="s">
        <v>22877</v>
      </c>
      <c r="H1958" s="450" t="s">
        <v>22878</v>
      </c>
      <c r="I1958" s="450" t="s">
        <v>23694</v>
      </c>
      <c r="J1958" s="450" t="s">
        <v>22948</v>
      </c>
      <c r="K1958" s="450"/>
    </row>
    <row r="1959" spans="1:11">
      <c r="A1959" s="451" t="s">
        <v>22840</v>
      </c>
      <c r="B1959" s="451" t="s">
        <v>22841</v>
      </c>
      <c r="C1959" s="451" t="s">
        <v>22842</v>
      </c>
      <c r="D1959" s="451" t="s">
        <v>22843</v>
      </c>
      <c r="E1959" s="451"/>
      <c r="F1959" s="451"/>
      <c r="G1959" s="451" t="s">
        <v>22877</v>
      </c>
      <c r="H1959" s="451" t="s">
        <v>22878</v>
      </c>
      <c r="I1959" s="451" t="s">
        <v>22843</v>
      </c>
      <c r="J1959" s="451" t="s">
        <v>23695</v>
      </c>
      <c r="K1959" s="451"/>
    </row>
    <row r="1960" spans="1:11">
      <c r="A1960" s="450" t="s">
        <v>22844</v>
      </c>
      <c r="B1960" s="450" t="s">
        <v>22845</v>
      </c>
      <c r="C1960" s="450" t="s">
        <v>22846</v>
      </c>
      <c r="D1960" s="450"/>
      <c r="E1960" s="450"/>
      <c r="F1960" s="450"/>
      <c r="G1960" s="450" t="s">
        <v>22877</v>
      </c>
      <c r="H1960" s="450" t="s">
        <v>22878</v>
      </c>
      <c r="I1960" s="450" t="s">
        <v>23696</v>
      </c>
      <c r="J1960" s="450" t="s">
        <v>23697</v>
      </c>
      <c r="K1960" s="450"/>
    </row>
    <row r="1961" spans="1:11">
      <c r="A1961" s="451" t="s">
        <v>3957</v>
      </c>
      <c r="B1961" s="451"/>
      <c r="C1961" s="451" t="s">
        <v>3958</v>
      </c>
      <c r="D1961" s="451"/>
      <c r="E1961" s="451"/>
      <c r="F1961" s="451"/>
      <c r="G1961" s="451" t="s">
        <v>22877</v>
      </c>
      <c r="H1961" s="451" t="s">
        <v>22878</v>
      </c>
      <c r="I1961" s="451" t="s">
        <v>33602</v>
      </c>
      <c r="J1961" s="451" t="s">
        <v>23185</v>
      </c>
      <c r="K1961" s="451"/>
    </row>
    <row r="1962" spans="1:11">
      <c r="A1962" s="450" t="s">
        <v>3959</v>
      </c>
      <c r="B1962" s="450"/>
      <c r="C1962" s="450" t="s">
        <v>2110</v>
      </c>
      <c r="D1962" s="450"/>
      <c r="E1962" s="450"/>
      <c r="F1962" s="450"/>
      <c r="G1962" s="450" t="s">
        <v>22877</v>
      </c>
      <c r="H1962" s="450" t="s">
        <v>22878</v>
      </c>
      <c r="I1962" s="450" t="s">
        <v>33606</v>
      </c>
      <c r="J1962" s="450" t="s">
        <v>23143</v>
      </c>
      <c r="K1962" s="450"/>
    </row>
    <row r="1963" spans="1:11">
      <c r="A1963" s="451" t="s">
        <v>3960</v>
      </c>
      <c r="B1963" s="451"/>
      <c r="C1963" s="451" t="s">
        <v>3961</v>
      </c>
      <c r="D1963" s="451"/>
      <c r="E1963" s="451"/>
      <c r="F1963" s="451"/>
      <c r="G1963" s="451" t="s">
        <v>22877</v>
      </c>
      <c r="H1963" s="451" t="s">
        <v>22878</v>
      </c>
      <c r="I1963" s="451" t="s">
        <v>23694</v>
      </c>
      <c r="J1963" s="451" t="s">
        <v>22943</v>
      </c>
      <c r="K1963" s="451"/>
    </row>
    <row r="1964" spans="1:11">
      <c r="A1964" s="450" t="s">
        <v>3962</v>
      </c>
      <c r="B1964" s="450"/>
      <c r="C1964" s="450" t="s">
        <v>3963</v>
      </c>
      <c r="D1964" s="450"/>
      <c r="E1964" s="450"/>
      <c r="F1964" s="450"/>
      <c r="G1964" s="450" t="s">
        <v>22877</v>
      </c>
      <c r="H1964" s="450" t="s">
        <v>22878</v>
      </c>
      <c r="I1964" s="450" t="s">
        <v>23691</v>
      </c>
      <c r="J1964" s="450" t="s">
        <v>22943</v>
      </c>
      <c r="K1964" s="450"/>
    </row>
    <row r="1965" spans="1:11">
      <c r="A1965" s="451" t="s">
        <v>22847</v>
      </c>
      <c r="B1965" s="451" t="s">
        <v>22848</v>
      </c>
      <c r="C1965" s="451" t="s">
        <v>22849</v>
      </c>
      <c r="D1965" s="451"/>
      <c r="E1965" s="451"/>
      <c r="F1965" s="451"/>
      <c r="G1965" s="451" t="s">
        <v>22877</v>
      </c>
      <c r="H1965" s="451" t="s">
        <v>22878</v>
      </c>
      <c r="I1965" s="451"/>
      <c r="J1965" s="451" t="s">
        <v>23698</v>
      </c>
      <c r="K1965" s="451"/>
    </row>
    <row r="1966" spans="1:11">
      <c r="A1966" s="450" t="s">
        <v>3964</v>
      </c>
      <c r="B1966" s="450"/>
      <c r="C1966" s="450" t="s">
        <v>3965</v>
      </c>
      <c r="D1966" s="450"/>
      <c r="E1966" s="450"/>
      <c r="F1966" s="450"/>
      <c r="G1966" s="450" t="s">
        <v>22877</v>
      </c>
      <c r="H1966" s="450" t="s">
        <v>22878</v>
      </c>
      <c r="I1966" s="450" t="s">
        <v>33607</v>
      </c>
      <c r="J1966" s="450" t="s">
        <v>23143</v>
      </c>
      <c r="K1966" s="450"/>
    </row>
    <row r="1967" spans="1:11">
      <c r="A1967" s="451" t="s">
        <v>3966</v>
      </c>
      <c r="B1967" s="451"/>
      <c r="C1967" s="451" t="s">
        <v>3967</v>
      </c>
      <c r="D1967" s="451"/>
      <c r="E1967" s="451"/>
      <c r="F1967" s="451"/>
      <c r="G1967" s="451" t="s">
        <v>22877</v>
      </c>
      <c r="H1967" s="451" t="s">
        <v>22878</v>
      </c>
      <c r="I1967" s="451" t="s">
        <v>33600</v>
      </c>
      <c r="J1967" s="451" t="s">
        <v>22939</v>
      </c>
      <c r="K1967" s="451"/>
    </row>
    <row r="1968" spans="1:11">
      <c r="A1968" s="450" t="s">
        <v>21526</v>
      </c>
      <c r="B1968" s="450"/>
      <c r="C1968" s="450" t="s">
        <v>2139</v>
      </c>
      <c r="D1968" s="450"/>
      <c r="E1968" s="450"/>
      <c r="F1968" s="450"/>
      <c r="G1968" s="450" t="s">
        <v>22882</v>
      </c>
      <c r="H1968" s="450" t="s">
        <v>22883</v>
      </c>
      <c r="I1968" s="450"/>
      <c r="J1968" s="450" t="s">
        <v>22997</v>
      </c>
      <c r="K1968" s="450"/>
    </row>
    <row r="1969" spans="1:11">
      <c r="A1969" s="451" t="s">
        <v>3968</v>
      </c>
      <c r="B1969" s="451"/>
      <c r="C1969" s="451" t="s">
        <v>2578</v>
      </c>
      <c r="D1969" s="451"/>
      <c r="E1969" s="451"/>
      <c r="F1969" s="451"/>
      <c r="G1969" s="451" t="s">
        <v>22882</v>
      </c>
      <c r="H1969" s="451" t="s">
        <v>22883</v>
      </c>
      <c r="I1969" s="451"/>
      <c r="J1969" s="451" t="s">
        <v>22948</v>
      </c>
      <c r="K1969" s="451"/>
    </row>
    <row r="1970" spans="1:11">
      <c r="A1970" s="450" t="s">
        <v>3969</v>
      </c>
      <c r="B1970" s="450"/>
      <c r="C1970" s="450" t="s">
        <v>3970</v>
      </c>
      <c r="D1970" s="450"/>
      <c r="E1970" s="450"/>
      <c r="F1970" s="450"/>
      <c r="G1970" s="450" t="s">
        <v>22877</v>
      </c>
      <c r="H1970" s="450" t="s">
        <v>22878</v>
      </c>
      <c r="I1970" s="450" t="s">
        <v>23699</v>
      </c>
      <c r="J1970" s="450" t="s">
        <v>23185</v>
      </c>
      <c r="K1970" s="450"/>
    </row>
    <row r="1971" spans="1:11">
      <c r="A1971" s="451" t="s">
        <v>21527</v>
      </c>
      <c r="B1971" s="451" t="s">
        <v>3971</v>
      </c>
      <c r="C1971" s="451" t="s">
        <v>3905</v>
      </c>
      <c r="D1971" s="451" t="s">
        <v>3972</v>
      </c>
      <c r="E1971" s="451"/>
      <c r="F1971" s="451"/>
      <c r="G1971" s="451" t="s">
        <v>22877</v>
      </c>
      <c r="H1971" s="451" t="s">
        <v>22878</v>
      </c>
      <c r="I1971" s="451" t="s">
        <v>33608</v>
      </c>
      <c r="J1971" s="451" t="s">
        <v>33609</v>
      </c>
      <c r="K1971" s="451"/>
    </row>
    <row r="1972" spans="1:11">
      <c r="A1972" s="450" t="s">
        <v>21527</v>
      </c>
      <c r="B1972" s="450" t="s">
        <v>3971</v>
      </c>
      <c r="C1972" s="450" t="s">
        <v>3905</v>
      </c>
      <c r="D1972" s="450" t="s">
        <v>3972</v>
      </c>
      <c r="E1972" s="450" t="s">
        <v>3973</v>
      </c>
      <c r="F1972" s="450"/>
      <c r="G1972" s="450" t="s">
        <v>22877</v>
      </c>
      <c r="H1972" s="450" t="s">
        <v>22878</v>
      </c>
      <c r="I1972" s="450" t="s">
        <v>30647</v>
      </c>
      <c r="J1972" s="450" t="s">
        <v>30648</v>
      </c>
      <c r="K1972" s="450"/>
    </row>
    <row r="1973" spans="1:11">
      <c r="A1973" s="451" t="s">
        <v>22850</v>
      </c>
      <c r="B1973" s="451" t="s">
        <v>22851</v>
      </c>
      <c r="C1973" s="451" t="s">
        <v>22852</v>
      </c>
      <c r="D1973" s="451"/>
      <c r="E1973" s="451"/>
      <c r="F1973" s="451"/>
      <c r="G1973" s="451" t="s">
        <v>22877</v>
      </c>
      <c r="H1973" s="451" t="s">
        <v>22878</v>
      </c>
      <c r="I1973" s="451" t="s">
        <v>23700</v>
      </c>
      <c r="J1973" s="451" t="s">
        <v>23701</v>
      </c>
      <c r="K1973" s="451"/>
    </row>
    <row r="1974" spans="1:11">
      <c r="A1974" s="450" t="s">
        <v>3974</v>
      </c>
      <c r="B1974" s="450"/>
      <c r="C1974" s="450" t="s">
        <v>3975</v>
      </c>
      <c r="D1974" s="450"/>
      <c r="E1974" s="450"/>
      <c r="F1974" s="450"/>
      <c r="G1974" s="450" t="s">
        <v>22877</v>
      </c>
      <c r="H1974" s="450" t="s">
        <v>22878</v>
      </c>
      <c r="I1974" s="450" t="s">
        <v>33610</v>
      </c>
      <c r="J1974" s="450" t="s">
        <v>22943</v>
      </c>
      <c r="K1974" s="450"/>
    </row>
    <row r="1975" spans="1:11">
      <c r="A1975" s="451" t="s">
        <v>3976</v>
      </c>
      <c r="B1975" s="451"/>
      <c r="C1975" s="451" t="s">
        <v>3977</v>
      </c>
      <c r="D1975" s="451"/>
      <c r="E1975" s="451"/>
      <c r="F1975" s="451"/>
      <c r="G1975" s="451" t="s">
        <v>22882</v>
      </c>
      <c r="H1975" s="451" t="s">
        <v>22883</v>
      </c>
      <c r="I1975" s="451"/>
      <c r="J1975" s="451" t="s">
        <v>23133</v>
      </c>
      <c r="K1975" s="451"/>
    </row>
    <row r="1976" spans="1:11">
      <c r="A1976" s="450" t="s">
        <v>3978</v>
      </c>
      <c r="B1976" s="450" t="s">
        <v>33611</v>
      </c>
      <c r="C1976" s="450" t="s">
        <v>3980</v>
      </c>
      <c r="D1976" s="450" t="s">
        <v>3981</v>
      </c>
      <c r="E1976" s="450"/>
      <c r="F1976" s="450"/>
      <c r="G1976" s="450" t="s">
        <v>22882</v>
      </c>
      <c r="H1976" s="450" t="s">
        <v>22883</v>
      </c>
      <c r="I1976" s="450" t="s">
        <v>3981</v>
      </c>
      <c r="J1976" s="450" t="s">
        <v>33612</v>
      </c>
      <c r="K1976" s="450"/>
    </row>
    <row r="1977" spans="1:11">
      <c r="A1977" s="451" t="s">
        <v>3978</v>
      </c>
      <c r="B1977" s="451" t="s">
        <v>3979</v>
      </c>
      <c r="C1977" s="451" t="s">
        <v>3980</v>
      </c>
      <c r="D1977" s="451" t="s">
        <v>3981</v>
      </c>
      <c r="E1977" s="451" t="s">
        <v>3982</v>
      </c>
      <c r="F1977" s="451"/>
      <c r="G1977" s="451" t="s">
        <v>22882</v>
      </c>
      <c r="H1977" s="451" t="s">
        <v>22883</v>
      </c>
      <c r="I1977" s="451" t="s">
        <v>3981</v>
      </c>
      <c r="J1977" s="451" t="s">
        <v>30649</v>
      </c>
      <c r="K1977" s="451"/>
    </row>
    <row r="1978" spans="1:11">
      <c r="A1978" s="450" t="s">
        <v>22853</v>
      </c>
      <c r="B1978" s="450" t="s">
        <v>22854</v>
      </c>
      <c r="C1978" s="450" t="s">
        <v>22855</v>
      </c>
      <c r="D1978" s="450"/>
      <c r="E1978" s="450"/>
      <c r="F1978" s="450"/>
      <c r="G1978" s="450" t="s">
        <v>22877</v>
      </c>
      <c r="H1978" s="450" t="s">
        <v>22878</v>
      </c>
      <c r="I1978" s="450" t="s">
        <v>23702</v>
      </c>
      <c r="J1978" s="450" t="s">
        <v>22872</v>
      </c>
      <c r="K1978" s="450"/>
    </row>
    <row r="1979" spans="1:11">
      <c r="A1979" s="451" t="s">
        <v>33613</v>
      </c>
      <c r="B1979" s="451"/>
      <c r="C1979" s="451" t="s">
        <v>3984</v>
      </c>
      <c r="D1979" s="451"/>
      <c r="E1979" s="451"/>
      <c r="F1979" s="451"/>
      <c r="G1979" s="451" t="s">
        <v>22882</v>
      </c>
      <c r="H1979" s="451" t="s">
        <v>22883</v>
      </c>
      <c r="I1979" s="451"/>
      <c r="J1979" s="451" t="s">
        <v>22948</v>
      </c>
      <c r="K1979" s="451"/>
    </row>
    <row r="1980" spans="1:11">
      <c r="A1980" s="450" t="s">
        <v>33614</v>
      </c>
      <c r="B1980" s="450"/>
      <c r="C1980" s="450" t="s">
        <v>3986</v>
      </c>
      <c r="D1980" s="450"/>
      <c r="E1980" s="450"/>
      <c r="F1980" s="450"/>
      <c r="G1980" s="450" t="s">
        <v>22882</v>
      </c>
      <c r="H1980" s="450" t="s">
        <v>22883</v>
      </c>
      <c r="I1980" s="450"/>
      <c r="J1980" s="450" t="s">
        <v>22943</v>
      </c>
      <c r="K1980" s="450"/>
    </row>
    <row r="1981" spans="1:11">
      <c r="A1981" s="451" t="s">
        <v>3983</v>
      </c>
      <c r="B1981" s="451"/>
      <c r="C1981" s="451" t="s">
        <v>3984</v>
      </c>
      <c r="D1981" s="451"/>
      <c r="E1981" s="451"/>
      <c r="F1981" s="451"/>
      <c r="G1981" s="451" t="s">
        <v>22877</v>
      </c>
      <c r="H1981" s="451" t="s">
        <v>22878</v>
      </c>
      <c r="I1981" s="451" t="s">
        <v>33615</v>
      </c>
      <c r="J1981" s="451" t="s">
        <v>22943</v>
      </c>
      <c r="K1981" s="451"/>
    </row>
    <row r="1982" spans="1:11">
      <c r="A1982" s="450" t="s">
        <v>3985</v>
      </c>
      <c r="B1982" s="450"/>
      <c r="C1982" s="450" t="s">
        <v>3986</v>
      </c>
      <c r="D1982" s="450"/>
      <c r="E1982" s="450"/>
      <c r="F1982" s="450"/>
      <c r="G1982" s="450" t="s">
        <v>22877</v>
      </c>
      <c r="H1982" s="450" t="s">
        <v>22878</v>
      </c>
      <c r="I1982" s="450" t="s">
        <v>33616</v>
      </c>
      <c r="J1982" s="450" t="s">
        <v>22943</v>
      </c>
      <c r="K1982" s="450"/>
    </row>
    <row r="1983" spans="1:11">
      <c r="A1983" s="451" t="s">
        <v>33617</v>
      </c>
      <c r="B1983" s="451"/>
      <c r="C1983" s="451" t="s">
        <v>3524</v>
      </c>
      <c r="D1983" s="451"/>
      <c r="E1983" s="451"/>
      <c r="F1983" s="451"/>
      <c r="G1983" s="451" t="s">
        <v>22882</v>
      </c>
      <c r="H1983" s="451" t="s">
        <v>22883</v>
      </c>
      <c r="I1983" s="451" t="s">
        <v>23703</v>
      </c>
      <c r="J1983" s="451" t="s">
        <v>22943</v>
      </c>
      <c r="K1983" s="451"/>
    </row>
    <row r="1984" spans="1:11">
      <c r="A1984" s="450" t="s">
        <v>3987</v>
      </c>
      <c r="B1984" s="450"/>
      <c r="C1984" s="450" t="s">
        <v>3524</v>
      </c>
      <c r="D1984" s="450"/>
      <c r="E1984" s="450"/>
      <c r="F1984" s="450"/>
      <c r="G1984" s="450" t="s">
        <v>22882</v>
      </c>
      <c r="H1984" s="450" t="s">
        <v>22883</v>
      </c>
      <c r="I1984" s="450" t="s">
        <v>23703</v>
      </c>
      <c r="J1984" s="450" t="s">
        <v>22902</v>
      </c>
      <c r="K1984" s="450"/>
    </row>
    <row r="1985" spans="1:11">
      <c r="A1985" s="451" t="s">
        <v>22856</v>
      </c>
      <c r="B1985" s="451" t="s">
        <v>22857</v>
      </c>
      <c r="C1985" s="451" t="s">
        <v>22858</v>
      </c>
      <c r="D1985" s="451"/>
      <c r="E1985" s="451"/>
      <c r="F1985" s="451"/>
      <c r="G1985" s="451" t="s">
        <v>22877</v>
      </c>
      <c r="H1985" s="451" t="s">
        <v>22878</v>
      </c>
      <c r="I1985" s="451" t="s">
        <v>23704</v>
      </c>
      <c r="J1985" s="451" t="s">
        <v>23705</v>
      </c>
      <c r="K1985" s="451"/>
    </row>
    <row r="1986" spans="1:11">
      <c r="A1986" s="450" t="s">
        <v>3988</v>
      </c>
      <c r="B1986" s="450"/>
      <c r="C1986" s="450" t="s">
        <v>3989</v>
      </c>
      <c r="D1986" s="450"/>
      <c r="E1986" s="450"/>
      <c r="F1986" s="450"/>
      <c r="G1986" s="450" t="s">
        <v>22877</v>
      </c>
      <c r="H1986" s="450" t="s">
        <v>22878</v>
      </c>
      <c r="I1986" s="450" t="s">
        <v>33618</v>
      </c>
      <c r="J1986" s="450" t="s">
        <v>22997</v>
      </c>
      <c r="K1986" s="450"/>
    </row>
    <row r="1987" spans="1:11">
      <c r="A1987" s="451" t="s">
        <v>3990</v>
      </c>
      <c r="B1987" s="451"/>
      <c r="C1987" s="451" t="s">
        <v>3991</v>
      </c>
      <c r="D1987" s="451"/>
      <c r="E1987" s="451"/>
      <c r="F1987" s="451"/>
      <c r="G1987" s="451" t="s">
        <v>22882</v>
      </c>
      <c r="H1987" s="451" t="s">
        <v>22883</v>
      </c>
      <c r="I1987" s="451"/>
      <c r="J1987" s="451" t="s">
        <v>23185</v>
      </c>
      <c r="K1987" s="451"/>
    </row>
    <row r="1988" spans="1:11">
      <c r="A1988" s="450" t="s">
        <v>3992</v>
      </c>
      <c r="B1988" s="450" t="s">
        <v>3993</v>
      </c>
      <c r="C1988" s="450" t="s">
        <v>2650</v>
      </c>
      <c r="D1988" s="450" t="s">
        <v>3994</v>
      </c>
      <c r="E1988" s="450"/>
      <c r="F1988" s="450"/>
      <c r="G1988" s="450" t="s">
        <v>22877</v>
      </c>
      <c r="H1988" s="450" t="s">
        <v>22878</v>
      </c>
      <c r="I1988" s="450" t="s">
        <v>3994</v>
      </c>
      <c r="J1988" s="450" t="s">
        <v>23706</v>
      </c>
      <c r="K1988" s="450"/>
    </row>
    <row r="1989" spans="1:11">
      <c r="A1989" s="451" t="s">
        <v>3992</v>
      </c>
      <c r="B1989" s="451" t="s">
        <v>3993</v>
      </c>
      <c r="C1989" s="451" t="s">
        <v>2650</v>
      </c>
      <c r="D1989" s="451" t="s">
        <v>3994</v>
      </c>
      <c r="E1989" s="451" t="s">
        <v>3995</v>
      </c>
      <c r="F1989" s="451"/>
      <c r="G1989" s="451" t="s">
        <v>22877</v>
      </c>
      <c r="H1989" s="451" t="s">
        <v>22878</v>
      </c>
      <c r="I1989" s="451" t="s">
        <v>3994</v>
      </c>
      <c r="J1989" s="451" t="s">
        <v>23706</v>
      </c>
      <c r="K1989" s="451"/>
    </row>
    <row r="1990" spans="1:11">
      <c r="A1990" s="450" t="s">
        <v>3996</v>
      </c>
      <c r="B1990" s="450" t="s">
        <v>33619</v>
      </c>
      <c r="C1990" s="450" t="s">
        <v>3998</v>
      </c>
      <c r="D1990" s="450" t="s">
        <v>3999</v>
      </c>
      <c r="E1990" s="450"/>
      <c r="F1990" s="450"/>
      <c r="G1990" s="450" t="s">
        <v>22882</v>
      </c>
      <c r="H1990" s="450" t="s">
        <v>22883</v>
      </c>
      <c r="I1990" s="450" t="s">
        <v>3999</v>
      </c>
      <c r="J1990" s="450" t="s">
        <v>33620</v>
      </c>
      <c r="K1990" s="450"/>
    </row>
    <row r="1991" spans="1:11">
      <c r="A1991" s="451" t="s">
        <v>3996</v>
      </c>
      <c r="B1991" s="451" t="s">
        <v>3997</v>
      </c>
      <c r="C1991" s="451" t="s">
        <v>3998</v>
      </c>
      <c r="D1991" s="451" t="s">
        <v>3999</v>
      </c>
      <c r="E1991" s="451" t="s">
        <v>4000</v>
      </c>
      <c r="F1991" s="451"/>
      <c r="G1991" s="451" t="s">
        <v>22882</v>
      </c>
      <c r="H1991" s="451" t="s">
        <v>22883</v>
      </c>
      <c r="I1991" s="451" t="s">
        <v>3999</v>
      </c>
      <c r="J1991" s="451" t="s">
        <v>30650</v>
      </c>
      <c r="K1991" s="451"/>
    </row>
    <row r="1992" spans="1:11">
      <c r="A1992" s="450" t="s">
        <v>4001</v>
      </c>
      <c r="B1992" s="450" t="s">
        <v>4002</v>
      </c>
      <c r="C1992" s="450" t="s">
        <v>4003</v>
      </c>
      <c r="D1992" s="450" t="s">
        <v>4004</v>
      </c>
      <c r="E1992" s="450"/>
      <c r="F1992" s="450"/>
      <c r="G1992" s="450" t="s">
        <v>22882</v>
      </c>
      <c r="H1992" s="450" t="s">
        <v>22883</v>
      </c>
      <c r="I1992" s="450" t="s">
        <v>4004</v>
      </c>
      <c r="J1992" s="450" t="s">
        <v>33621</v>
      </c>
      <c r="K1992" s="450"/>
    </row>
    <row r="1993" spans="1:11">
      <c r="A1993" s="451" t="s">
        <v>4001</v>
      </c>
      <c r="B1993" s="451" t="s">
        <v>4002</v>
      </c>
      <c r="C1993" s="451" t="s">
        <v>4003</v>
      </c>
      <c r="D1993" s="451" t="s">
        <v>4004</v>
      </c>
      <c r="E1993" s="451" t="s">
        <v>3995</v>
      </c>
      <c r="F1993" s="451"/>
      <c r="G1993" s="451" t="s">
        <v>22882</v>
      </c>
      <c r="H1993" s="451" t="s">
        <v>22883</v>
      </c>
      <c r="I1993" s="451" t="s">
        <v>4004</v>
      </c>
      <c r="J1993" s="451" t="s">
        <v>30651</v>
      </c>
      <c r="K1993" s="451"/>
    </row>
    <row r="1994" spans="1:11">
      <c r="A1994" s="450" t="s">
        <v>4005</v>
      </c>
      <c r="B1994" s="450" t="s">
        <v>4006</v>
      </c>
      <c r="C1994" s="450" t="s">
        <v>4007</v>
      </c>
      <c r="D1994" s="450" t="s">
        <v>4008</v>
      </c>
      <c r="E1994" s="450"/>
      <c r="F1994" s="450"/>
      <c r="G1994" s="450" t="s">
        <v>22882</v>
      </c>
      <c r="H1994" s="450" t="s">
        <v>22883</v>
      </c>
      <c r="I1994" s="450" t="s">
        <v>4008</v>
      </c>
      <c r="J1994" s="450" t="s">
        <v>23707</v>
      </c>
      <c r="K1994" s="450"/>
    </row>
    <row r="1995" spans="1:11">
      <c r="A1995" s="451" t="s">
        <v>4005</v>
      </c>
      <c r="B1995" s="451" t="s">
        <v>4006</v>
      </c>
      <c r="C1995" s="451" t="s">
        <v>4007</v>
      </c>
      <c r="D1995" s="451" t="s">
        <v>4008</v>
      </c>
      <c r="E1995" s="451" t="s">
        <v>4009</v>
      </c>
      <c r="F1995" s="451"/>
      <c r="G1995" s="451" t="s">
        <v>22877</v>
      </c>
      <c r="H1995" s="451" t="s">
        <v>22878</v>
      </c>
      <c r="I1995" s="451" t="s">
        <v>4008</v>
      </c>
      <c r="J1995" s="451" t="s">
        <v>23707</v>
      </c>
      <c r="K1995" s="451"/>
    </row>
    <row r="1996" spans="1:11">
      <c r="A1996" s="450" t="s">
        <v>4010</v>
      </c>
      <c r="B1996" s="450" t="s">
        <v>4011</v>
      </c>
      <c r="C1996" s="450" t="s">
        <v>4012</v>
      </c>
      <c r="D1996" s="450" t="s">
        <v>4013</v>
      </c>
      <c r="E1996" s="450"/>
      <c r="F1996" s="450"/>
      <c r="G1996" s="450" t="s">
        <v>22882</v>
      </c>
      <c r="H1996" s="450" t="s">
        <v>22883</v>
      </c>
      <c r="I1996" s="450" t="s">
        <v>23708</v>
      </c>
      <c r="J1996" s="450" t="s">
        <v>23709</v>
      </c>
      <c r="K1996" s="450"/>
    </row>
    <row r="1997" spans="1:11">
      <c r="A1997" s="451" t="s">
        <v>33622</v>
      </c>
      <c r="B1997" s="451" t="s">
        <v>4015</v>
      </c>
      <c r="C1997" s="451" t="s">
        <v>4016</v>
      </c>
      <c r="D1997" s="451" t="s">
        <v>4017</v>
      </c>
      <c r="E1997" s="451"/>
      <c r="F1997" s="451"/>
      <c r="G1997" s="451" t="s">
        <v>22877</v>
      </c>
      <c r="H1997" s="451" t="s">
        <v>22878</v>
      </c>
      <c r="I1997" s="451" t="s">
        <v>33623</v>
      </c>
      <c r="J1997" s="451" t="s">
        <v>33624</v>
      </c>
      <c r="K1997" s="451"/>
    </row>
    <row r="1998" spans="1:11">
      <c r="A1998" s="450" t="s">
        <v>4014</v>
      </c>
      <c r="B1998" s="450" t="s">
        <v>4015</v>
      </c>
      <c r="C1998" s="450" t="s">
        <v>4016</v>
      </c>
      <c r="D1998" s="450" t="s">
        <v>4017</v>
      </c>
      <c r="E1998" s="450" t="s">
        <v>4018</v>
      </c>
      <c r="F1998" s="450"/>
      <c r="G1998" s="450" t="s">
        <v>22877</v>
      </c>
      <c r="H1998" s="450" t="s">
        <v>22878</v>
      </c>
      <c r="I1998" s="450" t="s">
        <v>4017</v>
      </c>
      <c r="J1998" s="450" t="s">
        <v>30652</v>
      </c>
      <c r="K1998" s="450"/>
    </row>
    <row r="1999" spans="1:11">
      <c r="A1999" s="451" t="s">
        <v>4019</v>
      </c>
      <c r="B1999" s="451" t="s">
        <v>4020</v>
      </c>
      <c r="C1999" s="451" t="s">
        <v>4021</v>
      </c>
      <c r="D1999" s="451"/>
      <c r="E1999" s="451"/>
      <c r="F1999" s="451"/>
      <c r="G1999" s="451" t="s">
        <v>22882</v>
      </c>
      <c r="H1999" s="451" t="s">
        <v>22883</v>
      </c>
      <c r="I1999" s="451"/>
      <c r="J1999" s="451" t="s">
        <v>33625</v>
      </c>
      <c r="K1999" s="451"/>
    </row>
    <row r="2000" spans="1:11">
      <c r="A2000" s="450" t="s">
        <v>4022</v>
      </c>
      <c r="B2000" s="450"/>
      <c r="C2000" s="450" t="s">
        <v>4023</v>
      </c>
      <c r="D2000" s="450"/>
      <c r="E2000" s="450"/>
      <c r="F2000" s="450"/>
      <c r="G2000" s="450" t="s">
        <v>22882</v>
      </c>
      <c r="H2000" s="450" t="s">
        <v>22883</v>
      </c>
      <c r="I2000" s="450"/>
      <c r="J2000" s="450" t="s">
        <v>23185</v>
      </c>
      <c r="K2000" s="450"/>
    </row>
    <row r="2001" spans="1:11">
      <c r="A2001" s="451" t="s">
        <v>4024</v>
      </c>
      <c r="B2001" s="451"/>
      <c r="C2001" s="451" t="s">
        <v>4025</v>
      </c>
      <c r="D2001" s="451"/>
      <c r="E2001" s="451"/>
      <c r="F2001" s="451"/>
      <c r="G2001" s="451" t="s">
        <v>22882</v>
      </c>
      <c r="H2001" s="451" t="s">
        <v>22883</v>
      </c>
      <c r="I2001" s="451"/>
      <c r="J2001" s="451" t="s">
        <v>22997</v>
      </c>
      <c r="K2001" s="451"/>
    </row>
    <row r="2002" spans="1:11">
      <c r="A2002" s="450" t="s">
        <v>4026</v>
      </c>
      <c r="B2002" s="450" t="s">
        <v>4027</v>
      </c>
      <c r="C2002" s="450" t="s">
        <v>33626</v>
      </c>
      <c r="D2002" s="450"/>
      <c r="E2002" s="450"/>
      <c r="F2002" s="450"/>
      <c r="G2002" s="450" t="s">
        <v>22877</v>
      </c>
      <c r="H2002" s="450" t="s">
        <v>22878</v>
      </c>
      <c r="I2002" s="450" t="s">
        <v>23710</v>
      </c>
      <c r="J2002" s="450" t="s">
        <v>33627</v>
      </c>
      <c r="K2002" s="450"/>
    </row>
    <row r="2003" spans="1:11">
      <c r="A2003" s="451" t="s">
        <v>4026</v>
      </c>
      <c r="B2003" s="451" t="s">
        <v>4027</v>
      </c>
      <c r="C2003" s="451" t="s">
        <v>4028</v>
      </c>
      <c r="D2003" s="451"/>
      <c r="E2003" s="451"/>
      <c r="F2003" s="451"/>
      <c r="G2003" s="451" t="s">
        <v>22877</v>
      </c>
      <c r="H2003" s="451" t="s">
        <v>22878</v>
      </c>
      <c r="I2003" s="451" t="s">
        <v>23710</v>
      </c>
      <c r="J2003" s="451" t="s">
        <v>30653</v>
      </c>
      <c r="K2003" s="451"/>
    </row>
    <row r="2004" spans="1:11">
      <c r="A2004" s="450" t="s">
        <v>22859</v>
      </c>
      <c r="B2004" s="450" t="s">
        <v>22860</v>
      </c>
      <c r="C2004" s="450" t="s">
        <v>22861</v>
      </c>
      <c r="D2004" s="450"/>
      <c r="E2004" s="450"/>
      <c r="F2004" s="450"/>
      <c r="G2004" s="450" t="s">
        <v>22877</v>
      </c>
      <c r="H2004" s="450" t="s">
        <v>22878</v>
      </c>
      <c r="I2004" s="450"/>
      <c r="J2004" s="450" t="s">
        <v>23711</v>
      </c>
      <c r="K2004" s="450"/>
    </row>
    <row r="2005" spans="1:11">
      <c r="A2005" s="451" t="s">
        <v>4029</v>
      </c>
      <c r="B2005" s="451"/>
      <c r="C2005" s="451" t="s">
        <v>4030</v>
      </c>
      <c r="D2005" s="451"/>
      <c r="E2005" s="451"/>
      <c r="F2005" s="451"/>
      <c r="G2005" s="451" t="s">
        <v>22882</v>
      </c>
      <c r="H2005" s="451" t="s">
        <v>22883</v>
      </c>
      <c r="I2005" s="451" t="s">
        <v>23712</v>
      </c>
      <c r="J2005" s="451" t="s">
        <v>22943</v>
      </c>
      <c r="K2005" s="451"/>
    </row>
    <row r="2006" spans="1:11">
      <c r="A2006" s="450" t="s">
        <v>33628</v>
      </c>
      <c r="B2006" s="450" t="s">
        <v>4031</v>
      </c>
      <c r="C2006" s="450" t="s">
        <v>4032</v>
      </c>
      <c r="D2006" s="450" t="s">
        <v>4033</v>
      </c>
      <c r="E2006" s="450"/>
      <c r="F2006" s="450" t="s">
        <v>1954</v>
      </c>
      <c r="G2006" s="450" t="s">
        <v>22877</v>
      </c>
      <c r="H2006" s="450" t="s">
        <v>22878</v>
      </c>
      <c r="I2006" s="450" t="s">
        <v>4033</v>
      </c>
      <c r="J2006" s="450" t="s">
        <v>33629</v>
      </c>
      <c r="K2006" s="450"/>
    </row>
    <row r="2007" spans="1:11">
      <c r="A2007" s="451" t="s">
        <v>21528</v>
      </c>
      <c r="B2007" s="451" t="s">
        <v>4031</v>
      </c>
      <c r="C2007" s="451" t="s">
        <v>4032</v>
      </c>
      <c r="D2007" s="451" t="s">
        <v>4033</v>
      </c>
      <c r="E2007" s="451" t="s">
        <v>4034</v>
      </c>
      <c r="F2007" s="451" t="s">
        <v>1954</v>
      </c>
      <c r="G2007" s="451" t="s">
        <v>22882</v>
      </c>
      <c r="H2007" s="451" t="s">
        <v>22883</v>
      </c>
      <c r="I2007" s="451" t="s">
        <v>30654</v>
      </c>
      <c r="J2007" s="451" t="s">
        <v>30655</v>
      </c>
      <c r="K2007" s="451"/>
    </row>
    <row r="2008" spans="1:11">
      <c r="A2008" s="450" t="s">
        <v>33630</v>
      </c>
      <c r="B2008" s="450" t="s">
        <v>4036</v>
      </c>
      <c r="C2008" s="450" t="s">
        <v>4037</v>
      </c>
      <c r="D2008" s="450"/>
      <c r="E2008" s="450"/>
      <c r="F2008" s="450"/>
      <c r="G2008" s="450" t="s">
        <v>22877</v>
      </c>
      <c r="H2008" s="450" t="s">
        <v>22878</v>
      </c>
      <c r="I2008" s="450"/>
      <c r="J2008" s="450" t="s">
        <v>33631</v>
      </c>
      <c r="K2008" s="450"/>
    </row>
    <row r="2009" spans="1:11">
      <c r="A2009" s="451" t="s">
        <v>4035</v>
      </c>
      <c r="B2009" s="451" t="s">
        <v>4036</v>
      </c>
      <c r="C2009" s="451" t="s">
        <v>4037</v>
      </c>
      <c r="D2009" s="451"/>
      <c r="E2009" s="451"/>
      <c r="F2009" s="451"/>
      <c r="G2009" s="451" t="s">
        <v>22877</v>
      </c>
      <c r="H2009" s="451" t="s">
        <v>22878</v>
      </c>
      <c r="I2009" s="451" t="s">
        <v>30656</v>
      </c>
      <c r="J2009" s="451" t="s">
        <v>30657</v>
      </c>
      <c r="K2009" s="451"/>
    </row>
    <row r="2010" spans="1:11">
      <c r="A2010" s="450" t="s">
        <v>33632</v>
      </c>
      <c r="B2010" s="450" t="s">
        <v>4039</v>
      </c>
      <c r="C2010" s="450" t="s">
        <v>3150</v>
      </c>
      <c r="D2010" s="450" t="s">
        <v>4040</v>
      </c>
      <c r="E2010" s="450"/>
      <c r="F2010" s="450"/>
      <c r="G2010" s="450" t="s">
        <v>22877</v>
      </c>
      <c r="H2010" s="450" t="s">
        <v>22878</v>
      </c>
      <c r="I2010" s="450" t="s">
        <v>4040</v>
      </c>
      <c r="J2010" s="450" t="s">
        <v>33633</v>
      </c>
      <c r="K2010" s="450"/>
    </row>
    <row r="2011" spans="1:11">
      <c r="A2011" s="451" t="s">
        <v>4038</v>
      </c>
      <c r="B2011" s="451" t="s">
        <v>4039</v>
      </c>
      <c r="C2011" s="451" t="s">
        <v>3150</v>
      </c>
      <c r="D2011" s="451" t="s">
        <v>4040</v>
      </c>
      <c r="E2011" s="451" t="s">
        <v>4041</v>
      </c>
      <c r="F2011" s="451"/>
      <c r="G2011" s="451" t="s">
        <v>22877</v>
      </c>
      <c r="H2011" s="451" t="s">
        <v>22878</v>
      </c>
      <c r="I2011" s="451" t="s">
        <v>30658</v>
      </c>
      <c r="J2011" s="451" t="s">
        <v>30659</v>
      </c>
      <c r="K2011" s="451"/>
    </row>
    <row r="2012" spans="1:11">
      <c r="A2012" s="450" t="s">
        <v>4042</v>
      </c>
      <c r="B2012" s="450" t="s">
        <v>4043</v>
      </c>
      <c r="C2012" s="450" t="s">
        <v>4044</v>
      </c>
      <c r="D2012" s="450"/>
      <c r="E2012" s="450"/>
      <c r="F2012" s="450" t="s">
        <v>4045</v>
      </c>
      <c r="G2012" s="450" t="s">
        <v>22882</v>
      </c>
      <c r="H2012" s="450" t="s">
        <v>22883</v>
      </c>
      <c r="I2012" s="450"/>
      <c r="J2012" s="450" t="s">
        <v>33634</v>
      </c>
      <c r="K2012" s="450"/>
    </row>
    <row r="2013" spans="1:11">
      <c r="A2013" s="451" t="s">
        <v>4046</v>
      </c>
      <c r="B2013" s="451"/>
      <c r="C2013" s="451" t="s">
        <v>4047</v>
      </c>
      <c r="D2013" s="451"/>
      <c r="E2013" s="451"/>
      <c r="F2013" s="451"/>
      <c r="G2013" s="451" t="s">
        <v>22882</v>
      </c>
      <c r="H2013" s="451" t="s">
        <v>22883</v>
      </c>
      <c r="I2013" s="451"/>
      <c r="J2013" s="451" t="s">
        <v>23184</v>
      </c>
      <c r="K2013" s="451"/>
    </row>
    <row r="2014" spans="1:11">
      <c r="A2014" s="450" t="s">
        <v>4048</v>
      </c>
      <c r="B2014" s="450"/>
      <c r="C2014" s="450" t="s">
        <v>2285</v>
      </c>
      <c r="D2014" s="450"/>
      <c r="E2014" s="450"/>
      <c r="F2014" s="450"/>
      <c r="G2014" s="450" t="s">
        <v>22877</v>
      </c>
      <c r="H2014" s="450" t="s">
        <v>22878</v>
      </c>
      <c r="I2014" s="450"/>
      <c r="J2014" s="450" t="s">
        <v>22943</v>
      </c>
      <c r="K2014" s="450"/>
    </row>
    <row r="2015" spans="1:11">
      <c r="A2015" s="451" t="s">
        <v>22862</v>
      </c>
      <c r="B2015" s="451" t="s">
        <v>22863</v>
      </c>
      <c r="C2015" s="451" t="s">
        <v>22864</v>
      </c>
      <c r="D2015" s="451"/>
      <c r="E2015" s="451"/>
      <c r="F2015" s="451"/>
      <c r="G2015" s="451" t="s">
        <v>22877</v>
      </c>
      <c r="H2015" s="451" t="s">
        <v>22878</v>
      </c>
      <c r="I2015" s="451" t="s">
        <v>23713</v>
      </c>
      <c r="J2015" s="451" t="s">
        <v>23714</v>
      </c>
      <c r="K2015" s="451"/>
    </row>
    <row r="2016" spans="1:11">
      <c r="A2016" s="450" t="s">
        <v>33635</v>
      </c>
      <c r="B2016" s="450"/>
      <c r="C2016" s="450" t="s">
        <v>4050</v>
      </c>
      <c r="D2016" s="450"/>
      <c r="E2016" s="450"/>
      <c r="F2016" s="450"/>
      <c r="G2016" s="450" t="s">
        <v>22877</v>
      </c>
      <c r="H2016" s="450" t="s">
        <v>22878</v>
      </c>
      <c r="I2016" s="450"/>
      <c r="J2016" s="450" t="s">
        <v>22948</v>
      </c>
      <c r="K2016" s="450"/>
    </row>
    <row r="2017" spans="1:11">
      <c r="A2017" s="451" t="s">
        <v>4049</v>
      </c>
      <c r="B2017" s="451"/>
      <c r="C2017" s="451" t="s">
        <v>4050</v>
      </c>
      <c r="D2017" s="451"/>
      <c r="E2017" s="451"/>
      <c r="F2017" s="451"/>
      <c r="G2017" s="451" t="s">
        <v>22877</v>
      </c>
      <c r="H2017" s="451" t="s">
        <v>22878</v>
      </c>
      <c r="I2017" s="451" t="s">
        <v>26702</v>
      </c>
      <c r="J2017" s="451" t="s">
        <v>22943</v>
      </c>
      <c r="K2017" s="451"/>
    </row>
    <row r="2018" spans="1:11">
      <c r="A2018" s="450" t="s">
        <v>22865</v>
      </c>
      <c r="B2018" s="450" t="s">
        <v>22866</v>
      </c>
      <c r="C2018" s="450" t="s">
        <v>22867</v>
      </c>
      <c r="D2018" s="450"/>
      <c r="E2018" s="450"/>
      <c r="F2018" s="450"/>
      <c r="G2018" s="450" t="s">
        <v>22877</v>
      </c>
      <c r="H2018" s="450" t="s">
        <v>22878</v>
      </c>
      <c r="I2018" s="450" t="s">
        <v>23715</v>
      </c>
      <c r="J2018" s="450" t="s">
        <v>23716</v>
      </c>
      <c r="K2018" s="450"/>
    </row>
    <row r="2019" spans="1:11">
      <c r="A2019" s="451" t="s">
        <v>4051</v>
      </c>
      <c r="B2019" s="451"/>
      <c r="C2019" s="451" t="s">
        <v>3201</v>
      </c>
      <c r="D2019" s="451"/>
      <c r="E2019" s="451"/>
      <c r="F2019" s="451"/>
      <c r="G2019" s="451" t="s">
        <v>22877</v>
      </c>
      <c r="H2019" s="451" t="s">
        <v>22878</v>
      </c>
      <c r="I2019" s="451" t="s">
        <v>33636</v>
      </c>
      <c r="J2019" s="451" t="s">
        <v>23184</v>
      </c>
      <c r="K2019" s="451"/>
    </row>
    <row r="2020" spans="1:11">
      <c r="A2020" s="450" t="s">
        <v>4052</v>
      </c>
      <c r="B2020" s="450"/>
      <c r="C2020" s="450" t="s">
        <v>4053</v>
      </c>
      <c r="D2020" s="450"/>
      <c r="E2020" s="450"/>
      <c r="F2020" s="450"/>
      <c r="G2020" s="450" t="s">
        <v>22877</v>
      </c>
      <c r="H2020" s="450" t="s">
        <v>22878</v>
      </c>
      <c r="I2020" s="450"/>
      <c r="J2020" s="450" t="s">
        <v>23185</v>
      </c>
      <c r="K2020" s="450"/>
    </row>
    <row r="2021" spans="1:11">
      <c r="A2021" s="451" t="s">
        <v>22868</v>
      </c>
      <c r="B2021" s="451"/>
      <c r="C2021" s="451"/>
      <c r="D2021" s="451" t="s">
        <v>4055</v>
      </c>
      <c r="E2021" s="451"/>
      <c r="F2021" s="451"/>
      <c r="G2021" s="451" t="s">
        <v>22877</v>
      </c>
      <c r="H2021" s="451" t="s">
        <v>22878</v>
      </c>
      <c r="I2021" s="451" t="s">
        <v>23717</v>
      </c>
      <c r="J2021" s="451" t="s">
        <v>23718</v>
      </c>
      <c r="K2021" s="451"/>
    </row>
    <row r="2022" spans="1:11">
      <c r="A2022" s="450" t="s">
        <v>22869</v>
      </c>
      <c r="B2022" s="450" t="s">
        <v>22870</v>
      </c>
      <c r="C2022" s="450" t="s">
        <v>4059</v>
      </c>
      <c r="D2022" s="450" t="s">
        <v>4055</v>
      </c>
      <c r="E2022" s="450"/>
      <c r="F2022" s="450"/>
      <c r="G2022" s="450" t="s">
        <v>22877</v>
      </c>
      <c r="H2022" s="450" t="s">
        <v>22878</v>
      </c>
      <c r="I2022" s="450" t="s">
        <v>23719</v>
      </c>
      <c r="J2022" s="450" t="s">
        <v>23720</v>
      </c>
      <c r="K2022" s="450"/>
    </row>
    <row r="2023" spans="1:11">
      <c r="A2023" s="451" t="s">
        <v>4054</v>
      </c>
      <c r="B2023" s="451"/>
      <c r="C2023" s="451"/>
      <c r="D2023" s="451" t="s">
        <v>4055</v>
      </c>
      <c r="E2023" s="451" t="s">
        <v>4056</v>
      </c>
      <c r="F2023" s="451"/>
      <c r="G2023" s="451" t="s">
        <v>22877</v>
      </c>
      <c r="H2023" s="451" t="s">
        <v>22878</v>
      </c>
      <c r="I2023" s="451" t="s">
        <v>23717</v>
      </c>
      <c r="J2023" s="451" t="s">
        <v>30660</v>
      </c>
      <c r="K2023" s="451"/>
    </row>
    <row r="2024" spans="1:11">
      <c r="A2024" s="450" t="s">
        <v>4057</v>
      </c>
      <c r="B2024" s="450" t="s">
        <v>4058</v>
      </c>
      <c r="C2024" s="450" t="s">
        <v>4059</v>
      </c>
      <c r="D2024" s="450" t="s">
        <v>4055</v>
      </c>
      <c r="E2024" s="450"/>
      <c r="F2024" s="450"/>
      <c r="G2024" s="450" t="s">
        <v>22877</v>
      </c>
      <c r="H2024" s="450" t="s">
        <v>22878</v>
      </c>
      <c r="I2024" s="450" t="s">
        <v>30661</v>
      </c>
      <c r="J2024" s="450" t="s">
        <v>30662</v>
      </c>
      <c r="K2024" s="450"/>
    </row>
    <row r="2025" spans="1:11">
      <c r="A2025" s="451" t="s">
        <v>4060</v>
      </c>
      <c r="B2025" s="451"/>
      <c r="C2025" s="451" t="s">
        <v>2954</v>
      </c>
      <c r="D2025" s="451"/>
      <c r="E2025" s="451"/>
      <c r="F2025" s="451"/>
      <c r="G2025" s="451" t="s">
        <v>22882</v>
      </c>
      <c r="H2025" s="451" t="s">
        <v>22883</v>
      </c>
      <c r="I2025" s="451"/>
      <c r="J2025" s="451" t="s">
        <v>22939</v>
      </c>
      <c r="K2025" s="451"/>
    </row>
    <row r="2026" spans="1:11">
      <c r="A2026" s="450" t="s">
        <v>4061</v>
      </c>
      <c r="B2026" s="450"/>
      <c r="C2026" s="450" t="s">
        <v>4062</v>
      </c>
      <c r="D2026" s="450"/>
      <c r="E2026" s="450"/>
      <c r="F2026" s="450"/>
      <c r="G2026" s="450" t="s">
        <v>22877</v>
      </c>
      <c r="H2026" s="450" t="s">
        <v>22878</v>
      </c>
      <c r="I2026" s="450" t="s">
        <v>23721</v>
      </c>
      <c r="J2026" s="450" t="s">
        <v>23185</v>
      </c>
      <c r="K2026" s="450"/>
    </row>
    <row r="2027" spans="1:11">
      <c r="A2027" s="451" t="s">
        <v>4063</v>
      </c>
      <c r="B2027" s="451" t="s">
        <v>4064</v>
      </c>
      <c r="C2027" s="451" t="s">
        <v>4065</v>
      </c>
      <c r="D2027" s="451"/>
      <c r="E2027" s="451"/>
      <c r="F2027" s="451"/>
      <c r="G2027" s="451" t="s">
        <v>22877</v>
      </c>
      <c r="H2027" s="451" t="s">
        <v>22878</v>
      </c>
      <c r="I2027" s="451" t="s">
        <v>23722</v>
      </c>
      <c r="J2027" s="451" t="s">
        <v>23723</v>
      </c>
      <c r="K2027" s="451"/>
    </row>
    <row r="2028" spans="1:11">
      <c r="A2028" s="450" t="s">
        <v>4066</v>
      </c>
      <c r="B2028" s="450"/>
      <c r="C2028" s="450" t="s">
        <v>4067</v>
      </c>
      <c r="D2028" s="450"/>
      <c r="E2028" s="450"/>
      <c r="F2028" s="450"/>
      <c r="G2028" s="450" t="s">
        <v>22877</v>
      </c>
      <c r="H2028" s="450" t="s">
        <v>22878</v>
      </c>
      <c r="I2028" s="450" t="s">
        <v>33637</v>
      </c>
      <c r="J2028" s="450" t="s">
        <v>23185</v>
      </c>
      <c r="K2028" s="450"/>
    </row>
    <row r="2029" spans="1:11">
      <c r="A2029" s="451" t="s">
        <v>33638</v>
      </c>
      <c r="B2029" s="451"/>
      <c r="C2029" s="451" t="s">
        <v>1213</v>
      </c>
      <c r="D2029" s="451"/>
      <c r="E2029" s="451"/>
      <c r="F2029" s="451"/>
      <c r="G2029" s="451" t="s">
        <v>22877</v>
      </c>
      <c r="H2029" s="451" t="s">
        <v>22878</v>
      </c>
      <c r="I2029" s="451" t="s">
        <v>33639</v>
      </c>
      <c r="J2029" s="451" t="s">
        <v>22943</v>
      </c>
      <c r="K2029" s="451"/>
    </row>
    <row r="2030" spans="1:11">
      <c r="A2030" s="450" t="s">
        <v>4068</v>
      </c>
      <c r="B2030" s="450"/>
      <c r="C2030" s="450" t="s">
        <v>1213</v>
      </c>
      <c r="D2030" s="450"/>
      <c r="E2030" s="450"/>
      <c r="F2030" s="450"/>
      <c r="G2030" s="450" t="s">
        <v>22877</v>
      </c>
      <c r="H2030" s="450" t="s">
        <v>22878</v>
      </c>
      <c r="I2030" s="450" t="s">
        <v>33639</v>
      </c>
      <c r="J2030" s="450" t="s">
        <v>22943</v>
      </c>
      <c r="K2030" s="450"/>
    </row>
    <row r="2031" spans="1:11">
      <c r="A2031" s="451" t="s">
        <v>33640</v>
      </c>
      <c r="B2031" s="451"/>
      <c r="C2031" s="451" t="s">
        <v>4070</v>
      </c>
      <c r="D2031" s="451"/>
      <c r="E2031" s="451"/>
      <c r="F2031" s="451"/>
      <c r="G2031" s="451" t="s">
        <v>22882</v>
      </c>
      <c r="H2031" s="451" t="s">
        <v>22883</v>
      </c>
      <c r="I2031" s="451"/>
      <c r="J2031" s="451" t="s">
        <v>22948</v>
      </c>
      <c r="K2031" s="451"/>
    </row>
    <row r="2032" spans="1:11">
      <c r="A2032" s="450" t="s">
        <v>4069</v>
      </c>
      <c r="B2032" s="450"/>
      <c r="C2032" s="450" t="s">
        <v>4070</v>
      </c>
      <c r="D2032" s="450"/>
      <c r="E2032" s="450"/>
      <c r="F2032" s="450"/>
      <c r="G2032" s="450" t="s">
        <v>30663</v>
      </c>
      <c r="H2032" s="450" t="s">
        <v>22883</v>
      </c>
      <c r="I2032" s="450"/>
      <c r="J2032" s="450" t="s">
        <v>30664</v>
      </c>
      <c r="K2032" s="450"/>
    </row>
    <row r="2033" spans="1:11">
      <c r="A2033" s="451" t="s">
        <v>4071</v>
      </c>
      <c r="B2033" s="451" t="s">
        <v>4072</v>
      </c>
      <c r="C2033" s="451" t="s">
        <v>4073</v>
      </c>
      <c r="D2033" s="451" t="s">
        <v>4074</v>
      </c>
      <c r="E2033" s="451"/>
      <c r="F2033" s="451"/>
      <c r="G2033" s="451" t="s">
        <v>22877</v>
      </c>
      <c r="H2033" s="451" t="s">
        <v>22878</v>
      </c>
      <c r="I2033" s="451" t="s">
        <v>4074</v>
      </c>
      <c r="J2033" s="451" t="s">
        <v>33641</v>
      </c>
      <c r="K2033" s="451"/>
    </row>
    <row r="2034" spans="1:11">
      <c r="A2034" s="450" t="s">
        <v>4071</v>
      </c>
      <c r="B2034" s="450" t="s">
        <v>4072</v>
      </c>
      <c r="C2034" s="450" t="s">
        <v>4073</v>
      </c>
      <c r="D2034" s="450" t="s">
        <v>4074</v>
      </c>
      <c r="E2034" s="450" t="s">
        <v>4075</v>
      </c>
      <c r="F2034" s="450"/>
      <c r="G2034" s="450" t="s">
        <v>22877</v>
      </c>
      <c r="H2034" s="450" t="s">
        <v>22878</v>
      </c>
      <c r="I2034" s="450" t="s">
        <v>4074</v>
      </c>
      <c r="J2034" s="450" t="s">
        <v>30665</v>
      </c>
      <c r="K2034" s="450"/>
    </row>
    <row r="2035" spans="1:11">
      <c r="A2035" s="451" t="s">
        <v>4076</v>
      </c>
      <c r="B2035" s="451" t="s">
        <v>22871</v>
      </c>
      <c r="C2035" s="451" t="s">
        <v>4078</v>
      </c>
      <c r="D2035" s="451" t="s">
        <v>4079</v>
      </c>
      <c r="E2035" s="451"/>
      <c r="F2035" s="451"/>
      <c r="G2035" s="451" t="s">
        <v>22877</v>
      </c>
      <c r="H2035" s="451" t="s">
        <v>22878</v>
      </c>
      <c r="I2035" s="451" t="s">
        <v>4079</v>
      </c>
      <c r="J2035" s="451" t="s">
        <v>23724</v>
      </c>
      <c r="K2035" s="451"/>
    </row>
    <row r="2036" spans="1:11">
      <c r="A2036" s="450" t="s">
        <v>4076</v>
      </c>
      <c r="B2036" s="450" t="s">
        <v>4077</v>
      </c>
      <c r="C2036" s="450" t="s">
        <v>4078</v>
      </c>
      <c r="D2036" s="450" t="s">
        <v>4079</v>
      </c>
      <c r="E2036" s="450" t="s">
        <v>4080</v>
      </c>
      <c r="F2036" s="450"/>
      <c r="G2036" s="450" t="s">
        <v>22877</v>
      </c>
      <c r="H2036" s="450" t="s">
        <v>22878</v>
      </c>
      <c r="I2036" s="450" t="s">
        <v>30666</v>
      </c>
      <c r="J2036" s="450" t="s">
        <v>30667</v>
      </c>
      <c r="K2036" s="450"/>
    </row>
    <row r="2037" spans="1:11">
      <c r="A2037" s="451" t="s">
        <v>4081</v>
      </c>
      <c r="B2037" s="451"/>
      <c r="C2037" s="451" t="s">
        <v>4082</v>
      </c>
      <c r="D2037" s="451"/>
      <c r="E2037" s="451"/>
      <c r="F2037" s="451"/>
      <c r="G2037" s="451" t="s">
        <v>22882</v>
      </c>
      <c r="H2037" s="451" t="s">
        <v>22883</v>
      </c>
      <c r="I2037" s="451"/>
      <c r="J2037" s="451" t="s">
        <v>22942</v>
      </c>
      <c r="K2037" s="451"/>
    </row>
    <row r="2038" spans="1:11">
      <c r="A2038" s="450" t="s">
        <v>4083</v>
      </c>
      <c r="B2038" s="450"/>
      <c r="C2038" s="450" t="s">
        <v>4084</v>
      </c>
      <c r="D2038" s="450"/>
      <c r="E2038" s="450"/>
      <c r="F2038" s="450"/>
      <c r="G2038" s="450" t="s">
        <v>22877</v>
      </c>
      <c r="H2038" s="450" t="s">
        <v>22878</v>
      </c>
      <c r="I2038" s="450"/>
      <c r="J2038" s="450" t="s">
        <v>23185</v>
      </c>
      <c r="K2038" s="450"/>
    </row>
    <row r="2039" spans="1:11">
      <c r="A2039" s="451" t="s">
        <v>4085</v>
      </c>
      <c r="B2039" s="451"/>
      <c r="C2039" s="451" t="s">
        <v>4086</v>
      </c>
      <c r="D2039" s="451"/>
      <c r="E2039" s="451"/>
      <c r="F2039" s="451"/>
      <c r="G2039" s="451" t="s">
        <v>22882</v>
      </c>
      <c r="H2039" s="451" t="s">
        <v>22883</v>
      </c>
      <c r="I2039" s="451"/>
      <c r="J2039" s="451" t="s">
        <v>23185</v>
      </c>
      <c r="K2039" s="451"/>
    </row>
    <row r="2040" spans="1:11">
      <c r="A2040" s="450" t="s">
        <v>33642</v>
      </c>
      <c r="B2040" s="450" t="s">
        <v>4088</v>
      </c>
      <c r="C2040" s="450" t="s">
        <v>4089</v>
      </c>
      <c r="D2040" s="450" t="s">
        <v>4090</v>
      </c>
      <c r="E2040" s="450"/>
      <c r="F2040" s="450"/>
      <c r="G2040" s="450" t="s">
        <v>22882</v>
      </c>
      <c r="H2040" s="450" t="s">
        <v>22883</v>
      </c>
      <c r="I2040" s="450" t="s">
        <v>4090</v>
      </c>
      <c r="J2040" s="450" t="s">
        <v>33643</v>
      </c>
      <c r="K2040" s="450"/>
    </row>
    <row r="2041" spans="1:11">
      <c r="A2041" s="451" t="s">
        <v>4087</v>
      </c>
      <c r="B2041" s="451" t="s">
        <v>4088</v>
      </c>
      <c r="C2041" s="451" t="s">
        <v>4089</v>
      </c>
      <c r="D2041" s="451" t="s">
        <v>4090</v>
      </c>
      <c r="E2041" s="451" t="s">
        <v>4091</v>
      </c>
      <c r="F2041" s="451"/>
      <c r="G2041" s="451" t="s">
        <v>22877</v>
      </c>
      <c r="H2041" s="451" t="s">
        <v>22878</v>
      </c>
      <c r="I2041" s="451" t="s">
        <v>4090</v>
      </c>
      <c r="J2041" s="451" t="s">
        <v>30668</v>
      </c>
      <c r="K2041" s="451"/>
    </row>
    <row r="2042" spans="1:11">
      <c r="A2042" s="450" t="s">
        <v>4092</v>
      </c>
      <c r="B2042" s="450" t="s">
        <v>4093</v>
      </c>
      <c r="C2042" s="450" t="s">
        <v>4094</v>
      </c>
      <c r="D2042" s="450" t="s">
        <v>4095</v>
      </c>
      <c r="E2042" s="450"/>
      <c r="F2042" s="450"/>
      <c r="G2042" s="450" t="s">
        <v>22882</v>
      </c>
      <c r="H2042" s="450" t="s">
        <v>22883</v>
      </c>
      <c r="I2042" s="450" t="s">
        <v>23727</v>
      </c>
      <c r="J2042" s="450" t="s">
        <v>23728</v>
      </c>
      <c r="K2042" s="450"/>
    </row>
    <row r="2043" spans="1:11">
      <c r="A2043" s="451" t="s">
        <v>4092</v>
      </c>
      <c r="B2043" s="451" t="s">
        <v>4093</v>
      </c>
      <c r="C2043" s="451" t="s">
        <v>4094</v>
      </c>
      <c r="D2043" s="451" t="s">
        <v>4095</v>
      </c>
      <c r="E2043" s="451" t="s">
        <v>4096</v>
      </c>
      <c r="F2043" s="451"/>
      <c r="G2043" s="451" t="s">
        <v>22877</v>
      </c>
      <c r="H2043" s="451" t="s">
        <v>22878</v>
      </c>
      <c r="I2043" s="451" t="s">
        <v>23727</v>
      </c>
      <c r="J2043" s="451" t="s">
        <v>23728</v>
      </c>
      <c r="K2043" s="451"/>
    </row>
    <row r="2044" spans="1:11">
      <c r="A2044" s="450" t="s">
        <v>33644</v>
      </c>
      <c r="B2044" s="450"/>
      <c r="C2044" s="450" t="s">
        <v>4098</v>
      </c>
      <c r="D2044" s="450"/>
      <c r="E2044" s="450"/>
      <c r="F2044" s="450"/>
      <c r="G2044" s="450" t="s">
        <v>22882</v>
      </c>
      <c r="H2044" s="450" t="s">
        <v>22883</v>
      </c>
      <c r="I2044" s="450" t="s">
        <v>33645</v>
      </c>
      <c r="J2044" s="450" t="s">
        <v>22948</v>
      </c>
      <c r="K2044" s="450"/>
    </row>
    <row r="2045" spans="1:11">
      <c r="A2045" s="451" t="s">
        <v>4097</v>
      </c>
      <c r="B2045" s="451"/>
      <c r="C2045" s="451" t="s">
        <v>4098</v>
      </c>
      <c r="D2045" s="451"/>
      <c r="E2045" s="451"/>
      <c r="F2045" s="451"/>
      <c r="G2045" s="451" t="s">
        <v>22877</v>
      </c>
      <c r="H2045" s="451" t="s">
        <v>22878</v>
      </c>
      <c r="I2045" s="451" t="s">
        <v>33645</v>
      </c>
      <c r="J2045" s="451" t="s">
        <v>22943</v>
      </c>
      <c r="K2045" s="451"/>
    </row>
    <row r="2046" spans="1:11">
      <c r="A2046" s="450" t="s">
        <v>33646</v>
      </c>
      <c r="B2046" s="450"/>
      <c r="C2046" s="450" t="s">
        <v>1215</v>
      </c>
      <c r="D2046" s="450"/>
      <c r="E2046" s="450"/>
      <c r="F2046" s="450"/>
      <c r="G2046" s="450" t="s">
        <v>22877</v>
      </c>
      <c r="H2046" s="450" t="s">
        <v>22878</v>
      </c>
      <c r="I2046" s="450" t="s">
        <v>33647</v>
      </c>
      <c r="J2046" s="450" t="s">
        <v>33648</v>
      </c>
      <c r="K2046" s="450"/>
    </row>
    <row r="2047" spans="1:11">
      <c r="A2047" s="451" t="s">
        <v>33649</v>
      </c>
      <c r="B2047" s="451"/>
      <c r="C2047" s="451" t="s">
        <v>4101</v>
      </c>
      <c r="D2047" s="451"/>
      <c r="E2047" s="451"/>
      <c r="F2047" s="451"/>
      <c r="G2047" s="451" t="s">
        <v>22877</v>
      </c>
      <c r="H2047" s="451" t="s">
        <v>22878</v>
      </c>
      <c r="I2047" s="451" t="s">
        <v>33650</v>
      </c>
      <c r="J2047" s="451" t="s">
        <v>23729</v>
      </c>
      <c r="K2047" s="451"/>
    </row>
    <row r="2048" spans="1:11">
      <c r="A2048" s="450" t="s">
        <v>4099</v>
      </c>
      <c r="B2048" s="450"/>
      <c r="C2048" s="450" t="s">
        <v>1215</v>
      </c>
      <c r="D2048" s="450"/>
      <c r="E2048" s="450"/>
      <c r="F2048" s="450"/>
      <c r="G2048" s="450" t="s">
        <v>22877</v>
      </c>
      <c r="H2048" s="450" t="s">
        <v>22878</v>
      </c>
      <c r="I2048" s="450" t="s">
        <v>33651</v>
      </c>
      <c r="J2048" s="450" t="s">
        <v>22943</v>
      </c>
      <c r="K2048" s="450"/>
    </row>
    <row r="2049" spans="1:11">
      <c r="A2049" s="451" t="s">
        <v>4100</v>
      </c>
      <c r="B2049" s="451"/>
      <c r="C2049" s="451" t="s">
        <v>4101</v>
      </c>
      <c r="D2049" s="451"/>
      <c r="E2049" s="451"/>
      <c r="F2049" s="451"/>
      <c r="G2049" s="451" t="s">
        <v>22877</v>
      </c>
      <c r="H2049" s="451" t="s">
        <v>22878</v>
      </c>
      <c r="I2049" s="451" t="s">
        <v>33652</v>
      </c>
      <c r="J2049" s="451" t="s">
        <v>22943</v>
      </c>
      <c r="K2049" s="451"/>
    </row>
    <row r="2050" spans="1:11">
      <c r="A2050" s="450" t="s">
        <v>23730</v>
      </c>
      <c r="B2050" s="450"/>
      <c r="C2050" s="450" t="s">
        <v>4106</v>
      </c>
      <c r="D2050" s="450"/>
      <c r="E2050" s="450"/>
      <c r="F2050" s="450"/>
      <c r="G2050" s="450" t="s">
        <v>22877</v>
      </c>
      <c r="H2050" s="450" t="s">
        <v>22878</v>
      </c>
      <c r="I2050" s="450" t="s">
        <v>23731</v>
      </c>
      <c r="J2050" s="450" t="s">
        <v>23729</v>
      </c>
      <c r="K2050" s="450"/>
    </row>
    <row r="2051" spans="1:11">
      <c r="A2051" s="451" t="s">
        <v>4102</v>
      </c>
      <c r="B2051" s="451" t="s">
        <v>4103</v>
      </c>
      <c r="C2051" s="451" t="s">
        <v>4104</v>
      </c>
      <c r="D2051" s="451"/>
      <c r="E2051" s="451"/>
      <c r="F2051" s="451"/>
      <c r="G2051" s="451" t="s">
        <v>22877</v>
      </c>
      <c r="H2051" s="451" t="s">
        <v>22878</v>
      </c>
      <c r="I2051" s="451" t="s">
        <v>23732</v>
      </c>
      <c r="J2051" s="451" t="s">
        <v>23733</v>
      </c>
      <c r="K2051" s="451"/>
    </row>
    <row r="2052" spans="1:11">
      <c r="A2052" s="450" t="s">
        <v>4105</v>
      </c>
      <c r="B2052" s="450"/>
      <c r="C2052" s="450" t="s">
        <v>4106</v>
      </c>
      <c r="D2052" s="450"/>
      <c r="E2052" s="450"/>
      <c r="F2052" s="450"/>
      <c r="G2052" s="450" t="s">
        <v>22877</v>
      </c>
      <c r="H2052" s="450" t="s">
        <v>22878</v>
      </c>
      <c r="I2052" s="450" t="s">
        <v>30669</v>
      </c>
      <c r="J2052" s="450" t="s">
        <v>22943</v>
      </c>
      <c r="K2052" s="450"/>
    </row>
    <row r="2053" spans="1:11">
      <c r="A2053" s="451" t="s">
        <v>4107</v>
      </c>
      <c r="B2053" s="451" t="s">
        <v>23734</v>
      </c>
      <c r="C2053" s="451" t="s">
        <v>4109</v>
      </c>
      <c r="D2053" s="451" t="s">
        <v>4110</v>
      </c>
      <c r="E2053" s="451"/>
      <c r="F2053" s="451"/>
      <c r="G2053" s="451" t="s">
        <v>22882</v>
      </c>
      <c r="H2053" s="451" t="s">
        <v>22883</v>
      </c>
      <c r="I2053" s="451" t="s">
        <v>23735</v>
      </c>
      <c r="J2053" s="451" t="s">
        <v>23736</v>
      </c>
      <c r="K2053" s="451"/>
    </row>
    <row r="2054" spans="1:11">
      <c r="A2054" s="450" t="s">
        <v>4107</v>
      </c>
      <c r="B2054" s="450" t="s">
        <v>4108</v>
      </c>
      <c r="C2054" s="450" t="s">
        <v>4109</v>
      </c>
      <c r="D2054" s="450" t="s">
        <v>4110</v>
      </c>
      <c r="E2054" s="450"/>
      <c r="F2054" s="450"/>
      <c r="G2054" s="450" t="s">
        <v>22882</v>
      </c>
      <c r="H2054" s="450" t="s">
        <v>22883</v>
      </c>
      <c r="I2054" s="450" t="s">
        <v>4110</v>
      </c>
      <c r="J2054" s="450" t="s">
        <v>30670</v>
      </c>
      <c r="K2054" s="450"/>
    </row>
    <row r="2055" spans="1:11">
      <c r="A2055" s="451" t="s">
        <v>23737</v>
      </c>
      <c r="B2055" s="451" t="s">
        <v>4112</v>
      </c>
      <c r="C2055" s="451" t="s">
        <v>2243</v>
      </c>
      <c r="D2055" s="451" t="s">
        <v>4113</v>
      </c>
      <c r="E2055" s="451"/>
      <c r="F2055" s="451"/>
      <c r="G2055" s="451" t="s">
        <v>22882</v>
      </c>
      <c r="H2055" s="451" t="s">
        <v>22883</v>
      </c>
      <c r="I2055" s="451" t="s">
        <v>4113</v>
      </c>
      <c r="J2055" s="451" t="s">
        <v>23738</v>
      </c>
      <c r="K2055" s="451"/>
    </row>
    <row r="2056" spans="1:11">
      <c r="A2056" s="450" t="s">
        <v>23739</v>
      </c>
      <c r="B2056" s="450" t="s">
        <v>4115</v>
      </c>
      <c r="C2056" s="450" t="s">
        <v>1310</v>
      </c>
      <c r="D2056" s="450" t="s">
        <v>4116</v>
      </c>
      <c r="E2056" s="450"/>
      <c r="F2056" s="450"/>
      <c r="G2056" s="450" t="s">
        <v>22882</v>
      </c>
      <c r="H2056" s="450" t="s">
        <v>22883</v>
      </c>
      <c r="I2056" s="450" t="s">
        <v>4116</v>
      </c>
      <c r="J2056" s="450" t="s">
        <v>23740</v>
      </c>
      <c r="K2056" s="450"/>
    </row>
    <row r="2057" spans="1:11">
      <c r="A2057" s="451" t="s">
        <v>4111</v>
      </c>
      <c r="B2057" s="451" t="s">
        <v>4112</v>
      </c>
      <c r="C2057" s="451" t="s">
        <v>2243</v>
      </c>
      <c r="D2057" s="451" t="s">
        <v>4113</v>
      </c>
      <c r="E2057" s="451"/>
      <c r="F2057" s="451"/>
      <c r="G2057" s="451" t="s">
        <v>22877</v>
      </c>
      <c r="H2057" s="451" t="s">
        <v>22878</v>
      </c>
      <c r="I2057" s="451" t="s">
        <v>4113</v>
      </c>
      <c r="J2057" s="451" t="s">
        <v>30671</v>
      </c>
      <c r="K2057" s="451"/>
    </row>
    <row r="2058" spans="1:11">
      <c r="A2058" s="450" t="s">
        <v>4114</v>
      </c>
      <c r="B2058" s="450" t="s">
        <v>4115</v>
      </c>
      <c r="C2058" s="450" t="s">
        <v>1310</v>
      </c>
      <c r="D2058" s="450" t="s">
        <v>4116</v>
      </c>
      <c r="E2058" s="450" t="s">
        <v>4117</v>
      </c>
      <c r="F2058" s="450"/>
      <c r="G2058" s="450" t="s">
        <v>22877</v>
      </c>
      <c r="H2058" s="450" t="s">
        <v>22878</v>
      </c>
      <c r="I2058" s="450" t="s">
        <v>30672</v>
      </c>
      <c r="J2058" s="450" t="s">
        <v>30673</v>
      </c>
      <c r="K2058" s="450"/>
    </row>
    <row r="2059" spans="1:11">
      <c r="A2059" s="451" t="s">
        <v>33653</v>
      </c>
      <c r="B2059" s="451"/>
      <c r="C2059" s="451" t="s">
        <v>4119</v>
      </c>
      <c r="D2059" s="451"/>
      <c r="E2059" s="451"/>
      <c r="F2059" s="451"/>
      <c r="G2059" s="451" t="s">
        <v>22877</v>
      </c>
      <c r="H2059" s="451" t="s">
        <v>22878</v>
      </c>
      <c r="I2059" s="451" t="s">
        <v>33654</v>
      </c>
      <c r="J2059" s="451" t="s">
        <v>23741</v>
      </c>
      <c r="K2059" s="451"/>
    </row>
    <row r="2060" spans="1:11">
      <c r="A2060" s="450" t="s">
        <v>4118</v>
      </c>
      <c r="B2060" s="450"/>
      <c r="C2060" s="450" t="s">
        <v>4119</v>
      </c>
      <c r="D2060" s="450"/>
      <c r="E2060" s="450"/>
      <c r="F2060" s="450"/>
      <c r="G2060" s="450" t="s">
        <v>22877</v>
      </c>
      <c r="H2060" s="450" t="s">
        <v>22878</v>
      </c>
      <c r="I2060" s="450" t="s">
        <v>33655</v>
      </c>
      <c r="J2060" s="450" t="s">
        <v>22943</v>
      </c>
      <c r="K2060" s="450"/>
    </row>
    <row r="2061" spans="1:11">
      <c r="A2061" s="451" t="s">
        <v>33656</v>
      </c>
      <c r="B2061" s="451"/>
      <c r="C2061" s="451" t="s">
        <v>1997</v>
      </c>
      <c r="D2061" s="451"/>
      <c r="E2061" s="451"/>
      <c r="F2061" s="451"/>
      <c r="G2061" s="451" t="s">
        <v>22882</v>
      </c>
      <c r="H2061" s="451" t="s">
        <v>22883</v>
      </c>
      <c r="I2061" s="451" t="s">
        <v>33657</v>
      </c>
      <c r="J2061" s="451" t="s">
        <v>23729</v>
      </c>
      <c r="K2061" s="451"/>
    </row>
    <row r="2062" spans="1:11">
      <c r="A2062" s="450" t="s">
        <v>33658</v>
      </c>
      <c r="B2062" s="450"/>
      <c r="C2062" s="450" t="s">
        <v>4121</v>
      </c>
      <c r="D2062" s="450"/>
      <c r="E2062" s="450"/>
      <c r="F2062" s="450"/>
      <c r="G2062" s="450" t="s">
        <v>22877</v>
      </c>
      <c r="H2062" s="450" t="s">
        <v>22878</v>
      </c>
      <c r="I2062" s="450" t="s">
        <v>33659</v>
      </c>
      <c r="J2062" s="450" t="s">
        <v>23742</v>
      </c>
      <c r="K2062" s="450"/>
    </row>
    <row r="2063" spans="1:11">
      <c r="A2063" s="451" t="s">
        <v>4120</v>
      </c>
      <c r="B2063" s="451"/>
      <c r="C2063" s="451" t="s">
        <v>4121</v>
      </c>
      <c r="D2063" s="451"/>
      <c r="E2063" s="451"/>
      <c r="F2063" s="451"/>
      <c r="G2063" s="451" t="s">
        <v>22877</v>
      </c>
      <c r="H2063" s="451" t="s">
        <v>22878</v>
      </c>
      <c r="I2063" s="451" t="s">
        <v>33659</v>
      </c>
      <c r="J2063" s="451" t="s">
        <v>22943</v>
      </c>
      <c r="K2063" s="451"/>
    </row>
    <row r="2064" spans="1:11">
      <c r="A2064" s="450" t="s">
        <v>4122</v>
      </c>
      <c r="B2064" s="450"/>
      <c r="C2064" s="450" t="s">
        <v>4123</v>
      </c>
      <c r="D2064" s="450"/>
      <c r="E2064" s="450"/>
      <c r="F2064" s="450"/>
      <c r="G2064" s="450" t="s">
        <v>22877</v>
      </c>
      <c r="H2064" s="450" t="s">
        <v>22878</v>
      </c>
      <c r="I2064" s="450" t="s">
        <v>33660</v>
      </c>
      <c r="J2064" s="450" t="s">
        <v>23742</v>
      </c>
      <c r="K2064" s="450"/>
    </row>
    <row r="2065" spans="1:11">
      <c r="A2065" s="451" t="s">
        <v>21529</v>
      </c>
      <c r="B2065" s="451"/>
      <c r="C2065" s="451" t="s">
        <v>4124</v>
      </c>
      <c r="D2065" s="451"/>
      <c r="E2065" s="451"/>
      <c r="F2065" s="451"/>
      <c r="G2065" s="451" t="s">
        <v>22877</v>
      </c>
      <c r="H2065" s="451" t="s">
        <v>22878</v>
      </c>
      <c r="I2065" s="451" t="s">
        <v>23743</v>
      </c>
      <c r="J2065" s="451" t="s">
        <v>22997</v>
      </c>
      <c r="K2065" s="451"/>
    </row>
    <row r="2066" spans="1:11">
      <c r="A2066" s="450" t="s">
        <v>23744</v>
      </c>
      <c r="B2066" s="450" t="s">
        <v>23745</v>
      </c>
      <c r="C2066" s="450" t="s">
        <v>23746</v>
      </c>
      <c r="D2066" s="450"/>
      <c r="E2066" s="450"/>
      <c r="F2066" s="450"/>
      <c r="G2066" s="450" t="s">
        <v>22877</v>
      </c>
      <c r="H2066" s="450" t="s">
        <v>22878</v>
      </c>
      <c r="I2066" s="450" t="s">
        <v>23747</v>
      </c>
      <c r="J2066" s="450" t="s">
        <v>23748</v>
      </c>
      <c r="K2066" s="450"/>
    </row>
    <row r="2067" spans="1:11">
      <c r="A2067" s="451" t="s">
        <v>23749</v>
      </c>
      <c r="B2067" s="451" t="s">
        <v>23750</v>
      </c>
      <c r="C2067" s="451" t="s">
        <v>23751</v>
      </c>
      <c r="D2067" s="451" t="s">
        <v>23752</v>
      </c>
      <c r="E2067" s="451"/>
      <c r="F2067" s="451"/>
      <c r="G2067" s="451" t="s">
        <v>22877</v>
      </c>
      <c r="H2067" s="451" t="s">
        <v>22878</v>
      </c>
      <c r="I2067" s="451" t="s">
        <v>23753</v>
      </c>
      <c r="J2067" s="451" t="s">
        <v>23754</v>
      </c>
      <c r="K2067" s="451"/>
    </row>
    <row r="2068" spans="1:11">
      <c r="A2068" s="450" t="s">
        <v>23755</v>
      </c>
      <c r="B2068" s="450"/>
      <c r="C2068" s="450" t="s">
        <v>3783</v>
      </c>
      <c r="D2068" s="450"/>
      <c r="E2068" s="450"/>
      <c r="F2068" s="450"/>
      <c r="G2068" s="450" t="s">
        <v>22877</v>
      </c>
      <c r="H2068" s="450" t="s">
        <v>22878</v>
      </c>
      <c r="I2068" s="450" t="s">
        <v>23756</v>
      </c>
      <c r="J2068" s="450" t="s">
        <v>23741</v>
      </c>
      <c r="K2068" s="450"/>
    </row>
    <row r="2069" spans="1:11">
      <c r="A2069" s="451" t="s">
        <v>4125</v>
      </c>
      <c r="B2069" s="451" t="s">
        <v>33661</v>
      </c>
      <c r="C2069" s="451" t="s">
        <v>4127</v>
      </c>
      <c r="D2069" s="451"/>
      <c r="E2069" s="451"/>
      <c r="F2069" s="451"/>
      <c r="G2069" s="451" t="s">
        <v>22877</v>
      </c>
      <c r="H2069" s="451" t="s">
        <v>22878</v>
      </c>
      <c r="I2069" s="451" t="s">
        <v>23757</v>
      </c>
      <c r="J2069" s="451" t="s">
        <v>33662</v>
      </c>
      <c r="K2069" s="451"/>
    </row>
    <row r="2070" spans="1:11">
      <c r="A2070" s="450" t="s">
        <v>4125</v>
      </c>
      <c r="B2070" s="450" t="s">
        <v>4126</v>
      </c>
      <c r="C2070" s="450" t="s">
        <v>4127</v>
      </c>
      <c r="D2070" s="450"/>
      <c r="E2070" s="450"/>
      <c r="F2070" s="450"/>
      <c r="G2070" s="450" t="s">
        <v>22877</v>
      </c>
      <c r="H2070" s="450" t="s">
        <v>22878</v>
      </c>
      <c r="I2070" s="450" t="s">
        <v>23757</v>
      </c>
      <c r="J2070" s="450" t="s">
        <v>30674</v>
      </c>
      <c r="K2070" s="450"/>
    </row>
    <row r="2071" spans="1:11">
      <c r="A2071" s="451" t="s">
        <v>33663</v>
      </c>
      <c r="B2071" s="451"/>
      <c r="C2071" s="451" t="s">
        <v>4129</v>
      </c>
      <c r="D2071" s="451"/>
      <c r="E2071" s="451"/>
      <c r="F2071" s="451"/>
      <c r="G2071" s="451" t="s">
        <v>22877</v>
      </c>
      <c r="H2071" s="451" t="s">
        <v>22878</v>
      </c>
      <c r="I2071" s="451" t="s">
        <v>33664</v>
      </c>
      <c r="J2071" s="451" t="s">
        <v>22997</v>
      </c>
      <c r="K2071" s="451"/>
    </row>
    <row r="2072" spans="1:11">
      <c r="A2072" s="450" t="s">
        <v>4128</v>
      </c>
      <c r="B2072" s="450"/>
      <c r="C2072" s="450" t="s">
        <v>4129</v>
      </c>
      <c r="D2072" s="450"/>
      <c r="E2072" s="450"/>
      <c r="F2072" s="450"/>
      <c r="G2072" s="450" t="s">
        <v>22877</v>
      </c>
      <c r="H2072" s="450" t="s">
        <v>22878</v>
      </c>
      <c r="I2072" s="450" t="s">
        <v>33665</v>
      </c>
      <c r="J2072" s="450" t="s">
        <v>23185</v>
      </c>
      <c r="K2072" s="450"/>
    </row>
    <row r="2073" spans="1:11">
      <c r="A2073" s="451" t="s">
        <v>4130</v>
      </c>
      <c r="B2073" s="451"/>
      <c r="C2073" s="451" t="s">
        <v>4131</v>
      </c>
      <c r="D2073" s="451"/>
      <c r="E2073" s="451"/>
      <c r="F2073" s="451"/>
      <c r="G2073" s="451" t="s">
        <v>22877</v>
      </c>
      <c r="H2073" s="451" t="s">
        <v>22878</v>
      </c>
      <c r="I2073" s="451" t="s">
        <v>33666</v>
      </c>
      <c r="J2073" s="451" t="s">
        <v>28870</v>
      </c>
      <c r="K2073" s="451"/>
    </row>
    <row r="2074" spans="1:11">
      <c r="A2074" s="450" t="s">
        <v>33667</v>
      </c>
      <c r="B2074" s="450"/>
      <c r="C2074" s="450" t="s">
        <v>4131</v>
      </c>
      <c r="D2074" s="450"/>
      <c r="E2074" s="450"/>
      <c r="F2074" s="450"/>
      <c r="G2074" s="450" t="s">
        <v>22877</v>
      </c>
      <c r="H2074" s="450" t="s">
        <v>22878</v>
      </c>
      <c r="I2074" s="450" t="s">
        <v>33668</v>
      </c>
      <c r="J2074" s="450" t="s">
        <v>22948</v>
      </c>
      <c r="K2074" s="450"/>
    </row>
    <row r="2075" spans="1:11">
      <c r="A2075" s="451" t="s">
        <v>4132</v>
      </c>
      <c r="B2075" s="451"/>
      <c r="C2075" s="451" t="s">
        <v>4133</v>
      </c>
      <c r="D2075" s="451"/>
      <c r="E2075" s="451"/>
      <c r="F2075" s="451"/>
      <c r="G2075" s="451" t="s">
        <v>22882</v>
      </c>
      <c r="H2075" s="451" t="s">
        <v>22883</v>
      </c>
      <c r="I2075" s="451" t="s">
        <v>33669</v>
      </c>
      <c r="J2075" s="451" t="s">
        <v>22939</v>
      </c>
      <c r="K2075" s="451"/>
    </row>
    <row r="2076" spans="1:11">
      <c r="A2076" s="450" t="s">
        <v>4134</v>
      </c>
      <c r="B2076" s="450"/>
      <c r="C2076" s="450" t="s">
        <v>3013</v>
      </c>
      <c r="D2076" s="450"/>
      <c r="E2076" s="450"/>
      <c r="F2076" s="450"/>
      <c r="G2076" s="450" t="s">
        <v>22877</v>
      </c>
      <c r="H2076" s="450" t="s">
        <v>22878</v>
      </c>
      <c r="I2076" s="450" t="s">
        <v>33670</v>
      </c>
      <c r="J2076" s="450" t="s">
        <v>23729</v>
      </c>
      <c r="K2076" s="450"/>
    </row>
    <row r="2077" spans="1:11">
      <c r="A2077" s="451" t="s">
        <v>33671</v>
      </c>
      <c r="B2077" s="451"/>
      <c r="C2077" s="451" t="s">
        <v>4136</v>
      </c>
      <c r="D2077" s="451"/>
      <c r="E2077" s="451"/>
      <c r="F2077" s="451"/>
      <c r="G2077" s="451" t="s">
        <v>22877</v>
      </c>
      <c r="H2077" s="451" t="s">
        <v>22878</v>
      </c>
      <c r="I2077" s="451" t="s">
        <v>33672</v>
      </c>
      <c r="J2077" s="451" t="s">
        <v>23729</v>
      </c>
      <c r="K2077" s="451"/>
    </row>
    <row r="2078" spans="1:11">
      <c r="A2078" s="450" t="s">
        <v>4135</v>
      </c>
      <c r="B2078" s="450"/>
      <c r="C2078" s="450" t="s">
        <v>4136</v>
      </c>
      <c r="D2078" s="450"/>
      <c r="E2078" s="450"/>
      <c r="F2078" s="450"/>
      <c r="G2078" s="450" t="s">
        <v>22877</v>
      </c>
      <c r="H2078" s="450" t="s">
        <v>22878</v>
      </c>
      <c r="I2078" s="450" t="s">
        <v>33673</v>
      </c>
      <c r="J2078" s="450" t="s">
        <v>23143</v>
      </c>
      <c r="K2078" s="450"/>
    </row>
    <row r="2079" spans="1:11">
      <c r="A2079" s="451" t="s">
        <v>33674</v>
      </c>
      <c r="B2079" s="451"/>
      <c r="C2079" s="451" t="s">
        <v>4138</v>
      </c>
      <c r="D2079" s="451"/>
      <c r="E2079" s="451"/>
      <c r="F2079" s="451"/>
      <c r="G2079" s="451" t="s">
        <v>22877</v>
      </c>
      <c r="H2079" s="451" t="s">
        <v>22878</v>
      </c>
      <c r="I2079" s="451" t="s">
        <v>33675</v>
      </c>
      <c r="J2079" s="451" t="s">
        <v>23758</v>
      </c>
      <c r="K2079" s="451"/>
    </row>
    <row r="2080" spans="1:11">
      <c r="A2080" s="450" t="s">
        <v>4137</v>
      </c>
      <c r="B2080" s="450"/>
      <c r="C2080" s="450" t="s">
        <v>4138</v>
      </c>
      <c r="D2080" s="450"/>
      <c r="E2080" s="450"/>
      <c r="F2080" s="450"/>
      <c r="G2080" s="450" t="s">
        <v>22877</v>
      </c>
      <c r="H2080" s="450" t="s">
        <v>22878</v>
      </c>
      <c r="I2080" s="450" t="s">
        <v>30675</v>
      </c>
      <c r="J2080" s="450" t="s">
        <v>23185</v>
      </c>
      <c r="K2080" s="450"/>
    </row>
    <row r="2081" spans="1:11">
      <c r="A2081" s="451" t="s">
        <v>33676</v>
      </c>
      <c r="B2081" s="451" t="s">
        <v>4140</v>
      </c>
      <c r="C2081" s="451" t="s">
        <v>4141</v>
      </c>
      <c r="D2081" s="451" t="s">
        <v>4142</v>
      </c>
      <c r="E2081" s="451"/>
      <c r="F2081" s="451" t="s">
        <v>4143</v>
      </c>
      <c r="G2081" s="451" t="s">
        <v>22877</v>
      </c>
      <c r="H2081" s="451" t="s">
        <v>22878</v>
      </c>
      <c r="I2081" s="451" t="s">
        <v>4142</v>
      </c>
      <c r="J2081" s="451" t="s">
        <v>33677</v>
      </c>
      <c r="K2081" s="451"/>
    </row>
    <row r="2082" spans="1:11">
      <c r="A2082" s="450" t="s">
        <v>4139</v>
      </c>
      <c r="B2082" s="450" t="s">
        <v>4140</v>
      </c>
      <c r="C2082" s="450" t="s">
        <v>4141</v>
      </c>
      <c r="D2082" s="450" t="s">
        <v>4142</v>
      </c>
      <c r="E2082" s="450"/>
      <c r="F2082" s="450" t="s">
        <v>4143</v>
      </c>
      <c r="G2082" s="450" t="s">
        <v>22877</v>
      </c>
      <c r="H2082" s="450" t="s">
        <v>22878</v>
      </c>
      <c r="I2082" s="450" t="s">
        <v>30676</v>
      </c>
      <c r="J2082" s="450" t="s">
        <v>30677</v>
      </c>
      <c r="K2082" s="450"/>
    </row>
    <row r="2083" spans="1:11">
      <c r="A2083" s="451" t="s">
        <v>33678</v>
      </c>
      <c r="B2083" s="451" t="s">
        <v>4145</v>
      </c>
      <c r="C2083" s="451" t="s">
        <v>4146</v>
      </c>
      <c r="D2083" s="451"/>
      <c r="E2083" s="451"/>
      <c r="F2083" s="451"/>
      <c r="G2083" s="451" t="s">
        <v>22882</v>
      </c>
      <c r="H2083" s="451" t="s">
        <v>22883</v>
      </c>
      <c r="I2083" s="451" t="s">
        <v>33679</v>
      </c>
      <c r="J2083" s="451" t="s">
        <v>33680</v>
      </c>
      <c r="K2083" s="451"/>
    </row>
    <row r="2084" spans="1:11">
      <c r="A2084" s="450" t="s">
        <v>4144</v>
      </c>
      <c r="B2084" s="450" t="s">
        <v>4145</v>
      </c>
      <c r="C2084" s="450" t="s">
        <v>4146</v>
      </c>
      <c r="D2084" s="450"/>
      <c r="E2084" s="450"/>
      <c r="F2084" s="450"/>
      <c r="G2084" s="450" t="s">
        <v>22882</v>
      </c>
      <c r="H2084" s="450" t="s">
        <v>22883</v>
      </c>
      <c r="I2084" s="450" t="s">
        <v>30678</v>
      </c>
      <c r="J2084" s="450" t="s">
        <v>30679</v>
      </c>
      <c r="K2084" s="450"/>
    </row>
    <row r="2085" spans="1:11">
      <c r="A2085" s="451" t="s">
        <v>4147</v>
      </c>
      <c r="B2085" s="451"/>
      <c r="C2085" s="451" t="s">
        <v>4148</v>
      </c>
      <c r="D2085" s="451"/>
      <c r="E2085" s="451"/>
      <c r="F2085" s="451"/>
      <c r="G2085" s="451" t="s">
        <v>22877</v>
      </c>
      <c r="H2085" s="451" t="s">
        <v>22878</v>
      </c>
      <c r="I2085" s="451" t="s">
        <v>33681</v>
      </c>
      <c r="J2085" s="451" t="s">
        <v>22942</v>
      </c>
      <c r="K2085" s="451"/>
    </row>
    <row r="2086" spans="1:11">
      <c r="A2086" s="450" t="s">
        <v>33682</v>
      </c>
      <c r="B2086" s="450"/>
      <c r="C2086" s="450" t="s">
        <v>4148</v>
      </c>
      <c r="D2086" s="450"/>
      <c r="E2086" s="450"/>
      <c r="F2086" s="450"/>
      <c r="G2086" s="450" t="s">
        <v>22877</v>
      </c>
      <c r="H2086" s="450" t="s">
        <v>22878</v>
      </c>
      <c r="I2086" s="450" t="s">
        <v>33683</v>
      </c>
      <c r="J2086" s="450" t="s">
        <v>22948</v>
      </c>
      <c r="K2086" s="450"/>
    </row>
    <row r="2087" spans="1:11">
      <c r="A2087" s="451" t="s">
        <v>4149</v>
      </c>
      <c r="B2087" s="451"/>
      <c r="C2087" s="451" t="s">
        <v>4150</v>
      </c>
      <c r="D2087" s="451"/>
      <c r="E2087" s="451"/>
      <c r="F2087" s="451"/>
      <c r="G2087" s="451" t="s">
        <v>22882</v>
      </c>
      <c r="H2087" s="451" t="s">
        <v>22883</v>
      </c>
      <c r="I2087" s="451"/>
      <c r="J2087" s="451" t="s">
        <v>28871</v>
      </c>
      <c r="K2087" s="451"/>
    </row>
    <row r="2088" spans="1:11">
      <c r="A2088" s="450" t="s">
        <v>4151</v>
      </c>
      <c r="B2088" s="450"/>
      <c r="C2088" s="450" t="s">
        <v>4152</v>
      </c>
      <c r="D2088" s="450"/>
      <c r="E2088" s="450"/>
      <c r="F2088" s="450"/>
      <c r="G2088" s="450" t="s">
        <v>22882</v>
      </c>
      <c r="H2088" s="450" t="s">
        <v>22883</v>
      </c>
      <c r="I2088" s="450"/>
      <c r="J2088" s="450" t="s">
        <v>22997</v>
      </c>
      <c r="K2088" s="450"/>
    </row>
    <row r="2089" spans="1:11">
      <c r="A2089" s="451" t="s">
        <v>33684</v>
      </c>
      <c r="B2089" s="451"/>
      <c r="C2089" s="451" t="s">
        <v>4150</v>
      </c>
      <c r="D2089" s="451"/>
      <c r="E2089" s="451"/>
      <c r="F2089" s="451"/>
      <c r="G2089" s="451" t="s">
        <v>22882</v>
      </c>
      <c r="H2089" s="451" t="s">
        <v>22883</v>
      </c>
      <c r="I2089" s="451"/>
      <c r="J2089" s="451" t="s">
        <v>23741</v>
      </c>
      <c r="K2089" s="451"/>
    </row>
    <row r="2090" spans="1:11">
      <c r="A2090" s="450" t="s">
        <v>23759</v>
      </c>
      <c r="B2090" s="450"/>
      <c r="C2090" s="450" t="s">
        <v>4152</v>
      </c>
      <c r="D2090" s="450"/>
      <c r="E2090" s="450"/>
      <c r="F2090" s="450"/>
      <c r="G2090" s="450" t="s">
        <v>22882</v>
      </c>
      <c r="H2090" s="450" t="s">
        <v>22883</v>
      </c>
      <c r="I2090" s="450"/>
      <c r="J2090" s="450" t="s">
        <v>23729</v>
      </c>
      <c r="K2090" s="450"/>
    </row>
    <row r="2091" spans="1:11">
      <c r="A2091" s="451" t="s">
        <v>4153</v>
      </c>
      <c r="B2091" s="451" t="s">
        <v>4154</v>
      </c>
      <c r="C2091" s="451" t="s">
        <v>4155</v>
      </c>
      <c r="D2091" s="451" t="s">
        <v>4156</v>
      </c>
      <c r="E2091" s="451"/>
      <c r="F2091" s="451"/>
      <c r="G2091" s="451" t="s">
        <v>22877</v>
      </c>
      <c r="H2091" s="451" t="s">
        <v>22878</v>
      </c>
      <c r="I2091" s="451" t="s">
        <v>33685</v>
      </c>
      <c r="J2091" s="451" t="s">
        <v>33686</v>
      </c>
      <c r="K2091" s="451"/>
    </row>
    <row r="2092" spans="1:11">
      <c r="A2092" s="450" t="s">
        <v>4153</v>
      </c>
      <c r="B2092" s="450" t="s">
        <v>4154</v>
      </c>
      <c r="C2092" s="450" t="s">
        <v>4155</v>
      </c>
      <c r="D2092" s="450" t="s">
        <v>4156</v>
      </c>
      <c r="E2092" s="450" t="s">
        <v>4157</v>
      </c>
      <c r="F2092" s="450"/>
      <c r="G2092" s="450" t="s">
        <v>22877</v>
      </c>
      <c r="H2092" s="450" t="s">
        <v>22878</v>
      </c>
      <c r="I2092" s="450" t="s">
        <v>30680</v>
      </c>
      <c r="J2092" s="450" t="s">
        <v>30681</v>
      </c>
      <c r="K2092" s="450"/>
    </row>
    <row r="2093" spans="1:11">
      <c r="A2093" s="451" t="s">
        <v>23760</v>
      </c>
      <c r="B2093" s="451" t="s">
        <v>23761</v>
      </c>
      <c r="C2093" s="451" t="s">
        <v>23762</v>
      </c>
      <c r="D2093" s="451"/>
      <c r="E2093" s="451"/>
      <c r="F2093" s="451"/>
      <c r="G2093" s="451" t="s">
        <v>22877</v>
      </c>
      <c r="H2093" s="451" t="s">
        <v>22878</v>
      </c>
      <c r="I2093" s="451" t="s">
        <v>23763</v>
      </c>
      <c r="J2093" s="451" t="s">
        <v>23764</v>
      </c>
      <c r="K2093" s="451"/>
    </row>
    <row r="2094" spans="1:11">
      <c r="A2094" s="450" t="s">
        <v>4158</v>
      </c>
      <c r="B2094" s="450" t="s">
        <v>4159</v>
      </c>
      <c r="C2094" s="450" t="s">
        <v>4160</v>
      </c>
      <c r="D2094" s="450" t="s">
        <v>4161</v>
      </c>
      <c r="E2094" s="450"/>
      <c r="F2094" s="450"/>
      <c r="G2094" s="450" t="s">
        <v>22882</v>
      </c>
      <c r="H2094" s="450" t="s">
        <v>22883</v>
      </c>
      <c r="I2094" s="450" t="s">
        <v>4161</v>
      </c>
      <c r="J2094" s="450" t="s">
        <v>33687</v>
      </c>
      <c r="K2094" s="450"/>
    </row>
    <row r="2095" spans="1:11">
      <c r="A2095" s="451" t="s">
        <v>4158</v>
      </c>
      <c r="B2095" s="451" t="s">
        <v>4159</v>
      </c>
      <c r="C2095" s="451" t="s">
        <v>4160</v>
      </c>
      <c r="D2095" s="451" t="s">
        <v>4161</v>
      </c>
      <c r="E2095" s="451" t="s">
        <v>4162</v>
      </c>
      <c r="F2095" s="451"/>
      <c r="G2095" s="451" t="s">
        <v>22882</v>
      </c>
      <c r="H2095" s="451" t="s">
        <v>22883</v>
      </c>
      <c r="I2095" s="451" t="s">
        <v>4161</v>
      </c>
      <c r="J2095" s="451" t="s">
        <v>30682</v>
      </c>
      <c r="K2095" s="451"/>
    </row>
    <row r="2096" spans="1:11">
      <c r="A2096" s="450" t="s">
        <v>4163</v>
      </c>
      <c r="B2096" s="450"/>
      <c r="C2096" s="450" t="s">
        <v>4164</v>
      </c>
      <c r="D2096" s="450"/>
      <c r="E2096" s="450"/>
      <c r="F2096" s="450"/>
      <c r="G2096" s="450" t="s">
        <v>22877</v>
      </c>
      <c r="H2096" s="450" t="s">
        <v>22878</v>
      </c>
      <c r="I2096" s="450" t="s">
        <v>23765</v>
      </c>
      <c r="J2096" s="450" t="s">
        <v>23184</v>
      </c>
      <c r="K2096" s="450"/>
    </row>
    <row r="2097" spans="1:11">
      <c r="A2097" s="451" t="s">
        <v>33688</v>
      </c>
      <c r="B2097" s="451" t="s">
        <v>4166</v>
      </c>
      <c r="C2097" s="451" t="s">
        <v>4167</v>
      </c>
      <c r="D2097" s="451" t="s">
        <v>4168</v>
      </c>
      <c r="E2097" s="451"/>
      <c r="F2097" s="451"/>
      <c r="G2097" s="451" t="s">
        <v>22877</v>
      </c>
      <c r="H2097" s="451" t="s">
        <v>22878</v>
      </c>
      <c r="I2097" s="451" t="s">
        <v>4168</v>
      </c>
      <c r="J2097" s="451" t="s">
        <v>33689</v>
      </c>
      <c r="K2097" s="451"/>
    </row>
    <row r="2098" spans="1:11">
      <c r="A2098" s="450" t="s">
        <v>4165</v>
      </c>
      <c r="B2098" s="450" t="s">
        <v>4166</v>
      </c>
      <c r="C2098" s="450" t="s">
        <v>4167</v>
      </c>
      <c r="D2098" s="450" t="s">
        <v>4168</v>
      </c>
      <c r="E2098" s="450" t="s">
        <v>4169</v>
      </c>
      <c r="F2098" s="450"/>
      <c r="G2098" s="450" t="s">
        <v>22877</v>
      </c>
      <c r="H2098" s="450" t="s">
        <v>22878</v>
      </c>
      <c r="I2098" s="450" t="s">
        <v>4168</v>
      </c>
      <c r="J2098" s="450" t="s">
        <v>30683</v>
      </c>
      <c r="K2098" s="450"/>
    </row>
    <row r="2099" spans="1:11">
      <c r="A2099" s="451" t="s">
        <v>20371</v>
      </c>
      <c r="B2099" s="451" t="s">
        <v>33690</v>
      </c>
      <c r="C2099" s="451" t="s">
        <v>33691</v>
      </c>
      <c r="D2099" s="451" t="s">
        <v>23766</v>
      </c>
      <c r="E2099" s="451"/>
      <c r="F2099" s="451" t="s">
        <v>33692</v>
      </c>
      <c r="G2099" s="451" t="s">
        <v>22882</v>
      </c>
      <c r="H2099" s="451" t="s">
        <v>22883</v>
      </c>
      <c r="I2099" s="451" t="s">
        <v>23766</v>
      </c>
      <c r="J2099" s="451" t="s">
        <v>33693</v>
      </c>
      <c r="K2099" s="451"/>
    </row>
    <row r="2100" spans="1:11">
      <c r="A2100" s="450" t="s">
        <v>20371</v>
      </c>
      <c r="B2100" s="450" t="s">
        <v>20369</v>
      </c>
      <c r="C2100" s="450" t="s">
        <v>20368</v>
      </c>
      <c r="D2100" s="450" t="s">
        <v>20370</v>
      </c>
      <c r="E2100" s="450"/>
      <c r="F2100" s="450"/>
      <c r="G2100" s="450" t="s">
        <v>22882</v>
      </c>
      <c r="H2100" s="450" t="s">
        <v>22883</v>
      </c>
      <c r="I2100" s="450" t="s">
        <v>23766</v>
      </c>
      <c r="J2100" s="450" t="s">
        <v>30684</v>
      </c>
      <c r="K2100" s="450"/>
    </row>
    <row r="2101" spans="1:11">
      <c r="A2101" s="451" t="s">
        <v>23767</v>
      </c>
      <c r="B2101" s="451" t="s">
        <v>23768</v>
      </c>
      <c r="C2101" s="451" t="s">
        <v>23769</v>
      </c>
      <c r="D2101" s="451"/>
      <c r="E2101" s="451"/>
      <c r="F2101" s="451" t="s">
        <v>23770</v>
      </c>
      <c r="G2101" s="451" t="s">
        <v>22877</v>
      </c>
      <c r="H2101" s="451" t="s">
        <v>22878</v>
      </c>
      <c r="I2101" s="451" t="s">
        <v>23771</v>
      </c>
      <c r="J2101" s="451" t="s">
        <v>23772</v>
      </c>
      <c r="K2101" s="451"/>
    </row>
    <row r="2102" spans="1:11">
      <c r="A2102" s="450" t="s">
        <v>4170</v>
      </c>
      <c r="B2102" s="450" t="s">
        <v>23773</v>
      </c>
      <c r="C2102" s="450" t="s">
        <v>4172</v>
      </c>
      <c r="D2102" s="450"/>
      <c r="E2102" s="450"/>
      <c r="F2102" s="450"/>
      <c r="G2102" s="450" t="s">
        <v>22877</v>
      </c>
      <c r="H2102" s="450" t="s">
        <v>22878</v>
      </c>
      <c r="I2102" s="450" t="s">
        <v>23774</v>
      </c>
      <c r="J2102" s="450" t="s">
        <v>23775</v>
      </c>
      <c r="K2102" s="450"/>
    </row>
    <row r="2103" spans="1:11">
      <c r="A2103" s="451" t="s">
        <v>4170</v>
      </c>
      <c r="B2103" s="451" t="s">
        <v>4171</v>
      </c>
      <c r="C2103" s="451" t="s">
        <v>4172</v>
      </c>
      <c r="D2103" s="451"/>
      <c r="E2103" s="451"/>
      <c r="F2103" s="451"/>
      <c r="G2103" s="451" t="s">
        <v>22877</v>
      </c>
      <c r="H2103" s="451" t="s">
        <v>22878</v>
      </c>
      <c r="I2103" s="451" t="s">
        <v>30685</v>
      </c>
      <c r="J2103" s="451" t="s">
        <v>30686</v>
      </c>
      <c r="K2103" s="451"/>
    </row>
    <row r="2104" spans="1:11">
      <c r="A2104" s="450" t="s">
        <v>4173</v>
      </c>
      <c r="B2104" s="450"/>
      <c r="C2104" s="450" t="s">
        <v>4174</v>
      </c>
      <c r="D2104" s="450"/>
      <c r="E2104" s="450"/>
      <c r="F2104" s="450"/>
      <c r="G2104" s="450" t="s">
        <v>22877</v>
      </c>
      <c r="H2104" s="450" t="s">
        <v>22878</v>
      </c>
      <c r="I2104" s="450" t="s">
        <v>33694</v>
      </c>
      <c r="J2104" s="450" t="s">
        <v>23184</v>
      </c>
      <c r="K2104" s="450"/>
    </row>
    <row r="2105" spans="1:11">
      <c r="A2105" s="451" t="s">
        <v>4175</v>
      </c>
      <c r="B2105" s="451"/>
      <c r="C2105" s="451" t="s">
        <v>2466</v>
      </c>
      <c r="D2105" s="451"/>
      <c r="E2105" s="451"/>
      <c r="F2105" s="451"/>
      <c r="G2105" s="451" t="s">
        <v>23776</v>
      </c>
      <c r="H2105" s="451" t="s">
        <v>22878</v>
      </c>
      <c r="I2105" s="451"/>
      <c r="J2105" s="451" t="s">
        <v>23183</v>
      </c>
      <c r="K2105" s="451"/>
    </row>
    <row r="2106" spans="1:11">
      <c r="A2106" s="450" t="s">
        <v>23777</v>
      </c>
      <c r="B2106" s="450" t="s">
        <v>4182</v>
      </c>
      <c r="C2106" s="450" t="s">
        <v>4183</v>
      </c>
      <c r="D2106" s="450" t="s">
        <v>4184</v>
      </c>
      <c r="E2106" s="450"/>
      <c r="F2106" s="450"/>
      <c r="G2106" s="450" t="s">
        <v>22877</v>
      </c>
      <c r="H2106" s="450" t="s">
        <v>22878</v>
      </c>
      <c r="I2106" s="450" t="s">
        <v>4184</v>
      </c>
      <c r="J2106" s="450" t="s">
        <v>23778</v>
      </c>
      <c r="K2106" s="450"/>
    </row>
    <row r="2107" spans="1:11">
      <c r="A2107" s="451" t="s">
        <v>23779</v>
      </c>
      <c r="B2107" s="451" t="s">
        <v>4187</v>
      </c>
      <c r="C2107" s="451" t="s">
        <v>4188</v>
      </c>
      <c r="D2107" s="451" t="s">
        <v>4189</v>
      </c>
      <c r="E2107" s="451"/>
      <c r="F2107" s="451"/>
      <c r="G2107" s="451" t="s">
        <v>22877</v>
      </c>
      <c r="H2107" s="451" t="s">
        <v>22878</v>
      </c>
      <c r="I2107" s="451" t="s">
        <v>23146</v>
      </c>
      <c r="J2107" s="451" t="s">
        <v>4187</v>
      </c>
      <c r="K2107" s="451"/>
    </row>
    <row r="2108" spans="1:11">
      <c r="A2108" s="450" t="s">
        <v>23780</v>
      </c>
      <c r="B2108" s="450"/>
      <c r="C2108" s="450" t="s">
        <v>23781</v>
      </c>
      <c r="D2108" s="450"/>
      <c r="E2108" s="450"/>
      <c r="F2108" s="450"/>
      <c r="G2108" s="450" t="s">
        <v>22877</v>
      </c>
      <c r="H2108" s="450" t="s">
        <v>22878</v>
      </c>
      <c r="I2108" s="450" t="s">
        <v>23782</v>
      </c>
      <c r="J2108" s="450" t="s">
        <v>23742</v>
      </c>
      <c r="K2108" s="450"/>
    </row>
    <row r="2109" spans="1:11">
      <c r="A2109" s="451" t="s">
        <v>4176</v>
      </c>
      <c r="B2109" s="451" t="s">
        <v>4177</v>
      </c>
      <c r="C2109" s="451" t="s">
        <v>4178</v>
      </c>
      <c r="D2109" s="451" t="s">
        <v>4179</v>
      </c>
      <c r="E2109" s="451"/>
      <c r="F2109" s="451"/>
      <c r="G2109" s="451" t="s">
        <v>22877</v>
      </c>
      <c r="H2109" s="451" t="s">
        <v>22878</v>
      </c>
      <c r="I2109" s="451" t="s">
        <v>4179</v>
      </c>
      <c r="J2109" s="451" t="s">
        <v>23783</v>
      </c>
      <c r="K2109" s="451"/>
    </row>
    <row r="2110" spans="1:11">
      <c r="A2110" s="450" t="s">
        <v>4176</v>
      </c>
      <c r="B2110" s="450" t="s">
        <v>4177</v>
      </c>
      <c r="C2110" s="450" t="s">
        <v>4178</v>
      </c>
      <c r="D2110" s="450" t="s">
        <v>4179</v>
      </c>
      <c r="E2110" s="450" t="s">
        <v>4180</v>
      </c>
      <c r="F2110" s="450"/>
      <c r="G2110" s="450" t="s">
        <v>22882</v>
      </c>
      <c r="H2110" s="450" t="s">
        <v>22883</v>
      </c>
      <c r="I2110" s="450" t="s">
        <v>4179</v>
      </c>
      <c r="J2110" s="450" t="s">
        <v>23783</v>
      </c>
      <c r="K2110" s="450"/>
    </row>
    <row r="2111" spans="1:11">
      <c r="A2111" s="451" t="s">
        <v>4181</v>
      </c>
      <c r="B2111" s="451" t="s">
        <v>4182</v>
      </c>
      <c r="C2111" s="451" t="s">
        <v>4183</v>
      </c>
      <c r="D2111" s="451" t="s">
        <v>4184</v>
      </c>
      <c r="E2111" s="451" t="s">
        <v>4185</v>
      </c>
      <c r="F2111" s="451"/>
      <c r="G2111" s="451" t="s">
        <v>22877</v>
      </c>
      <c r="H2111" s="451" t="s">
        <v>22878</v>
      </c>
      <c r="I2111" s="451" t="s">
        <v>4184</v>
      </c>
      <c r="J2111" s="451" t="s">
        <v>30687</v>
      </c>
      <c r="K2111" s="451"/>
    </row>
    <row r="2112" spans="1:11">
      <c r="A2112" s="450" t="s">
        <v>4186</v>
      </c>
      <c r="B2112" s="450" t="s">
        <v>4187</v>
      </c>
      <c r="C2112" s="450" t="s">
        <v>4188</v>
      </c>
      <c r="D2112" s="450" t="s">
        <v>4189</v>
      </c>
      <c r="E2112" s="450" t="s">
        <v>4190</v>
      </c>
      <c r="F2112" s="450"/>
      <c r="G2112" s="450" t="s">
        <v>22877</v>
      </c>
      <c r="H2112" s="450" t="s">
        <v>22878</v>
      </c>
      <c r="I2112" s="450" t="s">
        <v>30688</v>
      </c>
      <c r="J2112" s="450" t="s">
        <v>30689</v>
      </c>
      <c r="K2112" s="450"/>
    </row>
    <row r="2113" spans="1:11">
      <c r="A2113" s="451" t="s">
        <v>4191</v>
      </c>
      <c r="B2113" s="451"/>
      <c r="C2113" s="451" t="s">
        <v>4192</v>
      </c>
      <c r="D2113" s="451"/>
      <c r="E2113" s="451"/>
      <c r="F2113" s="451"/>
      <c r="G2113" s="451" t="s">
        <v>22877</v>
      </c>
      <c r="H2113" s="451" t="s">
        <v>22878</v>
      </c>
      <c r="I2113" s="451" t="s">
        <v>33695</v>
      </c>
      <c r="J2113" s="451" t="s">
        <v>22997</v>
      </c>
      <c r="K2113" s="451"/>
    </row>
    <row r="2114" spans="1:11">
      <c r="A2114" s="450" t="s">
        <v>4193</v>
      </c>
      <c r="B2114" s="450"/>
      <c r="C2114" s="450" t="s">
        <v>4194</v>
      </c>
      <c r="D2114" s="450"/>
      <c r="E2114" s="450"/>
      <c r="F2114" s="450"/>
      <c r="G2114" s="450" t="s">
        <v>22877</v>
      </c>
      <c r="H2114" s="450" t="s">
        <v>22878</v>
      </c>
      <c r="I2114" s="450" t="s">
        <v>33696</v>
      </c>
      <c r="J2114" s="450" t="s">
        <v>23185</v>
      </c>
      <c r="K2114" s="450"/>
    </row>
    <row r="2115" spans="1:11">
      <c r="A2115" s="451" t="s">
        <v>33697</v>
      </c>
      <c r="B2115" s="451"/>
      <c r="C2115" s="451" t="s">
        <v>4196</v>
      </c>
      <c r="D2115" s="451"/>
      <c r="E2115" s="451"/>
      <c r="F2115" s="451"/>
      <c r="G2115" s="451" t="s">
        <v>22877</v>
      </c>
      <c r="H2115" s="451" t="s">
        <v>22878</v>
      </c>
      <c r="I2115" s="451" t="s">
        <v>33696</v>
      </c>
      <c r="J2115" s="451" t="s">
        <v>23729</v>
      </c>
      <c r="K2115" s="451"/>
    </row>
    <row r="2116" spans="1:11">
      <c r="A2116" s="450" t="s">
        <v>33698</v>
      </c>
      <c r="B2116" s="450"/>
      <c r="C2116" s="450" t="s">
        <v>4194</v>
      </c>
      <c r="D2116" s="450"/>
      <c r="E2116" s="450"/>
      <c r="F2116" s="450"/>
      <c r="G2116" s="450" t="s">
        <v>22877</v>
      </c>
      <c r="H2116" s="450" t="s">
        <v>22878</v>
      </c>
      <c r="I2116" s="450" t="s">
        <v>33696</v>
      </c>
      <c r="J2116" s="450" t="s">
        <v>23742</v>
      </c>
      <c r="K2116" s="450"/>
    </row>
    <row r="2117" spans="1:11">
      <c r="A2117" s="451" t="s">
        <v>4195</v>
      </c>
      <c r="B2117" s="451"/>
      <c r="C2117" s="451" t="s">
        <v>4196</v>
      </c>
      <c r="D2117" s="451"/>
      <c r="E2117" s="451"/>
      <c r="F2117" s="451"/>
      <c r="G2117" s="451" t="s">
        <v>22877</v>
      </c>
      <c r="H2117" s="451" t="s">
        <v>22878</v>
      </c>
      <c r="I2117" s="451" t="s">
        <v>33696</v>
      </c>
      <c r="J2117" s="451" t="s">
        <v>22997</v>
      </c>
      <c r="K2117" s="451"/>
    </row>
    <row r="2118" spans="1:11">
      <c r="A2118" s="450" t="s">
        <v>4197</v>
      </c>
      <c r="B2118" s="450"/>
      <c r="C2118" s="450" t="s">
        <v>4198</v>
      </c>
      <c r="D2118" s="450"/>
      <c r="E2118" s="450"/>
      <c r="F2118" s="450"/>
      <c r="G2118" s="450" t="s">
        <v>22877</v>
      </c>
      <c r="H2118" s="450" t="s">
        <v>22878</v>
      </c>
      <c r="I2118" s="450" t="s">
        <v>23784</v>
      </c>
      <c r="J2118" s="450" t="s">
        <v>23758</v>
      </c>
      <c r="K2118" s="450"/>
    </row>
    <row r="2119" spans="1:11">
      <c r="A2119" s="451" t="s">
        <v>4199</v>
      </c>
      <c r="B2119" s="451" t="s">
        <v>4200</v>
      </c>
      <c r="C2119" s="451" t="s">
        <v>4201</v>
      </c>
      <c r="D2119" s="451" t="s">
        <v>4202</v>
      </c>
      <c r="E2119" s="451"/>
      <c r="F2119" s="451"/>
      <c r="G2119" s="451" t="s">
        <v>22882</v>
      </c>
      <c r="H2119" s="451" t="s">
        <v>22883</v>
      </c>
      <c r="I2119" s="451" t="s">
        <v>4202</v>
      </c>
      <c r="J2119" s="451" t="s">
        <v>33699</v>
      </c>
      <c r="K2119" s="451"/>
    </row>
    <row r="2120" spans="1:11">
      <c r="A2120" s="450" t="s">
        <v>4199</v>
      </c>
      <c r="B2120" s="450" t="s">
        <v>4200</v>
      </c>
      <c r="C2120" s="450" t="s">
        <v>4201</v>
      </c>
      <c r="D2120" s="450" t="s">
        <v>4202</v>
      </c>
      <c r="E2120" s="450" t="s">
        <v>4203</v>
      </c>
      <c r="F2120" s="450"/>
      <c r="G2120" s="450" t="s">
        <v>22877</v>
      </c>
      <c r="H2120" s="450" t="s">
        <v>22878</v>
      </c>
      <c r="I2120" s="450" t="s">
        <v>4202</v>
      </c>
      <c r="J2120" s="450" t="s">
        <v>30690</v>
      </c>
      <c r="K2120" s="450"/>
    </row>
    <row r="2121" spans="1:11">
      <c r="A2121" s="451" t="s">
        <v>4204</v>
      </c>
      <c r="B2121" s="451" t="s">
        <v>5044</v>
      </c>
      <c r="C2121" s="451" t="s">
        <v>4206</v>
      </c>
      <c r="D2121" s="451" t="s">
        <v>4207</v>
      </c>
      <c r="E2121" s="451"/>
      <c r="F2121" s="451"/>
      <c r="G2121" s="451" t="s">
        <v>22877</v>
      </c>
      <c r="H2121" s="451" t="s">
        <v>22878</v>
      </c>
      <c r="I2121" s="451" t="s">
        <v>4207</v>
      </c>
      <c r="J2121" s="451" t="s">
        <v>23785</v>
      </c>
      <c r="K2121" s="451"/>
    </row>
    <row r="2122" spans="1:11">
      <c r="A2122" s="450" t="s">
        <v>4204</v>
      </c>
      <c r="B2122" s="450" t="s">
        <v>4205</v>
      </c>
      <c r="C2122" s="450" t="s">
        <v>4206</v>
      </c>
      <c r="D2122" s="450" t="s">
        <v>4207</v>
      </c>
      <c r="E2122" s="450" t="s">
        <v>4208</v>
      </c>
      <c r="F2122" s="450"/>
      <c r="G2122" s="450" t="s">
        <v>22877</v>
      </c>
      <c r="H2122" s="450" t="s">
        <v>22878</v>
      </c>
      <c r="I2122" s="450" t="s">
        <v>4207</v>
      </c>
      <c r="J2122" s="450" t="s">
        <v>23785</v>
      </c>
      <c r="K2122" s="450"/>
    </row>
    <row r="2123" spans="1:11">
      <c r="A2123" s="451" t="s">
        <v>4209</v>
      </c>
      <c r="B2123" s="451"/>
      <c r="C2123" s="451" t="s">
        <v>4210</v>
      </c>
      <c r="D2123" s="451"/>
      <c r="E2123" s="451"/>
      <c r="F2123" s="451"/>
      <c r="G2123" s="451" t="s">
        <v>22882</v>
      </c>
      <c r="H2123" s="451" t="s">
        <v>22883</v>
      </c>
      <c r="I2123" s="451"/>
      <c r="J2123" s="451" t="s">
        <v>23184</v>
      </c>
      <c r="K2123" s="451"/>
    </row>
    <row r="2124" spans="1:11">
      <c r="A2124" s="450" t="s">
        <v>33700</v>
      </c>
      <c r="B2124" s="450" t="s">
        <v>4212</v>
      </c>
      <c r="C2124" s="450" t="s">
        <v>4213</v>
      </c>
      <c r="D2124" s="450"/>
      <c r="E2124" s="450"/>
      <c r="F2124" s="450"/>
      <c r="G2124" s="450" t="s">
        <v>22877</v>
      </c>
      <c r="H2124" s="450" t="s">
        <v>22878</v>
      </c>
      <c r="I2124" s="450" t="s">
        <v>23786</v>
      </c>
      <c r="J2124" s="450" t="s">
        <v>33701</v>
      </c>
      <c r="K2124" s="450"/>
    </row>
    <row r="2125" spans="1:11">
      <c r="A2125" s="451" t="s">
        <v>4211</v>
      </c>
      <c r="B2125" s="451" t="s">
        <v>4212</v>
      </c>
      <c r="C2125" s="451" t="s">
        <v>4213</v>
      </c>
      <c r="D2125" s="451"/>
      <c r="E2125" s="451"/>
      <c r="F2125" s="451"/>
      <c r="G2125" s="451" t="s">
        <v>22877</v>
      </c>
      <c r="H2125" s="451" t="s">
        <v>22878</v>
      </c>
      <c r="I2125" s="451" t="s">
        <v>23786</v>
      </c>
      <c r="J2125" s="451" t="s">
        <v>30691</v>
      </c>
      <c r="K2125" s="451"/>
    </row>
    <row r="2126" spans="1:11">
      <c r="A2126" s="450" t="s">
        <v>23787</v>
      </c>
      <c r="B2126" s="450" t="s">
        <v>23788</v>
      </c>
      <c r="C2126" s="450" t="s">
        <v>23789</v>
      </c>
      <c r="D2126" s="450"/>
      <c r="E2126" s="450"/>
      <c r="F2126" s="450"/>
      <c r="G2126" s="450" t="s">
        <v>22877</v>
      </c>
      <c r="H2126" s="450" t="s">
        <v>22878</v>
      </c>
      <c r="I2126" s="450" t="s">
        <v>23790</v>
      </c>
      <c r="J2126" s="450" t="s">
        <v>23788</v>
      </c>
      <c r="K2126" s="450"/>
    </row>
    <row r="2127" spans="1:11">
      <c r="A2127" s="451" t="s">
        <v>4214</v>
      </c>
      <c r="B2127" s="451"/>
      <c r="C2127" s="451" t="s">
        <v>4215</v>
      </c>
      <c r="D2127" s="451"/>
      <c r="E2127" s="451"/>
      <c r="F2127" s="451"/>
      <c r="G2127" s="451" t="s">
        <v>22877</v>
      </c>
      <c r="H2127" s="451" t="s">
        <v>22878</v>
      </c>
      <c r="I2127" s="451" t="s">
        <v>23791</v>
      </c>
      <c r="J2127" s="451" t="s">
        <v>22997</v>
      </c>
      <c r="K2127" s="451"/>
    </row>
    <row r="2128" spans="1:11">
      <c r="A2128" s="450" t="s">
        <v>23792</v>
      </c>
      <c r="B2128" s="450" t="s">
        <v>23793</v>
      </c>
      <c r="C2128" s="450" t="s">
        <v>23794</v>
      </c>
      <c r="D2128" s="450" t="s">
        <v>23795</v>
      </c>
      <c r="E2128" s="450"/>
      <c r="F2128" s="450" t="s">
        <v>23796</v>
      </c>
      <c r="G2128" s="450" t="s">
        <v>22877</v>
      </c>
      <c r="H2128" s="450" t="s">
        <v>22878</v>
      </c>
      <c r="I2128" s="450" t="s">
        <v>23797</v>
      </c>
      <c r="J2128" s="450" t="s">
        <v>23798</v>
      </c>
      <c r="K2128" s="450"/>
    </row>
    <row r="2129" spans="1:11">
      <c r="A2129" s="451" t="s">
        <v>20335</v>
      </c>
      <c r="B2129" s="451" t="s">
        <v>20334</v>
      </c>
      <c r="C2129" s="451" t="s">
        <v>20333</v>
      </c>
      <c r="D2129" s="451" t="s">
        <v>20336</v>
      </c>
      <c r="E2129" s="451"/>
      <c r="F2129" s="451"/>
      <c r="G2129" s="451" t="s">
        <v>22877</v>
      </c>
      <c r="H2129" s="451" t="s">
        <v>22878</v>
      </c>
      <c r="I2129" s="451" t="s">
        <v>20336</v>
      </c>
      <c r="J2129" s="451" t="s">
        <v>30692</v>
      </c>
      <c r="K2129" s="451"/>
    </row>
    <row r="2130" spans="1:11">
      <c r="A2130" s="450" t="s">
        <v>4216</v>
      </c>
      <c r="B2130" s="450"/>
      <c r="C2130" s="450" t="s">
        <v>2936</v>
      </c>
      <c r="D2130" s="450"/>
      <c r="E2130" s="450"/>
      <c r="F2130" s="450"/>
      <c r="G2130" s="450" t="s">
        <v>22877</v>
      </c>
      <c r="H2130" s="450" t="s">
        <v>22878</v>
      </c>
      <c r="I2130" s="450" t="s">
        <v>23799</v>
      </c>
      <c r="J2130" s="450" t="s">
        <v>22997</v>
      </c>
      <c r="K2130" s="450"/>
    </row>
    <row r="2131" spans="1:11">
      <c r="A2131" s="451" t="s">
        <v>4217</v>
      </c>
      <c r="B2131" s="451" t="s">
        <v>4218</v>
      </c>
      <c r="C2131" s="451" t="s">
        <v>4219</v>
      </c>
      <c r="D2131" s="451"/>
      <c r="E2131" s="451"/>
      <c r="F2131" s="451"/>
      <c r="G2131" s="451" t="s">
        <v>22882</v>
      </c>
      <c r="H2131" s="451" t="s">
        <v>22883</v>
      </c>
      <c r="I2131" s="451"/>
      <c r="J2131" s="451" t="s">
        <v>23800</v>
      </c>
      <c r="K2131" s="451"/>
    </row>
    <row r="2132" spans="1:11">
      <c r="A2132" s="450" t="s">
        <v>4220</v>
      </c>
      <c r="B2132" s="450"/>
      <c r="C2132" s="450" t="s">
        <v>4221</v>
      </c>
      <c r="D2132" s="450"/>
      <c r="E2132" s="450"/>
      <c r="F2132" s="450"/>
      <c r="G2132" s="450" t="s">
        <v>22877</v>
      </c>
      <c r="H2132" s="450" t="s">
        <v>22878</v>
      </c>
      <c r="I2132" s="450" t="s">
        <v>33702</v>
      </c>
      <c r="J2132" s="450" t="s">
        <v>22939</v>
      </c>
      <c r="K2132" s="450"/>
    </row>
    <row r="2133" spans="1:11">
      <c r="A2133" s="451" t="s">
        <v>4222</v>
      </c>
      <c r="B2133" s="451"/>
      <c r="C2133" s="451" t="s">
        <v>4223</v>
      </c>
      <c r="D2133" s="451"/>
      <c r="E2133" s="451"/>
      <c r="F2133" s="451"/>
      <c r="G2133" s="451" t="s">
        <v>22882</v>
      </c>
      <c r="H2133" s="451" t="s">
        <v>22883</v>
      </c>
      <c r="I2133" s="451" t="s">
        <v>33703</v>
      </c>
      <c r="J2133" s="451" t="s">
        <v>23184</v>
      </c>
      <c r="K2133" s="451"/>
    </row>
    <row r="2134" spans="1:11">
      <c r="A2134" s="450" t="s">
        <v>4224</v>
      </c>
      <c r="B2134" s="450"/>
      <c r="C2134" s="450" t="s">
        <v>1810</v>
      </c>
      <c r="D2134" s="450"/>
      <c r="E2134" s="450"/>
      <c r="F2134" s="450"/>
      <c r="G2134" s="450" t="s">
        <v>22877</v>
      </c>
      <c r="H2134" s="450" t="s">
        <v>22878</v>
      </c>
      <c r="I2134" s="450" t="s">
        <v>33704</v>
      </c>
      <c r="J2134" s="450" t="s">
        <v>23184</v>
      </c>
      <c r="K2134" s="450"/>
    </row>
    <row r="2135" spans="1:11">
      <c r="A2135" s="451" t="s">
        <v>33705</v>
      </c>
      <c r="B2135" s="451"/>
      <c r="C2135" s="451" t="s">
        <v>4226</v>
      </c>
      <c r="D2135" s="451"/>
      <c r="E2135" s="451"/>
      <c r="F2135" s="451"/>
      <c r="G2135" s="451" t="s">
        <v>22877</v>
      </c>
      <c r="H2135" s="451" t="s">
        <v>22878</v>
      </c>
      <c r="I2135" s="451" t="s">
        <v>33706</v>
      </c>
      <c r="J2135" s="451" t="s">
        <v>23729</v>
      </c>
      <c r="K2135" s="451"/>
    </row>
    <row r="2136" spans="1:11">
      <c r="A2136" s="450" t="s">
        <v>4225</v>
      </c>
      <c r="B2136" s="450"/>
      <c r="C2136" s="450" t="s">
        <v>4226</v>
      </c>
      <c r="D2136" s="450"/>
      <c r="E2136" s="450"/>
      <c r="F2136" s="450"/>
      <c r="G2136" s="450" t="s">
        <v>22882</v>
      </c>
      <c r="H2136" s="450" t="s">
        <v>22883</v>
      </c>
      <c r="I2136" s="450" t="s">
        <v>33706</v>
      </c>
      <c r="J2136" s="450" t="s">
        <v>22997</v>
      </c>
      <c r="K2136" s="450"/>
    </row>
    <row r="2137" spans="1:11">
      <c r="A2137" s="451" t="s">
        <v>4227</v>
      </c>
      <c r="B2137" s="451"/>
      <c r="C2137" s="451" t="s">
        <v>4228</v>
      </c>
      <c r="D2137" s="451"/>
      <c r="E2137" s="451"/>
      <c r="F2137" s="451"/>
      <c r="G2137" s="451" t="s">
        <v>22882</v>
      </c>
      <c r="H2137" s="451" t="s">
        <v>22883</v>
      </c>
      <c r="I2137" s="451"/>
      <c r="J2137" s="451" t="s">
        <v>22997</v>
      </c>
      <c r="K2137" s="451"/>
    </row>
    <row r="2138" spans="1:11">
      <c r="A2138" s="450" t="s">
        <v>4229</v>
      </c>
      <c r="B2138" s="450"/>
      <c r="C2138" s="450" t="s">
        <v>4230</v>
      </c>
      <c r="D2138" s="450"/>
      <c r="E2138" s="450"/>
      <c r="F2138" s="450"/>
      <c r="G2138" s="450" t="s">
        <v>22882</v>
      </c>
      <c r="H2138" s="450" t="s">
        <v>22883</v>
      </c>
      <c r="I2138" s="450" t="s">
        <v>23801</v>
      </c>
      <c r="J2138" s="450" t="s">
        <v>23729</v>
      </c>
      <c r="K2138" s="450"/>
    </row>
    <row r="2139" spans="1:11">
      <c r="A2139" s="451" t="s">
        <v>4231</v>
      </c>
      <c r="B2139" s="451" t="s">
        <v>4232</v>
      </c>
      <c r="C2139" s="451" t="s">
        <v>2844</v>
      </c>
      <c r="D2139" s="451" t="s">
        <v>4233</v>
      </c>
      <c r="E2139" s="451"/>
      <c r="F2139" s="451"/>
      <c r="G2139" s="451" t="s">
        <v>22877</v>
      </c>
      <c r="H2139" s="451" t="s">
        <v>22878</v>
      </c>
      <c r="I2139" s="451" t="s">
        <v>4233</v>
      </c>
      <c r="J2139" s="451" t="s">
        <v>4232</v>
      </c>
      <c r="K2139" s="451"/>
    </row>
    <row r="2140" spans="1:11">
      <c r="A2140" s="450" t="s">
        <v>4231</v>
      </c>
      <c r="B2140" s="450" t="s">
        <v>4232</v>
      </c>
      <c r="C2140" s="450" t="s">
        <v>2844</v>
      </c>
      <c r="D2140" s="450" t="s">
        <v>4233</v>
      </c>
      <c r="E2140" s="450" t="s">
        <v>4234</v>
      </c>
      <c r="F2140" s="450"/>
      <c r="G2140" s="450" t="s">
        <v>22877</v>
      </c>
      <c r="H2140" s="450" t="s">
        <v>22878</v>
      </c>
      <c r="I2140" s="450" t="s">
        <v>4233</v>
      </c>
      <c r="J2140" s="450" t="s">
        <v>30693</v>
      </c>
      <c r="K2140" s="450"/>
    </row>
    <row r="2141" spans="1:11">
      <c r="A2141" s="451" t="s">
        <v>33707</v>
      </c>
      <c r="B2141" s="451"/>
      <c r="C2141" s="451" t="s">
        <v>4236</v>
      </c>
      <c r="D2141" s="451"/>
      <c r="E2141" s="451"/>
      <c r="F2141" s="451"/>
      <c r="G2141" s="451" t="s">
        <v>22877</v>
      </c>
      <c r="H2141" s="451" t="s">
        <v>22878</v>
      </c>
      <c r="I2141" s="451" t="s">
        <v>33708</v>
      </c>
      <c r="J2141" s="451" t="s">
        <v>23184</v>
      </c>
      <c r="K2141" s="451"/>
    </row>
    <row r="2142" spans="1:11">
      <c r="A2142" s="450" t="s">
        <v>4235</v>
      </c>
      <c r="B2142" s="450"/>
      <c r="C2142" s="450" t="s">
        <v>4236</v>
      </c>
      <c r="D2142" s="450"/>
      <c r="E2142" s="450"/>
      <c r="F2142" s="450"/>
      <c r="G2142" s="450" t="s">
        <v>22877</v>
      </c>
      <c r="H2142" s="450" t="s">
        <v>22878</v>
      </c>
      <c r="I2142" s="450" t="s">
        <v>33708</v>
      </c>
      <c r="J2142" s="450" t="s">
        <v>22939</v>
      </c>
      <c r="K2142" s="450"/>
    </row>
    <row r="2143" spans="1:11">
      <c r="A2143" s="451" t="s">
        <v>4237</v>
      </c>
      <c r="B2143" s="451"/>
      <c r="C2143" s="451" t="s">
        <v>4238</v>
      </c>
      <c r="D2143" s="451"/>
      <c r="E2143" s="451"/>
      <c r="F2143" s="451"/>
      <c r="G2143" s="451" t="s">
        <v>22882</v>
      </c>
      <c r="H2143" s="451" t="s">
        <v>22883</v>
      </c>
      <c r="I2143" s="451" t="s">
        <v>23807</v>
      </c>
      <c r="J2143" s="451" t="s">
        <v>23185</v>
      </c>
      <c r="K2143" s="451"/>
    </row>
    <row r="2144" spans="1:11">
      <c r="A2144" s="450" t="s">
        <v>23802</v>
      </c>
      <c r="B2144" s="450" t="s">
        <v>23803</v>
      </c>
      <c r="C2144" s="450" t="s">
        <v>23804</v>
      </c>
      <c r="D2144" s="450"/>
      <c r="E2144" s="450"/>
      <c r="F2144" s="450"/>
      <c r="G2144" s="450" t="s">
        <v>22877</v>
      </c>
      <c r="H2144" s="450" t="s">
        <v>22878</v>
      </c>
      <c r="I2144" s="450" t="s">
        <v>23805</v>
      </c>
      <c r="J2144" s="450" t="s">
        <v>23806</v>
      </c>
      <c r="K2144" s="450"/>
    </row>
    <row r="2145" spans="1:11">
      <c r="A2145" s="451" t="s">
        <v>33709</v>
      </c>
      <c r="B2145" s="451"/>
      <c r="C2145" s="451" t="s">
        <v>4238</v>
      </c>
      <c r="D2145" s="451"/>
      <c r="E2145" s="451"/>
      <c r="F2145" s="451"/>
      <c r="G2145" s="451" t="s">
        <v>22882</v>
      </c>
      <c r="H2145" s="451" t="s">
        <v>22883</v>
      </c>
      <c r="I2145" s="451" t="s">
        <v>23807</v>
      </c>
      <c r="J2145" s="451" t="s">
        <v>23729</v>
      </c>
      <c r="K2145" s="451"/>
    </row>
    <row r="2146" spans="1:11">
      <c r="A2146" s="450" t="s">
        <v>4239</v>
      </c>
      <c r="B2146" s="450"/>
      <c r="C2146" s="450" t="s">
        <v>4240</v>
      </c>
      <c r="D2146" s="450"/>
      <c r="E2146" s="450"/>
      <c r="F2146" s="450"/>
      <c r="G2146" s="450" t="s">
        <v>22882</v>
      </c>
      <c r="H2146" s="450" t="s">
        <v>22883</v>
      </c>
      <c r="I2146" s="450"/>
      <c r="J2146" s="450" t="s">
        <v>23184</v>
      </c>
      <c r="K2146" s="450"/>
    </row>
    <row r="2147" spans="1:11">
      <c r="A2147" s="451" t="s">
        <v>21530</v>
      </c>
      <c r="B2147" s="451"/>
      <c r="C2147" s="451" t="s">
        <v>4241</v>
      </c>
      <c r="D2147" s="451"/>
      <c r="E2147" s="451"/>
      <c r="F2147" s="451"/>
      <c r="G2147" s="451" t="s">
        <v>22877</v>
      </c>
      <c r="H2147" s="451" t="s">
        <v>22878</v>
      </c>
      <c r="I2147" s="451" t="s">
        <v>23808</v>
      </c>
      <c r="J2147" s="451" t="s">
        <v>23758</v>
      </c>
      <c r="K2147" s="451"/>
    </row>
    <row r="2148" spans="1:11">
      <c r="A2148" s="450" t="s">
        <v>4242</v>
      </c>
      <c r="B2148" s="450" t="s">
        <v>4243</v>
      </c>
      <c r="C2148" s="450" t="s">
        <v>4244</v>
      </c>
      <c r="D2148" s="450" t="s">
        <v>4245</v>
      </c>
      <c r="E2148" s="450"/>
      <c r="F2148" s="450"/>
      <c r="G2148" s="450" t="s">
        <v>22877</v>
      </c>
      <c r="H2148" s="450" t="s">
        <v>22878</v>
      </c>
      <c r="I2148" s="450" t="s">
        <v>23809</v>
      </c>
      <c r="J2148" s="450" t="s">
        <v>33710</v>
      </c>
      <c r="K2148" s="450"/>
    </row>
    <row r="2149" spans="1:11">
      <c r="A2149" s="451" t="s">
        <v>4242</v>
      </c>
      <c r="B2149" s="451" t="s">
        <v>4243</v>
      </c>
      <c r="C2149" s="451" t="s">
        <v>4244</v>
      </c>
      <c r="D2149" s="451" t="s">
        <v>4245</v>
      </c>
      <c r="E2149" s="451" t="s">
        <v>4246</v>
      </c>
      <c r="F2149" s="451"/>
      <c r="G2149" s="451" t="s">
        <v>22877</v>
      </c>
      <c r="H2149" s="451" t="s">
        <v>22878</v>
      </c>
      <c r="I2149" s="451" t="s">
        <v>30694</v>
      </c>
      <c r="J2149" s="451" t="s">
        <v>30695</v>
      </c>
      <c r="K2149" s="451"/>
    </row>
    <row r="2150" spans="1:11">
      <c r="A2150" s="450" t="s">
        <v>4247</v>
      </c>
      <c r="B2150" s="450" t="s">
        <v>4248</v>
      </c>
      <c r="C2150" s="450" t="s">
        <v>4249</v>
      </c>
      <c r="D2150" s="450" t="s">
        <v>4250</v>
      </c>
      <c r="E2150" s="450"/>
      <c r="F2150" s="450"/>
      <c r="G2150" s="450" t="s">
        <v>22877</v>
      </c>
      <c r="H2150" s="450" t="s">
        <v>22878</v>
      </c>
      <c r="I2150" s="450" t="s">
        <v>23810</v>
      </c>
      <c r="J2150" s="450" t="s">
        <v>33711</v>
      </c>
      <c r="K2150" s="450"/>
    </row>
    <row r="2151" spans="1:11">
      <c r="A2151" s="451" t="s">
        <v>4247</v>
      </c>
      <c r="B2151" s="451" t="s">
        <v>4248</v>
      </c>
      <c r="C2151" s="451" t="s">
        <v>4249</v>
      </c>
      <c r="D2151" s="451" t="s">
        <v>4250</v>
      </c>
      <c r="E2151" s="451" t="s">
        <v>4251</v>
      </c>
      <c r="F2151" s="451"/>
      <c r="G2151" s="451" t="s">
        <v>22877</v>
      </c>
      <c r="H2151" s="451" t="s">
        <v>22878</v>
      </c>
      <c r="I2151" s="451" t="s">
        <v>23810</v>
      </c>
      <c r="J2151" s="451" t="s">
        <v>30696</v>
      </c>
      <c r="K2151" s="451"/>
    </row>
    <row r="2152" spans="1:11">
      <c r="A2152" s="450" t="s">
        <v>4252</v>
      </c>
      <c r="B2152" s="450" t="s">
        <v>4253</v>
      </c>
      <c r="C2152" s="450" t="s">
        <v>4254</v>
      </c>
      <c r="D2152" s="450" t="s">
        <v>4255</v>
      </c>
      <c r="E2152" s="450"/>
      <c r="F2152" s="450"/>
      <c r="G2152" s="450" t="s">
        <v>22877</v>
      </c>
      <c r="H2152" s="450" t="s">
        <v>22878</v>
      </c>
      <c r="I2152" s="450" t="s">
        <v>33712</v>
      </c>
      <c r="J2152" s="450" t="s">
        <v>33713</v>
      </c>
      <c r="K2152" s="450"/>
    </row>
    <row r="2153" spans="1:11">
      <c r="A2153" s="451" t="s">
        <v>23811</v>
      </c>
      <c r="B2153" s="451" t="s">
        <v>4253</v>
      </c>
      <c r="C2153" s="451" t="s">
        <v>4254</v>
      </c>
      <c r="D2153" s="451" t="s">
        <v>4255</v>
      </c>
      <c r="E2153" s="451"/>
      <c r="F2153" s="451"/>
      <c r="G2153" s="451" t="s">
        <v>22877</v>
      </c>
      <c r="H2153" s="451" t="s">
        <v>22878</v>
      </c>
      <c r="I2153" s="451" t="s">
        <v>23812</v>
      </c>
      <c r="J2153" s="451" t="s">
        <v>23813</v>
      </c>
      <c r="K2153" s="451"/>
    </row>
    <row r="2154" spans="1:11">
      <c r="A2154" s="450" t="s">
        <v>4256</v>
      </c>
      <c r="B2154" s="450" t="s">
        <v>4257</v>
      </c>
      <c r="C2154" s="450" t="s">
        <v>4258</v>
      </c>
      <c r="D2154" s="450" t="s">
        <v>4259</v>
      </c>
      <c r="E2154" s="450"/>
      <c r="F2154" s="450"/>
      <c r="G2154" s="450" t="s">
        <v>22877</v>
      </c>
      <c r="H2154" s="450" t="s">
        <v>22878</v>
      </c>
      <c r="I2154" s="450" t="s">
        <v>4259</v>
      </c>
      <c r="J2154" s="450" t="s">
        <v>33714</v>
      </c>
      <c r="K2154" s="450"/>
    </row>
    <row r="2155" spans="1:11">
      <c r="A2155" s="451" t="s">
        <v>4256</v>
      </c>
      <c r="B2155" s="451" t="s">
        <v>4257</v>
      </c>
      <c r="C2155" s="451" t="s">
        <v>4258</v>
      </c>
      <c r="D2155" s="451" t="s">
        <v>4259</v>
      </c>
      <c r="E2155" s="451" t="s">
        <v>4260</v>
      </c>
      <c r="F2155" s="451"/>
      <c r="G2155" s="451" t="s">
        <v>22882</v>
      </c>
      <c r="H2155" s="451" t="s">
        <v>22883</v>
      </c>
      <c r="I2155" s="451" t="s">
        <v>30697</v>
      </c>
      <c r="J2155" s="451" t="s">
        <v>30698</v>
      </c>
      <c r="K2155" s="451"/>
    </row>
    <row r="2156" spans="1:11">
      <c r="A2156" s="450" t="s">
        <v>4261</v>
      </c>
      <c r="B2156" s="450"/>
      <c r="C2156" s="450" t="s">
        <v>4262</v>
      </c>
      <c r="D2156" s="450"/>
      <c r="E2156" s="450"/>
      <c r="F2156" s="450"/>
      <c r="G2156" s="450" t="s">
        <v>22882</v>
      </c>
      <c r="H2156" s="450" t="s">
        <v>22883</v>
      </c>
      <c r="I2156" s="450" t="s">
        <v>33715</v>
      </c>
      <c r="J2156" s="450" t="s">
        <v>23742</v>
      </c>
      <c r="K2156" s="450"/>
    </row>
    <row r="2157" spans="1:11">
      <c r="A2157" s="451" t="s">
        <v>4263</v>
      </c>
      <c r="B2157" s="451"/>
      <c r="C2157" s="451" t="s">
        <v>4264</v>
      </c>
      <c r="D2157" s="451"/>
      <c r="E2157" s="451"/>
      <c r="F2157" s="451"/>
      <c r="G2157" s="451" t="s">
        <v>22877</v>
      </c>
      <c r="H2157" s="451" t="s">
        <v>22878</v>
      </c>
      <c r="I2157" s="451" t="s">
        <v>33716</v>
      </c>
      <c r="J2157" s="451" t="s">
        <v>23729</v>
      </c>
      <c r="K2157" s="451"/>
    </row>
    <row r="2158" spans="1:11">
      <c r="A2158" s="450" t="s">
        <v>4265</v>
      </c>
      <c r="B2158" s="450"/>
      <c r="C2158" s="450" t="s">
        <v>2650</v>
      </c>
      <c r="D2158" s="450"/>
      <c r="E2158" s="450"/>
      <c r="F2158" s="450"/>
      <c r="G2158" s="450" t="s">
        <v>22877</v>
      </c>
      <c r="H2158" s="450" t="s">
        <v>22878</v>
      </c>
      <c r="I2158" s="450" t="s">
        <v>3994</v>
      </c>
      <c r="J2158" s="450" t="s">
        <v>23741</v>
      </c>
      <c r="K2158" s="450"/>
    </row>
    <row r="2159" spans="1:11">
      <c r="A2159" s="451" t="s">
        <v>33717</v>
      </c>
      <c r="B2159" s="451"/>
      <c r="C2159" s="451" t="s">
        <v>3785</v>
      </c>
      <c r="D2159" s="451"/>
      <c r="E2159" s="451"/>
      <c r="F2159" s="451"/>
      <c r="G2159" s="451" t="s">
        <v>22877</v>
      </c>
      <c r="H2159" s="451" t="s">
        <v>22878</v>
      </c>
      <c r="I2159" s="451" t="s">
        <v>33718</v>
      </c>
      <c r="J2159" s="451" t="s">
        <v>23184</v>
      </c>
      <c r="K2159" s="451"/>
    </row>
    <row r="2160" spans="1:11">
      <c r="A2160" s="450" t="s">
        <v>33719</v>
      </c>
      <c r="B2160" s="450"/>
      <c r="C2160" s="450" t="s">
        <v>2139</v>
      </c>
      <c r="D2160" s="450"/>
      <c r="E2160" s="450"/>
      <c r="F2160" s="450"/>
      <c r="G2160" s="450" t="s">
        <v>22877</v>
      </c>
      <c r="H2160" s="450" t="s">
        <v>22878</v>
      </c>
      <c r="I2160" s="450" t="s">
        <v>33720</v>
      </c>
      <c r="J2160" s="450" t="s">
        <v>22997</v>
      </c>
      <c r="K2160" s="450"/>
    </row>
    <row r="2161" spans="1:11">
      <c r="A2161" s="451" t="s">
        <v>4266</v>
      </c>
      <c r="B2161" s="451"/>
      <c r="C2161" s="451" t="s">
        <v>2139</v>
      </c>
      <c r="D2161" s="451"/>
      <c r="E2161" s="451"/>
      <c r="F2161" s="451"/>
      <c r="G2161" s="451" t="s">
        <v>22877</v>
      </c>
      <c r="H2161" s="451" t="s">
        <v>22878</v>
      </c>
      <c r="I2161" s="451" t="s">
        <v>4894</v>
      </c>
      <c r="J2161" s="451" t="s">
        <v>22942</v>
      </c>
      <c r="K2161" s="451"/>
    </row>
    <row r="2162" spans="1:11">
      <c r="A2162" s="450" t="s">
        <v>4267</v>
      </c>
      <c r="B2162" s="450"/>
      <c r="C2162" s="450" t="s">
        <v>4268</v>
      </c>
      <c r="D2162" s="450"/>
      <c r="E2162" s="450"/>
      <c r="F2162" s="450"/>
      <c r="G2162" s="450" t="s">
        <v>22877</v>
      </c>
      <c r="H2162" s="450" t="s">
        <v>22878</v>
      </c>
      <c r="I2162" s="450" t="s">
        <v>33721</v>
      </c>
      <c r="J2162" s="450" t="s">
        <v>23741</v>
      </c>
      <c r="K2162" s="450"/>
    </row>
    <row r="2163" spans="1:11">
      <c r="A2163" s="451" t="s">
        <v>4269</v>
      </c>
      <c r="B2163" s="451"/>
      <c r="C2163" s="451" t="s">
        <v>4270</v>
      </c>
      <c r="D2163" s="451"/>
      <c r="E2163" s="451"/>
      <c r="F2163" s="451"/>
      <c r="G2163" s="451" t="s">
        <v>22882</v>
      </c>
      <c r="H2163" s="451" t="s">
        <v>22883</v>
      </c>
      <c r="I2163" s="451"/>
      <c r="J2163" s="451" t="s">
        <v>23758</v>
      </c>
      <c r="K2163" s="451"/>
    </row>
    <row r="2164" spans="1:11">
      <c r="A2164" s="450" t="s">
        <v>4271</v>
      </c>
      <c r="B2164" s="450" t="s">
        <v>4272</v>
      </c>
      <c r="C2164" s="450" t="s">
        <v>4273</v>
      </c>
      <c r="D2164" s="450" t="s">
        <v>4274</v>
      </c>
      <c r="E2164" s="450"/>
      <c r="F2164" s="450"/>
      <c r="G2164" s="450" t="s">
        <v>22877</v>
      </c>
      <c r="H2164" s="450" t="s">
        <v>22878</v>
      </c>
      <c r="I2164" s="450" t="s">
        <v>23814</v>
      </c>
      <c r="J2164" s="450" t="s">
        <v>23815</v>
      </c>
      <c r="K2164" s="450"/>
    </row>
    <row r="2165" spans="1:11">
      <c r="A2165" s="451" t="s">
        <v>4271</v>
      </c>
      <c r="B2165" s="451" t="s">
        <v>4272</v>
      </c>
      <c r="C2165" s="451" t="s">
        <v>4273</v>
      </c>
      <c r="D2165" s="451" t="s">
        <v>4274</v>
      </c>
      <c r="E2165" s="451" t="s">
        <v>4275</v>
      </c>
      <c r="F2165" s="451"/>
      <c r="G2165" s="451" t="s">
        <v>22877</v>
      </c>
      <c r="H2165" s="451" t="s">
        <v>22878</v>
      </c>
      <c r="I2165" s="451" t="s">
        <v>23814</v>
      </c>
      <c r="J2165" s="451" t="s">
        <v>23815</v>
      </c>
      <c r="K2165" s="451"/>
    </row>
    <row r="2166" spans="1:11">
      <c r="A2166" s="450" t="s">
        <v>23816</v>
      </c>
      <c r="B2166" s="450" t="s">
        <v>3777</v>
      </c>
      <c r="C2166" s="450" t="s">
        <v>3778</v>
      </c>
      <c r="D2166" s="450"/>
      <c r="E2166" s="450"/>
      <c r="F2166" s="450"/>
      <c r="G2166" s="450" t="s">
        <v>22882</v>
      </c>
      <c r="H2166" s="450" t="s">
        <v>22883</v>
      </c>
      <c r="I2166" s="450"/>
      <c r="J2166" s="450" t="s">
        <v>23817</v>
      </c>
      <c r="K2166" s="450"/>
    </row>
    <row r="2167" spans="1:11">
      <c r="A2167" s="451" t="s">
        <v>23818</v>
      </c>
      <c r="B2167" s="451" t="s">
        <v>3787</v>
      </c>
      <c r="C2167" s="451" t="s">
        <v>3788</v>
      </c>
      <c r="D2167" s="451"/>
      <c r="E2167" s="451"/>
      <c r="F2167" s="451"/>
      <c r="G2167" s="451" t="s">
        <v>22877</v>
      </c>
      <c r="H2167" s="451" t="s">
        <v>22878</v>
      </c>
      <c r="I2167" s="451" t="s">
        <v>23819</v>
      </c>
      <c r="J2167" s="451" t="s">
        <v>23820</v>
      </c>
      <c r="K2167" s="451"/>
    </row>
    <row r="2168" spans="1:11">
      <c r="A2168" s="450" t="s">
        <v>33722</v>
      </c>
      <c r="B2168" s="450"/>
      <c r="C2168" s="450" t="s">
        <v>3790</v>
      </c>
      <c r="D2168" s="450"/>
      <c r="E2168" s="450"/>
      <c r="F2168" s="450"/>
      <c r="G2168" s="450" t="s">
        <v>22882</v>
      </c>
      <c r="H2168" s="450" t="s">
        <v>22883</v>
      </c>
      <c r="I2168" s="450"/>
      <c r="J2168" s="450" t="s">
        <v>23758</v>
      </c>
      <c r="K2168" s="450"/>
    </row>
    <row r="2169" spans="1:11">
      <c r="A2169" s="451" t="s">
        <v>33723</v>
      </c>
      <c r="B2169" s="451"/>
      <c r="C2169" s="451" t="s">
        <v>4277</v>
      </c>
      <c r="D2169" s="451"/>
      <c r="E2169" s="451"/>
      <c r="F2169" s="451"/>
      <c r="G2169" s="451" t="s">
        <v>22877</v>
      </c>
      <c r="H2169" s="451" t="s">
        <v>22878</v>
      </c>
      <c r="I2169" s="451" t="s">
        <v>23821</v>
      </c>
      <c r="J2169" s="451" t="s">
        <v>23758</v>
      </c>
      <c r="K2169" s="451"/>
    </row>
    <row r="2170" spans="1:11">
      <c r="A2170" s="450" t="s">
        <v>4276</v>
      </c>
      <c r="B2170" s="450"/>
      <c r="C2170" s="450" t="s">
        <v>4277</v>
      </c>
      <c r="D2170" s="450"/>
      <c r="E2170" s="450"/>
      <c r="F2170" s="450"/>
      <c r="G2170" s="450" t="s">
        <v>22877</v>
      </c>
      <c r="H2170" s="450" t="s">
        <v>22878</v>
      </c>
      <c r="I2170" s="450" t="s">
        <v>23821</v>
      </c>
      <c r="J2170" s="450" t="s">
        <v>23185</v>
      </c>
      <c r="K2170" s="450"/>
    </row>
    <row r="2171" spans="1:11">
      <c r="A2171" s="451" t="s">
        <v>23822</v>
      </c>
      <c r="B2171" s="451" t="s">
        <v>23823</v>
      </c>
      <c r="C2171" s="451" t="s">
        <v>4280</v>
      </c>
      <c r="D2171" s="451" t="s">
        <v>4281</v>
      </c>
      <c r="E2171" s="451"/>
      <c r="F2171" s="451"/>
      <c r="G2171" s="451" t="s">
        <v>23824</v>
      </c>
      <c r="H2171" s="451" t="s">
        <v>22878</v>
      </c>
      <c r="I2171" s="451" t="s">
        <v>23825</v>
      </c>
      <c r="J2171" s="451" t="s">
        <v>23823</v>
      </c>
      <c r="K2171" s="451"/>
    </row>
    <row r="2172" spans="1:11">
      <c r="A2172" s="450" t="s">
        <v>4278</v>
      </c>
      <c r="B2172" s="450" t="s">
        <v>4279</v>
      </c>
      <c r="C2172" s="450" t="s">
        <v>4280</v>
      </c>
      <c r="D2172" s="450" t="s">
        <v>4281</v>
      </c>
      <c r="E2172" s="450" t="s">
        <v>4282</v>
      </c>
      <c r="F2172" s="450"/>
      <c r="G2172" s="450" t="s">
        <v>22882</v>
      </c>
      <c r="H2172" s="450" t="s">
        <v>22883</v>
      </c>
      <c r="I2172" s="450" t="s">
        <v>4281</v>
      </c>
      <c r="J2172" s="450" t="s">
        <v>30699</v>
      </c>
      <c r="K2172" s="450"/>
    </row>
    <row r="2173" spans="1:11">
      <c r="A2173" s="451" t="s">
        <v>33724</v>
      </c>
      <c r="B2173" s="451" t="s">
        <v>4284</v>
      </c>
      <c r="C2173" s="451" t="s">
        <v>4285</v>
      </c>
      <c r="D2173" s="451" t="s">
        <v>4286</v>
      </c>
      <c r="E2173" s="451"/>
      <c r="F2173" s="451"/>
      <c r="G2173" s="451" t="s">
        <v>22877</v>
      </c>
      <c r="H2173" s="451" t="s">
        <v>22878</v>
      </c>
      <c r="I2173" s="451" t="s">
        <v>33725</v>
      </c>
      <c r="J2173" s="451" t="s">
        <v>33726</v>
      </c>
      <c r="K2173" s="451"/>
    </row>
    <row r="2174" spans="1:11">
      <c r="A2174" s="450" t="s">
        <v>4283</v>
      </c>
      <c r="B2174" s="450" t="s">
        <v>4284</v>
      </c>
      <c r="C2174" s="450" t="s">
        <v>4285</v>
      </c>
      <c r="D2174" s="450" t="s">
        <v>4286</v>
      </c>
      <c r="E2174" s="450" t="s">
        <v>4287</v>
      </c>
      <c r="F2174" s="450"/>
      <c r="G2174" s="450" t="s">
        <v>22877</v>
      </c>
      <c r="H2174" s="450" t="s">
        <v>22878</v>
      </c>
      <c r="I2174" s="450" t="s">
        <v>30700</v>
      </c>
      <c r="J2174" s="450" t="s">
        <v>30701</v>
      </c>
      <c r="K2174" s="450"/>
    </row>
    <row r="2175" spans="1:11">
      <c r="A2175" s="451" t="s">
        <v>4288</v>
      </c>
      <c r="B2175" s="451"/>
      <c r="C2175" s="451" t="s">
        <v>1213</v>
      </c>
      <c r="D2175" s="451"/>
      <c r="E2175" s="451"/>
      <c r="F2175" s="451"/>
      <c r="G2175" s="451" t="s">
        <v>22877</v>
      </c>
      <c r="H2175" s="451" t="s">
        <v>22878</v>
      </c>
      <c r="I2175" s="451" t="s">
        <v>33727</v>
      </c>
      <c r="J2175" s="451" t="s">
        <v>22997</v>
      </c>
      <c r="K2175" s="451"/>
    </row>
    <row r="2176" spans="1:11">
      <c r="A2176" s="450" t="s">
        <v>4289</v>
      </c>
      <c r="B2176" s="450"/>
      <c r="C2176" s="450" t="s">
        <v>4290</v>
      </c>
      <c r="D2176" s="450"/>
      <c r="E2176" s="450"/>
      <c r="F2176" s="450"/>
      <c r="G2176" s="450" t="s">
        <v>22882</v>
      </c>
      <c r="H2176" s="450" t="s">
        <v>22883</v>
      </c>
      <c r="I2176" s="450" t="s">
        <v>33728</v>
      </c>
      <c r="J2176" s="450" t="s">
        <v>22939</v>
      </c>
      <c r="K2176" s="450"/>
    </row>
    <row r="2177" spans="1:11">
      <c r="A2177" s="451" t="s">
        <v>4291</v>
      </c>
      <c r="B2177" s="451"/>
      <c r="C2177" s="451" t="s">
        <v>4292</v>
      </c>
      <c r="D2177" s="451"/>
      <c r="E2177" s="451"/>
      <c r="F2177" s="451"/>
      <c r="G2177" s="451" t="s">
        <v>22882</v>
      </c>
      <c r="H2177" s="451" t="s">
        <v>22883</v>
      </c>
      <c r="I2177" s="451"/>
      <c r="J2177" s="451" t="s">
        <v>23184</v>
      </c>
      <c r="K2177" s="451"/>
    </row>
    <row r="2178" spans="1:11">
      <c r="A2178" s="450" t="s">
        <v>21531</v>
      </c>
      <c r="B2178" s="450"/>
      <c r="C2178" s="450" t="s">
        <v>4293</v>
      </c>
      <c r="D2178" s="450"/>
      <c r="E2178" s="450"/>
      <c r="F2178" s="450"/>
      <c r="G2178" s="450" t="s">
        <v>22877</v>
      </c>
      <c r="H2178" s="450" t="s">
        <v>22878</v>
      </c>
      <c r="I2178" s="450" t="s">
        <v>33729</v>
      </c>
      <c r="J2178" s="450" t="s">
        <v>23184</v>
      </c>
      <c r="K2178" s="450"/>
    </row>
    <row r="2179" spans="1:11">
      <c r="A2179" s="451" t="s">
        <v>4294</v>
      </c>
      <c r="B2179" s="451"/>
      <c r="C2179" s="451" t="s">
        <v>4295</v>
      </c>
      <c r="D2179" s="451"/>
      <c r="E2179" s="451"/>
      <c r="F2179" s="451"/>
      <c r="G2179" s="451" t="s">
        <v>22877</v>
      </c>
      <c r="H2179" s="451" t="s">
        <v>22878</v>
      </c>
      <c r="I2179" s="451" t="s">
        <v>23827</v>
      </c>
      <c r="J2179" s="451" t="s">
        <v>22943</v>
      </c>
      <c r="K2179" s="451"/>
    </row>
    <row r="2180" spans="1:11">
      <c r="A2180" s="450" t="s">
        <v>23826</v>
      </c>
      <c r="B2180" s="450"/>
      <c r="C2180" s="450" t="s">
        <v>4295</v>
      </c>
      <c r="D2180" s="450"/>
      <c r="E2180" s="450"/>
      <c r="F2180" s="450"/>
      <c r="G2180" s="450" t="s">
        <v>22877</v>
      </c>
      <c r="H2180" s="450" t="s">
        <v>22878</v>
      </c>
      <c r="I2180" s="450" t="s">
        <v>23827</v>
      </c>
      <c r="J2180" s="450" t="s">
        <v>23828</v>
      </c>
      <c r="K2180" s="450"/>
    </row>
    <row r="2181" spans="1:11">
      <c r="A2181" s="451" t="s">
        <v>4296</v>
      </c>
      <c r="B2181" s="451" t="s">
        <v>4297</v>
      </c>
      <c r="C2181" s="451" t="s">
        <v>4298</v>
      </c>
      <c r="D2181" s="451">
        <v>2152304260</v>
      </c>
      <c r="E2181" s="451"/>
      <c r="F2181" s="451"/>
      <c r="G2181" s="451" t="s">
        <v>22877</v>
      </c>
      <c r="H2181" s="451" t="s">
        <v>22878</v>
      </c>
      <c r="I2181" s="451" t="s">
        <v>33730</v>
      </c>
      <c r="J2181" s="451" t="s">
        <v>33731</v>
      </c>
      <c r="K2181" s="451"/>
    </row>
    <row r="2182" spans="1:11">
      <c r="A2182" s="450" t="s">
        <v>4296</v>
      </c>
      <c r="B2182" s="450" t="s">
        <v>4297</v>
      </c>
      <c r="C2182" s="450" t="s">
        <v>4298</v>
      </c>
      <c r="D2182" s="450" t="s">
        <v>4299</v>
      </c>
      <c r="E2182" s="450" t="s">
        <v>4300</v>
      </c>
      <c r="F2182" s="450"/>
      <c r="G2182" s="450" t="s">
        <v>22877</v>
      </c>
      <c r="H2182" s="450" t="s">
        <v>22878</v>
      </c>
      <c r="I2182" s="450" t="s">
        <v>4299</v>
      </c>
      <c r="J2182" s="450" t="s">
        <v>30702</v>
      </c>
      <c r="K2182" s="450"/>
    </row>
    <row r="2183" spans="1:11">
      <c r="A2183" s="451" t="s">
        <v>4301</v>
      </c>
      <c r="B2183" s="451"/>
      <c r="C2183" s="451" t="s">
        <v>4302</v>
      </c>
      <c r="D2183" s="451"/>
      <c r="E2183" s="451"/>
      <c r="F2183" s="451"/>
      <c r="G2183" s="451" t="s">
        <v>22882</v>
      </c>
      <c r="H2183" s="451" t="s">
        <v>22883</v>
      </c>
      <c r="I2183" s="451" t="s">
        <v>23829</v>
      </c>
      <c r="J2183" s="451" t="s">
        <v>22997</v>
      </c>
      <c r="K2183" s="451"/>
    </row>
    <row r="2184" spans="1:11">
      <c r="A2184" s="450" t="s">
        <v>30703</v>
      </c>
      <c r="B2184" s="450" t="s">
        <v>23830</v>
      </c>
      <c r="C2184" s="450" t="s">
        <v>4304</v>
      </c>
      <c r="D2184" s="450" t="s">
        <v>4305</v>
      </c>
      <c r="E2184" s="450"/>
      <c r="F2184" s="450"/>
      <c r="G2184" s="450" t="s">
        <v>22877</v>
      </c>
      <c r="H2184" s="450" t="s">
        <v>22878</v>
      </c>
      <c r="I2184" s="450" t="s">
        <v>23809</v>
      </c>
      <c r="J2184" s="450" t="s">
        <v>23831</v>
      </c>
      <c r="K2184" s="450"/>
    </row>
    <row r="2185" spans="1:11">
      <c r="A2185" s="451" t="s">
        <v>21532</v>
      </c>
      <c r="B2185" s="451" t="s">
        <v>4303</v>
      </c>
      <c r="C2185" s="451" t="s">
        <v>4304</v>
      </c>
      <c r="D2185" s="451" t="s">
        <v>4305</v>
      </c>
      <c r="E2185" s="451" t="s">
        <v>4306</v>
      </c>
      <c r="F2185" s="451"/>
      <c r="G2185" s="451" t="s">
        <v>22877</v>
      </c>
      <c r="H2185" s="451" t="s">
        <v>22878</v>
      </c>
      <c r="I2185" s="451" t="s">
        <v>30704</v>
      </c>
      <c r="J2185" s="451" t="s">
        <v>30705</v>
      </c>
      <c r="K2185" s="451"/>
    </row>
    <row r="2186" spans="1:11">
      <c r="A2186" s="450" t="s">
        <v>23832</v>
      </c>
      <c r="B2186" s="450" t="s">
        <v>23833</v>
      </c>
      <c r="C2186" s="450" t="s">
        <v>4311</v>
      </c>
      <c r="D2186" s="450"/>
      <c r="E2186" s="450"/>
      <c r="F2186" s="450"/>
      <c r="G2186" s="450" t="s">
        <v>22877</v>
      </c>
      <c r="H2186" s="450" t="s">
        <v>22878</v>
      </c>
      <c r="I2186" s="450" t="s">
        <v>4286</v>
      </c>
      <c r="J2186" s="450" t="s">
        <v>23834</v>
      </c>
      <c r="K2186" s="450"/>
    </row>
    <row r="2187" spans="1:11">
      <c r="A2187" s="451" t="s">
        <v>4307</v>
      </c>
      <c r="B2187" s="451"/>
      <c r="C2187" s="451" t="s">
        <v>4308</v>
      </c>
      <c r="D2187" s="451"/>
      <c r="E2187" s="451"/>
      <c r="F2187" s="451"/>
      <c r="G2187" s="451" t="s">
        <v>22877</v>
      </c>
      <c r="H2187" s="451" t="s">
        <v>22878</v>
      </c>
      <c r="I2187" s="451" t="s">
        <v>30706</v>
      </c>
      <c r="J2187" s="451" t="s">
        <v>23185</v>
      </c>
      <c r="K2187" s="451"/>
    </row>
    <row r="2188" spans="1:11">
      <c r="A2188" s="450" t="s">
        <v>4309</v>
      </c>
      <c r="B2188" s="450" t="s">
        <v>4310</v>
      </c>
      <c r="C2188" s="450" t="s">
        <v>4311</v>
      </c>
      <c r="D2188" s="450"/>
      <c r="E2188" s="450"/>
      <c r="F2188" s="450"/>
      <c r="G2188" s="450" t="s">
        <v>22877</v>
      </c>
      <c r="H2188" s="450" t="s">
        <v>22878</v>
      </c>
      <c r="I2188" s="450" t="s">
        <v>30706</v>
      </c>
      <c r="J2188" s="450" t="s">
        <v>30707</v>
      </c>
      <c r="K2188" s="450"/>
    </row>
    <row r="2189" spans="1:11">
      <c r="A2189" s="451" t="s">
        <v>4312</v>
      </c>
      <c r="B2189" s="451"/>
      <c r="C2189" s="451" t="s">
        <v>4313</v>
      </c>
      <c r="D2189" s="451"/>
      <c r="E2189" s="451"/>
      <c r="F2189" s="451"/>
      <c r="G2189" s="451" t="s">
        <v>22882</v>
      </c>
      <c r="H2189" s="451" t="s">
        <v>22883</v>
      </c>
      <c r="I2189" s="451"/>
      <c r="J2189" s="451" t="s">
        <v>22997</v>
      </c>
      <c r="K2189" s="451"/>
    </row>
    <row r="2190" spans="1:11">
      <c r="A2190" s="450" t="s">
        <v>23835</v>
      </c>
      <c r="B2190" s="450" t="s">
        <v>23836</v>
      </c>
      <c r="C2190" s="450" t="s">
        <v>23837</v>
      </c>
      <c r="D2190" s="450"/>
      <c r="E2190" s="450"/>
      <c r="F2190" s="450"/>
      <c r="G2190" s="450" t="s">
        <v>22877</v>
      </c>
      <c r="H2190" s="450" t="s">
        <v>22878</v>
      </c>
      <c r="I2190" s="450" t="s">
        <v>23838</v>
      </c>
      <c r="J2190" s="450" t="s">
        <v>23839</v>
      </c>
      <c r="K2190" s="450"/>
    </row>
    <row r="2191" spans="1:11">
      <c r="A2191" s="451" t="s">
        <v>4314</v>
      </c>
      <c r="B2191" s="451"/>
      <c r="C2191" s="451" t="s">
        <v>4315</v>
      </c>
      <c r="D2191" s="451"/>
      <c r="E2191" s="451"/>
      <c r="F2191" s="451"/>
      <c r="G2191" s="451" t="s">
        <v>22877</v>
      </c>
      <c r="H2191" s="451" t="s">
        <v>22878</v>
      </c>
      <c r="I2191" s="451" t="s">
        <v>23840</v>
      </c>
      <c r="J2191" s="451" t="s">
        <v>23729</v>
      </c>
      <c r="K2191" s="451"/>
    </row>
    <row r="2192" spans="1:11">
      <c r="A2192" s="450" t="s">
        <v>4316</v>
      </c>
      <c r="B2192" s="450" t="s">
        <v>4317</v>
      </c>
      <c r="C2192" s="450" t="s">
        <v>4318</v>
      </c>
      <c r="D2192" s="450" t="s">
        <v>4319</v>
      </c>
      <c r="E2192" s="450"/>
      <c r="F2192" s="450"/>
      <c r="G2192" s="450" t="s">
        <v>22877</v>
      </c>
      <c r="H2192" s="450" t="s">
        <v>22878</v>
      </c>
      <c r="I2192" s="450" t="s">
        <v>4319</v>
      </c>
      <c r="J2192" s="450" t="s">
        <v>23841</v>
      </c>
      <c r="K2192" s="450"/>
    </row>
    <row r="2193" spans="1:11">
      <c r="A2193" s="451" t="s">
        <v>21534</v>
      </c>
      <c r="B2193" s="451"/>
      <c r="C2193" s="451" t="s">
        <v>4321</v>
      </c>
      <c r="D2193" s="451"/>
      <c r="E2193" s="451"/>
      <c r="F2193" s="451"/>
      <c r="G2193" s="451" t="s">
        <v>22877</v>
      </c>
      <c r="H2193" s="451" t="s">
        <v>22878</v>
      </c>
      <c r="I2193" s="451" t="s">
        <v>33732</v>
      </c>
      <c r="J2193" s="451" t="s">
        <v>23185</v>
      </c>
      <c r="K2193" s="451"/>
    </row>
    <row r="2194" spans="1:11">
      <c r="A2194" s="450" t="s">
        <v>21533</v>
      </c>
      <c r="B2194" s="450"/>
      <c r="C2194" s="450" t="s">
        <v>4320</v>
      </c>
      <c r="D2194" s="450"/>
      <c r="E2194" s="450"/>
      <c r="F2194" s="450"/>
      <c r="G2194" s="450" t="s">
        <v>22882</v>
      </c>
      <c r="H2194" s="450" t="s">
        <v>22883</v>
      </c>
      <c r="I2194" s="450" t="s">
        <v>33733</v>
      </c>
      <c r="J2194" s="450" t="s">
        <v>22942</v>
      </c>
      <c r="K2194" s="450"/>
    </row>
    <row r="2195" spans="1:11">
      <c r="A2195" s="451" t="s">
        <v>4322</v>
      </c>
      <c r="B2195" s="451"/>
      <c r="C2195" s="451" t="s">
        <v>4323</v>
      </c>
      <c r="D2195" s="451"/>
      <c r="E2195" s="451"/>
      <c r="F2195" s="451"/>
      <c r="G2195" s="451" t="s">
        <v>22877</v>
      </c>
      <c r="H2195" s="451" t="s">
        <v>22878</v>
      </c>
      <c r="I2195" s="451" t="s">
        <v>33734</v>
      </c>
      <c r="J2195" s="451" t="s">
        <v>22939</v>
      </c>
      <c r="K2195" s="451"/>
    </row>
    <row r="2196" spans="1:11">
      <c r="A2196" s="450" t="s">
        <v>4324</v>
      </c>
      <c r="B2196" s="450"/>
      <c r="C2196" s="450" t="s">
        <v>4325</v>
      </c>
      <c r="D2196" s="450"/>
      <c r="E2196" s="450"/>
      <c r="F2196" s="450"/>
      <c r="G2196" s="450" t="s">
        <v>22882</v>
      </c>
      <c r="H2196" s="450" t="s">
        <v>22883</v>
      </c>
      <c r="I2196" s="450" t="s">
        <v>33735</v>
      </c>
      <c r="J2196" s="450" t="s">
        <v>33736</v>
      </c>
      <c r="K2196" s="450"/>
    </row>
    <row r="2197" spans="1:11">
      <c r="A2197" s="451" t="s">
        <v>4326</v>
      </c>
      <c r="B2197" s="451"/>
      <c r="C2197" s="451" t="s">
        <v>4327</v>
      </c>
      <c r="D2197" s="451"/>
      <c r="E2197" s="451"/>
      <c r="F2197" s="451"/>
      <c r="G2197" s="451" t="s">
        <v>22877</v>
      </c>
      <c r="H2197" s="451" t="s">
        <v>22878</v>
      </c>
      <c r="I2197" s="451" t="s">
        <v>33737</v>
      </c>
      <c r="J2197" s="451" t="s">
        <v>22943</v>
      </c>
      <c r="K2197" s="451"/>
    </row>
    <row r="2198" spans="1:11">
      <c r="A2198" s="450" t="s">
        <v>4328</v>
      </c>
      <c r="B2198" s="450"/>
      <c r="C2198" s="450" t="s">
        <v>4329</v>
      </c>
      <c r="D2198" s="450"/>
      <c r="E2198" s="450"/>
      <c r="F2198" s="450"/>
      <c r="G2198" s="450" t="s">
        <v>22882</v>
      </c>
      <c r="H2198" s="450" t="s">
        <v>22883</v>
      </c>
      <c r="I2198" s="450" t="s">
        <v>33738</v>
      </c>
      <c r="J2198" s="450" t="s">
        <v>23184</v>
      </c>
      <c r="K2198" s="450"/>
    </row>
    <row r="2199" spans="1:11">
      <c r="A2199" s="451" t="s">
        <v>4330</v>
      </c>
      <c r="B2199" s="451"/>
      <c r="C2199" s="451" t="s">
        <v>4331</v>
      </c>
      <c r="D2199" s="451"/>
      <c r="E2199" s="451"/>
      <c r="F2199" s="451"/>
      <c r="G2199" s="451" t="s">
        <v>22877</v>
      </c>
      <c r="H2199" s="451" t="s">
        <v>22878</v>
      </c>
      <c r="I2199" s="451" t="s">
        <v>33739</v>
      </c>
      <c r="J2199" s="451" t="s">
        <v>23184</v>
      </c>
      <c r="K2199" s="451"/>
    </row>
    <row r="2200" spans="1:11">
      <c r="A2200" s="450" t="s">
        <v>4332</v>
      </c>
      <c r="B2200" s="450"/>
      <c r="C2200" s="450" t="s">
        <v>4333</v>
      </c>
      <c r="D2200" s="450"/>
      <c r="E2200" s="450"/>
      <c r="F2200" s="450"/>
      <c r="G2200" s="450" t="s">
        <v>22882</v>
      </c>
      <c r="H2200" s="450" t="s">
        <v>22883</v>
      </c>
      <c r="I2200" s="450"/>
      <c r="J2200" s="450" t="s">
        <v>23185</v>
      </c>
      <c r="K2200" s="450"/>
    </row>
    <row r="2201" spans="1:11">
      <c r="A2201" s="451" t="s">
        <v>4334</v>
      </c>
      <c r="B2201" s="451"/>
      <c r="C2201" s="451" t="s">
        <v>4335</v>
      </c>
      <c r="D2201" s="451"/>
      <c r="E2201" s="451"/>
      <c r="F2201" s="451"/>
      <c r="G2201" s="451" t="s">
        <v>22882</v>
      </c>
      <c r="H2201" s="451" t="s">
        <v>22883</v>
      </c>
      <c r="I2201" s="451" t="s">
        <v>23842</v>
      </c>
      <c r="J2201" s="451" t="s">
        <v>22943</v>
      </c>
      <c r="K2201" s="451"/>
    </row>
    <row r="2202" spans="1:11">
      <c r="A2202" s="450" t="s">
        <v>4336</v>
      </c>
      <c r="B2202" s="450" t="s">
        <v>4337</v>
      </c>
      <c r="C2202" s="450" t="s">
        <v>4338</v>
      </c>
      <c r="D2202" s="450"/>
      <c r="E2202" s="450"/>
      <c r="F2202" s="450"/>
      <c r="G2202" s="450" t="s">
        <v>22882</v>
      </c>
      <c r="H2202" s="450" t="s">
        <v>22883</v>
      </c>
      <c r="I2202" s="450" t="s">
        <v>23843</v>
      </c>
      <c r="J2202" s="450" t="s">
        <v>23844</v>
      </c>
      <c r="K2202" s="450"/>
    </row>
    <row r="2203" spans="1:11">
      <c r="A2203" s="451" t="s">
        <v>33740</v>
      </c>
      <c r="B2203" s="451" t="s">
        <v>4340</v>
      </c>
      <c r="C2203" s="451" t="s">
        <v>4341</v>
      </c>
      <c r="D2203" s="451"/>
      <c r="E2203" s="451"/>
      <c r="F2203" s="451" t="s">
        <v>4342</v>
      </c>
      <c r="G2203" s="451" t="s">
        <v>22877</v>
      </c>
      <c r="H2203" s="451" t="s">
        <v>22878</v>
      </c>
      <c r="I2203" s="451" t="s">
        <v>33741</v>
      </c>
      <c r="J2203" s="451" t="s">
        <v>33742</v>
      </c>
      <c r="K2203" s="451"/>
    </row>
    <row r="2204" spans="1:11">
      <c r="A2204" s="450" t="s">
        <v>4339</v>
      </c>
      <c r="B2204" s="450" t="s">
        <v>4340</v>
      </c>
      <c r="C2204" s="450" t="s">
        <v>4341</v>
      </c>
      <c r="D2204" s="450"/>
      <c r="E2204" s="450"/>
      <c r="F2204" s="450" t="s">
        <v>4342</v>
      </c>
      <c r="G2204" s="450" t="s">
        <v>22877</v>
      </c>
      <c r="H2204" s="450" t="s">
        <v>22878</v>
      </c>
      <c r="I2204" s="450" t="s">
        <v>30708</v>
      </c>
      <c r="J2204" s="450" t="s">
        <v>30709</v>
      </c>
      <c r="K2204" s="450"/>
    </row>
    <row r="2205" spans="1:11">
      <c r="A2205" s="451" t="s">
        <v>4343</v>
      </c>
      <c r="B2205" s="451"/>
      <c r="C2205" s="451" t="s">
        <v>4344</v>
      </c>
      <c r="D2205" s="451"/>
      <c r="E2205" s="451"/>
      <c r="F2205" s="451"/>
      <c r="G2205" s="451" t="s">
        <v>22877</v>
      </c>
      <c r="H2205" s="451" t="s">
        <v>22878</v>
      </c>
      <c r="I2205" s="451" t="s">
        <v>33743</v>
      </c>
      <c r="J2205" s="451" t="s">
        <v>23184</v>
      </c>
      <c r="K2205" s="451"/>
    </row>
    <row r="2206" spans="1:11">
      <c r="A2206" s="450" t="s">
        <v>4345</v>
      </c>
      <c r="B2206" s="450"/>
      <c r="C2206" s="450" t="s">
        <v>4346</v>
      </c>
      <c r="D2206" s="450"/>
      <c r="E2206" s="450"/>
      <c r="F2206" s="450"/>
      <c r="G2206" s="450" t="s">
        <v>22877</v>
      </c>
      <c r="H2206" s="450" t="s">
        <v>22878</v>
      </c>
      <c r="I2206" s="450" t="s">
        <v>23845</v>
      </c>
      <c r="J2206" s="450" t="s">
        <v>22943</v>
      </c>
      <c r="K2206" s="450"/>
    </row>
    <row r="2207" spans="1:11">
      <c r="A2207" s="451" t="s">
        <v>23846</v>
      </c>
      <c r="B2207" s="451" t="s">
        <v>23847</v>
      </c>
      <c r="C2207" s="451" t="s">
        <v>23848</v>
      </c>
      <c r="D2207" s="451"/>
      <c r="E2207" s="451"/>
      <c r="F2207" s="451"/>
      <c r="G2207" s="451" t="s">
        <v>22877</v>
      </c>
      <c r="H2207" s="451" t="s">
        <v>22878</v>
      </c>
      <c r="I2207" s="451" t="s">
        <v>23849</v>
      </c>
      <c r="J2207" s="451" t="s">
        <v>23850</v>
      </c>
      <c r="K2207" s="451"/>
    </row>
    <row r="2208" spans="1:11">
      <c r="A2208" s="450" t="s">
        <v>4347</v>
      </c>
      <c r="B2208" s="450"/>
      <c r="C2208" s="450" t="s">
        <v>4348</v>
      </c>
      <c r="D2208" s="450"/>
      <c r="E2208" s="450"/>
      <c r="F2208" s="450"/>
      <c r="G2208" s="450" t="s">
        <v>22877</v>
      </c>
      <c r="H2208" s="450" t="s">
        <v>22878</v>
      </c>
      <c r="I2208" s="450" t="s">
        <v>33744</v>
      </c>
      <c r="J2208" s="450" t="s">
        <v>22943</v>
      </c>
      <c r="K2208" s="450"/>
    </row>
    <row r="2209" spans="1:11">
      <c r="A2209" s="451" t="s">
        <v>4349</v>
      </c>
      <c r="B2209" s="451"/>
      <c r="C2209" s="451" t="s">
        <v>4350</v>
      </c>
      <c r="D2209" s="451"/>
      <c r="E2209" s="451"/>
      <c r="F2209" s="451"/>
      <c r="G2209" s="451" t="s">
        <v>22882</v>
      </c>
      <c r="H2209" s="451" t="s">
        <v>22883</v>
      </c>
      <c r="I2209" s="451" t="s">
        <v>33745</v>
      </c>
      <c r="J2209" s="451" t="s">
        <v>23185</v>
      </c>
      <c r="K2209" s="451"/>
    </row>
    <row r="2210" spans="1:11">
      <c r="A2210" s="450" t="s">
        <v>4351</v>
      </c>
      <c r="B2210" s="450"/>
      <c r="C2210" s="450" t="s">
        <v>2138</v>
      </c>
      <c r="D2210" s="450"/>
      <c r="E2210" s="450"/>
      <c r="F2210" s="450"/>
      <c r="G2210" s="450" t="s">
        <v>22877</v>
      </c>
      <c r="H2210" s="450" t="s">
        <v>22878</v>
      </c>
      <c r="I2210" s="450" t="s">
        <v>33746</v>
      </c>
      <c r="J2210" s="450" t="s">
        <v>23185</v>
      </c>
      <c r="K2210" s="450"/>
    </row>
    <row r="2211" spans="1:11">
      <c r="A2211" s="451" t="s">
        <v>4352</v>
      </c>
      <c r="B2211" s="451"/>
      <c r="C2211" s="451" t="s">
        <v>4353</v>
      </c>
      <c r="D2211" s="451"/>
      <c r="E2211" s="451"/>
      <c r="F2211" s="451"/>
      <c r="G2211" s="451" t="s">
        <v>22877</v>
      </c>
      <c r="H2211" s="451" t="s">
        <v>22878</v>
      </c>
      <c r="I2211" s="451" t="s">
        <v>33747</v>
      </c>
      <c r="J2211" s="451" t="s">
        <v>23185</v>
      </c>
      <c r="K2211" s="451"/>
    </row>
    <row r="2212" spans="1:11">
      <c r="A2212" s="450" t="s">
        <v>21535</v>
      </c>
      <c r="B2212" s="450"/>
      <c r="C2212" s="450" t="s">
        <v>3064</v>
      </c>
      <c r="D2212" s="450"/>
      <c r="E2212" s="450"/>
      <c r="F2212" s="450"/>
      <c r="G2212" s="450" t="s">
        <v>22877</v>
      </c>
      <c r="H2212" s="450" t="s">
        <v>22878</v>
      </c>
      <c r="I2212" s="450" t="s">
        <v>33748</v>
      </c>
      <c r="J2212" s="450" t="s">
        <v>23184</v>
      </c>
      <c r="K2212" s="450"/>
    </row>
    <row r="2213" spans="1:11">
      <c r="A2213" s="451" t="s">
        <v>4354</v>
      </c>
      <c r="B2213" s="451"/>
      <c r="C2213" s="451" t="s">
        <v>4355</v>
      </c>
      <c r="D2213" s="451"/>
      <c r="E2213" s="451"/>
      <c r="F2213" s="451"/>
      <c r="G2213" s="451" t="s">
        <v>22877</v>
      </c>
      <c r="H2213" s="451" t="s">
        <v>22878</v>
      </c>
      <c r="I2213" s="451" t="s">
        <v>33749</v>
      </c>
      <c r="J2213" s="451" t="s">
        <v>22939</v>
      </c>
      <c r="K2213" s="451"/>
    </row>
    <row r="2214" spans="1:11">
      <c r="A2214" s="450" t="s">
        <v>4356</v>
      </c>
      <c r="B2214" s="450"/>
      <c r="C2214" s="450" t="s">
        <v>4357</v>
      </c>
      <c r="D2214" s="450"/>
      <c r="E2214" s="450"/>
      <c r="F2214" s="450"/>
      <c r="G2214" s="450" t="s">
        <v>22877</v>
      </c>
      <c r="H2214" s="450" t="s">
        <v>22878</v>
      </c>
      <c r="I2214" s="450" t="s">
        <v>23851</v>
      </c>
      <c r="J2214" s="450" t="s">
        <v>23185</v>
      </c>
      <c r="K2214" s="450"/>
    </row>
    <row r="2215" spans="1:11">
      <c r="A2215" s="451" t="s">
        <v>4358</v>
      </c>
      <c r="B2215" s="451" t="s">
        <v>23852</v>
      </c>
      <c r="C2215" s="451" t="s">
        <v>4360</v>
      </c>
      <c r="D2215" s="451" t="s">
        <v>4361</v>
      </c>
      <c r="E2215" s="451"/>
      <c r="F2215" s="451"/>
      <c r="G2215" s="451" t="s">
        <v>22877</v>
      </c>
      <c r="H2215" s="451" t="s">
        <v>22878</v>
      </c>
      <c r="I2215" s="451" t="s">
        <v>23853</v>
      </c>
      <c r="J2215" s="451" t="s">
        <v>23854</v>
      </c>
      <c r="K2215" s="451"/>
    </row>
    <row r="2216" spans="1:11">
      <c r="A2216" s="450" t="s">
        <v>4358</v>
      </c>
      <c r="B2216" s="450" t="s">
        <v>4359</v>
      </c>
      <c r="C2216" s="450" t="s">
        <v>4360</v>
      </c>
      <c r="D2216" s="450" t="s">
        <v>4361</v>
      </c>
      <c r="E2216" s="450" t="s">
        <v>4362</v>
      </c>
      <c r="F2216" s="450"/>
      <c r="G2216" s="450" t="s">
        <v>22877</v>
      </c>
      <c r="H2216" s="450" t="s">
        <v>22878</v>
      </c>
      <c r="I2216" s="450" t="s">
        <v>30710</v>
      </c>
      <c r="J2216" s="450" t="s">
        <v>30711</v>
      </c>
      <c r="K2216" s="450"/>
    </row>
    <row r="2217" spans="1:11">
      <c r="A2217" s="451" t="s">
        <v>4363</v>
      </c>
      <c r="B2217" s="451"/>
      <c r="C2217" s="451" t="s">
        <v>2772</v>
      </c>
      <c r="D2217" s="451"/>
      <c r="E2217" s="451"/>
      <c r="F2217" s="451"/>
      <c r="G2217" s="451" t="s">
        <v>22882</v>
      </c>
      <c r="H2217" s="451" t="s">
        <v>22883</v>
      </c>
      <c r="I2217" s="451" t="s">
        <v>33750</v>
      </c>
      <c r="J2217" s="451" t="s">
        <v>23185</v>
      </c>
      <c r="K2217" s="451"/>
    </row>
    <row r="2218" spans="1:11">
      <c r="A2218" s="450" t="s">
        <v>4364</v>
      </c>
      <c r="B2218" s="450"/>
      <c r="C2218" s="450" t="s">
        <v>4365</v>
      </c>
      <c r="D2218" s="450"/>
      <c r="E2218" s="450"/>
      <c r="F2218" s="450"/>
      <c r="G2218" s="450" t="s">
        <v>22877</v>
      </c>
      <c r="H2218" s="450" t="s">
        <v>22878</v>
      </c>
      <c r="I2218" s="450" t="s">
        <v>23855</v>
      </c>
      <c r="J2218" s="450" t="s">
        <v>22997</v>
      </c>
      <c r="K2218" s="450"/>
    </row>
    <row r="2219" spans="1:11">
      <c r="A2219" s="451" t="s">
        <v>23856</v>
      </c>
      <c r="B2219" s="451" t="s">
        <v>23857</v>
      </c>
      <c r="C2219" s="451" t="s">
        <v>23858</v>
      </c>
      <c r="D2219" s="451"/>
      <c r="E2219" s="451"/>
      <c r="F2219" s="451"/>
      <c r="G2219" s="451" t="s">
        <v>22877</v>
      </c>
      <c r="H2219" s="451" t="s">
        <v>22878</v>
      </c>
      <c r="I2219" s="451" t="s">
        <v>23859</v>
      </c>
      <c r="J2219" s="451" t="s">
        <v>23860</v>
      </c>
      <c r="K2219" s="451"/>
    </row>
    <row r="2220" spans="1:11">
      <c r="A2220" s="450" t="s">
        <v>4366</v>
      </c>
      <c r="B2220" s="450"/>
      <c r="C2220" s="450" t="s">
        <v>4367</v>
      </c>
      <c r="D2220" s="450"/>
      <c r="E2220" s="450"/>
      <c r="F2220" s="450"/>
      <c r="G2220" s="450" t="s">
        <v>22877</v>
      </c>
      <c r="H2220" s="450" t="s">
        <v>22878</v>
      </c>
      <c r="I2220" s="450" t="s">
        <v>33751</v>
      </c>
      <c r="J2220" s="450" t="s">
        <v>22948</v>
      </c>
      <c r="K2220" s="450"/>
    </row>
    <row r="2221" spans="1:11">
      <c r="A2221" s="451" t="s">
        <v>4366</v>
      </c>
      <c r="B2221" s="451"/>
      <c r="C2221" s="451" t="s">
        <v>4367</v>
      </c>
      <c r="D2221" s="451"/>
      <c r="E2221" s="451" t="s">
        <v>4368</v>
      </c>
      <c r="F2221" s="451"/>
      <c r="G2221" s="451" t="s">
        <v>22877</v>
      </c>
      <c r="H2221" s="451" t="s">
        <v>22878</v>
      </c>
      <c r="I2221" s="451" t="s">
        <v>33752</v>
      </c>
      <c r="J2221" s="451" t="s">
        <v>22948</v>
      </c>
      <c r="K2221" s="451"/>
    </row>
    <row r="2222" spans="1:11">
      <c r="A2222" s="450" t="s">
        <v>33753</v>
      </c>
      <c r="B2222" s="450"/>
      <c r="C2222" s="450" t="s">
        <v>4370</v>
      </c>
      <c r="D2222" s="450"/>
      <c r="E2222" s="450"/>
      <c r="F2222" s="450"/>
      <c r="G2222" s="450" t="s">
        <v>22882</v>
      </c>
      <c r="H2222" s="450" t="s">
        <v>22883</v>
      </c>
      <c r="I2222" s="450" t="s">
        <v>33754</v>
      </c>
      <c r="J2222" s="450" t="s">
        <v>22997</v>
      </c>
      <c r="K2222" s="450"/>
    </row>
    <row r="2223" spans="1:11">
      <c r="A2223" s="451" t="s">
        <v>4369</v>
      </c>
      <c r="B2223" s="451"/>
      <c r="C2223" s="451" t="s">
        <v>4370</v>
      </c>
      <c r="D2223" s="451"/>
      <c r="E2223" s="451"/>
      <c r="F2223" s="451"/>
      <c r="G2223" s="451" t="s">
        <v>22877</v>
      </c>
      <c r="H2223" s="451" t="s">
        <v>22878</v>
      </c>
      <c r="I2223" s="451" t="s">
        <v>33755</v>
      </c>
      <c r="J2223" s="451" t="s">
        <v>23185</v>
      </c>
      <c r="K2223" s="451"/>
    </row>
    <row r="2224" spans="1:11">
      <c r="A2224" s="450" t="s">
        <v>21536</v>
      </c>
      <c r="B2224" s="450"/>
      <c r="C2224" s="450" t="s">
        <v>4124</v>
      </c>
      <c r="D2224" s="450"/>
      <c r="E2224" s="450"/>
      <c r="F2224" s="450"/>
      <c r="G2224" s="450" t="s">
        <v>22877</v>
      </c>
      <c r="H2224" s="450" t="s">
        <v>22878</v>
      </c>
      <c r="I2224" s="450" t="s">
        <v>33756</v>
      </c>
      <c r="J2224" s="450" t="s">
        <v>22997</v>
      </c>
      <c r="K2224" s="450"/>
    </row>
    <row r="2225" spans="1:11">
      <c r="A2225" s="451" t="s">
        <v>4371</v>
      </c>
      <c r="B2225" s="451"/>
      <c r="C2225" s="451" t="s">
        <v>4174</v>
      </c>
      <c r="D2225" s="451"/>
      <c r="E2225" s="451"/>
      <c r="F2225" s="451"/>
      <c r="G2225" s="451" t="s">
        <v>22882</v>
      </c>
      <c r="H2225" s="451" t="s">
        <v>22883</v>
      </c>
      <c r="I2225" s="451" t="s">
        <v>33757</v>
      </c>
      <c r="J2225" s="451" t="s">
        <v>23185</v>
      </c>
      <c r="K2225" s="451"/>
    </row>
    <row r="2226" spans="1:11">
      <c r="A2226" s="450" t="s">
        <v>4372</v>
      </c>
      <c r="B2226" s="450"/>
      <c r="C2226" s="450" t="s">
        <v>3894</v>
      </c>
      <c r="D2226" s="450"/>
      <c r="E2226" s="450"/>
      <c r="F2226" s="450"/>
      <c r="G2226" s="450" t="s">
        <v>22882</v>
      </c>
      <c r="H2226" s="450" t="s">
        <v>22883</v>
      </c>
      <c r="I2226" s="450" t="s">
        <v>33758</v>
      </c>
      <c r="J2226" s="450" t="s">
        <v>22997</v>
      </c>
      <c r="K2226" s="450"/>
    </row>
    <row r="2227" spans="1:11">
      <c r="A2227" s="451" t="s">
        <v>33759</v>
      </c>
      <c r="B2227" s="451"/>
      <c r="C2227" s="451" t="s">
        <v>3053</v>
      </c>
      <c r="D2227" s="451"/>
      <c r="E2227" s="451"/>
      <c r="F2227" s="451"/>
      <c r="G2227" s="451" t="s">
        <v>22877</v>
      </c>
      <c r="H2227" s="451" t="s">
        <v>22878</v>
      </c>
      <c r="I2227" s="451" t="s">
        <v>33760</v>
      </c>
      <c r="J2227" s="451" t="s">
        <v>22942</v>
      </c>
      <c r="K2227" s="451"/>
    </row>
    <row r="2228" spans="1:11">
      <c r="A2228" s="450" t="s">
        <v>4373</v>
      </c>
      <c r="B2228" s="450"/>
      <c r="C2228" s="450" t="s">
        <v>3053</v>
      </c>
      <c r="D2228" s="450"/>
      <c r="E2228" s="450"/>
      <c r="F2228" s="450"/>
      <c r="G2228" s="450" t="s">
        <v>22877</v>
      </c>
      <c r="H2228" s="450" t="s">
        <v>22878</v>
      </c>
      <c r="I2228" s="450" t="s">
        <v>33761</v>
      </c>
      <c r="J2228" s="450" t="s">
        <v>23121</v>
      </c>
      <c r="K2228" s="450"/>
    </row>
    <row r="2229" spans="1:11">
      <c r="A2229" s="451" t="s">
        <v>21537</v>
      </c>
      <c r="B2229" s="451"/>
      <c r="C2229" s="451" t="s">
        <v>2466</v>
      </c>
      <c r="D2229" s="451"/>
      <c r="E2229" s="451"/>
      <c r="F2229" s="451"/>
      <c r="G2229" s="451" t="s">
        <v>22882</v>
      </c>
      <c r="H2229" s="451" t="s">
        <v>22883</v>
      </c>
      <c r="I2229" s="451" t="s">
        <v>33762</v>
      </c>
      <c r="J2229" s="451" t="s">
        <v>23185</v>
      </c>
      <c r="K2229" s="451"/>
    </row>
    <row r="2230" spans="1:11">
      <c r="A2230" s="450" t="s">
        <v>4374</v>
      </c>
      <c r="B2230" s="450"/>
      <c r="C2230" s="450" t="s">
        <v>4375</v>
      </c>
      <c r="D2230" s="450"/>
      <c r="E2230" s="450"/>
      <c r="F2230" s="450"/>
      <c r="G2230" s="450" t="s">
        <v>22882</v>
      </c>
      <c r="H2230" s="450" t="s">
        <v>22883</v>
      </c>
      <c r="I2230" s="450"/>
      <c r="J2230" s="450" t="s">
        <v>22948</v>
      </c>
      <c r="K2230" s="450"/>
    </row>
    <row r="2231" spans="1:11">
      <c r="A2231" s="451" t="s">
        <v>23861</v>
      </c>
      <c r="B2231" s="451"/>
      <c r="C2231" s="451" t="s">
        <v>4381</v>
      </c>
      <c r="D2231" s="451"/>
      <c r="E2231" s="451"/>
      <c r="F2231" s="451"/>
      <c r="G2231" s="451" t="s">
        <v>22877</v>
      </c>
      <c r="H2231" s="451" t="s">
        <v>22878</v>
      </c>
      <c r="I2231" s="451" t="s">
        <v>23862</v>
      </c>
      <c r="J2231" s="451" t="s">
        <v>23443</v>
      </c>
      <c r="K2231" s="451"/>
    </row>
    <row r="2232" spans="1:11">
      <c r="A2232" s="450" t="s">
        <v>33763</v>
      </c>
      <c r="B2232" s="450" t="s">
        <v>4377</v>
      </c>
      <c r="C2232" s="450" t="s">
        <v>4378</v>
      </c>
      <c r="D2232" s="450" t="s">
        <v>4379</v>
      </c>
      <c r="E2232" s="450"/>
      <c r="F2232" s="450"/>
      <c r="G2232" s="450" t="s">
        <v>22882</v>
      </c>
      <c r="H2232" s="450" t="s">
        <v>22883</v>
      </c>
      <c r="I2232" s="450" t="s">
        <v>33764</v>
      </c>
      <c r="J2232" s="450" t="s">
        <v>33765</v>
      </c>
      <c r="K2232" s="450"/>
    </row>
    <row r="2233" spans="1:11">
      <c r="A2233" s="451" t="s">
        <v>4376</v>
      </c>
      <c r="B2233" s="451" t="s">
        <v>4377</v>
      </c>
      <c r="C2233" s="451" t="s">
        <v>4378</v>
      </c>
      <c r="D2233" s="451" t="s">
        <v>4379</v>
      </c>
      <c r="E2233" s="451"/>
      <c r="F2233" s="451"/>
      <c r="G2233" s="451" t="s">
        <v>22877</v>
      </c>
      <c r="H2233" s="451" t="s">
        <v>22878</v>
      </c>
      <c r="I2233" s="451" t="s">
        <v>30712</v>
      </c>
      <c r="J2233" s="451" t="s">
        <v>30713</v>
      </c>
      <c r="K2233" s="451"/>
    </row>
    <row r="2234" spans="1:11">
      <c r="A2234" s="450" t="s">
        <v>4380</v>
      </c>
      <c r="B2234" s="450"/>
      <c r="C2234" s="450" t="s">
        <v>4381</v>
      </c>
      <c r="D2234" s="450"/>
      <c r="E2234" s="450"/>
      <c r="F2234" s="450"/>
      <c r="G2234" s="450" t="s">
        <v>22877</v>
      </c>
      <c r="H2234" s="450" t="s">
        <v>22878</v>
      </c>
      <c r="I2234" s="450" t="s">
        <v>33766</v>
      </c>
      <c r="J2234" s="450" t="s">
        <v>22948</v>
      </c>
      <c r="K2234" s="450"/>
    </row>
    <row r="2235" spans="1:11">
      <c r="A2235" s="451" t="s">
        <v>33767</v>
      </c>
      <c r="B2235" s="451"/>
      <c r="C2235" s="451" t="s">
        <v>4383</v>
      </c>
      <c r="D2235" s="451"/>
      <c r="E2235" s="451"/>
      <c r="F2235" s="451"/>
      <c r="G2235" s="451" t="s">
        <v>22877</v>
      </c>
      <c r="H2235" s="451" t="s">
        <v>22878</v>
      </c>
      <c r="I2235" s="451" t="s">
        <v>33768</v>
      </c>
      <c r="J2235" s="451" t="s">
        <v>22942</v>
      </c>
      <c r="K2235" s="451"/>
    </row>
    <row r="2236" spans="1:11">
      <c r="A2236" s="450" t="s">
        <v>4382</v>
      </c>
      <c r="B2236" s="450"/>
      <c r="C2236" s="450" t="s">
        <v>4383</v>
      </c>
      <c r="D2236" s="450"/>
      <c r="E2236" s="450"/>
      <c r="F2236" s="450"/>
      <c r="G2236" s="450" t="s">
        <v>22877</v>
      </c>
      <c r="H2236" s="450" t="s">
        <v>22878</v>
      </c>
      <c r="I2236" s="450" t="s">
        <v>30714</v>
      </c>
      <c r="J2236" s="450" t="s">
        <v>22942</v>
      </c>
      <c r="K2236" s="450"/>
    </row>
    <row r="2237" spans="1:11">
      <c r="A2237" s="451" t="s">
        <v>4384</v>
      </c>
      <c r="B2237" s="451" t="s">
        <v>4385</v>
      </c>
      <c r="C2237" s="451" t="s">
        <v>2168</v>
      </c>
      <c r="D2237" s="451" t="s">
        <v>4386</v>
      </c>
      <c r="E2237" s="451" t="s">
        <v>4387</v>
      </c>
      <c r="F2237" s="451"/>
      <c r="G2237" s="451" t="s">
        <v>22877</v>
      </c>
      <c r="H2237" s="451" t="s">
        <v>22878</v>
      </c>
      <c r="I2237" s="451" t="s">
        <v>4386</v>
      </c>
      <c r="J2237" s="451" t="s">
        <v>30715</v>
      </c>
      <c r="K2237" s="451"/>
    </row>
    <row r="2238" spans="1:11">
      <c r="A2238" s="450" t="s">
        <v>4388</v>
      </c>
      <c r="B2238" s="450" t="s">
        <v>4389</v>
      </c>
      <c r="C2238" s="450" t="s">
        <v>4390</v>
      </c>
      <c r="D2238" s="450" t="s">
        <v>4391</v>
      </c>
      <c r="E2238" s="450" t="s">
        <v>4392</v>
      </c>
      <c r="F2238" s="450"/>
      <c r="G2238" s="450" t="s">
        <v>22877</v>
      </c>
      <c r="H2238" s="450" t="s">
        <v>22878</v>
      </c>
      <c r="I2238" s="450" t="s">
        <v>30716</v>
      </c>
      <c r="J2238" s="450" t="s">
        <v>30717</v>
      </c>
      <c r="K2238" s="450"/>
    </row>
    <row r="2239" spans="1:11">
      <c r="A2239" s="451" t="s">
        <v>33769</v>
      </c>
      <c r="B2239" s="451" t="s">
        <v>4394</v>
      </c>
      <c r="C2239" s="451" t="s">
        <v>4395</v>
      </c>
      <c r="D2239" s="451" t="s">
        <v>4396</v>
      </c>
      <c r="E2239" s="451"/>
      <c r="F2239" s="451"/>
      <c r="G2239" s="451" t="s">
        <v>22877</v>
      </c>
      <c r="H2239" s="451" t="s">
        <v>22878</v>
      </c>
      <c r="I2239" s="451" t="s">
        <v>33770</v>
      </c>
      <c r="J2239" s="451" t="s">
        <v>33771</v>
      </c>
      <c r="K2239" s="451"/>
    </row>
    <row r="2240" spans="1:11">
      <c r="A2240" s="450" t="s">
        <v>4393</v>
      </c>
      <c r="B2240" s="450" t="s">
        <v>4394</v>
      </c>
      <c r="C2240" s="450" t="s">
        <v>4395</v>
      </c>
      <c r="D2240" s="450" t="s">
        <v>4396</v>
      </c>
      <c r="E2240" s="450" t="s">
        <v>4397</v>
      </c>
      <c r="F2240" s="450"/>
      <c r="G2240" s="450" t="s">
        <v>30718</v>
      </c>
      <c r="H2240" s="450" t="s">
        <v>22878</v>
      </c>
      <c r="I2240" s="450" t="s">
        <v>4396</v>
      </c>
      <c r="J2240" s="450" t="s">
        <v>4394</v>
      </c>
      <c r="K2240" s="450"/>
    </row>
    <row r="2241" spans="1:11">
      <c r="A2241" s="451" t="s">
        <v>23863</v>
      </c>
      <c r="B2241" s="451" t="s">
        <v>23864</v>
      </c>
      <c r="C2241" s="451" t="s">
        <v>23865</v>
      </c>
      <c r="D2241" s="451"/>
      <c r="E2241" s="451"/>
      <c r="F2241" s="451"/>
      <c r="G2241" s="451" t="s">
        <v>22877</v>
      </c>
      <c r="H2241" s="451" t="s">
        <v>22878</v>
      </c>
      <c r="I2241" s="451" t="s">
        <v>23866</v>
      </c>
      <c r="J2241" s="451" t="s">
        <v>23867</v>
      </c>
      <c r="K2241" s="451"/>
    </row>
    <row r="2242" spans="1:11">
      <c r="A2242" s="450" t="s">
        <v>4398</v>
      </c>
      <c r="B2242" s="450" t="s">
        <v>4399</v>
      </c>
      <c r="C2242" s="450" t="s">
        <v>4400</v>
      </c>
      <c r="D2242" s="450" t="s">
        <v>4401</v>
      </c>
      <c r="E2242" s="450"/>
      <c r="F2242" s="450"/>
      <c r="G2242" s="450" t="s">
        <v>22877</v>
      </c>
      <c r="H2242" s="450" t="s">
        <v>22878</v>
      </c>
      <c r="I2242" s="450" t="s">
        <v>23868</v>
      </c>
      <c r="J2242" s="450" t="s">
        <v>33772</v>
      </c>
      <c r="K2242" s="450"/>
    </row>
    <row r="2243" spans="1:11">
      <c r="A2243" s="451" t="s">
        <v>4398</v>
      </c>
      <c r="B2243" s="451" t="s">
        <v>4399</v>
      </c>
      <c r="C2243" s="451" t="s">
        <v>4400</v>
      </c>
      <c r="D2243" s="451" t="s">
        <v>4401</v>
      </c>
      <c r="E2243" s="451" t="s">
        <v>4402</v>
      </c>
      <c r="F2243" s="451"/>
      <c r="G2243" s="451" t="s">
        <v>22877</v>
      </c>
      <c r="H2243" s="451" t="s">
        <v>22878</v>
      </c>
      <c r="I2243" s="451"/>
      <c r="J2243" s="451" t="s">
        <v>30719</v>
      </c>
      <c r="K2243" s="451"/>
    </row>
    <row r="2244" spans="1:11">
      <c r="A2244" s="450" t="s">
        <v>4403</v>
      </c>
      <c r="B2244" s="450" t="s">
        <v>4404</v>
      </c>
      <c r="C2244" s="450" t="s">
        <v>4405</v>
      </c>
      <c r="D2244" s="450"/>
      <c r="E2244" s="450"/>
      <c r="F2244" s="450"/>
      <c r="G2244" s="450" t="s">
        <v>22877</v>
      </c>
      <c r="H2244" s="450" t="s">
        <v>22878</v>
      </c>
      <c r="I2244" s="450" t="s">
        <v>30720</v>
      </c>
      <c r="J2244" s="450" t="s">
        <v>30721</v>
      </c>
      <c r="K2244" s="450"/>
    </row>
    <row r="2245" spans="1:11">
      <c r="A2245" s="451" t="s">
        <v>4406</v>
      </c>
      <c r="B2245" s="451"/>
      <c r="C2245" s="451" t="s">
        <v>4407</v>
      </c>
      <c r="D2245" s="451"/>
      <c r="E2245" s="451"/>
      <c r="F2245" s="451"/>
      <c r="G2245" s="451" t="s">
        <v>22882</v>
      </c>
      <c r="H2245" s="451" t="s">
        <v>22883</v>
      </c>
      <c r="I2245" s="451" t="s">
        <v>23869</v>
      </c>
      <c r="J2245" s="451" t="s">
        <v>23185</v>
      </c>
      <c r="K2245" s="451"/>
    </row>
    <row r="2246" spans="1:11">
      <c r="A2246" s="450" t="s">
        <v>33773</v>
      </c>
      <c r="B2246" s="450" t="s">
        <v>4409</v>
      </c>
      <c r="C2246" s="450" t="s">
        <v>4410</v>
      </c>
      <c r="D2246" s="450"/>
      <c r="E2246" s="450"/>
      <c r="F2246" s="450"/>
      <c r="G2246" s="450" t="s">
        <v>22877</v>
      </c>
      <c r="H2246" s="450" t="s">
        <v>22878</v>
      </c>
      <c r="I2246" s="450" t="s">
        <v>33774</v>
      </c>
      <c r="J2246" s="450" t="s">
        <v>33775</v>
      </c>
      <c r="K2246" s="450"/>
    </row>
    <row r="2247" spans="1:11">
      <c r="A2247" s="451" t="s">
        <v>4408</v>
      </c>
      <c r="B2247" s="451" t="s">
        <v>4409</v>
      </c>
      <c r="C2247" s="451" t="s">
        <v>4410</v>
      </c>
      <c r="D2247" s="451"/>
      <c r="E2247" s="451"/>
      <c r="F2247" s="451"/>
      <c r="G2247" s="451" t="s">
        <v>22877</v>
      </c>
      <c r="H2247" s="451" t="s">
        <v>22878</v>
      </c>
      <c r="I2247" s="451" t="s">
        <v>30722</v>
      </c>
      <c r="J2247" s="451" t="s">
        <v>30723</v>
      </c>
      <c r="K2247" s="451"/>
    </row>
    <row r="2248" spans="1:11">
      <c r="A2248" s="450" t="s">
        <v>4411</v>
      </c>
      <c r="B2248" s="450"/>
      <c r="C2248" s="450" t="s">
        <v>4412</v>
      </c>
      <c r="D2248" s="450"/>
      <c r="E2248" s="450"/>
      <c r="F2248" s="450"/>
      <c r="G2248" s="450" t="s">
        <v>22882</v>
      </c>
      <c r="H2248" s="450" t="s">
        <v>22883</v>
      </c>
      <c r="I2248" s="450"/>
      <c r="J2248" s="450" t="s">
        <v>22943</v>
      </c>
      <c r="K2248" s="450"/>
    </row>
    <row r="2249" spans="1:11">
      <c r="A2249" s="451" t="s">
        <v>33776</v>
      </c>
      <c r="B2249" s="451"/>
      <c r="C2249" s="451" t="s">
        <v>4412</v>
      </c>
      <c r="D2249" s="451"/>
      <c r="E2249" s="451"/>
      <c r="F2249" s="451"/>
      <c r="G2249" s="451" t="s">
        <v>22882</v>
      </c>
      <c r="H2249" s="451" t="s">
        <v>22883</v>
      </c>
      <c r="I2249" s="451" t="s">
        <v>33777</v>
      </c>
      <c r="J2249" s="451" t="s">
        <v>22948</v>
      </c>
      <c r="K2249" s="451"/>
    </row>
    <row r="2250" spans="1:11">
      <c r="A2250" s="450" t="s">
        <v>4413</v>
      </c>
      <c r="B2250" s="450"/>
      <c r="C2250" s="450" t="s">
        <v>4414</v>
      </c>
      <c r="D2250" s="450" t="s">
        <v>4415</v>
      </c>
      <c r="E2250" s="450"/>
      <c r="F2250" s="450"/>
      <c r="G2250" s="450" t="s">
        <v>22882</v>
      </c>
      <c r="H2250" s="450" t="s">
        <v>22883</v>
      </c>
      <c r="I2250" s="450" t="s">
        <v>33778</v>
      </c>
      <c r="J2250" s="450" t="s">
        <v>33779</v>
      </c>
      <c r="K2250" s="450"/>
    </row>
    <row r="2251" spans="1:11">
      <c r="A2251" s="451" t="s">
        <v>4416</v>
      </c>
      <c r="B2251" s="451"/>
      <c r="C2251" s="451" t="s">
        <v>4417</v>
      </c>
      <c r="D2251" s="451"/>
      <c r="E2251" s="451"/>
      <c r="F2251" s="451"/>
      <c r="G2251" s="451" t="s">
        <v>22877</v>
      </c>
      <c r="H2251" s="451" t="s">
        <v>22878</v>
      </c>
      <c r="I2251" s="451" t="s">
        <v>33780</v>
      </c>
      <c r="J2251" s="451" t="s">
        <v>22943</v>
      </c>
      <c r="K2251" s="451"/>
    </row>
    <row r="2252" spans="1:11">
      <c r="A2252" s="450" t="s">
        <v>33781</v>
      </c>
      <c r="B2252" s="450"/>
      <c r="C2252" s="450" t="s">
        <v>4417</v>
      </c>
      <c r="D2252" s="450"/>
      <c r="E2252" s="450"/>
      <c r="F2252" s="450"/>
      <c r="G2252" s="450" t="s">
        <v>22877</v>
      </c>
      <c r="H2252" s="450" t="s">
        <v>22878</v>
      </c>
      <c r="I2252" s="450" t="s">
        <v>33782</v>
      </c>
      <c r="J2252" s="450" t="s">
        <v>22948</v>
      </c>
      <c r="K2252" s="450"/>
    </row>
    <row r="2253" spans="1:11">
      <c r="A2253" s="451" t="s">
        <v>4418</v>
      </c>
      <c r="B2253" s="451"/>
      <c r="C2253" s="451" t="s">
        <v>4419</v>
      </c>
      <c r="D2253" s="451"/>
      <c r="E2253" s="451"/>
      <c r="F2253" s="451"/>
      <c r="G2253" s="451" t="s">
        <v>22877</v>
      </c>
      <c r="H2253" s="451" t="s">
        <v>22878</v>
      </c>
      <c r="I2253" s="451" t="s">
        <v>23870</v>
      </c>
      <c r="J2253" s="451" t="s">
        <v>22942</v>
      </c>
      <c r="K2253" s="451"/>
    </row>
    <row r="2254" spans="1:11">
      <c r="A2254" s="450" t="s">
        <v>33783</v>
      </c>
      <c r="B2254" s="450" t="s">
        <v>4420</v>
      </c>
      <c r="C2254" s="450" t="s">
        <v>4421</v>
      </c>
      <c r="D2254" s="450"/>
      <c r="E2254" s="450"/>
      <c r="F2254" s="450"/>
      <c r="G2254" s="450" t="s">
        <v>22877</v>
      </c>
      <c r="H2254" s="450" t="s">
        <v>22878</v>
      </c>
      <c r="I2254" s="450" t="s">
        <v>33784</v>
      </c>
      <c r="J2254" s="450" t="s">
        <v>23871</v>
      </c>
      <c r="K2254" s="450"/>
    </row>
    <row r="2255" spans="1:11">
      <c r="A2255" s="451" t="s">
        <v>21538</v>
      </c>
      <c r="B2255" s="451" t="s">
        <v>4420</v>
      </c>
      <c r="C2255" s="451" t="s">
        <v>4421</v>
      </c>
      <c r="D2255" s="451"/>
      <c r="E2255" s="451"/>
      <c r="F2255" s="451"/>
      <c r="G2255" s="451" t="s">
        <v>22877</v>
      </c>
      <c r="H2255" s="451" t="s">
        <v>22878</v>
      </c>
      <c r="I2255" s="451" t="s">
        <v>30724</v>
      </c>
      <c r="J2255" s="451" t="s">
        <v>23871</v>
      </c>
      <c r="K2255" s="451"/>
    </row>
    <row r="2256" spans="1:11">
      <c r="A2256" s="450" t="s">
        <v>33785</v>
      </c>
      <c r="B2256" s="450"/>
      <c r="C2256" s="450" t="s">
        <v>3255</v>
      </c>
      <c r="D2256" s="450"/>
      <c r="E2256" s="450"/>
      <c r="F2256" s="450"/>
      <c r="G2256" s="450" t="s">
        <v>22882</v>
      </c>
      <c r="H2256" s="450" t="s">
        <v>22883</v>
      </c>
      <c r="I2256" s="450" t="s">
        <v>33786</v>
      </c>
      <c r="J2256" s="450" t="s">
        <v>22942</v>
      </c>
      <c r="K2256" s="450"/>
    </row>
    <row r="2257" spans="1:11">
      <c r="A2257" s="451" t="s">
        <v>4422</v>
      </c>
      <c r="B2257" s="451"/>
      <c r="C2257" s="451" t="s">
        <v>3255</v>
      </c>
      <c r="D2257" s="451"/>
      <c r="E2257" s="451"/>
      <c r="F2257" s="451"/>
      <c r="G2257" s="451" t="s">
        <v>22882</v>
      </c>
      <c r="H2257" s="451" t="s">
        <v>22883</v>
      </c>
      <c r="I2257" s="451" t="s">
        <v>33787</v>
      </c>
      <c r="J2257" s="451" t="s">
        <v>22997</v>
      </c>
      <c r="K2257" s="451"/>
    </row>
    <row r="2258" spans="1:11">
      <c r="A2258" s="450" t="s">
        <v>4423</v>
      </c>
      <c r="B2258" s="450"/>
      <c r="C2258" s="450" t="s">
        <v>4424</v>
      </c>
      <c r="D2258" s="450"/>
      <c r="E2258" s="450"/>
      <c r="F2258" s="450"/>
      <c r="G2258" s="450" t="s">
        <v>33788</v>
      </c>
      <c r="H2258" s="450" t="s">
        <v>22878</v>
      </c>
      <c r="I2258" s="450"/>
      <c r="J2258" s="450" t="s">
        <v>23183</v>
      </c>
      <c r="K2258" s="450"/>
    </row>
    <row r="2259" spans="1:11">
      <c r="A2259" s="451" t="s">
        <v>33789</v>
      </c>
      <c r="B2259" s="451"/>
      <c r="C2259" s="451" t="s">
        <v>2692</v>
      </c>
      <c r="D2259" s="451"/>
      <c r="E2259" s="451"/>
      <c r="F2259" s="451"/>
      <c r="G2259" s="451" t="s">
        <v>22877</v>
      </c>
      <c r="H2259" s="451" t="s">
        <v>22878</v>
      </c>
      <c r="I2259" s="451" t="s">
        <v>33790</v>
      </c>
      <c r="J2259" s="451" t="s">
        <v>22948</v>
      </c>
      <c r="K2259" s="451"/>
    </row>
    <row r="2260" spans="1:11">
      <c r="A2260" s="450" t="s">
        <v>4425</v>
      </c>
      <c r="B2260" s="450"/>
      <c r="C2260" s="450" t="s">
        <v>4426</v>
      </c>
      <c r="D2260" s="450"/>
      <c r="E2260" s="450"/>
      <c r="F2260" s="450"/>
      <c r="G2260" s="450" t="s">
        <v>22882</v>
      </c>
      <c r="H2260" s="450" t="s">
        <v>22883</v>
      </c>
      <c r="I2260" s="450" t="s">
        <v>33791</v>
      </c>
      <c r="J2260" s="450" t="s">
        <v>22942</v>
      </c>
      <c r="K2260" s="450"/>
    </row>
    <row r="2261" spans="1:11">
      <c r="A2261" s="451" t="s">
        <v>23872</v>
      </c>
      <c r="B2261" s="451"/>
      <c r="C2261" s="451" t="s">
        <v>3896</v>
      </c>
      <c r="D2261" s="451"/>
      <c r="E2261" s="451"/>
      <c r="F2261" s="451"/>
      <c r="G2261" s="451" t="s">
        <v>22877</v>
      </c>
      <c r="H2261" s="451" t="s">
        <v>22878</v>
      </c>
      <c r="I2261" s="451" t="s">
        <v>23873</v>
      </c>
      <c r="J2261" s="451" t="s">
        <v>22942</v>
      </c>
      <c r="K2261" s="451"/>
    </row>
    <row r="2262" spans="1:11">
      <c r="A2262" s="450" t="s">
        <v>4427</v>
      </c>
      <c r="B2262" s="450" t="s">
        <v>4428</v>
      </c>
      <c r="C2262" s="450" t="s">
        <v>4429</v>
      </c>
      <c r="D2262" s="450" t="s">
        <v>4430</v>
      </c>
      <c r="E2262" s="450"/>
      <c r="F2262" s="450"/>
      <c r="G2262" s="450" t="s">
        <v>22877</v>
      </c>
      <c r="H2262" s="450" t="s">
        <v>22878</v>
      </c>
      <c r="I2262" s="450" t="s">
        <v>23874</v>
      </c>
      <c r="J2262" s="450" t="s">
        <v>23875</v>
      </c>
      <c r="K2262" s="450"/>
    </row>
    <row r="2263" spans="1:11">
      <c r="A2263" s="451" t="s">
        <v>4431</v>
      </c>
      <c r="B2263" s="451"/>
      <c r="C2263" s="451" t="s">
        <v>4432</v>
      </c>
      <c r="D2263" s="451"/>
      <c r="E2263" s="451"/>
      <c r="F2263" s="451"/>
      <c r="G2263" s="451" t="s">
        <v>22877</v>
      </c>
      <c r="H2263" s="451" t="s">
        <v>22878</v>
      </c>
      <c r="I2263" s="451" t="s">
        <v>33792</v>
      </c>
      <c r="J2263" s="451" t="s">
        <v>23185</v>
      </c>
      <c r="K2263" s="451"/>
    </row>
    <row r="2264" spans="1:11">
      <c r="A2264" s="450" t="s">
        <v>4433</v>
      </c>
      <c r="B2264" s="450"/>
      <c r="C2264" s="450" t="s">
        <v>3896</v>
      </c>
      <c r="D2264" s="450"/>
      <c r="E2264" s="450"/>
      <c r="F2264" s="450"/>
      <c r="G2264" s="450" t="s">
        <v>22877</v>
      </c>
      <c r="H2264" s="450" t="s">
        <v>22878</v>
      </c>
      <c r="I2264" s="450" t="s">
        <v>33793</v>
      </c>
      <c r="J2264" s="450" t="s">
        <v>22943</v>
      </c>
      <c r="K2264" s="450"/>
    </row>
    <row r="2265" spans="1:11">
      <c r="A2265" s="451" t="s">
        <v>33794</v>
      </c>
      <c r="B2265" s="451"/>
      <c r="C2265" s="451" t="s">
        <v>33795</v>
      </c>
      <c r="D2265" s="451"/>
      <c r="E2265" s="451"/>
      <c r="F2265" s="451"/>
      <c r="G2265" s="451" t="s">
        <v>22877</v>
      </c>
      <c r="H2265" s="451" t="s">
        <v>22878</v>
      </c>
      <c r="I2265" s="451" t="s">
        <v>33796</v>
      </c>
      <c r="J2265" s="451" t="s">
        <v>23185</v>
      </c>
      <c r="K2265" s="451"/>
    </row>
    <row r="2266" spans="1:11">
      <c r="A2266" s="450" t="s">
        <v>4434</v>
      </c>
      <c r="B2266" s="450"/>
      <c r="C2266" s="450" t="s">
        <v>4435</v>
      </c>
      <c r="D2266" s="450"/>
      <c r="E2266" s="450"/>
      <c r="F2266" s="450"/>
      <c r="G2266" s="450" t="s">
        <v>22877</v>
      </c>
      <c r="H2266" s="450" t="s">
        <v>22878</v>
      </c>
      <c r="I2266" s="450" t="s">
        <v>33797</v>
      </c>
      <c r="J2266" s="450" t="s">
        <v>23185</v>
      </c>
      <c r="K2266" s="450"/>
    </row>
    <row r="2267" spans="1:11">
      <c r="A2267" s="451" t="s">
        <v>4436</v>
      </c>
      <c r="B2267" s="451"/>
      <c r="C2267" s="451" t="s">
        <v>4437</v>
      </c>
      <c r="D2267" s="451"/>
      <c r="E2267" s="451"/>
      <c r="F2267" s="451"/>
      <c r="G2267" s="451" t="s">
        <v>22882</v>
      </c>
      <c r="H2267" s="451" t="s">
        <v>22883</v>
      </c>
      <c r="I2267" s="451"/>
      <c r="J2267" s="451" t="s">
        <v>23185</v>
      </c>
      <c r="K2267" s="451"/>
    </row>
    <row r="2268" spans="1:11">
      <c r="A2268" s="450" t="s">
        <v>4438</v>
      </c>
      <c r="B2268" s="450"/>
      <c r="C2268" s="450" t="s">
        <v>4439</v>
      </c>
      <c r="D2268" s="450"/>
      <c r="E2268" s="450"/>
      <c r="F2268" s="450"/>
      <c r="G2268" s="450" t="s">
        <v>22882</v>
      </c>
      <c r="H2268" s="450" t="s">
        <v>22883</v>
      </c>
      <c r="I2268" s="450"/>
      <c r="J2268" s="450" t="s">
        <v>23185</v>
      </c>
      <c r="K2268" s="450"/>
    </row>
    <row r="2269" spans="1:11">
      <c r="A2269" s="451" t="s">
        <v>4440</v>
      </c>
      <c r="B2269" s="451" t="s">
        <v>4441</v>
      </c>
      <c r="C2269" s="451" t="s">
        <v>4442</v>
      </c>
      <c r="D2269" s="451"/>
      <c r="E2269" s="451"/>
      <c r="F2269" s="451" t="s">
        <v>33798</v>
      </c>
      <c r="G2269" s="451" t="s">
        <v>22882</v>
      </c>
      <c r="H2269" s="451" t="s">
        <v>22883</v>
      </c>
      <c r="I2269" s="451" t="s">
        <v>33799</v>
      </c>
      <c r="J2269" s="451" t="s">
        <v>23876</v>
      </c>
      <c r="K2269" s="451"/>
    </row>
    <row r="2270" spans="1:11">
      <c r="A2270" s="450" t="s">
        <v>4440</v>
      </c>
      <c r="B2270" s="450" t="s">
        <v>4441</v>
      </c>
      <c r="C2270" s="450" t="s">
        <v>4442</v>
      </c>
      <c r="D2270" s="450"/>
      <c r="E2270" s="450"/>
      <c r="F2270" s="450" t="s">
        <v>4443</v>
      </c>
      <c r="G2270" s="450" t="s">
        <v>22882</v>
      </c>
      <c r="H2270" s="450" t="s">
        <v>22883</v>
      </c>
      <c r="I2270" s="450"/>
      <c r="J2270" s="450" t="s">
        <v>23876</v>
      </c>
      <c r="K2270" s="450"/>
    </row>
    <row r="2271" spans="1:11">
      <c r="A2271" s="451" t="s">
        <v>4444</v>
      </c>
      <c r="B2271" s="451"/>
      <c r="C2271" s="451" t="s">
        <v>3334</v>
      </c>
      <c r="D2271" s="451"/>
      <c r="E2271" s="451"/>
      <c r="F2271" s="451"/>
      <c r="G2271" s="451" t="s">
        <v>22877</v>
      </c>
      <c r="H2271" s="451" t="s">
        <v>22878</v>
      </c>
      <c r="I2271" s="451" t="s">
        <v>33800</v>
      </c>
      <c r="J2271" s="451" t="s">
        <v>23184</v>
      </c>
      <c r="K2271" s="451"/>
    </row>
    <row r="2272" spans="1:11">
      <c r="A2272" s="450" t="s">
        <v>23877</v>
      </c>
      <c r="B2272" s="450"/>
      <c r="C2272" s="450" t="s">
        <v>3334</v>
      </c>
      <c r="D2272" s="450"/>
      <c r="E2272" s="450"/>
      <c r="F2272" s="450"/>
      <c r="G2272" s="450" t="s">
        <v>22877</v>
      </c>
      <c r="H2272" s="450" t="s">
        <v>22878</v>
      </c>
      <c r="I2272" s="450" t="s">
        <v>23878</v>
      </c>
      <c r="J2272" s="450" t="s">
        <v>23185</v>
      </c>
      <c r="K2272" s="450"/>
    </row>
    <row r="2273" spans="1:11">
      <c r="A2273" s="451" t="s">
        <v>23879</v>
      </c>
      <c r="B2273" s="451" t="s">
        <v>23880</v>
      </c>
      <c r="C2273" s="451" t="s">
        <v>23881</v>
      </c>
      <c r="D2273" s="451"/>
      <c r="E2273" s="451"/>
      <c r="F2273" s="451"/>
      <c r="G2273" s="451" t="s">
        <v>22877</v>
      </c>
      <c r="H2273" s="451" t="s">
        <v>22878</v>
      </c>
      <c r="I2273" s="451" t="s">
        <v>23882</v>
      </c>
      <c r="J2273" s="451" t="s">
        <v>23883</v>
      </c>
      <c r="K2273" s="451"/>
    </row>
    <row r="2274" spans="1:11">
      <c r="A2274" s="450" t="s">
        <v>23884</v>
      </c>
      <c r="B2274" s="450" t="s">
        <v>23885</v>
      </c>
      <c r="C2274" s="450" t="s">
        <v>23886</v>
      </c>
      <c r="D2274" s="450"/>
      <c r="E2274" s="450"/>
      <c r="F2274" s="450"/>
      <c r="G2274" s="450" t="s">
        <v>22877</v>
      </c>
      <c r="H2274" s="450" t="s">
        <v>22878</v>
      </c>
      <c r="I2274" s="450" t="s">
        <v>23887</v>
      </c>
      <c r="J2274" s="450" t="s">
        <v>23888</v>
      </c>
      <c r="K2274" s="450"/>
    </row>
    <row r="2275" spans="1:11">
      <c r="A2275" s="451" t="s">
        <v>33801</v>
      </c>
      <c r="B2275" s="451"/>
      <c r="C2275" s="451" t="s">
        <v>2377</v>
      </c>
      <c r="D2275" s="451"/>
      <c r="E2275" s="451"/>
      <c r="F2275" s="451"/>
      <c r="G2275" s="451" t="s">
        <v>22882</v>
      </c>
      <c r="H2275" s="451" t="s">
        <v>22883</v>
      </c>
      <c r="I2275" s="451" t="s">
        <v>33802</v>
      </c>
      <c r="J2275" s="451" t="s">
        <v>22942</v>
      </c>
      <c r="K2275" s="451"/>
    </row>
    <row r="2276" spans="1:11">
      <c r="A2276" s="450" t="s">
        <v>4445</v>
      </c>
      <c r="B2276" s="450"/>
      <c r="C2276" s="450" t="s">
        <v>2377</v>
      </c>
      <c r="D2276" s="450"/>
      <c r="E2276" s="450"/>
      <c r="F2276" s="450"/>
      <c r="G2276" s="450" t="s">
        <v>22882</v>
      </c>
      <c r="H2276" s="450" t="s">
        <v>22883</v>
      </c>
      <c r="I2276" s="450" t="s">
        <v>30725</v>
      </c>
      <c r="J2276" s="450" t="s">
        <v>22997</v>
      </c>
      <c r="K2276" s="450"/>
    </row>
    <row r="2277" spans="1:11">
      <c r="A2277" s="451" t="s">
        <v>4446</v>
      </c>
      <c r="B2277" s="451" t="s">
        <v>4447</v>
      </c>
      <c r="C2277" s="451" t="s">
        <v>4448</v>
      </c>
      <c r="D2277" s="451"/>
      <c r="E2277" s="451"/>
      <c r="F2277" s="451"/>
      <c r="G2277" s="451" t="s">
        <v>22877</v>
      </c>
      <c r="H2277" s="451" t="s">
        <v>22878</v>
      </c>
      <c r="I2277" s="451" t="s">
        <v>23889</v>
      </c>
      <c r="J2277" s="451" t="s">
        <v>23890</v>
      </c>
      <c r="K2277" s="451"/>
    </row>
    <row r="2278" spans="1:11">
      <c r="A2278" s="450" t="s">
        <v>23891</v>
      </c>
      <c r="B2278" s="450" t="s">
        <v>23892</v>
      </c>
      <c r="C2278" s="450" t="s">
        <v>23893</v>
      </c>
      <c r="D2278" s="450" t="s">
        <v>23894</v>
      </c>
      <c r="E2278" s="450"/>
      <c r="F2278" s="450"/>
      <c r="G2278" s="450" t="s">
        <v>22877</v>
      </c>
      <c r="H2278" s="450" t="s">
        <v>22878</v>
      </c>
      <c r="I2278" s="450" t="s">
        <v>23894</v>
      </c>
      <c r="J2278" s="450" t="s">
        <v>23895</v>
      </c>
      <c r="K2278" s="450"/>
    </row>
    <row r="2279" spans="1:11">
      <c r="A2279" s="451" t="s">
        <v>4449</v>
      </c>
      <c r="B2279" s="451"/>
      <c r="C2279" s="451" t="s">
        <v>4450</v>
      </c>
      <c r="D2279" s="451"/>
      <c r="E2279" s="451"/>
      <c r="F2279" s="451"/>
      <c r="G2279" s="451" t="s">
        <v>22877</v>
      </c>
      <c r="H2279" s="451" t="s">
        <v>22878</v>
      </c>
      <c r="I2279" s="451" t="s">
        <v>33803</v>
      </c>
      <c r="J2279" s="451" t="s">
        <v>22939</v>
      </c>
      <c r="K2279" s="451"/>
    </row>
    <row r="2280" spans="1:11">
      <c r="A2280" s="450" t="s">
        <v>33804</v>
      </c>
      <c r="B2280" s="450"/>
      <c r="C2280" s="450" t="s">
        <v>998</v>
      </c>
      <c r="D2280" s="450"/>
      <c r="E2280" s="450"/>
      <c r="F2280" s="450"/>
      <c r="G2280" s="450" t="s">
        <v>22877</v>
      </c>
      <c r="H2280" s="450" t="s">
        <v>22878</v>
      </c>
      <c r="I2280" s="450" t="s">
        <v>33805</v>
      </c>
      <c r="J2280" s="450" t="s">
        <v>22948</v>
      </c>
      <c r="K2280" s="450"/>
    </row>
    <row r="2281" spans="1:11">
      <c r="A2281" s="451" t="s">
        <v>4451</v>
      </c>
      <c r="B2281" s="451"/>
      <c r="C2281" s="451" t="s">
        <v>998</v>
      </c>
      <c r="D2281" s="451"/>
      <c r="E2281" s="451"/>
      <c r="F2281" s="451"/>
      <c r="G2281" s="451" t="s">
        <v>22877</v>
      </c>
      <c r="H2281" s="451" t="s">
        <v>22878</v>
      </c>
      <c r="I2281" s="451" t="s">
        <v>33806</v>
      </c>
      <c r="J2281" s="451" t="s">
        <v>22943</v>
      </c>
      <c r="K2281" s="451"/>
    </row>
    <row r="2282" spans="1:11">
      <c r="A2282" s="450" t="s">
        <v>33807</v>
      </c>
      <c r="B2282" s="450"/>
      <c r="C2282" s="450" t="s">
        <v>4452</v>
      </c>
      <c r="D2282" s="450"/>
      <c r="E2282" s="450"/>
      <c r="F2282" s="450"/>
      <c r="G2282" s="450" t="s">
        <v>22882</v>
      </c>
      <c r="H2282" s="450" t="s">
        <v>22883</v>
      </c>
      <c r="I2282" s="450"/>
      <c r="J2282" s="450" t="s">
        <v>23185</v>
      </c>
      <c r="K2282" s="450"/>
    </row>
    <row r="2283" spans="1:11">
      <c r="A2283" s="451" t="s">
        <v>21539</v>
      </c>
      <c r="B2283" s="451"/>
      <c r="C2283" s="451" t="s">
        <v>4452</v>
      </c>
      <c r="D2283" s="451"/>
      <c r="E2283" s="451"/>
      <c r="F2283" s="451"/>
      <c r="G2283" s="451" t="s">
        <v>33808</v>
      </c>
      <c r="H2283" s="451" t="s">
        <v>22883</v>
      </c>
      <c r="I2283" s="451"/>
      <c r="J2283" s="451" t="s">
        <v>23183</v>
      </c>
      <c r="K2283" s="451"/>
    </row>
    <row r="2284" spans="1:11">
      <c r="A2284" s="450" t="s">
        <v>4453</v>
      </c>
      <c r="B2284" s="450"/>
      <c r="C2284" s="450" t="s">
        <v>4454</v>
      </c>
      <c r="D2284" s="450"/>
      <c r="E2284" s="450"/>
      <c r="F2284" s="450"/>
      <c r="G2284" s="450" t="s">
        <v>32668</v>
      </c>
      <c r="H2284" s="450" t="s">
        <v>22878</v>
      </c>
      <c r="I2284" s="450"/>
      <c r="J2284" s="450"/>
      <c r="K2284" s="450"/>
    </row>
    <row r="2285" spans="1:11">
      <c r="A2285" s="451" t="s">
        <v>33809</v>
      </c>
      <c r="B2285" s="451"/>
      <c r="C2285" s="451" t="s">
        <v>4454</v>
      </c>
      <c r="D2285" s="451"/>
      <c r="E2285" s="451"/>
      <c r="F2285" s="451"/>
      <c r="G2285" s="451" t="s">
        <v>22882</v>
      </c>
      <c r="H2285" s="451" t="s">
        <v>22883</v>
      </c>
      <c r="I2285" s="451" t="s">
        <v>33810</v>
      </c>
      <c r="J2285" s="451" t="s">
        <v>22942</v>
      </c>
      <c r="K2285" s="451"/>
    </row>
    <row r="2286" spans="1:11">
      <c r="A2286" s="450" t="s">
        <v>4455</v>
      </c>
      <c r="B2286" s="450"/>
      <c r="C2286" s="450" t="s">
        <v>4456</v>
      </c>
      <c r="D2286" s="450"/>
      <c r="E2286" s="450"/>
      <c r="F2286" s="450"/>
      <c r="G2286" s="450" t="s">
        <v>22877</v>
      </c>
      <c r="H2286" s="450" t="s">
        <v>22878</v>
      </c>
      <c r="I2286" s="450" t="s">
        <v>33811</v>
      </c>
      <c r="J2286" s="450" t="s">
        <v>23185</v>
      </c>
      <c r="K2286" s="450"/>
    </row>
    <row r="2287" spans="1:11">
      <c r="A2287" s="451" t="s">
        <v>4457</v>
      </c>
      <c r="B2287" s="451"/>
      <c r="C2287" s="451" t="s">
        <v>4458</v>
      </c>
      <c r="D2287" s="451"/>
      <c r="E2287" s="451"/>
      <c r="F2287" s="451"/>
      <c r="G2287" s="451" t="s">
        <v>22877</v>
      </c>
      <c r="H2287" s="451" t="s">
        <v>22878</v>
      </c>
      <c r="I2287" s="451" t="s">
        <v>33812</v>
      </c>
      <c r="J2287" s="451" t="s">
        <v>22942</v>
      </c>
      <c r="K2287" s="451"/>
    </row>
    <row r="2288" spans="1:11">
      <c r="A2288" s="450" t="s">
        <v>21540</v>
      </c>
      <c r="B2288" s="450"/>
      <c r="C2288" s="450" t="s">
        <v>4459</v>
      </c>
      <c r="D2288" s="450"/>
      <c r="E2288" s="450"/>
      <c r="F2288" s="450"/>
      <c r="G2288" s="450" t="s">
        <v>22877</v>
      </c>
      <c r="H2288" s="450" t="s">
        <v>22878</v>
      </c>
      <c r="I2288" s="450" t="s">
        <v>23896</v>
      </c>
      <c r="J2288" s="450" t="s">
        <v>23185</v>
      </c>
      <c r="K2288" s="450"/>
    </row>
    <row r="2289" spans="1:11">
      <c r="A2289" s="451" t="s">
        <v>33813</v>
      </c>
      <c r="B2289" s="451" t="s">
        <v>4461</v>
      </c>
      <c r="C2289" s="451" t="s">
        <v>4462</v>
      </c>
      <c r="D2289" s="451" t="s">
        <v>4463</v>
      </c>
      <c r="E2289" s="451"/>
      <c r="F2289" s="451"/>
      <c r="G2289" s="451" t="s">
        <v>22882</v>
      </c>
      <c r="H2289" s="451" t="s">
        <v>22883</v>
      </c>
      <c r="I2289" s="451" t="s">
        <v>4463</v>
      </c>
      <c r="J2289" s="451" t="s">
        <v>23897</v>
      </c>
      <c r="K2289" s="451"/>
    </row>
    <row r="2290" spans="1:11">
      <c r="A2290" s="450" t="s">
        <v>4460</v>
      </c>
      <c r="B2290" s="450" t="s">
        <v>4461</v>
      </c>
      <c r="C2290" s="450" t="s">
        <v>4462</v>
      </c>
      <c r="D2290" s="450" t="s">
        <v>4463</v>
      </c>
      <c r="E2290" s="450" t="s">
        <v>4464</v>
      </c>
      <c r="F2290" s="450"/>
      <c r="G2290" s="450" t="s">
        <v>23525</v>
      </c>
      <c r="H2290" s="450" t="s">
        <v>22878</v>
      </c>
      <c r="I2290" s="450" t="s">
        <v>4463</v>
      </c>
      <c r="J2290" s="450" t="s">
        <v>30726</v>
      </c>
      <c r="K2290" s="450"/>
    </row>
    <row r="2291" spans="1:11">
      <c r="A2291" s="451" t="s">
        <v>33814</v>
      </c>
      <c r="B2291" s="451"/>
      <c r="C2291" s="451" t="s">
        <v>4466</v>
      </c>
      <c r="D2291" s="451"/>
      <c r="E2291" s="451"/>
      <c r="F2291" s="451"/>
      <c r="G2291" s="451" t="s">
        <v>22877</v>
      </c>
      <c r="H2291" s="451" t="s">
        <v>22878</v>
      </c>
      <c r="I2291" s="451" t="s">
        <v>33815</v>
      </c>
      <c r="J2291" s="451" t="s">
        <v>22942</v>
      </c>
      <c r="K2291" s="451"/>
    </row>
    <row r="2292" spans="1:11">
      <c r="A2292" s="450" t="s">
        <v>4465</v>
      </c>
      <c r="B2292" s="450"/>
      <c r="C2292" s="450" t="s">
        <v>4466</v>
      </c>
      <c r="D2292" s="450"/>
      <c r="E2292" s="450"/>
      <c r="F2292" s="450"/>
      <c r="G2292" s="450" t="s">
        <v>22882</v>
      </c>
      <c r="H2292" s="450" t="s">
        <v>22883</v>
      </c>
      <c r="I2292" s="450" t="s">
        <v>30727</v>
      </c>
      <c r="J2292" s="450" t="s">
        <v>23185</v>
      </c>
      <c r="K2292" s="450"/>
    </row>
    <row r="2293" spans="1:11">
      <c r="A2293" s="451" t="s">
        <v>4467</v>
      </c>
      <c r="B2293" s="451" t="s">
        <v>23898</v>
      </c>
      <c r="C2293" s="451" t="s">
        <v>1213</v>
      </c>
      <c r="D2293" s="451" t="s">
        <v>23899</v>
      </c>
      <c r="E2293" s="451"/>
      <c r="F2293" s="451"/>
      <c r="G2293" s="451" t="s">
        <v>22877</v>
      </c>
      <c r="H2293" s="451" t="s">
        <v>22878</v>
      </c>
      <c r="I2293" s="451" t="s">
        <v>23899</v>
      </c>
      <c r="J2293" s="451" t="s">
        <v>23900</v>
      </c>
      <c r="K2293" s="451"/>
    </row>
    <row r="2294" spans="1:11">
      <c r="A2294" s="450" t="s">
        <v>4467</v>
      </c>
      <c r="B2294" s="450"/>
      <c r="C2294" s="450" t="s">
        <v>1213</v>
      </c>
      <c r="D2294" s="450"/>
      <c r="E2294" s="450"/>
      <c r="F2294" s="450"/>
      <c r="G2294" s="450" t="s">
        <v>22877</v>
      </c>
      <c r="H2294" s="450" t="s">
        <v>22878</v>
      </c>
      <c r="I2294" s="450" t="s">
        <v>30728</v>
      </c>
      <c r="J2294" s="450" t="s">
        <v>22997</v>
      </c>
      <c r="K2294" s="450"/>
    </row>
    <row r="2295" spans="1:11">
      <c r="A2295" s="451" t="s">
        <v>29990</v>
      </c>
      <c r="B2295" s="451" t="s">
        <v>29991</v>
      </c>
      <c r="C2295" s="451" t="s">
        <v>29992</v>
      </c>
      <c r="D2295" s="451"/>
      <c r="E2295" s="451"/>
      <c r="F2295" s="451"/>
      <c r="G2295" s="451"/>
      <c r="H2295" s="451"/>
      <c r="I2295" s="451"/>
      <c r="J2295" s="451"/>
      <c r="K2295" s="451"/>
    </row>
    <row r="2296" spans="1:11">
      <c r="A2296" s="450" t="s">
        <v>4468</v>
      </c>
      <c r="B2296" s="450" t="s">
        <v>4469</v>
      </c>
      <c r="C2296" s="450" t="s">
        <v>4470</v>
      </c>
      <c r="D2296" s="450"/>
      <c r="E2296" s="450"/>
      <c r="F2296" s="450"/>
      <c r="G2296" s="450" t="s">
        <v>22877</v>
      </c>
      <c r="H2296" s="450" t="s">
        <v>22878</v>
      </c>
      <c r="I2296" s="450" t="s">
        <v>23901</v>
      </c>
      <c r="J2296" s="450" t="s">
        <v>23902</v>
      </c>
      <c r="K2296" s="450"/>
    </row>
    <row r="2297" spans="1:11">
      <c r="A2297" s="451" t="s">
        <v>33816</v>
      </c>
      <c r="B2297" s="451" t="s">
        <v>4472</v>
      </c>
      <c r="C2297" s="451" t="s">
        <v>4473</v>
      </c>
      <c r="D2297" s="451"/>
      <c r="E2297" s="451"/>
      <c r="F2297" s="451" t="s">
        <v>4474</v>
      </c>
      <c r="G2297" s="451" t="s">
        <v>22877</v>
      </c>
      <c r="H2297" s="451" t="s">
        <v>22878</v>
      </c>
      <c r="I2297" s="451" t="s">
        <v>33817</v>
      </c>
      <c r="J2297" s="451" t="s">
        <v>33818</v>
      </c>
      <c r="K2297" s="451"/>
    </row>
    <row r="2298" spans="1:11">
      <c r="A2298" s="450" t="s">
        <v>4471</v>
      </c>
      <c r="B2298" s="450" t="s">
        <v>4472</v>
      </c>
      <c r="C2298" s="450" t="s">
        <v>4473</v>
      </c>
      <c r="D2298" s="450"/>
      <c r="E2298" s="450"/>
      <c r="F2298" s="450" t="s">
        <v>4474</v>
      </c>
      <c r="G2298" s="450" t="s">
        <v>22877</v>
      </c>
      <c r="H2298" s="450" t="s">
        <v>22878</v>
      </c>
      <c r="I2298" s="450" t="s">
        <v>30729</v>
      </c>
      <c r="J2298" s="450" t="s">
        <v>30730</v>
      </c>
      <c r="K2298" s="450"/>
    </row>
    <row r="2299" spans="1:11">
      <c r="A2299" s="451" t="s">
        <v>4475</v>
      </c>
      <c r="B2299" s="451"/>
      <c r="C2299" s="451" t="s">
        <v>3598</v>
      </c>
      <c r="D2299" s="451"/>
      <c r="E2299" s="451"/>
      <c r="F2299" s="451"/>
      <c r="G2299" s="451" t="s">
        <v>22877</v>
      </c>
      <c r="H2299" s="451" t="s">
        <v>22878</v>
      </c>
      <c r="I2299" s="451" t="s">
        <v>33819</v>
      </c>
      <c r="J2299" s="451" t="s">
        <v>22939</v>
      </c>
      <c r="K2299" s="451"/>
    </row>
    <row r="2300" spans="1:11">
      <c r="A2300" s="450" t="s">
        <v>4476</v>
      </c>
      <c r="B2300" s="450"/>
      <c r="C2300" s="450" t="s">
        <v>4221</v>
      </c>
      <c r="D2300" s="450"/>
      <c r="E2300" s="450"/>
      <c r="F2300" s="450"/>
      <c r="G2300" s="450" t="s">
        <v>22877</v>
      </c>
      <c r="H2300" s="450" t="s">
        <v>22878</v>
      </c>
      <c r="I2300" s="450" t="s">
        <v>23903</v>
      </c>
      <c r="J2300" s="450" t="s">
        <v>23185</v>
      </c>
      <c r="K2300" s="450"/>
    </row>
    <row r="2301" spans="1:11">
      <c r="A2301" s="451" t="s">
        <v>4477</v>
      </c>
      <c r="B2301" s="451" t="s">
        <v>4478</v>
      </c>
      <c r="C2301" s="451" t="s">
        <v>4479</v>
      </c>
      <c r="D2301" s="451" t="s">
        <v>4480</v>
      </c>
      <c r="E2301" s="451" t="s">
        <v>4481</v>
      </c>
      <c r="F2301" s="451"/>
      <c r="G2301" s="451" t="s">
        <v>22877</v>
      </c>
      <c r="H2301" s="451" t="s">
        <v>22878</v>
      </c>
      <c r="I2301" s="451" t="s">
        <v>23905</v>
      </c>
      <c r="J2301" s="451" t="s">
        <v>23906</v>
      </c>
      <c r="K2301" s="451"/>
    </row>
    <row r="2302" spans="1:11">
      <c r="A2302" s="450" t="s">
        <v>23904</v>
      </c>
      <c r="B2302" s="450" t="s">
        <v>4478</v>
      </c>
      <c r="C2302" s="450" t="s">
        <v>4479</v>
      </c>
      <c r="D2302" s="450" t="s">
        <v>4480</v>
      </c>
      <c r="E2302" s="450"/>
      <c r="F2302" s="450"/>
      <c r="G2302" s="450" t="s">
        <v>22877</v>
      </c>
      <c r="H2302" s="450" t="s">
        <v>22878</v>
      </c>
      <c r="I2302" s="450" t="s">
        <v>23905</v>
      </c>
      <c r="J2302" s="450" t="s">
        <v>23906</v>
      </c>
      <c r="K2302" s="450"/>
    </row>
    <row r="2303" spans="1:11">
      <c r="A2303" s="451" t="s">
        <v>4482</v>
      </c>
      <c r="B2303" s="451"/>
      <c r="C2303" s="451" t="s">
        <v>2038</v>
      </c>
      <c r="D2303" s="451" t="s">
        <v>4483</v>
      </c>
      <c r="E2303" s="451"/>
      <c r="F2303" s="451"/>
      <c r="G2303" s="451" t="s">
        <v>22877</v>
      </c>
      <c r="H2303" s="451" t="s">
        <v>22878</v>
      </c>
      <c r="I2303" s="451"/>
      <c r="J2303" s="451" t="s">
        <v>22902</v>
      </c>
      <c r="K2303" s="451"/>
    </row>
    <row r="2304" spans="1:11">
      <c r="A2304" s="450" t="s">
        <v>4484</v>
      </c>
      <c r="B2304" s="450"/>
      <c r="C2304" s="450" t="s">
        <v>4485</v>
      </c>
      <c r="D2304" s="450"/>
      <c r="E2304" s="450"/>
      <c r="F2304" s="450"/>
      <c r="G2304" s="450" t="s">
        <v>22877</v>
      </c>
      <c r="H2304" s="450" t="s">
        <v>22878</v>
      </c>
      <c r="I2304" s="450" t="s">
        <v>33820</v>
      </c>
      <c r="J2304" s="450" t="s">
        <v>23185</v>
      </c>
      <c r="K2304" s="450"/>
    </row>
    <row r="2305" spans="1:11">
      <c r="A2305" s="451" t="s">
        <v>33821</v>
      </c>
      <c r="B2305" s="451"/>
      <c r="C2305" s="451" t="s">
        <v>3375</v>
      </c>
      <c r="D2305" s="451"/>
      <c r="E2305" s="451"/>
      <c r="F2305" s="451"/>
      <c r="G2305" s="451" t="s">
        <v>22877</v>
      </c>
      <c r="H2305" s="451" t="s">
        <v>22878</v>
      </c>
      <c r="I2305" s="451" t="s">
        <v>33822</v>
      </c>
      <c r="J2305" s="451" t="s">
        <v>22997</v>
      </c>
      <c r="K2305" s="451"/>
    </row>
    <row r="2306" spans="1:11">
      <c r="A2306" s="450" t="s">
        <v>4486</v>
      </c>
      <c r="B2306" s="450"/>
      <c r="C2306" s="450" t="s">
        <v>3375</v>
      </c>
      <c r="D2306" s="450"/>
      <c r="E2306" s="450"/>
      <c r="F2306" s="450"/>
      <c r="G2306" s="450" t="s">
        <v>22877</v>
      </c>
      <c r="H2306" s="450" t="s">
        <v>22878</v>
      </c>
      <c r="I2306" s="450" t="s">
        <v>33823</v>
      </c>
      <c r="J2306" s="450" t="s">
        <v>23185</v>
      </c>
      <c r="K2306" s="450"/>
    </row>
    <row r="2307" spans="1:11">
      <c r="A2307" s="451" t="s">
        <v>4487</v>
      </c>
      <c r="B2307" s="451"/>
      <c r="C2307" s="451" t="s">
        <v>3124</v>
      </c>
      <c r="D2307" s="451"/>
      <c r="E2307" s="451"/>
      <c r="F2307" s="451"/>
      <c r="G2307" s="451" t="s">
        <v>22877</v>
      </c>
      <c r="H2307" s="451" t="s">
        <v>22878</v>
      </c>
      <c r="I2307" s="451" t="s">
        <v>33824</v>
      </c>
      <c r="J2307" s="451" t="s">
        <v>23179</v>
      </c>
      <c r="K2307" s="451"/>
    </row>
    <row r="2308" spans="1:11">
      <c r="A2308" s="450" t="s">
        <v>33825</v>
      </c>
      <c r="B2308" s="450"/>
      <c r="C2308" s="450" t="s">
        <v>4489</v>
      </c>
      <c r="D2308" s="450"/>
      <c r="E2308" s="450"/>
      <c r="F2308" s="450"/>
      <c r="G2308" s="450" t="s">
        <v>22877</v>
      </c>
      <c r="H2308" s="450" t="s">
        <v>22878</v>
      </c>
      <c r="I2308" s="450" t="s">
        <v>33826</v>
      </c>
      <c r="J2308" s="450" t="s">
        <v>22942</v>
      </c>
      <c r="K2308" s="450"/>
    </row>
    <row r="2309" spans="1:11">
      <c r="A2309" s="451" t="s">
        <v>4488</v>
      </c>
      <c r="B2309" s="451"/>
      <c r="C2309" s="451" t="s">
        <v>4489</v>
      </c>
      <c r="D2309" s="451"/>
      <c r="E2309" s="451"/>
      <c r="F2309" s="451"/>
      <c r="G2309" s="451" t="s">
        <v>22877</v>
      </c>
      <c r="H2309" s="451" t="s">
        <v>22878</v>
      </c>
      <c r="I2309" s="451" t="s">
        <v>33827</v>
      </c>
      <c r="J2309" s="451" t="s">
        <v>23185</v>
      </c>
      <c r="K2309" s="451"/>
    </row>
    <row r="2310" spans="1:11">
      <c r="A2310" s="450" t="s">
        <v>33828</v>
      </c>
      <c r="B2310" s="450"/>
      <c r="C2310" s="450" t="s">
        <v>4491</v>
      </c>
      <c r="D2310" s="450"/>
      <c r="E2310" s="450"/>
      <c r="F2310" s="450"/>
      <c r="G2310" s="450" t="s">
        <v>22877</v>
      </c>
      <c r="H2310" s="450" t="s">
        <v>22878</v>
      </c>
      <c r="I2310" s="450" t="s">
        <v>33829</v>
      </c>
      <c r="J2310" s="450" t="s">
        <v>23185</v>
      </c>
      <c r="K2310" s="450"/>
    </row>
    <row r="2311" spans="1:11">
      <c r="A2311" s="451" t="s">
        <v>4490</v>
      </c>
      <c r="B2311" s="451"/>
      <c r="C2311" s="451" t="s">
        <v>4491</v>
      </c>
      <c r="D2311" s="451"/>
      <c r="E2311" s="451"/>
      <c r="F2311" s="451"/>
      <c r="G2311" s="451" t="s">
        <v>22877</v>
      </c>
      <c r="H2311" s="451" t="s">
        <v>22878</v>
      </c>
      <c r="I2311" s="451" t="s">
        <v>30731</v>
      </c>
      <c r="J2311" s="451" t="s">
        <v>23184</v>
      </c>
      <c r="K2311" s="451"/>
    </row>
    <row r="2312" spans="1:11">
      <c r="A2312" s="450" t="s">
        <v>4492</v>
      </c>
      <c r="B2312" s="450" t="s">
        <v>4493</v>
      </c>
      <c r="C2312" s="450" t="s">
        <v>4494</v>
      </c>
      <c r="D2312" s="450"/>
      <c r="E2312" s="450"/>
      <c r="F2312" s="450" t="s">
        <v>33830</v>
      </c>
      <c r="G2312" s="450" t="s">
        <v>22877</v>
      </c>
      <c r="H2312" s="450" t="s">
        <v>22878</v>
      </c>
      <c r="I2312" s="450" t="s">
        <v>33831</v>
      </c>
      <c r="J2312" s="450" t="s">
        <v>23907</v>
      </c>
      <c r="K2312" s="450"/>
    </row>
    <row r="2313" spans="1:11">
      <c r="A2313" s="451" t="s">
        <v>4492</v>
      </c>
      <c r="B2313" s="451" t="s">
        <v>4493</v>
      </c>
      <c r="C2313" s="451" t="s">
        <v>4494</v>
      </c>
      <c r="D2313" s="451"/>
      <c r="E2313" s="451"/>
      <c r="F2313" s="451" t="s">
        <v>4495</v>
      </c>
      <c r="G2313" s="451" t="s">
        <v>22877</v>
      </c>
      <c r="H2313" s="451" t="s">
        <v>22878</v>
      </c>
      <c r="I2313" s="451" t="s">
        <v>30732</v>
      </c>
      <c r="J2313" s="451" t="s">
        <v>23907</v>
      </c>
      <c r="K2313" s="451"/>
    </row>
    <row r="2314" spans="1:11">
      <c r="A2314" s="450" t="s">
        <v>29993</v>
      </c>
      <c r="B2314" s="450" t="s">
        <v>29994</v>
      </c>
      <c r="C2314" s="450" t="s">
        <v>29995</v>
      </c>
      <c r="D2314" s="450"/>
      <c r="E2314" s="450"/>
      <c r="F2314" s="450"/>
      <c r="G2314" s="450"/>
      <c r="H2314" s="450"/>
      <c r="I2314" s="450"/>
      <c r="J2314" s="450"/>
      <c r="K2314" s="450"/>
    </row>
    <row r="2315" spans="1:11">
      <c r="A2315" s="451" t="s">
        <v>33832</v>
      </c>
      <c r="B2315" s="451"/>
      <c r="C2315" s="451" t="s">
        <v>33833</v>
      </c>
      <c r="D2315" s="451"/>
      <c r="E2315" s="451"/>
      <c r="F2315" s="451"/>
      <c r="G2315" s="451" t="s">
        <v>22877</v>
      </c>
      <c r="H2315" s="451" t="s">
        <v>22878</v>
      </c>
      <c r="I2315" s="451" t="s">
        <v>33834</v>
      </c>
      <c r="J2315" s="451" t="s">
        <v>23121</v>
      </c>
      <c r="K2315" s="451"/>
    </row>
    <row r="2316" spans="1:11">
      <c r="A2316" s="450" t="s">
        <v>4496</v>
      </c>
      <c r="B2316" s="450"/>
      <c r="C2316" s="450" t="s">
        <v>4497</v>
      </c>
      <c r="D2316" s="450"/>
      <c r="E2316" s="450"/>
      <c r="F2316" s="450"/>
      <c r="G2316" s="450" t="s">
        <v>22877</v>
      </c>
      <c r="H2316" s="450" t="s">
        <v>22878</v>
      </c>
      <c r="I2316" s="450" t="s">
        <v>30733</v>
      </c>
      <c r="J2316" s="450" t="s">
        <v>23185</v>
      </c>
      <c r="K2316" s="450"/>
    </row>
    <row r="2317" spans="1:11">
      <c r="A2317" s="451" t="s">
        <v>4498</v>
      </c>
      <c r="B2317" s="451" t="s">
        <v>23908</v>
      </c>
      <c r="C2317" s="451" t="s">
        <v>4500</v>
      </c>
      <c r="D2317" s="451"/>
      <c r="E2317" s="451"/>
      <c r="F2317" s="451"/>
      <c r="G2317" s="451" t="s">
        <v>22882</v>
      </c>
      <c r="H2317" s="451" t="s">
        <v>22883</v>
      </c>
      <c r="I2317" s="451" t="s">
        <v>23909</v>
      </c>
      <c r="J2317" s="451" t="s">
        <v>23910</v>
      </c>
      <c r="K2317" s="451"/>
    </row>
    <row r="2318" spans="1:11">
      <c r="A2318" s="450" t="s">
        <v>4498</v>
      </c>
      <c r="B2318" s="450" t="s">
        <v>4499</v>
      </c>
      <c r="C2318" s="450" t="s">
        <v>4500</v>
      </c>
      <c r="D2318" s="450"/>
      <c r="E2318" s="450"/>
      <c r="F2318" s="450"/>
      <c r="G2318" s="450" t="s">
        <v>22882</v>
      </c>
      <c r="H2318" s="450" t="s">
        <v>22883</v>
      </c>
      <c r="I2318" s="450" t="s">
        <v>30734</v>
      </c>
      <c r="J2318" s="450" t="s">
        <v>30735</v>
      </c>
      <c r="K2318" s="450"/>
    </row>
    <row r="2319" spans="1:11">
      <c r="A2319" s="451" t="s">
        <v>33835</v>
      </c>
      <c r="B2319" s="451"/>
      <c r="C2319" s="451" t="s">
        <v>4502</v>
      </c>
      <c r="D2319" s="451"/>
      <c r="E2319" s="451"/>
      <c r="F2319" s="451"/>
      <c r="G2319" s="451" t="s">
        <v>22877</v>
      </c>
      <c r="H2319" s="451" t="s">
        <v>22878</v>
      </c>
      <c r="I2319" s="451" t="s">
        <v>33836</v>
      </c>
      <c r="J2319" s="451" t="s">
        <v>22942</v>
      </c>
      <c r="K2319" s="451"/>
    </row>
    <row r="2320" spans="1:11">
      <c r="A2320" s="450" t="s">
        <v>4501</v>
      </c>
      <c r="B2320" s="450"/>
      <c r="C2320" s="450" t="s">
        <v>4502</v>
      </c>
      <c r="D2320" s="450"/>
      <c r="E2320" s="450"/>
      <c r="F2320" s="450"/>
      <c r="G2320" s="450" t="s">
        <v>22877</v>
      </c>
      <c r="H2320" s="450" t="s">
        <v>22878</v>
      </c>
      <c r="I2320" s="450" t="s">
        <v>33837</v>
      </c>
      <c r="J2320" s="450" t="s">
        <v>22942</v>
      </c>
      <c r="K2320" s="450"/>
    </row>
    <row r="2321" spans="1:11">
      <c r="A2321" s="451" t="s">
        <v>4503</v>
      </c>
      <c r="B2321" s="451"/>
      <c r="C2321" s="451" t="s">
        <v>4504</v>
      </c>
      <c r="D2321" s="451"/>
      <c r="E2321" s="451"/>
      <c r="F2321" s="451"/>
      <c r="G2321" s="451" t="s">
        <v>22882</v>
      </c>
      <c r="H2321" s="451" t="s">
        <v>22883</v>
      </c>
      <c r="I2321" s="451"/>
      <c r="J2321" s="451" t="s">
        <v>23184</v>
      </c>
      <c r="K2321" s="451"/>
    </row>
    <row r="2322" spans="1:11">
      <c r="A2322" s="450" t="s">
        <v>33838</v>
      </c>
      <c r="B2322" s="450"/>
      <c r="C2322" s="450" t="s">
        <v>4504</v>
      </c>
      <c r="D2322" s="450"/>
      <c r="E2322" s="450"/>
      <c r="F2322" s="450"/>
      <c r="G2322" s="450" t="s">
        <v>22882</v>
      </c>
      <c r="H2322" s="450" t="s">
        <v>22883</v>
      </c>
      <c r="I2322" s="450"/>
      <c r="J2322" s="450" t="s">
        <v>23185</v>
      </c>
      <c r="K2322" s="450"/>
    </row>
    <row r="2323" spans="1:11">
      <c r="A2323" s="451" t="s">
        <v>4505</v>
      </c>
      <c r="B2323" s="451"/>
      <c r="C2323" s="451" t="s">
        <v>4506</v>
      </c>
      <c r="D2323" s="451"/>
      <c r="E2323" s="451"/>
      <c r="F2323" s="451"/>
      <c r="G2323" s="451" t="s">
        <v>22877</v>
      </c>
      <c r="H2323" s="451" t="s">
        <v>22878</v>
      </c>
      <c r="I2323" s="451" t="s">
        <v>33839</v>
      </c>
      <c r="J2323" s="451" t="s">
        <v>23185</v>
      </c>
      <c r="K2323" s="451"/>
    </row>
    <row r="2324" spans="1:11">
      <c r="A2324" s="450" t="s">
        <v>33840</v>
      </c>
      <c r="B2324" s="450"/>
      <c r="C2324" s="450" t="s">
        <v>4508</v>
      </c>
      <c r="D2324" s="450"/>
      <c r="E2324" s="450"/>
      <c r="F2324" s="450"/>
      <c r="G2324" s="450" t="s">
        <v>22877</v>
      </c>
      <c r="H2324" s="450" t="s">
        <v>22878</v>
      </c>
      <c r="I2324" s="450" t="s">
        <v>33841</v>
      </c>
      <c r="J2324" s="450" t="s">
        <v>23185</v>
      </c>
      <c r="K2324" s="450"/>
    </row>
    <row r="2325" spans="1:11">
      <c r="A2325" s="451" t="s">
        <v>4507</v>
      </c>
      <c r="B2325" s="451"/>
      <c r="C2325" s="451" t="s">
        <v>4508</v>
      </c>
      <c r="D2325" s="451"/>
      <c r="E2325" s="451"/>
      <c r="F2325" s="451"/>
      <c r="G2325" s="451" t="s">
        <v>22877</v>
      </c>
      <c r="H2325" s="451" t="s">
        <v>22878</v>
      </c>
      <c r="I2325" s="451" t="s">
        <v>30736</v>
      </c>
      <c r="J2325" s="451" t="s">
        <v>23185</v>
      </c>
      <c r="K2325" s="451"/>
    </row>
    <row r="2326" spans="1:11">
      <c r="A2326" s="450" t="s">
        <v>33842</v>
      </c>
      <c r="B2326" s="450" t="s">
        <v>4510</v>
      </c>
      <c r="C2326" s="450" t="s">
        <v>4511</v>
      </c>
      <c r="D2326" s="450" t="s">
        <v>4512</v>
      </c>
      <c r="E2326" s="450"/>
      <c r="F2326" s="450"/>
      <c r="G2326" s="450" t="s">
        <v>22877</v>
      </c>
      <c r="H2326" s="450" t="s">
        <v>22878</v>
      </c>
      <c r="I2326" s="450" t="s">
        <v>33843</v>
      </c>
      <c r="J2326" s="450" t="s">
        <v>33844</v>
      </c>
      <c r="K2326" s="450"/>
    </row>
    <row r="2327" spans="1:11">
      <c r="A2327" s="451" t="s">
        <v>4509</v>
      </c>
      <c r="B2327" s="451" t="s">
        <v>4510</v>
      </c>
      <c r="C2327" s="451" t="s">
        <v>4511</v>
      </c>
      <c r="D2327" s="451" t="s">
        <v>4512</v>
      </c>
      <c r="E2327" s="451" t="s">
        <v>4513</v>
      </c>
      <c r="F2327" s="451"/>
      <c r="G2327" s="451" t="s">
        <v>22877</v>
      </c>
      <c r="H2327" s="451" t="s">
        <v>22878</v>
      </c>
      <c r="I2327" s="451" t="s">
        <v>4512</v>
      </c>
      <c r="J2327" s="451" t="s">
        <v>30737</v>
      </c>
      <c r="K2327" s="451"/>
    </row>
    <row r="2328" spans="1:11">
      <c r="A2328" s="450" t="s">
        <v>4514</v>
      </c>
      <c r="B2328" s="450"/>
      <c r="C2328" s="450" t="s">
        <v>1742</v>
      </c>
      <c r="D2328" s="450"/>
      <c r="E2328" s="450"/>
      <c r="F2328" s="450"/>
      <c r="G2328" s="450" t="s">
        <v>22877</v>
      </c>
      <c r="H2328" s="450" t="s">
        <v>22878</v>
      </c>
      <c r="I2328" s="450" t="s">
        <v>33845</v>
      </c>
      <c r="J2328" s="450" t="s">
        <v>23185</v>
      </c>
      <c r="K2328" s="450"/>
    </row>
    <row r="2329" spans="1:11">
      <c r="A2329" s="451" t="s">
        <v>4515</v>
      </c>
      <c r="B2329" s="451"/>
      <c r="C2329" s="451" t="s">
        <v>4516</v>
      </c>
      <c r="D2329" s="451"/>
      <c r="E2329" s="451"/>
      <c r="F2329" s="451"/>
      <c r="G2329" s="451" t="s">
        <v>22882</v>
      </c>
      <c r="H2329" s="451" t="s">
        <v>22883</v>
      </c>
      <c r="I2329" s="451" t="s">
        <v>23911</v>
      </c>
      <c r="J2329" s="451" t="s">
        <v>22939</v>
      </c>
      <c r="K2329" s="451"/>
    </row>
    <row r="2330" spans="1:11">
      <c r="A2330" s="450" t="s">
        <v>33846</v>
      </c>
      <c r="B2330" s="450" t="s">
        <v>4518</v>
      </c>
      <c r="C2330" s="450" t="s">
        <v>4519</v>
      </c>
      <c r="D2330" s="450" t="s">
        <v>4520</v>
      </c>
      <c r="E2330" s="450"/>
      <c r="F2330" s="450"/>
      <c r="G2330" s="450" t="s">
        <v>22882</v>
      </c>
      <c r="H2330" s="450" t="s">
        <v>22883</v>
      </c>
      <c r="I2330" s="450" t="s">
        <v>4520</v>
      </c>
      <c r="J2330" s="450" t="s">
        <v>33847</v>
      </c>
      <c r="K2330" s="450"/>
    </row>
    <row r="2331" spans="1:11">
      <c r="A2331" s="451" t="s">
        <v>4517</v>
      </c>
      <c r="B2331" s="451" t="s">
        <v>4518</v>
      </c>
      <c r="C2331" s="451" t="s">
        <v>4519</v>
      </c>
      <c r="D2331" s="451" t="s">
        <v>4520</v>
      </c>
      <c r="E2331" s="451" t="s">
        <v>4521</v>
      </c>
      <c r="F2331" s="451"/>
      <c r="G2331" s="451" t="s">
        <v>22877</v>
      </c>
      <c r="H2331" s="451" t="s">
        <v>22878</v>
      </c>
      <c r="I2331" s="451" t="s">
        <v>24865</v>
      </c>
      <c r="J2331" s="451" t="s">
        <v>30738</v>
      </c>
      <c r="K2331" s="451"/>
    </row>
    <row r="2332" spans="1:11">
      <c r="A2332" s="450" t="s">
        <v>21541</v>
      </c>
      <c r="B2332" s="450"/>
      <c r="C2332" s="450" t="s">
        <v>4522</v>
      </c>
      <c r="D2332" s="450"/>
      <c r="E2332" s="450"/>
      <c r="F2332" s="450"/>
      <c r="G2332" s="450" t="s">
        <v>22877</v>
      </c>
      <c r="H2332" s="450" t="s">
        <v>22878</v>
      </c>
      <c r="I2332" s="450" t="s">
        <v>33848</v>
      </c>
      <c r="J2332" s="450" t="s">
        <v>23185</v>
      </c>
      <c r="K2332" s="450"/>
    </row>
    <row r="2333" spans="1:11">
      <c r="A2333" s="451" t="s">
        <v>4523</v>
      </c>
      <c r="B2333" s="451"/>
      <c r="C2333" s="451" t="s">
        <v>4524</v>
      </c>
      <c r="D2333" s="451"/>
      <c r="E2333" s="451"/>
      <c r="F2333" s="451"/>
      <c r="G2333" s="451" t="s">
        <v>22877</v>
      </c>
      <c r="H2333" s="451" t="s">
        <v>22878</v>
      </c>
      <c r="I2333" s="451" t="s">
        <v>30739</v>
      </c>
      <c r="J2333" s="451" t="s">
        <v>22997</v>
      </c>
      <c r="K2333" s="451"/>
    </row>
    <row r="2334" spans="1:11">
      <c r="A2334" s="450" t="s">
        <v>4525</v>
      </c>
      <c r="B2334" s="450" t="s">
        <v>4526</v>
      </c>
      <c r="C2334" s="450" t="s">
        <v>4527</v>
      </c>
      <c r="D2334" s="450"/>
      <c r="E2334" s="450"/>
      <c r="F2334" s="450"/>
      <c r="G2334" s="450" t="s">
        <v>22877</v>
      </c>
      <c r="H2334" s="450" t="s">
        <v>22878</v>
      </c>
      <c r="I2334" s="450" t="s">
        <v>23912</v>
      </c>
      <c r="J2334" s="450" t="s">
        <v>23913</v>
      </c>
      <c r="K2334" s="450"/>
    </row>
    <row r="2335" spans="1:11">
      <c r="A2335" s="451" t="s">
        <v>4528</v>
      </c>
      <c r="B2335" s="451"/>
      <c r="C2335" s="451" t="s">
        <v>4529</v>
      </c>
      <c r="D2335" s="451"/>
      <c r="E2335" s="451"/>
      <c r="F2335" s="451"/>
      <c r="G2335" s="451" t="s">
        <v>22877</v>
      </c>
      <c r="H2335" s="451" t="s">
        <v>22878</v>
      </c>
      <c r="I2335" s="451" t="s">
        <v>33849</v>
      </c>
      <c r="J2335" s="451" t="s">
        <v>23185</v>
      </c>
      <c r="K2335" s="451"/>
    </row>
    <row r="2336" spans="1:11">
      <c r="A2336" s="450" t="s">
        <v>33850</v>
      </c>
      <c r="B2336" s="450"/>
      <c r="C2336" s="450" t="s">
        <v>4529</v>
      </c>
      <c r="D2336" s="450"/>
      <c r="E2336" s="450"/>
      <c r="F2336" s="450"/>
      <c r="G2336" s="450" t="s">
        <v>22877</v>
      </c>
      <c r="H2336" s="450" t="s">
        <v>22878</v>
      </c>
      <c r="I2336" s="450" t="s">
        <v>33851</v>
      </c>
      <c r="J2336" s="450" t="s">
        <v>22942</v>
      </c>
      <c r="K2336" s="450"/>
    </row>
    <row r="2337" spans="1:11">
      <c r="A2337" s="451" t="s">
        <v>4530</v>
      </c>
      <c r="B2337" s="451"/>
      <c r="C2337" s="451" t="s">
        <v>4531</v>
      </c>
      <c r="D2337" s="451"/>
      <c r="E2337" s="451"/>
      <c r="F2337" s="451"/>
      <c r="G2337" s="451" t="s">
        <v>22877</v>
      </c>
      <c r="H2337" s="451" t="s">
        <v>22878</v>
      </c>
      <c r="I2337" s="451" t="s">
        <v>33852</v>
      </c>
      <c r="J2337" s="451" t="s">
        <v>22948</v>
      </c>
      <c r="K2337" s="451"/>
    </row>
    <row r="2338" spans="1:11">
      <c r="A2338" s="450" t="s">
        <v>33853</v>
      </c>
      <c r="B2338" s="450"/>
      <c r="C2338" s="450" t="s">
        <v>4535</v>
      </c>
      <c r="D2338" s="450"/>
      <c r="E2338" s="450"/>
      <c r="F2338" s="450"/>
      <c r="G2338" s="450" t="s">
        <v>22877</v>
      </c>
      <c r="H2338" s="450" t="s">
        <v>22878</v>
      </c>
      <c r="I2338" s="450" t="s">
        <v>33854</v>
      </c>
      <c r="J2338" s="450" t="s">
        <v>22942</v>
      </c>
      <c r="K2338" s="450"/>
    </row>
    <row r="2339" spans="1:11">
      <c r="A2339" s="451" t="s">
        <v>33855</v>
      </c>
      <c r="B2339" s="451"/>
      <c r="C2339" s="451" t="s">
        <v>4533</v>
      </c>
      <c r="D2339" s="451"/>
      <c r="E2339" s="451"/>
      <c r="F2339" s="451"/>
      <c r="G2339" s="451" t="s">
        <v>22882</v>
      </c>
      <c r="H2339" s="451" t="s">
        <v>22883</v>
      </c>
      <c r="I2339" s="451" t="s">
        <v>33856</v>
      </c>
      <c r="J2339" s="451" t="s">
        <v>22942</v>
      </c>
      <c r="K2339" s="451"/>
    </row>
    <row r="2340" spans="1:11">
      <c r="A2340" s="450" t="s">
        <v>4532</v>
      </c>
      <c r="B2340" s="450"/>
      <c r="C2340" s="450" t="s">
        <v>4533</v>
      </c>
      <c r="D2340" s="450"/>
      <c r="E2340" s="450"/>
      <c r="F2340" s="450"/>
      <c r="G2340" s="450" t="s">
        <v>22882</v>
      </c>
      <c r="H2340" s="450" t="s">
        <v>22883</v>
      </c>
      <c r="I2340" s="450"/>
      <c r="J2340" s="450" t="s">
        <v>22943</v>
      </c>
      <c r="K2340" s="450"/>
    </row>
    <row r="2341" spans="1:11">
      <c r="A2341" s="451" t="s">
        <v>4534</v>
      </c>
      <c r="B2341" s="451"/>
      <c r="C2341" s="451" t="s">
        <v>4535</v>
      </c>
      <c r="D2341" s="451"/>
      <c r="E2341" s="451"/>
      <c r="F2341" s="451"/>
      <c r="G2341" s="451" t="s">
        <v>22877</v>
      </c>
      <c r="H2341" s="451" t="s">
        <v>22878</v>
      </c>
      <c r="I2341" s="451" t="s">
        <v>33857</v>
      </c>
      <c r="J2341" s="451" t="s">
        <v>22943</v>
      </c>
      <c r="K2341" s="451"/>
    </row>
    <row r="2342" spans="1:11">
      <c r="A2342" s="450" t="s">
        <v>4536</v>
      </c>
      <c r="B2342" s="450"/>
      <c r="C2342" s="450" t="s">
        <v>4537</v>
      </c>
      <c r="D2342" s="450"/>
      <c r="E2342" s="450"/>
      <c r="F2342" s="450"/>
      <c r="G2342" s="450" t="s">
        <v>22882</v>
      </c>
      <c r="H2342" s="450" t="s">
        <v>22883</v>
      </c>
      <c r="I2342" s="450"/>
      <c r="J2342" s="450" t="s">
        <v>22997</v>
      </c>
      <c r="K2342" s="450"/>
    </row>
    <row r="2343" spans="1:11">
      <c r="A2343" s="451" t="s">
        <v>33858</v>
      </c>
      <c r="B2343" s="451"/>
      <c r="C2343" s="451" t="s">
        <v>4539</v>
      </c>
      <c r="D2343" s="451"/>
      <c r="E2343" s="451"/>
      <c r="F2343" s="451"/>
      <c r="G2343" s="451" t="s">
        <v>22877</v>
      </c>
      <c r="H2343" s="451" t="s">
        <v>22878</v>
      </c>
      <c r="I2343" s="451" t="s">
        <v>33859</v>
      </c>
      <c r="J2343" s="451" t="s">
        <v>22997</v>
      </c>
      <c r="K2343" s="451"/>
    </row>
    <row r="2344" spans="1:11">
      <c r="A2344" s="450" t="s">
        <v>4538</v>
      </c>
      <c r="B2344" s="450"/>
      <c r="C2344" s="450" t="s">
        <v>4539</v>
      </c>
      <c r="D2344" s="450"/>
      <c r="E2344" s="450"/>
      <c r="F2344" s="450"/>
      <c r="G2344" s="450" t="s">
        <v>22877</v>
      </c>
      <c r="H2344" s="450" t="s">
        <v>22878</v>
      </c>
      <c r="I2344" s="450" t="s">
        <v>33860</v>
      </c>
      <c r="J2344" s="450" t="s">
        <v>23185</v>
      </c>
      <c r="K2344" s="450"/>
    </row>
    <row r="2345" spans="1:11">
      <c r="A2345" s="451" t="s">
        <v>21542</v>
      </c>
      <c r="B2345" s="451"/>
      <c r="C2345" s="451" t="s">
        <v>4540</v>
      </c>
      <c r="D2345" s="451"/>
      <c r="E2345" s="451"/>
      <c r="F2345" s="451"/>
      <c r="G2345" s="451" t="s">
        <v>22882</v>
      </c>
      <c r="H2345" s="451" t="s">
        <v>22883</v>
      </c>
      <c r="I2345" s="451"/>
      <c r="J2345" s="451" t="s">
        <v>23914</v>
      </c>
      <c r="K2345" s="451"/>
    </row>
    <row r="2346" spans="1:11">
      <c r="A2346" s="450" t="s">
        <v>23915</v>
      </c>
      <c r="B2346" s="450" t="s">
        <v>23916</v>
      </c>
      <c r="C2346" s="450" t="s">
        <v>23917</v>
      </c>
      <c r="D2346" s="450"/>
      <c r="E2346" s="450"/>
      <c r="F2346" s="450"/>
      <c r="G2346" s="450" t="s">
        <v>22877</v>
      </c>
      <c r="H2346" s="450" t="s">
        <v>22878</v>
      </c>
      <c r="I2346" s="450" t="s">
        <v>23918</v>
      </c>
      <c r="J2346" s="450" t="s">
        <v>23919</v>
      </c>
      <c r="K2346" s="450"/>
    </row>
    <row r="2347" spans="1:11">
      <c r="A2347" s="451" t="s">
        <v>23920</v>
      </c>
      <c r="B2347" s="451" t="s">
        <v>23921</v>
      </c>
      <c r="C2347" s="451" t="s">
        <v>23922</v>
      </c>
      <c r="D2347" s="451"/>
      <c r="E2347" s="451"/>
      <c r="F2347" s="451"/>
      <c r="G2347" s="451" t="s">
        <v>22877</v>
      </c>
      <c r="H2347" s="451" t="s">
        <v>22878</v>
      </c>
      <c r="I2347" s="451" t="s">
        <v>23923</v>
      </c>
      <c r="J2347" s="451" t="s">
        <v>23924</v>
      </c>
      <c r="K2347" s="451"/>
    </row>
    <row r="2348" spans="1:11">
      <c r="A2348" s="450" t="s">
        <v>33861</v>
      </c>
      <c r="B2348" s="450" t="s">
        <v>4542</v>
      </c>
      <c r="C2348" s="450" t="s">
        <v>4543</v>
      </c>
      <c r="D2348" s="450" t="s">
        <v>4544</v>
      </c>
      <c r="E2348" s="450"/>
      <c r="F2348" s="450" t="s">
        <v>4546</v>
      </c>
      <c r="G2348" s="450" t="s">
        <v>22877</v>
      </c>
      <c r="H2348" s="450" t="s">
        <v>22878</v>
      </c>
      <c r="I2348" s="450" t="s">
        <v>4544</v>
      </c>
      <c r="J2348" s="450" t="s">
        <v>23925</v>
      </c>
      <c r="K2348" s="450"/>
    </row>
    <row r="2349" spans="1:11">
      <c r="A2349" s="451" t="s">
        <v>4541</v>
      </c>
      <c r="B2349" s="451" t="s">
        <v>4542</v>
      </c>
      <c r="C2349" s="451" t="s">
        <v>4543</v>
      </c>
      <c r="D2349" s="451" t="s">
        <v>4544</v>
      </c>
      <c r="E2349" s="451" t="s">
        <v>4545</v>
      </c>
      <c r="F2349" s="451" t="s">
        <v>4546</v>
      </c>
      <c r="G2349" s="451" t="s">
        <v>22877</v>
      </c>
      <c r="H2349" s="451" t="s">
        <v>22878</v>
      </c>
      <c r="I2349" s="451" t="s">
        <v>4544</v>
      </c>
      <c r="J2349" s="451" t="s">
        <v>23925</v>
      </c>
      <c r="K2349" s="451"/>
    </row>
    <row r="2350" spans="1:11">
      <c r="A2350" s="450" t="s">
        <v>4547</v>
      </c>
      <c r="B2350" s="450"/>
      <c r="C2350" s="450" t="s">
        <v>4548</v>
      </c>
      <c r="D2350" s="450"/>
      <c r="E2350" s="450"/>
      <c r="F2350" s="450"/>
      <c r="G2350" s="450" t="s">
        <v>22882</v>
      </c>
      <c r="H2350" s="450" t="s">
        <v>22883</v>
      </c>
      <c r="I2350" s="450" t="s">
        <v>33862</v>
      </c>
      <c r="J2350" s="450" t="s">
        <v>23185</v>
      </c>
      <c r="K2350" s="450"/>
    </row>
    <row r="2351" spans="1:11">
      <c r="A2351" s="451" t="s">
        <v>4549</v>
      </c>
      <c r="B2351" s="451"/>
      <c r="C2351" s="451" t="s">
        <v>1215</v>
      </c>
      <c r="D2351" s="451"/>
      <c r="E2351" s="451"/>
      <c r="F2351" s="451"/>
      <c r="G2351" s="451" t="s">
        <v>22882</v>
      </c>
      <c r="H2351" s="451" t="s">
        <v>22883</v>
      </c>
      <c r="I2351" s="451"/>
      <c r="J2351" s="451" t="s">
        <v>22943</v>
      </c>
      <c r="K2351" s="451"/>
    </row>
    <row r="2352" spans="1:11">
      <c r="A2352" s="450" t="s">
        <v>4550</v>
      </c>
      <c r="B2352" s="450"/>
      <c r="C2352" s="450" t="s">
        <v>4551</v>
      </c>
      <c r="D2352" s="450"/>
      <c r="E2352" s="450"/>
      <c r="F2352" s="450"/>
      <c r="G2352" s="450" t="s">
        <v>22882</v>
      </c>
      <c r="H2352" s="450" t="s">
        <v>22883</v>
      </c>
      <c r="I2352" s="450"/>
      <c r="J2352" s="450" t="s">
        <v>22943</v>
      </c>
      <c r="K2352" s="450"/>
    </row>
    <row r="2353" spans="1:11">
      <c r="A2353" s="451" t="s">
        <v>33863</v>
      </c>
      <c r="B2353" s="451"/>
      <c r="C2353" s="451" t="s">
        <v>3793</v>
      </c>
      <c r="D2353" s="451"/>
      <c r="E2353" s="451"/>
      <c r="F2353" s="451"/>
      <c r="G2353" s="451" t="s">
        <v>22882</v>
      </c>
      <c r="H2353" s="451" t="s">
        <v>22883</v>
      </c>
      <c r="I2353" s="451"/>
      <c r="J2353" s="451" t="s">
        <v>22943</v>
      </c>
      <c r="K2353" s="451"/>
    </row>
    <row r="2354" spans="1:11">
      <c r="A2354" s="450" t="s">
        <v>4552</v>
      </c>
      <c r="B2354" s="450"/>
      <c r="C2354" s="450" t="s">
        <v>4553</v>
      </c>
      <c r="D2354" s="450"/>
      <c r="E2354" s="450"/>
      <c r="F2354" s="450"/>
      <c r="G2354" s="450" t="s">
        <v>22882</v>
      </c>
      <c r="H2354" s="450" t="s">
        <v>22883</v>
      </c>
      <c r="I2354" s="450" t="s">
        <v>23926</v>
      </c>
      <c r="J2354" s="450" t="s">
        <v>22943</v>
      </c>
      <c r="K2354" s="450"/>
    </row>
    <row r="2355" spans="1:11">
      <c r="A2355" s="451" t="s">
        <v>4554</v>
      </c>
      <c r="B2355" s="451" t="s">
        <v>4555</v>
      </c>
      <c r="C2355" s="451" t="s">
        <v>4556</v>
      </c>
      <c r="D2355" s="451"/>
      <c r="E2355" s="451"/>
      <c r="F2355" s="451" t="s">
        <v>4557</v>
      </c>
      <c r="G2355" s="451" t="s">
        <v>22877</v>
      </c>
      <c r="H2355" s="451" t="s">
        <v>22878</v>
      </c>
      <c r="I2355" s="451" t="s">
        <v>23927</v>
      </c>
      <c r="J2355" s="451" t="s">
        <v>23928</v>
      </c>
      <c r="K2355" s="451"/>
    </row>
    <row r="2356" spans="1:11">
      <c r="A2356" s="450" t="s">
        <v>4558</v>
      </c>
      <c r="B2356" s="450" t="s">
        <v>4559</v>
      </c>
      <c r="C2356" s="450" t="s">
        <v>4560</v>
      </c>
      <c r="D2356" s="450" t="s">
        <v>4561</v>
      </c>
      <c r="E2356" s="450" t="s">
        <v>4562</v>
      </c>
      <c r="F2356" s="450" t="s">
        <v>4563</v>
      </c>
      <c r="G2356" s="450" t="s">
        <v>22877</v>
      </c>
      <c r="H2356" s="450" t="s">
        <v>22878</v>
      </c>
      <c r="I2356" s="450" t="s">
        <v>30740</v>
      </c>
      <c r="J2356" s="450" t="s">
        <v>30741</v>
      </c>
      <c r="K2356" s="450"/>
    </row>
    <row r="2357" spans="1:11">
      <c r="A2357" s="451" t="s">
        <v>23929</v>
      </c>
      <c r="B2357" s="451" t="s">
        <v>23930</v>
      </c>
      <c r="C2357" s="451" t="s">
        <v>23931</v>
      </c>
      <c r="D2357" s="451"/>
      <c r="E2357" s="451"/>
      <c r="F2357" s="451"/>
      <c r="G2357" s="451" t="s">
        <v>22877</v>
      </c>
      <c r="H2357" s="451" t="s">
        <v>22878</v>
      </c>
      <c r="I2357" s="451" t="s">
        <v>23932</v>
      </c>
      <c r="J2357" s="451" t="s">
        <v>23933</v>
      </c>
      <c r="K2357" s="451"/>
    </row>
    <row r="2358" spans="1:11">
      <c r="A2358" s="450" t="s">
        <v>33864</v>
      </c>
      <c r="B2358" s="450"/>
      <c r="C2358" s="450" t="s">
        <v>4565</v>
      </c>
      <c r="D2358" s="450"/>
      <c r="E2358" s="450"/>
      <c r="F2358" s="450"/>
      <c r="G2358" s="450" t="s">
        <v>22877</v>
      </c>
      <c r="H2358" s="450" t="s">
        <v>22878</v>
      </c>
      <c r="I2358" s="450" t="s">
        <v>33865</v>
      </c>
      <c r="J2358" s="450" t="s">
        <v>22997</v>
      </c>
      <c r="K2358" s="450"/>
    </row>
    <row r="2359" spans="1:11">
      <c r="A2359" s="451" t="s">
        <v>4564</v>
      </c>
      <c r="B2359" s="451"/>
      <c r="C2359" s="451" t="s">
        <v>4565</v>
      </c>
      <c r="D2359" s="451"/>
      <c r="E2359" s="451"/>
      <c r="F2359" s="451"/>
      <c r="G2359" s="451" t="s">
        <v>22877</v>
      </c>
      <c r="H2359" s="451" t="s">
        <v>22878</v>
      </c>
      <c r="I2359" s="451" t="s">
        <v>33866</v>
      </c>
      <c r="J2359" s="451" t="s">
        <v>23185</v>
      </c>
      <c r="K2359" s="451"/>
    </row>
    <row r="2360" spans="1:11">
      <c r="A2360" s="450" t="s">
        <v>4566</v>
      </c>
      <c r="B2360" s="450"/>
      <c r="C2360" s="450" t="s">
        <v>4567</v>
      </c>
      <c r="D2360" s="450"/>
      <c r="E2360" s="450"/>
      <c r="F2360" s="450"/>
      <c r="G2360" s="450" t="s">
        <v>22882</v>
      </c>
      <c r="H2360" s="450" t="s">
        <v>22883</v>
      </c>
      <c r="I2360" s="450"/>
      <c r="J2360" s="450" t="s">
        <v>23185</v>
      </c>
      <c r="K2360" s="450"/>
    </row>
    <row r="2361" spans="1:11">
      <c r="A2361" s="451" t="s">
        <v>4568</v>
      </c>
      <c r="B2361" s="451"/>
      <c r="C2361" s="451" t="s">
        <v>4569</v>
      </c>
      <c r="D2361" s="451"/>
      <c r="E2361" s="451"/>
      <c r="F2361" s="451"/>
      <c r="G2361" s="451" t="s">
        <v>22882</v>
      </c>
      <c r="H2361" s="451" t="s">
        <v>22883</v>
      </c>
      <c r="I2361" s="451"/>
      <c r="J2361" s="451" t="s">
        <v>23184</v>
      </c>
      <c r="K2361" s="451"/>
    </row>
    <row r="2362" spans="1:11">
      <c r="A2362" s="450" t="s">
        <v>23934</v>
      </c>
      <c r="B2362" s="450" t="s">
        <v>4571</v>
      </c>
      <c r="C2362" s="450" t="s">
        <v>4572</v>
      </c>
      <c r="D2362" s="450" t="s">
        <v>4573</v>
      </c>
      <c r="E2362" s="450"/>
      <c r="F2362" s="450"/>
      <c r="G2362" s="450" t="s">
        <v>22877</v>
      </c>
      <c r="H2362" s="450" t="s">
        <v>22878</v>
      </c>
      <c r="I2362" s="450" t="s">
        <v>23935</v>
      </c>
      <c r="J2362" s="450" t="s">
        <v>23936</v>
      </c>
      <c r="K2362" s="450"/>
    </row>
    <row r="2363" spans="1:11">
      <c r="A2363" s="451" t="s">
        <v>23937</v>
      </c>
      <c r="B2363" s="451" t="s">
        <v>4576</v>
      </c>
      <c r="C2363" s="451" t="s">
        <v>4577</v>
      </c>
      <c r="D2363" s="451"/>
      <c r="E2363" s="451"/>
      <c r="F2363" s="451"/>
      <c r="G2363" s="451" t="s">
        <v>22877</v>
      </c>
      <c r="H2363" s="451" t="s">
        <v>22878</v>
      </c>
      <c r="I2363" s="451" t="s">
        <v>23938</v>
      </c>
      <c r="J2363" s="451" t="s">
        <v>23939</v>
      </c>
      <c r="K2363" s="451"/>
    </row>
    <row r="2364" spans="1:11">
      <c r="A2364" s="450" t="s">
        <v>4570</v>
      </c>
      <c r="B2364" s="450" t="s">
        <v>4571</v>
      </c>
      <c r="C2364" s="450" t="s">
        <v>4572</v>
      </c>
      <c r="D2364" s="450" t="s">
        <v>4573</v>
      </c>
      <c r="E2364" s="450" t="s">
        <v>4574</v>
      </c>
      <c r="F2364" s="450"/>
      <c r="G2364" s="450" t="s">
        <v>22877</v>
      </c>
      <c r="H2364" s="450" t="s">
        <v>22878</v>
      </c>
      <c r="I2364" s="450" t="s">
        <v>4573</v>
      </c>
      <c r="J2364" s="450" t="s">
        <v>30742</v>
      </c>
      <c r="K2364" s="450"/>
    </row>
    <row r="2365" spans="1:11">
      <c r="A2365" s="451" t="s">
        <v>4575</v>
      </c>
      <c r="B2365" s="451" t="s">
        <v>4576</v>
      </c>
      <c r="C2365" s="451" t="s">
        <v>4577</v>
      </c>
      <c r="D2365" s="451"/>
      <c r="E2365" s="451"/>
      <c r="F2365" s="451"/>
      <c r="G2365" s="451" t="s">
        <v>22877</v>
      </c>
      <c r="H2365" s="451" t="s">
        <v>22878</v>
      </c>
      <c r="I2365" s="451" t="s">
        <v>30743</v>
      </c>
      <c r="J2365" s="451" t="s">
        <v>30744</v>
      </c>
      <c r="K2365" s="451"/>
    </row>
    <row r="2366" spans="1:11">
      <c r="A2366" s="450" t="s">
        <v>4578</v>
      </c>
      <c r="B2366" s="450"/>
      <c r="C2366" s="450" t="s">
        <v>4579</v>
      </c>
      <c r="D2366" s="450"/>
      <c r="E2366" s="450"/>
      <c r="F2366" s="450"/>
      <c r="G2366" s="450" t="s">
        <v>22877</v>
      </c>
      <c r="H2366" s="450" t="s">
        <v>22878</v>
      </c>
      <c r="I2366" s="450" t="s">
        <v>33867</v>
      </c>
      <c r="J2366" s="450" t="s">
        <v>22943</v>
      </c>
      <c r="K2366" s="450"/>
    </row>
    <row r="2367" spans="1:11">
      <c r="A2367" s="451" t="s">
        <v>33868</v>
      </c>
      <c r="B2367" s="451"/>
      <c r="C2367" s="451" t="s">
        <v>4590</v>
      </c>
      <c r="D2367" s="451"/>
      <c r="E2367" s="451"/>
      <c r="F2367" s="451"/>
      <c r="G2367" s="451" t="s">
        <v>22882</v>
      </c>
      <c r="H2367" s="451" t="s">
        <v>22883</v>
      </c>
      <c r="I2367" s="451"/>
      <c r="J2367" s="451" t="s">
        <v>22943</v>
      </c>
      <c r="K2367" s="451"/>
    </row>
    <row r="2368" spans="1:11">
      <c r="A2368" s="450" t="s">
        <v>23940</v>
      </c>
      <c r="B2368" s="450"/>
      <c r="C2368" s="450" t="s">
        <v>4588</v>
      </c>
      <c r="D2368" s="450"/>
      <c r="E2368" s="450"/>
      <c r="F2368" s="450"/>
      <c r="G2368" s="450" t="s">
        <v>22882</v>
      </c>
      <c r="H2368" s="450" t="s">
        <v>22883</v>
      </c>
      <c r="I2368" s="450" t="s">
        <v>23941</v>
      </c>
      <c r="J2368" s="450" t="s">
        <v>22997</v>
      </c>
      <c r="K2368" s="450"/>
    </row>
    <row r="2369" spans="1:11">
      <c r="A2369" s="451" t="s">
        <v>4580</v>
      </c>
      <c r="B2369" s="451" t="s">
        <v>4581</v>
      </c>
      <c r="C2369" s="451" t="s">
        <v>4582</v>
      </c>
      <c r="D2369" s="451" t="s">
        <v>4583</v>
      </c>
      <c r="E2369" s="451"/>
      <c r="F2369" s="451"/>
      <c r="G2369" s="451" t="s">
        <v>22877</v>
      </c>
      <c r="H2369" s="451" t="s">
        <v>22878</v>
      </c>
      <c r="I2369" s="451" t="s">
        <v>23942</v>
      </c>
      <c r="J2369" s="451" t="s">
        <v>23943</v>
      </c>
      <c r="K2369" s="451"/>
    </row>
    <row r="2370" spans="1:11">
      <c r="A2370" s="450" t="s">
        <v>4580</v>
      </c>
      <c r="B2370" s="450" t="s">
        <v>4581</v>
      </c>
      <c r="C2370" s="450" t="s">
        <v>4582</v>
      </c>
      <c r="D2370" s="450" t="s">
        <v>4583</v>
      </c>
      <c r="E2370" s="450" t="s">
        <v>4584</v>
      </c>
      <c r="F2370" s="450"/>
      <c r="G2370" s="450" t="s">
        <v>22877</v>
      </c>
      <c r="H2370" s="450" t="s">
        <v>22878</v>
      </c>
      <c r="I2370" s="450" t="s">
        <v>23942</v>
      </c>
      <c r="J2370" s="450" t="s">
        <v>23943</v>
      </c>
      <c r="K2370" s="450"/>
    </row>
    <row r="2371" spans="1:11">
      <c r="A2371" s="451" t="s">
        <v>4585</v>
      </c>
      <c r="B2371" s="451"/>
      <c r="C2371" s="451" t="s">
        <v>4586</v>
      </c>
      <c r="D2371" s="451"/>
      <c r="E2371" s="451"/>
      <c r="F2371" s="451"/>
      <c r="G2371" s="451" t="s">
        <v>22882</v>
      </c>
      <c r="H2371" s="451" t="s">
        <v>22883</v>
      </c>
      <c r="I2371" s="451"/>
      <c r="J2371" s="451" t="s">
        <v>22997</v>
      </c>
      <c r="K2371" s="451"/>
    </row>
    <row r="2372" spans="1:11">
      <c r="A2372" s="450" t="s">
        <v>4587</v>
      </c>
      <c r="B2372" s="450"/>
      <c r="C2372" s="450" t="s">
        <v>4588</v>
      </c>
      <c r="D2372" s="450"/>
      <c r="E2372" s="450"/>
      <c r="F2372" s="450"/>
      <c r="G2372" s="450" t="s">
        <v>22882</v>
      </c>
      <c r="H2372" s="450" t="s">
        <v>22883</v>
      </c>
      <c r="I2372" s="450" t="s">
        <v>33869</v>
      </c>
      <c r="J2372" s="450" t="s">
        <v>23185</v>
      </c>
      <c r="K2372" s="450"/>
    </row>
    <row r="2373" spans="1:11">
      <c r="A2373" s="451" t="s">
        <v>4589</v>
      </c>
      <c r="B2373" s="451"/>
      <c r="C2373" s="451" t="s">
        <v>4590</v>
      </c>
      <c r="D2373" s="451"/>
      <c r="E2373" s="451"/>
      <c r="F2373" s="451"/>
      <c r="G2373" s="451" t="s">
        <v>22882</v>
      </c>
      <c r="H2373" s="451" t="s">
        <v>22883</v>
      </c>
      <c r="I2373" s="451"/>
      <c r="J2373" s="451" t="s">
        <v>23185</v>
      </c>
      <c r="K2373" s="451"/>
    </row>
    <row r="2374" spans="1:11">
      <c r="A2374" s="450" t="s">
        <v>4591</v>
      </c>
      <c r="B2374" s="450"/>
      <c r="C2374" s="450" t="s">
        <v>4592</v>
      </c>
      <c r="D2374" s="450"/>
      <c r="E2374" s="450"/>
      <c r="F2374" s="450"/>
      <c r="G2374" s="450" t="s">
        <v>22877</v>
      </c>
      <c r="H2374" s="450" t="s">
        <v>22878</v>
      </c>
      <c r="I2374" s="450" t="s">
        <v>23944</v>
      </c>
      <c r="J2374" s="450" t="s">
        <v>22997</v>
      </c>
      <c r="K2374" s="450"/>
    </row>
    <row r="2375" spans="1:11">
      <c r="A2375" s="451" t="s">
        <v>33870</v>
      </c>
      <c r="B2375" s="451" t="s">
        <v>4594</v>
      </c>
      <c r="C2375" s="451" t="s">
        <v>4582</v>
      </c>
      <c r="D2375" s="451"/>
      <c r="E2375" s="451"/>
      <c r="F2375" s="451"/>
      <c r="G2375" s="451" t="s">
        <v>22877</v>
      </c>
      <c r="H2375" s="451" t="s">
        <v>22878</v>
      </c>
      <c r="I2375" s="451" t="s">
        <v>4583</v>
      </c>
      <c r="J2375" s="451" t="s">
        <v>23945</v>
      </c>
      <c r="K2375" s="451"/>
    </row>
    <row r="2376" spans="1:11">
      <c r="A2376" s="450" t="s">
        <v>4593</v>
      </c>
      <c r="B2376" s="450" t="s">
        <v>4594</v>
      </c>
      <c r="C2376" s="450" t="s">
        <v>4582</v>
      </c>
      <c r="D2376" s="450"/>
      <c r="E2376" s="450"/>
      <c r="F2376" s="450"/>
      <c r="G2376" s="450" t="s">
        <v>22877</v>
      </c>
      <c r="H2376" s="450" t="s">
        <v>22878</v>
      </c>
      <c r="I2376" s="450" t="s">
        <v>30745</v>
      </c>
      <c r="J2376" s="450" t="s">
        <v>23945</v>
      </c>
      <c r="K2376" s="450"/>
    </row>
    <row r="2377" spans="1:11">
      <c r="A2377" s="451" t="s">
        <v>33871</v>
      </c>
      <c r="B2377" s="451"/>
      <c r="C2377" s="451" t="s">
        <v>4596</v>
      </c>
      <c r="D2377" s="451"/>
      <c r="E2377" s="451"/>
      <c r="F2377" s="451"/>
      <c r="G2377" s="451" t="s">
        <v>22877</v>
      </c>
      <c r="H2377" s="451" t="s">
        <v>22878</v>
      </c>
      <c r="I2377" s="451" t="s">
        <v>33872</v>
      </c>
      <c r="J2377" s="451" t="s">
        <v>23185</v>
      </c>
      <c r="K2377" s="451"/>
    </row>
    <row r="2378" spans="1:11">
      <c r="A2378" s="450" t="s">
        <v>4595</v>
      </c>
      <c r="B2378" s="450"/>
      <c r="C2378" s="450" t="s">
        <v>4596</v>
      </c>
      <c r="D2378" s="450"/>
      <c r="E2378" s="450"/>
      <c r="F2378" s="450"/>
      <c r="G2378" s="450" t="s">
        <v>22877</v>
      </c>
      <c r="H2378" s="450" t="s">
        <v>22878</v>
      </c>
      <c r="I2378" s="450" t="s">
        <v>33873</v>
      </c>
      <c r="J2378" s="450" t="s">
        <v>23185</v>
      </c>
      <c r="K2378" s="450"/>
    </row>
    <row r="2379" spans="1:11">
      <c r="A2379" s="451" t="s">
        <v>4597</v>
      </c>
      <c r="B2379" s="451"/>
      <c r="C2379" s="451" t="s">
        <v>4598</v>
      </c>
      <c r="D2379" s="451"/>
      <c r="E2379" s="451"/>
      <c r="F2379" s="451"/>
      <c r="G2379" s="451" t="s">
        <v>22877</v>
      </c>
      <c r="H2379" s="451" t="s">
        <v>22878</v>
      </c>
      <c r="I2379" s="451" t="s">
        <v>33874</v>
      </c>
      <c r="J2379" s="451" t="s">
        <v>22943</v>
      </c>
      <c r="K2379" s="451"/>
    </row>
    <row r="2380" spans="1:11">
      <c r="A2380" s="450" t="s">
        <v>4599</v>
      </c>
      <c r="B2380" s="450"/>
      <c r="C2380" s="450" t="s">
        <v>3528</v>
      </c>
      <c r="D2380" s="450"/>
      <c r="E2380" s="450"/>
      <c r="F2380" s="450"/>
      <c r="G2380" s="450" t="s">
        <v>22877</v>
      </c>
      <c r="H2380" s="450" t="s">
        <v>22878</v>
      </c>
      <c r="I2380" s="450" t="s">
        <v>33875</v>
      </c>
      <c r="J2380" s="450" t="s">
        <v>22943</v>
      </c>
      <c r="K2380" s="450"/>
    </row>
    <row r="2381" spans="1:11">
      <c r="A2381" s="451" t="s">
        <v>4600</v>
      </c>
      <c r="B2381" s="451"/>
      <c r="C2381" s="451" t="s">
        <v>4601</v>
      </c>
      <c r="D2381" s="451"/>
      <c r="E2381" s="451"/>
      <c r="F2381" s="451"/>
      <c r="G2381" s="451" t="s">
        <v>22877</v>
      </c>
      <c r="H2381" s="451" t="s">
        <v>22878</v>
      </c>
      <c r="I2381" s="451" t="s">
        <v>23946</v>
      </c>
      <c r="J2381" s="451" t="s">
        <v>22943</v>
      </c>
      <c r="K2381" s="451"/>
    </row>
    <row r="2382" spans="1:11">
      <c r="A2382" s="450" t="s">
        <v>4602</v>
      </c>
      <c r="B2382" s="450" t="s">
        <v>30746</v>
      </c>
      <c r="C2382" s="450" t="s">
        <v>4604</v>
      </c>
      <c r="D2382" s="450" t="s">
        <v>4605</v>
      </c>
      <c r="E2382" s="450" t="s">
        <v>4606</v>
      </c>
      <c r="F2382" s="450"/>
      <c r="G2382" s="450" t="s">
        <v>22882</v>
      </c>
      <c r="H2382" s="450" t="s">
        <v>22883</v>
      </c>
      <c r="I2382" s="450" t="s">
        <v>4605</v>
      </c>
      <c r="J2382" s="450" t="s">
        <v>30747</v>
      </c>
      <c r="K2382" s="450"/>
    </row>
    <row r="2383" spans="1:11">
      <c r="A2383" s="451" t="s">
        <v>4607</v>
      </c>
      <c r="B2383" s="451" t="s">
        <v>4608</v>
      </c>
      <c r="C2383" s="451" t="s">
        <v>4609</v>
      </c>
      <c r="D2383" s="451" t="s">
        <v>4610</v>
      </c>
      <c r="E2383" s="451" t="s">
        <v>4611</v>
      </c>
      <c r="F2383" s="451"/>
      <c r="G2383" s="451" t="s">
        <v>22882</v>
      </c>
      <c r="H2383" s="451" t="s">
        <v>22883</v>
      </c>
      <c r="I2383" s="451" t="s">
        <v>4610</v>
      </c>
      <c r="J2383" s="451" t="s">
        <v>23953</v>
      </c>
      <c r="K2383" s="451"/>
    </row>
    <row r="2384" spans="1:11">
      <c r="A2384" s="450" t="s">
        <v>4612</v>
      </c>
      <c r="B2384" s="450" t="s">
        <v>4613</v>
      </c>
      <c r="C2384" s="450" t="s">
        <v>4614</v>
      </c>
      <c r="D2384" s="450" t="s">
        <v>4615</v>
      </c>
      <c r="E2384" s="450" t="s">
        <v>4616</v>
      </c>
      <c r="F2384" s="450"/>
      <c r="G2384" s="450" t="s">
        <v>22882</v>
      </c>
      <c r="H2384" s="450" t="s">
        <v>22883</v>
      </c>
      <c r="I2384" s="450" t="s">
        <v>4615</v>
      </c>
      <c r="J2384" s="450" t="s">
        <v>30748</v>
      </c>
      <c r="K2384" s="450"/>
    </row>
    <row r="2385" spans="1:11">
      <c r="A2385" s="451" t="s">
        <v>23947</v>
      </c>
      <c r="B2385" s="451" t="s">
        <v>23948</v>
      </c>
      <c r="C2385" s="451" t="s">
        <v>4604</v>
      </c>
      <c r="D2385" s="451" t="s">
        <v>4605</v>
      </c>
      <c r="E2385" s="451"/>
      <c r="F2385" s="451"/>
      <c r="G2385" s="451" t="s">
        <v>22882</v>
      </c>
      <c r="H2385" s="451" t="s">
        <v>22883</v>
      </c>
      <c r="I2385" s="451" t="s">
        <v>23949</v>
      </c>
      <c r="J2385" s="451" t="s">
        <v>23950</v>
      </c>
      <c r="K2385" s="451"/>
    </row>
    <row r="2386" spans="1:11">
      <c r="A2386" s="450" t="s">
        <v>23951</v>
      </c>
      <c r="B2386" s="450" t="s">
        <v>4608</v>
      </c>
      <c r="C2386" s="450" t="s">
        <v>4609</v>
      </c>
      <c r="D2386" s="450" t="s">
        <v>4610</v>
      </c>
      <c r="E2386" s="450"/>
      <c r="F2386" s="450"/>
      <c r="G2386" s="450" t="s">
        <v>22882</v>
      </c>
      <c r="H2386" s="450" t="s">
        <v>22883</v>
      </c>
      <c r="I2386" s="450" t="s">
        <v>23952</v>
      </c>
      <c r="J2386" s="450" t="s">
        <v>23953</v>
      </c>
      <c r="K2386" s="450"/>
    </row>
    <row r="2387" spans="1:11">
      <c r="A2387" s="451" t="s">
        <v>23954</v>
      </c>
      <c r="B2387" s="451" t="s">
        <v>4613</v>
      </c>
      <c r="C2387" s="451" t="s">
        <v>4614</v>
      </c>
      <c r="D2387" s="451" t="s">
        <v>4615</v>
      </c>
      <c r="E2387" s="451"/>
      <c r="F2387" s="451"/>
      <c r="G2387" s="451" t="s">
        <v>22882</v>
      </c>
      <c r="H2387" s="451" t="s">
        <v>22883</v>
      </c>
      <c r="I2387" s="451" t="s">
        <v>23955</v>
      </c>
      <c r="J2387" s="451" t="s">
        <v>23956</v>
      </c>
      <c r="K2387" s="451"/>
    </row>
    <row r="2388" spans="1:11">
      <c r="A2388" s="450" t="s">
        <v>4617</v>
      </c>
      <c r="B2388" s="450"/>
      <c r="C2388" s="450" t="s">
        <v>4618</v>
      </c>
      <c r="D2388" s="450"/>
      <c r="E2388" s="450"/>
      <c r="F2388" s="450"/>
      <c r="G2388" s="450" t="s">
        <v>22877</v>
      </c>
      <c r="H2388" s="450" t="s">
        <v>22878</v>
      </c>
      <c r="I2388" s="450" t="s">
        <v>23957</v>
      </c>
      <c r="J2388" s="450" t="s">
        <v>22997</v>
      </c>
      <c r="K2388" s="450"/>
    </row>
    <row r="2389" spans="1:11">
      <c r="A2389" s="451" t="s">
        <v>23958</v>
      </c>
      <c r="B2389" s="451" t="s">
        <v>23959</v>
      </c>
      <c r="C2389" s="451" t="s">
        <v>21054</v>
      </c>
      <c r="D2389" s="451"/>
      <c r="E2389" s="451"/>
      <c r="F2389" s="451"/>
      <c r="G2389" s="451" t="s">
        <v>22877</v>
      </c>
      <c r="H2389" s="451" t="s">
        <v>22878</v>
      </c>
      <c r="I2389" s="451" t="s">
        <v>23960</v>
      </c>
      <c r="J2389" s="451" t="s">
        <v>23961</v>
      </c>
      <c r="K2389" s="451"/>
    </row>
    <row r="2390" spans="1:11">
      <c r="A2390" s="450" t="s">
        <v>4619</v>
      </c>
      <c r="B2390" s="450" t="s">
        <v>4620</v>
      </c>
      <c r="C2390" s="450" t="s">
        <v>4621</v>
      </c>
      <c r="D2390" s="450"/>
      <c r="E2390" s="450"/>
      <c r="F2390" s="450"/>
      <c r="G2390" s="450" t="s">
        <v>22882</v>
      </c>
      <c r="H2390" s="450" t="s">
        <v>22883</v>
      </c>
      <c r="I2390" s="450" t="s">
        <v>23962</v>
      </c>
      <c r="J2390" s="450" t="s">
        <v>23963</v>
      </c>
      <c r="K2390" s="450"/>
    </row>
    <row r="2391" spans="1:11">
      <c r="A2391" s="451" t="s">
        <v>21543</v>
      </c>
      <c r="B2391" s="451" t="s">
        <v>4622</v>
      </c>
      <c r="C2391" s="451" t="s">
        <v>4623</v>
      </c>
      <c r="D2391" s="451"/>
      <c r="E2391" s="451"/>
      <c r="F2391" s="451"/>
      <c r="G2391" s="451" t="s">
        <v>22877</v>
      </c>
      <c r="H2391" s="451" t="s">
        <v>22878</v>
      </c>
      <c r="I2391" s="451" t="s">
        <v>30749</v>
      </c>
      <c r="J2391" s="451" t="s">
        <v>30750</v>
      </c>
      <c r="K2391" s="451"/>
    </row>
    <row r="2392" spans="1:11">
      <c r="A2392" s="450" t="s">
        <v>4624</v>
      </c>
      <c r="B2392" s="450"/>
      <c r="C2392" s="450" t="s">
        <v>4625</v>
      </c>
      <c r="D2392" s="450"/>
      <c r="E2392" s="450"/>
      <c r="F2392" s="450"/>
      <c r="G2392" s="450" t="s">
        <v>22882</v>
      </c>
      <c r="H2392" s="450" t="s">
        <v>22883</v>
      </c>
      <c r="I2392" s="450"/>
      <c r="J2392" s="450" t="s">
        <v>23185</v>
      </c>
      <c r="K2392" s="450"/>
    </row>
    <row r="2393" spans="1:11">
      <c r="A2393" s="451" t="s">
        <v>33876</v>
      </c>
      <c r="B2393" s="451" t="s">
        <v>4627</v>
      </c>
      <c r="C2393" s="451" t="s">
        <v>4628</v>
      </c>
      <c r="D2393" s="451" t="s">
        <v>4629</v>
      </c>
      <c r="E2393" s="451"/>
      <c r="F2393" s="451"/>
      <c r="G2393" s="451" t="s">
        <v>22882</v>
      </c>
      <c r="H2393" s="451" t="s">
        <v>22883</v>
      </c>
      <c r="I2393" s="451" t="s">
        <v>33877</v>
      </c>
      <c r="J2393" s="451" t="s">
        <v>33878</v>
      </c>
      <c r="K2393" s="451"/>
    </row>
    <row r="2394" spans="1:11">
      <c r="A2394" s="450" t="s">
        <v>4626</v>
      </c>
      <c r="B2394" s="450" t="s">
        <v>4627</v>
      </c>
      <c r="C2394" s="450" t="s">
        <v>4628</v>
      </c>
      <c r="D2394" s="450" t="s">
        <v>4629</v>
      </c>
      <c r="E2394" s="450" t="s">
        <v>4630</v>
      </c>
      <c r="F2394" s="450"/>
      <c r="G2394" s="450" t="s">
        <v>22882</v>
      </c>
      <c r="H2394" s="450" t="s">
        <v>22883</v>
      </c>
      <c r="I2394" s="450" t="s">
        <v>4629</v>
      </c>
      <c r="J2394" s="450" t="s">
        <v>30751</v>
      </c>
      <c r="K2394" s="450"/>
    </row>
    <row r="2395" spans="1:11">
      <c r="A2395" s="451" t="s">
        <v>4631</v>
      </c>
      <c r="B2395" s="451"/>
      <c r="C2395" s="451" t="s">
        <v>4632</v>
      </c>
      <c r="D2395" s="451"/>
      <c r="E2395" s="451"/>
      <c r="F2395" s="451"/>
      <c r="G2395" s="451" t="s">
        <v>22882</v>
      </c>
      <c r="H2395" s="451" t="s">
        <v>22883</v>
      </c>
      <c r="I2395" s="451" t="s">
        <v>33879</v>
      </c>
      <c r="J2395" s="451" t="s">
        <v>22943</v>
      </c>
      <c r="K2395" s="451"/>
    </row>
    <row r="2396" spans="1:11">
      <c r="A2396" s="450" t="s">
        <v>4633</v>
      </c>
      <c r="B2396" s="450"/>
      <c r="C2396" s="450" t="s">
        <v>4634</v>
      </c>
      <c r="D2396" s="450"/>
      <c r="E2396" s="450"/>
      <c r="F2396" s="450"/>
      <c r="G2396" s="450" t="s">
        <v>22882</v>
      </c>
      <c r="H2396" s="450" t="s">
        <v>22883</v>
      </c>
      <c r="I2396" s="450" t="s">
        <v>33880</v>
      </c>
      <c r="J2396" s="450" t="s">
        <v>22943</v>
      </c>
      <c r="K2396" s="450"/>
    </row>
    <row r="2397" spans="1:11">
      <c r="A2397" s="451" t="s">
        <v>33881</v>
      </c>
      <c r="B2397" s="451"/>
      <c r="C2397" s="451" t="s">
        <v>4636</v>
      </c>
      <c r="D2397" s="451"/>
      <c r="E2397" s="451"/>
      <c r="F2397" s="451"/>
      <c r="G2397" s="451" t="s">
        <v>22877</v>
      </c>
      <c r="H2397" s="451" t="s">
        <v>22878</v>
      </c>
      <c r="I2397" s="451" t="s">
        <v>33882</v>
      </c>
      <c r="J2397" s="451" t="s">
        <v>23185</v>
      </c>
      <c r="K2397" s="451"/>
    </row>
    <row r="2398" spans="1:11">
      <c r="A2398" s="450" t="s">
        <v>4635</v>
      </c>
      <c r="B2398" s="450"/>
      <c r="C2398" s="450" t="s">
        <v>4636</v>
      </c>
      <c r="D2398" s="450"/>
      <c r="E2398" s="450"/>
      <c r="F2398" s="450"/>
      <c r="G2398" s="450" t="s">
        <v>22877</v>
      </c>
      <c r="H2398" s="450" t="s">
        <v>22878</v>
      </c>
      <c r="I2398" s="450" t="s">
        <v>33883</v>
      </c>
      <c r="J2398" s="450" t="s">
        <v>23185</v>
      </c>
      <c r="K2398" s="450"/>
    </row>
    <row r="2399" spans="1:11">
      <c r="A2399" s="451" t="s">
        <v>4637</v>
      </c>
      <c r="B2399" s="451"/>
      <c r="C2399" s="451" t="s">
        <v>4638</v>
      </c>
      <c r="D2399" s="451"/>
      <c r="E2399" s="451"/>
      <c r="F2399" s="451"/>
      <c r="G2399" s="451" t="s">
        <v>22877</v>
      </c>
      <c r="H2399" s="451" t="s">
        <v>22878</v>
      </c>
      <c r="I2399" s="451" t="s">
        <v>33884</v>
      </c>
      <c r="J2399" s="451" t="s">
        <v>22943</v>
      </c>
      <c r="K2399" s="451"/>
    </row>
    <row r="2400" spans="1:11">
      <c r="A2400" s="450" t="s">
        <v>4639</v>
      </c>
      <c r="B2400" s="450"/>
      <c r="C2400" s="450" t="s">
        <v>2954</v>
      </c>
      <c r="D2400" s="450"/>
      <c r="E2400" s="450"/>
      <c r="F2400" s="450"/>
      <c r="G2400" s="450" t="s">
        <v>22877</v>
      </c>
      <c r="H2400" s="450" t="s">
        <v>22878</v>
      </c>
      <c r="I2400" s="450" t="s">
        <v>23964</v>
      </c>
      <c r="J2400" s="450" t="s">
        <v>23185</v>
      </c>
      <c r="K2400" s="450"/>
    </row>
    <row r="2401" spans="1:11">
      <c r="A2401" s="451" t="s">
        <v>4640</v>
      </c>
      <c r="B2401" s="451"/>
      <c r="C2401" s="451" t="s">
        <v>4641</v>
      </c>
      <c r="D2401" s="451"/>
      <c r="E2401" s="451"/>
      <c r="F2401" s="451"/>
      <c r="G2401" s="451" t="s">
        <v>22877</v>
      </c>
      <c r="H2401" s="451" t="s">
        <v>22878</v>
      </c>
      <c r="I2401" s="451" t="s">
        <v>30752</v>
      </c>
      <c r="J2401" s="451" t="s">
        <v>23185</v>
      </c>
      <c r="K2401" s="451"/>
    </row>
    <row r="2402" spans="1:11">
      <c r="A2402" s="450" t="s">
        <v>21544</v>
      </c>
      <c r="B2402" s="450" t="s">
        <v>4642</v>
      </c>
      <c r="C2402" s="450" t="s">
        <v>4643</v>
      </c>
      <c r="D2402" s="450" t="s">
        <v>4644</v>
      </c>
      <c r="E2402" s="450"/>
      <c r="F2402" s="450"/>
      <c r="G2402" s="450" t="s">
        <v>22877</v>
      </c>
      <c r="H2402" s="450" t="s">
        <v>22878</v>
      </c>
      <c r="I2402" s="450" t="s">
        <v>30752</v>
      </c>
      <c r="J2402" s="450" t="s">
        <v>30753</v>
      </c>
      <c r="K2402" s="450"/>
    </row>
    <row r="2403" spans="1:11">
      <c r="A2403" s="451" t="s">
        <v>4645</v>
      </c>
      <c r="B2403" s="451" t="s">
        <v>4646</v>
      </c>
      <c r="C2403" s="451" t="s">
        <v>4647</v>
      </c>
      <c r="D2403" s="451" t="s">
        <v>4648</v>
      </c>
      <c r="E2403" s="451"/>
      <c r="F2403" s="451"/>
      <c r="G2403" s="451" t="s">
        <v>22877</v>
      </c>
      <c r="H2403" s="451" t="s">
        <v>22878</v>
      </c>
      <c r="I2403" s="451" t="s">
        <v>33885</v>
      </c>
      <c r="J2403" s="451" t="s">
        <v>33886</v>
      </c>
      <c r="K2403" s="451"/>
    </row>
    <row r="2404" spans="1:11">
      <c r="A2404" s="450" t="s">
        <v>4645</v>
      </c>
      <c r="B2404" s="450" t="s">
        <v>4646</v>
      </c>
      <c r="C2404" s="450" t="s">
        <v>4647</v>
      </c>
      <c r="D2404" s="450" t="s">
        <v>4648</v>
      </c>
      <c r="E2404" s="450" t="s">
        <v>4649</v>
      </c>
      <c r="F2404" s="450"/>
      <c r="G2404" s="450" t="s">
        <v>22877</v>
      </c>
      <c r="H2404" s="450" t="s">
        <v>22878</v>
      </c>
      <c r="I2404" s="450" t="s">
        <v>30752</v>
      </c>
      <c r="J2404" s="450" t="s">
        <v>30754</v>
      </c>
      <c r="K2404" s="450"/>
    </row>
    <row r="2405" spans="1:11">
      <c r="A2405" s="451" t="s">
        <v>23965</v>
      </c>
      <c r="B2405" s="451" t="s">
        <v>23966</v>
      </c>
      <c r="C2405" s="451" t="s">
        <v>17326</v>
      </c>
      <c r="D2405" s="451"/>
      <c r="E2405" s="451"/>
      <c r="F2405" s="451"/>
      <c r="G2405" s="451" t="s">
        <v>22877</v>
      </c>
      <c r="H2405" s="451" t="s">
        <v>22878</v>
      </c>
      <c r="I2405" s="451" t="s">
        <v>23967</v>
      </c>
      <c r="J2405" s="451" t="s">
        <v>23968</v>
      </c>
      <c r="K2405" s="451"/>
    </row>
    <row r="2406" spans="1:11">
      <c r="A2406" s="450" t="s">
        <v>33887</v>
      </c>
      <c r="B2406" s="450"/>
      <c r="C2406" s="450" t="s">
        <v>4651</v>
      </c>
      <c r="D2406" s="450"/>
      <c r="E2406" s="450"/>
      <c r="F2406" s="450"/>
      <c r="G2406" s="450" t="s">
        <v>22877</v>
      </c>
      <c r="H2406" s="450" t="s">
        <v>22878</v>
      </c>
      <c r="I2406" s="450" t="s">
        <v>33888</v>
      </c>
      <c r="J2406" s="450" t="s">
        <v>22943</v>
      </c>
      <c r="K2406" s="450"/>
    </row>
    <row r="2407" spans="1:11">
      <c r="A2407" s="451" t="s">
        <v>4650</v>
      </c>
      <c r="B2407" s="451"/>
      <c r="C2407" s="451" t="s">
        <v>4651</v>
      </c>
      <c r="D2407" s="451"/>
      <c r="E2407" s="451"/>
      <c r="F2407" s="451"/>
      <c r="G2407" s="451" t="s">
        <v>22877</v>
      </c>
      <c r="H2407" s="451" t="s">
        <v>22878</v>
      </c>
      <c r="I2407" s="451" t="s">
        <v>33889</v>
      </c>
      <c r="J2407" s="451" t="s">
        <v>22997</v>
      </c>
      <c r="K2407" s="451"/>
    </row>
    <row r="2408" spans="1:11">
      <c r="A2408" s="450" t="s">
        <v>4652</v>
      </c>
      <c r="B2408" s="450"/>
      <c r="C2408" s="450" t="s">
        <v>4653</v>
      </c>
      <c r="D2408" s="450"/>
      <c r="E2408" s="450"/>
      <c r="F2408" s="450"/>
      <c r="G2408" s="450" t="s">
        <v>22877</v>
      </c>
      <c r="H2408" s="450" t="s">
        <v>22878</v>
      </c>
      <c r="I2408" s="450" t="s">
        <v>33890</v>
      </c>
      <c r="J2408" s="450" t="s">
        <v>23185</v>
      </c>
      <c r="K2408" s="450"/>
    </row>
    <row r="2409" spans="1:11">
      <c r="A2409" s="451" t="s">
        <v>4654</v>
      </c>
      <c r="B2409" s="451"/>
      <c r="C2409" s="451" t="s">
        <v>4655</v>
      </c>
      <c r="D2409" s="451"/>
      <c r="E2409" s="451"/>
      <c r="F2409" s="451"/>
      <c r="G2409" s="451" t="s">
        <v>22877</v>
      </c>
      <c r="H2409" s="451" t="s">
        <v>22878</v>
      </c>
      <c r="I2409" s="451" t="s">
        <v>33891</v>
      </c>
      <c r="J2409" s="451" t="s">
        <v>23185</v>
      </c>
      <c r="K2409" s="451"/>
    </row>
    <row r="2410" spans="1:11">
      <c r="A2410" s="450" t="s">
        <v>33892</v>
      </c>
      <c r="B2410" s="450"/>
      <c r="C2410" s="450" t="s">
        <v>4657</v>
      </c>
      <c r="D2410" s="450"/>
      <c r="E2410" s="450"/>
      <c r="F2410" s="450"/>
      <c r="G2410" s="450" t="s">
        <v>22877</v>
      </c>
      <c r="H2410" s="450" t="s">
        <v>22878</v>
      </c>
      <c r="I2410" s="450" t="s">
        <v>33893</v>
      </c>
      <c r="J2410" s="450" t="s">
        <v>22997</v>
      </c>
      <c r="K2410" s="450"/>
    </row>
    <row r="2411" spans="1:11">
      <c r="A2411" s="451" t="s">
        <v>4656</v>
      </c>
      <c r="B2411" s="451"/>
      <c r="C2411" s="451" t="s">
        <v>4657</v>
      </c>
      <c r="D2411" s="451"/>
      <c r="E2411" s="451"/>
      <c r="F2411" s="451"/>
      <c r="G2411" s="451" t="s">
        <v>22877</v>
      </c>
      <c r="H2411" s="451" t="s">
        <v>22878</v>
      </c>
      <c r="I2411" s="451" t="s">
        <v>33894</v>
      </c>
      <c r="J2411" s="451" t="s">
        <v>23185</v>
      </c>
      <c r="K2411" s="451"/>
    </row>
    <row r="2412" spans="1:11">
      <c r="A2412" s="450" t="s">
        <v>21545</v>
      </c>
      <c r="B2412" s="450"/>
      <c r="C2412" s="450" t="s">
        <v>4658</v>
      </c>
      <c r="D2412" s="450"/>
      <c r="E2412" s="450"/>
      <c r="F2412" s="450"/>
      <c r="G2412" s="450" t="s">
        <v>22877</v>
      </c>
      <c r="H2412" s="450" t="s">
        <v>22878</v>
      </c>
      <c r="I2412" s="450" t="s">
        <v>33895</v>
      </c>
      <c r="J2412" s="450" t="s">
        <v>23185</v>
      </c>
      <c r="K2412" s="450"/>
    </row>
    <row r="2413" spans="1:11">
      <c r="A2413" s="451" t="s">
        <v>4659</v>
      </c>
      <c r="B2413" s="451"/>
      <c r="C2413" s="451" t="s">
        <v>4660</v>
      </c>
      <c r="D2413" s="451"/>
      <c r="E2413" s="451"/>
      <c r="F2413" s="451"/>
      <c r="G2413" s="451" t="s">
        <v>22882</v>
      </c>
      <c r="H2413" s="451" t="s">
        <v>22883</v>
      </c>
      <c r="I2413" s="451" t="s">
        <v>33896</v>
      </c>
      <c r="J2413" s="451" t="s">
        <v>22997</v>
      </c>
      <c r="K2413" s="451"/>
    </row>
    <row r="2414" spans="1:11">
      <c r="A2414" s="450" t="s">
        <v>23969</v>
      </c>
      <c r="B2414" s="450"/>
      <c r="C2414" s="450" t="s">
        <v>4660</v>
      </c>
      <c r="D2414" s="450"/>
      <c r="E2414" s="450"/>
      <c r="F2414" s="450"/>
      <c r="G2414" s="450" t="s">
        <v>22882</v>
      </c>
      <c r="H2414" s="450" t="s">
        <v>22883</v>
      </c>
      <c r="I2414" s="450" t="s">
        <v>23970</v>
      </c>
      <c r="J2414" s="450" t="s">
        <v>22943</v>
      </c>
      <c r="K2414" s="450"/>
    </row>
    <row r="2415" spans="1:11">
      <c r="A2415" s="451" t="s">
        <v>33897</v>
      </c>
      <c r="B2415" s="451" t="s">
        <v>4662</v>
      </c>
      <c r="C2415" s="451" t="s">
        <v>4663</v>
      </c>
      <c r="D2415" s="451" t="s">
        <v>4664</v>
      </c>
      <c r="E2415" s="451"/>
      <c r="F2415" s="451"/>
      <c r="G2415" s="451" t="s">
        <v>22882</v>
      </c>
      <c r="H2415" s="451" t="s">
        <v>22883</v>
      </c>
      <c r="I2415" s="451" t="s">
        <v>33898</v>
      </c>
      <c r="J2415" s="451" t="s">
        <v>33899</v>
      </c>
      <c r="K2415" s="451"/>
    </row>
    <row r="2416" spans="1:11">
      <c r="A2416" s="450" t="s">
        <v>4661</v>
      </c>
      <c r="B2416" s="450" t="s">
        <v>4662</v>
      </c>
      <c r="C2416" s="450" t="s">
        <v>4663</v>
      </c>
      <c r="D2416" s="450" t="s">
        <v>4664</v>
      </c>
      <c r="E2416" s="450" t="s">
        <v>4665</v>
      </c>
      <c r="F2416" s="450"/>
      <c r="G2416" s="450" t="s">
        <v>22882</v>
      </c>
      <c r="H2416" s="450" t="s">
        <v>22883</v>
      </c>
      <c r="I2416" s="450" t="s">
        <v>4664</v>
      </c>
      <c r="J2416" s="450" t="s">
        <v>30755</v>
      </c>
      <c r="K2416" s="450"/>
    </row>
    <row r="2417" spans="1:11">
      <c r="A2417" s="451" t="s">
        <v>23971</v>
      </c>
      <c r="B2417" s="451" t="s">
        <v>23972</v>
      </c>
      <c r="C2417" s="451" t="s">
        <v>23973</v>
      </c>
      <c r="D2417" s="451"/>
      <c r="E2417" s="451"/>
      <c r="F2417" s="451"/>
      <c r="G2417" s="451" t="s">
        <v>22877</v>
      </c>
      <c r="H2417" s="451" t="s">
        <v>22878</v>
      </c>
      <c r="I2417" s="451" t="s">
        <v>23974</v>
      </c>
      <c r="J2417" s="451" t="s">
        <v>23975</v>
      </c>
      <c r="K2417" s="451"/>
    </row>
    <row r="2418" spans="1:11">
      <c r="A2418" s="450" t="s">
        <v>4666</v>
      </c>
      <c r="B2418" s="450"/>
      <c r="C2418" s="450" t="s">
        <v>4667</v>
      </c>
      <c r="D2418" s="450"/>
      <c r="E2418" s="450"/>
      <c r="F2418" s="450"/>
      <c r="G2418" s="450" t="s">
        <v>22882</v>
      </c>
      <c r="H2418" s="450" t="s">
        <v>22883</v>
      </c>
      <c r="I2418" s="450"/>
      <c r="J2418" s="450" t="s">
        <v>23185</v>
      </c>
      <c r="K2418" s="450"/>
    </row>
    <row r="2419" spans="1:11">
      <c r="A2419" s="451" t="s">
        <v>21546</v>
      </c>
      <c r="B2419" s="451"/>
      <c r="C2419" s="451" t="s">
        <v>4668</v>
      </c>
      <c r="D2419" s="451"/>
      <c r="E2419" s="451"/>
      <c r="F2419" s="451"/>
      <c r="G2419" s="451" t="s">
        <v>22877</v>
      </c>
      <c r="H2419" s="451" t="s">
        <v>22878</v>
      </c>
      <c r="I2419" s="451" t="s">
        <v>23976</v>
      </c>
      <c r="J2419" s="451" t="s">
        <v>23185</v>
      </c>
      <c r="K2419" s="451"/>
    </row>
    <row r="2420" spans="1:11">
      <c r="A2420" s="450" t="s">
        <v>4669</v>
      </c>
      <c r="B2420" s="450" t="s">
        <v>4670</v>
      </c>
      <c r="C2420" s="450" t="s">
        <v>4671</v>
      </c>
      <c r="D2420" s="450"/>
      <c r="E2420" s="450"/>
      <c r="F2420" s="450" t="s">
        <v>33900</v>
      </c>
      <c r="G2420" s="450" t="s">
        <v>22877</v>
      </c>
      <c r="H2420" s="450" t="s">
        <v>22878</v>
      </c>
      <c r="I2420" s="450" t="s">
        <v>33901</v>
      </c>
      <c r="J2420" s="450" t="s">
        <v>33902</v>
      </c>
      <c r="K2420" s="450"/>
    </row>
    <row r="2421" spans="1:11">
      <c r="A2421" s="451" t="s">
        <v>4669</v>
      </c>
      <c r="B2421" s="451" t="s">
        <v>4670</v>
      </c>
      <c r="C2421" s="451" t="s">
        <v>4671</v>
      </c>
      <c r="D2421" s="451"/>
      <c r="E2421" s="451"/>
      <c r="F2421" s="451" t="s">
        <v>21547</v>
      </c>
      <c r="G2421" s="451" t="s">
        <v>22877</v>
      </c>
      <c r="H2421" s="451" t="s">
        <v>22878</v>
      </c>
      <c r="I2421" s="451" t="s">
        <v>30756</v>
      </c>
      <c r="J2421" s="451" t="s">
        <v>30757</v>
      </c>
      <c r="K2421" s="451"/>
    </row>
    <row r="2422" spans="1:11">
      <c r="A2422" s="450" t="s">
        <v>4672</v>
      </c>
      <c r="B2422" s="450"/>
      <c r="C2422" s="450" t="s">
        <v>4673</v>
      </c>
      <c r="D2422" s="450"/>
      <c r="E2422" s="450"/>
      <c r="F2422" s="450"/>
      <c r="G2422" s="450" t="s">
        <v>22877</v>
      </c>
      <c r="H2422" s="450" t="s">
        <v>22878</v>
      </c>
      <c r="I2422" s="450" t="s">
        <v>33903</v>
      </c>
      <c r="J2422" s="450" t="s">
        <v>23185</v>
      </c>
      <c r="K2422" s="450"/>
    </row>
    <row r="2423" spans="1:11">
      <c r="A2423" s="451" t="s">
        <v>33904</v>
      </c>
      <c r="B2423" s="451"/>
      <c r="C2423" s="451" t="s">
        <v>4673</v>
      </c>
      <c r="D2423" s="451"/>
      <c r="E2423" s="451"/>
      <c r="F2423" s="451"/>
      <c r="G2423" s="451" t="s">
        <v>22877</v>
      </c>
      <c r="H2423" s="451" t="s">
        <v>22878</v>
      </c>
      <c r="I2423" s="451" t="s">
        <v>33905</v>
      </c>
      <c r="J2423" s="451" t="s">
        <v>22997</v>
      </c>
      <c r="K2423" s="451"/>
    </row>
    <row r="2424" spans="1:11">
      <c r="A2424" s="450" t="s">
        <v>4674</v>
      </c>
      <c r="B2424" s="450"/>
      <c r="C2424" s="450" t="s">
        <v>4675</v>
      </c>
      <c r="D2424" s="450"/>
      <c r="E2424" s="450"/>
      <c r="F2424" s="450"/>
      <c r="G2424" s="450" t="s">
        <v>22882</v>
      </c>
      <c r="H2424" s="450" t="s">
        <v>22883</v>
      </c>
      <c r="I2424" s="450" t="s">
        <v>33906</v>
      </c>
      <c r="J2424" s="450" t="s">
        <v>23184</v>
      </c>
      <c r="K2424" s="450"/>
    </row>
    <row r="2425" spans="1:11">
      <c r="A2425" s="451" t="s">
        <v>4676</v>
      </c>
      <c r="B2425" s="451"/>
      <c r="C2425" s="451" t="s">
        <v>2245</v>
      </c>
      <c r="D2425" s="451"/>
      <c r="E2425" s="451"/>
      <c r="F2425" s="451"/>
      <c r="G2425" s="451" t="s">
        <v>22882</v>
      </c>
      <c r="H2425" s="451" t="s">
        <v>22883</v>
      </c>
      <c r="I2425" s="451"/>
      <c r="J2425" s="451" t="s">
        <v>23184</v>
      </c>
      <c r="K2425" s="451"/>
    </row>
    <row r="2426" spans="1:11">
      <c r="A2426" s="450" t="s">
        <v>4677</v>
      </c>
      <c r="B2426" s="450"/>
      <c r="C2426" s="450" t="s">
        <v>4678</v>
      </c>
      <c r="D2426" s="450"/>
      <c r="E2426" s="450"/>
      <c r="F2426" s="450"/>
      <c r="G2426" s="450" t="s">
        <v>22877</v>
      </c>
      <c r="H2426" s="450" t="s">
        <v>22878</v>
      </c>
      <c r="I2426" s="450" t="s">
        <v>33907</v>
      </c>
      <c r="J2426" s="450" t="s">
        <v>23185</v>
      </c>
      <c r="K2426" s="450"/>
    </row>
    <row r="2427" spans="1:11">
      <c r="A2427" s="451" t="s">
        <v>4679</v>
      </c>
      <c r="B2427" s="451"/>
      <c r="C2427" s="451" t="s">
        <v>4680</v>
      </c>
      <c r="D2427" s="451"/>
      <c r="E2427" s="451"/>
      <c r="F2427" s="451"/>
      <c r="G2427" s="451" t="s">
        <v>22877</v>
      </c>
      <c r="H2427" s="451" t="s">
        <v>22878</v>
      </c>
      <c r="I2427" s="451" t="s">
        <v>33908</v>
      </c>
      <c r="J2427" s="451" t="s">
        <v>23185</v>
      </c>
      <c r="K2427" s="451"/>
    </row>
    <row r="2428" spans="1:11">
      <c r="A2428" s="450" t="s">
        <v>21548</v>
      </c>
      <c r="B2428" s="450"/>
      <c r="C2428" s="450" t="s">
        <v>4196</v>
      </c>
      <c r="D2428" s="450"/>
      <c r="E2428" s="450"/>
      <c r="F2428" s="450"/>
      <c r="G2428" s="450" t="s">
        <v>22877</v>
      </c>
      <c r="H2428" s="450" t="s">
        <v>22878</v>
      </c>
      <c r="I2428" s="450" t="s">
        <v>33909</v>
      </c>
      <c r="J2428" s="450" t="s">
        <v>23185</v>
      </c>
      <c r="K2428" s="450"/>
    </row>
    <row r="2429" spans="1:11">
      <c r="A2429" s="451" t="s">
        <v>4681</v>
      </c>
      <c r="B2429" s="451"/>
      <c r="C2429" s="451" t="s">
        <v>4682</v>
      </c>
      <c r="D2429" s="451"/>
      <c r="E2429" s="451"/>
      <c r="F2429" s="451"/>
      <c r="G2429" s="451" t="s">
        <v>22882</v>
      </c>
      <c r="H2429" s="451" t="s">
        <v>22883</v>
      </c>
      <c r="I2429" s="451" t="s">
        <v>33910</v>
      </c>
      <c r="J2429" s="451" t="s">
        <v>23185</v>
      </c>
      <c r="K2429" s="451"/>
    </row>
    <row r="2430" spans="1:11">
      <c r="A2430" s="450" t="s">
        <v>4683</v>
      </c>
      <c r="B2430" s="450"/>
      <c r="C2430" s="450" t="s">
        <v>4684</v>
      </c>
      <c r="D2430" s="450"/>
      <c r="E2430" s="450"/>
      <c r="F2430" s="450"/>
      <c r="G2430" s="450" t="s">
        <v>22882</v>
      </c>
      <c r="H2430" s="450" t="s">
        <v>22883</v>
      </c>
      <c r="I2430" s="450" t="s">
        <v>33911</v>
      </c>
      <c r="J2430" s="450" t="s">
        <v>22997</v>
      </c>
      <c r="K2430" s="450"/>
    </row>
    <row r="2431" spans="1:11">
      <c r="A2431" s="451" t="s">
        <v>33912</v>
      </c>
      <c r="B2431" s="451"/>
      <c r="C2431" s="451" t="s">
        <v>4686</v>
      </c>
      <c r="D2431" s="451"/>
      <c r="E2431" s="451"/>
      <c r="F2431" s="451"/>
      <c r="G2431" s="451" t="s">
        <v>22882</v>
      </c>
      <c r="H2431" s="451" t="s">
        <v>22883</v>
      </c>
      <c r="I2431" s="451" t="s">
        <v>33911</v>
      </c>
      <c r="J2431" s="451" t="s">
        <v>22943</v>
      </c>
      <c r="K2431" s="451"/>
    </row>
    <row r="2432" spans="1:11">
      <c r="A2432" s="450" t="s">
        <v>4685</v>
      </c>
      <c r="B2432" s="450"/>
      <c r="C2432" s="450" t="s">
        <v>4686</v>
      </c>
      <c r="D2432" s="450"/>
      <c r="E2432" s="450"/>
      <c r="F2432" s="450"/>
      <c r="G2432" s="450" t="s">
        <v>22882</v>
      </c>
      <c r="H2432" s="450" t="s">
        <v>22883</v>
      </c>
      <c r="I2432" s="450" t="s">
        <v>33913</v>
      </c>
      <c r="J2432" s="450" t="s">
        <v>23185</v>
      </c>
      <c r="K2432" s="450"/>
    </row>
    <row r="2433" spans="1:11">
      <c r="A2433" s="451" t="s">
        <v>4687</v>
      </c>
      <c r="B2433" s="451"/>
      <c r="C2433" s="451" t="s">
        <v>4688</v>
      </c>
      <c r="D2433" s="451"/>
      <c r="E2433" s="451"/>
      <c r="F2433" s="451"/>
      <c r="G2433" s="451" t="s">
        <v>22877</v>
      </c>
      <c r="H2433" s="451" t="s">
        <v>22878</v>
      </c>
      <c r="I2433" s="451" t="s">
        <v>33914</v>
      </c>
      <c r="J2433" s="451" t="s">
        <v>23185</v>
      </c>
      <c r="K2433" s="451"/>
    </row>
    <row r="2434" spans="1:11">
      <c r="A2434" s="450" t="s">
        <v>23977</v>
      </c>
      <c r="B2434" s="450"/>
      <c r="C2434" s="450" t="s">
        <v>4688</v>
      </c>
      <c r="D2434" s="450"/>
      <c r="E2434" s="450"/>
      <c r="F2434" s="450"/>
      <c r="G2434" s="450" t="s">
        <v>22877</v>
      </c>
      <c r="H2434" s="450" t="s">
        <v>22878</v>
      </c>
      <c r="I2434" s="450" t="s">
        <v>23978</v>
      </c>
      <c r="J2434" s="450" t="s">
        <v>22943</v>
      </c>
      <c r="K2434" s="450"/>
    </row>
    <row r="2435" spans="1:11">
      <c r="A2435" s="451" t="s">
        <v>33915</v>
      </c>
      <c r="B2435" s="451" t="s">
        <v>4690</v>
      </c>
      <c r="C2435" s="451" t="s">
        <v>4691</v>
      </c>
      <c r="D2435" s="451" t="s">
        <v>4692</v>
      </c>
      <c r="E2435" s="451"/>
      <c r="F2435" s="451"/>
      <c r="G2435" s="451" t="s">
        <v>22877</v>
      </c>
      <c r="H2435" s="451" t="s">
        <v>22878</v>
      </c>
      <c r="I2435" s="451" t="s">
        <v>33916</v>
      </c>
      <c r="J2435" s="451" t="s">
        <v>33917</v>
      </c>
      <c r="K2435" s="451"/>
    </row>
    <row r="2436" spans="1:11">
      <c r="A2436" s="450" t="s">
        <v>4689</v>
      </c>
      <c r="B2436" s="450" t="s">
        <v>4690</v>
      </c>
      <c r="C2436" s="450" t="s">
        <v>4691</v>
      </c>
      <c r="D2436" s="450" t="s">
        <v>4692</v>
      </c>
      <c r="E2436" s="450"/>
      <c r="F2436" s="450"/>
      <c r="G2436" s="450" t="s">
        <v>22877</v>
      </c>
      <c r="H2436" s="450" t="s">
        <v>22878</v>
      </c>
      <c r="I2436" s="450" t="s">
        <v>26610</v>
      </c>
      <c r="J2436" s="450" t="s">
        <v>30758</v>
      </c>
      <c r="K2436" s="450"/>
    </row>
    <row r="2437" spans="1:11">
      <c r="A2437" s="451" t="s">
        <v>33918</v>
      </c>
      <c r="B2437" s="451" t="s">
        <v>4694</v>
      </c>
      <c r="C2437" s="451" t="s">
        <v>4695</v>
      </c>
      <c r="D2437" s="451" t="s">
        <v>4696</v>
      </c>
      <c r="E2437" s="451"/>
      <c r="F2437" s="451"/>
      <c r="G2437" s="451" t="s">
        <v>22882</v>
      </c>
      <c r="H2437" s="451" t="s">
        <v>22883</v>
      </c>
      <c r="I2437" s="451" t="s">
        <v>33919</v>
      </c>
      <c r="J2437" s="451" t="s">
        <v>33920</v>
      </c>
      <c r="K2437" s="451"/>
    </row>
    <row r="2438" spans="1:11">
      <c r="A2438" s="450" t="s">
        <v>4693</v>
      </c>
      <c r="B2438" s="450" t="s">
        <v>4694</v>
      </c>
      <c r="C2438" s="450" t="s">
        <v>4695</v>
      </c>
      <c r="D2438" s="450" t="s">
        <v>4696</v>
      </c>
      <c r="E2438" s="450"/>
      <c r="F2438" s="450"/>
      <c r="G2438" s="450" t="s">
        <v>22882</v>
      </c>
      <c r="H2438" s="450" t="s">
        <v>22883</v>
      </c>
      <c r="I2438" s="450" t="s">
        <v>4696</v>
      </c>
      <c r="J2438" s="450" t="s">
        <v>30759</v>
      </c>
      <c r="K2438" s="450"/>
    </row>
    <row r="2439" spans="1:11">
      <c r="A2439" s="451" t="s">
        <v>4697</v>
      </c>
      <c r="B2439" s="451"/>
      <c r="C2439" s="451" t="s">
        <v>4698</v>
      </c>
      <c r="D2439" s="451"/>
      <c r="E2439" s="451"/>
      <c r="F2439" s="451"/>
      <c r="G2439" s="451" t="s">
        <v>22882</v>
      </c>
      <c r="H2439" s="451" t="s">
        <v>22883</v>
      </c>
      <c r="I2439" s="451" t="s">
        <v>23979</v>
      </c>
      <c r="J2439" s="451" t="s">
        <v>23185</v>
      </c>
      <c r="K2439" s="451"/>
    </row>
    <row r="2440" spans="1:11">
      <c r="A2440" s="450" t="s">
        <v>21234</v>
      </c>
      <c r="B2440" s="450" t="s">
        <v>21235</v>
      </c>
      <c r="C2440" s="450" t="s">
        <v>16604</v>
      </c>
      <c r="D2440" s="450" t="s">
        <v>33921</v>
      </c>
      <c r="E2440" s="450"/>
      <c r="F2440" s="450" t="s">
        <v>33922</v>
      </c>
      <c r="G2440" s="450" t="s">
        <v>22877</v>
      </c>
      <c r="H2440" s="450" t="s">
        <v>22878</v>
      </c>
      <c r="I2440" s="450" t="s">
        <v>33921</v>
      </c>
      <c r="J2440" s="450" t="s">
        <v>33923</v>
      </c>
      <c r="K2440" s="450"/>
    </row>
    <row r="2441" spans="1:11">
      <c r="A2441" s="451" t="s">
        <v>21234</v>
      </c>
      <c r="B2441" s="451" t="s">
        <v>21235</v>
      </c>
      <c r="C2441" s="451" t="s">
        <v>16604</v>
      </c>
      <c r="D2441" s="451" t="s">
        <v>21236</v>
      </c>
      <c r="E2441" s="451"/>
      <c r="F2441" s="451"/>
      <c r="G2441" s="451" t="s">
        <v>22877</v>
      </c>
      <c r="H2441" s="451" t="s">
        <v>22878</v>
      </c>
      <c r="I2441" s="451" t="s">
        <v>21236</v>
      </c>
      <c r="J2441" s="451" t="s">
        <v>30760</v>
      </c>
      <c r="K2441" s="451"/>
    </row>
    <row r="2442" spans="1:11">
      <c r="A2442" s="450" t="s">
        <v>4699</v>
      </c>
      <c r="B2442" s="450"/>
      <c r="C2442" s="450" t="s">
        <v>4700</v>
      </c>
      <c r="D2442" s="450"/>
      <c r="E2442" s="450"/>
      <c r="F2442" s="450"/>
      <c r="G2442" s="450" t="s">
        <v>22877</v>
      </c>
      <c r="H2442" s="450" t="s">
        <v>22878</v>
      </c>
      <c r="I2442" s="450" t="s">
        <v>33924</v>
      </c>
      <c r="J2442" s="450" t="s">
        <v>22939</v>
      </c>
      <c r="K2442" s="450"/>
    </row>
    <row r="2443" spans="1:11">
      <c r="A2443" s="451" t="s">
        <v>4701</v>
      </c>
      <c r="B2443" s="451"/>
      <c r="C2443" s="451" t="s">
        <v>4632</v>
      </c>
      <c r="D2443" s="451"/>
      <c r="E2443" s="451"/>
      <c r="F2443" s="451"/>
      <c r="G2443" s="451" t="s">
        <v>22882</v>
      </c>
      <c r="H2443" s="451" t="s">
        <v>22883</v>
      </c>
      <c r="I2443" s="451" t="s">
        <v>33879</v>
      </c>
      <c r="J2443" s="451" t="s">
        <v>22943</v>
      </c>
      <c r="K2443" s="451"/>
    </row>
    <row r="2444" spans="1:11">
      <c r="A2444" s="450" t="s">
        <v>33925</v>
      </c>
      <c r="B2444" s="450"/>
      <c r="C2444" s="450" t="s">
        <v>4703</v>
      </c>
      <c r="D2444" s="450"/>
      <c r="E2444" s="450"/>
      <c r="F2444" s="450"/>
      <c r="G2444" s="450" t="s">
        <v>22877</v>
      </c>
      <c r="H2444" s="450" t="s">
        <v>22878</v>
      </c>
      <c r="I2444" s="450" t="s">
        <v>33926</v>
      </c>
      <c r="J2444" s="450" t="s">
        <v>22943</v>
      </c>
      <c r="K2444" s="450"/>
    </row>
    <row r="2445" spans="1:11">
      <c r="A2445" s="451" t="s">
        <v>4702</v>
      </c>
      <c r="B2445" s="451"/>
      <c r="C2445" s="451" t="s">
        <v>4703</v>
      </c>
      <c r="D2445" s="451"/>
      <c r="E2445" s="451"/>
      <c r="F2445" s="451"/>
      <c r="G2445" s="451" t="s">
        <v>22877</v>
      </c>
      <c r="H2445" s="451" t="s">
        <v>22878</v>
      </c>
      <c r="I2445" s="451" t="s">
        <v>33927</v>
      </c>
      <c r="J2445" s="451" t="s">
        <v>33928</v>
      </c>
      <c r="K2445" s="451"/>
    </row>
    <row r="2446" spans="1:11">
      <c r="A2446" s="450" t="s">
        <v>21549</v>
      </c>
      <c r="B2446" s="450"/>
      <c r="C2446" s="450" t="s">
        <v>4704</v>
      </c>
      <c r="D2446" s="450"/>
      <c r="E2446" s="450"/>
      <c r="F2446" s="450"/>
      <c r="G2446" s="450" t="s">
        <v>22882</v>
      </c>
      <c r="H2446" s="450" t="s">
        <v>22883</v>
      </c>
      <c r="I2446" s="450" t="s">
        <v>33929</v>
      </c>
      <c r="J2446" s="450" t="s">
        <v>22943</v>
      </c>
      <c r="K2446" s="450"/>
    </row>
    <row r="2447" spans="1:11">
      <c r="A2447" s="451" t="s">
        <v>4705</v>
      </c>
      <c r="B2447" s="451"/>
      <c r="C2447" s="451" t="s">
        <v>4706</v>
      </c>
      <c r="D2447" s="451"/>
      <c r="E2447" s="451"/>
      <c r="F2447" s="451"/>
      <c r="G2447" s="451" t="s">
        <v>22877</v>
      </c>
      <c r="H2447" s="451" t="s">
        <v>22878</v>
      </c>
      <c r="I2447" s="451" t="s">
        <v>33930</v>
      </c>
      <c r="J2447" s="451" t="s">
        <v>22997</v>
      </c>
      <c r="K2447" s="451"/>
    </row>
    <row r="2448" spans="1:11">
      <c r="A2448" s="450" t="s">
        <v>4707</v>
      </c>
      <c r="B2448" s="450"/>
      <c r="C2448" s="450" t="s">
        <v>4708</v>
      </c>
      <c r="D2448" s="450"/>
      <c r="E2448" s="450"/>
      <c r="F2448" s="450"/>
      <c r="G2448" s="450" t="s">
        <v>22877</v>
      </c>
      <c r="H2448" s="450" t="s">
        <v>22878</v>
      </c>
      <c r="I2448" s="450" t="s">
        <v>33931</v>
      </c>
      <c r="J2448" s="450" t="s">
        <v>23184</v>
      </c>
      <c r="K2448" s="450"/>
    </row>
    <row r="2449" spans="1:11">
      <c r="A2449" s="451" t="s">
        <v>4709</v>
      </c>
      <c r="B2449" s="451"/>
      <c r="C2449" s="451" t="s">
        <v>4710</v>
      </c>
      <c r="D2449" s="451"/>
      <c r="E2449" s="451"/>
      <c r="F2449" s="451"/>
      <c r="G2449" s="451" t="s">
        <v>22882</v>
      </c>
      <c r="H2449" s="451" t="s">
        <v>22883</v>
      </c>
      <c r="I2449" s="451" t="s">
        <v>23980</v>
      </c>
      <c r="J2449" s="451" t="s">
        <v>23185</v>
      </c>
      <c r="K2449" s="451"/>
    </row>
    <row r="2450" spans="1:11">
      <c r="A2450" s="450" t="s">
        <v>23981</v>
      </c>
      <c r="B2450" s="450" t="s">
        <v>23982</v>
      </c>
      <c r="C2450" s="450" t="s">
        <v>23983</v>
      </c>
      <c r="D2450" s="450"/>
      <c r="E2450" s="450"/>
      <c r="F2450" s="450"/>
      <c r="G2450" s="450" t="s">
        <v>22877</v>
      </c>
      <c r="H2450" s="450" t="s">
        <v>22878</v>
      </c>
      <c r="I2450" s="450" t="s">
        <v>23984</v>
      </c>
      <c r="J2450" s="450" t="s">
        <v>23985</v>
      </c>
      <c r="K2450" s="450"/>
    </row>
    <row r="2451" spans="1:11">
      <c r="A2451" s="451" t="s">
        <v>33932</v>
      </c>
      <c r="B2451" s="451" t="s">
        <v>4712</v>
      </c>
      <c r="C2451" s="451" t="s">
        <v>4713</v>
      </c>
      <c r="D2451" s="451" t="s">
        <v>4714</v>
      </c>
      <c r="E2451" s="451"/>
      <c r="F2451" s="451"/>
      <c r="G2451" s="451" t="s">
        <v>22877</v>
      </c>
      <c r="H2451" s="451" t="s">
        <v>22878</v>
      </c>
      <c r="I2451" s="451" t="s">
        <v>33933</v>
      </c>
      <c r="J2451" s="451" t="s">
        <v>23986</v>
      </c>
      <c r="K2451" s="451"/>
    </row>
    <row r="2452" spans="1:11">
      <c r="A2452" s="450" t="s">
        <v>4711</v>
      </c>
      <c r="B2452" s="450" t="s">
        <v>4712</v>
      </c>
      <c r="C2452" s="450" t="s">
        <v>4713</v>
      </c>
      <c r="D2452" s="450" t="s">
        <v>4714</v>
      </c>
      <c r="E2452" s="450"/>
      <c r="F2452" s="450"/>
      <c r="G2452" s="450" t="s">
        <v>22877</v>
      </c>
      <c r="H2452" s="450" t="s">
        <v>22878</v>
      </c>
      <c r="I2452" s="450" t="s">
        <v>4714</v>
      </c>
      <c r="J2452" s="450" t="s">
        <v>23986</v>
      </c>
      <c r="K2452" s="450"/>
    </row>
    <row r="2453" spans="1:11">
      <c r="A2453" s="451" t="s">
        <v>23987</v>
      </c>
      <c r="B2453" s="451"/>
      <c r="C2453" s="451" t="s">
        <v>4716</v>
      </c>
      <c r="D2453" s="451"/>
      <c r="E2453" s="451"/>
      <c r="F2453" s="451"/>
      <c r="G2453" s="451" t="s">
        <v>22877</v>
      </c>
      <c r="H2453" s="451" t="s">
        <v>22878</v>
      </c>
      <c r="I2453" s="451" t="s">
        <v>23988</v>
      </c>
      <c r="J2453" s="451" t="s">
        <v>23185</v>
      </c>
      <c r="K2453" s="451"/>
    </row>
    <row r="2454" spans="1:11">
      <c r="A2454" s="450" t="s">
        <v>23989</v>
      </c>
      <c r="B2454" s="450" t="s">
        <v>23990</v>
      </c>
      <c r="C2454" s="450" t="s">
        <v>23991</v>
      </c>
      <c r="D2454" s="450"/>
      <c r="E2454" s="450"/>
      <c r="F2454" s="450"/>
      <c r="G2454" s="450" t="s">
        <v>22877</v>
      </c>
      <c r="H2454" s="450" t="s">
        <v>22878</v>
      </c>
      <c r="I2454" s="450" t="s">
        <v>23923</v>
      </c>
      <c r="J2454" s="450" t="s">
        <v>23992</v>
      </c>
      <c r="K2454" s="450"/>
    </row>
    <row r="2455" spans="1:11">
      <c r="A2455" s="451" t="s">
        <v>4715</v>
      </c>
      <c r="B2455" s="451"/>
      <c r="C2455" s="451" t="s">
        <v>4716</v>
      </c>
      <c r="D2455" s="451"/>
      <c r="E2455" s="451"/>
      <c r="F2455" s="451"/>
      <c r="G2455" s="451" t="s">
        <v>22877</v>
      </c>
      <c r="H2455" s="451" t="s">
        <v>22878</v>
      </c>
      <c r="I2455" s="451" t="s">
        <v>30761</v>
      </c>
      <c r="J2455" s="451" t="s">
        <v>23185</v>
      </c>
      <c r="K2455" s="451"/>
    </row>
    <row r="2456" spans="1:11">
      <c r="A2456" s="450" t="s">
        <v>4717</v>
      </c>
      <c r="B2456" s="450" t="s">
        <v>4718</v>
      </c>
      <c r="C2456" s="450" t="s">
        <v>4719</v>
      </c>
      <c r="D2456" s="450" t="s">
        <v>4720</v>
      </c>
      <c r="E2456" s="450"/>
      <c r="F2456" s="450"/>
      <c r="G2456" s="450" t="s">
        <v>22877</v>
      </c>
      <c r="H2456" s="450" t="s">
        <v>22878</v>
      </c>
      <c r="I2456" s="450" t="s">
        <v>4720</v>
      </c>
      <c r="J2456" s="450" t="s">
        <v>33934</v>
      </c>
      <c r="K2456" s="450"/>
    </row>
    <row r="2457" spans="1:11">
      <c r="A2457" s="451" t="s">
        <v>4717</v>
      </c>
      <c r="B2457" s="451" t="s">
        <v>4718</v>
      </c>
      <c r="C2457" s="451" t="s">
        <v>4719</v>
      </c>
      <c r="D2457" s="451" t="s">
        <v>4720</v>
      </c>
      <c r="E2457" s="451" t="s">
        <v>4721</v>
      </c>
      <c r="F2457" s="451"/>
      <c r="G2457" s="451" t="s">
        <v>22877</v>
      </c>
      <c r="H2457" s="451" t="s">
        <v>22878</v>
      </c>
      <c r="I2457" s="451" t="s">
        <v>30762</v>
      </c>
      <c r="J2457" s="451" t="s">
        <v>30763</v>
      </c>
      <c r="K2457" s="451"/>
    </row>
    <row r="2458" spans="1:11">
      <c r="A2458" s="450" t="s">
        <v>4722</v>
      </c>
      <c r="B2458" s="450"/>
      <c r="C2458" s="450" t="s">
        <v>4723</v>
      </c>
      <c r="D2458" s="450"/>
      <c r="E2458" s="450"/>
      <c r="F2458" s="450"/>
      <c r="G2458" s="450" t="s">
        <v>22877</v>
      </c>
      <c r="H2458" s="450" t="s">
        <v>22878</v>
      </c>
      <c r="I2458" s="450" t="s">
        <v>33935</v>
      </c>
      <c r="J2458" s="450" t="s">
        <v>22902</v>
      </c>
      <c r="K2458" s="450"/>
    </row>
    <row r="2459" spans="1:11">
      <c r="A2459" s="451" t="s">
        <v>4724</v>
      </c>
      <c r="B2459" s="451"/>
      <c r="C2459" s="451" t="s">
        <v>4725</v>
      </c>
      <c r="D2459" s="451"/>
      <c r="E2459" s="451"/>
      <c r="F2459" s="451"/>
      <c r="G2459" s="451" t="s">
        <v>22877</v>
      </c>
      <c r="H2459" s="451" t="s">
        <v>22878</v>
      </c>
      <c r="I2459" s="451" t="s">
        <v>33936</v>
      </c>
      <c r="J2459" s="451" t="s">
        <v>22939</v>
      </c>
      <c r="K2459" s="451"/>
    </row>
    <row r="2460" spans="1:11">
      <c r="A2460" s="450" t="s">
        <v>4726</v>
      </c>
      <c r="B2460" s="450"/>
      <c r="C2460" s="450" t="s">
        <v>4727</v>
      </c>
      <c r="D2460" s="450"/>
      <c r="E2460" s="450"/>
      <c r="F2460" s="450"/>
      <c r="G2460" s="450" t="s">
        <v>22882</v>
      </c>
      <c r="H2460" s="450" t="s">
        <v>22883</v>
      </c>
      <c r="I2460" s="450" t="s">
        <v>33937</v>
      </c>
      <c r="J2460" s="450" t="s">
        <v>23133</v>
      </c>
      <c r="K2460" s="450"/>
    </row>
    <row r="2461" spans="1:11">
      <c r="A2461" s="451" t="s">
        <v>4728</v>
      </c>
      <c r="B2461" s="451"/>
      <c r="C2461" s="451" t="s">
        <v>4729</v>
      </c>
      <c r="D2461" s="451"/>
      <c r="E2461" s="451"/>
      <c r="F2461" s="451"/>
      <c r="G2461" s="451" t="s">
        <v>22882</v>
      </c>
      <c r="H2461" s="451" t="s">
        <v>22883</v>
      </c>
      <c r="I2461" s="451" t="s">
        <v>33938</v>
      </c>
      <c r="J2461" s="451" t="s">
        <v>23184</v>
      </c>
      <c r="K2461" s="451"/>
    </row>
    <row r="2462" spans="1:11">
      <c r="A2462" s="450" t="s">
        <v>33939</v>
      </c>
      <c r="B2462" s="450"/>
      <c r="C2462" s="450" t="s">
        <v>4731</v>
      </c>
      <c r="D2462" s="450"/>
      <c r="E2462" s="450"/>
      <c r="F2462" s="450"/>
      <c r="G2462" s="450" t="s">
        <v>22877</v>
      </c>
      <c r="H2462" s="450" t="s">
        <v>22878</v>
      </c>
      <c r="I2462" s="450" t="s">
        <v>33940</v>
      </c>
      <c r="J2462" s="450" t="s">
        <v>22943</v>
      </c>
      <c r="K2462" s="450"/>
    </row>
    <row r="2463" spans="1:11">
      <c r="A2463" s="451" t="s">
        <v>4730</v>
      </c>
      <c r="B2463" s="451"/>
      <c r="C2463" s="451" t="s">
        <v>4731</v>
      </c>
      <c r="D2463" s="451"/>
      <c r="E2463" s="451"/>
      <c r="F2463" s="451"/>
      <c r="G2463" s="451" t="s">
        <v>22877</v>
      </c>
      <c r="H2463" s="451" t="s">
        <v>22878</v>
      </c>
      <c r="I2463" s="451" t="s">
        <v>30764</v>
      </c>
      <c r="J2463" s="451" t="s">
        <v>22997</v>
      </c>
      <c r="K2463" s="451"/>
    </row>
    <row r="2464" spans="1:11">
      <c r="A2464" s="450" t="s">
        <v>20284</v>
      </c>
      <c r="B2464" s="450" t="s">
        <v>20285</v>
      </c>
      <c r="C2464" s="450" t="s">
        <v>20286</v>
      </c>
      <c r="D2464" s="450" t="s">
        <v>4930</v>
      </c>
      <c r="E2464" s="450"/>
      <c r="F2464" s="450"/>
      <c r="G2464" s="450" t="s">
        <v>22877</v>
      </c>
      <c r="H2464" s="450" t="s">
        <v>22878</v>
      </c>
      <c r="I2464" s="450" t="s">
        <v>4930</v>
      </c>
      <c r="J2464" s="450" t="s">
        <v>23993</v>
      </c>
      <c r="K2464" s="450"/>
    </row>
    <row r="2465" spans="1:11">
      <c r="A2465" s="451" t="s">
        <v>20284</v>
      </c>
      <c r="B2465" s="451" t="s">
        <v>20285</v>
      </c>
      <c r="C2465" s="451" t="s">
        <v>20286</v>
      </c>
      <c r="D2465" s="451" t="s">
        <v>4930</v>
      </c>
      <c r="E2465" s="451" t="s">
        <v>4931</v>
      </c>
      <c r="F2465" s="451"/>
      <c r="G2465" s="451" t="s">
        <v>22877</v>
      </c>
      <c r="H2465" s="451" t="s">
        <v>22878</v>
      </c>
      <c r="I2465" s="451" t="s">
        <v>30765</v>
      </c>
      <c r="J2465" s="451" t="s">
        <v>23993</v>
      </c>
      <c r="K2465" s="451"/>
    </row>
    <row r="2466" spans="1:11">
      <c r="A2466" s="450" t="s">
        <v>23994</v>
      </c>
      <c r="B2466" s="450" t="s">
        <v>4918</v>
      </c>
      <c r="C2466" s="450" t="s">
        <v>4919</v>
      </c>
      <c r="D2466" s="450" t="s">
        <v>4920</v>
      </c>
      <c r="E2466" s="450"/>
      <c r="F2466" s="450"/>
      <c r="G2466" s="450" t="s">
        <v>22877</v>
      </c>
      <c r="H2466" s="450" t="s">
        <v>22878</v>
      </c>
      <c r="I2466" s="450" t="s">
        <v>4920</v>
      </c>
      <c r="J2466" s="450" t="s">
        <v>23995</v>
      </c>
      <c r="K2466" s="450"/>
    </row>
    <row r="2467" spans="1:11">
      <c r="A2467" s="451" t="s">
        <v>23996</v>
      </c>
      <c r="B2467" s="451" t="s">
        <v>23997</v>
      </c>
      <c r="C2467" s="451" t="s">
        <v>4924</v>
      </c>
      <c r="D2467" s="451" t="s">
        <v>4925</v>
      </c>
      <c r="E2467" s="451"/>
      <c r="F2467" s="451"/>
      <c r="G2467" s="451" t="s">
        <v>22877</v>
      </c>
      <c r="H2467" s="451" t="s">
        <v>22878</v>
      </c>
      <c r="I2467" s="451" t="s">
        <v>4925</v>
      </c>
      <c r="J2467" s="451" t="s">
        <v>23998</v>
      </c>
      <c r="K2467" s="451"/>
    </row>
    <row r="2468" spans="1:11">
      <c r="A2468" s="450" t="s">
        <v>23999</v>
      </c>
      <c r="B2468" s="450" t="s">
        <v>4913</v>
      </c>
      <c r="C2468" s="450" t="s">
        <v>4914</v>
      </c>
      <c r="D2468" s="450" t="s">
        <v>4915</v>
      </c>
      <c r="E2468" s="450"/>
      <c r="F2468" s="450"/>
      <c r="G2468" s="450" t="s">
        <v>22877</v>
      </c>
      <c r="H2468" s="450" t="s">
        <v>22878</v>
      </c>
      <c r="I2468" s="450" t="s">
        <v>24000</v>
      </c>
      <c r="J2468" s="450" t="s">
        <v>24001</v>
      </c>
      <c r="K2468" s="450"/>
    </row>
    <row r="2469" spans="1:11">
      <c r="A2469" s="451" t="s">
        <v>24002</v>
      </c>
      <c r="B2469" s="451" t="s">
        <v>24003</v>
      </c>
      <c r="C2469" s="451" t="s">
        <v>4929</v>
      </c>
      <c r="D2469" s="451" t="s">
        <v>4930</v>
      </c>
      <c r="E2469" s="451"/>
      <c r="F2469" s="451"/>
      <c r="G2469" s="451" t="s">
        <v>22877</v>
      </c>
      <c r="H2469" s="451" t="s">
        <v>22878</v>
      </c>
      <c r="I2469" s="451" t="s">
        <v>24004</v>
      </c>
      <c r="J2469" s="451" t="s">
        <v>24005</v>
      </c>
      <c r="K2469" s="451"/>
    </row>
    <row r="2470" spans="1:11">
      <c r="A2470" s="450" t="s">
        <v>470</v>
      </c>
      <c r="B2470" s="450" t="s">
        <v>533</v>
      </c>
      <c r="C2470" s="450" t="s">
        <v>761</v>
      </c>
      <c r="D2470" s="450" t="s">
        <v>310</v>
      </c>
      <c r="E2470" s="450" t="s">
        <v>377</v>
      </c>
      <c r="F2470" s="450" t="s">
        <v>553</v>
      </c>
      <c r="G2470" s="450" t="s">
        <v>22882</v>
      </c>
      <c r="H2470" s="450" t="s">
        <v>22883</v>
      </c>
      <c r="I2470" s="450"/>
      <c r="J2470" s="450" t="s">
        <v>30766</v>
      </c>
      <c r="K2470" s="450"/>
    </row>
    <row r="2471" spans="1:11">
      <c r="A2471" s="451" t="s">
        <v>20117</v>
      </c>
      <c r="B2471" s="451"/>
      <c r="C2471" s="451" t="s">
        <v>3814</v>
      </c>
      <c r="D2471" s="451"/>
      <c r="E2471" s="451"/>
      <c r="F2471" s="451"/>
      <c r="G2471" s="451" t="s">
        <v>22877</v>
      </c>
      <c r="H2471" s="451" t="s">
        <v>22878</v>
      </c>
      <c r="I2471" s="451" t="s">
        <v>33941</v>
      </c>
      <c r="J2471" s="451" t="s">
        <v>22943</v>
      </c>
      <c r="K2471" s="451"/>
    </row>
    <row r="2472" spans="1:11">
      <c r="A2472" s="450" t="s">
        <v>20117</v>
      </c>
      <c r="B2472" s="450"/>
      <c r="C2472" s="450" t="s">
        <v>3814</v>
      </c>
      <c r="D2472" s="450"/>
      <c r="E2472" s="450">
        <v>2486930503</v>
      </c>
      <c r="F2472" s="450"/>
      <c r="G2472" s="450" t="s">
        <v>22877</v>
      </c>
      <c r="H2472" s="450" t="s">
        <v>22878</v>
      </c>
      <c r="I2472" s="450" t="s">
        <v>33942</v>
      </c>
      <c r="J2472" s="450" t="s">
        <v>33928</v>
      </c>
      <c r="K2472" s="450"/>
    </row>
    <row r="2473" spans="1:11">
      <c r="A2473" s="451" t="s">
        <v>4732</v>
      </c>
      <c r="B2473" s="451"/>
      <c r="C2473" s="451" t="s">
        <v>4733</v>
      </c>
      <c r="D2473" s="451"/>
      <c r="E2473" s="451"/>
      <c r="F2473" s="451"/>
      <c r="G2473" s="451" t="s">
        <v>22877</v>
      </c>
      <c r="H2473" s="451" t="s">
        <v>22878</v>
      </c>
      <c r="I2473" s="451" t="s">
        <v>24006</v>
      </c>
      <c r="J2473" s="451" t="s">
        <v>22942</v>
      </c>
      <c r="K2473" s="451"/>
    </row>
    <row r="2474" spans="1:11">
      <c r="A2474" s="450" t="s">
        <v>4734</v>
      </c>
      <c r="B2474" s="450" t="s">
        <v>4735</v>
      </c>
      <c r="C2474" s="450" t="s">
        <v>4736</v>
      </c>
      <c r="D2474" s="450"/>
      <c r="E2474" s="450"/>
      <c r="F2474" s="450"/>
      <c r="G2474" s="450" t="s">
        <v>22877</v>
      </c>
      <c r="H2474" s="450" t="s">
        <v>22878</v>
      </c>
      <c r="I2474" s="450" t="s">
        <v>24007</v>
      </c>
      <c r="J2474" s="450" t="s">
        <v>24008</v>
      </c>
      <c r="K2474" s="450"/>
    </row>
    <row r="2475" spans="1:11">
      <c r="A2475" s="451" t="s">
        <v>24009</v>
      </c>
      <c r="B2475" s="451"/>
      <c r="C2475" s="451" t="s">
        <v>4738</v>
      </c>
      <c r="D2475" s="451"/>
      <c r="E2475" s="451"/>
      <c r="F2475" s="451"/>
      <c r="G2475" s="451" t="s">
        <v>22877</v>
      </c>
      <c r="H2475" s="451" t="s">
        <v>22878</v>
      </c>
      <c r="I2475" s="451" t="s">
        <v>24010</v>
      </c>
      <c r="J2475" s="451" t="s">
        <v>22942</v>
      </c>
      <c r="K2475" s="451"/>
    </row>
    <row r="2476" spans="1:11">
      <c r="A2476" s="450" t="s">
        <v>22103</v>
      </c>
      <c r="B2476" s="450" t="s">
        <v>22104</v>
      </c>
      <c r="C2476" s="450" t="s">
        <v>22105</v>
      </c>
      <c r="D2476" s="450" t="s">
        <v>22106</v>
      </c>
      <c r="E2476" s="450"/>
      <c r="F2476" s="450"/>
      <c r="G2476" s="450" t="s">
        <v>22877</v>
      </c>
      <c r="H2476" s="450" t="s">
        <v>22878</v>
      </c>
      <c r="I2476" s="450" t="s">
        <v>30767</v>
      </c>
      <c r="J2476" s="450" t="s">
        <v>30768</v>
      </c>
      <c r="K2476" s="450"/>
    </row>
    <row r="2477" spans="1:11">
      <c r="A2477" s="451" t="s">
        <v>24011</v>
      </c>
      <c r="B2477" s="451" t="s">
        <v>24012</v>
      </c>
      <c r="C2477" s="451" t="s">
        <v>24013</v>
      </c>
      <c r="D2477" s="451"/>
      <c r="E2477" s="451"/>
      <c r="F2477" s="451"/>
      <c r="G2477" s="451" t="s">
        <v>22877</v>
      </c>
      <c r="H2477" s="451" t="s">
        <v>22878</v>
      </c>
      <c r="I2477" s="451" t="s">
        <v>24014</v>
      </c>
      <c r="J2477" s="451" t="s">
        <v>24015</v>
      </c>
      <c r="K2477" s="451"/>
    </row>
    <row r="2478" spans="1:11">
      <c r="A2478" s="450" t="s">
        <v>4737</v>
      </c>
      <c r="B2478" s="450"/>
      <c r="C2478" s="450" t="s">
        <v>4738</v>
      </c>
      <c r="D2478" s="450"/>
      <c r="E2478" s="450"/>
      <c r="F2478" s="450"/>
      <c r="G2478" s="450" t="s">
        <v>22882</v>
      </c>
      <c r="H2478" s="450" t="s">
        <v>22883</v>
      </c>
      <c r="I2478" s="450"/>
      <c r="J2478" s="450" t="s">
        <v>22939</v>
      </c>
      <c r="K2478" s="450"/>
    </row>
    <row r="2479" spans="1:11">
      <c r="A2479" s="451" t="s">
        <v>4739</v>
      </c>
      <c r="B2479" s="451"/>
      <c r="C2479" s="451" t="s">
        <v>4740</v>
      </c>
      <c r="D2479" s="451"/>
      <c r="E2479" s="451"/>
      <c r="F2479" s="451"/>
      <c r="G2479" s="451" t="s">
        <v>22882</v>
      </c>
      <c r="H2479" s="451" t="s">
        <v>22883</v>
      </c>
      <c r="I2479" s="451"/>
      <c r="J2479" s="451" t="s">
        <v>23133</v>
      </c>
      <c r="K2479" s="451"/>
    </row>
    <row r="2480" spans="1:11">
      <c r="A2480" s="450" t="s">
        <v>21550</v>
      </c>
      <c r="B2480" s="450"/>
      <c r="C2480" s="450" t="s">
        <v>4741</v>
      </c>
      <c r="D2480" s="450"/>
      <c r="E2480" s="450"/>
      <c r="F2480" s="450"/>
      <c r="G2480" s="450" t="s">
        <v>22877</v>
      </c>
      <c r="H2480" s="450" t="s">
        <v>22878</v>
      </c>
      <c r="I2480" s="450" t="s">
        <v>24016</v>
      </c>
      <c r="J2480" s="450" t="s">
        <v>22939</v>
      </c>
      <c r="K2480" s="450"/>
    </row>
    <row r="2481" spans="1:11">
      <c r="A2481" s="451" t="s">
        <v>4742</v>
      </c>
      <c r="B2481" s="451" t="s">
        <v>4743</v>
      </c>
      <c r="C2481" s="451" t="s">
        <v>4744</v>
      </c>
      <c r="D2481" s="451" t="s">
        <v>4745</v>
      </c>
      <c r="E2481" s="451"/>
      <c r="F2481" s="451"/>
      <c r="G2481" s="451" t="s">
        <v>22877</v>
      </c>
      <c r="H2481" s="451" t="s">
        <v>22878</v>
      </c>
      <c r="I2481" s="451" t="s">
        <v>33943</v>
      </c>
      <c r="J2481" s="451" t="s">
        <v>33944</v>
      </c>
      <c r="K2481" s="451"/>
    </row>
    <row r="2482" spans="1:11">
      <c r="A2482" s="450" t="s">
        <v>4742</v>
      </c>
      <c r="B2482" s="450" t="s">
        <v>4743</v>
      </c>
      <c r="C2482" s="450" t="s">
        <v>4744</v>
      </c>
      <c r="D2482" s="450" t="s">
        <v>4745</v>
      </c>
      <c r="E2482" s="450" t="s">
        <v>4746</v>
      </c>
      <c r="F2482" s="450"/>
      <c r="G2482" s="450" t="s">
        <v>22877</v>
      </c>
      <c r="H2482" s="450" t="s">
        <v>22878</v>
      </c>
      <c r="I2482" s="450"/>
      <c r="J2482" s="450" t="s">
        <v>30769</v>
      </c>
      <c r="K2482" s="450"/>
    </row>
    <row r="2483" spans="1:11">
      <c r="A2483" s="451" t="s">
        <v>4747</v>
      </c>
      <c r="B2483" s="451"/>
      <c r="C2483" s="451" t="s">
        <v>4748</v>
      </c>
      <c r="D2483" s="451"/>
      <c r="E2483" s="451"/>
      <c r="F2483" s="451"/>
      <c r="G2483" s="451" t="s">
        <v>22877</v>
      </c>
      <c r="H2483" s="451" t="s">
        <v>22878</v>
      </c>
      <c r="I2483" s="451" t="s">
        <v>24017</v>
      </c>
      <c r="J2483" s="451" t="s">
        <v>22943</v>
      </c>
      <c r="K2483" s="451"/>
    </row>
    <row r="2484" spans="1:11">
      <c r="A2484" s="450" t="s">
        <v>4749</v>
      </c>
      <c r="B2484" s="450"/>
      <c r="C2484" s="450" t="s">
        <v>4567</v>
      </c>
      <c r="D2484" s="450"/>
      <c r="E2484" s="450"/>
      <c r="F2484" s="450"/>
      <c r="G2484" s="450" t="s">
        <v>22882</v>
      </c>
      <c r="H2484" s="450" t="s">
        <v>22883</v>
      </c>
      <c r="I2484" s="450"/>
      <c r="J2484" s="450" t="s">
        <v>22942</v>
      </c>
      <c r="K2484" s="450"/>
    </row>
    <row r="2485" spans="1:11">
      <c r="A2485" s="451" t="s">
        <v>33945</v>
      </c>
      <c r="B2485" s="451" t="s">
        <v>4750</v>
      </c>
      <c r="C2485" s="451" t="s">
        <v>33946</v>
      </c>
      <c r="D2485" s="451"/>
      <c r="E2485" s="451"/>
      <c r="F2485" s="451"/>
      <c r="G2485" s="451" t="s">
        <v>22882</v>
      </c>
      <c r="H2485" s="451" t="s">
        <v>22883</v>
      </c>
      <c r="I2485" s="451"/>
      <c r="J2485" s="451" t="s">
        <v>33947</v>
      </c>
      <c r="K2485" s="451"/>
    </row>
    <row r="2486" spans="1:11">
      <c r="A2486" s="450" t="s">
        <v>21551</v>
      </c>
      <c r="B2486" s="450" t="s">
        <v>4750</v>
      </c>
      <c r="C2486" s="450" t="s">
        <v>4751</v>
      </c>
      <c r="D2486" s="450"/>
      <c r="E2486" s="450"/>
      <c r="F2486" s="450"/>
      <c r="G2486" s="450" t="s">
        <v>22882</v>
      </c>
      <c r="H2486" s="450" t="s">
        <v>22883</v>
      </c>
      <c r="I2486" s="450" t="s">
        <v>30770</v>
      </c>
      <c r="J2486" s="450" t="s">
        <v>30771</v>
      </c>
      <c r="K2486" s="450"/>
    </row>
    <row r="2487" spans="1:11">
      <c r="A2487" s="451" t="s">
        <v>4752</v>
      </c>
      <c r="B2487" s="451"/>
      <c r="C2487" s="451" t="s">
        <v>4753</v>
      </c>
      <c r="D2487" s="451"/>
      <c r="E2487" s="451"/>
      <c r="F2487" s="451"/>
      <c r="G2487" s="451" t="s">
        <v>22882</v>
      </c>
      <c r="H2487" s="451" t="s">
        <v>22883</v>
      </c>
      <c r="I2487" s="451"/>
      <c r="J2487" s="451" t="s">
        <v>22943</v>
      </c>
      <c r="K2487" s="451"/>
    </row>
    <row r="2488" spans="1:11">
      <c r="A2488" s="450" t="s">
        <v>4754</v>
      </c>
      <c r="B2488" s="450" t="s">
        <v>4755</v>
      </c>
      <c r="C2488" s="450" t="s">
        <v>4756</v>
      </c>
      <c r="D2488" s="450"/>
      <c r="E2488" s="450"/>
      <c r="F2488" s="450"/>
      <c r="G2488" s="450" t="s">
        <v>22877</v>
      </c>
      <c r="H2488" s="450" t="s">
        <v>22878</v>
      </c>
      <c r="I2488" s="450" t="s">
        <v>30772</v>
      </c>
      <c r="J2488" s="450" t="s">
        <v>30773</v>
      </c>
      <c r="K2488" s="450"/>
    </row>
    <row r="2489" spans="1:11">
      <c r="A2489" s="451" t="s">
        <v>4754</v>
      </c>
      <c r="B2489" s="451" t="s">
        <v>4757</v>
      </c>
      <c r="C2489" s="451" t="s">
        <v>4758</v>
      </c>
      <c r="D2489" s="451"/>
      <c r="E2489" s="451"/>
      <c r="F2489" s="451" t="s">
        <v>4759</v>
      </c>
      <c r="G2489" s="451" t="s">
        <v>22882</v>
      </c>
      <c r="H2489" s="451" t="s">
        <v>22883</v>
      </c>
      <c r="I2489" s="451" t="s">
        <v>30774</v>
      </c>
      <c r="J2489" s="451" t="s">
        <v>30775</v>
      </c>
      <c r="K2489" s="451"/>
    </row>
    <row r="2490" spans="1:11">
      <c r="A2490" s="450" t="s">
        <v>24018</v>
      </c>
      <c r="B2490" s="450" t="s">
        <v>4774</v>
      </c>
      <c r="C2490" s="450" t="s">
        <v>4775</v>
      </c>
      <c r="D2490" s="450"/>
      <c r="E2490" s="450"/>
      <c r="F2490" s="450" t="s">
        <v>4776</v>
      </c>
      <c r="G2490" s="450" t="s">
        <v>22882</v>
      </c>
      <c r="H2490" s="450" t="s">
        <v>22883</v>
      </c>
      <c r="I2490" s="450"/>
      <c r="J2490" s="450" t="s">
        <v>24019</v>
      </c>
      <c r="K2490" s="450"/>
    </row>
    <row r="2491" spans="1:11">
      <c r="A2491" s="451" t="s">
        <v>24020</v>
      </c>
      <c r="B2491" s="451" t="s">
        <v>24021</v>
      </c>
      <c r="C2491" s="451" t="s">
        <v>2168</v>
      </c>
      <c r="D2491" s="451" t="s">
        <v>4762</v>
      </c>
      <c r="E2491" s="451"/>
      <c r="F2491" s="451"/>
      <c r="G2491" s="451" t="s">
        <v>22882</v>
      </c>
      <c r="H2491" s="451" t="s">
        <v>22883</v>
      </c>
      <c r="I2491" s="451" t="s">
        <v>24022</v>
      </c>
      <c r="J2491" s="451" t="s">
        <v>24023</v>
      </c>
      <c r="K2491" s="451"/>
    </row>
    <row r="2492" spans="1:11">
      <c r="A2492" s="450" t="s">
        <v>24020</v>
      </c>
      <c r="B2492" s="450" t="s">
        <v>24024</v>
      </c>
      <c r="C2492" s="450" t="s">
        <v>2168</v>
      </c>
      <c r="D2492" s="450" t="s">
        <v>4771</v>
      </c>
      <c r="E2492" s="450"/>
      <c r="F2492" s="450"/>
      <c r="G2492" s="450" t="s">
        <v>22882</v>
      </c>
      <c r="H2492" s="450" t="s">
        <v>22883</v>
      </c>
      <c r="I2492" s="450" t="s">
        <v>24025</v>
      </c>
      <c r="J2492" s="450" t="s">
        <v>24026</v>
      </c>
      <c r="K2492" s="450"/>
    </row>
    <row r="2493" spans="1:11">
      <c r="A2493" s="451" t="s">
        <v>24027</v>
      </c>
      <c r="B2493" s="451" t="s">
        <v>24028</v>
      </c>
      <c r="C2493" s="451" t="s">
        <v>24029</v>
      </c>
      <c r="D2493" s="451"/>
      <c r="E2493" s="451"/>
      <c r="F2493" s="451"/>
      <c r="G2493" s="451" t="s">
        <v>22877</v>
      </c>
      <c r="H2493" s="451" t="s">
        <v>22878</v>
      </c>
      <c r="I2493" s="451" t="s">
        <v>24030</v>
      </c>
      <c r="J2493" s="451" t="s">
        <v>24031</v>
      </c>
      <c r="K2493" s="451"/>
    </row>
    <row r="2494" spans="1:11">
      <c r="A2494" s="450" t="s">
        <v>24032</v>
      </c>
      <c r="B2494" s="450" t="s">
        <v>24033</v>
      </c>
      <c r="C2494" s="450" t="s">
        <v>4758</v>
      </c>
      <c r="D2494" s="450"/>
      <c r="E2494" s="450"/>
      <c r="F2494" s="450" t="s">
        <v>24034</v>
      </c>
      <c r="G2494" s="450" t="s">
        <v>22882</v>
      </c>
      <c r="H2494" s="450" t="s">
        <v>22883</v>
      </c>
      <c r="I2494" s="450" t="s">
        <v>24035</v>
      </c>
      <c r="J2494" s="450" t="s">
        <v>24036</v>
      </c>
      <c r="K2494" s="450"/>
    </row>
    <row r="2495" spans="1:11">
      <c r="A2495" s="451" t="s">
        <v>24037</v>
      </c>
      <c r="B2495" s="451" t="s">
        <v>4755</v>
      </c>
      <c r="C2495" s="451" t="s">
        <v>4756</v>
      </c>
      <c r="D2495" s="451"/>
      <c r="E2495" s="451"/>
      <c r="F2495" s="451"/>
      <c r="G2495" s="451" t="s">
        <v>22882</v>
      </c>
      <c r="H2495" s="451" t="s">
        <v>22883</v>
      </c>
      <c r="I2495" s="451" t="s">
        <v>24038</v>
      </c>
      <c r="J2495" s="451" t="s">
        <v>24039</v>
      </c>
      <c r="K2495" s="451"/>
    </row>
    <row r="2496" spans="1:11">
      <c r="A2496" s="450" t="s">
        <v>24040</v>
      </c>
      <c r="B2496" s="450" t="s">
        <v>4765</v>
      </c>
      <c r="C2496" s="450" t="s">
        <v>4767</v>
      </c>
      <c r="D2496" s="450"/>
      <c r="E2496" s="450"/>
      <c r="F2496" s="450" t="s">
        <v>4768</v>
      </c>
      <c r="G2496" s="450" t="s">
        <v>22882</v>
      </c>
      <c r="H2496" s="450" t="s">
        <v>22883</v>
      </c>
      <c r="I2496" s="450" t="s">
        <v>24041</v>
      </c>
      <c r="J2496" s="450" t="s">
        <v>24042</v>
      </c>
      <c r="K2496" s="450"/>
    </row>
    <row r="2497" spans="1:11">
      <c r="A2497" s="451" t="s">
        <v>4760</v>
      </c>
      <c r="B2497" s="451" t="s">
        <v>4761</v>
      </c>
      <c r="C2497" s="451" t="s">
        <v>2168</v>
      </c>
      <c r="D2497" s="451" t="s">
        <v>4762</v>
      </c>
      <c r="E2497" s="451" t="s">
        <v>4763</v>
      </c>
      <c r="F2497" s="451"/>
      <c r="G2497" s="451" t="s">
        <v>22882</v>
      </c>
      <c r="H2497" s="451" t="s">
        <v>22883</v>
      </c>
      <c r="I2497" s="451"/>
      <c r="J2497" s="451" t="s">
        <v>30776</v>
      </c>
      <c r="K2497" s="451"/>
    </row>
    <row r="2498" spans="1:11">
      <c r="A2498" s="450" t="s">
        <v>4764</v>
      </c>
      <c r="B2498" s="450" t="s">
        <v>4765</v>
      </c>
      <c r="C2498" s="450" t="s">
        <v>2210</v>
      </c>
      <c r="D2498" s="450"/>
      <c r="E2498" s="450"/>
      <c r="F2498" s="450"/>
      <c r="G2498" s="450" t="s">
        <v>22877</v>
      </c>
      <c r="H2498" s="450" t="s">
        <v>22878</v>
      </c>
      <c r="I2498" s="450" t="s">
        <v>30777</v>
      </c>
      <c r="J2498" s="450" t="s">
        <v>24042</v>
      </c>
      <c r="K2498" s="450"/>
    </row>
    <row r="2499" spans="1:11">
      <c r="A2499" s="451" t="s">
        <v>4766</v>
      </c>
      <c r="B2499" s="451" t="s">
        <v>4765</v>
      </c>
      <c r="C2499" s="451" t="s">
        <v>4767</v>
      </c>
      <c r="D2499" s="451"/>
      <c r="E2499" s="451"/>
      <c r="F2499" s="451" t="s">
        <v>4768</v>
      </c>
      <c r="G2499" s="451" t="s">
        <v>22877</v>
      </c>
      <c r="H2499" s="451" t="s">
        <v>22878</v>
      </c>
      <c r="I2499" s="451" t="s">
        <v>30777</v>
      </c>
      <c r="J2499" s="451" t="s">
        <v>30778</v>
      </c>
      <c r="K2499" s="451"/>
    </row>
    <row r="2500" spans="1:11">
      <c r="A2500" s="450" t="s">
        <v>4769</v>
      </c>
      <c r="B2500" s="450" t="s">
        <v>4770</v>
      </c>
      <c r="C2500" s="450" t="s">
        <v>2168</v>
      </c>
      <c r="D2500" s="450" t="s">
        <v>4771</v>
      </c>
      <c r="E2500" s="450" t="s">
        <v>4772</v>
      </c>
      <c r="F2500" s="450"/>
      <c r="G2500" s="450" t="s">
        <v>22877</v>
      </c>
      <c r="H2500" s="450" t="s">
        <v>22878</v>
      </c>
      <c r="I2500" s="450"/>
      <c r="J2500" s="450" t="s">
        <v>33948</v>
      </c>
      <c r="K2500" s="450"/>
    </row>
    <row r="2501" spans="1:11">
      <c r="A2501" s="451" t="s">
        <v>4773</v>
      </c>
      <c r="B2501" s="451" t="s">
        <v>4774</v>
      </c>
      <c r="C2501" s="451" t="s">
        <v>4775</v>
      </c>
      <c r="D2501" s="451"/>
      <c r="E2501" s="451"/>
      <c r="F2501" s="451" t="s">
        <v>4776</v>
      </c>
      <c r="G2501" s="451" t="s">
        <v>22877</v>
      </c>
      <c r="H2501" s="451" t="s">
        <v>22878</v>
      </c>
      <c r="I2501" s="451"/>
      <c r="J2501" s="451" t="s">
        <v>30779</v>
      </c>
      <c r="K2501" s="451"/>
    </row>
    <row r="2502" spans="1:11">
      <c r="A2502" s="450" t="s">
        <v>4777</v>
      </c>
      <c r="B2502" s="450"/>
      <c r="C2502" s="450" t="s">
        <v>4778</v>
      </c>
      <c r="D2502" s="450"/>
      <c r="E2502" s="450"/>
      <c r="F2502" s="450"/>
      <c r="G2502" s="450" t="s">
        <v>22877</v>
      </c>
      <c r="H2502" s="450" t="s">
        <v>22878</v>
      </c>
      <c r="I2502" s="450" t="s">
        <v>33949</v>
      </c>
      <c r="J2502" s="450" t="s">
        <v>22943</v>
      </c>
      <c r="K2502" s="450"/>
    </row>
    <row r="2503" spans="1:11">
      <c r="A2503" s="451" t="s">
        <v>4779</v>
      </c>
      <c r="B2503" s="451"/>
      <c r="C2503" s="451" t="s">
        <v>4780</v>
      </c>
      <c r="D2503" s="451"/>
      <c r="E2503" s="451"/>
      <c r="F2503" s="451"/>
      <c r="G2503" s="451" t="s">
        <v>22882</v>
      </c>
      <c r="H2503" s="451" t="s">
        <v>22883</v>
      </c>
      <c r="I2503" s="451"/>
      <c r="J2503" s="451" t="s">
        <v>23185</v>
      </c>
      <c r="K2503" s="451"/>
    </row>
    <row r="2504" spans="1:11">
      <c r="A2504" s="450" t="s">
        <v>4781</v>
      </c>
      <c r="B2504" s="450"/>
      <c r="C2504" s="450" t="s">
        <v>4782</v>
      </c>
      <c r="D2504" s="450"/>
      <c r="E2504" s="450"/>
      <c r="F2504" s="450"/>
      <c r="G2504" s="450" t="s">
        <v>22882</v>
      </c>
      <c r="H2504" s="450" t="s">
        <v>22883</v>
      </c>
      <c r="I2504" s="450" t="s">
        <v>24043</v>
      </c>
      <c r="J2504" s="450" t="s">
        <v>22997</v>
      </c>
      <c r="K2504" s="450"/>
    </row>
    <row r="2505" spans="1:11">
      <c r="A2505" s="451" t="s">
        <v>24044</v>
      </c>
      <c r="B2505" s="451" t="s">
        <v>24045</v>
      </c>
      <c r="C2505" s="451" t="s">
        <v>4785</v>
      </c>
      <c r="D2505" s="451"/>
      <c r="E2505" s="451"/>
      <c r="F2505" s="451"/>
      <c r="G2505" s="451" t="s">
        <v>22877</v>
      </c>
      <c r="H2505" s="451" t="s">
        <v>22878</v>
      </c>
      <c r="I2505" s="451" t="s">
        <v>24046</v>
      </c>
      <c r="J2505" s="451" t="s">
        <v>24047</v>
      </c>
      <c r="K2505" s="451"/>
    </row>
    <row r="2506" spans="1:11">
      <c r="A2506" s="450" t="s">
        <v>4783</v>
      </c>
      <c r="B2506" s="450" t="s">
        <v>4784</v>
      </c>
      <c r="C2506" s="450" t="s">
        <v>4785</v>
      </c>
      <c r="D2506" s="450"/>
      <c r="E2506" s="450"/>
      <c r="F2506" s="450"/>
      <c r="G2506" s="450" t="s">
        <v>22877</v>
      </c>
      <c r="H2506" s="450" t="s">
        <v>22878</v>
      </c>
      <c r="I2506" s="450"/>
      <c r="J2506" s="450" t="s">
        <v>30780</v>
      </c>
      <c r="K2506" s="450"/>
    </row>
    <row r="2507" spans="1:11">
      <c r="A2507" s="451" t="s">
        <v>33950</v>
      </c>
      <c r="B2507" s="451"/>
      <c r="C2507" s="451" t="s">
        <v>4787</v>
      </c>
      <c r="D2507" s="451"/>
      <c r="E2507" s="451"/>
      <c r="F2507" s="451"/>
      <c r="G2507" s="451" t="s">
        <v>22877</v>
      </c>
      <c r="H2507" s="451" t="s">
        <v>22878</v>
      </c>
      <c r="I2507" s="451" t="s">
        <v>33951</v>
      </c>
      <c r="J2507" s="451" t="s">
        <v>22997</v>
      </c>
      <c r="K2507" s="451"/>
    </row>
    <row r="2508" spans="1:11">
      <c r="A2508" s="450" t="s">
        <v>4786</v>
      </c>
      <c r="B2508" s="450"/>
      <c r="C2508" s="450" t="s">
        <v>4787</v>
      </c>
      <c r="D2508" s="450"/>
      <c r="E2508" s="450"/>
      <c r="F2508" s="450"/>
      <c r="G2508" s="450" t="s">
        <v>22877</v>
      </c>
      <c r="H2508" s="450" t="s">
        <v>22878</v>
      </c>
      <c r="I2508" s="450"/>
      <c r="J2508" s="450" t="s">
        <v>22939</v>
      </c>
      <c r="K2508" s="450"/>
    </row>
    <row r="2509" spans="1:11">
      <c r="A2509" s="451" t="s">
        <v>4788</v>
      </c>
      <c r="B2509" s="451"/>
      <c r="C2509" s="451" t="s">
        <v>4789</v>
      </c>
      <c r="D2509" s="451"/>
      <c r="E2509" s="451"/>
      <c r="F2509" s="451"/>
      <c r="G2509" s="451" t="s">
        <v>22882</v>
      </c>
      <c r="H2509" s="451" t="s">
        <v>22883</v>
      </c>
      <c r="I2509" s="451" t="s">
        <v>33952</v>
      </c>
      <c r="J2509" s="451" t="s">
        <v>23185</v>
      </c>
      <c r="K2509" s="451"/>
    </row>
    <row r="2510" spans="1:11">
      <c r="A2510" s="450" t="s">
        <v>4790</v>
      </c>
      <c r="B2510" s="450"/>
      <c r="C2510" s="450" t="s">
        <v>4791</v>
      </c>
      <c r="D2510" s="450"/>
      <c r="E2510" s="450"/>
      <c r="F2510" s="450"/>
      <c r="G2510" s="450" t="s">
        <v>22877</v>
      </c>
      <c r="H2510" s="450" t="s">
        <v>22878</v>
      </c>
      <c r="I2510" s="450" t="s">
        <v>33953</v>
      </c>
      <c r="J2510" s="450" t="s">
        <v>23185</v>
      </c>
      <c r="K2510" s="450"/>
    </row>
    <row r="2511" spans="1:11">
      <c r="A2511" s="451" t="s">
        <v>4792</v>
      </c>
      <c r="B2511" s="451"/>
      <c r="C2511" s="451" t="s">
        <v>1810</v>
      </c>
      <c r="D2511" s="451"/>
      <c r="E2511" s="451"/>
      <c r="F2511" s="451"/>
      <c r="G2511" s="451" t="s">
        <v>22877</v>
      </c>
      <c r="H2511" s="451" t="s">
        <v>22878</v>
      </c>
      <c r="I2511" s="451" t="s">
        <v>24048</v>
      </c>
      <c r="J2511" s="451" t="s">
        <v>23185</v>
      </c>
      <c r="K2511" s="451"/>
    </row>
    <row r="2512" spans="1:11">
      <c r="A2512" s="450" t="s">
        <v>4793</v>
      </c>
      <c r="B2512" s="450" t="s">
        <v>4794</v>
      </c>
      <c r="C2512" s="450" t="s">
        <v>4795</v>
      </c>
      <c r="D2512" s="450" t="s">
        <v>4796</v>
      </c>
      <c r="E2512" s="450"/>
      <c r="F2512" s="450"/>
      <c r="G2512" s="450" t="s">
        <v>22877</v>
      </c>
      <c r="H2512" s="450" t="s">
        <v>22878</v>
      </c>
      <c r="I2512" s="450" t="s">
        <v>4796</v>
      </c>
      <c r="J2512" s="450" t="s">
        <v>24049</v>
      </c>
      <c r="K2512" s="450"/>
    </row>
    <row r="2513" spans="1:11">
      <c r="A2513" s="451" t="s">
        <v>4793</v>
      </c>
      <c r="B2513" s="451" t="s">
        <v>4794</v>
      </c>
      <c r="C2513" s="451" t="s">
        <v>4795</v>
      </c>
      <c r="D2513" s="451" t="s">
        <v>4796</v>
      </c>
      <c r="E2513" s="451" t="s">
        <v>4797</v>
      </c>
      <c r="F2513" s="451"/>
      <c r="G2513" s="451" t="s">
        <v>22877</v>
      </c>
      <c r="H2513" s="451" t="s">
        <v>22878</v>
      </c>
      <c r="I2513" s="451" t="s">
        <v>4796</v>
      </c>
      <c r="J2513" s="451" t="s">
        <v>24049</v>
      </c>
      <c r="K2513" s="451"/>
    </row>
    <row r="2514" spans="1:11">
      <c r="A2514" s="450" t="s">
        <v>33954</v>
      </c>
      <c r="B2514" s="450"/>
      <c r="C2514" s="450" t="s">
        <v>4799</v>
      </c>
      <c r="D2514" s="450"/>
      <c r="E2514" s="450"/>
      <c r="F2514" s="450"/>
      <c r="G2514" s="450" t="s">
        <v>22877</v>
      </c>
      <c r="H2514" s="450" t="s">
        <v>22878</v>
      </c>
      <c r="I2514" s="450" t="s">
        <v>33955</v>
      </c>
      <c r="J2514" s="450" t="s">
        <v>22943</v>
      </c>
      <c r="K2514" s="450"/>
    </row>
    <row r="2515" spans="1:11">
      <c r="A2515" s="451" t="s">
        <v>4798</v>
      </c>
      <c r="B2515" s="451"/>
      <c r="C2515" s="451" t="s">
        <v>4799</v>
      </c>
      <c r="D2515" s="451"/>
      <c r="E2515" s="451"/>
      <c r="F2515" s="451"/>
      <c r="G2515" s="451" t="s">
        <v>22877</v>
      </c>
      <c r="H2515" s="451" t="s">
        <v>22878</v>
      </c>
      <c r="I2515" s="451" t="s">
        <v>33955</v>
      </c>
      <c r="J2515" s="451" t="s">
        <v>22939</v>
      </c>
      <c r="K2515" s="451"/>
    </row>
    <row r="2516" spans="1:11">
      <c r="A2516" s="450" t="s">
        <v>4800</v>
      </c>
      <c r="B2516" s="450"/>
      <c r="C2516" s="450" t="s">
        <v>4801</v>
      </c>
      <c r="D2516" s="450"/>
      <c r="E2516" s="450"/>
      <c r="F2516" s="450"/>
      <c r="G2516" s="450" t="s">
        <v>22877</v>
      </c>
      <c r="H2516" s="450" t="s">
        <v>22878</v>
      </c>
      <c r="I2516" s="450" t="s">
        <v>33956</v>
      </c>
      <c r="J2516" s="450" t="s">
        <v>23184</v>
      </c>
      <c r="K2516" s="450"/>
    </row>
    <row r="2517" spans="1:11">
      <c r="A2517" s="451" t="s">
        <v>21552</v>
      </c>
      <c r="B2517" s="451"/>
      <c r="C2517" s="451" t="s">
        <v>4802</v>
      </c>
      <c r="D2517" s="451"/>
      <c r="E2517" s="451"/>
      <c r="F2517" s="451"/>
      <c r="G2517" s="451" t="s">
        <v>22877</v>
      </c>
      <c r="H2517" s="451" t="s">
        <v>22878</v>
      </c>
      <c r="I2517" s="451" t="s">
        <v>33957</v>
      </c>
      <c r="J2517" s="451" t="s">
        <v>23185</v>
      </c>
      <c r="K2517" s="451"/>
    </row>
    <row r="2518" spans="1:11">
      <c r="A2518" s="450" t="s">
        <v>4803</v>
      </c>
      <c r="B2518" s="450"/>
      <c r="C2518" s="450" t="s">
        <v>4804</v>
      </c>
      <c r="D2518" s="450"/>
      <c r="E2518" s="450"/>
      <c r="F2518" s="450"/>
      <c r="G2518" s="450" t="s">
        <v>22882</v>
      </c>
      <c r="H2518" s="450" t="s">
        <v>22883</v>
      </c>
      <c r="I2518" s="450"/>
      <c r="J2518" s="450" t="s">
        <v>22948</v>
      </c>
      <c r="K2518" s="450"/>
    </row>
    <row r="2519" spans="1:11">
      <c r="A2519" s="451" t="s">
        <v>4805</v>
      </c>
      <c r="B2519" s="451"/>
      <c r="C2519" s="451" t="s">
        <v>4806</v>
      </c>
      <c r="D2519" s="451"/>
      <c r="E2519" s="451"/>
      <c r="F2519" s="451"/>
      <c r="G2519" s="451" t="s">
        <v>22882</v>
      </c>
      <c r="H2519" s="451" t="s">
        <v>22883</v>
      </c>
      <c r="I2519" s="451"/>
      <c r="J2519" s="451" t="s">
        <v>22948</v>
      </c>
      <c r="K2519" s="451"/>
    </row>
    <row r="2520" spans="1:11">
      <c r="A2520" s="450" t="s">
        <v>24050</v>
      </c>
      <c r="B2520" s="450"/>
      <c r="C2520" s="450" t="s">
        <v>24051</v>
      </c>
      <c r="D2520" s="450"/>
      <c r="E2520" s="450"/>
      <c r="F2520" s="450"/>
      <c r="G2520" s="450" t="s">
        <v>22877</v>
      </c>
      <c r="H2520" s="450" t="s">
        <v>22878</v>
      </c>
      <c r="I2520" s="450" t="s">
        <v>24052</v>
      </c>
      <c r="J2520" s="450" t="s">
        <v>23184</v>
      </c>
      <c r="K2520" s="450"/>
    </row>
    <row r="2521" spans="1:11">
      <c r="A2521" s="451" t="s">
        <v>33958</v>
      </c>
      <c r="B2521" s="451" t="s">
        <v>4808</v>
      </c>
      <c r="C2521" s="451" t="s">
        <v>4809</v>
      </c>
      <c r="D2521" s="451"/>
      <c r="E2521" s="451"/>
      <c r="F2521" s="451"/>
      <c r="G2521" s="451" t="s">
        <v>22877</v>
      </c>
      <c r="H2521" s="451" t="s">
        <v>22878</v>
      </c>
      <c r="I2521" s="451" t="s">
        <v>33959</v>
      </c>
      <c r="J2521" s="451" t="s">
        <v>33960</v>
      </c>
      <c r="K2521" s="451"/>
    </row>
    <row r="2522" spans="1:11">
      <c r="A2522" s="450" t="s">
        <v>4807</v>
      </c>
      <c r="B2522" s="450" t="s">
        <v>4808</v>
      </c>
      <c r="C2522" s="450" t="s">
        <v>4809</v>
      </c>
      <c r="D2522" s="450"/>
      <c r="E2522" s="450"/>
      <c r="F2522" s="450"/>
      <c r="G2522" s="450" t="s">
        <v>22877</v>
      </c>
      <c r="H2522" s="450" t="s">
        <v>22878</v>
      </c>
      <c r="I2522" s="450"/>
      <c r="J2522" s="450" t="s">
        <v>30781</v>
      </c>
      <c r="K2522" s="450"/>
    </row>
    <row r="2523" spans="1:11">
      <c r="A2523" s="451" t="s">
        <v>4810</v>
      </c>
      <c r="B2523" s="451"/>
      <c r="C2523" s="451" t="s">
        <v>4811</v>
      </c>
      <c r="D2523" s="451"/>
      <c r="E2523" s="451"/>
      <c r="F2523" s="451"/>
      <c r="G2523" s="451" t="s">
        <v>22877</v>
      </c>
      <c r="H2523" s="451" t="s">
        <v>22878</v>
      </c>
      <c r="I2523" s="451" t="s">
        <v>24053</v>
      </c>
      <c r="J2523" s="451" t="s">
        <v>23185</v>
      </c>
      <c r="K2523" s="451"/>
    </row>
    <row r="2524" spans="1:11">
      <c r="A2524" s="450" t="s">
        <v>24054</v>
      </c>
      <c r="B2524" s="450" t="s">
        <v>24055</v>
      </c>
      <c r="C2524" s="450" t="s">
        <v>24056</v>
      </c>
      <c r="D2524" s="450"/>
      <c r="E2524" s="450"/>
      <c r="F2524" s="450"/>
      <c r="G2524" s="450" t="s">
        <v>22877</v>
      </c>
      <c r="H2524" s="450" t="s">
        <v>22878</v>
      </c>
      <c r="I2524" s="450" t="s">
        <v>24057</v>
      </c>
      <c r="J2524" s="450" t="s">
        <v>24058</v>
      </c>
      <c r="K2524" s="450"/>
    </row>
    <row r="2525" spans="1:11">
      <c r="A2525" s="451" t="s">
        <v>4812</v>
      </c>
      <c r="B2525" s="451"/>
      <c r="C2525" s="451" t="s">
        <v>4813</v>
      </c>
      <c r="D2525" s="451"/>
      <c r="E2525" s="451"/>
      <c r="F2525" s="451"/>
      <c r="G2525" s="451" t="s">
        <v>22882</v>
      </c>
      <c r="H2525" s="451" t="s">
        <v>22883</v>
      </c>
      <c r="I2525" s="451" t="s">
        <v>24059</v>
      </c>
      <c r="J2525" s="451" t="s">
        <v>23185</v>
      </c>
      <c r="K2525" s="451"/>
    </row>
    <row r="2526" spans="1:11">
      <c r="A2526" s="450" t="s">
        <v>19248</v>
      </c>
      <c r="B2526" s="450" t="s">
        <v>24060</v>
      </c>
      <c r="C2526" s="450" t="s">
        <v>3762</v>
      </c>
      <c r="D2526" s="450" t="s">
        <v>19227</v>
      </c>
      <c r="E2526" s="450"/>
      <c r="F2526" s="450" t="s">
        <v>19225</v>
      </c>
      <c r="G2526" s="450" t="s">
        <v>22877</v>
      </c>
      <c r="H2526" s="450" t="s">
        <v>22878</v>
      </c>
      <c r="I2526" s="450" t="s">
        <v>19227</v>
      </c>
      <c r="J2526" s="450" t="s">
        <v>24061</v>
      </c>
      <c r="K2526" s="450"/>
    </row>
    <row r="2527" spans="1:11">
      <c r="A2527" s="451" t="s">
        <v>19248</v>
      </c>
      <c r="B2527" s="451" t="s">
        <v>19226</v>
      </c>
      <c r="C2527" s="451" t="s">
        <v>3762</v>
      </c>
      <c r="D2527" s="451" t="s">
        <v>19227</v>
      </c>
      <c r="E2527" s="451" t="s">
        <v>19228</v>
      </c>
      <c r="F2527" s="451" t="s">
        <v>19225</v>
      </c>
      <c r="G2527" s="451" t="s">
        <v>22877</v>
      </c>
      <c r="H2527" s="451" t="s">
        <v>22878</v>
      </c>
      <c r="I2527" s="451" t="s">
        <v>30782</v>
      </c>
      <c r="J2527" s="451" t="s">
        <v>30783</v>
      </c>
      <c r="K2527" s="451"/>
    </row>
    <row r="2528" spans="1:11">
      <c r="A2528" s="450" t="s">
        <v>4814</v>
      </c>
      <c r="B2528" s="450"/>
      <c r="C2528" s="450" t="s">
        <v>4815</v>
      </c>
      <c r="D2528" s="450"/>
      <c r="E2528" s="450"/>
      <c r="F2528" s="450"/>
      <c r="G2528" s="450" t="s">
        <v>22877</v>
      </c>
      <c r="H2528" s="450" t="s">
        <v>22878</v>
      </c>
      <c r="I2528" s="450" t="s">
        <v>33961</v>
      </c>
      <c r="J2528" s="450" t="s">
        <v>22902</v>
      </c>
      <c r="K2528" s="450"/>
    </row>
    <row r="2529" spans="1:11">
      <c r="A2529" s="451" t="s">
        <v>4816</v>
      </c>
      <c r="B2529" s="451"/>
      <c r="C2529" s="451" t="s">
        <v>4817</v>
      </c>
      <c r="D2529" s="451"/>
      <c r="E2529" s="451"/>
      <c r="F2529" s="451"/>
      <c r="G2529" s="451" t="s">
        <v>22877</v>
      </c>
      <c r="H2529" s="451" t="s">
        <v>22878</v>
      </c>
      <c r="I2529" s="451" t="s">
        <v>33962</v>
      </c>
      <c r="J2529" s="451" t="s">
        <v>23185</v>
      </c>
      <c r="K2529" s="451"/>
    </row>
    <row r="2530" spans="1:11">
      <c r="A2530" s="450" t="s">
        <v>4818</v>
      </c>
      <c r="B2530" s="450"/>
      <c r="C2530" s="450" t="s">
        <v>4819</v>
      </c>
      <c r="D2530" s="450"/>
      <c r="E2530" s="450"/>
      <c r="F2530" s="450"/>
      <c r="G2530" s="450" t="s">
        <v>22877</v>
      </c>
      <c r="H2530" s="450" t="s">
        <v>22878</v>
      </c>
      <c r="I2530" s="450" t="s">
        <v>33963</v>
      </c>
      <c r="J2530" s="450" t="s">
        <v>23185</v>
      </c>
      <c r="K2530" s="450"/>
    </row>
    <row r="2531" spans="1:11">
      <c r="A2531" s="451" t="s">
        <v>4820</v>
      </c>
      <c r="B2531" s="451"/>
      <c r="C2531" s="451" t="s">
        <v>4821</v>
      </c>
      <c r="D2531" s="451"/>
      <c r="E2531" s="451"/>
      <c r="F2531" s="451"/>
      <c r="G2531" s="451" t="s">
        <v>22882</v>
      </c>
      <c r="H2531" s="451" t="s">
        <v>22883</v>
      </c>
      <c r="I2531" s="451"/>
      <c r="J2531" s="451" t="s">
        <v>22943</v>
      </c>
      <c r="K2531" s="451"/>
    </row>
    <row r="2532" spans="1:11">
      <c r="A2532" s="450" t="s">
        <v>4822</v>
      </c>
      <c r="B2532" s="450" t="s">
        <v>24062</v>
      </c>
      <c r="C2532" s="450" t="s">
        <v>4824</v>
      </c>
      <c r="D2532" s="450"/>
      <c r="E2532" s="450"/>
      <c r="F2532" s="450" t="s">
        <v>24063</v>
      </c>
      <c r="G2532" s="450" t="s">
        <v>22877</v>
      </c>
      <c r="H2532" s="450" t="s">
        <v>22878</v>
      </c>
      <c r="I2532" s="450" t="s">
        <v>24064</v>
      </c>
      <c r="J2532" s="450" t="s">
        <v>24065</v>
      </c>
      <c r="K2532" s="450"/>
    </row>
    <row r="2533" spans="1:11">
      <c r="A2533" s="451" t="s">
        <v>4822</v>
      </c>
      <c r="B2533" s="451" t="s">
        <v>4823</v>
      </c>
      <c r="C2533" s="451" t="s">
        <v>4824</v>
      </c>
      <c r="D2533" s="451"/>
      <c r="E2533" s="451"/>
      <c r="F2533" s="451" t="s">
        <v>4825</v>
      </c>
      <c r="G2533" s="451" t="s">
        <v>22877</v>
      </c>
      <c r="H2533" s="451" t="s">
        <v>22878</v>
      </c>
      <c r="I2533" s="451"/>
      <c r="J2533" s="451" t="s">
        <v>30784</v>
      </c>
      <c r="K2533" s="451"/>
    </row>
    <row r="2534" spans="1:11">
      <c r="A2534" s="450" t="s">
        <v>4826</v>
      </c>
      <c r="B2534" s="450" t="s">
        <v>4827</v>
      </c>
      <c r="C2534" s="450" t="s">
        <v>4828</v>
      </c>
      <c r="D2534" s="450" t="s">
        <v>4829</v>
      </c>
      <c r="E2534" s="450" t="s">
        <v>4830</v>
      </c>
      <c r="F2534" s="450"/>
      <c r="G2534" s="450" t="s">
        <v>22877</v>
      </c>
      <c r="H2534" s="450" t="s">
        <v>22878</v>
      </c>
      <c r="I2534" s="450" t="s">
        <v>4829</v>
      </c>
      <c r="J2534" s="450" t="s">
        <v>33964</v>
      </c>
      <c r="K2534" s="450"/>
    </row>
    <row r="2535" spans="1:11">
      <c r="A2535" s="451" t="s">
        <v>24066</v>
      </c>
      <c r="B2535" s="451" t="s">
        <v>4827</v>
      </c>
      <c r="C2535" s="451" t="s">
        <v>24067</v>
      </c>
      <c r="D2535" s="451" t="s">
        <v>4829</v>
      </c>
      <c r="E2535" s="451"/>
      <c r="F2535" s="451"/>
      <c r="G2535" s="451" t="s">
        <v>22877</v>
      </c>
      <c r="H2535" s="451" t="s">
        <v>22878</v>
      </c>
      <c r="I2535" s="451" t="s">
        <v>4829</v>
      </c>
      <c r="J2535" s="451" t="s">
        <v>24068</v>
      </c>
      <c r="K2535" s="451"/>
    </row>
    <row r="2536" spans="1:11">
      <c r="A2536" s="450" t="s">
        <v>33965</v>
      </c>
      <c r="B2536" s="450" t="s">
        <v>4831</v>
      </c>
      <c r="C2536" s="450" t="s">
        <v>33966</v>
      </c>
      <c r="D2536" s="450"/>
      <c r="E2536" s="450"/>
      <c r="F2536" s="450" t="s">
        <v>22120</v>
      </c>
      <c r="G2536" s="450" t="s">
        <v>22877</v>
      </c>
      <c r="H2536" s="450" t="s">
        <v>22878</v>
      </c>
      <c r="I2536" s="450" t="s">
        <v>33967</v>
      </c>
      <c r="J2536" s="450" t="s">
        <v>24069</v>
      </c>
      <c r="K2536" s="450"/>
    </row>
    <row r="2537" spans="1:11">
      <c r="A2537" s="451" t="s">
        <v>21553</v>
      </c>
      <c r="B2537" s="451" t="s">
        <v>4831</v>
      </c>
      <c r="C2537" s="451" t="s">
        <v>4832</v>
      </c>
      <c r="D2537" s="451"/>
      <c r="E2537" s="451"/>
      <c r="F2537" s="451" t="s">
        <v>22120</v>
      </c>
      <c r="G2537" s="451" t="s">
        <v>22877</v>
      </c>
      <c r="H2537" s="451" t="s">
        <v>22878</v>
      </c>
      <c r="I2537" s="451" t="s">
        <v>30785</v>
      </c>
      <c r="J2537" s="451" t="s">
        <v>24069</v>
      </c>
      <c r="K2537" s="451"/>
    </row>
    <row r="2538" spans="1:11">
      <c r="A2538" s="450" t="s">
        <v>4833</v>
      </c>
      <c r="B2538" s="450"/>
      <c r="C2538" s="450" t="s">
        <v>4834</v>
      </c>
      <c r="D2538" s="450"/>
      <c r="E2538" s="450"/>
      <c r="F2538" s="450"/>
      <c r="G2538" s="450" t="s">
        <v>22882</v>
      </c>
      <c r="H2538" s="450" t="s">
        <v>22883</v>
      </c>
      <c r="I2538" s="450" t="s">
        <v>24070</v>
      </c>
      <c r="J2538" s="450" t="s">
        <v>23185</v>
      </c>
      <c r="K2538" s="450"/>
    </row>
    <row r="2539" spans="1:11">
      <c r="A2539" s="451" t="s">
        <v>20255</v>
      </c>
      <c r="B2539" s="451" t="s">
        <v>20223</v>
      </c>
      <c r="C2539" s="451" t="s">
        <v>20224</v>
      </c>
      <c r="D2539" s="451" t="s">
        <v>20225</v>
      </c>
      <c r="E2539" s="451"/>
      <c r="F2539" s="451"/>
      <c r="G2539" s="451" t="s">
        <v>22877</v>
      </c>
      <c r="H2539" s="451" t="s">
        <v>22878</v>
      </c>
      <c r="I2539" s="451" t="s">
        <v>30786</v>
      </c>
      <c r="J2539" s="451" t="s">
        <v>30787</v>
      </c>
      <c r="K2539" s="451"/>
    </row>
    <row r="2540" spans="1:11">
      <c r="A2540" s="450" t="s">
        <v>20256</v>
      </c>
      <c r="B2540" s="450" t="s">
        <v>20226</v>
      </c>
      <c r="C2540" s="450" t="s">
        <v>20227</v>
      </c>
      <c r="D2540" s="450" t="s">
        <v>20228</v>
      </c>
      <c r="E2540" s="450"/>
      <c r="F2540" s="450"/>
      <c r="G2540" s="450" t="s">
        <v>22877</v>
      </c>
      <c r="H2540" s="450" t="s">
        <v>22878</v>
      </c>
      <c r="I2540" s="450" t="s">
        <v>20228</v>
      </c>
      <c r="J2540" s="450" t="s">
        <v>30788</v>
      </c>
      <c r="K2540" s="450"/>
    </row>
    <row r="2541" spans="1:11">
      <c r="A2541" s="451" t="s">
        <v>20257</v>
      </c>
      <c r="B2541" s="451" t="s">
        <v>20229</v>
      </c>
      <c r="C2541" s="451" t="s">
        <v>20230</v>
      </c>
      <c r="D2541" s="451" t="s">
        <v>20231</v>
      </c>
      <c r="E2541" s="451"/>
      <c r="F2541" s="451"/>
      <c r="G2541" s="451" t="s">
        <v>22882</v>
      </c>
      <c r="H2541" s="451" t="s">
        <v>22883</v>
      </c>
      <c r="I2541" s="451" t="s">
        <v>30789</v>
      </c>
      <c r="J2541" s="451" t="s">
        <v>30790</v>
      </c>
      <c r="K2541" s="451"/>
    </row>
    <row r="2542" spans="1:11">
      <c r="A2542" s="450" t="s">
        <v>20258</v>
      </c>
      <c r="B2542" s="450" t="s">
        <v>20232</v>
      </c>
      <c r="C2542" s="450" t="s">
        <v>4863</v>
      </c>
      <c r="D2542" s="450" t="s">
        <v>20233</v>
      </c>
      <c r="E2542" s="450"/>
      <c r="F2542" s="450"/>
      <c r="G2542" s="450" t="s">
        <v>22877</v>
      </c>
      <c r="H2542" s="450" t="s">
        <v>22878</v>
      </c>
      <c r="I2542" s="450" t="s">
        <v>20233</v>
      </c>
      <c r="J2542" s="450" t="s">
        <v>30791</v>
      </c>
      <c r="K2542" s="450"/>
    </row>
    <row r="2543" spans="1:11">
      <c r="A2543" s="451" t="s">
        <v>21017</v>
      </c>
      <c r="B2543" s="451" t="s">
        <v>21019</v>
      </c>
      <c r="C2543" s="451" t="s">
        <v>21018</v>
      </c>
      <c r="D2543" s="451" t="s">
        <v>21020</v>
      </c>
      <c r="E2543" s="451"/>
      <c r="F2543" s="451"/>
      <c r="G2543" s="451" t="s">
        <v>22877</v>
      </c>
      <c r="H2543" s="451" t="s">
        <v>22878</v>
      </c>
      <c r="I2543" s="451" t="s">
        <v>21020</v>
      </c>
      <c r="J2543" s="451" t="s">
        <v>30792</v>
      </c>
      <c r="K2543" s="451"/>
    </row>
    <row r="2544" spans="1:11">
      <c r="A2544" s="450" t="s">
        <v>20477</v>
      </c>
      <c r="B2544" s="450" t="s">
        <v>20476</v>
      </c>
      <c r="C2544" s="450" t="s">
        <v>20475</v>
      </c>
      <c r="D2544" s="450" t="s">
        <v>20478</v>
      </c>
      <c r="E2544" s="450"/>
      <c r="F2544" s="450"/>
      <c r="G2544" s="450" t="s">
        <v>22877</v>
      </c>
      <c r="H2544" s="450" t="s">
        <v>22878</v>
      </c>
      <c r="I2544" s="450" t="s">
        <v>20478</v>
      </c>
      <c r="J2544" s="450" t="s">
        <v>30793</v>
      </c>
      <c r="K2544" s="450"/>
    </row>
    <row r="2545" spans="1:11">
      <c r="A2545" s="451" t="s">
        <v>20259</v>
      </c>
      <c r="B2545" s="451" t="s">
        <v>20234</v>
      </c>
      <c r="C2545" s="451" t="s">
        <v>20235</v>
      </c>
      <c r="D2545" s="451" t="s">
        <v>20236</v>
      </c>
      <c r="E2545" s="451"/>
      <c r="F2545" s="451"/>
      <c r="G2545" s="451" t="s">
        <v>22882</v>
      </c>
      <c r="H2545" s="451" t="s">
        <v>22883</v>
      </c>
      <c r="I2545" s="451" t="s">
        <v>20236</v>
      </c>
      <c r="J2545" s="451" t="s">
        <v>30794</v>
      </c>
      <c r="K2545" s="451"/>
    </row>
    <row r="2546" spans="1:11">
      <c r="A2546" s="450" t="s">
        <v>20260</v>
      </c>
      <c r="B2546" s="450" t="s">
        <v>20237</v>
      </c>
      <c r="C2546" s="450" t="s">
        <v>20238</v>
      </c>
      <c r="D2546" s="450" t="s">
        <v>20239</v>
      </c>
      <c r="E2546" s="450"/>
      <c r="F2546" s="450"/>
      <c r="G2546" s="450" t="s">
        <v>22877</v>
      </c>
      <c r="H2546" s="450" t="s">
        <v>22878</v>
      </c>
      <c r="I2546" s="450" t="s">
        <v>20239</v>
      </c>
      <c r="J2546" s="450" t="s">
        <v>30795</v>
      </c>
      <c r="K2546" s="450"/>
    </row>
    <row r="2547" spans="1:11">
      <c r="A2547" s="451" t="s">
        <v>20261</v>
      </c>
      <c r="B2547" s="451" t="s">
        <v>20240</v>
      </c>
      <c r="C2547" s="451" t="s">
        <v>20241</v>
      </c>
      <c r="D2547" s="451" t="s">
        <v>20242</v>
      </c>
      <c r="E2547" s="451"/>
      <c r="F2547" s="451"/>
      <c r="G2547" s="451" t="s">
        <v>22877</v>
      </c>
      <c r="H2547" s="451" t="s">
        <v>22878</v>
      </c>
      <c r="I2547" s="451"/>
      <c r="J2547" s="451" t="s">
        <v>30796</v>
      </c>
      <c r="K2547" s="451"/>
    </row>
    <row r="2548" spans="1:11">
      <c r="A2548" s="450" t="s">
        <v>20262</v>
      </c>
      <c r="B2548" s="450" t="s">
        <v>20243</v>
      </c>
      <c r="C2548" s="450" t="s">
        <v>20244</v>
      </c>
      <c r="D2548" s="450" t="s">
        <v>20245</v>
      </c>
      <c r="E2548" s="450"/>
      <c r="F2548" s="450"/>
      <c r="G2548" s="450" t="s">
        <v>22877</v>
      </c>
      <c r="H2548" s="450" t="s">
        <v>22878</v>
      </c>
      <c r="I2548" s="450" t="s">
        <v>20245</v>
      </c>
      <c r="J2548" s="450" t="s">
        <v>30797</v>
      </c>
      <c r="K2548" s="450"/>
    </row>
    <row r="2549" spans="1:11">
      <c r="A2549" s="451" t="s">
        <v>20263</v>
      </c>
      <c r="B2549" s="451" t="s">
        <v>20246</v>
      </c>
      <c r="C2549" s="451" t="s">
        <v>20247</v>
      </c>
      <c r="D2549" s="451" t="s">
        <v>20248</v>
      </c>
      <c r="E2549" s="451"/>
      <c r="F2549" s="451"/>
      <c r="G2549" s="451" t="s">
        <v>22877</v>
      </c>
      <c r="H2549" s="451" t="s">
        <v>22878</v>
      </c>
      <c r="I2549" s="451" t="s">
        <v>20248</v>
      </c>
      <c r="J2549" s="451" t="s">
        <v>30798</v>
      </c>
      <c r="K2549" s="451"/>
    </row>
    <row r="2550" spans="1:11">
      <c r="A2550" s="450" t="s">
        <v>20264</v>
      </c>
      <c r="B2550" s="450" t="s">
        <v>20249</v>
      </c>
      <c r="C2550" s="450" t="s">
        <v>20250</v>
      </c>
      <c r="D2550" s="450" t="s">
        <v>20251</v>
      </c>
      <c r="E2550" s="450"/>
      <c r="F2550" s="450"/>
      <c r="G2550" s="450" t="s">
        <v>22877</v>
      </c>
      <c r="H2550" s="450" t="s">
        <v>22878</v>
      </c>
      <c r="I2550" s="450" t="s">
        <v>30799</v>
      </c>
      <c r="J2550" s="450" t="s">
        <v>30800</v>
      </c>
      <c r="K2550" s="450"/>
    </row>
    <row r="2551" spans="1:11">
      <c r="A2551" s="451" t="s">
        <v>20265</v>
      </c>
      <c r="B2551" s="451" t="s">
        <v>20252</v>
      </c>
      <c r="C2551" s="451" t="s">
        <v>20253</v>
      </c>
      <c r="D2551" s="451" t="s">
        <v>20254</v>
      </c>
      <c r="E2551" s="451"/>
      <c r="F2551" s="451"/>
      <c r="G2551" s="451" t="s">
        <v>22877</v>
      </c>
      <c r="H2551" s="451" t="s">
        <v>22878</v>
      </c>
      <c r="I2551" s="451" t="s">
        <v>20254</v>
      </c>
      <c r="J2551" s="451" t="s">
        <v>30801</v>
      </c>
      <c r="K2551" s="451"/>
    </row>
    <row r="2552" spans="1:11">
      <c r="A2552" s="450" t="s">
        <v>4835</v>
      </c>
      <c r="B2552" s="450" t="s">
        <v>4836</v>
      </c>
      <c r="C2552" s="450" t="s">
        <v>4837</v>
      </c>
      <c r="D2552" s="450"/>
      <c r="E2552" s="450"/>
      <c r="F2552" s="450"/>
      <c r="G2552" s="450" t="s">
        <v>22877</v>
      </c>
      <c r="H2552" s="450" t="s">
        <v>22878</v>
      </c>
      <c r="I2552" s="450" t="s">
        <v>20248</v>
      </c>
      <c r="J2552" s="450" t="s">
        <v>30802</v>
      </c>
      <c r="K2552" s="450"/>
    </row>
    <row r="2553" spans="1:11">
      <c r="A2553" s="451" t="s">
        <v>24071</v>
      </c>
      <c r="B2553" s="451" t="s">
        <v>24072</v>
      </c>
      <c r="C2553" s="451" t="s">
        <v>24073</v>
      </c>
      <c r="D2553" s="451">
        <v>4183384682</v>
      </c>
      <c r="E2553" s="451"/>
      <c r="F2553" s="451"/>
      <c r="G2553" s="451" t="s">
        <v>22877</v>
      </c>
      <c r="H2553" s="451" t="s">
        <v>22878</v>
      </c>
      <c r="I2553" s="451" t="s">
        <v>24074</v>
      </c>
      <c r="J2553" s="451" t="s">
        <v>24075</v>
      </c>
      <c r="K2553" s="451"/>
    </row>
    <row r="2554" spans="1:11">
      <c r="A2554" s="450" t="s">
        <v>21010</v>
      </c>
      <c r="B2554" s="450" t="s">
        <v>21011</v>
      </c>
      <c r="C2554" s="450" t="s">
        <v>21012</v>
      </c>
      <c r="D2554" s="450" t="s">
        <v>20970</v>
      </c>
      <c r="E2554" s="450"/>
      <c r="F2554" s="450"/>
      <c r="G2554" s="450" t="s">
        <v>22877</v>
      </c>
      <c r="H2554" s="450" t="s">
        <v>22878</v>
      </c>
      <c r="I2554" s="450" t="s">
        <v>30803</v>
      </c>
      <c r="J2554" s="450" t="s">
        <v>30804</v>
      </c>
      <c r="K2554" s="450"/>
    </row>
    <row r="2555" spans="1:11">
      <c r="A2555" s="451" t="s">
        <v>33968</v>
      </c>
      <c r="B2555" s="451" t="s">
        <v>4838</v>
      </c>
      <c r="C2555" s="451" t="s">
        <v>4839</v>
      </c>
      <c r="D2555" s="451" t="s">
        <v>4840</v>
      </c>
      <c r="E2555" s="451"/>
      <c r="F2555" s="451"/>
      <c r="G2555" s="451" t="s">
        <v>22877</v>
      </c>
      <c r="H2555" s="451" t="s">
        <v>22878</v>
      </c>
      <c r="I2555" s="451" t="s">
        <v>4840</v>
      </c>
      <c r="J2555" s="451" t="s">
        <v>33969</v>
      </c>
      <c r="K2555" s="451"/>
    </row>
    <row r="2556" spans="1:11">
      <c r="A2556" s="450" t="s">
        <v>21554</v>
      </c>
      <c r="B2556" s="450" t="s">
        <v>4838</v>
      </c>
      <c r="C2556" s="450" t="s">
        <v>4839</v>
      </c>
      <c r="D2556" s="450" t="s">
        <v>4840</v>
      </c>
      <c r="E2556" s="450" t="s">
        <v>4841</v>
      </c>
      <c r="F2556" s="450"/>
      <c r="G2556" s="450" t="s">
        <v>22877</v>
      </c>
      <c r="H2556" s="450" t="s">
        <v>22878</v>
      </c>
      <c r="I2556" s="450"/>
      <c r="J2556" s="450" t="s">
        <v>30805</v>
      </c>
      <c r="K2556" s="450"/>
    </row>
    <row r="2557" spans="1:11">
      <c r="A2557" s="451" t="s">
        <v>4842</v>
      </c>
      <c r="B2557" s="451"/>
      <c r="C2557" s="451" t="s">
        <v>4843</v>
      </c>
      <c r="D2557" s="451"/>
      <c r="E2557" s="451"/>
      <c r="F2557" s="451"/>
      <c r="G2557" s="451" t="s">
        <v>22882</v>
      </c>
      <c r="H2557" s="451" t="s">
        <v>22883</v>
      </c>
      <c r="I2557" s="451" t="s">
        <v>33970</v>
      </c>
      <c r="J2557" s="451" t="s">
        <v>22997</v>
      </c>
      <c r="K2557" s="451"/>
    </row>
    <row r="2558" spans="1:11">
      <c r="A2558" s="450" t="s">
        <v>4844</v>
      </c>
      <c r="B2558" s="450"/>
      <c r="C2558" s="450" t="s">
        <v>4845</v>
      </c>
      <c r="D2558" s="450"/>
      <c r="E2558" s="450"/>
      <c r="F2558" s="450"/>
      <c r="G2558" s="450" t="s">
        <v>22877</v>
      </c>
      <c r="H2558" s="450" t="s">
        <v>22878</v>
      </c>
      <c r="I2558" s="450" t="s">
        <v>33971</v>
      </c>
      <c r="J2558" s="450" t="s">
        <v>22997</v>
      </c>
      <c r="K2558" s="450"/>
    </row>
    <row r="2559" spans="1:11">
      <c r="A2559" s="451" t="s">
        <v>4846</v>
      </c>
      <c r="B2559" s="451"/>
      <c r="C2559" s="451" t="s">
        <v>2650</v>
      </c>
      <c r="D2559" s="451"/>
      <c r="E2559" s="451"/>
      <c r="F2559" s="451"/>
      <c r="G2559" s="451" t="s">
        <v>22882</v>
      </c>
      <c r="H2559" s="451" t="s">
        <v>22883</v>
      </c>
      <c r="I2559" s="451" t="s">
        <v>33972</v>
      </c>
      <c r="J2559" s="451" t="s">
        <v>23185</v>
      </c>
      <c r="K2559" s="451"/>
    </row>
    <row r="2560" spans="1:11">
      <c r="A2560" s="450" t="s">
        <v>4847</v>
      </c>
      <c r="B2560" s="450"/>
      <c r="C2560" s="450" t="s">
        <v>4848</v>
      </c>
      <c r="D2560" s="450"/>
      <c r="E2560" s="450"/>
      <c r="F2560" s="450"/>
      <c r="G2560" s="450" t="s">
        <v>22882</v>
      </c>
      <c r="H2560" s="450" t="s">
        <v>22883</v>
      </c>
      <c r="I2560" s="450" t="s">
        <v>33973</v>
      </c>
      <c r="J2560" s="450" t="s">
        <v>22997</v>
      </c>
      <c r="K2560" s="450"/>
    </row>
    <row r="2561" spans="1:11">
      <c r="A2561" s="451" t="s">
        <v>24076</v>
      </c>
      <c r="B2561" s="451"/>
      <c r="C2561" s="451"/>
      <c r="D2561" s="451" t="s">
        <v>4850</v>
      </c>
      <c r="E2561" s="451"/>
      <c r="F2561" s="451"/>
      <c r="G2561" s="451" t="s">
        <v>22882</v>
      </c>
      <c r="H2561" s="451" t="s">
        <v>22883</v>
      </c>
      <c r="I2561" s="451" t="s">
        <v>24077</v>
      </c>
      <c r="J2561" s="451" t="s">
        <v>24078</v>
      </c>
      <c r="K2561" s="451"/>
    </row>
    <row r="2562" spans="1:11">
      <c r="A2562" s="450" t="s">
        <v>24079</v>
      </c>
      <c r="B2562" s="450" t="s">
        <v>4853</v>
      </c>
      <c r="C2562" s="450" t="s">
        <v>4854</v>
      </c>
      <c r="D2562" s="450" t="s">
        <v>4855</v>
      </c>
      <c r="E2562" s="450"/>
      <c r="F2562" s="450"/>
      <c r="G2562" s="450" t="s">
        <v>22882</v>
      </c>
      <c r="H2562" s="450" t="s">
        <v>22883</v>
      </c>
      <c r="I2562" s="450" t="s">
        <v>24080</v>
      </c>
      <c r="J2562" s="450" t="s">
        <v>24081</v>
      </c>
      <c r="K2562" s="450"/>
    </row>
    <row r="2563" spans="1:11">
      <c r="A2563" s="451" t="s">
        <v>4849</v>
      </c>
      <c r="B2563" s="451"/>
      <c r="C2563" s="451"/>
      <c r="D2563" s="451" t="s">
        <v>4850</v>
      </c>
      <c r="E2563" s="451" t="s">
        <v>4851</v>
      </c>
      <c r="F2563" s="451"/>
      <c r="G2563" s="451" t="s">
        <v>22882</v>
      </c>
      <c r="H2563" s="451" t="s">
        <v>22883</v>
      </c>
      <c r="I2563" s="451" t="s">
        <v>4850</v>
      </c>
      <c r="J2563" s="451" t="s">
        <v>30806</v>
      </c>
      <c r="K2563" s="451"/>
    </row>
    <row r="2564" spans="1:11">
      <c r="A2564" s="450" t="s">
        <v>20534</v>
      </c>
      <c r="B2564" s="450" t="s">
        <v>33974</v>
      </c>
      <c r="C2564" s="450" t="s">
        <v>33975</v>
      </c>
      <c r="D2564" s="450"/>
      <c r="E2564" s="450"/>
      <c r="F2564" s="450"/>
      <c r="G2564" s="450" t="s">
        <v>22877</v>
      </c>
      <c r="H2564" s="450" t="s">
        <v>22878</v>
      </c>
      <c r="I2564" s="450" t="s">
        <v>20537</v>
      </c>
      <c r="J2564" s="450" t="s">
        <v>33976</v>
      </c>
      <c r="K2564" s="450"/>
    </row>
    <row r="2565" spans="1:11">
      <c r="A2565" s="451" t="s">
        <v>20534</v>
      </c>
      <c r="B2565" s="451" t="s">
        <v>20535</v>
      </c>
      <c r="C2565" s="451" t="s">
        <v>20536</v>
      </c>
      <c r="D2565" s="451" t="s">
        <v>20537</v>
      </c>
      <c r="E2565" s="451"/>
      <c r="F2565" s="451"/>
      <c r="G2565" s="451" t="s">
        <v>22877</v>
      </c>
      <c r="H2565" s="451" t="s">
        <v>22878</v>
      </c>
      <c r="I2565" s="451" t="s">
        <v>20537</v>
      </c>
      <c r="J2565" s="451" t="s">
        <v>30807</v>
      </c>
      <c r="K2565" s="451"/>
    </row>
    <row r="2566" spans="1:11">
      <c r="A2566" s="450" t="s">
        <v>4852</v>
      </c>
      <c r="B2566" s="450" t="s">
        <v>4853</v>
      </c>
      <c r="C2566" s="450" t="s">
        <v>4854</v>
      </c>
      <c r="D2566" s="450" t="s">
        <v>4855</v>
      </c>
      <c r="E2566" s="450" t="s">
        <v>4856</v>
      </c>
      <c r="F2566" s="450"/>
      <c r="G2566" s="450" t="s">
        <v>22877</v>
      </c>
      <c r="H2566" s="450" t="s">
        <v>22878</v>
      </c>
      <c r="I2566" s="450"/>
      <c r="J2566" s="450" t="s">
        <v>33977</v>
      </c>
      <c r="K2566" s="450"/>
    </row>
    <row r="2567" spans="1:11">
      <c r="A2567" s="451" t="s">
        <v>4857</v>
      </c>
      <c r="B2567" s="451"/>
      <c r="C2567" s="451" t="s">
        <v>4858</v>
      </c>
      <c r="D2567" s="451"/>
      <c r="E2567" s="451"/>
      <c r="F2567" s="451"/>
      <c r="G2567" s="451" t="s">
        <v>22882</v>
      </c>
      <c r="H2567" s="451" t="s">
        <v>22883</v>
      </c>
      <c r="I2567" s="451"/>
      <c r="J2567" s="451" t="s">
        <v>23185</v>
      </c>
      <c r="K2567" s="451"/>
    </row>
    <row r="2568" spans="1:11">
      <c r="A2568" s="450" t="s">
        <v>24082</v>
      </c>
      <c r="B2568" s="450" t="s">
        <v>24083</v>
      </c>
      <c r="C2568" s="450" t="s">
        <v>24084</v>
      </c>
      <c r="D2568" s="450"/>
      <c r="E2568" s="450"/>
      <c r="F2568" s="450"/>
      <c r="G2568" s="450" t="s">
        <v>22877</v>
      </c>
      <c r="H2568" s="450" t="s">
        <v>22878</v>
      </c>
      <c r="I2568" s="450" t="s">
        <v>24085</v>
      </c>
      <c r="J2568" s="450" t="s">
        <v>24086</v>
      </c>
      <c r="K2568" s="450"/>
    </row>
    <row r="2569" spans="1:11">
      <c r="A2569" s="451" t="s">
        <v>33978</v>
      </c>
      <c r="B2569" s="451"/>
      <c r="C2569" s="451" t="s">
        <v>3426</v>
      </c>
      <c r="D2569" s="451"/>
      <c r="E2569" s="451"/>
      <c r="F2569" s="451"/>
      <c r="G2569" s="451" t="s">
        <v>22882</v>
      </c>
      <c r="H2569" s="451" t="s">
        <v>22883</v>
      </c>
      <c r="I2569" s="451" t="s">
        <v>33979</v>
      </c>
      <c r="J2569" s="451" t="s">
        <v>23185</v>
      </c>
      <c r="K2569" s="451"/>
    </row>
    <row r="2570" spans="1:11">
      <c r="A2570" s="450" t="s">
        <v>4859</v>
      </c>
      <c r="B2570" s="450"/>
      <c r="C2570" s="450" t="s">
        <v>4860</v>
      </c>
      <c r="D2570" s="450"/>
      <c r="E2570" s="450"/>
      <c r="F2570" s="450"/>
      <c r="G2570" s="450" t="s">
        <v>22877</v>
      </c>
      <c r="H2570" s="450" t="s">
        <v>22878</v>
      </c>
      <c r="I2570" s="450" t="s">
        <v>30808</v>
      </c>
      <c r="J2570" s="450" t="s">
        <v>23185</v>
      </c>
      <c r="K2570" s="450"/>
    </row>
    <row r="2571" spans="1:11">
      <c r="A2571" s="451" t="s">
        <v>4861</v>
      </c>
      <c r="B2571" s="451" t="s">
        <v>4862</v>
      </c>
      <c r="C2571" s="451" t="s">
        <v>4863</v>
      </c>
      <c r="D2571" s="451" t="s">
        <v>4864</v>
      </c>
      <c r="E2571" s="451"/>
      <c r="F2571" s="451" t="s">
        <v>4865</v>
      </c>
      <c r="G2571" s="451" t="s">
        <v>22877</v>
      </c>
      <c r="H2571" s="451" t="s">
        <v>22878</v>
      </c>
      <c r="I2571" s="451"/>
      <c r="J2571" s="451" t="s">
        <v>30809</v>
      </c>
      <c r="K2571" s="451"/>
    </row>
    <row r="2572" spans="1:11">
      <c r="A2572" s="450" t="s">
        <v>4866</v>
      </c>
      <c r="B2572" s="450"/>
      <c r="C2572" s="450" t="s">
        <v>4867</v>
      </c>
      <c r="D2572" s="450"/>
      <c r="E2572" s="450"/>
      <c r="F2572" s="450"/>
      <c r="G2572" s="450" t="s">
        <v>22877</v>
      </c>
      <c r="H2572" s="450" t="s">
        <v>22878</v>
      </c>
      <c r="I2572" s="450" t="s">
        <v>24087</v>
      </c>
      <c r="J2572" s="450" t="s">
        <v>23185</v>
      </c>
      <c r="K2572" s="450"/>
    </row>
    <row r="2573" spans="1:11">
      <c r="A2573" s="451" t="s">
        <v>24088</v>
      </c>
      <c r="B2573" s="451" t="s">
        <v>22424</v>
      </c>
      <c r="C2573" s="451" t="s">
        <v>24089</v>
      </c>
      <c r="D2573" s="451"/>
      <c r="E2573" s="451"/>
      <c r="F2573" s="451"/>
      <c r="G2573" s="451" t="s">
        <v>22882</v>
      </c>
      <c r="H2573" s="451" t="s">
        <v>22883</v>
      </c>
      <c r="I2573" s="451" t="s">
        <v>24090</v>
      </c>
      <c r="J2573" s="451" t="s">
        <v>24091</v>
      </c>
      <c r="K2573" s="451"/>
    </row>
    <row r="2574" spans="1:11">
      <c r="A2574" s="450" t="s">
        <v>30810</v>
      </c>
      <c r="B2574" s="450" t="s">
        <v>24092</v>
      </c>
      <c r="C2574" s="450" t="s">
        <v>24093</v>
      </c>
      <c r="D2574" s="450"/>
      <c r="E2574" s="450"/>
      <c r="F2574" s="450"/>
      <c r="G2574" s="450" t="s">
        <v>22877</v>
      </c>
      <c r="H2574" s="450" t="s">
        <v>22878</v>
      </c>
      <c r="I2574" s="450" t="s">
        <v>24094</v>
      </c>
      <c r="J2574" s="450" t="s">
        <v>24095</v>
      </c>
      <c r="K2574" s="450"/>
    </row>
    <row r="2575" spans="1:11">
      <c r="A2575" s="451" t="s">
        <v>4868</v>
      </c>
      <c r="B2575" s="451"/>
      <c r="C2575" s="451" t="s">
        <v>3201</v>
      </c>
      <c r="D2575" s="451"/>
      <c r="E2575" s="451"/>
      <c r="F2575" s="451"/>
      <c r="G2575" s="451" t="s">
        <v>22882</v>
      </c>
      <c r="H2575" s="451" t="s">
        <v>22883</v>
      </c>
      <c r="I2575" s="451"/>
      <c r="J2575" s="451" t="s">
        <v>22939</v>
      </c>
      <c r="K2575" s="451"/>
    </row>
    <row r="2576" spans="1:11">
      <c r="A2576" s="450" t="s">
        <v>4877</v>
      </c>
      <c r="B2576" s="450"/>
      <c r="C2576" s="450" t="s">
        <v>4878</v>
      </c>
      <c r="D2576" s="450"/>
      <c r="E2576" s="450"/>
      <c r="F2576" s="450"/>
      <c r="G2576" s="450" t="s">
        <v>22877</v>
      </c>
      <c r="H2576" s="450" t="s">
        <v>22878</v>
      </c>
      <c r="I2576" s="450" t="s">
        <v>33980</v>
      </c>
      <c r="J2576" s="450" t="s">
        <v>23185</v>
      </c>
      <c r="K2576" s="450"/>
    </row>
    <row r="2577" spans="1:11">
      <c r="A2577" s="451" t="s">
        <v>33981</v>
      </c>
      <c r="B2577" s="451"/>
      <c r="C2577" s="451" t="s">
        <v>4880</v>
      </c>
      <c r="D2577" s="451"/>
      <c r="E2577" s="451"/>
      <c r="F2577" s="451"/>
      <c r="G2577" s="451" t="s">
        <v>22882</v>
      </c>
      <c r="H2577" s="451" t="s">
        <v>22883</v>
      </c>
      <c r="I2577" s="451" t="s">
        <v>33982</v>
      </c>
      <c r="J2577" s="451" t="s">
        <v>22997</v>
      </c>
      <c r="K2577" s="451"/>
    </row>
    <row r="2578" spans="1:11">
      <c r="A2578" s="450" t="s">
        <v>4879</v>
      </c>
      <c r="B2578" s="450"/>
      <c r="C2578" s="450" t="s">
        <v>4880</v>
      </c>
      <c r="D2578" s="450"/>
      <c r="E2578" s="450"/>
      <c r="F2578" s="450"/>
      <c r="G2578" s="450" t="s">
        <v>22877</v>
      </c>
      <c r="H2578" s="450" t="s">
        <v>22878</v>
      </c>
      <c r="I2578" s="450"/>
      <c r="J2578" s="450" t="s">
        <v>23185</v>
      </c>
      <c r="K2578" s="450"/>
    </row>
    <row r="2579" spans="1:11">
      <c r="A2579" s="451" t="s">
        <v>4881</v>
      </c>
      <c r="B2579" s="451" t="s">
        <v>4882</v>
      </c>
      <c r="C2579" s="451" t="s">
        <v>4883</v>
      </c>
      <c r="D2579" s="451" t="s">
        <v>4884</v>
      </c>
      <c r="E2579" s="451"/>
      <c r="F2579" s="451"/>
      <c r="G2579" s="451" t="s">
        <v>22882</v>
      </c>
      <c r="H2579" s="451" t="s">
        <v>22883</v>
      </c>
      <c r="I2579" s="451" t="s">
        <v>4884</v>
      </c>
      <c r="J2579" s="451" t="s">
        <v>33983</v>
      </c>
      <c r="K2579" s="451"/>
    </row>
    <row r="2580" spans="1:11">
      <c r="A2580" s="450" t="s">
        <v>24096</v>
      </c>
      <c r="B2580" s="450" t="s">
        <v>4882</v>
      </c>
      <c r="C2580" s="450" t="s">
        <v>4883</v>
      </c>
      <c r="D2580" s="450" t="s">
        <v>4884</v>
      </c>
      <c r="E2580" s="450"/>
      <c r="F2580" s="450"/>
      <c r="G2580" s="450" t="s">
        <v>22882</v>
      </c>
      <c r="H2580" s="450" t="s">
        <v>22883</v>
      </c>
      <c r="I2580" s="450" t="s">
        <v>4884</v>
      </c>
      <c r="J2580" s="450" t="s">
        <v>24097</v>
      </c>
      <c r="K2580" s="450"/>
    </row>
    <row r="2581" spans="1:11">
      <c r="A2581" s="451" t="s">
        <v>33984</v>
      </c>
      <c r="B2581" s="451" t="s">
        <v>4886</v>
      </c>
      <c r="C2581" s="451" t="s">
        <v>4887</v>
      </c>
      <c r="D2581" s="451" t="s">
        <v>4888</v>
      </c>
      <c r="E2581" s="451"/>
      <c r="F2581" s="451"/>
      <c r="G2581" s="451" t="s">
        <v>22877</v>
      </c>
      <c r="H2581" s="451" t="s">
        <v>22878</v>
      </c>
      <c r="I2581" s="451" t="s">
        <v>4888</v>
      </c>
      <c r="J2581" s="451" t="s">
        <v>33985</v>
      </c>
      <c r="K2581" s="451"/>
    </row>
    <row r="2582" spans="1:11">
      <c r="A2582" s="450" t="s">
        <v>4885</v>
      </c>
      <c r="B2582" s="450" t="s">
        <v>4886</v>
      </c>
      <c r="C2582" s="450" t="s">
        <v>4887</v>
      </c>
      <c r="D2582" s="450" t="s">
        <v>4888</v>
      </c>
      <c r="E2582" s="450" t="s">
        <v>4889</v>
      </c>
      <c r="F2582" s="450"/>
      <c r="G2582" s="450" t="s">
        <v>22877</v>
      </c>
      <c r="H2582" s="450" t="s">
        <v>22878</v>
      </c>
      <c r="I2582" s="450" t="s">
        <v>27530</v>
      </c>
      <c r="J2582" s="450" t="s">
        <v>30811</v>
      </c>
      <c r="K2582" s="450"/>
    </row>
    <row r="2583" spans="1:11">
      <c r="A2583" s="451" t="s">
        <v>4890</v>
      </c>
      <c r="B2583" s="451"/>
      <c r="C2583" s="451" t="s">
        <v>4891</v>
      </c>
      <c r="D2583" s="451"/>
      <c r="E2583" s="451"/>
      <c r="F2583" s="451" t="s">
        <v>24098</v>
      </c>
      <c r="G2583" s="451" t="s">
        <v>22877</v>
      </c>
      <c r="H2583" s="451" t="s">
        <v>22878</v>
      </c>
      <c r="I2583" s="451" t="s">
        <v>33986</v>
      </c>
      <c r="J2583" s="451" t="s">
        <v>22943</v>
      </c>
      <c r="K2583" s="451"/>
    </row>
    <row r="2584" spans="1:11">
      <c r="A2584" s="450" t="s">
        <v>4890</v>
      </c>
      <c r="B2584" s="450"/>
      <c r="C2584" s="450" t="s">
        <v>4891</v>
      </c>
      <c r="D2584" s="450"/>
      <c r="E2584" s="450"/>
      <c r="F2584" s="450"/>
      <c r="G2584" s="450" t="s">
        <v>22877</v>
      </c>
      <c r="H2584" s="450" t="s">
        <v>22878</v>
      </c>
      <c r="I2584" s="450" t="s">
        <v>33987</v>
      </c>
      <c r="J2584" s="450" t="s">
        <v>23492</v>
      </c>
      <c r="K2584" s="450"/>
    </row>
    <row r="2585" spans="1:11">
      <c r="A2585" s="451" t="s">
        <v>21555</v>
      </c>
      <c r="B2585" s="451"/>
      <c r="C2585" s="451" t="s">
        <v>2168</v>
      </c>
      <c r="D2585" s="451" t="s">
        <v>4869</v>
      </c>
      <c r="E2585" s="451"/>
      <c r="F2585" s="451"/>
      <c r="G2585" s="451" t="s">
        <v>30812</v>
      </c>
      <c r="H2585" s="451" t="s">
        <v>22878</v>
      </c>
      <c r="I2585" s="451" t="s">
        <v>4869</v>
      </c>
      <c r="J2585" s="451"/>
      <c r="K2585" s="451"/>
    </row>
    <row r="2586" spans="1:11">
      <c r="A2586" s="450" t="s">
        <v>33988</v>
      </c>
      <c r="B2586" s="450" t="s">
        <v>4875</v>
      </c>
      <c r="C2586" s="450" t="s">
        <v>4876</v>
      </c>
      <c r="D2586" s="450"/>
      <c r="E2586" s="450"/>
      <c r="F2586" s="450"/>
      <c r="G2586" s="450" t="s">
        <v>22882</v>
      </c>
      <c r="H2586" s="450" t="s">
        <v>22883</v>
      </c>
      <c r="I2586" s="450"/>
      <c r="J2586" s="450" t="s">
        <v>33989</v>
      </c>
      <c r="K2586" s="450"/>
    </row>
    <row r="2587" spans="1:11">
      <c r="A2587" s="451" t="s">
        <v>21556</v>
      </c>
      <c r="B2587" s="451" t="s">
        <v>4870</v>
      </c>
      <c r="C2587" s="451" t="s">
        <v>1334</v>
      </c>
      <c r="D2587" s="451" t="s">
        <v>4871</v>
      </c>
      <c r="E2587" s="451" t="s">
        <v>4872</v>
      </c>
      <c r="F2587" s="451"/>
      <c r="G2587" s="451" t="s">
        <v>22877</v>
      </c>
      <c r="H2587" s="451" t="s">
        <v>22878</v>
      </c>
      <c r="I2587" s="451"/>
      <c r="J2587" s="451" t="s">
        <v>33990</v>
      </c>
      <c r="K2587" s="451"/>
    </row>
    <row r="2588" spans="1:11">
      <c r="A2588" s="450" t="s">
        <v>21557</v>
      </c>
      <c r="B2588" s="450" t="s">
        <v>4873</v>
      </c>
      <c r="C2588" s="450" t="s">
        <v>4874</v>
      </c>
      <c r="D2588" s="450" t="s">
        <v>4869</v>
      </c>
      <c r="E2588" s="450" t="s">
        <v>4872</v>
      </c>
      <c r="F2588" s="450"/>
      <c r="G2588" s="450" t="s">
        <v>22882</v>
      </c>
      <c r="H2588" s="450" t="s">
        <v>22883</v>
      </c>
      <c r="I2588" s="450"/>
      <c r="J2588" s="450" t="s">
        <v>33991</v>
      </c>
      <c r="K2588" s="450"/>
    </row>
    <row r="2589" spans="1:11">
      <c r="A2589" s="451" t="s">
        <v>21558</v>
      </c>
      <c r="B2589" s="451"/>
      <c r="C2589" s="451" t="s">
        <v>4462</v>
      </c>
      <c r="D2589" s="451"/>
      <c r="E2589" s="451"/>
      <c r="F2589" s="451"/>
      <c r="G2589" s="451" t="s">
        <v>22882</v>
      </c>
      <c r="H2589" s="451" t="s">
        <v>22883</v>
      </c>
      <c r="I2589" s="451"/>
      <c r="J2589" s="451" t="s">
        <v>23185</v>
      </c>
      <c r="K2589" s="451"/>
    </row>
    <row r="2590" spans="1:11">
      <c r="A2590" s="450" t="s">
        <v>21559</v>
      </c>
      <c r="B2590" s="450" t="s">
        <v>4875</v>
      </c>
      <c r="C2590" s="450" t="s">
        <v>4876</v>
      </c>
      <c r="D2590" s="450"/>
      <c r="E2590" s="450"/>
      <c r="F2590" s="450"/>
      <c r="G2590" s="450" t="s">
        <v>22882</v>
      </c>
      <c r="H2590" s="450" t="s">
        <v>22883</v>
      </c>
      <c r="I2590" s="450"/>
      <c r="J2590" s="450" t="s">
        <v>30813</v>
      </c>
      <c r="K2590" s="450"/>
    </row>
    <row r="2591" spans="1:11">
      <c r="A2591" s="451" t="s">
        <v>4892</v>
      </c>
      <c r="B2591" s="451" t="s">
        <v>24099</v>
      </c>
      <c r="C2591" s="451" t="s">
        <v>7501</v>
      </c>
      <c r="D2591" s="451" t="s">
        <v>4894</v>
      </c>
      <c r="E2591" s="451"/>
      <c r="F2591" s="451" t="s">
        <v>24098</v>
      </c>
      <c r="G2591" s="451" t="s">
        <v>22877</v>
      </c>
      <c r="H2591" s="451" t="s">
        <v>22878</v>
      </c>
      <c r="I2591" s="451" t="s">
        <v>23389</v>
      </c>
      <c r="J2591" s="451" t="s">
        <v>24100</v>
      </c>
      <c r="K2591" s="451"/>
    </row>
    <row r="2592" spans="1:11">
      <c r="A2592" s="450" t="s">
        <v>4892</v>
      </c>
      <c r="B2592" s="450" t="s">
        <v>4893</v>
      </c>
      <c r="C2592" s="450" t="s">
        <v>2139</v>
      </c>
      <c r="D2592" s="450" t="s">
        <v>4894</v>
      </c>
      <c r="E2592" s="450" t="s">
        <v>4895</v>
      </c>
      <c r="F2592" s="450" t="s">
        <v>4896</v>
      </c>
      <c r="G2592" s="450" t="s">
        <v>22877</v>
      </c>
      <c r="H2592" s="450" t="s">
        <v>22878</v>
      </c>
      <c r="I2592" s="450"/>
      <c r="J2592" s="450" t="s">
        <v>33992</v>
      </c>
      <c r="K2592" s="450"/>
    </row>
    <row r="2593" spans="1:11">
      <c r="A2593" s="451" t="s">
        <v>4897</v>
      </c>
      <c r="B2593" s="451" t="s">
        <v>4898</v>
      </c>
      <c r="C2593" s="451" t="s">
        <v>4899</v>
      </c>
      <c r="D2593" s="451" t="s">
        <v>4900</v>
      </c>
      <c r="E2593" s="451" t="s">
        <v>4901</v>
      </c>
      <c r="F2593" s="451"/>
      <c r="G2593" s="451" t="s">
        <v>22877</v>
      </c>
      <c r="H2593" s="451" t="s">
        <v>22878</v>
      </c>
      <c r="I2593" s="451"/>
      <c r="J2593" s="451" t="s">
        <v>30814</v>
      </c>
      <c r="K2593" s="451"/>
    </row>
    <row r="2594" spans="1:11">
      <c r="A2594" s="450" t="s">
        <v>24101</v>
      </c>
      <c r="B2594" s="450" t="s">
        <v>24102</v>
      </c>
      <c r="C2594" s="450" t="s">
        <v>13226</v>
      </c>
      <c r="D2594" s="450" t="s">
        <v>24103</v>
      </c>
      <c r="E2594" s="450"/>
      <c r="F2594" s="450"/>
      <c r="G2594" s="450" t="s">
        <v>22877</v>
      </c>
      <c r="H2594" s="450" t="s">
        <v>22878</v>
      </c>
      <c r="I2594" s="450" t="s">
        <v>24104</v>
      </c>
      <c r="J2594" s="450" t="s">
        <v>24105</v>
      </c>
      <c r="K2594" s="450"/>
    </row>
    <row r="2595" spans="1:11">
      <c r="A2595" s="451" t="s">
        <v>24106</v>
      </c>
      <c r="B2595" s="451" t="s">
        <v>24107</v>
      </c>
      <c r="C2595" s="451" t="s">
        <v>15224</v>
      </c>
      <c r="D2595" s="451" t="s">
        <v>24108</v>
      </c>
      <c r="E2595" s="451"/>
      <c r="F2595" s="451"/>
      <c r="G2595" s="451" t="s">
        <v>22877</v>
      </c>
      <c r="H2595" s="451" t="s">
        <v>22878</v>
      </c>
      <c r="I2595" s="451" t="s">
        <v>24109</v>
      </c>
      <c r="J2595" s="451" t="s">
        <v>24110</v>
      </c>
      <c r="K2595" s="451"/>
    </row>
    <row r="2596" spans="1:11">
      <c r="A2596" s="450" t="s">
        <v>4902</v>
      </c>
      <c r="B2596" s="450" t="s">
        <v>4903</v>
      </c>
      <c r="C2596" s="450" t="s">
        <v>4904</v>
      </c>
      <c r="D2596" s="450" t="s">
        <v>4905</v>
      </c>
      <c r="E2596" s="450" t="s">
        <v>4906</v>
      </c>
      <c r="F2596" s="450"/>
      <c r="G2596" s="450" t="s">
        <v>22882</v>
      </c>
      <c r="H2596" s="450" t="s">
        <v>22883</v>
      </c>
      <c r="I2596" s="450" t="s">
        <v>4905</v>
      </c>
      <c r="J2596" s="450" t="s">
        <v>30815</v>
      </c>
      <c r="K2596" s="450"/>
    </row>
    <row r="2597" spans="1:11">
      <c r="A2597" s="451" t="s">
        <v>4907</v>
      </c>
      <c r="B2597" s="451" t="s">
        <v>4908</v>
      </c>
      <c r="C2597" s="451" t="s">
        <v>4909</v>
      </c>
      <c r="D2597" s="451" t="s">
        <v>4910</v>
      </c>
      <c r="E2597" s="451"/>
      <c r="F2597" s="451"/>
      <c r="G2597" s="451" t="s">
        <v>22877</v>
      </c>
      <c r="H2597" s="451" t="s">
        <v>22878</v>
      </c>
      <c r="I2597" s="451" t="s">
        <v>33993</v>
      </c>
      <c r="J2597" s="451" t="s">
        <v>33994</v>
      </c>
      <c r="K2597" s="451"/>
    </row>
    <row r="2598" spans="1:11">
      <c r="A2598" s="450" t="s">
        <v>4907</v>
      </c>
      <c r="B2598" s="450" t="s">
        <v>4908</v>
      </c>
      <c r="C2598" s="450" t="s">
        <v>4909</v>
      </c>
      <c r="D2598" s="450" t="s">
        <v>4910</v>
      </c>
      <c r="E2598" s="450" t="s">
        <v>4911</v>
      </c>
      <c r="F2598" s="450"/>
      <c r="G2598" s="450" t="s">
        <v>22877</v>
      </c>
      <c r="H2598" s="450" t="s">
        <v>22878</v>
      </c>
      <c r="I2598" s="450" t="s">
        <v>30816</v>
      </c>
      <c r="J2598" s="450" t="s">
        <v>30817</v>
      </c>
      <c r="K2598" s="450"/>
    </row>
    <row r="2599" spans="1:11">
      <c r="A2599" s="451" t="s">
        <v>4912</v>
      </c>
      <c r="B2599" s="451" t="s">
        <v>4913</v>
      </c>
      <c r="C2599" s="451" t="s">
        <v>4914</v>
      </c>
      <c r="D2599" s="451" t="s">
        <v>4915</v>
      </c>
      <c r="E2599" s="451" t="s">
        <v>4916</v>
      </c>
      <c r="F2599" s="451"/>
      <c r="G2599" s="451" t="s">
        <v>22877</v>
      </c>
      <c r="H2599" s="451" t="s">
        <v>22878</v>
      </c>
      <c r="I2599" s="451" t="s">
        <v>30818</v>
      </c>
      <c r="J2599" s="451" t="s">
        <v>30819</v>
      </c>
      <c r="K2599" s="451"/>
    </row>
    <row r="2600" spans="1:11">
      <c r="A2600" s="450" t="s">
        <v>4917</v>
      </c>
      <c r="B2600" s="450" t="s">
        <v>4918</v>
      </c>
      <c r="C2600" s="450" t="s">
        <v>4919</v>
      </c>
      <c r="D2600" s="450" t="s">
        <v>4920</v>
      </c>
      <c r="E2600" s="450" t="s">
        <v>4921</v>
      </c>
      <c r="F2600" s="450"/>
      <c r="G2600" s="450" t="s">
        <v>22877</v>
      </c>
      <c r="H2600" s="450" t="s">
        <v>22878</v>
      </c>
      <c r="I2600" s="450" t="s">
        <v>4920</v>
      </c>
      <c r="J2600" s="450" t="s">
        <v>30820</v>
      </c>
      <c r="K2600" s="450"/>
    </row>
    <row r="2601" spans="1:11">
      <c r="A2601" s="451" t="s">
        <v>4922</v>
      </c>
      <c r="B2601" s="451" t="s">
        <v>4923</v>
      </c>
      <c r="C2601" s="451" t="s">
        <v>4924</v>
      </c>
      <c r="D2601" s="451" t="s">
        <v>4925</v>
      </c>
      <c r="E2601" s="451" t="s">
        <v>4926</v>
      </c>
      <c r="F2601" s="451"/>
      <c r="G2601" s="451" t="s">
        <v>22877</v>
      </c>
      <c r="H2601" s="451" t="s">
        <v>22878</v>
      </c>
      <c r="I2601" s="451" t="s">
        <v>4925</v>
      </c>
      <c r="J2601" s="451" t="s">
        <v>30821</v>
      </c>
      <c r="K2601" s="451"/>
    </row>
    <row r="2602" spans="1:11">
      <c r="A2602" s="450" t="s">
        <v>4927</v>
      </c>
      <c r="B2602" s="450" t="s">
        <v>4928</v>
      </c>
      <c r="C2602" s="450" t="s">
        <v>4929</v>
      </c>
      <c r="D2602" s="450" t="s">
        <v>4930</v>
      </c>
      <c r="E2602" s="450" t="s">
        <v>4931</v>
      </c>
      <c r="F2602" s="450"/>
      <c r="G2602" s="450" t="s">
        <v>22877</v>
      </c>
      <c r="H2602" s="450" t="s">
        <v>22878</v>
      </c>
      <c r="I2602" s="450" t="s">
        <v>4930</v>
      </c>
      <c r="J2602" s="450" t="s">
        <v>30822</v>
      </c>
      <c r="K2602" s="450"/>
    </row>
    <row r="2603" spans="1:11">
      <c r="A2603" s="451" t="s">
        <v>4932</v>
      </c>
      <c r="B2603" s="451"/>
      <c r="C2603" s="451" t="s">
        <v>4933</v>
      </c>
      <c r="D2603" s="451"/>
      <c r="E2603" s="451"/>
      <c r="F2603" s="451"/>
      <c r="G2603" s="451" t="s">
        <v>22877</v>
      </c>
      <c r="H2603" s="451" t="s">
        <v>22878</v>
      </c>
      <c r="I2603" s="451" t="s">
        <v>33995</v>
      </c>
      <c r="J2603" s="451" t="s">
        <v>23185</v>
      </c>
      <c r="K2603" s="451"/>
    </row>
    <row r="2604" spans="1:11">
      <c r="A2604" s="450" t="s">
        <v>4934</v>
      </c>
      <c r="B2604" s="450"/>
      <c r="C2604" s="450" t="s">
        <v>4935</v>
      </c>
      <c r="D2604" s="450"/>
      <c r="E2604" s="450"/>
      <c r="F2604" s="450"/>
      <c r="G2604" s="450" t="s">
        <v>22877</v>
      </c>
      <c r="H2604" s="450" t="s">
        <v>22878</v>
      </c>
      <c r="I2604" s="450" t="s">
        <v>24111</v>
      </c>
      <c r="J2604" s="450" t="s">
        <v>23185</v>
      </c>
      <c r="K2604" s="450"/>
    </row>
    <row r="2605" spans="1:11">
      <c r="A2605" s="451" t="s">
        <v>4936</v>
      </c>
      <c r="B2605" s="451" t="s">
        <v>4937</v>
      </c>
      <c r="C2605" s="451" t="s">
        <v>4938</v>
      </c>
      <c r="D2605" s="451" t="s">
        <v>4939</v>
      </c>
      <c r="E2605" s="451"/>
      <c r="F2605" s="451"/>
      <c r="G2605" s="451" t="s">
        <v>22877</v>
      </c>
      <c r="H2605" s="451" t="s">
        <v>22878</v>
      </c>
      <c r="I2605" s="451" t="s">
        <v>24112</v>
      </c>
      <c r="J2605" s="451" t="s">
        <v>33996</v>
      </c>
      <c r="K2605" s="451"/>
    </row>
    <row r="2606" spans="1:11">
      <c r="A2606" s="450" t="s">
        <v>4936</v>
      </c>
      <c r="B2606" s="450" t="s">
        <v>4937</v>
      </c>
      <c r="C2606" s="450" t="s">
        <v>4938</v>
      </c>
      <c r="D2606" s="450" t="s">
        <v>4939</v>
      </c>
      <c r="E2606" s="450" t="s">
        <v>4940</v>
      </c>
      <c r="F2606" s="450"/>
      <c r="G2606" s="450" t="s">
        <v>22877</v>
      </c>
      <c r="H2606" s="450" t="s">
        <v>22878</v>
      </c>
      <c r="I2606" s="450" t="s">
        <v>4939</v>
      </c>
      <c r="J2606" s="450" t="s">
        <v>30823</v>
      </c>
      <c r="K2606" s="450"/>
    </row>
    <row r="2607" spans="1:11">
      <c r="A2607" s="451" t="s">
        <v>33997</v>
      </c>
      <c r="B2607" s="451"/>
      <c r="C2607" s="451" t="s">
        <v>4942</v>
      </c>
      <c r="D2607" s="451"/>
      <c r="E2607" s="451"/>
      <c r="F2607" s="451"/>
      <c r="G2607" s="451" t="s">
        <v>22877</v>
      </c>
      <c r="H2607" s="451" t="s">
        <v>22878</v>
      </c>
      <c r="I2607" s="451" t="s">
        <v>24113</v>
      </c>
      <c r="J2607" s="451" t="s">
        <v>22943</v>
      </c>
      <c r="K2607" s="451"/>
    </row>
    <row r="2608" spans="1:11">
      <c r="A2608" s="450" t="s">
        <v>4941</v>
      </c>
      <c r="B2608" s="450"/>
      <c r="C2608" s="450" t="s">
        <v>4942</v>
      </c>
      <c r="D2608" s="450"/>
      <c r="E2608" s="450"/>
      <c r="F2608" s="450"/>
      <c r="G2608" s="450" t="s">
        <v>22877</v>
      </c>
      <c r="H2608" s="450" t="s">
        <v>22878</v>
      </c>
      <c r="I2608" s="450" t="s">
        <v>24113</v>
      </c>
      <c r="J2608" s="450" t="s">
        <v>23492</v>
      </c>
      <c r="K2608" s="450"/>
    </row>
    <row r="2609" spans="1:11">
      <c r="A2609" s="451" t="s">
        <v>20967</v>
      </c>
      <c r="B2609" s="451" t="s">
        <v>20968</v>
      </c>
      <c r="C2609" s="451" t="s">
        <v>20969</v>
      </c>
      <c r="D2609" s="451" t="s">
        <v>20970</v>
      </c>
      <c r="E2609" s="451"/>
      <c r="F2609" s="451" t="s">
        <v>20971</v>
      </c>
      <c r="G2609" s="451" t="s">
        <v>22877</v>
      </c>
      <c r="H2609" s="451" t="s">
        <v>22878</v>
      </c>
      <c r="I2609" s="451"/>
      <c r="J2609" s="451" t="s">
        <v>30824</v>
      </c>
      <c r="K2609" s="451"/>
    </row>
    <row r="2610" spans="1:11">
      <c r="A2610" s="450" t="s">
        <v>4943</v>
      </c>
      <c r="B2610" s="450"/>
      <c r="C2610" s="450" t="s">
        <v>4944</v>
      </c>
      <c r="D2610" s="450"/>
      <c r="E2610" s="450"/>
      <c r="F2610" s="450"/>
      <c r="G2610" s="450" t="s">
        <v>22882</v>
      </c>
      <c r="H2610" s="450" t="s">
        <v>22883</v>
      </c>
      <c r="I2610" s="450" t="s">
        <v>33998</v>
      </c>
      <c r="J2610" s="450" t="s">
        <v>22997</v>
      </c>
      <c r="K2610" s="450"/>
    </row>
    <row r="2611" spans="1:11">
      <c r="A2611" s="451" t="s">
        <v>4945</v>
      </c>
      <c r="B2611" s="451"/>
      <c r="C2611" s="451" t="s">
        <v>4946</v>
      </c>
      <c r="D2611" s="451"/>
      <c r="E2611" s="451"/>
      <c r="F2611" s="451"/>
      <c r="G2611" s="451" t="s">
        <v>22882</v>
      </c>
      <c r="H2611" s="451" t="s">
        <v>22883</v>
      </c>
      <c r="I2611" s="451" t="s">
        <v>33999</v>
      </c>
      <c r="J2611" s="451" t="s">
        <v>23185</v>
      </c>
      <c r="K2611" s="451"/>
    </row>
    <row r="2612" spans="1:11">
      <c r="A2612" s="450" t="s">
        <v>24114</v>
      </c>
      <c r="B2612" s="450"/>
      <c r="C2612" s="450" t="s">
        <v>4946</v>
      </c>
      <c r="D2612" s="450"/>
      <c r="E2612" s="450"/>
      <c r="F2612" s="450"/>
      <c r="G2612" s="450" t="s">
        <v>22882</v>
      </c>
      <c r="H2612" s="450" t="s">
        <v>22883</v>
      </c>
      <c r="I2612" s="450"/>
      <c r="J2612" s="450" t="s">
        <v>22943</v>
      </c>
      <c r="K2612" s="450"/>
    </row>
    <row r="2613" spans="1:11">
      <c r="A2613" s="451" t="s">
        <v>4947</v>
      </c>
      <c r="B2613" s="451" t="s">
        <v>24115</v>
      </c>
      <c r="C2613" s="451" t="s">
        <v>1563</v>
      </c>
      <c r="D2613" s="451" t="s">
        <v>4949</v>
      </c>
      <c r="E2613" s="451"/>
      <c r="F2613" s="451"/>
      <c r="G2613" s="451" t="s">
        <v>22882</v>
      </c>
      <c r="H2613" s="451" t="s">
        <v>22883</v>
      </c>
      <c r="I2613" s="451" t="s">
        <v>4949</v>
      </c>
      <c r="J2613" s="451" t="s">
        <v>24116</v>
      </c>
      <c r="K2613" s="451"/>
    </row>
    <row r="2614" spans="1:11">
      <c r="A2614" s="450" t="s">
        <v>4947</v>
      </c>
      <c r="B2614" s="450" t="s">
        <v>4948</v>
      </c>
      <c r="C2614" s="450" t="s">
        <v>1563</v>
      </c>
      <c r="D2614" s="450" t="s">
        <v>4949</v>
      </c>
      <c r="E2614" s="450" t="s">
        <v>4950</v>
      </c>
      <c r="F2614" s="450"/>
      <c r="G2614" s="450" t="s">
        <v>22882</v>
      </c>
      <c r="H2614" s="450" t="s">
        <v>22883</v>
      </c>
      <c r="I2614" s="450"/>
      <c r="J2614" s="450" t="s">
        <v>30825</v>
      </c>
      <c r="K2614" s="450"/>
    </row>
    <row r="2615" spans="1:11">
      <c r="A2615" s="451" t="s">
        <v>21560</v>
      </c>
      <c r="B2615" s="451" t="s">
        <v>4951</v>
      </c>
      <c r="C2615" s="451" t="s">
        <v>4952</v>
      </c>
      <c r="D2615" s="451" t="s">
        <v>4953</v>
      </c>
      <c r="E2615" s="451"/>
      <c r="F2615" s="451"/>
      <c r="G2615" s="451" t="s">
        <v>22877</v>
      </c>
      <c r="H2615" s="451" t="s">
        <v>22878</v>
      </c>
      <c r="I2615" s="451" t="s">
        <v>4953</v>
      </c>
      <c r="J2615" s="451" t="s">
        <v>8474</v>
      </c>
      <c r="K2615" s="451"/>
    </row>
    <row r="2616" spans="1:11">
      <c r="A2616" s="450" t="s">
        <v>21561</v>
      </c>
      <c r="B2616" s="450" t="s">
        <v>4954</v>
      </c>
      <c r="C2616" s="450" t="s">
        <v>4955</v>
      </c>
      <c r="D2616" s="450" t="s">
        <v>4956</v>
      </c>
      <c r="E2616" s="450"/>
      <c r="F2616" s="450"/>
      <c r="G2616" s="450" t="s">
        <v>22882</v>
      </c>
      <c r="H2616" s="450" t="s">
        <v>22883</v>
      </c>
      <c r="I2616" s="450" t="s">
        <v>4956</v>
      </c>
      <c r="J2616" s="450" t="s">
        <v>34000</v>
      </c>
      <c r="K2616" s="450"/>
    </row>
    <row r="2617" spans="1:11">
      <c r="A2617" s="451" t="s">
        <v>30826</v>
      </c>
      <c r="B2617" s="451" t="s">
        <v>4954</v>
      </c>
      <c r="C2617" s="451" t="s">
        <v>4955</v>
      </c>
      <c r="D2617" s="451" t="s">
        <v>4956</v>
      </c>
      <c r="E2617" s="451"/>
      <c r="F2617" s="451"/>
      <c r="G2617" s="451" t="s">
        <v>22882</v>
      </c>
      <c r="H2617" s="451" t="s">
        <v>22883</v>
      </c>
      <c r="I2617" s="451" t="s">
        <v>4956</v>
      </c>
      <c r="J2617" s="451" t="s">
        <v>24117</v>
      </c>
      <c r="K2617" s="451"/>
    </row>
    <row r="2618" spans="1:11">
      <c r="A2618" s="450" t="s">
        <v>24118</v>
      </c>
      <c r="B2618" s="450" t="s">
        <v>4958</v>
      </c>
      <c r="C2618" s="450" t="s">
        <v>4959</v>
      </c>
      <c r="D2618" s="450"/>
      <c r="E2618" s="450"/>
      <c r="F2618" s="450"/>
      <c r="G2618" s="450" t="s">
        <v>22877</v>
      </c>
      <c r="H2618" s="450" t="s">
        <v>22878</v>
      </c>
      <c r="I2618" s="450" t="s">
        <v>24119</v>
      </c>
      <c r="J2618" s="450" t="s">
        <v>24120</v>
      </c>
      <c r="K2618" s="450"/>
    </row>
    <row r="2619" spans="1:11">
      <c r="A2619" s="451" t="s">
        <v>4957</v>
      </c>
      <c r="B2619" s="451" t="s">
        <v>4958</v>
      </c>
      <c r="C2619" s="451" t="s">
        <v>4959</v>
      </c>
      <c r="D2619" s="451"/>
      <c r="E2619" s="451"/>
      <c r="F2619" s="451"/>
      <c r="G2619" s="451" t="s">
        <v>22877</v>
      </c>
      <c r="H2619" s="451" t="s">
        <v>22878</v>
      </c>
      <c r="I2619" s="451"/>
      <c r="J2619" s="451" t="s">
        <v>34001</v>
      </c>
      <c r="K2619" s="451"/>
    </row>
    <row r="2620" spans="1:11">
      <c r="A2620" s="450" t="s">
        <v>4960</v>
      </c>
      <c r="B2620" s="450"/>
      <c r="C2620" s="450" t="s">
        <v>4961</v>
      </c>
      <c r="D2620" s="450"/>
      <c r="E2620" s="450"/>
      <c r="F2620" s="450"/>
      <c r="G2620" s="450" t="s">
        <v>22877</v>
      </c>
      <c r="H2620" s="450" t="s">
        <v>22878</v>
      </c>
      <c r="I2620" s="450"/>
      <c r="J2620" s="450" t="s">
        <v>34002</v>
      </c>
      <c r="K2620" s="450"/>
    </row>
    <row r="2621" spans="1:11">
      <c r="A2621" s="451" t="s">
        <v>4962</v>
      </c>
      <c r="B2621" s="451"/>
      <c r="C2621" s="451" t="s">
        <v>4963</v>
      </c>
      <c r="D2621" s="451"/>
      <c r="E2621" s="451"/>
      <c r="F2621" s="451"/>
      <c r="G2621" s="451" t="s">
        <v>22877</v>
      </c>
      <c r="H2621" s="451" t="s">
        <v>22878</v>
      </c>
      <c r="I2621" s="451" t="s">
        <v>34003</v>
      </c>
      <c r="J2621" s="451" t="s">
        <v>22943</v>
      </c>
      <c r="K2621" s="451"/>
    </row>
    <row r="2622" spans="1:11">
      <c r="A2622" s="450" t="s">
        <v>34004</v>
      </c>
      <c r="B2622" s="450"/>
      <c r="C2622" s="450" t="s">
        <v>4966</v>
      </c>
      <c r="D2622" s="450"/>
      <c r="E2622" s="450"/>
      <c r="F2622" s="450"/>
      <c r="G2622" s="450" t="s">
        <v>22877</v>
      </c>
      <c r="H2622" s="450" t="s">
        <v>22878</v>
      </c>
      <c r="I2622" s="450" t="s">
        <v>34003</v>
      </c>
      <c r="J2622" s="450" t="s">
        <v>22943</v>
      </c>
      <c r="K2622" s="450"/>
    </row>
    <row r="2623" spans="1:11">
      <c r="A2623" s="451" t="s">
        <v>34005</v>
      </c>
      <c r="B2623" s="451"/>
      <c r="C2623" s="451" t="s">
        <v>4961</v>
      </c>
      <c r="D2623" s="451"/>
      <c r="E2623" s="451"/>
      <c r="F2623" s="451"/>
      <c r="G2623" s="451" t="s">
        <v>22877</v>
      </c>
      <c r="H2623" s="451" t="s">
        <v>22878</v>
      </c>
      <c r="I2623" s="451" t="s">
        <v>34006</v>
      </c>
      <c r="J2623" s="451" t="s">
        <v>23185</v>
      </c>
      <c r="K2623" s="451"/>
    </row>
    <row r="2624" spans="1:11">
      <c r="A2624" s="450" t="s">
        <v>4964</v>
      </c>
      <c r="B2624" s="450"/>
      <c r="C2624" s="450" t="s">
        <v>4961</v>
      </c>
      <c r="D2624" s="450"/>
      <c r="E2624" s="450"/>
      <c r="F2624" s="450"/>
      <c r="G2624" s="450" t="s">
        <v>22877</v>
      </c>
      <c r="H2624" s="450" t="s">
        <v>22878</v>
      </c>
      <c r="I2624" s="450"/>
      <c r="J2624" s="450" t="s">
        <v>23185</v>
      </c>
      <c r="K2624" s="450"/>
    </row>
    <row r="2625" spans="1:11">
      <c r="A2625" s="451" t="s">
        <v>4965</v>
      </c>
      <c r="B2625" s="451"/>
      <c r="C2625" s="451" t="s">
        <v>4966</v>
      </c>
      <c r="D2625" s="451"/>
      <c r="E2625" s="451"/>
      <c r="F2625" s="451"/>
      <c r="G2625" s="451" t="s">
        <v>22877</v>
      </c>
      <c r="H2625" s="451" t="s">
        <v>22878</v>
      </c>
      <c r="I2625" s="451" t="s">
        <v>34007</v>
      </c>
      <c r="J2625" s="451" t="s">
        <v>22997</v>
      </c>
      <c r="K2625" s="451"/>
    </row>
    <row r="2626" spans="1:11">
      <c r="A2626" s="450" t="s">
        <v>4967</v>
      </c>
      <c r="B2626" s="450"/>
      <c r="C2626" s="450" t="s">
        <v>4968</v>
      </c>
      <c r="D2626" s="450"/>
      <c r="E2626" s="450"/>
      <c r="F2626" s="450"/>
      <c r="G2626" s="450" t="s">
        <v>22877</v>
      </c>
      <c r="H2626" s="450" t="s">
        <v>22878</v>
      </c>
      <c r="I2626" s="450"/>
      <c r="J2626" s="450" t="s">
        <v>22997</v>
      </c>
      <c r="K2626" s="450"/>
    </row>
    <row r="2627" spans="1:11">
      <c r="A2627" s="451" t="s">
        <v>24121</v>
      </c>
      <c r="B2627" s="451" t="s">
        <v>4969</v>
      </c>
      <c r="C2627" s="451" t="s">
        <v>4970</v>
      </c>
      <c r="D2627" s="451" t="s">
        <v>4971</v>
      </c>
      <c r="E2627" s="451"/>
      <c r="F2627" s="451"/>
      <c r="G2627" s="451" t="s">
        <v>22882</v>
      </c>
      <c r="H2627" s="451" t="s">
        <v>22883</v>
      </c>
      <c r="I2627" s="451" t="s">
        <v>24122</v>
      </c>
      <c r="J2627" s="451" t="s">
        <v>24123</v>
      </c>
      <c r="K2627" s="451"/>
    </row>
    <row r="2628" spans="1:11">
      <c r="A2628" s="450" t="s">
        <v>24124</v>
      </c>
      <c r="B2628" s="450" t="s">
        <v>24125</v>
      </c>
      <c r="C2628" s="450" t="s">
        <v>4973</v>
      </c>
      <c r="D2628" s="450" t="s">
        <v>4974</v>
      </c>
      <c r="E2628" s="450"/>
      <c r="F2628" s="450"/>
      <c r="G2628" s="450" t="s">
        <v>22877</v>
      </c>
      <c r="H2628" s="450" t="s">
        <v>22878</v>
      </c>
      <c r="I2628" s="450" t="s">
        <v>24126</v>
      </c>
      <c r="J2628" s="450" t="s">
        <v>24127</v>
      </c>
      <c r="K2628" s="450"/>
    </row>
    <row r="2629" spans="1:11">
      <c r="A2629" s="451" t="s">
        <v>21562</v>
      </c>
      <c r="B2629" s="451" t="s">
        <v>4969</v>
      </c>
      <c r="C2629" s="451" t="s">
        <v>4970</v>
      </c>
      <c r="D2629" s="451" t="s">
        <v>4971</v>
      </c>
      <c r="E2629" s="451"/>
      <c r="F2629" s="451"/>
      <c r="G2629" s="451" t="s">
        <v>22882</v>
      </c>
      <c r="H2629" s="451" t="s">
        <v>22883</v>
      </c>
      <c r="I2629" s="451" t="s">
        <v>4971</v>
      </c>
      <c r="J2629" s="451" t="s">
        <v>30827</v>
      </c>
      <c r="K2629" s="451"/>
    </row>
    <row r="2630" spans="1:11">
      <c r="A2630" s="450" t="s">
        <v>21563</v>
      </c>
      <c r="B2630" s="450" t="s">
        <v>4972</v>
      </c>
      <c r="C2630" s="450" t="s">
        <v>4973</v>
      </c>
      <c r="D2630" s="450" t="s">
        <v>4974</v>
      </c>
      <c r="E2630" s="450" t="s">
        <v>4975</v>
      </c>
      <c r="F2630" s="450"/>
      <c r="G2630" s="450" t="s">
        <v>22877</v>
      </c>
      <c r="H2630" s="450" t="s">
        <v>22878</v>
      </c>
      <c r="I2630" s="450" t="s">
        <v>4974</v>
      </c>
      <c r="J2630" s="450" t="s">
        <v>30828</v>
      </c>
      <c r="K2630" s="450"/>
    </row>
    <row r="2631" spans="1:11">
      <c r="A2631" s="451" t="s">
        <v>21564</v>
      </c>
      <c r="B2631" s="451" t="s">
        <v>4976</v>
      </c>
      <c r="C2631" s="451" t="s">
        <v>4977</v>
      </c>
      <c r="D2631" s="451"/>
      <c r="E2631" s="451"/>
      <c r="F2631" s="451"/>
      <c r="G2631" s="451" t="s">
        <v>22882</v>
      </c>
      <c r="H2631" s="451" t="s">
        <v>22883</v>
      </c>
      <c r="I2631" s="451"/>
      <c r="J2631" s="451" t="s">
        <v>34008</v>
      </c>
      <c r="K2631" s="451"/>
    </row>
    <row r="2632" spans="1:11">
      <c r="A2632" s="450" t="s">
        <v>34009</v>
      </c>
      <c r="B2632" s="450"/>
      <c r="C2632" s="450" t="s">
        <v>4979</v>
      </c>
      <c r="D2632" s="450"/>
      <c r="E2632" s="450"/>
      <c r="F2632" s="450"/>
      <c r="G2632" s="450" t="s">
        <v>22882</v>
      </c>
      <c r="H2632" s="450" t="s">
        <v>22883</v>
      </c>
      <c r="I2632" s="450"/>
      <c r="J2632" s="450" t="s">
        <v>22943</v>
      </c>
      <c r="K2632" s="450"/>
    </row>
    <row r="2633" spans="1:11">
      <c r="A2633" s="451" t="s">
        <v>4978</v>
      </c>
      <c r="B2633" s="451"/>
      <c r="C2633" s="451" t="s">
        <v>4979</v>
      </c>
      <c r="D2633" s="451"/>
      <c r="E2633" s="451"/>
      <c r="F2633" s="451"/>
      <c r="G2633" s="451" t="s">
        <v>22882</v>
      </c>
      <c r="H2633" s="451" t="s">
        <v>22883</v>
      </c>
      <c r="I2633" s="451"/>
      <c r="J2633" s="451" t="s">
        <v>23185</v>
      </c>
      <c r="K2633" s="451"/>
    </row>
    <row r="2634" spans="1:11">
      <c r="A2634" s="450" t="s">
        <v>34010</v>
      </c>
      <c r="B2634" s="450"/>
      <c r="C2634" s="450" t="s">
        <v>3867</v>
      </c>
      <c r="D2634" s="450"/>
      <c r="E2634" s="450"/>
      <c r="F2634" s="450"/>
      <c r="G2634" s="450" t="s">
        <v>22882</v>
      </c>
      <c r="H2634" s="450" t="s">
        <v>22883</v>
      </c>
      <c r="I2634" s="450" t="s">
        <v>34011</v>
      </c>
      <c r="J2634" s="450" t="s">
        <v>22943</v>
      </c>
      <c r="K2634" s="450"/>
    </row>
    <row r="2635" spans="1:11">
      <c r="A2635" s="451" t="s">
        <v>4980</v>
      </c>
      <c r="B2635" s="451"/>
      <c r="C2635" s="451" t="s">
        <v>3867</v>
      </c>
      <c r="D2635" s="451"/>
      <c r="E2635" s="451"/>
      <c r="F2635" s="451"/>
      <c r="G2635" s="451" t="s">
        <v>22882</v>
      </c>
      <c r="H2635" s="451" t="s">
        <v>22883</v>
      </c>
      <c r="I2635" s="451"/>
      <c r="J2635" s="451" t="s">
        <v>23185</v>
      </c>
      <c r="K2635" s="451"/>
    </row>
    <row r="2636" spans="1:11">
      <c r="A2636" s="450" t="s">
        <v>34012</v>
      </c>
      <c r="B2636" s="450"/>
      <c r="C2636" s="450" t="s">
        <v>4968</v>
      </c>
      <c r="D2636" s="450"/>
      <c r="E2636" s="450"/>
      <c r="F2636" s="450"/>
      <c r="G2636" s="450" t="s">
        <v>22877</v>
      </c>
      <c r="H2636" s="450" t="s">
        <v>22878</v>
      </c>
      <c r="I2636" s="450" t="s">
        <v>34013</v>
      </c>
      <c r="J2636" s="450" t="s">
        <v>22943</v>
      </c>
      <c r="K2636" s="450"/>
    </row>
    <row r="2637" spans="1:11">
      <c r="A2637" s="451" t="s">
        <v>4981</v>
      </c>
      <c r="B2637" s="451"/>
      <c r="C2637" s="451" t="s">
        <v>4982</v>
      </c>
      <c r="D2637" s="451"/>
      <c r="E2637" s="451"/>
      <c r="F2637" s="451"/>
      <c r="G2637" s="451" t="s">
        <v>22882</v>
      </c>
      <c r="H2637" s="451" t="s">
        <v>22883</v>
      </c>
      <c r="I2637" s="451"/>
      <c r="J2637" s="451" t="s">
        <v>22943</v>
      </c>
      <c r="K2637" s="451"/>
    </row>
    <row r="2638" spans="1:11">
      <c r="A2638" s="450" t="s">
        <v>4983</v>
      </c>
      <c r="B2638" s="450" t="s">
        <v>4986</v>
      </c>
      <c r="C2638" s="450" t="s">
        <v>4987</v>
      </c>
      <c r="D2638" s="450" t="s">
        <v>4988</v>
      </c>
      <c r="E2638" s="450"/>
      <c r="F2638" s="450"/>
      <c r="G2638" s="450" t="s">
        <v>22877</v>
      </c>
      <c r="H2638" s="450" t="s">
        <v>22878</v>
      </c>
      <c r="I2638" s="450" t="s">
        <v>34014</v>
      </c>
      <c r="J2638" s="450" t="s">
        <v>34015</v>
      </c>
      <c r="K2638" s="450"/>
    </row>
    <row r="2639" spans="1:11">
      <c r="A2639" s="451" t="s">
        <v>4983</v>
      </c>
      <c r="B2639" s="451"/>
      <c r="C2639" s="451"/>
      <c r="D2639" s="451"/>
      <c r="E2639" s="451" t="s">
        <v>4984</v>
      </c>
      <c r="F2639" s="451"/>
      <c r="G2639" s="451" t="s">
        <v>22877</v>
      </c>
      <c r="H2639" s="451" t="s">
        <v>22878</v>
      </c>
      <c r="I2639" s="451"/>
      <c r="J2639" s="451" t="s">
        <v>23492</v>
      </c>
      <c r="K2639" s="451"/>
    </row>
    <row r="2640" spans="1:11">
      <c r="A2640" s="450" t="s">
        <v>4985</v>
      </c>
      <c r="B2640" s="450" t="s">
        <v>4986</v>
      </c>
      <c r="C2640" s="450" t="s">
        <v>4987</v>
      </c>
      <c r="D2640" s="450" t="s">
        <v>4988</v>
      </c>
      <c r="E2640" s="450" t="s">
        <v>4989</v>
      </c>
      <c r="F2640" s="450"/>
      <c r="G2640" s="450" t="s">
        <v>22877</v>
      </c>
      <c r="H2640" s="450" t="s">
        <v>22878</v>
      </c>
      <c r="I2640" s="450"/>
      <c r="J2640" s="450" t="s">
        <v>30829</v>
      </c>
      <c r="K2640" s="450"/>
    </row>
    <row r="2641" spans="1:11">
      <c r="A2641" s="451" t="s">
        <v>4990</v>
      </c>
      <c r="B2641" s="451"/>
      <c r="C2641" s="451" t="s">
        <v>4991</v>
      </c>
      <c r="D2641" s="451"/>
      <c r="E2641" s="451"/>
      <c r="F2641" s="451"/>
      <c r="G2641" s="451" t="s">
        <v>22877</v>
      </c>
      <c r="H2641" s="451" t="s">
        <v>22878</v>
      </c>
      <c r="I2641" s="451" t="s">
        <v>24128</v>
      </c>
      <c r="J2641" s="451" t="s">
        <v>23185</v>
      </c>
      <c r="K2641" s="451"/>
    </row>
    <row r="2642" spans="1:11">
      <c r="A2642" s="450" t="s">
        <v>4992</v>
      </c>
      <c r="B2642" s="450" t="s">
        <v>4993</v>
      </c>
      <c r="C2642" s="450" t="s">
        <v>2844</v>
      </c>
      <c r="D2642" s="450" t="s">
        <v>4994</v>
      </c>
      <c r="E2642" s="450" t="s">
        <v>4995</v>
      </c>
      <c r="F2642" s="450"/>
      <c r="G2642" s="450" t="s">
        <v>22882</v>
      </c>
      <c r="H2642" s="450" t="s">
        <v>22883</v>
      </c>
      <c r="I2642" s="450" t="s">
        <v>4994</v>
      </c>
      <c r="J2642" s="450" t="s">
        <v>30830</v>
      </c>
      <c r="K2642" s="450"/>
    </row>
    <row r="2643" spans="1:11">
      <c r="A2643" s="451" t="s">
        <v>4996</v>
      </c>
      <c r="B2643" s="451"/>
      <c r="C2643" s="451" t="s">
        <v>4997</v>
      </c>
      <c r="D2643" s="451"/>
      <c r="E2643" s="451"/>
      <c r="F2643" s="451"/>
      <c r="G2643" s="451" t="s">
        <v>22877</v>
      </c>
      <c r="H2643" s="451" t="s">
        <v>22878</v>
      </c>
      <c r="I2643" s="451"/>
      <c r="J2643" s="451" t="s">
        <v>23492</v>
      </c>
      <c r="K2643" s="451"/>
    </row>
    <row r="2644" spans="1:11">
      <c r="A2644" s="450" t="s">
        <v>34016</v>
      </c>
      <c r="B2644" s="450"/>
      <c r="C2644" s="450" t="s">
        <v>4997</v>
      </c>
      <c r="D2644" s="450"/>
      <c r="E2644" s="450"/>
      <c r="F2644" s="450"/>
      <c r="G2644" s="450" t="s">
        <v>22877</v>
      </c>
      <c r="H2644" s="450" t="s">
        <v>22878</v>
      </c>
      <c r="I2644" s="450" t="s">
        <v>34017</v>
      </c>
      <c r="J2644" s="450" t="s">
        <v>22948</v>
      </c>
      <c r="K2644" s="450"/>
    </row>
    <row r="2645" spans="1:11">
      <c r="A2645" s="451" t="s">
        <v>4998</v>
      </c>
      <c r="B2645" s="451"/>
      <c r="C2645" s="451" t="s">
        <v>4999</v>
      </c>
      <c r="D2645" s="451"/>
      <c r="E2645" s="451"/>
      <c r="F2645" s="451"/>
      <c r="G2645" s="451" t="s">
        <v>22882</v>
      </c>
      <c r="H2645" s="451" t="s">
        <v>22883</v>
      </c>
      <c r="I2645" s="451" t="s">
        <v>24129</v>
      </c>
      <c r="J2645" s="451" t="s">
        <v>23185</v>
      </c>
      <c r="K2645" s="451"/>
    </row>
    <row r="2646" spans="1:11">
      <c r="A2646" s="450" t="s">
        <v>20118</v>
      </c>
      <c r="B2646" s="450" t="s">
        <v>20119</v>
      </c>
      <c r="C2646" s="450" t="s">
        <v>20120</v>
      </c>
      <c r="D2646" s="450"/>
      <c r="E2646" s="450"/>
      <c r="F2646" s="450"/>
      <c r="G2646" s="450" t="s">
        <v>22877</v>
      </c>
      <c r="H2646" s="450" t="s">
        <v>22878</v>
      </c>
      <c r="I2646" s="450" t="s">
        <v>24130</v>
      </c>
      <c r="J2646" s="450" t="s">
        <v>24131</v>
      </c>
      <c r="K2646" s="450"/>
    </row>
    <row r="2647" spans="1:11">
      <c r="A2647" s="451" t="s">
        <v>21565</v>
      </c>
      <c r="B2647" s="451" t="s">
        <v>4976</v>
      </c>
      <c r="C2647" s="451" t="s">
        <v>4977</v>
      </c>
      <c r="D2647" s="451" t="s">
        <v>5000</v>
      </c>
      <c r="E2647" s="451"/>
      <c r="F2647" s="451"/>
      <c r="G2647" s="451" t="s">
        <v>22882</v>
      </c>
      <c r="H2647" s="451" t="s">
        <v>22883</v>
      </c>
      <c r="I2647" s="451"/>
      <c r="J2647" s="451" t="s">
        <v>34018</v>
      </c>
      <c r="K2647" s="451"/>
    </row>
    <row r="2648" spans="1:11">
      <c r="A2648" s="450" t="s">
        <v>34019</v>
      </c>
      <c r="B2648" s="450"/>
      <c r="C2648" s="450" t="s">
        <v>5002</v>
      </c>
      <c r="D2648" s="450"/>
      <c r="E2648" s="450"/>
      <c r="F2648" s="450"/>
      <c r="G2648" s="450" t="s">
        <v>22882</v>
      </c>
      <c r="H2648" s="450" t="s">
        <v>22883</v>
      </c>
      <c r="I2648" s="450"/>
      <c r="J2648" s="450" t="s">
        <v>22943</v>
      </c>
      <c r="K2648" s="450"/>
    </row>
    <row r="2649" spans="1:11">
      <c r="A2649" s="451" t="s">
        <v>5001</v>
      </c>
      <c r="B2649" s="451"/>
      <c r="C2649" s="451" t="s">
        <v>5002</v>
      </c>
      <c r="D2649" s="451"/>
      <c r="E2649" s="451"/>
      <c r="F2649" s="451"/>
      <c r="G2649" s="451" t="s">
        <v>22882</v>
      </c>
      <c r="H2649" s="451" t="s">
        <v>22883</v>
      </c>
      <c r="I2649" s="451"/>
      <c r="J2649" s="451" t="s">
        <v>22997</v>
      </c>
      <c r="K2649" s="451"/>
    </row>
    <row r="2650" spans="1:11">
      <c r="A2650" s="450" t="s">
        <v>5003</v>
      </c>
      <c r="B2650" s="450" t="s">
        <v>24132</v>
      </c>
      <c r="C2650" s="450" t="s">
        <v>4598</v>
      </c>
      <c r="D2650" s="450" t="s">
        <v>24133</v>
      </c>
      <c r="E2650" s="450"/>
      <c r="F2650" s="450"/>
      <c r="G2650" s="450" t="s">
        <v>22877</v>
      </c>
      <c r="H2650" s="450" t="s">
        <v>22878</v>
      </c>
      <c r="I2650" s="450" t="s">
        <v>24133</v>
      </c>
      <c r="J2650" s="450" t="s">
        <v>24134</v>
      </c>
      <c r="K2650" s="450"/>
    </row>
    <row r="2651" spans="1:11">
      <c r="A2651" s="451" t="s">
        <v>5003</v>
      </c>
      <c r="B2651" s="451"/>
      <c r="C2651" s="451" t="s">
        <v>4598</v>
      </c>
      <c r="D2651" s="451"/>
      <c r="E2651" s="451"/>
      <c r="F2651" s="451"/>
      <c r="G2651" s="451" t="s">
        <v>22882</v>
      </c>
      <c r="H2651" s="451" t="s">
        <v>22883</v>
      </c>
      <c r="I2651" s="451"/>
      <c r="J2651" s="451" t="s">
        <v>23492</v>
      </c>
      <c r="K2651" s="451"/>
    </row>
    <row r="2652" spans="1:11">
      <c r="A2652" s="450" t="s">
        <v>34020</v>
      </c>
      <c r="B2652" s="450"/>
      <c r="C2652" s="450" t="s">
        <v>2031</v>
      </c>
      <c r="D2652" s="450"/>
      <c r="E2652" s="450"/>
      <c r="F2652" s="450"/>
      <c r="G2652" s="450" t="s">
        <v>22877</v>
      </c>
      <c r="H2652" s="450" t="s">
        <v>22878</v>
      </c>
      <c r="I2652" s="450" t="s">
        <v>34021</v>
      </c>
      <c r="J2652" s="450" t="s">
        <v>22943</v>
      </c>
      <c r="K2652" s="450"/>
    </row>
    <row r="2653" spans="1:11">
      <c r="A2653" s="451" t="s">
        <v>5004</v>
      </c>
      <c r="B2653" s="451"/>
      <c r="C2653" s="451" t="s">
        <v>2031</v>
      </c>
      <c r="D2653" s="451"/>
      <c r="E2653" s="451"/>
      <c r="F2653" s="451"/>
      <c r="G2653" s="451" t="s">
        <v>22877</v>
      </c>
      <c r="H2653" s="451" t="s">
        <v>22878</v>
      </c>
      <c r="I2653" s="451" t="s">
        <v>34021</v>
      </c>
      <c r="J2653" s="451" t="s">
        <v>23185</v>
      </c>
      <c r="K2653" s="451"/>
    </row>
    <row r="2654" spans="1:11">
      <c r="A2654" s="450" t="s">
        <v>5005</v>
      </c>
      <c r="B2654" s="450"/>
      <c r="C2654" s="450" t="s">
        <v>5006</v>
      </c>
      <c r="D2654" s="450"/>
      <c r="E2654" s="450"/>
      <c r="F2654" s="450"/>
      <c r="G2654" s="450" t="s">
        <v>22882</v>
      </c>
      <c r="H2654" s="450" t="s">
        <v>22883</v>
      </c>
      <c r="I2654" s="450"/>
      <c r="J2654" s="450" t="s">
        <v>23185</v>
      </c>
      <c r="K2654" s="450"/>
    </row>
    <row r="2655" spans="1:11">
      <c r="A2655" s="451" t="s">
        <v>5007</v>
      </c>
      <c r="B2655" s="451"/>
      <c r="C2655" s="451" t="s">
        <v>2779</v>
      </c>
      <c r="D2655" s="451"/>
      <c r="E2655" s="451"/>
      <c r="F2655" s="451"/>
      <c r="G2655" s="451" t="s">
        <v>22877</v>
      </c>
      <c r="H2655" s="451" t="s">
        <v>22878</v>
      </c>
      <c r="I2655" s="451" t="s">
        <v>34022</v>
      </c>
      <c r="J2655" s="451" t="s">
        <v>22943</v>
      </c>
      <c r="K2655" s="451"/>
    </row>
    <row r="2656" spans="1:11">
      <c r="A2656" s="450" t="s">
        <v>5008</v>
      </c>
      <c r="B2656" s="450"/>
      <c r="C2656" s="450" t="s">
        <v>5009</v>
      </c>
      <c r="D2656" s="450"/>
      <c r="E2656" s="450"/>
      <c r="F2656" s="450"/>
      <c r="G2656" s="450" t="s">
        <v>22882</v>
      </c>
      <c r="H2656" s="450" t="s">
        <v>22883</v>
      </c>
      <c r="I2656" s="450"/>
      <c r="J2656" s="450" t="s">
        <v>23185</v>
      </c>
      <c r="K2656" s="450"/>
    </row>
    <row r="2657" spans="1:11">
      <c r="A2657" s="451" t="s">
        <v>5010</v>
      </c>
      <c r="B2657" s="451"/>
      <c r="C2657" s="451" t="s">
        <v>5011</v>
      </c>
      <c r="D2657" s="451"/>
      <c r="E2657" s="451"/>
      <c r="F2657" s="451"/>
      <c r="G2657" s="451" t="s">
        <v>22882</v>
      </c>
      <c r="H2657" s="451" t="s">
        <v>22883</v>
      </c>
      <c r="I2657" s="451"/>
      <c r="J2657" s="451" t="s">
        <v>22997</v>
      </c>
      <c r="K2657" s="451"/>
    </row>
    <row r="2658" spans="1:11">
      <c r="A2658" s="450" t="s">
        <v>24135</v>
      </c>
      <c r="B2658" s="450" t="s">
        <v>24136</v>
      </c>
      <c r="C2658" s="450" t="s">
        <v>24137</v>
      </c>
      <c r="D2658" s="450"/>
      <c r="E2658" s="450"/>
      <c r="F2658" s="450"/>
      <c r="G2658" s="450" t="s">
        <v>22877</v>
      </c>
      <c r="H2658" s="450" t="s">
        <v>22878</v>
      </c>
      <c r="I2658" s="450" t="s">
        <v>24138</v>
      </c>
      <c r="J2658" s="450" t="s">
        <v>24139</v>
      </c>
      <c r="K2658" s="450"/>
    </row>
    <row r="2659" spans="1:11">
      <c r="A2659" s="451" t="s">
        <v>24140</v>
      </c>
      <c r="B2659" s="451" t="s">
        <v>24141</v>
      </c>
      <c r="C2659" s="451" t="s">
        <v>24142</v>
      </c>
      <c r="D2659" s="451"/>
      <c r="E2659" s="451"/>
      <c r="F2659" s="451"/>
      <c r="G2659" s="451" t="s">
        <v>22877</v>
      </c>
      <c r="H2659" s="451" t="s">
        <v>22878</v>
      </c>
      <c r="I2659" s="451" t="s">
        <v>24143</v>
      </c>
      <c r="J2659" s="451" t="s">
        <v>24144</v>
      </c>
      <c r="K2659" s="451"/>
    </row>
    <row r="2660" spans="1:11">
      <c r="A2660" s="450" t="s">
        <v>5012</v>
      </c>
      <c r="B2660" s="450"/>
      <c r="C2660" s="450" t="s">
        <v>5013</v>
      </c>
      <c r="D2660" s="450"/>
      <c r="E2660" s="450"/>
      <c r="F2660" s="450"/>
      <c r="G2660" s="450" t="s">
        <v>22882</v>
      </c>
      <c r="H2660" s="450" t="s">
        <v>22883</v>
      </c>
      <c r="I2660" s="450" t="s">
        <v>34023</v>
      </c>
      <c r="J2660" s="450" t="s">
        <v>22997</v>
      </c>
      <c r="K2660" s="450"/>
    </row>
    <row r="2661" spans="1:11">
      <c r="A2661" s="451" t="s">
        <v>5014</v>
      </c>
      <c r="B2661" s="451"/>
      <c r="C2661" s="451" t="s">
        <v>5015</v>
      </c>
      <c r="D2661" s="451"/>
      <c r="E2661" s="451"/>
      <c r="F2661" s="451"/>
      <c r="G2661" s="451" t="s">
        <v>22882</v>
      </c>
      <c r="H2661" s="451" t="s">
        <v>22883</v>
      </c>
      <c r="I2661" s="451" t="s">
        <v>24145</v>
      </c>
      <c r="J2661" s="451" t="s">
        <v>23185</v>
      </c>
      <c r="K2661" s="451"/>
    </row>
    <row r="2662" spans="1:11">
      <c r="A2662" s="450" t="s">
        <v>5016</v>
      </c>
      <c r="B2662" s="450" t="s">
        <v>5017</v>
      </c>
      <c r="C2662" s="450" t="s">
        <v>5018</v>
      </c>
      <c r="D2662" s="450" t="s">
        <v>5019</v>
      </c>
      <c r="E2662" s="450"/>
      <c r="F2662" s="450"/>
      <c r="G2662" s="450" t="s">
        <v>22877</v>
      </c>
      <c r="H2662" s="450" t="s">
        <v>22878</v>
      </c>
      <c r="I2662" s="450" t="s">
        <v>34024</v>
      </c>
      <c r="J2662" s="450" t="s">
        <v>34025</v>
      </c>
      <c r="K2662" s="450"/>
    </row>
    <row r="2663" spans="1:11">
      <c r="A2663" s="451" t="s">
        <v>5016</v>
      </c>
      <c r="B2663" s="451" t="s">
        <v>5017</v>
      </c>
      <c r="C2663" s="451" t="s">
        <v>5018</v>
      </c>
      <c r="D2663" s="451" t="s">
        <v>5019</v>
      </c>
      <c r="E2663" s="451" t="s">
        <v>5020</v>
      </c>
      <c r="F2663" s="451"/>
      <c r="G2663" s="451" t="s">
        <v>22877</v>
      </c>
      <c r="H2663" s="451" t="s">
        <v>22878</v>
      </c>
      <c r="I2663" s="451" t="s">
        <v>5019</v>
      </c>
      <c r="J2663" s="451" t="s">
        <v>30831</v>
      </c>
      <c r="K2663" s="451"/>
    </row>
    <row r="2664" spans="1:11">
      <c r="A2664" s="450" t="s">
        <v>5021</v>
      </c>
      <c r="B2664" s="450"/>
      <c r="C2664" s="450" t="s">
        <v>5022</v>
      </c>
      <c r="D2664" s="450"/>
      <c r="E2664" s="450"/>
      <c r="F2664" s="450"/>
      <c r="G2664" s="450" t="s">
        <v>22882</v>
      </c>
      <c r="H2664" s="450" t="s">
        <v>22883</v>
      </c>
      <c r="I2664" s="450" t="s">
        <v>34026</v>
      </c>
      <c r="J2664" s="450" t="s">
        <v>22997</v>
      </c>
      <c r="K2664" s="450"/>
    </row>
    <row r="2665" spans="1:11">
      <c r="A2665" s="451" t="s">
        <v>5023</v>
      </c>
      <c r="B2665" s="451"/>
      <c r="C2665" s="451" t="s">
        <v>5024</v>
      </c>
      <c r="D2665" s="451"/>
      <c r="E2665" s="451"/>
      <c r="F2665" s="451"/>
      <c r="G2665" s="451" t="s">
        <v>22882</v>
      </c>
      <c r="H2665" s="451" t="s">
        <v>22883</v>
      </c>
      <c r="I2665" s="451"/>
      <c r="J2665" s="451" t="s">
        <v>24146</v>
      </c>
      <c r="K2665" s="451"/>
    </row>
    <row r="2666" spans="1:11">
      <c r="A2666" s="450" t="s">
        <v>34027</v>
      </c>
      <c r="B2666" s="450" t="s">
        <v>5026</v>
      </c>
      <c r="C2666" s="450" t="s">
        <v>5027</v>
      </c>
      <c r="D2666" s="450"/>
      <c r="E2666" s="450"/>
      <c r="F2666" s="450"/>
      <c r="G2666" s="450" t="s">
        <v>22877</v>
      </c>
      <c r="H2666" s="450" t="s">
        <v>22878</v>
      </c>
      <c r="I2666" s="450" t="s">
        <v>34028</v>
      </c>
      <c r="J2666" s="450" t="s">
        <v>34029</v>
      </c>
      <c r="K2666" s="450"/>
    </row>
    <row r="2667" spans="1:11">
      <c r="A2667" s="451" t="s">
        <v>5025</v>
      </c>
      <c r="B2667" s="451" t="s">
        <v>5026</v>
      </c>
      <c r="C2667" s="451" t="s">
        <v>5027</v>
      </c>
      <c r="D2667" s="451"/>
      <c r="E2667" s="451"/>
      <c r="F2667" s="451"/>
      <c r="G2667" s="451" t="s">
        <v>22877</v>
      </c>
      <c r="H2667" s="451" t="s">
        <v>22878</v>
      </c>
      <c r="I2667" s="451"/>
      <c r="J2667" s="451" t="s">
        <v>30832</v>
      </c>
      <c r="K2667" s="451"/>
    </row>
    <row r="2668" spans="1:11">
      <c r="A2668" s="450" t="s">
        <v>5028</v>
      </c>
      <c r="B2668" s="450"/>
      <c r="C2668" s="450" t="s">
        <v>5029</v>
      </c>
      <c r="D2668" s="450"/>
      <c r="E2668" s="450"/>
      <c r="F2668" s="450"/>
      <c r="G2668" s="450" t="s">
        <v>22882</v>
      </c>
      <c r="H2668" s="450" t="s">
        <v>22883</v>
      </c>
      <c r="I2668" s="450" t="s">
        <v>34030</v>
      </c>
      <c r="J2668" s="450" t="s">
        <v>23185</v>
      </c>
      <c r="K2668" s="450"/>
    </row>
    <row r="2669" spans="1:11">
      <c r="A2669" s="451" t="s">
        <v>5030</v>
      </c>
      <c r="B2669" s="451"/>
      <c r="C2669" s="451" t="s">
        <v>5031</v>
      </c>
      <c r="D2669" s="451"/>
      <c r="E2669" s="451"/>
      <c r="F2669" s="451"/>
      <c r="G2669" s="451" t="s">
        <v>22882</v>
      </c>
      <c r="H2669" s="451" t="s">
        <v>22883</v>
      </c>
      <c r="I2669" s="451"/>
      <c r="J2669" s="451" t="s">
        <v>22939</v>
      </c>
      <c r="K2669" s="451"/>
    </row>
    <row r="2670" spans="1:11">
      <c r="A2670" s="450" t="s">
        <v>24147</v>
      </c>
      <c r="B2670" s="450" t="s">
        <v>24148</v>
      </c>
      <c r="C2670" s="450" t="s">
        <v>24149</v>
      </c>
      <c r="D2670" s="450"/>
      <c r="E2670" s="450"/>
      <c r="F2670" s="450"/>
      <c r="G2670" s="450" t="s">
        <v>22877</v>
      </c>
      <c r="H2670" s="450" t="s">
        <v>22878</v>
      </c>
      <c r="I2670" s="450" t="s">
        <v>24150</v>
      </c>
      <c r="J2670" s="450" t="s">
        <v>24151</v>
      </c>
      <c r="K2670" s="450"/>
    </row>
    <row r="2671" spans="1:11">
      <c r="A2671" s="451" t="s">
        <v>5032</v>
      </c>
      <c r="B2671" s="451"/>
      <c r="C2671" s="451" t="s">
        <v>5033</v>
      </c>
      <c r="D2671" s="451"/>
      <c r="E2671" s="451"/>
      <c r="F2671" s="451"/>
      <c r="G2671" s="451" t="s">
        <v>22882</v>
      </c>
      <c r="H2671" s="451" t="s">
        <v>22883</v>
      </c>
      <c r="I2671" s="451"/>
      <c r="J2671" s="451" t="s">
        <v>22943</v>
      </c>
      <c r="K2671" s="451"/>
    </row>
    <row r="2672" spans="1:11">
      <c r="A2672" s="450" t="s">
        <v>5034</v>
      </c>
      <c r="B2672" s="450"/>
      <c r="C2672" s="450" t="s">
        <v>5035</v>
      </c>
      <c r="D2672" s="450"/>
      <c r="E2672" s="450"/>
      <c r="F2672" s="450"/>
      <c r="G2672" s="450" t="s">
        <v>22877</v>
      </c>
      <c r="H2672" s="450" t="s">
        <v>22878</v>
      </c>
      <c r="I2672" s="450" t="s">
        <v>34031</v>
      </c>
      <c r="J2672" s="450" t="s">
        <v>22997</v>
      </c>
      <c r="K2672" s="450"/>
    </row>
    <row r="2673" spans="1:11">
      <c r="A2673" s="451" t="s">
        <v>34032</v>
      </c>
      <c r="B2673" s="451"/>
      <c r="C2673" s="451" t="s">
        <v>5035</v>
      </c>
      <c r="D2673" s="451"/>
      <c r="E2673" s="451"/>
      <c r="F2673" s="451"/>
      <c r="G2673" s="451" t="s">
        <v>22877</v>
      </c>
      <c r="H2673" s="451" t="s">
        <v>22878</v>
      </c>
      <c r="I2673" s="451" t="s">
        <v>34033</v>
      </c>
      <c r="J2673" s="451" t="s">
        <v>22943</v>
      </c>
      <c r="K2673" s="451"/>
    </row>
    <row r="2674" spans="1:11">
      <c r="A2674" s="450" t="s">
        <v>5036</v>
      </c>
      <c r="B2674" s="450"/>
      <c r="C2674" s="450" t="s">
        <v>5037</v>
      </c>
      <c r="D2674" s="450"/>
      <c r="E2674" s="450"/>
      <c r="F2674" s="450"/>
      <c r="G2674" s="450" t="s">
        <v>22882</v>
      </c>
      <c r="H2674" s="450" t="s">
        <v>22883</v>
      </c>
      <c r="I2674" s="450" t="s">
        <v>34034</v>
      </c>
      <c r="J2674" s="450" t="s">
        <v>22943</v>
      </c>
      <c r="K2674" s="450"/>
    </row>
    <row r="2675" spans="1:11">
      <c r="A2675" s="451" t="s">
        <v>5038</v>
      </c>
      <c r="B2675" s="451"/>
      <c r="C2675" s="451" t="s">
        <v>5039</v>
      </c>
      <c r="D2675" s="451"/>
      <c r="E2675" s="451"/>
      <c r="F2675" s="451"/>
      <c r="G2675" s="451" t="s">
        <v>22882</v>
      </c>
      <c r="H2675" s="451" t="s">
        <v>22883</v>
      </c>
      <c r="I2675" s="451"/>
      <c r="J2675" s="451" t="s">
        <v>23185</v>
      </c>
      <c r="K2675" s="451"/>
    </row>
    <row r="2676" spans="1:11">
      <c r="A2676" s="450" t="s">
        <v>5040</v>
      </c>
      <c r="B2676" s="450" t="s">
        <v>5041</v>
      </c>
      <c r="C2676" s="450" t="s">
        <v>5042</v>
      </c>
      <c r="D2676" s="450" t="s">
        <v>4202</v>
      </c>
      <c r="E2676" s="450"/>
      <c r="F2676" s="450"/>
      <c r="G2676" s="450" t="s">
        <v>22877</v>
      </c>
      <c r="H2676" s="450" t="s">
        <v>22878</v>
      </c>
      <c r="I2676" s="450" t="s">
        <v>4202</v>
      </c>
      <c r="J2676" s="450" t="s">
        <v>34035</v>
      </c>
      <c r="K2676" s="450"/>
    </row>
    <row r="2677" spans="1:11">
      <c r="A2677" s="451" t="s">
        <v>5040</v>
      </c>
      <c r="B2677" s="451" t="s">
        <v>5041</v>
      </c>
      <c r="C2677" s="451" t="s">
        <v>5042</v>
      </c>
      <c r="D2677" s="451" t="s">
        <v>4202</v>
      </c>
      <c r="E2677" s="451" t="s">
        <v>4203</v>
      </c>
      <c r="F2677" s="451"/>
      <c r="G2677" s="451" t="s">
        <v>22877</v>
      </c>
      <c r="H2677" s="451" t="s">
        <v>22878</v>
      </c>
      <c r="I2677" s="451" t="s">
        <v>4202</v>
      </c>
      <c r="J2677" s="451" t="s">
        <v>30833</v>
      </c>
      <c r="K2677" s="451"/>
    </row>
    <row r="2678" spans="1:11">
      <c r="A2678" s="450" t="s">
        <v>5043</v>
      </c>
      <c r="B2678" s="450" t="s">
        <v>5044</v>
      </c>
      <c r="C2678" s="450" t="s">
        <v>4206</v>
      </c>
      <c r="D2678" s="450" t="s">
        <v>4207</v>
      </c>
      <c r="E2678" s="450"/>
      <c r="F2678" s="450"/>
      <c r="G2678" s="450" t="s">
        <v>22877</v>
      </c>
      <c r="H2678" s="450" t="s">
        <v>22878</v>
      </c>
      <c r="I2678" s="450" t="s">
        <v>4207</v>
      </c>
      <c r="J2678" s="450" t="s">
        <v>34036</v>
      </c>
      <c r="K2678" s="450"/>
    </row>
    <row r="2679" spans="1:11">
      <c r="A2679" s="451" t="s">
        <v>5043</v>
      </c>
      <c r="B2679" s="451" t="s">
        <v>5044</v>
      </c>
      <c r="C2679" s="451" t="s">
        <v>4206</v>
      </c>
      <c r="D2679" s="451" t="s">
        <v>4207</v>
      </c>
      <c r="E2679" s="451" t="s">
        <v>4208</v>
      </c>
      <c r="F2679" s="451"/>
      <c r="G2679" s="451" t="s">
        <v>22877</v>
      </c>
      <c r="H2679" s="451" t="s">
        <v>22878</v>
      </c>
      <c r="I2679" s="451" t="s">
        <v>4207</v>
      </c>
      <c r="J2679" s="451" t="s">
        <v>30834</v>
      </c>
      <c r="K2679" s="451"/>
    </row>
    <row r="2680" spans="1:11">
      <c r="A2680" s="450" t="s">
        <v>5045</v>
      </c>
      <c r="B2680" s="450" t="s">
        <v>5046</v>
      </c>
      <c r="C2680" s="450" t="s">
        <v>5047</v>
      </c>
      <c r="D2680" s="450"/>
      <c r="E2680" s="450"/>
      <c r="F2680" s="450"/>
      <c r="G2680" s="450" t="s">
        <v>22877</v>
      </c>
      <c r="H2680" s="450" t="s">
        <v>22878</v>
      </c>
      <c r="I2680" s="450"/>
      <c r="J2680" s="450" t="s">
        <v>24153</v>
      </c>
      <c r="K2680" s="450"/>
    </row>
    <row r="2681" spans="1:11">
      <c r="A2681" s="451" t="s">
        <v>30835</v>
      </c>
      <c r="B2681" s="451" t="s">
        <v>5046</v>
      </c>
      <c r="C2681" s="451" t="s">
        <v>5047</v>
      </c>
      <c r="D2681" s="451"/>
      <c r="E2681" s="451"/>
      <c r="F2681" s="451"/>
      <c r="G2681" s="451" t="s">
        <v>22877</v>
      </c>
      <c r="H2681" s="451" t="s">
        <v>22878</v>
      </c>
      <c r="I2681" s="451" t="s">
        <v>24152</v>
      </c>
      <c r="J2681" s="451" t="s">
        <v>24153</v>
      </c>
      <c r="K2681" s="451"/>
    </row>
    <row r="2682" spans="1:11">
      <c r="A2682" s="450" t="s">
        <v>24154</v>
      </c>
      <c r="B2682" s="450"/>
      <c r="C2682" s="450" t="s">
        <v>3795</v>
      </c>
      <c r="D2682" s="450"/>
      <c r="E2682" s="450"/>
      <c r="F2682" s="450"/>
      <c r="G2682" s="450" t="s">
        <v>22877</v>
      </c>
      <c r="H2682" s="450" t="s">
        <v>22878</v>
      </c>
      <c r="I2682" s="450" t="s">
        <v>24155</v>
      </c>
      <c r="J2682" s="450" t="s">
        <v>22997</v>
      </c>
      <c r="K2682" s="450"/>
    </row>
    <row r="2683" spans="1:11">
      <c r="A2683" s="451" t="s">
        <v>21264</v>
      </c>
      <c r="B2683" s="451" t="s">
        <v>21263</v>
      </c>
      <c r="C2683" s="451" t="s">
        <v>21265</v>
      </c>
      <c r="D2683" s="451" t="s">
        <v>34037</v>
      </c>
      <c r="E2683" s="451"/>
      <c r="F2683" s="451"/>
      <c r="G2683" s="451" t="s">
        <v>22877</v>
      </c>
      <c r="H2683" s="451" t="s">
        <v>22878</v>
      </c>
      <c r="I2683" s="451" t="s">
        <v>24057</v>
      </c>
      <c r="J2683" s="451" t="s">
        <v>34038</v>
      </c>
      <c r="K2683" s="451"/>
    </row>
    <row r="2684" spans="1:11">
      <c r="A2684" s="450" t="s">
        <v>24156</v>
      </c>
      <c r="B2684" s="450" t="s">
        <v>24157</v>
      </c>
      <c r="C2684" s="450" t="s">
        <v>24158</v>
      </c>
      <c r="D2684" s="450"/>
      <c r="E2684" s="450"/>
      <c r="F2684" s="450"/>
      <c r="G2684" s="450" t="s">
        <v>22877</v>
      </c>
      <c r="H2684" s="450" t="s">
        <v>22878</v>
      </c>
      <c r="I2684" s="450" t="s">
        <v>24057</v>
      </c>
      <c r="J2684" s="450" t="s">
        <v>24159</v>
      </c>
      <c r="K2684" s="450"/>
    </row>
    <row r="2685" spans="1:11">
      <c r="A2685" s="451" t="s">
        <v>5048</v>
      </c>
      <c r="B2685" s="451" t="s">
        <v>4027</v>
      </c>
      <c r="C2685" s="451" t="s">
        <v>5049</v>
      </c>
      <c r="D2685" s="451" t="s">
        <v>5050</v>
      </c>
      <c r="E2685" s="451"/>
      <c r="F2685" s="451"/>
      <c r="G2685" s="451" t="s">
        <v>22877</v>
      </c>
      <c r="H2685" s="451" t="s">
        <v>22878</v>
      </c>
      <c r="I2685" s="451" t="s">
        <v>5050</v>
      </c>
      <c r="J2685" s="451" t="s">
        <v>24160</v>
      </c>
      <c r="K2685" s="451"/>
    </row>
    <row r="2686" spans="1:11">
      <c r="A2686" s="450" t="s">
        <v>5048</v>
      </c>
      <c r="B2686" s="450" t="s">
        <v>4027</v>
      </c>
      <c r="C2686" s="450" t="s">
        <v>5049</v>
      </c>
      <c r="D2686" s="450" t="s">
        <v>5050</v>
      </c>
      <c r="E2686" s="450" t="s">
        <v>5051</v>
      </c>
      <c r="F2686" s="450"/>
      <c r="G2686" s="450" t="s">
        <v>22882</v>
      </c>
      <c r="H2686" s="450" t="s">
        <v>22883</v>
      </c>
      <c r="I2686" s="450"/>
      <c r="J2686" s="450" t="s">
        <v>24160</v>
      </c>
      <c r="K2686" s="450"/>
    </row>
    <row r="2687" spans="1:11">
      <c r="A2687" s="451" t="s">
        <v>34039</v>
      </c>
      <c r="B2687" s="451" t="s">
        <v>5053</v>
      </c>
      <c r="C2687" s="451" t="s">
        <v>5054</v>
      </c>
      <c r="D2687" s="451" t="s">
        <v>5055</v>
      </c>
      <c r="E2687" s="451"/>
      <c r="F2687" s="451"/>
      <c r="G2687" s="451" t="s">
        <v>22877</v>
      </c>
      <c r="H2687" s="451" t="s">
        <v>22878</v>
      </c>
      <c r="I2687" s="451" t="s">
        <v>5055</v>
      </c>
      <c r="J2687" s="451" t="s">
        <v>34040</v>
      </c>
      <c r="K2687" s="451"/>
    </row>
    <row r="2688" spans="1:11">
      <c r="A2688" s="450" t="s">
        <v>5052</v>
      </c>
      <c r="B2688" s="450" t="s">
        <v>5053</v>
      </c>
      <c r="C2688" s="450" t="s">
        <v>5054</v>
      </c>
      <c r="D2688" s="450" t="s">
        <v>5055</v>
      </c>
      <c r="E2688" s="450" t="s">
        <v>5056</v>
      </c>
      <c r="F2688" s="450"/>
      <c r="G2688" s="450" t="s">
        <v>22877</v>
      </c>
      <c r="H2688" s="450" t="s">
        <v>22878</v>
      </c>
      <c r="I2688" s="450" t="s">
        <v>23389</v>
      </c>
      <c r="J2688" s="450" t="s">
        <v>30836</v>
      </c>
      <c r="K2688" s="450"/>
    </row>
    <row r="2689" spans="1:11">
      <c r="A2689" s="451" t="s">
        <v>5057</v>
      </c>
      <c r="B2689" s="451"/>
      <c r="C2689" s="451" t="s">
        <v>5058</v>
      </c>
      <c r="D2689" s="451"/>
      <c r="E2689" s="451"/>
      <c r="F2689" s="451"/>
      <c r="G2689" s="451" t="s">
        <v>32482</v>
      </c>
      <c r="H2689" s="451" t="s">
        <v>22878</v>
      </c>
      <c r="I2689" s="451" t="s">
        <v>34041</v>
      </c>
      <c r="J2689" s="451"/>
      <c r="K2689" s="451"/>
    </row>
    <row r="2690" spans="1:11">
      <c r="A2690" s="450" t="s">
        <v>34042</v>
      </c>
      <c r="B2690" s="450"/>
      <c r="C2690" s="450" t="s">
        <v>5060</v>
      </c>
      <c r="D2690" s="450"/>
      <c r="E2690" s="450"/>
      <c r="F2690" s="450"/>
      <c r="G2690" s="450" t="s">
        <v>22877</v>
      </c>
      <c r="H2690" s="450" t="s">
        <v>22878</v>
      </c>
      <c r="I2690" s="450" t="s">
        <v>34043</v>
      </c>
      <c r="J2690" s="450" t="s">
        <v>22943</v>
      </c>
      <c r="K2690" s="450"/>
    </row>
    <row r="2691" spans="1:11">
      <c r="A2691" s="451" t="s">
        <v>5059</v>
      </c>
      <c r="B2691" s="451"/>
      <c r="C2691" s="451" t="s">
        <v>5060</v>
      </c>
      <c r="D2691" s="451"/>
      <c r="E2691" s="451"/>
      <c r="F2691" s="451"/>
      <c r="G2691" s="451" t="s">
        <v>22882</v>
      </c>
      <c r="H2691" s="451" t="s">
        <v>22883</v>
      </c>
      <c r="I2691" s="451"/>
      <c r="J2691" s="451" t="s">
        <v>23185</v>
      </c>
      <c r="K2691" s="451"/>
    </row>
    <row r="2692" spans="1:11">
      <c r="A2692" s="450" t="s">
        <v>5061</v>
      </c>
      <c r="B2692" s="450"/>
      <c r="C2692" s="450" t="s">
        <v>5062</v>
      </c>
      <c r="D2692" s="450"/>
      <c r="E2692" s="450"/>
      <c r="F2692" s="450"/>
      <c r="G2692" s="450" t="s">
        <v>22882</v>
      </c>
      <c r="H2692" s="450" t="s">
        <v>22883</v>
      </c>
      <c r="I2692" s="450"/>
      <c r="J2692" s="450" t="s">
        <v>22997</v>
      </c>
      <c r="K2692" s="450"/>
    </row>
    <row r="2693" spans="1:11">
      <c r="A2693" s="451" t="s">
        <v>34044</v>
      </c>
      <c r="B2693" s="451"/>
      <c r="C2693" s="451" t="s">
        <v>5064</v>
      </c>
      <c r="D2693" s="451"/>
      <c r="E2693" s="451"/>
      <c r="F2693" s="451"/>
      <c r="G2693" s="451" t="s">
        <v>22877</v>
      </c>
      <c r="H2693" s="451" t="s">
        <v>22878</v>
      </c>
      <c r="I2693" s="451" t="s">
        <v>34045</v>
      </c>
      <c r="J2693" s="451" t="s">
        <v>22943</v>
      </c>
      <c r="K2693" s="451"/>
    </row>
    <row r="2694" spans="1:11">
      <c r="A2694" s="450" t="s">
        <v>5063</v>
      </c>
      <c r="B2694" s="450"/>
      <c r="C2694" s="450" t="s">
        <v>5064</v>
      </c>
      <c r="D2694" s="450"/>
      <c r="E2694" s="450"/>
      <c r="F2694" s="450"/>
      <c r="G2694" s="450" t="s">
        <v>22877</v>
      </c>
      <c r="H2694" s="450" t="s">
        <v>22878</v>
      </c>
      <c r="I2694" s="450"/>
      <c r="J2694" s="450" t="s">
        <v>23185</v>
      </c>
      <c r="K2694" s="450"/>
    </row>
    <row r="2695" spans="1:11">
      <c r="A2695" s="451" t="s">
        <v>34046</v>
      </c>
      <c r="B2695" s="451"/>
      <c r="C2695" s="451" t="s">
        <v>5066</v>
      </c>
      <c r="D2695" s="451"/>
      <c r="E2695" s="451"/>
      <c r="F2695" s="451"/>
      <c r="G2695" s="451" t="s">
        <v>22877</v>
      </c>
      <c r="H2695" s="451" t="s">
        <v>22878</v>
      </c>
      <c r="I2695" s="451" t="s">
        <v>24161</v>
      </c>
      <c r="J2695" s="451" t="s">
        <v>22997</v>
      </c>
      <c r="K2695" s="451"/>
    </row>
    <row r="2696" spans="1:11">
      <c r="A2696" s="450" t="s">
        <v>5065</v>
      </c>
      <c r="B2696" s="450"/>
      <c r="C2696" s="450" t="s">
        <v>5066</v>
      </c>
      <c r="D2696" s="450"/>
      <c r="E2696" s="450"/>
      <c r="F2696" s="450"/>
      <c r="G2696" s="450" t="s">
        <v>22877</v>
      </c>
      <c r="H2696" s="450" t="s">
        <v>22878</v>
      </c>
      <c r="I2696" s="450" t="s">
        <v>24161</v>
      </c>
      <c r="J2696" s="450" t="s">
        <v>23185</v>
      </c>
      <c r="K2696" s="450"/>
    </row>
    <row r="2697" spans="1:11">
      <c r="A2697" s="451" t="s">
        <v>24162</v>
      </c>
      <c r="B2697" s="451" t="s">
        <v>5068</v>
      </c>
      <c r="C2697" s="451" t="s">
        <v>5069</v>
      </c>
      <c r="D2697" s="451"/>
      <c r="E2697" s="451"/>
      <c r="F2697" s="451"/>
      <c r="G2697" s="451" t="s">
        <v>22882</v>
      </c>
      <c r="H2697" s="451" t="s">
        <v>22883</v>
      </c>
      <c r="I2697" s="451" t="s">
        <v>24163</v>
      </c>
      <c r="J2697" s="451" t="s">
        <v>24164</v>
      </c>
      <c r="K2697" s="451"/>
    </row>
    <row r="2698" spans="1:11">
      <c r="A2698" s="450" t="s">
        <v>5067</v>
      </c>
      <c r="B2698" s="450" t="s">
        <v>5068</v>
      </c>
      <c r="C2698" s="450" t="s">
        <v>5069</v>
      </c>
      <c r="D2698" s="450"/>
      <c r="E2698" s="450"/>
      <c r="F2698" s="450"/>
      <c r="G2698" s="450" t="s">
        <v>22882</v>
      </c>
      <c r="H2698" s="450" t="s">
        <v>22883</v>
      </c>
      <c r="I2698" s="450"/>
      <c r="J2698" s="450" t="s">
        <v>34047</v>
      </c>
      <c r="K2698" s="450"/>
    </row>
    <row r="2699" spans="1:11">
      <c r="A2699" s="451" t="s">
        <v>5071</v>
      </c>
      <c r="B2699" s="451"/>
      <c r="C2699" s="451" t="s">
        <v>5072</v>
      </c>
      <c r="D2699" s="451"/>
      <c r="E2699" s="451"/>
      <c r="F2699" s="451"/>
      <c r="G2699" s="451" t="s">
        <v>22882</v>
      </c>
      <c r="H2699" s="451" t="s">
        <v>22883</v>
      </c>
      <c r="I2699" s="451"/>
      <c r="J2699" s="451" t="s">
        <v>22943</v>
      </c>
      <c r="K2699" s="451"/>
    </row>
    <row r="2700" spans="1:11">
      <c r="A2700" s="450" t="s">
        <v>5073</v>
      </c>
      <c r="B2700" s="450"/>
      <c r="C2700" s="450" t="s">
        <v>3509</v>
      </c>
      <c r="D2700" s="450"/>
      <c r="E2700" s="450"/>
      <c r="F2700" s="450"/>
      <c r="G2700" s="450" t="s">
        <v>22882</v>
      </c>
      <c r="H2700" s="450" t="s">
        <v>22883</v>
      </c>
      <c r="I2700" s="450" t="s">
        <v>34048</v>
      </c>
      <c r="J2700" s="450" t="s">
        <v>22943</v>
      </c>
      <c r="K2700" s="450"/>
    </row>
    <row r="2701" spans="1:11">
      <c r="A2701" s="451" t="s">
        <v>5074</v>
      </c>
      <c r="B2701" s="451"/>
      <c r="C2701" s="451" t="s">
        <v>5075</v>
      </c>
      <c r="D2701" s="451"/>
      <c r="E2701" s="451"/>
      <c r="F2701" s="451"/>
      <c r="G2701" s="451" t="s">
        <v>22877</v>
      </c>
      <c r="H2701" s="451" t="s">
        <v>22878</v>
      </c>
      <c r="I2701" s="451" t="s">
        <v>34049</v>
      </c>
      <c r="J2701" s="451" t="s">
        <v>22997</v>
      </c>
      <c r="K2701" s="451"/>
    </row>
    <row r="2702" spans="1:11">
      <c r="A2702" s="450" t="s">
        <v>21566</v>
      </c>
      <c r="B2702" s="450"/>
      <c r="C2702" s="450" t="s">
        <v>5070</v>
      </c>
      <c r="D2702" s="450"/>
      <c r="E2702" s="450"/>
      <c r="F2702" s="450"/>
      <c r="G2702" s="450" t="s">
        <v>22877</v>
      </c>
      <c r="H2702" s="450" t="s">
        <v>22878</v>
      </c>
      <c r="I2702" s="450" t="s">
        <v>30837</v>
      </c>
      <c r="J2702" s="450" t="s">
        <v>22997</v>
      </c>
      <c r="K2702" s="450"/>
    </row>
    <row r="2703" spans="1:11">
      <c r="A2703" s="451" t="s">
        <v>5076</v>
      </c>
      <c r="B2703" s="451"/>
      <c r="C2703" s="451" t="s">
        <v>5077</v>
      </c>
      <c r="D2703" s="451"/>
      <c r="E2703" s="451"/>
      <c r="F2703" s="451"/>
      <c r="G2703" s="451" t="s">
        <v>22877</v>
      </c>
      <c r="H2703" s="451" t="s">
        <v>22878</v>
      </c>
      <c r="I2703" s="451"/>
      <c r="J2703" s="451" t="s">
        <v>34050</v>
      </c>
      <c r="K2703" s="451"/>
    </row>
    <row r="2704" spans="1:11">
      <c r="A2704" s="450" t="s">
        <v>5078</v>
      </c>
      <c r="B2704" s="450" t="s">
        <v>5079</v>
      </c>
      <c r="C2704" s="450" t="s">
        <v>1185</v>
      </c>
      <c r="D2704" s="450" t="s">
        <v>5080</v>
      </c>
      <c r="E2704" s="450" t="s">
        <v>5081</v>
      </c>
      <c r="F2704" s="450"/>
      <c r="G2704" s="450" t="s">
        <v>22877</v>
      </c>
      <c r="H2704" s="450" t="s">
        <v>22878</v>
      </c>
      <c r="I2704" s="450"/>
      <c r="J2704" s="450" t="s">
        <v>34051</v>
      </c>
      <c r="K2704" s="450"/>
    </row>
    <row r="2705" spans="1:11">
      <c r="A2705" s="451" t="s">
        <v>24165</v>
      </c>
      <c r="B2705" s="451" t="s">
        <v>5079</v>
      </c>
      <c r="C2705" s="451" t="s">
        <v>1185</v>
      </c>
      <c r="D2705" s="451" t="s">
        <v>5080</v>
      </c>
      <c r="E2705" s="451"/>
      <c r="F2705" s="451"/>
      <c r="G2705" s="451" t="s">
        <v>22877</v>
      </c>
      <c r="H2705" s="451" t="s">
        <v>22878</v>
      </c>
      <c r="I2705" s="451" t="s">
        <v>5080</v>
      </c>
      <c r="J2705" s="451" t="s">
        <v>24166</v>
      </c>
      <c r="K2705" s="451"/>
    </row>
    <row r="2706" spans="1:11">
      <c r="A2706" s="450" t="s">
        <v>24167</v>
      </c>
      <c r="B2706" s="450" t="s">
        <v>24168</v>
      </c>
      <c r="C2706" s="450" t="s">
        <v>22042</v>
      </c>
      <c r="D2706" s="450"/>
      <c r="E2706" s="450"/>
      <c r="F2706" s="450" t="s">
        <v>24169</v>
      </c>
      <c r="G2706" s="450" t="s">
        <v>22877</v>
      </c>
      <c r="H2706" s="450" t="s">
        <v>22878</v>
      </c>
      <c r="I2706" s="450" t="s">
        <v>24170</v>
      </c>
      <c r="J2706" s="450" t="s">
        <v>24171</v>
      </c>
      <c r="K2706" s="450"/>
    </row>
    <row r="2707" spans="1:11">
      <c r="A2707" s="451" t="s">
        <v>5082</v>
      </c>
      <c r="B2707" s="451"/>
      <c r="C2707" s="451" t="s">
        <v>1112</v>
      </c>
      <c r="D2707" s="451"/>
      <c r="E2707" s="451"/>
      <c r="F2707" s="451"/>
      <c r="G2707" s="451" t="s">
        <v>22877</v>
      </c>
      <c r="H2707" s="451" t="s">
        <v>22878</v>
      </c>
      <c r="I2707" s="451" t="s">
        <v>34052</v>
      </c>
      <c r="J2707" s="451" t="s">
        <v>22943</v>
      </c>
      <c r="K2707" s="451"/>
    </row>
    <row r="2708" spans="1:11">
      <c r="A2708" s="450" t="s">
        <v>5083</v>
      </c>
      <c r="B2708" s="450"/>
      <c r="C2708" s="450" t="s">
        <v>4160</v>
      </c>
      <c r="D2708" s="450"/>
      <c r="E2708" s="450"/>
      <c r="F2708" s="450"/>
      <c r="G2708" s="450" t="s">
        <v>22882</v>
      </c>
      <c r="H2708" s="450" t="s">
        <v>22883</v>
      </c>
      <c r="I2708" s="450" t="s">
        <v>34053</v>
      </c>
      <c r="J2708" s="450" t="s">
        <v>34054</v>
      </c>
      <c r="K2708" s="450"/>
    </row>
    <row r="2709" spans="1:11">
      <c r="A2709" s="451" t="s">
        <v>34055</v>
      </c>
      <c r="B2709" s="451"/>
      <c r="C2709" s="451" t="s">
        <v>4160</v>
      </c>
      <c r="D2709" s="451"/>
      <c r="E2709" s="451"/>
      <c r="F2709" s="451"/>
      <c r="G2709" s="451" t="s">
        <v>22877</v>
      </c>
      <c r="H2709" s="451" t="s">
        <v>22878</v>
      </c>
      <c r="I2709" s="451" t="s">
        <v>34053</v>
      </c>
      <c r="J2709" s="451" t="s">
        <v>22943</v>
      </c>
      <c r="K2709" s="451"/>
    </row>
    <row r="2710" spans="1:11">
      <c r="A2710" s="450" t="s">
        <v>5084</v>
      </c>
      <c r="B2710" s="450"/>
      <c r="C2710" s="450" t="s">
        <v>5085</v>
      </c>
      <c r="D2710" s="450"/>
      <c r="E2710" s="450"/>
      <c r="F2710" s="450"/>
      <c r="G2710" s="450" t="s">
        <v>22882</v>
      </c>
      <c r="H2710" s="450" t="s">
        <v>22883</v>
      </c>
      <c r="I2710" s="450"/>
      <c r="J2710" s="450" t="s">
        <v>22943</v>
      </c>
      <c r="K2710" s="450"/>
    </row>
    <row r="2711" spans="1:11">
      <c r="A2711" s="451" t="s">
        <v>34056</v>
      </c>
      <c r="B2711" s="451"/>
      <c r="C2711" s="451" t="s">
        <v>5091</v>
      </c>
      <c r="D2711" s="451"/>
      <c r="E2711" s="451"/>
      <c r="F2711" s="451"/>
      <c r="G2711" s="451" t="s">
        <v>22877</v>
      </c>
      <c r="H2711" s="451" t="s">
        <v>22878</v>
      </c>
      <c r="I2711" s="451" t="s">
        <v>34057</v>
      </c>
      <c r="J2711" s="451" t="s">
        <v>22943</v>
      </c>
      <c r="K2711" s="451"/>
    </row>
    <row r="2712" spans="1:11">
      <c r="A2712" s="450" t="s">
        <v>5086</v>
      </c>
      <c r="B2712" s="450"/>
      <c r="C2712" s="450" t="s">
        <v>5087</v>
      </c>
      <c r="D2712" s="450"/>
      <c r="E2712" s="450"/>
      <c r="F2712" s="450"/>
      <c r="G2712" s="450" t="s">
        <v>22882</v>
      </c>
      <c r="H2712" s="450" t="s">
        <v>22883</v>
      </c>
      <c r="I2712" s="450"/>
      <c r="J2712" s="450" t="s">
        <v>22997</v>
      </c>
      <c r="K2712" s="450"/>
    </row>
    <row r="2713" spans="1:11">
      <c r="A2713" s="451" t="s">
        <v>5088</v>
      </c>
      <c r="B2713" s="451"/>
      <c r="C2713" s="451" t="s">
        <v>5089</v>
      </c>
      <c r="D2713" s="451"/>
      <c r="E2713" s="451"/>
      <c r="F2713" s="451"/>
      <c r="G2713" s="451" t="s">
        <v>22877</v>
      </c>
      <c r="H2713" s="451" t="s">
        <v>22878</v>
      </c>
      <c r="I2713" s="451" t="s">
        <v>34058</v>
      </c>
      <c r="J2713" s="451" t="s">
        <v>23185</v>
      </c>
      <c r="K2713" s="451"/>
    </row>
    <row r="2714" spans="1:11">
      <c r="A2714" s="450" t="s">
        <v>5090</v>
      </c>
      <c r="B2714" s="450"/>
      <c r="C2714" s="450" t="s">
        <v>5091</v>
      </c>
      <c r="D2714" s="450"/>
      <c r="E2714" s="450"/>
      <c r="F2714" s="450"/>
      <c r="G2714" s="450" t="s">
        <v>22882</v>
      </c>
      <c r="H2714" s="450" t="s">
        <v>22883</v>
      </c>
      <c r="I2714" s="450" t="s">
        <v>34059</v>
      </c>
      <c r="J2714" s="450" t="s">
        <v>23492</v>
      </c>
      <c r="K2714" s="450"/>
    </row>
    <row r="2715" spans="1:11">
      <c r="A2715" s="451" t="s">
        <v>5092</v>
      </c>
      <c r="B2715" s="451"/>
      <c r="C2715" s="451" t="s">
        <v>5093</v>
      </c>
      <c r="D2715" s="451"/>
      <c r="E2715" s="451"/>
      <c r="F2715" s="451"/>
      <c r="G2715" s="451" t="s">
        <v>22882</v>
      </c>
      <c r="H2715" s="451" t="s">
        <v>22883</v>
      </c>
      <c r="I2715" s="451"/>
      <c r="J2715" s="451" t="s">
        <v>23185</v>
      </c>
      <c r="K2715" s="451"/>
    </row>
    <row r="2716" spans="1:11">
      <c r="A2716" s="450" t="s">
        <v>5094</v>
      </c>
      <c r="B2716" s="450"/>
      <c r="C2716" s="450" t="s">
        <v>5095</v>
      </c>
      <c r="D2716" s="450"/>
      <c r="E2716" s="450"/>
      <c r="F2716" s="450"/>
      <c r="G2716" s="450" t="s">
        <v>22877</v>
      </c>
      <c r="H2716" s="450" t="s">
        <v>22878</v>
      </c>
      <c r="I2716" s="450" t="s">
        <v>24172</v>
      </c>
      <c r="J2716" s="450" t="s">
        <v>22997</v>
      </c>
      <c r="K2716" s="450"/>
    </row>
    <row r="2717" spans="1:11">
      <c r="A2717" s="451" t="s">
        <v>34060</v>
      </c>
      <c r="B2717" s="451" t="s">
        <v>5097</v>
      </c>
      <c r="C2717" s="451" t="s">
        <v>5098</v>
      </c>
      <c r="D2717" s="451"/>
      <c r="E2717" s="451"/>
      <c r="F2717" s="451"/>
      <c r="G2717" s="451" t="s">
        <v>22877</v>
      </c>
      <c r="H2717" s="451" t="s">
        <v>22878</v>
      </c>
      <c r="I2717" s="451" t="s">
        <v>24173</v>
      </c>
      <c r="J2717" s="451" t="s">
        <v>34061</v>
      </c>
      <c r="K2717" s="451"/>
    </row>
    <row r="2718" spans="1:11">
      <c r="A2718" s="450" t="s">
        <v>5096</v>
      </c>
      <c r="B2718" s="450" t="s">
        <v>5097</v>
      </c>
      <c r="C2718" s="450" t="s">
        <v>5098</v>
      </c>
      <c r="D2718" s="450"/>
      <c r="E2718" s="450"/>
      <c r="F2718" s="450"/>
      <c r="G2718" s="450" t="s">
        <v>22877</v>
      </c>
      <c r="H2718" s="450" t="s">
        <v>22878</v>
      </c>
      <c r="I2718" s="450" t="s">
        <v>24173</v>
      </c>
      <c r="J2718" s="450" t="s">
        <v>30838</v>
      </c>
      <c r="K2718" s="450"/>
    </row>
    <row r="2719" spans="1:11">
      <c r="A2719" s="451" t="s">
        <v>5099</v>
      </c>
      <c r="B2719" s="451"/>
      <c r="C2719" s="451" t="s">
        <v>5100</v>
      </c>
      <c r="D2719" s="451"/>
      <c r="E2719" s="451"/>
      <c r="F2719" s="451"/>
      <c r="G2719" s="451" t="s">
        <v>22877</v>
      </c>
      <c r="H2719" s="451" t="s">
        <v>22878</v>
      </c>
      <c r="I2719" s="451" t="s">
        <v>34062</v>
      </c>
      <c r="J2719" s="451" t="s">
        <v>22997</v>
      </c>
      <c r="K2719" s="451"/>
    </row>
    <row r="2720" spans="1:11">
      <c r="A2720" s="450" t="s">
        <v>5101</v>
      </c>
      <c r="B2720" s="450"/>
      <c r="C2720" s="450" t="s">
        <v>5102</v>
      </c>
      <c r="D2720" s="450"/>
      <c r="E2720" s="450"/>
      <c r="F2720" s="450"/>
      <c r="G2720" s="450" t="s">
        <v>22877</v>
      </c>
      <c r="H2720" s="450" t="s">
        <v>22878</v>
      </c>
      <c r="I2720" s="450" t="s">
        <v>34063</v>
      </c>
      <c r="J2720" s="450" t="s">
        <v>23185</v>
      </c>
      <c r="K2720" s="450"/>
    </row>
    <row r="2721" spans="1:11">
      <c r="A2721" s="451" t="s">
        <v>5103</v>
      </c>
      <c r="B2721" s="451"/>
      <c r="C2721" s="451" t="s">
        <v>5104</v>
      </c>
      <c r="D2721" s="451"/>
      <c r="E2721" s="451"/>
      <c r="F2721" s="451"/>
      <c r="G2721" s="451" t="s">
        <v>22882</v>
      </c>
      <c r="H2721" s="451" t="s">
        <v>22883</v>
      </c>
      <c r="I2721" s="451"/>
      <c r="J2721" s="451" t="s">
        <v>23185</v>
      </c>
      <c r="K2721" s="451"/>
    </row>
    <row r="2722" spans="1:11">
      <c r="A2722" s="450" t="s">
        <v>5105</v>
      </c>
      <c r="B2722" s="450"/>
      <c r="C2722" s="450" t="s">
        <v>1946</v>
      </c>
      <c r="D2722" s="450"/>
      <c r="E2722" s="450"/>
      <c r="F2722" s="450"/>
      <c r="G2722" s="450" t="s">
        <v>22877</v>
      </c>
      <c r="H2722" s="450" t="s">
        <v>22878</v>
      </c>
      <c r="I2722" s="450" t="s">
        <v>24174</v>
      </c>
      <c r="J2722" s="450" t="s">
        <v>23185</v>
      </c>
      <c r="K2722" s="450"/>
    </row>
    <row r="2723" spans="1:11">
      <c r="A2723" s="451" t="s">
        <v>5106</v>
      </c>
      <c r="B2723" s="451" t="s">
        <v>34064</v>
      </c>
      <c r="C2723" s="451" t="s">
        <v>5108</v>
      </c>
      <c r="D2723" s="451"/>
      <c r="E2723" s="451"/>
      <c r="F2723" s="451"/>
      <c r="G2723" s="451" t="s">
        <v>22877</v>
      </c>
      <c r="H2723" s="451" t="s">
        <v>22878</v>
      </c>
      <c r="I2723" s="451" t="s">
        <v>24175</v>
      </c>
      <c r="J2723" s="451" t="s">
        <v>34065</v>
      </c>
      <c r="K2723" s="451"/>
    </row>
    <row r="2724" spans="1:11">
      <c r="A2724" s="450" t="s">
        <v>5106</v>
      </c>
      <c r="B2724" s="450" t="s">
        <v>5107</v>
      </c>
      <c r="C2724" s="450" t="s">
        <v>5108</v>
      </c>
      <c r="D2724" s="450"/>
      <c r="E2724" s="450"/>
      <c r="F2724" s="450"/>
      <c r="G2724" s="450" t="s">
        <v>22882</v>
      </c>
      <c r="H2724" s="450" t="s">
        <v>22883</v>
      </c>
      <c r="I2724" s="450" t="s">
        <v>24175</v>
      </c>
      <c r="J2724" s="450" t="s">
        <v>30839</v>
      </c>
      <c r="K2724" s="450"/>
    </row>
    <row r="2725" spans="1:11">
      <c r="A2725" s="451" t="s">
        <v>5109</v>
      </c>
      <c r="B2725" s="451" t="s">
        <v>5110</v>
      </c>
      <c r="C2725" s="451" t="s">
        <v>5111</v>
      </c>
      <c r="D2725" s="451" t="s">
        <v>5112</v>
      </c>
      <c r="E2725" s="451" t="s">
        <v>5113</v>
      </c>
      <c r="F2725" s="451"/>
      <c r="G2725" s="451" t="s">
        <v>22882</v>
      </c>
      <c r="H2725" s="451" t="s">
        <v>22883</v>
      </c>
      <c r="I2725" s="451" t="s">
        <v>30840</v>
      </c>
      <c r="J2725" s="451" t="s">
        <v>30841</v>
      </c>
      <c r="K2725" s="451"/>
    </row>
    <row r="2726" spans="1:11">
      <c r="A2726" s="450" t="s">
        <v>34066</v>
      </c>
      <c r="B2726" s="450" t="s">
        <v>5110</v>
      </c>
      <c r="C2726" s="450" t="s">
        <v>5111</v>
      </c>
      <c r="D2726" s="450" t="s">
        <v>5112</v>
      </c>
      <c r="E2726" s="450"/>
      <c r="F2726" s="450"/>
      <c r="G2726" s="450" t="s">
        <v>22882</v>
      </c>
      <c r="H2726" s="450" t="s">
        <v>22883</v>
      </c>
      <c r="I2726" s="450" t="s">
        <v>5112</v>
      </c>
      <c r="J2726" s="450" t="s">
        <v>34067</v>
      </c>
      <c r="K2726" s="450"/>
    </row>
    <row r="2727" spans="1:11">
      <c r="A2727" s="451" t="s">
        <v>5114</v>
      </c>
      <c r="B2727" s="451" t="s">
        <v>24176</v>
      </c>
      <c r="C2727" s="451" t="s">
        <v>5116</v>
      </c>
      <c r="D2727" s="451" t="s">
        <v>5112</v>
      </c>
      <c r="E2727" s="451"/>
      <c r="F2727" s="451"/>
      <c r="G2727" s="451" t="s">
        <v>22882</v>
      </c>
      <c r="H2727" s="451" t="s">
        <v>22883</v>
      </c>
      <c r="I2727" s="451" t="s">
        <v>5112</v>
      </c>
      <c r="J2727" s="451" t="s">
        <v>24177</v>
      </c>
      <c r="K2727" s="451"/>
    </row>
    <row r="2728" spans="1:11">
      <c r="A2728" s="450" t="s">
        <v>5114</v>
      </c>
      <c r="B2728" s="450" t="s">
        <v>5115</v>
      </c>
      <c r="C2728" s="450" t="s">
        <v>5116</v>
      </c>
      <c r="D2728" s="450" t="s">
        <v>5112</v>
      </c>
      <c r="E2728" s="450" t="s">
        <v>5117</v>
      </c>
      <c r="F2728" s="450"/>
      <c r="G2728" s="450" t="s">
        <v>22882</v>
      </c>
      <c r="H2728" s="450" t="s">
        <v>22883</v>
      </c>
      <c r="I2728" s="450" t="s">
        <v>28077</v>
      </c>
      <c r="J2728" s="450" t="s">
        <v>30842</v>
      </c>
      <c r="K2728" s="450"/>
    </row>
    <row r="2729" spans="1:11">
      <c r="A2729" s="451" t="s">
        <v>5118</v>
      </c>
      <c r="B2729" s="451" t="s">
        <v>5119</v>
      </c>
      <c r="C2729" s="451" t="s">
        <v>5120</v>
      </c>
      <c r="D2729" s="451" t="s">
        <v>5121</v>
      </c>
      <c r="E2729" s="451"/>
      <c r="F2729" s="451" t="s">
        <v>5122</v>
      </c>
      <c r="G2729" s="451" t="s">
        <v>22877</v>
      </c>
      <c r="H2729" s="451" t="s">
        <v>22878</v>
      </c>
      <c r="I2729" s="451" t="s">
        <v>24178</v>
      </c>
      <c r="J2729" s="451" t="s">
        <v>34068</v>
      </c>
      <c r="K2729" s="451"/>
    </row>
    <row r="2730" spans="1:11">
      <c r="A2730" s="450" t="s">
        <v>5118</v>
      </c>
      <c r="B2730" s="450" t="s">
        <v>5119</v>
      </c>
      <c r="C2730" s="450" t="s">
        <v>5120</v>
      </c>
      <c r="D2730" s="450" t="s">
        <v>5121</v>
      </c>
      <c r="E2730" s="450" t="s">
        <v>5117</v>
      </c>
      <c r="F2730" s="450" t="s">
        <v>5122</v>
      </c>
      <c r="G2730" s="450" t="s">
        <v>22877</v>
      </c>
      <c r="H2730" s="450" t="s">
        <v>22878</v>
      </c>
      <c r="I2730" s="450" t="s">
        <v>24178</v>
      </c>
      <c r="J2730" s="450" t="s">
        <v>30843</v>
      </c>
      <c r="K2730" s="450"/>
    </row>
    <row r="2731" spans="1:11">
      <c r="A2731" s="451" t="s">
        <v>34069</v>
      </c>
      <c r="B2731" s="451"/>
      <c r="C2731" s="451" t="s">
        <v>5124</v>
      </c>
      <c r="D2731" s="451" t="s">
        <v>5125</v>
      </c>
      <c r="E2731" s="451"/>
      <c r="F2731" s="451"/>
      <c r="G2731" s="451" t="s">
        <v>22877</v>
      </c>
      <c r="H2731" s="451" t="s">
        <v>22878</v>
      </c>
      <c r="I2731" s="451" t="s">
        <v>34070</v>
      </c>
      <c r="J2731" s="451" t="s">
        <v>34071</v>
      </c>
      <c r="K2731" s="451"/>
    </row>
    <row r="2732" spans="1:11">
      <c r="A2732" s="450" t="s">
        <v>24179</v>
      </c>
      <c r="B2732" s="450"/>
      <c r="C2732" s="450" t="s">
        <v>5128</v>
      </c>
      <c r="D2732" s="450" t="s">
        <v>5129</v>
      </c>
      <c r="E2732" s="450"/>
      <c r="F2732" s="450"/>
      <c r="G2732" s="450" t="s">
        <v>22882</v>
      </c>
      <c r="H2732" s="450" t="s">
        <v>22883</v>
      </c>
      <c r="I2732" s="450" t="s">
        <v>5129</v>
      </c>
      <c r="J2732" s="450" t="s">
        <v>24180</v>
      </c>
      <c r="K2732" s="450"/>
    </row>
    <row r="2733" spans="1:11">
      <c r="A2733" s="451" t="s">
        <v>24181</v>
      </c>
      <c r="B2733" s="451" t="s">
        <v>5131</v>
      </c>
      <c r="C2733" s="451" t="s">
        <v>5132</v>
      </c>
      <c r="D2733" s="451" t="s">
        <v>5133</v>
      </c>
      <c r="E2733" s="451"/>
      <c r="F2733" s="451"/>
      <c r="G2733" s="451" t="s">
        <v>22877</v>
      </c>
      <c r="H2733" s="451" t="s">
        <v>22878</v>
      </c>
      <c r="I2733" s="451" t="s">
        <v>24182</v>
      </c>
      <c r="J2733" s="451" t="s">
        <v>24183</v>
      </c>
      <c r="K2733" s="451"/>
    </row>
    <row r="2734" spans="1:11">
      <c r="A2734" s="450" t="s">
        <v>20121</v>
      </c>
      <c r="B2734" s="450" t="s">
        <v>20122</v>
      </c>
      <c r="C2734" s="450" t="s">
        <v>20123</v>
      </c>
      <c r="D2734" s="450" t="s">
        <v>34072</v>
      </c>
      <c r="E2734" s="450"/>
      <c r="F2734" s="450" t="s">
        <v>20124</v>
      </c>
      <c r="G2734" s="450" t="s">
        <v>22877</v>
      </c>
      <c r="H2734" s="450" t="s">
        <v>22878</v>
      </c>
      <c r="I2734" s="450" t="s">
        <v>34073</v>
      </c>
      <c r="J2734" s="450" t="s">
        <v>34074</v>
      </c>
      <c r="K2734" s="450"/>
    </row>
    <row r="2735" spans="1:11">
      <c r="A2735" s="451" t="s">
        <v>20121</v>
      </c>
      <c r="B2735" s="451" t="s">
        <v>20122</v>
      </c>
      <c r="C2735" s="451" t="s">
        <v>20123</v>
      </c>
      <c r="D2735" s="451"/>
      <c r="E2735" s="451"/>
      <c r="F2735" s="451" t="s">
        <v>20124</v>
      </c>
      <c r="G2735" s="451" t="s">
        <v>22877</v>
      </c>
      <c r="H2735" s="451" t="s">
        <v>22878</v>
      </c>
      <c r="I2735" s="451" t="s">
        <v>30844</v>
      </c>
      <c r="J2735" s="451" t="s">
        <v>30845</v>
      </c>
      <c r="K2735" s="451"/>
    </row>
    <row r="2736" spans="1:11">
      <c r="A2736" s="450" t="s">
        <v>5123</v>
      </c>
      <c r="B2736" s="450"/>
      <c r="C2736" s="450" t="s">
        <v>5124</v>
      </c>
      <c r="D2736" s="450" t="s">
        <v>5125</v>
      </c>
      <c r="E2736" s="450" t="s">
        <v>5126</v>
      </c>
      <c r="F2736" s="450"/>
      <c r="G2736" s="450" t="s">
        <v>22877</v>
      </c>
      <c r="H2736" s="450" t="s">
        <v>22878</v>
      </c>
      <c r="I2736" s="450" t="s">
        <v>5125</v>
      </c>
      <c r="J2736" s="450" t="s">
        <v>34075</v>
      </c>
      <c r="K2736" s="450"/>
    </row>
    <row r="2737" spans="1:11">
      <c r="A2737" s="451" t="s">
        <v>5127</v>
      </c>
      <c r="B2737" s="451"/>
      <c r="C2737" s="451" t="s">
        <v>5128</v>
      </c>
      <c r="D2737" s="451" t="s">
        <v>5129</v>
      </c>
      <c r="E2737" s="451" t="s">
        <v>5129</v>
      </c>
      <c r="F2737" s="451"/>
      <c r="G2737" s="451" t="s">
        <v>22877</v>
      </c>
      <c r="H2737" s="451" t="s">
        <v>22878</v>
      </c>
      <c r="I2737" s="451" t="s">
        <v>30846</v>
      </c>
      <c r="J2737" s="451" t="s">
        <v>30847</v>
      </c>
      <c r="K2737" s="451"/>
    </row>
    <row r="2738" spans="1:11">
      <c r="A2738" s="450" t="s">
        <v>5130</v>
      </c>
      <c r="B2738" s="450" t="s">
        <v>5131</v>
      </c>
      <c r="C2738" s="450" t="s">
        <v>5132</v>
      </c>
      <c r="D2738" s="450" t="s">
        <v>5133</v>
      </c>
      <c r="E2738" s="450" t="s">
        <v>5134</v>
      </c>
      <c r="F2738" s="450"/>
      <c r="G2738" s="450" t="s">
        <v>22877</v>
      </c>
      <c r="H2738" s="450" t="s">
        <v>22878</v>
      </c>
      <c r="I2738" s="450" t="s">
        <v>5133</v>
      </c>
      <c r="J2738" s="450" t="s">
        <v>30848</v>
      </c>
      <c r="K2738" s="450"/>
    </row>
    <row r="2739" spans="1:11">
      <c r="A2739" s="451" t="s">
        <v>5135</v>
      </c>
      <c r="B2739" s="451" t="s">
        <v>5136</v>
      </c>
      <c r="C2739" s="451" t="s">
        <v>5137</v>
      </c>
      <c r="D2739" s="451" t="s">
        <v>5138</v>
      </c>
      <c r="E2739" s="451"/>
      <c r="F2739" s="451"/>
      <c r="G2739" s="451" t="s">
        <v>22882</v>
      </c>
      <c r="H2739" s="451" t="s">
        <v>22883</v>
      </c>
      <c r="I2739" s="451" t="s">
        <v>5138</v>
      </c>
      <c r="J2739" s="451" t="s">
        <v>24184</v>
      </c>
      <c r="K2739" s="451"/>
    </row>
    <row r="2740" spans="1:11">
      <c r="A2740" s="450" t="s">
        <v>5135</v>
      </c>
      <c r="B2740" s="450" t="s">
        <v>5136</v>
      </c>
      <c r="C2740" s="450" t="s">
        <v>5137</v>
      </c>
      <c r="D2740" s="450" t="s">
        <v>5138</v>
      </c>
      <c r="E2740" s="450" t="s">
        <v>5139</v>
      </c>
      <c r="F2740" s="450"/>
      <c r="G2740" s="450" t="s">
        <v>22882</v>
      </c>
      <c r="H2740" s="450" t="s">
        <v>22883</v>
      </c>
      <c r="I2740" s="450" t="s">
        <v>5138</v>
      </c>
      <c r="J2740" s="450" t="s">
        <v>24184</v>
      </c>
      <c r="K2740" s="450"/>
    </row>
    <row r="2741" spans="1:11">
      <c r="A2741" s="451" t="s">
        <v>5140</v>
      </c>
      <c r="B2741" s="451" t="s">
        <v>5141</v>
      </c>
      <c r="C2741" s="451" t="s">
        <v>5142</v>
      </c>
      <c r="D2741" s="451"/>
      <c r="E2741" s="451"/>
      <c r="F2741" s="451"/>
      <c r="G2741" s="451" t="s">
        <v>22882</v>
      </c>
      <c r="H2741" s="451" t="s">
        <v>22883</v>
      </c>
      <c r="I2741" s="451" t="s">
        <v>24185</v>
      </c>
      <c r="J2741" s="451" t="s">
        <v>24186</v>
      </c>
      <c r="K2741" s="451"/>
    </row>
    <row r="2742" spans="1:11">
      <c r="A2742" s="450" t="s">
        <v>5143</v>
      </c>
      <c r="B2742" s="450"/>
      <c r="C2742" s="450" t="s">
        <v>5144</v>
      </c>
      <c r="D2742" s="450"/>
      <c r="E2742" s="450"/>
      <c r="F2742" s="450"/>
      <c r="G2742" s="450" t="s">
        <v>22877</v>
      </c>
      <c r="H2742" s="450" t="s">
        <v>22878</v>
      </c>
      <c r="I2742" s="450" t="s">
        <v>24187</v>
      </c>
      <c r="J2742" s="450" t="s">
        <v>22943</v>
      </c>
      <c r="K2742" s="450"/>
    </row>
    <row r="2743" spans="1:11">
      <c r="A2743" s="451" t="s">
        <v>34076</v>
      </c>
      <c r="B2743" s="451" t="s">
        <v>34077</v>
      </c>
      <c r="C2743" s="451" t="s">
        <v>5147</v>
      </c>
      <c r="D2743" s="451"/>
      <c r="E2743" s="451"/>
      <c r="F2743" s="451"/>
      <c r="G2743" s="451" t="s">
        <v>22877</v>
      </c>
      <c r="H2743" s="451" t="s">
        <v>22878</v>
      </c>
      <c r="I2743" s="451" t="s">
        <v>24188</v>
      </c>
      <c r="J2743" s="451" t="s">
        <v>34078</v>
      </c>
      <c r="K2743" s="451"/>
    </row>
    <row r="2744" spans="1:11">
      <c r="A2744" s="450" t="s">
        <v>5145</v>
      </c>
      <c r="B2744" s="450" t="s">
        <v>5146</v>
      </c>
      <c r="C2744" s="450" t="s">
        <v>5147</v>
      </c>
      <c r="D2744" s="450"/>
      <c r="E2744" s="450"/>
      <c r="F2744" s="450"/>
      <c r="G2744" s="450" t="s">
        <v>22882</v>
      </c>
      <c r="H2744" s="450" t="s">
        <v>22883</v>
      </c>
      <c r="I2744" s="450" t="s">
        <v>24188</v>
      </c>
      <c r="J2744" s="450" t="s">
        <v>30849</v>
      </c>
      <c r="K2744" s="450"/>
    </row>
    <row r="2745" spans="1:11">
      <c r="A2745" s="451" t="s">
        <v>5148</v>
      </c>
      <c r="B2745" s="451"/>
      <c r="C2745" s="451" t="s">
        <v>4280</v>
      </c>
      <c r="D2745" s="451"/>
      <c r="E2745" s="451"/>
      <c r="F2745" s="451"/>
      <c r="G2745" s="451" t="s">
        <v>22877</v>
      </c>
      <c r="H2745" s="451" t="s">
        <v>22878</v>
      </c>
      <c r="I2745" s="451" t="s">
        <v>24189</v>
      </c>
      <c r="J2745" s="451" t="s">
        <v>22943</v>
      </c>
      <c r="K2745" s="451"/>
    </row>
    <row r="2746" spans="1:11">
      <c r="A2746" s="450" t="s">
        <v>34079</v>
      </c>
      <c r="B2746" s="450" t="s">
        <v>5150</v>
      </c>
      <c r="C2746" s="450" t="s">
        <v>5147</v>
      </c>
      <c r="D2746" s="450"/>
      <c r="E2746" s="450"/>
      <c r="F2746" s="450" t="s">
        <v>34080</v>
      </c>
      <c r="G2746" s="450" t="s">
        <v>22877</v>
      </c>
      <c r="H2746" s="450" t="s">
        <v>22878</v>
      </c>
      <c r="I2746" s="450" t="s">
        <v>24190</v>
      </c>
      <c r="J2746" s="450" t="s">
        <v>34081</v>
      </c>
      <c r="K2746" s="450"/>
    </row>
    <row r="2747" spans="1:11">
      <c r="A2747" s="451" t="s">
        <v>5149</v>
      </c>
      <c r="B2747" s="451" t="s">
        <v>5150</v>
      </c>
      <c r="C2747" s="451" t="s">
        <v>5147</v>
      </c>
      <c r="D2747" s="451"/>
      <c r="E2747" s="451"/>
      <c r="F2747" s="451" t="s">
        <v>5151</v>
      </c>
      <c r="G2747" s="451" t="s">
        <v>22882</v>
      </c>
      <c r="H2747" s="451" t="s">
        <v>22883</v>
      </c>
      <c r="I2747" s="451" t="s">
        <v>24190</v>
      </c>
      <c r="J2747" s="451" t="s">
        <v>30850</v>
      </c>
      <c r="K2747" s="451"/>
    </row>
    <row r="2748" spans="1:11">
      <c r="A2748" s="450" t="s">
        <v>24191</v>
      </c>
      <c r="B2748" s="450" t="s">
        <v>24192</v>
      </c>
      <c r="C2748" s="450" t="s">
        <v>5154</v>
      </c>
      <c r="D2748" s="450" t="s">
        <v>5155</v>
      </c>
      <c r="E2748" s="450"/>
      <c r="F2748" s="450"/>
      <c r="G2748" s="450" t="s">
        <v>22877</v>
      </c>
      <c r="H2748" s="450" t="s">
        <v>22878</v>
      </c>
      <c r="I2748" s="450" t="s">
        <v>5155</v>
      </c>
      <c r="J2748" s="450" t="s">
        <v>24193</v>
      </c>
      <c r="K2748" s="450"/>
    </row>
    <row r="2749" spans="1:11">
      <c r="A2749" s="451" t="s">
        <v>5152</v>
      </c>
      <c r="B2749" s="451" t="s">
        <v>5153</v>
      </c>
      <c r="C2749" s="451" t="s">
        <v>5154</v>
      </c>
      <c r="D2749" s="451" t="s">
        <v>5155</v>
      </c>
      <c r="E2749" s="451"/>
      <c r="F2749" s="451"/>
      <c r="G2749" s="451" t="s">
        <v>22877</v>
      </c>
      <c r="H2749" s="451" t="s">
        <v>22878</v>
      </c>
      <c r="I2749" s="451" t="s">
        <v>30851</v>
      </c>
      <c r="J2749" s="451" t="s">
        <v>30852</v>
      </c>
      <c r="K2749" s="451"/>
    </row>
    <row r="2750" spans="1:11">
      <c r="A2750" s="450" t="s">
        <v>5156</v>
      </c>
      <c r="B2750" s="450"/>
      <c r="C2750" s="450" t="s">
        <v>5157</v>
      </c>
      <c r="D2750" s="450"/>
      <c r="E2750" s="450"/>
      <c r="F2750" s="450"/>
      <c r="G2750" s="450" t="s">
        <v>22877</v>
      </c>
      <c r="H2750" s="450" t="s">
        <v>22878</v>
      </c>
      <c r="I2750" s="450" t="s">
        <v>34082</v>
      </c>
      <c r="J2750" s="450" t="s">
        <v>22943</v>
      </c>
      <c r="K2750" s="450"/>
    </row>
    <row r="2751" spans="1:11">
      <c r="A2751" s="451" t="s">
        <v>5158</v>
      </c>
      <c r="B2751" s="451"/>
      <c r="C2751" s="451" t="s">
        <v>5159</v>
      </c>
      <c r="D2751" s="451"/>
      <c r="E2751" s="451"/>
      <c r="F2751" s="451"/>
      <c r="G2751" s="451" t="s">
        <v>22877</v>
      </c>
      <c r="H2751" s="451" t="s">
        <v>22878</v>
      </c>
      <c r="I2751" s="451" t="s">
        <v>34083</v>
      </c>
      <c r="J2751" s="451" t="s">
        <v>23185</v>
      </c>
      <c r="K2751" s="451"/>
    </row>
    <row r="2752" spans="1:11">
      <c r="A2752" s="450" t="s">
        <v>5160</v>
      </c>
      <c r="B2752" s="450"/>
      <c r="C2752" s="450" t="s">
        <v>5161</v>
      </c>
      <c r="D2752" s="450"/>
      <c r="E2752" s="450"/>
      <c r="F2752" s="450"/>
      <c r="G2752" s="450" t="s">
        <v>22877</v>
      </c>
      <c r="H2752" s="450" t="s">
        <v>22878</v>
      </c>
      <c r="I2752" s="450" t="s">
        <v>34084</v>
      </c>
      <c r="J2752" s="450" t="s">
        <v>23179</v>
      </c>
      <c r="K2752" s="450"/>
    </row>
    <row r="2753" spans="1:11">
      <c r="A2753" s="451" t="s">
        <v>5162</v>
      </c>
      <c r="B2753" s="451"/>
      <c r="C2753" s="451" t="s">
        <v>3334</v>
      </c>
      <c r="D2753" s="451"/>
      <c r="E2753" s="451"/>
      <c r="F2753" s="451"/>
      <c r="G2753" s="451" t="s">
        <v>22882</v>
      </c>
      <c r="H2753" s="451" t="s">
        <v>22883</v>
      </c>
      <c r="I2753" s="451" t="s">
        <v>34085</v>
      </c>
      <c r="J2753" s="451" t="s">
        <v>22939</v>
      </c>
      <c r="K2753" s="451"/>
    </row>
    <row r="2754" spans="1:11">
      <c r="A2754" s="450" t="s">
        <v>21567</v>
      </c>
      <c r="B2754" s="450"/>
      <c r="C2754" s="450" t="s">
        <v>3672</v>
      </c>
      <c r="D2754" s="450"/>
      <c r="E2754" s="450"/>
      <c r="F2754" s="450"/>
      <c r="G2754" s="450" t="s">
        <v>22882</v>
      </c>
      <c r="H2754" s="450" t="s">
        <v>22883</v>
      </c>
      <c r="I2754" s="450" t="s">
        <v>34086</v>
      </c>
      <c r="J2754" s="450" t="s">
        <v>22997</v>
      </c>
      <c r="K2754" s="450"/>
    </row>
    <row r="2755" spans="1:11">
      <c r="A2755" s="451" t="s">
        <v>5163</v>
      </c>
      <c r="B2755" s="451"/>
      <c r="C2755" s="451" t="s">
        <v>5164</v>
      </c>
      <c r="D2755" s="451"/>
      <c r="E2755" s="451"/>
      <c r="F2755" s="451"/>
      <c r="G2755" s="451" t="s">
        <v>22882</v>
      </c>
      <c r="H2755" s="451" t="s">
        <v>22883</v>
      </c>
      <c r="I2755" s="451" t="s">
        <v>34087</v>
      </c>
      <c r="J2755" s="451" t="s">
        <v>23185</v>
      </c>
      <c r="K2755" s="451"/>
    </row>
    <row r="2756" spans="1:11">
      <c r="A2756" s="450" t="s">
        <v>5165</v>
      </c>
      <c r="B2756" s="450"/>
      <c r="C2756" s="450" t="s">
        <v>5166</v>
      </c>
      <c r="D2756" s="450"/>
      <c r="E2756" s="450"/>
      <c r="F2756" s="450"/>
      <c r="G2756" s="450" t="s">
        <v>22877</v>
      </c>
      <c r="H2756" s="450" t="s">
        <v>22878</v>
      </c>
      <c r="I2756" s="450" t="s">
        <v>34088</v>
      </c>
      <c r="J2756" s="450" t="s">
        <v>22943</v>
      </c>
      <c r="K2756" s="450"/>
    </row>
    <row r="2757" spans="1:11">
      <c r="A2757" s="451" t="s">
        <v>34089</v>
      </c>
      <c r="B2757" s="451"/>
      <c r="C2757" s="451" t="s">
        <v>5168</v>
      </c>
      <c r="D2757" s="451"/>
      <c r="E2757" s="451"/>
      <c r="F2757" s="451"/>
      <c r="G2757" s="451" t="s">
        <v>22882</v>
      </c>
      <c r="H2757" s="451" t="s">
        <v>22883</v>
      </c>
      <c r="I2757" s="451"/>
      <c r="J2757" s="451" t="s">
        <v>22997</v>
      </c>
      <c r="K2757" s="451"/>
    </row>
    <row r="2758" spans="1:11">
      <c r="A2758" s="450" t="s">
        <v>5167</v>
      </c>
      <c r="B2758" s="450"/>
      <c r="C2758" s="450" t="s">
        <v>5168</v>
      </c>
      <c r="D2758" s="450"/>
      <c r="E2758" s="450"/>
      <c r="F2758" s="450"/>
      <c r="G2758" s="450" t="s">
        <v>22882</v>
      </c>
      <c r="H2758" s="450" t="s">
        <v>22883</v>
      </c>
      <c r="I2758" s="450"/>
      <c r="J2758" s="450" t="s">
        <v>23185</v>
      </c>
      <c r="K2758" s="450"/>
    </row>
    <row r="2759" spans="1:11">
      <c r="A2759" s="451" t="s">
        <v>21568</v>
      </c>
      <c r="B2759" s="451"/>
      <c r="C2759" s="451" t="s">
        <v>2243</v>
      </c>
      <c r="D2759" s="451"/>
      <c r="E2759" s="451"/>
      <c r="F2759" s="451"/>
      <c r="G2759" s="451" t="s">
        <v>22882</v>
      </c>
      <c r="H2759" s="451" t="s">
        <v>22883</v>
      </c>
      <c r="I2759" s="451" t="s">
        <v>34090</v>
      </c>
      <c r="J2759" s="451" t="s">
        <v>23185</v>
      </c>
      <c r="K2759" s="451"/>
    </row>
    <row r="2760" spans="1:11">
      <c r="A2760" s="450" t="s">
        <v>5169</v>
      </c>
      <c r="B2760" s="450"/>
      <c r="C2760" s="450" t="s">
        <v>5170</v>
      </c>
      <c r="D2760" s="450"/>
      <c r="E2760" s="450"/>
      <c r="F2760" s="450"/>
      <c r="G2760" s="450" t="s">
        <v>22877</v>
      </c>
      <c r="H2760" s="450" t="s">
        <v>22878</v>
      </c>
      <c r="I2760" s="450" t="s">
        <v>34091</v>
      </c>
      <c r="J2760" s="450" t="s">
        <v>23185</v>
      </c>
      <c r="K2760" s="450"/>
    </row>
    <row r="2761" spans="1:11">
      <c r="A2761" s="451" t="s">
        <v>5171</v>
      </c>
      <c r="B2761" s="451"/>
      <c r="C2761" s="451" t="s">
        <v>2822</v>
      </c>
      <c r="D2761" s="451"/>
      <c r="E2761" s="451"/>
      <c r="F2761" s="451"/>
      <c r="G2761" s="451" t="s">
        <v>22882</v>
      </c>
      <c r="H2761" s="451" t="s">
        <v>22883</v>
      </c>
      <c r="I2761" s="451" t="s">
        <v>34092</v>
      </c>
      <c r="J2761" s="451" t="s">
        <v>23185</v>
      </c>
      <c r="K2761" s="451"/>
    </row>
    <row r="2762" spans="1:11">
      <c r="A2762" s="450" t="s">
        <v>5172</v>
      </c>
      <c r="B2762" s="450"/>
      <c r="C2762" s="450" t="s">
        <v>5173</v>
      </c>
      <c r="D2762" s="450"/>
      <c r="E2762" s="450"/>
      <c r="F2762" s="450"/>
      <c r="G2762" s="450" t="s">
        <v>22882</v>
      </c>
      <c r="H2762" s="450" t="s">
        <v>22883</v>
      </c>
      <c r="I2762" s="450" t="s">
        <v>34093</v>
      </c>
      <c r="J2762" s="450" t="s">
        <v>23185</v>
      </c>
      <c r="K2762" s="450"/>
    </row>
    <row r="2763" spans="1:11">
      <c r="A2763" s="451" t="s">
        <v>34094</v>
      </c>
      <c r="B2763" s="451"/>
      <c r="C2763" s="451" t="s">
        <v>5173</v>
      </c>
      <c r="D2763" s="451"/>
      <c r="E2763" s="451"/>
      <c r="F2763" s="451"/>
      <c r="G2763" s="451" t="s">
        <v>22882</v>
      </c>
      <c r="H2763" s="451" t="s">
        <v>22883</v>
      </c>
      <c r="I2763" s="451"/>
      <c r="J2763" s="451" t="s">
        <v>22943</v>
      </c>
      <c r="K2763" s="451"/>
    </row>
    <row r="2764" spans="1:11">
      <c r="A2764" s="450" t="s">
        <v>5174</v>
      </c>
      <c r="B2764" s="450"/>
      <c r="C2764" s="450" t="s">
        <v>5175</v>
      </c>
      <c r="D2764" s="450"/>
      <c r="E2764" s="450"/>
      <c r="F2764" s="450"/>
      <c r="G2764" s="450" t="s">
        <v>22882</v>
      </c>
      <c r="H2764" s="450" t="s">
        <v>22883</v>
      </c>
      <c r="I2764" s="450"/>
      <c r="J2764" s="450" t="s">
        <v>23185</v>
      </c>
      <c r="K2764" s="450"/>
    </row>
    <row r="2765" spans="1:11">
      <c r="A2765" s="451" t="s">
        <v>24194</v>
      </c>
      <c r="B2765" s="451" t="s">
        <v>24195</v>
      </c>
      <c r="C2765" s="451" t="s">
        <v>24196</v>
      </c>
      <c r="D2765" s="451"/>
      <c r="E2765" s="451"/>
      <c r="F2765" s="451"/>
      <c r="G2765" s="451" t="s">
        <v>22877</v>
      </c>
      <c r="H2765" s="451" t="s">
        <v>22878</v>
      </c>
      <c r="I2765" s="451" t="s">
        <v>24197</v>
      </c>
      <c r="J2765" s="451" t="s">
        <v>24198</v>
      </c>
      <c r="K2765" s="451"/>
    </row>
    <row r="2766" spans="1:11">
      <c r="A2766" s="450" t="s">
        <v>5176</v>
      </c>
      <c r="B2766" s="450"/>
      <c r="C2766" s="450" t="s">
        <v>2560</v>
      </c>
      <c r="D2766" s="450"/>
      <c r="E2766" s="450"/>
      <c r="F2766" s="450"/>
      <c r="G2766" s="450" t="s">
        <v>22877</v>
      </c>
      <c r="H2766" s="450" t="s">
        <v>22878</v>
      </c>
      <c r="I2766" s="450" t="s">
        <v>34095</v>
      </c>
      <c r="J2766" s="450" t="s">
        <v>23185</v>
      </c>
      <c r="K2766" s="450"/>
    </row>
    <row r="2767" spans="1:11">
      <c r="A2767" s="451" t="s">
        <v>5177</v>
      </c>
      <c r="B2767" s="451"/>
      <c r="C2767" s="451" t="s">
        <v>5178</v>
      </c>
      <c r="D2767" s="451"/>
      <c r="E2767" s="451"/>
      <c r="F2767" s="451"/>
      <c r="G2767" s="451" t="s">
        <v>22877</v>
      </c>
      <c r="H2767" s="451" t="s">
        <v>22878</v>
      </c>
      <c r="I2767" s="451" t="s">
        <v>34096</v>
      </c>
      <c r="J2767" s="451" t="s">
        <v>22997</v>
      </c>
      <c r="K2767" s="451"/>
    </row>
    <row r="2768" spans="1:11">
      <c r="A2768" s="450" t="s">
        <v>24199</v>
      </c>
      <c r="B2768" s="450"/>
      <c r="C2768" s="450" t="s">
        <v>5178</v>
      </c>
      <c r="D2768" s="450"/>
      <c r="E2768" s="450"/>
      <c r="F2768" s="450"/>
      <c r="G2768" s="450" t="s">
        <v>22877</v>
      </c>
      <c r="H2768" s="450" t="s">
        <v>22878</v>
      </c>
      <c r="I2768" s="450" t="s">
        <v>24200</v>
      </c>
      <c r="J2768" s="450" t="s">
        <v>22943</v>
      </c>
      <c r="K2768" s="450"/>
    </row>
    <row r="2769" spans="1:11">
      <c r="A2769" s="451" t="s">
        <v>24201</v>
      </c>
      <c r="B2769" s="451" t="s">
        <v>24202</v>
      </c>
      <c r="C2769" s="451" t="s">
        <v>24203</v>
      </c>
      <c r="D2769" s="451"/>
      <c r="E2769" s="451"/>
      <c r="F2769" s="451"/>
      <c r="G2769" s="451" t="s">
        <v>22877</v>
      </c>
      <c r="H2769" s="451" t="s">
        <v>22878</v>
      </c>
      <c r="I2769" s="451" t="s">
        <v>24204</v>
      </c>
      <c r="J2769" s="451" t="s">
        <v>24205</v>
      </c>
      <c r="K2769" s="451"/>
    </row>
    <row r="2770" spans="1:11">
      <c r="A2770" s="450" t="s">
        <v>5179</v>
      </c>
      <c r="B2770" s="450" t="s">
        <v>5180</v>
      </c>
      <c r="C2770" s="450" t="s">
        <v>5181</v>
      </c>
      <c r="D2770" s="450"/>
      <c r="E2770" s="450"/>
      <c r="F2770" s="450" t="s">
        <v>5182</v>
      </c>
      <c r="G2770" s="450" t="s">
        <v>22877</v>
      </c>
      <c r="H2770" s="450" t="s">
        <v>22878</v>
      </c>
      <c r="I2770" s="450" t="s">
        <v>24206</v>
      </c>
      <c r="J2770" s="450" t="s">
        <v>24207</v>
      </c>
      <c r="K2770" s="450"/>
    </row>
    <row r="2771" spans="1:11">
      <c r="A2771" s="451" t="s">
        <v>34097</v>
      </c>
      <c r="B2771" s="451"/>
      <c r="C2771" s="451" t="s">
        <v>3797</v>
      </c>
      <c r="D2771" s="451"/>
      <c r="E2771" s="451"/>
      <c r="F2771" s="451"/>
      <c r="G2771" s="451" t="s">
        <v>22877</v>
      </c>
      <c r="H2771" s="451" t="s">
        <v>22878</v>
      </c>
      <c r="I2771" s="451" t="s">
        <v>34098</v>
      </c>
      <c r="J2771" s="451" t="s">
        <v>22943</v>
      </c>
      <c r="K2771" s="451"/>
    </row>
    <row r="2772" spans="1:11">
      <c r="A2772" s="450" t="s">
        <v>5183</v>
      </c>
      <c r="B2772" s="450"/>
      <c r="C2772" s="450" t="s">
        <v>5184</v>
      </c>
      <c r="D2772" s="450"/>
      <c r="E2772" s="450"/>
      <c r="F2772" s="450"/>
      <c r="G2772" s="450" t="s">
        <v>22877</v>
      </c>
      <c r="H2772" s="450" t="s">
        <v>22878</v>
      </c>
      <c r="I2772" s="450" t="s">
        <v>34099</v>
      </c>
      <c r="J2772" s="450" t="s">
        <v>23185</v>
      </c>
      <c r="K2772" s="450"/>
    </row>
    <row r="2773" spans="1:11">
      <c r="A2773" s="451" t="s">
        <v>5185</v>
      </c>
      <c r="B2773" s="451"/>
      <c r="C2773" s="451" t="s">
        <v>3841</v>
      </c>
      <c r="D2773" s="451"/>
      <c r="E2773" s="451"/>
      <c r="F2773" s="451"/>
      <c r="G2773" s="451" t="s">
        <v>22877</v>
      </c>
      <c r="H2773" s="451" t="s">
        <v>22878</v>
      </c>
      <c r="I2773" s="451" t="s">
        <v>33552</v>
      </c>
      <c r="J2773" s="451" t="s">
        <v>23370</v>
      </c>
      <c r="K2773" s="451"/>
    </row>
    <row r="2774" spans="1:11">
      <c r="A2774" s="450" t="s">
        <v>5186</v>
      </c>
      <c r="B2774" s="450"/>
      <c r="C2774" s="450" t="s">
        <v>5187</v>
      </c>
      <c r="D2774" s="450"/>
      <c r="E2774" s="450"/>
      <c r="F2774" s="450"/>
      <c r="G2774" s="450" t="s">
        <v>22877</v>
      </c>
      <c r="H2774" s="450" t="s">
        <v>22878</v>
      </c>
      <c r="I2774" s="450" t="s">
        <v>34100</v>
      </c>
      <c r="J2774" s="450" t="s">
        <v>22943</v>
      </c>
      <c r="K2774" s="450"/>
    </row>
    <row r="2775" spans="1:11">
      <c r="A2775" s="451" t="s">
        <v>5188</v>
      </c>
      <c r="B2775" s="451"/>
      <c r="C2775" s="451" t="s">
        <v>5189</v>
      </c>
      <c r="D2775" s="451"/>
      <c r="E2775" s="451"/>
      <c r="F2775" s="451"/>
      <c r="G2775" s="451" t="s">
        <v>22882</v>
      </c>
      <c r="H2775" s="451" t="s">
        <v>22883</v>
      </c>
      <c r="I2775" s="451" t="s">
        <v>24208</v>
      </c>
      <c r="J2775" s="451" t="s">
        <v>22943</v>
      </c>
      <c r="K2775" s="451"/>
    </row>
    <row r="2776" spans="1:11">
      <c r="A2776" s="450" t="s">
        <v>24209</v>
      </c>
      <c r="B2776" s="450" t="s">
        <v>5193</v>
      </c>
      <c r="C2776" s="450" t="s">
        <v>4462</v>
      </c>
      <c r="D2776" s="450" t="s">
        <v>5194</v>
      </c>
      <c r="E2776" s="450"/>
      <c r="F2776" s="450"/>
      <c r="G2776" s="450" t="s">
        <v>22882</v>
      </c>
      <c r="H2776" s="450" t="s">
        <v>22883</v>
      </c>
      <c r="I2776" s="450" t="s">
        <v>5194</v>
      </c>
      <c r="J2776" s="450" t="s">
        <v>24210</v>
      </c>
      <c r="K2776" s="450"/>
    </row>
    <row r="2777" spans="1:11">
      <c r="A2777" s="451" t="s">
        <v>20125</v>
      </c>
      <c r="B2777" s="451" t="s">
        <v>5190</v>
      </c>
      <c r="C2777" s="451" t="s">
        <v>5191</v>
      </c>
      <c r="D2777" s="451"/>
      <c r="E2777" s="451"/>
      <c r="F2777" s="451"/>
      <c r="G2777" s="451" t="s">
        <v>22877</v>
      </c>
      <c r="H2777" s="451" t="s">
        <v>22878</v>
      </c>
      <c r="I2777" s="451" t="s">
        <v>24211</v>
      </c>
      <c r="J2777" s="451" t="s">
        <v>24212</v>
      </c>
      <c r="K2777" s="451"/>
    </row>
    <row r="2778" spans="1:11">
      <c r="A2778" s="450" t="s">
        <v>5192</v>
      </c>
      <c r="B2778" s="450" t="s">
        <v>5193</v>
      </c>
      <c r="C2778" s="450" t="s">
        <v>4462</v>
      </c>
      <c r="D2778" s="450" t="s">
        <v>5194</v>
      </c>
      <c r="E2778" s="450"/>
      <c r="F2778" s="450"/>
      <c r="G2778" s="450" t="s">
        <v>22882</v>
      </c>
      <c r="H2778" s="450" t="s">
        <v>22883</v>
      </c>
      <c r="I2778" s="450" t="s">
        <v>30853</v>
      </c>
      <c r="J2778" s="450" t="s">
        <v>30854</v>
      </c>
      <c r="K2778" s="450"/>
    </row>
    <row r="2779" spans="1:11">
      <c r="A2779" s="451" t="s">
        <v>5195</v>
      </c>
      <c r="B2779" s="451"/>
      <c r="C2779" s="451" t="s">
        <v>5196</v>
      </c>
      <c r="D2779" s="451"/>
      <c r="E2779" s="451"/>
      <c r="F2779" s="451"/>
      <c r="G2779" s="451" t="s">
        <v>22882</v>
      </c>
      <c r="H2779" s="451" t="s">
        <v>22883</v>
      </c>
      <c r="I2779" s="451"/>
      <c r="J2779" s="451" t="s">
        <v>22948</v>
      </c>
      <c r="K2779" s="451"/>
    </row>
    <row r="2780" spans="1:11">
      <c r="A2780" s="450" t="s">
        <v>5197</v>
      </c>
      <c r="B2780" s="450"/>
      <c r="C2780" s="450" t="s">
        <v>2741</v>
      </c>
      <c r="D2780" s="450"/>
      <c r="E2780" s="450"/>
      <c r="F2780" s="450"/>
      <c r="G2780" s="450" t="s">
        <v>22882</v>
      </c>
      <c r="H2780" s="450" t="s">
        <v>22883</v>
      </c>
      <c r="I2780" s="450"/>
      <c r="J2780" s="450" t="s">
        <v>22997</v>
      </c>
      <c r="K2780" s="450"/>
    </row>
    <row r="2781" spans="1:11">
      <c r="A2781" s="451" t="s">
        <v>34101</v>
      </c>
      <c r="B2781" s="451"/>
      <c r="C2781" s="451" t="s">
        <v>2741</v>
      </c>
      <c r="D2781" s="451"/>
      <c r="E2781" s="451"/>
      <c r="F2781" s="451"/>
      <c r="G2781" s="451" t="s">
        <v>22877</v>
      </c>
      <c r="H2781" s="451" t="s">
        <v>22878</v>
      </c>
      <c r="I2781" s="451" t="s">
        <v>34102</v>
      </c>
      <c r="J2781" s="451" t="s">
        <v>22943</v>
      </c>
      <c r="K2781" s="451"/>
    </row>
    <row r="2782" spans="1:11">
      <c r="A2782" s="450" t="s">
        <v>24213</v>
      </c>
      <c r="B2782" s="450"/>
      <c r="C2782" s="450" t="s">
        <v>3201</v>
      </c>
      <c r="D2782" s="450"/>
      <c r="E2782" s="450"/>
      <c r="F2782" s="450"/>
      <c r="G2782" s="450" t="s">
        <v>22882</v>
      </c>
      <c r="H2782" s="450" t="s">
        <v>22883</v>
      </c>
      <c r="I2782" s="450" t="s">
        <v>24214</v>
      </c>
      <c r="J2782" s="450" t="s">
        <v>22943</v>
      </c>
      <c r="K2782" s="450"/>
    </row>
    <row r="2783" spans="1:11">
      <c r="A2783" s="451" t="s">
        <v>34103</v>
      </c>
      <c r="B2783" s="451" t="s">
        <v>5198</v>
      </c>
      <c r="C2783" s="451" t="s">
        <v>5199</v>
      </c>
      <c r="D2783" s="451"/>
      <c r="E2783" s="451"/>
      <c r="F2783" s="451"/>
      <c r="G2783" s="451" t="s">
        <v>22877</v>
      </c>
      <c r="H2783" s="451" t="s">
        <v>22878</v>
      </c>
      <c r="I2783" s="451" t="s">
        <v>24215</v>
      </c>
      <c r="J2783" s="451" t="s">
        <v>34104</v>
      </c>
      <c r="K2783" s="451"/>
    </row>
    <row r="2784" spans="1:11">
      <c r="A2784" s="450" t="s">
        <v>20126</v>
      </c>
      <c r="B2784" s="450" t="s">
        <v>20127</v>
      </c>
      <c r="C2784" s="450" t="s">
        <v>20128</v>
      </c>
      <c r="D2784" s="450"/>
      <c r="E2784" s="450"/>
      <c r="F2784" s="450"/>
      <c r="G2784" s="450" t="s">
        <v>22877</v>
      </c>
      <c r="H2784" s="450" t="s">
        <v>22878</v>
      </c>
      <c r="I2784" s="450" t="s">
        <v>24215</v>
      </c>
      <c r="J2784" s="450" t="s">
        <v>34105</v>
      </c>
      <c r="K2784" s="450"/>
    </row>
    <row r="2785" spans="1:11">
      <c r="A2785" s="451" t="s">
        <v>20129</v>
      </c>
      <c r="B2785" s="451" t="s">
        <v>5198</v>
      </c>
      <c r="C2785" s="451" t="s">
        <v>5199</v>
      </c>
      <c r="D2785" s="451"/>
      <c r="E2785" s="451"/>
      <c r="F2785" s="451"/>
      <c r="G2785" s="451" t="s">
        <v>22877</v>
      </c>
      <c r="H2785" s="451" t="s">
        <v>22878</v>
      </c>
      <c r="I2785" s="451" t="s">
        <v>24215</v>
      </c>
      <c r="J2785" s="451" t="s">
        <v>30855</v>
      </c>
      <c r="K2785" s="451"/>
    </row>
    <row r="2786" spans="1:11">
      <c r="A2786" s="450" t="s">
        <v>34106</v>
      </c>
      <c r="B2786" s="450"/>
      <c r="C2786" s="450" t="s">
        <v>5201</v>
      </c>
      <c r="D2786" s="450"/>
      <c r="E2786" s="450"/>
      <c r="F2786" s="450"/>
      <c r="G2786" s="450" t="s">
        <v>22877</v>
      </c>
      <c r="H2786" s="450" t="s">
        <v>22878</v>
      </c>
      <c r="I2786" s="450" t="s">
        <v>34107</v>
      </c>
      <c r="J2786" s="450" t="s">
        <v>22997</v>
      </c>
      <c r="K2786" s="450"/>
    </row>
    <row r="2787" spans="1:11">
      <c r="A2787" s="451" t="s">
        <v>5200</v>
      </c>
      <c r="B2787" s="451"/>
      <c r="C2787" s="451" t="s">
        <v>5201</v>
      </c>
      <c r="D2787" s="451"/>
      <c r="E2787" s="451"/>
      <c r="F2787" s="451"/>
      <c r="G2787" s="451" t="s">
        <v>22877</v>
      </c>
      <c r="H2787" s="451" t="s">
        <v>22878</v>
      </c>
      <c r="I2787" s="451" t="s">
        <v>34107</v>
      </c>
      <c r="J2787" s="451" t="s">
        <v>23185</v>
      </c>
      <c r="K2787" s="451"/>
    </row>
    <row r="2788" spans="1:11">
      <c r="A2788" s="450" t="s">
        <v>5202</v>
      </c>
      <c r="B2788" s="450"/>
      <c r="C2788" s="450" t="s">
        <v>5203</v>
      </c>
      <c r="D2788" s="450"/>
      <c r="E2788" s="450"/>
      <c r="F2788" s="450"/>
      <c r="G2788" s="450" t="s">
        <v>22882</v>
      </c>
      <c r="H2788" s="450" t="s">
        <v>22883</v>
      </c>
      <c r="I2788" s="450" t="s">
        <v>34108</v>
      </c>
      <c r="J2788" s="450" t="s">
        <v>23185</v>
      </c>
      <c r="K2788" s="450"/>
    </row>
    <row r="2789" spans="1:11">
      <c r="A2789" s="451" t="s">
        <v>21569</v>
      </c>
      <c r="B2789" s="451"/>
      <c r="C2789" s="451" t="s">
        <v>5204</v>
      </c>
      <c r="D2789" s="451"/>
      <c r="E2789" s="451"/>
      <c r="F2789" s="451"/>
      <c r="G2789" s="451" t="s">
        <v>22877</v>
      </c>
      <c r="H2789" s="451" t="s">
        <v>22878</v>
      </c>
      <c r="I2789" s="451" t="s">
        <v>34109</v>
      </c>
      <c r="J2789" s="451" t="s">
        <v>23185</v>
      </c>
      <c r="K2789" s="451"/>
    </row>
    <row r="2790" spans="1:11">
      <c r="A2790" s="450" t="s">
        <v>5205</v>
      </c>
      <c r="B2790" s="450"/>
      <c r="C2790" s="450" t="s">
        <v>5206</v>
      </c>
      <c r="D2790" s="450"/>
      <c r="E2790" s="450"/>
      <c r="F2790" s="450"/>
      <c r="G2790" s="450" t="s">
        <v>22877</v>
      </c>
      <c r="H2790" s="450" t="s">
        <v>22878</v>
      </c>
      <c r="I2790" s="450" t="s">
        <v>34110</v>
      </c>
      <c r="J2790" s="450" t="s">
        <v>23185</v>
      </c>
      <c r="K2790" s="450"/>
    </row>
    <row r="2791" spans="1:11">
      <c r="A2791" s="451" t="s">
        <v>34111</v>
      </c>
      <c r="B2791" s="451"/>
      <c r="C2791" s="451" t="s">
        <v>5208</v>
      </c>
      <c r="D2791" s="451"/>
      <c r="E2791" s="451"/>
      <c r="F2791" s="451"/>
      <c r="G2791" s="451" t="s">
        <v>22877</v>
      </c>
      <c r="H2791" s="451" t="s">
        <v>22878</v>
      </c>
      <c r="I2791" s="451" t="s">
        <v>34112</v>
      </c>
      <c r="J2791" s="451" t="s">
        <v>22997</v>
      </c>
      <c r="K2791" s="451"/>
    </row>
    <row r="2792" spans="1:11">
      <c r="A2792" s="450" t="s">
        <v>5207</v>
      </c>
      <c r="B2792" s="450"/>
      <c r="C2792" s="450" t="s">
        <v>5208</v>
      </c>
      <c r="D2792" s="450"/>
      <c r="E2792" s="450"/>
      <c r="F2792" s="450"/>
      <c r="G2792" s="450" t="s">
        <v>22877</v>
      </c>
      <c r="H2792" s="450" t="s">
        <v>22878</v>
      </c>
      <c r="I2792" s="450" t="s">
        <v>34112</v>
      </c>
      <c r="J2792" s="450" t="s">
        <v>23185</v>
      </c>
      <c r="K2792" s="450"/>
    </row>
    <row r="2793" spans="1:11">
      <c r="A2793" s="451" t="s">
        <v>5209</v>
      </c>
      <c r="B2793" s="451"/>
      <c r="C2793" s="451" t="s">
        <v>5210</v>
      </c>
      <c r="D2793" s="451" t="s">
        <v>5211</v>
      </c>
      <c r="E2793" s="451" t="s">
        <v>5212</v>
      </c>
      <c r="F2793" s="451"/>
      <c r="G2793" s="451" t="s">
        <v>22877</v>
      </c>
      <c r="H2793" s="451" t="s">
        <v>22878</v>
      </c>
      <c r="I2793" s="451" t="s">
        <v>5217</v>
      </c>
      <c r="J2793" s="451" t="s">
        <v>34113</v>
      </c>
      <c r="K2793" s="451"/>
    </row>
    <row r="2794" spans="1:11">
      <c r="A2794" s="450" t="s">
        <v>34114</v>
      </c>
      <c r="B2794" s="450"/>
      <c r="C2794" s="450" t="s">
        <v>5213</v>
      </c>
      <c r="D2794" s="450"/>
      <c r="E2794" s="450"/>
      <c r="F2794" s="450"/>
      <c r="G2794" s="450" t="s">
        <v>22882</v>
      </c>
      <c r="H2794" s="450" t="s">
        <v>22883</v>
      </c>
      <c r="I2794" s="450" t="s">
        <v>24216</v>
      </c>
      <c r="J2794" s="450" t="s">
        <v>22997</v>
      </c>
      <c r="K2794" s="450"/>
    </row>
    <row r="2795" spans="1:11">
      <c r="A2795" s="451" t="s">
        <v>21570</v>
      </c>
      <c r="B2795" s="451"/>
      <c r="C2795" s="451" t="s">
        <v>5213</v>
      </c>
      <c r="D2795" s="451"/>
      <c r="E2795" s="451"/>
      <c r="F2795" s="451"/>
      <c r="G2795" s="451" t="s">
        <v>22882</v>
      </c>
      <c r="H2795" s="451" t="s">
        <v>22883</v>
      </c>
      <c r="I2795" s="451" t="s">
        <v>24216</v>
      </c>
      <c r="J2795" s="451" t="s">
        <v>23185</v>
      </c>
      <c r="K2795" s="451"/>
    </row>
    <row r="2796" spans="1:11">
      <c r="A2796" s="450" t="s">
        <v>24217</v>
      </c>
      <c r="B2796" s="450" t="s">
        <v>24218</v>
      </c>
      <c r="C2796" s="450" t="s">
        <v>24219</v>
      </c>
      <c r="D2796" s="450" t="s">
        <v>24220</v>
      </c>
      <c r="E2796" s="450"/>
      <c r="F2796" s="450"/>
      <c r="G2796" s="450" t="s">
        <v>22877</v>
      </c>
      <c r="H2796" s="450" t="s">
        <v>22878</v>
      </c>
      <c r="I2796" s="450" t="s">
        <v>24220</v>
      </c>
      <c r="J2796" s="450" t="s">
        <v>24221</v>
      </c>
      <c r="K2796" s="450"/>
    </row>
    <row r="2797" spans="1:11">
      <c r="A2797" s="451" t="s">
        <v>5214</v>
      </c>
      <c r="B2797" s="451" t="s">
        <v>5215</v>
      </c>
      <c r="C2797" s="451" t="s">
        <v>5216</v>
      </c>
      <c r="D2797" s="451" t="s">
        <v>5217</v>
      </c>
      <c r="E2797" s="451"/>
      <c r="F2797" s="451" t="s">
        <v>34115</v>
      </c>
      <c r="G2797" s="451" t="s">
        <v>22877</v>
      </c>
      <c r="H2797" s="451" t="s">
        <v>22878</v>
      </c>
      <c r="I2797" s="451" t="s">
        <v>5217</v>
      </c>
      <c r="J2797" s="451" t="s">
        <v>34116</v>
      </c>
      <c r="K2797" s="451"/>
    </row>
    <row r="2798" spans="1:11">
      <c r="A2798" s="450" t="s">
        <v>5214</v>
      </c>
      <c r="B2798" s="450" t="s">
        <v>5215</v>
      </c>
      <c r="C2798" s="450" t="s">
        <v>5216</v>
      </c>
      <c r="D2798" s="450" t="s">
        <v>5217</v>
      </c>
      <c r="E2798" s="450" t="s">
        <v>5218</v>
      </c>
      <c r="F2798" s="450" t="s">
        <v>5219</v>
      </c>
      <c r="G2798" s="450" t="s">
        <v>22877</v>
      </c>
      <c r="H2798" s="450" t="s">
        <v>22878</v>
      </c>
      <c r="I2798" s="450" t="s">
        <v>5217</v>
      </c>
      <c r="J2798" s="450" t="s">
        <v>30856</v>
      </c>
      <c r="K2798" s="450"/>
    </row>
    <row r="2799" spans="1:11">
      <c r="A2799" s="451" t="s">
        <v>34117</v>
      </c>
      <c r="B2799" s="451"/>
      <c r="C2799" s="451" t="s">
        <v>3051</v>
      </c>
      <c r="D2799" s="451"/>
      <c r="E2799" s="451"/>
      <c r="F2799" s="451"/>
      <c r="G2799" s="451" t="s">
        <v>22882</v>
      </c>
      <c r="H2799" s="451" t="s">
        <v>22883</v>
      </c>
      <c r="I2799" s="451" t="s">
        <v>33202</v>
      </c>
      <c r="J2799" s="451" t="s">
        <v>22997</v>
      </c>
      <c r="K2799" s="451"/>
    </row>
    <row r="2800" spans="1:11">
      <c r="A2800" s="450" t="s">
        <v>5220</v>
      </c>
      <c r="B2800" s="450"/>
      <c r="C2800" s="450" t="s">
        <v>3051</v>
      </c>
      <c r="D2800" s="450"/>
      <c r="E2800" s="450"/>
      <c r="F2800" s="450"/>
      <c r="G2800" s="450" t="s">
        <v>22882</v>
      </c>
      <c r="H2800" s="450" t="s">
        <v>22883</v>
      </c>
      <c r="I2800" s="450" t="s">
        <v>34118</v>
      </c>
      <c r="J2800" s="450" t="s">
        <v>23185</v>
      </c>
      <c r="K2800" s="450"/>
    </row>
    <row r="2801" spans="1:11">
      <c r="A2801" s="451" t="s">
        <v>21571</v>
      </c>
      <c r="B2801" s="451"/>
      <c r="C2801" s="451" t="s">
        <v>2542</v>
      </c>
      <c r="D2801" s="451"/>
      <c r="E2801" s="451"/>
      <c r="F2801" s="451"/>
      <c r="G2801" s="451" t="s">
        <v>22877</v>
      </c>
      <c r="H2801" s="451" t="s">
        <v>22878</v>
      </c>
      <c r="I2801" s="451" t="s">
        <v>24222</v>
      </c>
      <c r="J2801" s="451" t="s">
        <v>23185</v>
      </c>
      <c r="K2801" s="451"/>
    </row>
    <row r="2802" spans="1:11">
      <c r="A2802" s="450" t="s">
        <v>34119</v>
      </c>
      <c r="B2802" s="450" t="s">
        <v>34120</v>
      </c>
      <c r="C2802" s="450" t="s">
        <v>34121</v>
      </c>
      <c r="D2802" s="450"/>
      <c r="E2802" s="450"/>
      <c r="F2802" s="450"/>
      <c r="G2802" s="450" t="s">
        <v>22877</v>
      </c>
      <c r="H2802" s="450" t="s">
        <v>22878</v>
      </c>
      <c r="I2802" s="450" t="s">
        <v>24223</v>
      </c>
      <c r="J2802" s="450" t="s">
        <v>34122</v>
      </c>
      <c r="K2802" s="450"/>
    </row>
    <row r="2803" spans="1:11">
      <c r="A2803" s="451" t="s">
        <v>24224</v>
      </c>
      <c r="B2803" s="451" t="s">
        <v>24225</v>
      </c>
      <c r="C2803" s="451" t="s">
        <v>24226</v>
      </c>
      <c r="D2803" s="451"/>
      <c r="E2803" s="451"/>
      <c r="F2803" s="451"/>
      <c r="G2803" s="451" t="s">
        <v>22877</v>
      </c>
      <c r="H2803" s="451" t="s">
        <v>22878</v>
      </c>
      <c r="I2803" s="451" t="s">
        <v>24223</v>
      </c>
      <c r="J2803" s="451" t="s">
        <v>24227</v>
      </c>
      <c r="K2803" s="451"/>
    </row>
    <row r="2804" spans="1:11">
      <c r="A2804" s="450" t="s">
        <v>5221</v>
      </c>
      <c r="B2804" s="450"/>
      <c r="C2804" s="450" t="s">
        <v>2583</v>
      </c>
      <c r="D2804" s="450"/>
      <c r="E2804" s="450"/>
      <c r="F2804" s="450"/>
      <c r="G2804" s="450" t="s">
        <v>22877</v>
      </c>
      <c r="H2804" s="450" t="s">
        <v>22878</v>
      </c>
      <c r="I2804" s="450" t="s">
        <v>34123</v>
      </c>
      <c r="J2804" s="450" t="s">
        <v>22997</v>
      </c>
      <c r="K2804" s="450"/>
    </row>
    <row r="2805" spans="1:11">
      <c r="A2805" s="451" t="s">
        <v>34124</v>
      </c>
      <c r="B2805" s="451"/>
      <c r="C2805" s="451" t="s">
        <v>2583</v>
      </c>
      <c r="D2805" s="451"/>
      <c r="E2805" s="451"/>
      <c r="F2805" s="451"/>
      <c r="G2805" s="451" t="s">
        <v>22877</v>
      </c>
      <c r="H2805" s="451" t="s">
        <v>22878</v>
      </c>
      <c r="I2805" s="451" t="s">
        <v>34123</v>
      </c>
      <c r="J2805" s="451" t="s">
        <v>22943</v>
      </c>
      <c r="K2805" s="451"/>
    </row>
    <row r="2806" spans="1:11">
      <c r="A2806" s="450" t="s">
        <v>34125</v>
      </c>
      <c r="B2806" s="450"/>
      <c r="C2806" s="450" t="s">
        <v>2092</v>
      </c>
      <c r="D2806" s="450"/>
      <c r="E2806" s="450"/>
      <c r="F2806" s="450"/>
      <c r="G2806" s="450" t="s">
        <v>22882</v>
      </c>
      <c r="H2806" s="450" t="s">
        <v>22883</v>
      </c>
      <c r="I2806" s="450" t="s">
        <v>34126</v>
      </c>
      <c r="J2806" s="450" t="s">
        <v>23185</v>
      </c>
      <c r="K2806" s="450"/>
    </row>
    <row r="2807" spans="1:11">
      <c r="A2807" s="451" t="s">
        <v>5222</v>
      </c>
      <c r="B2807" s="451"/>
      <c r="C2807" s="451" t="s">
        <v>2092</v>
      </c>
      <c r="D2807" s="451"/>
      <c r="E2807" s="451"/>
      <c r="F2807" s="451"/>
      <c r="G2807" s="451" t="s">
        <v>22882</v>
      </c>
      <c r="H2807" s="451" t="s">
        <v>22883</v>
      </c>
      <c r="I2807" s="451" t="s">
        <v>34126</v>
      </c>
      <c r="J2807" s="451" t="s">
        <v>23185</v>
      </c>
      <c r="K2807" s="451"/>
    </row>
    <row r="2808" spans="1:11">
      <c r="A2808" s="450" t="s">
        <v>34127</v>
      </c>
      <c r="B2808" s="450"/>
      <c r="C2808" s="450" t="s">
        <v>2578</v>
      </c>
      <c r="D2808" s="450"/>
      <c r="E2808" s="450"/>
      <c r="F2808" s="450"/>
      <c r="G2808" s="450" t="s">
        <v>22882</v>
      </c>
      <c r="H2808" s="450" t="s">
        <v>22883</v>
      </c>
      <c r="I2808" s="450" t="s">
        <v>24228</v>
      </c>
      <c r="J2808" s="450" t="s">
        <v>22942</v>
      </c>
      <c r="K2808" s="450"/>
    </row>
    <row r="2809" spans="1:11">
      <c r="A2809" s="451" t="s">
        <v>5223</v>
      </c>
      <c r="B2809" s="451"/>
      <c r="C2809" s="451" t="s">
        <v>2578</v>
      </c>
      <c r="D2809" s="451"/>
      <c r="E2809" s="451"/>
      <c r="F2809" s="451"/>
      <c r="G2809" s="451" t="s">
        <v>22882</v>
      </c>
      <c r="H2809" s="451" t="s">
        <v>22883</v>
      </c>
      <c r="I2809" s="451" t="s">
        <v>24228</v>
      </c>
      <c r="J2809" s="451" t="s">
        <v>23185</v>
      </c>
      <c r="K2809" s="451"/>
    </row>
    <row r="2810" spans="1:11">
      <c r="A2810" s="450" t="s">
        <v>21572</v>
      </c>
      <c r="B2810" s="450" t="s">
        <v>5224</v>
      </c>
      <c r="C2810" s="450" t="s">
        <v>5225</v>
      </c>
      <c r="D2810" s="450"/>
      <c r="E2810" s="450"/>
      <c r="F2810" s="450"/>
      <c r="G2810" s="450" t="s">
        <v>22882</v>
      </c>
      <c r="H2810" s="450" t="s">
        <v>22883</v>
      </c>
      <c r="I2810" s="450" t="s">
        <v>24229</v>
      </c>
      <c r="J2810" s="450" t="s">
        <v>24230</v>
      </c>
      <c r="K2810" s="450"/>
    </row>
    <row r="2811" spans="1:11">
      <c r="A2811" s="451" t="s">
        <v>34128</v>
      </c>
      <c r="B2811" s="451"/>
      <c r="C2811" s="451" t="s">
        <v>3301</v>
      </c>
      <c r="D2811" s="451"/>
      <c r="E2811" s="451"/>
      <c r="F2811" s="451"/>
      <c r="G2811" s="451" t="s">
        <v>22882</v>
      </c>
      <c r="H2811" s="451" t="s">
        <v>22883</v>
      </c>
      <c r="I2811" s="451"/>
      <c r="J2811" s="451" t="s">
        <v>22942</v>
      </c>
      <c r="K2811" s="451"/>
    </row>
    <row r="2812" spans="1:11">
      <c r="A2812" s="450" t="s">
        <v>5226</v>
      </c>
      <c r="B2812" s="450"/>
      <c r="C2812" s="450" t="s">
        <v>3301</v>
      </c>
      <c r="D2812" s="450"/>
      <c r="E2812" s="450"/>
      <c r="F2812" s="450"/>
      <c r="G2812" s="450" t="s">
        <v>22877</v>
      </c>
      <c r="H2812" s="450" t="s">
        <v>22878</v>
      </c>
      <c r="I2812" s="450" t="s">
        <v>34129</v>
      </c>
      <c r="J2812" s="450" t="s">
        <v>22997</v>
      </c>
      <c r="K2812" s="450"/>
    </row>
    <row r="2813" spans="1:11">
      <c r="A2813" s="451" t="s">
        <v>5229</v>
      </c>
      <c r="B2813" s="451"/>
      <c r="C2813" s="451" t="s">
        <v>5230</v>
      </c>
      <c r="D2813" s="451"/>
      <c r="E2813" s="451"/>
      <c r="F2813" s="451"/>
      <c r="G2813" s="451" t="s">
        <v>22882</v>
      </c>
      <c r="H2813" s="451" t="s">
        <v>22883</v>
      </c>
      <c r="I2813" s="451"/>
      <c r="J2813" s="451" t="s">
        <v>22997</v>
      </c>
      <c r="K2813" s="451"/>
    </row>
    <row r="2814" spans="1:11">
      <c r="A2814" s="450" t="s">
        <v>24231</v>
      </c>
      <c r="B2814" s="450"/>
      <c r="C2814" s="450" t="s">
        <v>5230</v>
      </c>
      <c r="D2814" s="450"/>
      <c r="E2814" s="450"/>
      <c r="F2814" s="450"/>
      <c r="G2814" s="450" t="s">
        <v>22882</v>
      </c>
      <c r="H2814" s="450" t="s">
        <v>22883</v>
      </c>
      <c r="I2814" s="450"/>
      <c r="J2814" s="450" t="s">
        <v>24146</v>
      </c>
      <c r="K2814" s="450"/>
    </row>
    <row r="2815" spans="1:11">
      <c r="A2815" s="451" t="s">
        <v>21573</v>
      </c>
      <c r="B2815" s="451" t="s">
        <v>5227</v>
      </c>
      <c r="C2815" s="451" t="s">
        <v>5228</v>
      </c>
      <c r="D2815" s="451"/>
      <c r="E2815" s="451"/>
      <c r="F2815" s="451"/>
      <c r="G2815" s="451" t="s">
        <v>22877</v>
      </c>
      <c r="H2815" s="451" t="s">
        <v>22878</v>
      </c>
      <c r="I2815" s="451" t="s">
        <v>24233</v>
      </c>
      <c r="J2815" s="451" t="s">
        <v>34130</v>
      </c>
      <c r="K2815" s="451"/>
    </row>
    <row r="2816" spans="1:11">
      <c r="A2816" s="450" t="s">
        <v>30857</v>
      </c>
      <c r="B2816" s="450" t="s">
        <v>5227</v>
      </c>
      <c r="C2816" s="450" t="s">
        <v>24232</v>
      </c>
      <c r="D2816" s="450"/>
      <c r="E2816" s="450"/>
      <c r="F2816" s="450"/>
      <c r="G2816" s="450" t="s">
        <v>22877</v>
      </c>
      <c r="H2816" s="450" t="s">
        <v>22878</v>
      </c>
      <c r="I2816" s="450" t="s">
        <v>24233</v>
      </c>
      <c r="J2816" s="450" t="s">
        <v>24234</v>
      </c>
      <c r="K2816" s="450"/>
    </row>
    <row r="2817" spans="1:11">
      <c r="A2817" s="451" t="s">
        <v>5231</v>
      </c>
      <c r="B2817" s="451"/>
      <c r="C2817" s="451" t="s">
        <v>1670</v>
      </c>
      <c r="D2817" s="451"/>
      <c r="E2817" s="451"/>
      <c r="F2817" s="451"/>
      <c r="G2817" s="451" t="s">
        <v>22877</v>
      </c>
      <c r="H2817" s="451" t="s">
        <v>22878</v>
      </c>
      <c r="I2817" s="451" t="s">
        <v>24235</v>
      </c>
      <c r="J2817" s="451" t="s">
        <v>23185</v>
      </c>
      <c r="K2817" s="451"/>
    </row>
    <row r="2818" spans="1:11">
      <c r="A2818" s="450" t="s">
        <v>5232</v>
      </c>
      <c r="B2818" s="450"/>
      <c r="C2818" s="450" t="s">
        <v>5233</v>
      </c>
      <c r="D2818" s="450"/>
      <c r="E2818" s="450"/>
      <c r="F2818" s="450"/>
      <c r="G2818" s="450" t="s">
        <v>22882</v>
      </c>
      <c r="H2818" s="450" t="s">
        <v>22883</v>
      </c>
      <c r="I2818" s="450"/>
      <c r="J2818" s="450" t="s">
        <v>22943</v>
      </c>
      <c r="K2818" s="450"/>
    </row>
    <row r="2819" spans="1:11">
      <c r="A2819" s="451" t="s">
        <v>21574</v>
      </c>
      <c r="B2819" s="451"/>
      <c r="C2819" s="451" t="s">
        <v>5234</v>
      </c>
      <c r="D2819" s="451"/>
      <c r="E2819" s="451"/>
      <c r="F2819" s="451"/>
      <c r="G2819" s="451" t="s">
        <v>22877</v>
      </c>
      <c r="H2819" s="451" t="s">
        <v>22878</v>
      </c>
      <c r="I2819" s="451" t="s">
        <v>34131</v>
      </c>
      <c r="J2819" s="451" t="s">
        <v>23185</v>
      </c>
      <c r="K2819" s="451"/>
    </row>
    <row r="2820" spans="1:11">
      <c r="A2820" s="450" t="s">
        <v>5235</v>
      </c>
      <c r="B2820" s="450"/>
      <c r="C2820" s="450" t="s">
        <v>1156</v>
      </c>
      <c r="D2820" s="450"/>
      <c r="E2820" s="450"/>
      <c r="F2820" s="450"/>
      <c r="G2820" s="450" t="s">
        <v>22882</v>
      </c>
      <c r="H2820" s="450" t="s">
        <v>22883</v>
      </c>
      <c r="I2820" s="450"/>
      <c r="J2820" s="450" t="s">
        <v>23185</v>
      </c>
      <c r="K2820" s="450"/>
    </row>
    <row r="2821" spans="1:11">
      <c r="A2821" s="451" t="s">
        <v>5236</v>
      </c>
      <c r="B2821" s="451"/>
      <c r="C2821" s="451" t="s">
        <v>5237</v>
      </c>
      <c r="D2821" s="451"/>
      <c r="E2821" s="451"/>
      <c r="F2821" s="451"/>
      <c r="G2821" s="451" t="s">
        <v>22877</v>
      </c>
      <c r="H2821" s="451" t="s">
        <v>22878</v>
      </c>
      <c r="I2821" s="451" t="s">
        <v>34132</v>
      </c>
      <c r="J2821" s="451" t="s">
        <v>23185</v>
      </c>
      <c r="K2821" s="451"/>
    </row>
    <row r="2822" spans="1:11">
      <c r="A2822" s="450" t="s">
        <v>24236</v>
      </c>
      <c r="B2822" s="450"/>
      <c r="C2822" s="450" t="s">
        <v>5237</v>
      </c>
      <c r="D2822" s="450"/>
      <c r="E2822" s="450"/>
      <c r="F2822" s="450"/>
      <c r="G2822" s="450" t="s">
        <v>22882</v>
      </c>
      <c r="H2822" s="450" t="s">
        <v>22883</v>
      </c>
      <c r="I2822" s="450"/>
      <c r="J2822" s="450" t="s">
        <v>22943</v>
      </c>
      <c r="K2822" s="450"/>
    </row>
    <row r="2823" spans="1:11">
      <c r="A2823" s="451" t="s">
        <v>5238</v>
      </c>
      <c r="B2823" s="451" t="s">
        <v>5239</v>
      </c>
      <c r="C2823" s="451" t="s">
        <v>5240</v>
      </c>
      <c r="D2823" s="451" t="s">
        <v>5241</v>
      </c>
      <c r="E2823" s="451"/>
      <c r="F2823" s="451"/>
      <c r="G2823" s="451" t="s">
        <v>22877</v>
      </c>
      <c r="H2823" s="451" t="s">
        <v>22878</v>
      </c>
      <c r="I2823" s="451" t="s">
        <v>5241</v>
      </c>
      <c r="J2823" s="451" t="s">
        <v>34133</v>
      </c>
      <c r="K2823" s="451"/>
    </row>
    <row r="2824" spans="1:11">
      <c r="A2824" s="450" t="s">
        <v>5238</v>
      </c>
      <c r="B2824" s="450" t="s">
        <v>5239</v>
      </c>
      <c r="C2824" s="450" t="s">
        <v>5240</v>
      </c>
      <c r="D2824" s="450" t="s">
        <v>5241</v>
      </c>
      <c r="E2824" s="450" t="s">
        <v>5242</v>
      </c>
      <c r="F2824" s="450"/>
      <c r="G2824" s="450" t="s">
        <v>22877</v>
      </c>
      <c r="H2824" s="450" t="s">
        <v>22878</v>
      </c>
      <c r="I2824" s="450" t="s">
        <v>5241</v>
      </c>
      <c r="J2824" s="450" t="s">
        <v>30858</v>
      </c>
      <c r="K2824" s="450"/>
    </row>
    <row r="2825" spans="1:11">
      <c r="A2825" s="451" t="s">
        <v>21575</v>
      </c>
      <c r="B2825" s="451"/>
      <c r="C2825" s="451" t="s">
        <v>5243</v>
      </c>
      <c r="D2825" s="451"/>
      <c r="E2825" s="451"/>
      <c r="F2825" s="451"/>
      <c r="G2825" s="451" t="s">
        <v>22877</v>
      </c>
      <c r="H2825" s="451" t="s">
        <v>22878</v>
      </c>
      <c r="I2825" s="451" t="s">
        <v>34134</v>
      </c>
      <c r="J2825" s="451" t="s">
        <v>23185</v>
      </c>
      <c r="K2825" s="451"/>
    </row>
    <row r="2826" spans="1:11">
      <c r="A2826" s="450" t="s">
        <v>5244</v>
      </c>
      <c r="B2826" s="450"/>
      <c r="C2826" s="450" t="s">
        <v>5245</v>
      </c>
      <c r="D2826" s="450"/>
      <c r="E2826" s="450"/>
      <c r="F2826" s="450"/>
      <c r="G2826" s="450" t="s">
        <v>22877</v>
      </c>
      <c r="H2826" s="450" t="s">
        <v>22878</v>
      </c>
      <c r="I2826" s="450" t="s">
        <v>34135</v>
      </c>
      <c r="J2826" s="450" t="s">
        <v>23185</v>
      </c>
      <c r="K2826" s="450"/>
    </row>
    <row r="2827" spans="1:11">
      <c r="A2827" s="451" t="s">
        <v>5246</v>
      </c>
      <c r="B2827" s="451"/>
      <c r="C2827" s="451" t="s">
        <v>5247</v>
      </c>
      <c r="D2827" s="451"/>
      <c r="E2827" s="451"/>
      <c r="F2827" s="451"/>
      <c r="G2827" s="451" t="s">
        <v>22877</v>
      </c>
      <c r="H2827" s="451" t="s">
        <v>22878</v>
      </c>
      <c r="I2827" s="451" t="s">
        <v>24237</v>
      </c>
      <c r="J2827" s="451" t="s">
        <v>23185</v>
      </c>
      <c r="K2827" s="451"/>
    </row>
    <row r="2828" spans="1:11">
      <c r="A2828" s="450" t="s">
        <v>5248</v>
      </c>
      <c r="B2828" s="450" t="s">
        <v>5249</v>
      </c>
      <c r="C2828" s="450" t="s">
        <v>5250</v>
      </c>
      <c r="D2828" s="450" t="s">
        <v>5251</v>
      </c>
      <c r="E2828" s="450"/>
      <c r="F2828" s="450"/>
      <c r="G2828" s="450" t="s">
        <v>22877</v>
      </c>
      <c r="H2828" s="450" t="s">
        <v>22878</v>
      </c>
      <c r="I2828" s="450" t="s">
        <v>24238</v>
      </c>
      <c r="J2828" s="450" t="s">
        <v>24239</v>
      </c>
      <c r="K2828" s="450"/>
    </row>
    <row r="2829" spans="1:11">
      <c r="A2829" s="451" t="s">
        <v>5252</v>
      </c>
      <c r="B2829" s="451"/>
      <c r="C2829" s="451" t="s">
        <v>5253</v>
      </c>
      <c r="D2829" s="451"/>
      <c r="E2829" s="451"/>
      <c r="F2829" s="451"/>
      <c r="G2829" s="451" t="s">
        <v>22877</v>
      </c>
      <c r="H2829" s="451" t="s">
        <v>22878</v>
      </c>
      <c r="I2829" s="451" t="s">
        <v>34136</v>
      </c>
      <c r="J2829" s="451" t="s">
        <v>22943</v>
      </c>
      <c r="K2829" s="451"/>
    </row>
    <row r="2830" spans="1:11">
      <c r="A2830" s="450" t="s">
        <v>5254</v>
      </c>
      <c r="B2830" s="450"/>
      <c r="C2830" s="450" t="s">
        <v>5255</v>
      </c>
      <c r="D2830" s="450"/>
      <c r="E2830" s="450"/>
      <c r="F2830" s="450"/>
      <c r="G2830" s="450" t="s">
        <v>22877</v>
      </c>
      <c r="H2830" s="450" t="s">
        <v>22878</v>
      </c>
      <c r="I2830" s="450" t="s">
        <v>34137</v>
      </c>
      <c r="J2830" s="450" t="s">
        <v>22997</v>
      </c>
      <c r="K2830" s="450"/>
    </row>
    <row r="2831" spans="1:11">
      <c r="A2831" s="451" t="s">
        <v>21576</v>
      </c>
      <c r="B2831" s="451"/>
      <c r="C2831" s="451" t="s">
        <v>5256</v>
      </c>
      <c r="D2831" s="451"/>
      <c r="E2831" s="451"/>
      <c r="F2831" s="451"/>
      <c r="G2831" s="451" t="s">
        <v>22882</v>
      </c>
      <c r="H2831" s="451" t="s">
        <v>22883</v>
      </c>
      <c r="I2831" s="451"/>
      <c r="J2831" s="451" t="s">
        <v>22997</v>
      </c>
      <c r="K2831" s="451"/>
    </row>
    <row r="2832" spans="1:11">
      <c r="A2832" s="450" t="s">
        <v>24240</v>
      </c>
      <c r="B2832" s="450"/>
      <c r="C2832" s="450" t="s">
        <v>3780</v>
      </c>
      <c r="D2832" s="450"/>
      <c r="E2832" s="450"/>
      <c r="F2832" s="450"/>
      <c r="G2832" s="450" t="s">
        <v>22882</v>
      </c>
      <c r="H2832" s="450" t="s">
        <v>22883</v>
      </c>
      <c r="I2832" s="450"/>
      <c r="J2832" s="450" t="s">
        <v>22943</v>
      </c>
      <c r="K2832" s="450"/>
    </row>
    <row r="2833" spans="1:11">
      <c r="A2833" s="451" t="s">
        <v>24241</v>
      </c>
      <c r="B2833" s="451" t="s">
        <v>24242</v>
      </c>
      <c r="C2833" s="451" t="s">
        <v>24243</v>
      </c>
      <c r="D2833" s="451"/>
      <c r="E2833" s="451"/>
      <c r="F2833" s="451"/>
      <c r="G2833" s="451" t="s">
        <v>22877</v>
      </c>
      <c r="H2833" s="451" t="s">
        <v>22878</v>
      </c>
      <c r="I2833" s="451" t="s">
        <v>24244</v>
      </c>
      <c r="J2833" s="451" t="s">
        <v>24245</v>
      </c>
      <c r="K2833" s="451"/>
    </row>
    <row r="2834" spans="1:11">
      <c r="A2834" s="450" t="s">
        <v>34138</v>
      </c>
      <c r="B2834" s="450"/>
      <c r="C2834" s="450" t="s">
        <v>3643</v>
      </c>
      <c r="D2834" s="450"/>
      <c r="E2834" s="450"/>
      <c r="F2834" s="450"/>
      <c r="G2834" s="450" t="s">
        <v>22882</v>
      </c>
      <c r="H2834" s="450" t="s">
        <v>22883</v>
      </c>
      <c r="I2834" s="450"/>
      <c r="J2834" s="450" t="s">
        <v>22943</v>
      </c>
      <c r="K2834" s="450"/>
    </row>
    <row r="2835" spans="1:11">
      <c r="A2835" s="451" t="s">
        <v>5257</v>
      </c>
      <c r="B2835" s="451"/>
      <c r="C2835" s="451" t="s">
        <v>3643</v>
      </c>
      <c r="D2835" s="451"/>
      <c r="E2835" s="451"/>
      <c r="F2835" s="451"/>
      <c r="G2835" s="451" t="s">
        <v>22882</v>
      </c>
      <c r="H2835" s="451" t="s">
        <v>22883</v>
      </c>
      <c r="I2835" s="451" t="s">
        <v>34139</v>
      </c>
      <c r="J2835" s="451" t="s">
        <v>22997</v>
      </c>
      <c r="K2835" s="451"/>
    </row>
    <row r="2836" spans="1:11">
      <c r="A2836" s="450" t="s">
        <v>5258</v>
      </c>
      <c r="B2836" s="450"/>
      <c r="C2836" s="450" t="s">
        <v>5259</v>
      </c>
      <c r="D2836" s="450"/>
      <c r="E2836" s="450"/>
      <c r="F2836" s="450"/>
      <c r="G2836" s="450" t="s">
        <v>22882</v>
      </c>
      <c r="H2836" s="450" t="s">
        <v>22883</v>
      </c>
      <c r="I2836" s="450" t="s">
        <v>24247</v>
      </c>
      <c r="J2836" s="450" t="s">
        <v>23185</v>
      </c>
      <c r="K2836" s="450"/>
    </row>
    <row r="2837" spans="1:11">
      <c r="A2837" s="451" t="s">
        <v>24246</v>
      </c>
      <c r="B2837" s="451"/>
      <c r="C2837" s="451" t="s">
        <v>22805</v>
      </c>
      <c r="D2837" s="451"/>
      <c r="E2837" s="451"/>
      <c r="F2837" s="451"/>
      <c r="G2837" s="451" t="s">
        <v>22882</v>
      </c>
      <c r="H2837" s="451" t="s">
        <v>22883</v>
      </c>
      <c r="I2837" s="451" t="s">
        <v>24247</v>
      </c>
      <c r="J2837" s="451" t="s">
        <v>23185</v>
      </c>
      <c r="K2837" s="451"/>
    </row>
    <row r="2838" spans="1:11">
      <c r="A2838" s="450" t="s">
        <v>5260</v>
      </c>
      <c r="B2838" s="450" t="s">
        <v>34140</v>
      </c>
      <c r="C2838" s="450" t="s">
        <v>5262</v>
      </c>
      <c r="D2838" s="450" t="s">
        <v>5263</v>
      </c>
      <c r="E2838" s="450"/>
      <c r="F2838" s="450"/>
      <c r="G2838" s="450" t="s">
        <v>22877</v>
      </c>
      <c r="H2838" s="450" t="s">
        <v>22878</v>
      </c>
      <c r="I2838" s="450" t="s">
        <v>24248</v>
      </c>
      <c r="J2838" s="450" t="s">
        <v>34141</v>
      </c>
      <c r="K2838" s="450"/>
    </row>
    <row r="2839" spans="1:11">
      <c r="A2839" s="451" t="s">
        <v>5260</v>
      </c>
      <c r="B2839" s="451" t="s">
        <v>5261</v>
      </c>
      <c r="C2839" s="451" t="s">
        <v>5262</v>
      </c>
      <c r="D2839" s="451" t="s">
        <v>5263</v>
      </c>
      <c r="E2839" s="451" t="s">
        <v>5264</v>
      </c>
      <c r="F2839" s="451"/>
      <c r="G2839" s="451" t="s">
        <v>22882</v>
      </c>
      <c r="H2839" s="451" t="s">
        <v>22883</v>
      </c>
      <c r="I2839" s="451" t="s">
        <v>24248</v>
      </c>
      <c r="J2839" s="451" t="s">
        <v>30859</v>
      </c>
      <c r="K2839" s="451"/>
    </row>
    <row r="2840" spans="1:11">
      <c r="A2840" s="450" t="s">
        <v>34142</v>
      </c>
      <c r="B2840" s="450" t="s">
        <v>5266</v>
      </c>
      <c r="C2840" s="450" t="s">
        <v>5267</v>
      </c>
      <c r="D2840" s="450" t="s">
        <v>5268</v>
      </c>
      <c r="E2840" s="450"/>
      <c r="F2840" s="450"/>
      <c r="G2840" s="450" t="s">
        <v>22877</v>
      </c>
      <c r="H2840" s="450" t="s">
        <v>22878</v>
      </c>
      <c r="I2840" s="450" t="s">
        <v>5268</v>
      </c>
      <c r="J2840" s="450" t="s">
        <v>34143</v>
      </c>
      <c r="K2840" s="450"/>
    </row>
    <row r="2841" spans="1:11">
      <c r="A2841" s="451" t="s">
        <v>5265</v>
      </c>
      <c r="B2841" s="451" t="s">
        <v>5266</v>
      </c>
      <c r="C2841" s="451" t="s">
        <v>5267</v>
      </c>
      <c r="D2841" s="451" t="s">
        <v>5268</v>
      </c>
      <c r="E2841" s="451" t="s">
        <v>5269</v>
      </c>
      <c r="F2841" s="451"/>
      <c r="G2841" s="451" t="s">
        <v>22877</v>
      </c>
      <c r="H2841" s="451" t="s">
        <v>22878</v>
      </c>
      <c r="I2841" s="451" t="s">
        <v>5268</v>
      </c>
      <c r="J2841" s="451" t="s">
        <v>30860</v>
      </c>
      <c r="K2841" s="451"/>
    </row>
    <row r="2842" spans="1:11">
      <c r="A2842" s="450" t="s">
        <v>5270</v>
      </c>
      <c r="B2842" s="450" t="s">
        <v>5271</v>
      </c>
      <c r="C2842" s="450" t="s">
        <v>5272</v>
      </c>
      <c r="D2842" s="450" t="s">
        <v>5273</v>
      </c>
      <c r="E2842" s="450"/>
      <c r="F2842" s="450"/>
      <c r="G2842" s="450" t="s">
        <v>22877</v>
      </c>
      <c r="H2842" s="450" t="s">
        <v>22878</v>
      </c>
      <c r="I2842" s="450" t="s">
        <v>5273</v>
      </c>
      <c r="J2842" s="450" t="s">
        <v>24249</v>
      </c>
      <c r="K2842" s="450"/>
    </row>
    <row r="2843" spans="1:11">
      <c r="A2843" s="451" t="s">
        <v>5274</v>
      </c>
      <c r="B2843" s="451" t="s">
        <v>24250</v>
      </c>
      <c r="C2843" s="451" t="s">
        <v>5276</v>
      </c>
      <c r="D2843" s="451" t="s">
        <v>5277</v>
      </c>
      <c r="E2843" s="451"/>
      <c r="F2843" s="451"/>
      <c r="G2843" s="451" t="s">
        <v>22877</v>
      </c>
      <c r="H2843" s="451" t="s">
        <v>22878</v>
      </c>
      <c r="I2843" s="451" t="s">
        <v>24251</v>
      </c>
      <c r="J2843" s="451" t="s">
        <v>24252</v>
      </c>
      <c r="K2843" s="451"/>
    </row>
    <row r="2844" spans="1:11">
      <c r="A2844" s="450" t="s">
        <v>5274</v>
      </c>
      <c r="B2844" s="450" t="s">
        <v>5275</v>
      </c>
      <c r="C2844" s="450" t="s">
        <v>5276</v>
      </c>
      <c r="D2844" s="450" t="s">
        <v>5277</v>
      </c>
      <c r="E2844" s="450" t="s">
        <v>5278</v>
      </c>
      <c r="F2844" s="450"/>
      <c r="G2844" s="450" t="s">
        <v>22877</v>
      </c>
      <c r="H2844" s="450" t="s">
        <v>22878</v>
      </c>
      <c r="I2844" s="450" t="s">
        <v>30861</v>
      </c>
      <c r="J2844" s="450" t="s">
        <v>30862</v>
      </c>
      <c r="K2844" s="450"/>
    </row>
    <row r="2845" spans="1:11">
      <c r="A2845" s="451" t="s">
        <v>5279</v>
      </c>
      <c r="B2845" s="451"/>
      <c r="C2845" s="451" t="s">
        <v>5280</v>
      </c>
      <c r="D2845" s="451"/>
      <c r="E2845" s="451"/>
      <c r="F2845" s="451"/>
      <c r="G2845" s="451" t="s">
        <v>22882</v>
      </c>
      <c r="H2845" s="451" t="s">
        <v>22883</v>
      </c>
      <c r="I2845" s="451" t="s">
        <v>34144</v>
      </c>
      <c r="J2845" s="451" t="s">
        <v>22997</v>
      </c>
      <c r="K2845" s="451"/>
    </row>
    <row r="2846" spans="1:11">
      <c r="A2846" s="450" t="s">
        <v>5281</v>
      </c>
      <c r="B2846" s="450"/>
      <c r="C2846" s="450" t="s">
        <v>5282</v>
      </c>
      <c r="D2846" s="450"/>
      <c r="E2846" s="450"/>
      <c r="F2846" s="450"/>
      <c r="G2846" s="450" t="s">
        <v>22877</v>
      </c>
      <c r="H2846" s="450" t="s">
        <v>22878</v>
      </c>
      <c r="I2846" s="450" t="s">
        <v>5268</v>
      </c>
      <c r="J2846" s="450" t="s">
        <v>23492</v>
      </c>
      <c r="K2846" s="450"/>
    </row>
    <row r="2847" spans="1:11">
      <c r="A2847" s="451" t="s">
        <v>5283</v>
      </c>
      <c r="B2847" s="451"/>
      <c r="C2847" s="451" t="s">
        <v>5284</v>
      </c>
      <c r="D2847" s="451"/>
      <c r="E2847" s="451"/>
      <c r="F2847" s="451"/>
      <c r="G2847" s="451" t="s">
        <v>22877</v>
      </c>
      <c r="H2847" s="451" t="s">
        <v>22878</v>
      </c>
      <c r="I2847" s="451" t="s">
        <v>24253</v>
      </c>
      <c r="J2847" s="451" t="s">
        <v>23185</v>
      </c>
      <c r="K2847" s="451"/>
    </row>
    <row r="2848" spans="1:11">
      <c r="A2848" s="450" t="s">
        <v>5285</v>
      </c>
      <c r="B2848" s="450" t="s">
        <v>5286</v>
      </c>
      <c r="C2848" s="450" t="s">
        <v>5287</v>
      </c>
      <c r="D2848" s="450" t="s">
        <v>5288</v>
      </c>
      <c r="E2848" s="450"/>
      <c r="F2848" s="450"/>
      <c r="G2848" s="450" t="s">
        <v>22877</v>
      </c>
      <c r="H2848" s="450" t="s">
        <v>22878</v>
      </c>
      <c r="I2848" s="450" t="s">
        <v>24254</v>
      </c>
      <c r="J2848" s="450" t="s">
        <v>24255</v>
      </c>
      <c r="K2848" s="450"/>
    </row>
    <row r="2849" spans="1:11">
      <c r="A2849" s="451" t="s">
        <v>5285</v>
      </c>
      <c r="B2849" s="451" t="s">
        <v>5286</v>
      </c>
      <c r="C2849" s="451" t="s">
        <v>5287</v>
      </c>
      <c r="D2849" s="451" t="s">
        <v>5288</v>
      </c>
      <c r="E2849" s="451" t="s">
        <v>5289</v>
      </c>
      <c r="F2849" s="451"/>
      <c r="G2849" s="451" t="s">
        <v>22877</v>
      </c>
      <c r="H2849" s="451" t="s">
        <v>22878</v>
      </c>
      <c r="I2849" s="451" t="s">
        <v>24254</v>
      </c>
      <c r="J2849" s="451" t="s">
        <v>24255</v>
      </c>
      <c r="K2849" s="451"/>
    </row>
    <row r="2850" spans="1:11">
      <c r="A2850" s="450" t="s">
        <v>24256</v>
      </c>
      <c r="B2850" s="450" t="s">
        <v>24257</v>
      </c>
      <c r="C2850" s="450" t="s">
        <v>24258</v>
      </c>
      <c r="D2850" s="450"/>
      <c r="E2850" s="450"/>
      <c r="F2850" s="450"/>
      <c r="G2850" s="450" t="s">
        <v>22877</v>
      </c>
      <c r="H2850" s="450" t="s">
        <v>22878</v>
      </c>
      <c r="I2850" s="450" t="s">
        <v>24259</v>
      </c>
      <c r="J2850" s="450" t="s">
        <v>24260</v>
      </c>
      <c r="K2850" s="450"/>
    </row>
    <row r="2851" spans="1:11">
      <c r="A2851" s="451" t="s">
        <v>5290</v>
      </c>
      <c r="B2851" s="451"/>
      <c r="C2851" s="451" t="s">
        <v>5291</v>
      </c>
      <c r="D2851" s="451"/>
      <c r="E2851" s="451"/>
      <c r="F2851" s="451"/>
      <c r="G2851" s="451" t="s">
        <v>22882</v>
      </c>
      <c r="H2851" s="451" t="s">
        <v>22883</v>
      </c>
      <c r="I2851" s="451"/>
      <c r="J2851" s="451" t="s">
        <v>22939</v>
      </c>
      <c r="K2851" s="451"/>
    </row>
    <row r="2852" spans="1:11">
      <c r="A2852" s="450" t="s">
        <v>5292</v>
      </c>
      <c r="B2852" s="450"/>
      <c r="C2852" s="450" t="s">
        <v>5293</v>
      </c>
      <c r="D2852" s="450"/>
      <c r="E2852" s="450"/>
      <c r="F2852" s="450"/>
      <c r="G2852" s="450" t="s">
        <v>22882</v>
      </c>
      <c r="H2852" s="450" t="s">
        <v>22883</v>
      </c>
      <c r="I2852" s="450"/>
      <c r="J2852" s="450" t="s">
        <v>23133</v>
      </c>
      <c r="K2852" s="450"/>
    </row>
    <row r="2853" spans="1:11">
      <c r="A2853" s="451" t="s">
        <v>34145</v>
      </c>
      <c r="B2853" s="451"/>
      <c r="C2853" s="451" t="s">
        <v>4904</v>
      </c>
      <c r="D2853" s="451"/>
      <c r="E2853" s="451"/>
      <c r="F2853" s="451"/>
      <c r="G2853" s="451" t="s">
        <v>22882</v>
      </c>
      <c r="H2853" s="451" t="s">
        <v>22883</v>
      </c>
      <c r="I2853" s="451" t="s">
        <v>34146</v>
      </c>
      <c r="J2853" s="451" t="s">
        <v>22943</v>
      </c>
      <c r="K2853" s="451"/>
    </row>
    <row r="2854" spans="1:11">
      <c r="A2854" s="450" t="s">
        <v>5294</v>
      </c>
      <c r="B2854" s="450"/>
      <c r="C2854" s="450" t="s">
        <v>4904</v>
      </c>
      <c r="D2854" s="450"/>
      <c r="E2854" s="450"/>
      <c r="F2854" s="450"/>
      <c r="G2854" s="450" t="s">
        <v>22882</v>
      </c>
      <c r="H2854" s="450" t="s">
        <v>22883</v>
      </c>
      <c r="I2854" s="450" t="s">
        <v>34147</v>
      </c>
      <c r="J2854" s="450" t="s">
        <v>23185</v>
      </c>
      <c r="K2854" s="450"/>
    </row>
    <row r="2855" spans="1:11">
      <c r="A2855" s="451" t="s">
        <v>5305</v>
      </c>
      <c r="B2855" s="451"/>
      <c r="C2855" s="451" t="s">
        <v>5306</v>
      </c>
      <c r="D2855" s="451"/>
      <c r="E2855" s="451"/>
      <c r="F2855" s="451"/>
      <c r="G2855" s="451" t="s">
        <v>22882</v>
      </c>
      <c r="H2855" s="451" t="s">
        <v>22883</v>
      </c>
      <c r="I2855" s="451" t="s">
        <v>34148</v>
      </c>
      <c r="J2855" s="451" t="s">
        <v>22997</v>
      </c>
      <c r="K2855" s="451"/>
    </row>
    <row r="2856" spans="1:11">
      <c r="A2856" s="450" t="s">
        <v>34149</v>
      </c>
      <c r="B2856" s="450"/>
      <c r="C2856" s="450" t="s">
        <v>5308</v>
      </c>
      <c r="D2856" s="450"/>
      <c r="E2856" s="450"/>
      <c r="F2856" s="450"/>
      <c r="G2856" s="450" t="s">
        <v>22877</v>
      </c>
      <c r="H2856" s="450" t="s">
        <v>22878</v>
      </c>
      <c r="I2856" s="450" t="s">
        <v>34150</v>
      </c>
      <c r="J2856" s="450" t="s">
        <v>23370</v>
      </c>
      <c r="K2856" s="450"/>
    </row>
    <row r="2857" spans="1:11">
      <c r="A2857" s="451" t="s">
        <v>5307</v>
      </c>
      <c r="B2857" s="451"/>
      <c r="C2857" s="451" t="s">
        <v>5308</v>
      </c>
      <c r="D2857" s="451"/>
      <c r="E2857" s="451"/>
      <c r="F2857" s="451"/>
      <c r="G2857" s="451" t="s">
        <v>22877</v>
      </c>
      <c r="H2857" s="451" t="s">
        <v>22878</v>
      </c>
      <c r="I2857" s="451" t="s">
        <v>34151</v>
      </c>
      <c r="J2857" s="451" t="s">
        <v>23492</v>
      </c>
      <c r="K2857" s="451"/>
    </row>
    <row r="2858" spans="1:11">
      <c r="A2858" s="450" t="s">
        <v>21577</v>
      </c>
      <c r="B2858" s="450"/>
      <c r="C2858" s="450" t="s">
        <v>5295</v>
      </c>
      <c r="D2858" s="450"/>
      <c r="E2858" s="450"/>
      <c r="F2858" s="450"/>
      <c r="G2858" s="450" t="s">
        <v>22882</v>
      </c>
      <c r="H2858" s="450" t="s">
        <v>22883</v>
      </c>
      <c r="I2858" s="450"/>
      <c r="J2858" s="450" t="s">
        <v>22943</v>
      </c>
      <c r="K2858" s="450"/>
    </row>
    <row r="2859" spans="1:11">
      <c r="A2859" s="451" t="s">
        <v>21578</v>
      </c>
      <c r="B2859" s="451"/>
      <c r="C2859" s="451" t="s">
        <v>5296</v>
      </c>
      <c r="D2859" s="451"/>
      <c r="E2859" s="451"/>
      <c r="F2859" s="451"/>
      <c r="G2859" s="451" t="s">
        <v>22882</v>
      </c>
      <c r="H2859" s="451" t="s">
        <v>22883</v>
      </c>
      <c r="I2859" s="451"/>
      <c r="J2859" s="451" t="s">
        <v>22997</v>
      </c>
      <c r="K2859" s="451"/>
    </row>
    <row r="2860" spans="1:11">
      <c r="A2860" s="450" t="s">
        <v>21579</v>
      </c>
      <c r="B2860" s="450"/>
      <c r="C2860" s="450" t="s">
        <v>1278</v>
      </c>
      <c r="D2860" s="450"/>
      <c r="E2860" s="450"/>
      <c r="F2860" s="450"/>
      <c r="G2860" s="450" t="s">
        <v>22877</v>
      </c>
      <c r="H2860" s="450" t="s">
        <v>22878</v>
      </c>
      <c r="I2860" s="450" t="s">
        <v>34152</v>
      </c>
      <c r="J2860" s="450" t="s">
        <v>22943</v>
      </c>
      <c r="K2860" s="450"/>
    </row>
    <row r="2861" spans="1:11">
      <c r="A2861" s="451" t="s">
        <v>21580</v>
      </c>
      <c r="B2861" s="451"/>
      <c r="C2861" s="451" t="s">
        <v>5297</v>
      </c>
      <c r="D2861" s="451"/>
      <c r="E2861" s="451"/>
      <c r="F2861" s="451"/>
      <c r="G2861" s="451" t="s">
        <v>22882</v>
      </c>
      <c r="H2861" s="451" t="s">
        <v>22883</v>
      </c>
      <c r="I2861" s="451" t="s">
        <v>34153</v>
      </c>
      <c r="J2861" s="451" t="s">
        <v>22943</v>
      </c>
      <c r="K2861" s="451"/>
    </row>
    <row r="2862" spans="1:11">
      <c r="A2862" s="450" t="s">
        <v>21581</v>
      </c>
      <c r="B2862" s="450"/>
      <c r="C2862" s="450" t="s">
        <v>5298</v>
      </c>
      <c r="D2862" s="450"/>
      <c r="E2862" s="450"/>
      <c r="F2862" s="450"/>
      <c r="G2862" s="450" t="s">
        <v>22877</v>
      </c>
      <c r="H2862" s="450" t="s">
        <v>22878</v>
      </c>
      <c r="I2862" s="450" t="s">
        <v>34154</v>
      </c>
      <c r="J2862" s="450" t="s">
        <v>22943</v>
      </c>
      <c r="K2862" s="450"/>
    </row>
    <row r="2863" spans="1:11">
      <c r="A2863" s="451" t="s">
        <v>21582</v>
      </c>
      <c r="B2863" s="451"/>
      <c r="C2863" s="451" t="s">
        <v>2954</v>
      </c>
      <c r="D2863" s="451"/>
      <c r="E2863" s="451"/>
      <c r="F2863" s="451"/>
      <c r="G2863" s="451" t="s">
        <v>22877</v>
      </c>
      <c r="H2863" s="451" t="s">
        <v>22878</v>
      </c>
      <c r="I2863" s="451" t="s">
        <v>34155</v>
      </c>
      <c r="J2863" s="451" t="s">
        <v>22939</v>
      </c>
      <c r="K2863" s="451"/>
    </row>
    <row r="2864" spans="1:11">
      <c r="A2864" s="450" t="s">
        <v>34156</v>
      </c>
      <c r="B2864" s="450"/>
      <c r="C2864" s="450" t="s">
        <v>5299</v>
      </c>
      <c r="D2864" s="450"/>
      <c r="E2864" s="450"/>
      <c r="F2864" s="450"/>
      <c r="G2864" s="450" t="s">
        <v>22877</v>
      </c>
      <c r="H2864" s="450" t="s">
        <v>22878</v>
      </c>
      <c r="I2864" s="450" t="s">
        <v>34157</v>
      </c>
      <c r="J2864" s="450" t="s">
        <v>23370</v>
      </c>
      <c r="K2864" s="450"/>
    </row>
    <row r="2865" spans="1:11">
      <c r="A2865" s="451" t="s">
        <v>21583</v>
      </c>
      <c r="B2865" s="451"/>
      <c r="C2865" s="451" t="s">
        <v>5299</v>
      </c>
      <c r="D2865" s="451"/>
      <c r="E2865" s="451"/>
      <c r="F2865" s="451"/>
      <c r="G2865" s="451" t="s">
        <v>22877</v>
      </c>
      <c r="H2865" s="451" t="s">
        <v>22878</v>
      </c>
      <c r="I2865" s="451" t="s">
        <v>30863</v>
      </c>
      <c r="J2865" s="451" t="s">
        <v>22997</v>
      </c>
      <c r="K2865" s="451"/>
    </row>
    <row r="2866" spans="1:11">
      <c r="A2866" s="450" t="s">
        <v>21584</v>
      </c>
      <c r="B2866" s="450" t="s">
        <v>5300</v>
      </c>
      <c r="C2866" s="450" t="s">
        <v>5301</v>
      </c>
      <c r="D2866" s="450" t="s">
        <v>5302</v>
      </c>
      <c r="E2866" s="450"/>
      <c r="F2866" s="450" t="s">
        <v>34158</v>
      </c>
      <c r="G2866" s="450" t="s">
        <v>22877</v>
      </c>
      <c r="H2866" s="450" t="s">
        <v>22878</v>
      </c>
      <c r="I2866" s="450" t="s">
        <v>34159</v>
      </c>
      <c r="J2866" s="450" t="s">
        <v>34160</v>
      </c>
      <c r="K2866" s="450"/>
    </row>
    <row r="2867" spans="1:11">
      <c r="A2867" s="451" t="s">
        <v>21584</v>
      </c>
      <c r="B2867" s="451" t="s">
        <v>5300</v>
      </c>
      <c r="C2867" s="451" t="s">
        <v>5301</v>
      </c>
      <c r="D2867" s="451" t="s">
        <v>5302</v>
      </c>
      <c r="E2867" s="451" t="s">
        <v>5303</v>
      </c>
      <c r="F2867" s="451" t="s">
        <v>5304</v>
      </c>
      <c r="G2867" s="451" t="s">
        <v>22882</v>
      </c>
      <c r="H2867" s="451" t="s">
        <v>22883</v>
      </c>
      <c r="I2867" s="451" t="s">
        <v>30864</v>
      </c>
      <c r="J2867" s="451" t="s">
        <v>30865</v>
      </c>
      <c r="K2867" s="451"/>
    </row>
    <row r="2868" spans="1:11">
      <c r="A2868" s="450" t="s">
        <v>5309</v>
      </c>
      <c r="B2868" s="450"/>
      <c r="C2868" s="450" t="s">
        <v>4313</v>
      </c>
      <c r="D2868" s="450"/>
      <c r="E2868" s="450"/>
      <c r="F2868" s="450"/>
      <c r="G2868" s="450" t="s">
        <v>22877</v>
      </c>
      <c r="H2868" s="450" t="s">
        <v>22878</v>
      </c>
      <c r="I2868" s="450" t="s">
        <v>30866</v>
      </c>
      <c r="J2868" s="450" t="s">
        <v>23492</v>
      </c>
      <c r="K2868" s="450"/>
    </row>
    <row r="2869" spans="1:11">
      <c r="A2869" s="451" t="s">
        <v>21585</v>
      </c>
      <c r="B2869" s="451" t="s">
        <v>5310</v>
      </c>
      <c r="C2869" s="451" t="s">
        <v>5311</v>
      </c>
      <c r="D2869" s="451"/>
      <c r="E2869" s="451"/>
      <c r="F2869" s="451"/>
      <c r="G2869" s="451" t="s">
        <v>22882</v>
      </c>
      <c r="H2869" s="451" t="s">
        <v>22883</v>
      </c>
      <c r="I2869" s="451" t="s">
        <v>24438</v>
      </c>
      <c r="J2869" s="451" t="s">
        <v>30867</v>
      </c>
      <c r="K2869" s="451"/>
    </row>
    <row r="2870" spans="1:11">
      <c r="A2870" s="450" t="s">
        <v>5312</v>
      </c>
      <c r="B2870" s="450"/>
      <c r="C2870" s="450" t="s">
        <v>5313</v>
      </c>
      <c r="D2870" s="450"/>
      <c r="E2870" s="450"/>
      <c r="F2870" s="450"/>
      <c r="G2870" s="450" t="s">
        <v>22877</v>
      </c>
      <c r="H2870" s="450" t="s">
        <v>22878</v>
      </c>
      <c r="I2870" s="450" t="s">
        <v>24485</v>
      </c>
      <c r="J2870" s="450" t="s">
        <v>23492</v>
      </c>
      <c r="K2870" s="450"/>
    </row>
    <row r="2871" spans="1:11">
      <c r="A2871" s="451" t="s">
        <v>5314</v>
      </c>
      <c r="B2871" s="451"/>
      <c r="C2871" s="451" t="s">
        <v>5315</v>
      </c>
      <c r="D2871" s="451"/>
      <c r="E2871" s="451"/>
      <c r="F2871" s="451"/>
      <c r="G2871" s="451" t="s">
        <v>22877</v>
      </c>
      <c r="H2871" s="451" t="s">
        <v>22878</v>
      </c>
      <c r="I2871" s="451" t="s">
        <v>24261</v>
      </c>
      <c r="J2871" s="451" t="s">
        <v>22939</v>
      </c>
      <c r="K2871" s="451"/>
    </row>
    <row r="2872" spans="1:11">
      <c r="A2872" s="450" t="s">
        <v>34161</v>
      </c>
      <c r="B2872" s="450" t="s">
        <v>5317</v>
      </c>
      <c r="C2872" s="450" t="s">
        <v>5318</v>
      </c>
      <c r="D2872" s="450" t="s">
        <v>5319</v>
      </c>
      <c r="E2872" s="450"/>
      <c r="F2872" s="450"/>
      <c r="G2872" s="450" t="s">
        <v>22877</v>
      </c>
      <c r="H2872" s="450" t="s">
        <v>22878</v>
      </c>
      <c r="I2872" s="450" t="s">
        <v>34162</v>
      </c>
      <c r="J2872" s="450" t="s">
        <v>34163</v>
      </c>
      <c r="K2872" s="450"/>
    </row>
    <row r="2873" spans="1:11">
      <c r="A2873" s="451" t="s">
        <v>5316</v>
      </c>
      <c r="B2873" s="451" t="s">
        <v>5317</v>
      </c>
      <c r="C2873" s="451" t="s">
        <v>5318</v>
      </c>
      <c r="D2873" s="451" t="s">
        <v>5319</v>
      </c>
      <c r="E2873" s="451" t="s">
        <v>5320</v>
      </c>
      <c r="F2873" s="451"/>
      <c r="G2873" s="451" t="s">
        <v>22877</v>
      </c>
      <c r="H2873" s="451" t="s">
        <v>22878</v>
      </c>
      <c r="I2873" s="451" t="s">
        <v>5319</v>
      </c>
      <c r="J2873" s="451" t="s">
        <v>30868</v>
      </c>
      <c r="K2873" s="451"/>
    </row>
    <row r="2874" spans="1:11">
      <c r="A2874" s="450" t="s">
        <v>34164</v>
      </c>
      <c r="B2874" s="450" t="s">
        <v>5321</v>
      </c>
      <c r="C2874" s="450" t="s">
        <v>5322</v>
      </c>
      <c r="D2874" s="450" t="s">
        <v>5323</v>
      </c>
      <c r="E2874" s="450"/>
      <c r="F2874" s="450"/>
      <c r="G2874" s="450" t="s">
        <v>22877</v>
      </c>
      <c r="H2874" s="450" t="s">
        <v>22878</v>
      </c>
      <c r="I2874" s="450" t="s">
        <v>34165</v>
      </c>
      <c r="J2874" s="450" t="s">
        <v>34166</v>
      </c>
      <c r="K2874" s="450"/>
    </row>
    <row r="2875" spans="1:11">
      <c r="A2875" s="451" t="s">
        <v>21586</v>
      </c>
      <c r="B2875" s="451" t="s">
        <v>5321</v>
      </c>
      <c r="C2875" s="451" t="s">
        <v>5322</v>
      </c>
      <c r="D2875" s="451" t="s">
        <v>5323</v>
      </c>
      <c r="E2875" s="451" t="s">
        <v>5324</v>
      </c>
      <c r="F2875" s="451"/>
      <c r="G2875" s="451" t="s">
        <v>22882</v>
      </c>
      <c r="H2875" s="451" t="s">
        <v>22883</v>
      </c>
      <c r="I2875" s="451" t="s">
        <v>5323</v>
      </c>
      <c r="J2875" s="451" t="s">
        <v>30869</v>
      </c>
      <c r="K2875" s="451"/>
    </row>
    <row r="2876" spans="1:11">
      <c r="A2876" s="450" t="s">
        <v>5325</v>
      </c>
      <c r="B2876" s="450" t="s">
        <v>5326</v>
      </c>
      <c r="C2876" s="450" t="s">
        <v>2168</v>
      </c>
      <c r="D2876" s="450" t="s">
        <v>5327</v>
      </c>
      <c r="E2876" s="450"/>
      <c r="F2876" s="450"/>
      <c r="G2876" s="450" t="s">
        <v>22877</v>
      </c>
      <c r="H2876" s="450" t="s">
        <v>22878</v>
      </c>
      <c r="I2876" s="450" t="s">
        <v>34167</v>
      </c>
      <c r="J2876" s="450" t="s">
        <v>34168</v>
      </c>
      <c r="K2876" s="450"/>
    </row>
    <row r="2877" spans="1:11">
      <c r="A2877" s="451" t="s">
        <v>5325</v>
      </c>
      <c r="B2877" s="451" t="s">
        <v>5326</v>
      </c>
      <c r="C2877" s="451" t="s">
        <v>2168</v>
      </c>
      <c r="D2877" s="451" t="s">
        <v>5327</v>
      </c>
      <c r="E2877" s="451" t="s">
        <v>5328</v>
      </c>
      <c r="F2877" s="451"/>
      <c r="G2877" s="451" t="s">
        <v>22877</v>
      </c>
      <c r="H2877" s="451" t="s">
        <v>22878</v>
      </c>
      <c r="I2877" s="451" t="s">
        <v>30870</v>
      </c>
      <c r="J2877" s="451" t="s">
        <v>30871</v>
      </c>
      <c r="K2877" s="451"/>
    </row>
    <row r="2878" spans="1:11">
      <c r="A2878" s="450" t="s">
        <v>24262</v>
      </c>
      <c r="B2878" s="450" t="s">
        <v>24263</v>
      </c>
      <c r="C2878" s="450" t="s">
        <v>24264</v>
      </c>
      <c r="D2878" s="450"/>
      <c r="E2878" s="450"/>
      <c r="F2878" s="450"/>
      <c r="G2878" s="450" t="s">
        <v>22877</v>
      </c>
      <c r="H2878" s="450" t="s">
        <v>22878</v>
      </c>
      <c r="I2878" s="450" t="s">
        <v>24265</v>
      </c>
      <c r="J2878" s="450" t="s">
        <v>24266</v>
      </c>
      <c r="K2878" s="450"/>
    </row>
    <row r="2879" spans="1:11">
      <c r="A2879" s="451" t="s">
        <v>5329</v>
      </c>
      <c r="B2879" s="451"/>
      <c r="C2879" s="451" t="s">
        <v>5330</v>
      </c>
      <c r="D2879" s="451"/>
      <c r="E2879" s="451"/>
      <c r="F2879" s="451"/>
      <c r="G2879" s="451" t="s">
        <v>22877</v>
      </c>
      <c r="H2879" s="451" t="s">
        <v>22878</v>
      </c>
      <c r="I2879" s="451" t="s">
        <v>34169</v>
      </c>
      <c r="J2879" s="451" t="s">
        <v>22997</v>
      </c>
      <c r="K2879" s="451"/>
    </row>
    <row r="2880" spans="1:11">
      <c r="A2880" s="450" t="s">
        <v>5331</v>
      </c>
      <c r="B2880" s="450"/>
      <c r="C2880" s="450" t="s">
        <v>4417</v>
      </c>
      <c r="D2880" s="450"/>
      <c r="E2880" s="450"/>
      <c r="F2880" s="450"/>
      <c r="G2880" s="450" t="s">
        <v>22877</v>
      </c>
      <c r="H2880" s="450" t="s">
        <v>22878</v>
      </c>
      <c r="I2880" s="450" t="s">
        <v>33782</v>
      </c>
      <c r="J2880" s="450" t="s">
        <v>22939</v>
      </c>
      <c r="K2880" s="450"/>
    </row>
    <row r="2881" spans="1:11">
      <c r="A2881" s="451" t="s">
        <v>5332</v>
      </c>
      <c r="B2881" s="451"/>
      <c r="C2881" s="451" t="s">
        <v>5333</v>
      </c>
      <c r="D2881" s="451"/>
      <c r="E2881" s="451"/>
      <c r="F2881" s="451"/>
      <c r="G2881" s="451" t="s">
        <v>22877</v>
      </c>
      <c r="H2881" s="451" t="s">
        <v>22878</v>
      </c>
      <c r="I2881" s="451" t="s">
        <v>34170</v>
      </c>
      <c r="J2881" s="451" t="s">
        <v>23190</v>
      </c>
      <c r="K2881" s="451"/>
    </row>
    <row r="2882" spans="1:11">
      <c r="A2882" s="450" t="s">
        <v>5334</v>
      </c>
      <c r="B2882" s="450"/>
      <c r="C2882" s="450" t="s">
        <v>5335</v>
      </c>
      <c r="D2882" s="450"/>
      <c r="E2882" s="450"/>
      <c r="F2882" s="450"/>
      <c r="G2882" s="450" t="s">
        <v>22877</v>
      </c>
      <c r="H2882" s="450" t="s">
        <v>22878</v>
      </c>
      <c r="I2882" s="450" t="s">
        <v>34171</v>
      </c>
      <c r="J2882" s="450" t="s">
        <v>23185</v>
      </c>
      <c r="K2882" s="450"/>
    </row>
    <row r="2883" spans="1:11">
      <c r="A2883" s="451" t="s">
        <v>34172</v>
      </c>
      <c r="B2883" s="451"/>
      <c r="C2883" s="451" t="s">
        <v>5335</v>
      </c>
      <c r="D2883" s="451"/>
      <c r="E2883" s="451"/>
      <c r="F2883" s="451"/>
      <c r="G2883" s="451" t="s">
        <v>22877</v>
      </c>
      <c r="H2883" s="451" t="s">
        <v>22878</v>
      </c>
      <c r="I2883" s="451" t="s">
        <v>34173</v>
      </c>
      <c r="J2883" s="451" t="s">
        <v>22997</v>
      </c>
      <c r="K2883" s="451"/>
    </row>
    <row r="2884" spans="1:11">
      <c r="A2884" s="450" t="s">
        <v>5336</v>
      </c>
      <c r="B2884" s="450"/>
      <c r="C2884" s="450" t="s">
        <v>5337</v>
      </c>
      <c r="D2884" s="450"/>
      <c r="E2884" s="450"/>
      <c r="F2884" s="450"/>
      <c r="G2884" s="450" t="s">
        <v>22877</v>
      </c>
      <c r="H2884" s="450" t="s">
        <v>22878</v>
      </c>
      <c r="I2884" s="450" t="s">
        <v>34174</v>
      </c>
      <c r="J2884" s="450" t="s">
        <v>22939</v>
      </c>
      <c r="K2884" s="450"/>
    </row>
    <row r="2885" spans="1:11">
      <c r="A2885" s="451" t="s">
        <v>5338</v>
      </c>
      <c r="B2885" s="451"/>
      <c r="C2885" s="451" t="s">
        <v>5339</v>
      </c>
      <c r="D2885" s="451"/>
      <c r="E2885" s="451"/>
      <c r="F2885" s="451"/>
      <c r="G2885" s="451" t="s">
        <v>22882</v>
      </c>
      <c r="H2885" s="451" t="s">
        <v>22883</v>
      </c>
      <c r="I2885" s="451" t="s">
        <v>34175</v>
      </c>
      <c r="J2885" s="451" t="s">
        <v>23133</v>
      </c>
      <c r="K2885" s="451"/>
    </row>
    <row r="2886" spans="1:11">
      <c r="A2886" s="450" t="s">
        <v>34176</v>
      </c>
      <c r="B2886" s="450"/>
      <c r="C2886" s="450" t="s">
        <v>2936</v>
      </c>
      <c r="D2886" s="450"/>
      <c r="E2886" s="450"/>
      <c r="F2886" s="450"/>
      <c r="G2886" s="450" t="s">
        <v>22877</v>
      </c>
      <c r="H2886" s="450" t="s">
        <v>22878</v>
      </c>
      <c r="I2886" s="450" t="s">
        <v>34177</v>
      </c>
      <c r="J2886" s="450" t="s">
        <v>23370</v>
      </c>
      <c r="K2886" s="450"/>
    </row>
    <row r="2887" spans="1:11">
      <c r="A2887" s="451" t="s">
        <v>5340</v>
      </c>
      <c r="B2887" s="451"/>
      <c r="C2887" s="451" t="s">
        <v>2936</v>
      </c>
      <c r="D2887" s="451"/>
      <c r="E2887" s="451"/>
      <c r="F2887" s="451"/>
      <c r="G2887" s="451" t="s">
        <v>22877</v>
      </c>
      <c r="H2887" s="451" t="s">
        <v>22878</v>
      </c>
      <c r="I2887" s="451" t="s">
        <v>34178</v>
      </c>
      <c r="J2887" s="451" t="s">
        <v>23492</v>
      </c>
      <c r="K2887" s="451"/>
    </row>
    <row r="2888" spans="1:11">
      <c r="A2888" s="450" t="s">
        <v>5341</v>
      </c>
      <c r="B2888" s="450"/>
      <c r="C2888" s="450" t="s">
        <v>5342</v>
      </c>
      <c r="D2888" s="450"/>
      <c r="E2888" s="450"/>
      <c r="F2888" s="450"/>
      <c r="G2888" s="450" t="s">
        <v>24267</v>
      </c>
      <c r="H2888" s="450" t="s">
        <v>22878</v>
      </c>
      <c r="I2888" s="450"/>
      <c r="J2888" s="450"/>
      <c r="K2888" s="450"/>
    </row>
    <row r="2889" spans="1:11">
      <c r="A2889" s="451" t="s">
        <v>24268</v>
      </c>
      <c r="B2889" s="451" t="s">
        <v>24269</v>
      </c>
      <c r="C2889" s="451" t="s">
        <v>12808</v>
      </c>
      <c r="D2889" s="451"/>
      <c r="E2889" s="451"/>
      <c r="F2889" s="451"/>
      <c r="G2889" s="451" t="s">
        <v>22877</v>
      </c>
      <c r="H2889" s="451" t="s">
        <v>22878</v>
      </c>
      <c r="I2889" s="451" t="s">
        <v>24270</v>
      </c>
      <c r="J2889" s="451" t="s">
        <v>24271</v>
      </c>
      <c r="K2889" s="451"/>
    </row>
    <row r="2890" spans="1:11">
      <c r="A2890" s="450" t="s">
        <v>5343</v>
      </c>
      <c r="B2890" s="450"/>
      <c r="C2890" s="450" t="s">
        <v>5344</v>
      </c>
      <c r="D2890" s="450"/>
      <c r="E2890" s="450"/>
      <c r="F2890" s="450"/>
      <c r="G2890" s="450" t="s">
        <v>22877</v>
      </c>
      <c r="H2890" s="450" t="s">
        <v>22878</v>
      </c>
      <c r="I2890" s="450" t="s">
        <v>34179</v>
      </c>
      <c r="J2890" s="450" t="s">
        <v>22943</v>
      </c>
      <c r="K2890" s="450"/>
    </row>
    <row r="2891" spans="1:11">
      <c r="A2891" s="451" t="s">
        <v>5345</v>
      </c>
      <c r="B2891" s="451"/>
      <c r="C2891" s="451" t="s">
        <v>5346</v>
      </c>
      <c r="D2891" s="451"/>
      <c r="E2891" s="451"/>
      <c r="F2891" s="451"/>
      <c r="G2891" s="451" t="s">
        <v>22882</v>
      </c>
      <c r="H2891" s="451" t="s">
        <v>22883</v>
      </c>
      <c r="I2891" s="451"/>
      <c r="J2891" s="451" t="s">
        <v>22943</v>
      </c>
      <c r="K2891" s="451"/>
    </row>
    <row r="2892" spans="1:11">
      <c r="A2892" s="450" t="s">
        <v>5347</v>
      </c>
      <c r="B2892" s="450"/>
      <c r="C2892" s="450" t="s">
        <v>5348</v>
      </c>
      <c r="D2892" s="450"/>
      <c r="E2892" s="450"/>
      <c r="F2892" s="450"/>
      <c r="G2892" s="450" t="s">
        <v>22882</v>
      </c>
      <c r="H2892" s="450" t="s">
        <v>22883</v>
      </c>
      <c r="I2892" s="450"/>
      <c r="J2892" s="450" t="s">
        <v>22997</v>
      </c>
      <c r="K2892" s="450"/>
    </row>
    <row r="2893" spans="1:11">
      <c r="A2893" s="451" t="s">
        <v>5349</v>
      </c>
      <c r="B2893" s="451"/>
      <c r="C2893" s="451" t="s">
        <v>5350</v>
      </c>
      <c r="D2893" s="451"/>
      <c r="E2893" s="451"/>
      <c r="F2893" s="451"/>
      <c r="G2893" s="451" t="s">
        <v>22877</v>
      </c>
      <c r="H2893" s="451" t="s">
        <v>22878</v>
      </c>
      <c r="I2893" s="451" t="s">
        <v>24272</v>
      </c>
      <c r="J2893" s="451" t="s">
        <v>22997</v>
      </c>
      <c r="K2893" s="451"/>
    </row>
    <row r="2894" spans="1:11">
      <c r="A2894" s="450" t="s">
        <v>34180</v>
      </c>
      <c r="B2894" s="450" t="s">
        <v>5352</v>
      </c>
      <c r="C2894" s="450" t="s">
        <v>3271</v>
      </c>
      <c r="D2894" s="450"/>
      <c r="E2894" s="450"/>
      <c r="F2894" s="450"/>
      <c r="G2894" s="450" t="s">
        <v>22877</v>
      </c>
      <c r="H2894" s="450" t="s">
        <v>22878</v>
      </c>
      <c r="I2894" s="450" t="s">
        <v>34181</v>
      </c>
      <c r="J2894" s="450" t="s">
        <v>34182</v>
      </c>
      <c r="K2894" s="450"/>
    </row>
    <row r="2895" spans="1:11">
      <c r="A2895" s="451" t="s">
        <v>5351</v>
      </c>
      <c r="B2895" s="451" t="s">
        <v>5352</v>
      </c>
      <c r="C2895" s="451" t="s">
        <v>3271</v>
      </c>
      <c r="D2895" s="451"/>
      <c r="E2895" s="451" t="s">
        <v>5353</v>
      </c>
      <c r="F2895" s="451"/>
      <c r="G2895" s="451" t="s">
        <v>22877</v>
      </c>
      <c r="H2895" s="451" t="s">
        <v>22878</v>
      </c>
      <c r="I2895" s="451" t="s">
        <v>30872</v>
      </c>
      <c r="J2895" s="451" t="s">
        <v>30873</v>
      </c>
      <c r="K2895" s="451"/>
    </row>
    <row r="2896" spans="1:11">
      <c r="A2896" s="450" t="s">
        <v>5354</v>
      </c>
      <c r="B2896" s="450"/>
      <c r="C2896" s="450" t="s">
        <v>5355</v>
      </c>
      <c r="D2896" s="450"/>
      <c r="E2896" s="450"/>
      <c r="F2896" s="450"/>
      <c r="G2896" s="450" t="s">
        <v>22882</v>
      </c>
      <c r="H2896" s="450" t="s">
        <v>22883</v>
      </c>
      <c r="I2896" s="450" t="s">
        <v>30874</v>
      </c>
      <c r="J2896" s="450" t="s">
        <v>22997</v>
      </c>
      <c r="K2896" s="450"/>
    </row>
    <row r="2897" spans="1:11">
      <c r="A2897" s="451" t="s">
        <v>34183</v>
      </c>
      <c r="B2897" s="451" t="s">
        <v>5357</v>
      </c>
      <c r="C2897" s="451" t="s">
        <v>5358</v>
      </c>
      <c r="D2897" s="451" t="s">
        <v>5359</v>
      </c>
      <c r="E2897" s="451"/>
      <c r="F2897" s="451" t="s">
        <v>34184</v>
      </c>
      <c r="G2897" s="451" t="s">
        <v>22877</v>
      </c>
      <c r="H2897" s="451" t="s">
        <v>22878</v>
      </c>
      <c r="I2897" s="451" t="s">
        <v>5359</v>
      </c>
      <c r="J2897" s="451" t="s">
        <v>34185</v>
      </c>
      <c r="K2897" s="451"/>
    </row>
    <row r="2898" spans="1:11">
      <c r="A2898" s="450" t="s">
        <v>5356</v>
      </c>
      <c r="B2898" s="450" t="s">
        <v>5357</v>
      </c>
      <c r="C2898" s="450" t="s">
        <v>5358</v>
      </c>
      <c r="D2898" s="450" t="s">
        <v>5359</v>
      </c>
      <c r="E2898" s="450" t="s">
        <v>5360</v>
      </c>
      <c r="F2898" s="450" t="s">
        <v>5361</v>
      </c>
      <c r="G2898" s="450" t="s">
        <v>22877</v>
      </c>
      <c r="H2898" s="450" t="s">
        <v>22878</v>
      </c>
      <c r="I2898" s="450" t="s">
        <v>30875</v>
      </c>
      <c r="J2898" s="450" t="s">
        <v>30876</v>
      </c>
      <c r="K2898" s="450"/>
    </row>
    <row r="2899" spans="1:11">
      <c r="A2899" s="451" t="s">
        <v>34186</v>
      </c>
      <c r="B2899" s="451"/>
      <c r="C2899" s="451" t="s">
        <v>5355</v>
      </c>
      <c r="D2899" s="451"/>
      <c r="E2899" s="451"/>
      <c r="F2899" s="451"/>
      <c r="G2899" s="451" t="s">
        <v>22882</v>
      </c>
      <c r="H2899" s="451" t="s">
        <v>22883</v>
      </c>
      <c r="I2899" s="451"/>
      <c r="J2899" s="451" t="s">
        <v>22943</v>
      </c>
      <c r="K2899" s="451"/>
    </row>
    <row r="2900" spans="1:11">
      <c r="A2900" s="450" t="s">
        <v>34187</v>
      </c>
      <c r="B2900" s="450"/>
      <c r="C2900" s="450" t="s">
        <v>5330</v>
      </c>
      <c r="D2900" s="450"/>
      <c r="E2900" s="450"/>
      <c r="F2900" s="450"/>
      <c r="G2900" s="450" t="s">
        <v>22877</v>
      </c>
      <c r="H2900" s="450" t="s">
        <v>22878</v>
      </c>
      <c r="I2900" s="450" t="s">
        <v>34169</v>
      </c>
      <c r="J2900" s="450" t="s">
        <v>22943</v>
      </c>
      <c r="K2900" s="450"/>
    </row>
    <row r="2901" spans="1:11">
      <c r="A2901" s="451" t="s">
        <v>5362</v>
      </c>
      <c r="B2901" s="451"/>
      <c r="C2901" s="451" t="s">
        <v>5330</v>
      </c>
      <c r="D2901" s="451"/>
      <c r="E2901" s="451"/>
      <c r="F2901" s="451"/>
      <c r="G2901" s="451" t="s">
        <v>22877</v>
      </c>
      <c r="H2901" s="451" t="s">
        <v>22878</v>
      </c>
      <c r="I2901" s="451" t="s">
        <v>23167</v>
      </c>
      <c r="J2901" s="451" t="s">
        <v>22997</v>
      </c>
      <c r="K2901" s="451"/>
    </row>
    <row r="2902" spans="1:11">
      <c r="A2902" s="450" t="s">
        <v>34188</v>
      </c>
      <c r="B2902" s="450"/>
      <c r="C2902" s="450" t="s">
        <v>5364</v>
      </c>
      <c r="D2902" s="450"/>
      <c r="E2902" s="450"/>
      <c r="F2902" s="450"/>
      <c r="G2902" s="450" t="s">
        <v>22882</v>
      </c>
      <c r="H2902" s="450" t="s">
        <v>22883</v>
      </c>
      <c r="I2902" s="450"/>
      <c r="J2902" s="450" t="s">
        <v>22943</v>
      </c>
      <c r="K2902" s="450"/>
    </row>
    <row r="2903" spans="1:11">
      <c r="A2903" s="451" t="s">
        <v>5363</v>
      </c>
      <c r="B2903" s="451"/>
      <c r="C2903" s="451" t="s">
        <v>5364</v>
      </c>
      <c r="D2903" s="451"/>
      <c r="E2903" s="451"/>
      <c r="F2903" s="451"/>
      <c r="G2903" s="451" t="s">
        <v>22882</v>
      </c>
      <c r="H2903" s="451" t="s">
        <v>22883</v>
      </c>
      <c r="I2903" s="451" t="s">
        <v>30877</v>
      </c>
      <c r="J2903" s="451" t="s">
        <v>23492</v>
      </c>
      <c r="K2903" s="451"/>
    </row>
    <row r="2904" spans="1:11">
      <c r="A2904" s="450" t="s">
        <v>24273</v>
      </c>
      <c r="B2904" s="450" t="s">
        <v>5368</v>
      </c>
      <c r="C2904" s="450" t="s">
        <v>5369</v>
      </c>
      <c r="D2904" s="450" t="s">
        <v>5370</v>
      </c>
      <c r="E2904" s="450"/>
      <c r="F2904" s="450"/>
      <c r="G2904" s="450" t="s">
        <v>22877</v>
      </c>
      <c r="H2904" s="450" t="s">
        <v>22878</v>
      </c>
      <c r="I2904" s="450" t="s">
        <v>24274</v>
      </c>
      <c r="J2904" s="450" t="s">
        <v>24275</v>
      </c>
      <c r="K2904" s="450"/>
    </row>
    <row r="2905" spans="1:11">
      <c r="A2905" s="451" t="s">
        <v>5365</v>
      </c>
      <c r="B2905" s="451"/>
      <c r="C2905" s="451" t="s">
        <v>5366</v>
      </c>
      <c r="D2905" s="451"/>
      <c r="E2905" s="451"/>
      <c r="F2905" s="451"/>
      <c r="G2905" s="451" t="s">
        <v>22882</v>
      </c>
      <c r="H2905" s="451" t="s">
        <v>22883</v>
      </c>
      <c r="I2905" s="451" t="s">
        <v>30878</v>
      </c>
      <c r="J2905" s="451" t="s">
        <v>23492</v>
      </c>
      <c r="K2905" s="451"/>
    </row>
    <row r="2906" spans="1:11">
      <c r="A2906" s="450" t="s">
        <v>5367</v>
      </c>
      <c r="B2906" s="450" t="s">
        <v>5368</v>
      </c>
      <c r="C2906" s="450" t="s">
        <v>5369</v>
      </c>
      <c r="D2906" s="450" t="s">
        <v>5370</v>
      </c>
      <c r="E2906" s="450"/>
      <c r="F2906" s="450"/>
      <c r="G2906" s="450" t="s">
        <v>22877</v>
      </c>
      <c r="H2906" s="450" t="s">
        <v>22878</v>
      </c>
      <c r="I2906" s="450" t="s">
        <v>30879</v>
      </c>
      <c r="J2906" s="450" t="s">
        <v>30880</v>
      </c>
      <c r="K2906" s="450"/>
    </row>
    <row r="2907" spans="1:11">
      <c r="A2907" s="451" t="s">
        <v>5371</v>
      </c>
      <c r="B2907" s="451"/>
      <c r="C2907" s="451" t="s">
        <v>5372</v>
      </c>
      <c r="D2907" s="451"/>
      <c r="E2907" s="451"/>
      <c r="F2907" s="451"/>
      <c r="G2907" s="451" t="s">
        <v>22882</v>
      </c>
      <c r="H2907" s="451" t="s">
        <v>22883</v>
      </c>
      <c r="I2907" s="451" t="s">
        <v>34189</v>
      </c>
      <c r="J2907" s="451" t="s">
        <v>23492</v>
      </c>
      <c r="K2907" s="451"/>
    </row>
    <row r="2908" spans="1:11">
      <c r="A2908" s="450" t="s">
        <v>5373</v>
      </c>
      <c r="B2908" s="450"/>
      <c r="C2908" s="450" t="s">
        <v>5374</v>
      </c>
      <c r="D2908" s="450"/>
      <c r="E2908" s="450"/>
      <c r="F2908" s="450"/>
      <c r="G2908" s="450" t="s">
        <v>22877</v>
      </c>
      <c r="H2908" s="450" t="s">
        <v>22878</v>
      </c>
      <c r="I2908" s="450" t="s">
        <v>34190</v>
      </c>
      <c r="J2908" s="450" t="s">
        <v>22997</v>
      </c>
      <c r="K2908" s="450"/>
    </row>
    <row r="2909" spans="1:11">
      <c r="A2909" s="451" t="s">
        <v>34191</v>
      </c>
      <c r="B2909" s="451"/>
      <c r="C2909" s="451" t="s">
        <v>5372</v>
      </c>
      <c r="D2909" s="451"/>
      <c r="E2909" s="451"/>
      <c r="F2909" s="451"/>
      <c r="G2909" s="451" t="s">
        <v>22882</v>
      </c>
      <c r="H2909" s="451" t="s">
        <v>22883</v>
      </c>
      <c r="I2909" s="451"/>
      <c r="J2909" s="451" t="s">
        <v>23370</v>
      </c>
      <c r="K2909" s="451"/>
    </row>
    <row r="2910" spans="1:11">
      <c r="A2910" s="450" t="s">
        <v>34192</v>
      </c>
      <c r="B2910" s="450"/>
      <c r="C2910" s="450" t="s">
        <v>5366</v>
      </c>
      <c r="D2910" s="450"/>
      <c r="E2910" s="450"/>
      <c r="F2910" s="450"/>
      <c r="G2910" s="450" t="s">
        <v>22882</v>
      </c>
      <c r="H2910" s="450" t="s">
        <v>22883</v>
      </c>
      <c r="I2910" s="450"/>
      <c r="J2910" s="450" t="s">
        <v>23370</v>
      </c>
      <c r="K2910" s="450"/>
    </row>
    <row r="2911" spans="1:11">
      <c r="A2911" s="451" t="s">
        <v>34193</v>
      </c>
      <c r="B2911" s="451"/>
      <c r="C2911" s="451" t="s">
        <v>5374</v>
      </c>
      <c r="D2911" s="451"/>
      <c r="E2911" s="451"/>
      <c r="F2911" s="451"/>
      <c r="G2911" s="451" t="s">
        <v>22877</v>
      </c>
      <c r="H2911" s="451" t="s">
        <v>22878</v>
      </c>
      <c r="I2911" s="451" t="s">
        <v>34194</v>
      </c>
      <c r="J2911" s="451" t="s">
        <v>22943</v>
      </c>
      <c r="K2911" s="451"/>
    </row>
    <row r="2912" spans="1:11">
      <c r="A2912" s="450" t="s">
        <v>5375</v>
      </c>
      <c r="B2912" s="450"/>
      <c r="C2912" s="450" t="s">
        <v>5376</v>
      </c>
      <c r="D2912" s="450"/>
      <c r="E2912" s="450"/>
      <c r="F2912" s="450"/>
      <c r="G2912" s="450" t="s">
        <v>22882</v>
      </c>
      <c r="H2912" s="450" t="s">
        <v>22883</v>
      </c>
      <c r="I2912" s="450"/>
      <c r="J2912" s="450" t="s">
        <v>23133</v>
      </c>
      <c r="K2912" s="450"/>
    </row>
    <row r="2913" spans="1:11">
      <c r="A2913" s="451" t="s">
        <v>34195</v>
      </c>
      <c r="B2913" s="451"/>
      <c r="C2913" s="451" t="s">
        <v>5378</v>
      </c>
      <c r="D2913" s="451"/>
      <c r="E2913" s="451"/>
      <c r="F2913" s="451"/>
      <c r="G2913" s="451" t="s">
        <v>22882</v>
      </c>
      <c r="H2913" s="451" t="s">
        <v>22883</v>
      </c>
      <c r="I2913" s="451"/>
      <c r="J2913" s="451" t="s">
        <v>22943</v>
      </c>
      <c r="K2913" s="451"/>
    </row>
    <row r="2914" spans="1:11">
      <c r="A2914" s="450" t="s">
        <v>5377</v>
      </c>
      <c r="B2914" s="450"/>
      <c r="C2914" s="450" t="s">
        <v>5378</v>
      </c>
      <c r="D2914" s="450"/>
      <c r="E2914" s="450"/>
      <c r="F2914" s="450"/>
      <c r="G2914" s="450" t="s">
        <v>22882</v>
      </c>
      <c r="H2914" s="450" t="s">
        <v>22883</v>
      </c>
      <c r="I2914" s="450" t="s">
        <v>34196</v>
      </c>
      <c r="J2914" s="450" t="s">
        <v>23185</v>
      </c>
      <c r="K2914" s="450"/>
    </row>
    <row r="2915" spans="1:11">
      <c r="A2915" s="451" t="s">
        <v>5379</v>
      </c>
      <c r="B2915" s="451"/>
      <c r="C2915" s="451" t="s">
        <v>5380</v>
      </c>
      <c r="D2915" s="451"/>
      <c r="E2915" s="451"/>
      <c r="F2915" s="451"/>
      <c r="G2915" s="451" t="s">
        <v>22882</v>
      </c>
      <c r="H2915" s="451" t="s">
        <v>22883</v>
      </c>
      <c r="I2915" s="451"/>
      <c r="J2915" s="451" t="s">
        <v>22943</v>
      </c>
      <c r="K2915" s="451"/>
    </row>
    <row r="2916" spans="1:11">
      <c r="A2916" s="450" t="s">
        <v>5381</v>
      </c>
      <c r="B2916" s="450"/>
      <c r="C2916" s="450" t="s">
        <v>5382</v>
      </c>
      <c r="D2916" s="450"/>
      <c r="E2916" s="450"/>
      <c r="F2916" s="450"/>
      <c r="G2916" s="450" t="s">
        <v>22882</v>
      </c>
      <c r="H2916" s="450" t="s">
        <v>22883</v>
      </c>
      <c r="I2916" s="450"/>
      <c r="J2916" s="450" t="s">
        <v>22943</v>
      </c>
      <c r="K2916" s="450"/>
    </row>
    <row r="2917" spans="1:11">
      <c r="A2917" s="451" t="s">
        <v>34197</v>
      </c>
      <c r="B2917" s="451" t="s">
        <v>5384</v>
      </c>
      <c r="C2917" s="451" t="s">
        <v>5385</v>
      </c>
      <c r="D2917" s="451"/>
      <c r="E2917" s="451"/>
      <c r="F2917" s="451"/>
      <c r="G2917" s="451" t="s">
        <v>22877</v>
      </c>
      <c r="H2917" s="451" t="s">
        <v>22878</v>
      </c>
      <c r="I2917" s="451" t="s">
        <v>34198</v>
      </c>
      <c r="J2917" s="451" t="s">
        <v>34199</v>
      </c>
      <c r="K2917" s="451"/>
    </row>
    <row r="2918" spans="1:11">
      <c r="A2918" s="450" t="s">
        <v>5383</v>
      </c>
      <c r="B2918" s="450" t="s">
        <v>5384</v>
      </c>
      <c r="C2918" s="450" t="s">
        <v>5385</v>
      </c>
      <c r="D2918" s="450"/>
      <c r="E2918" s="450"/>
      <c r="F2918" s="450"/>
      <c r="G2918" s="450"/>
      <c r="H2918" s="450" t="s">
        <v>22878</v>
      </c>
      <c r="I2918" s="450"/>
      <c r="J2918" s="450" t="s">
        <v>5384</v>
      </c>
      <c r="K2918" s="450"/>
    </row>
    <row r="2919" spans="1:11">
      <c r="A2919" s="451" t="s">
        <v>34200</v>
      </c>
      <c r="B2919" s="451"/>
      <c r="C2919" s="451" t="s">
        <v>5387</v>
      </c>
      <c r="D2919" s="451"/>
      <c r="E2919" s="451"/>
      <c r="F2919" s="451"/>
      <c r="G2919" s="451" t="s">
        <v>22882</v>
      </c>
      <c r="H2919" s="451" t="s">
        <v>22883</v>
      </c>
      <c r="I2919" s="451" t="s">
        <v>34201</v>
      </c>
      <c r="J2919" s="451" t="s">
        <v>22943</v>
      </c>
      <c r="K2919" s="451"/>
    </row>
    <row r="2920" spans="1:11">
      <c r="A2920" s="450" t="s">
        <v>5386</v>
      </c>
      <c r="B2920" s="450"/>
      <c r="C2920" s="450" t="s">
        <v>5387</v>
      </c>
      <c r="D2920" s="450"/>
      <c r="E2920" s="450"/>
      <c r="F2920" s="450"/>
      <c r="G2920" s="450" t="s">
        <v>22882</v>
      </c>
      <c r="H2920" s="450" t="s">
        <v>22883</v>
      </c>
      <c r="I2920" s="450" t="s">
        <v>34202</v>
      </c>
      <c r="J2920" s="450" t="s">
        <v>23185</v>
      </c>
      <c r="K2920" s="450"/>
    </row>
    <row r="2921" spans="1:11">
      <c r="A2921" s="451" t="s">
        <v>34203</v>
      </c>
      <c r="B2921" s="451"/>
      <c r="C2921" s="451" t="s">
        <v>5389</v>
      </c>
      <c r="D2921" s="451"/>
      <c r="E2921" s="451"/>
      <c r="F2921" s="451"/>
      <c r="G2921" s="451" t="s">
        <v>22882</v>
      </c>
      <c r="H2921" s="451" t="s">
        <v>22883</v>
      </c>
      <c r="I2921" s="451"/>
      <c r="J2921" s="451" t="s">
        <v>22997</v>
      </c>
      <c r="K2921" s="451"/>
    </row>
    <row r="2922" spans="1:11">
      <c r="A2922" s="450" t="s">
        <v>5388</v>
      </c>
      <c r="B2922" s="450"/>
      <c r="C2922" s="450" t="s">
        <v>5389</v>
      </c>
      <c r="D2922" s="450"/>
      <c r="E2922" s="450"/>
      <c r="F2922" s="450"/>
      <c r="G2922" s="450" t="s">
        <v>22882</v>
      </c>
      <c r="H2922" s="450" t="s">
        <v>22883</v>
      </c>
      <c r="I2922" s="450"/>
      <c r="J2922" s="450" t="s">
        <v>23185</v>
      </c>
      <c r="K2922" s="450"/>
    </row>
    <row r="2923" spans="1:11">
      <c r="A2923" s="451" t="s">
        <v>5390</v>
      </c>
      <c r="B2923" s="451"/>
      <c r="C2923" s="451" t="s">
        <v>5391</v>
      </c>
      <c r="D2923" s="451"/>
      <c r="E2923" s="451"/>
      <c r="F2923" s="451"/>
      <c r="G2923" s="451" t="s">
        <v>22882</v>
      </c>
      <c r="H2923" s="451" t="s">
        <v>22883</v>
      </c>
      <c r="I2923" s="451"/>
      <c r="J2923" s="451" t="s">
        <v>23121</v>
      </c>
      <c r="K2923" s="451"/>
    </row>
    <row r="2924" spans="1:11">
      <c r="A2924" s="450" t="s">
        <v>34204</v>
      </c>
      <c r="B2924" s="450"/>
      <c r="C2924" s="450" t="s">
        <v>5393</v>
      </c>
      <c r="D2924" s="450"/>
      <c r="E2924" s="450"/>
      <c r="F2924" s="450"/>
      <c r="G2924" s="450" t="s">
        <v>22877</v>
      </c>
      <c r="H2924" s="450" t="s">
        <v>22878</v>
      </c>
      <c r="I2924" s="450" t="s">
        <v>34205</v>
      </c>
      <c r="J2924" s="450" t="s">
        <v>22943</v>
      </c>
      <c r="K2924" s="450"/>
    </row>
    <row r="2925" spans="1:11">
      <c r="A2925" s="451" t="s">
        <v>5392</v>
      </c>
      <c r="B2925" s="451"/>
      <c r="C2925" s="451" t="s">
        <v>5393</v>
      </c>
      <c r="D2925" s="451"/>
      <c r="E2925" s="451"/>
      <c r="F2925" s="451"/>
      <c r="G2925" s="451" t="s">
        <v>22877</v>
      </c>
      <c r="H2925" s="451" t="s">
        <v>22878</v>
      </c>
      <c r="I2925" s="451"/>
      <c r="J2925" s="451" t="s">
        <v>22997</v>
      </c>
      <c r="K2925" s="451"/>
    </row>
    <row r="2926" spans="1:11">
      <c r="A2926" s="450" t="s">
        <v>5394</v>
      </c>
      <c r="B2926" s="450"/>
      <c r="C2926" s="450" t="s">
        <v>5031</v>
      </c>
      <c r="D2926" s="450"/>
      <c r="E2926" s="450"/>
      <c r="F2926" s="450"/>
      <c r="G2926" s="450" t="s">
        <v>22877</v>
      </c>
      <c r="H2926" s="450" t="s">
        <v>22878</v>
      </c>
      <c r="I2926" s="450" t="s">
        <v>34206</v>
      </c>
      <c r="J2926" s="450" t="s">
        <v>23185</v>
      </c>
      <c r="K2926" s="450"/>
    </row>
    <row r="2927" spans="1:11">
      <c r="A2927" s="451" t="s">
        <v>34207</v>
      </c>
      <c r="B2927" s="451"/>
      <c r="C2927" s="451" t="s">
        <v>5031</v>
      </c>
      <c r="D2927" s="451"/>
      <c r="E2927" s="451"/>
      <c r="F2927" s="451"/>
      <c r="G2927" s="451" t="s">
        <v>22877</v>
      </c>
      <c r="H2927" s="451" t="s">
        <v>22878</v>
      </c>
      <c r="I2927" s="451" t="s">
        <v>34208</v>
      </c>
      <c r="J2927" s="451" t="s">
        <v>22943</v>
      </c>
      <c r="K2927" s="451"/>
    </row>
    <row r="2928" spans="1:11">
      <c r="A2928" s="450" t="s">
        <v>34209</v>
      </c>
      <c r="B2928" s="450"/>
      <c r="C2928" s="450" t="s">
        <v>5396</v>
      </c>
      <c r="D2928" s="450"/>
      <c r="E2928" s="450"/>
      <c r="F2928" s="450"/>
      <c r="G2928" s="450" t="s">
        <v>22882</v>
      </c>
      <c r="H2928" s="450" t="s">
        <v>22883</v>
      </c>
      <c r="I2928" s="450" t="s">
        <v>34210</v>
      </c>
      <c r="J2928" s="450" t="s">
        <v>22943</v>
      </c>
      <c r="K2928" s="450"/>
    </row>
    <row r="2929" spans="1:11">
      <c r="A2929" s="451" t="s">
        <v>5395</v>
      </c>
      <c r="B2929" s="451"/>
      <c r="C2929" s="451" t="s">
        <v>5396</v>
      </c>
      <c r="D2929" s="451"/>
      <c r="E2929" s="451"/>
      <c r="F2929" s="451"/>
      <c r="G2929" s="451" t="s">
        <v>22882</v>
      </c>
      <c r="H2929" s="451" t="s">
        <v>22883</v>
      </c>
      <c r="I2929" s="451" t="s">
        <v>34211</v>
      </c>
      <c r="J2929" s="451" t="s">
        <v>23492</v>
      </c>
      <c r="K2929" s="451"/>
    </row>
    <row r="2930" spans="1:11">
      <c r="A2930" s="450" t="s">
        <v>34212</v>
      </c>
      <c r="B2930" s="450"/>
      <c r="C2930" s="450" t="s">
        <v>3710</v>
      </c>
      <c r="D2930" s="450"/>
      <c r="E2930" s="450"/>
      <c r="F2930" s="450"/>
      <c r="G2930" s="450" t="s">
        <v>22877</v>
      </c>
      <c r="H2930" s="450" t="s">
        <v>22878</v>
      </c>
      <c r="I2930" s="450" t="s">
        <v>34213</v>
      </c>
      <c r="J2930" s="450" t="s">
        <v>22997</v>
      </c>
      <c r="K2930" s="450"/>
    </row>
    <row r="2931" spans="1:11">
      <c r="A2931" s="451" t="s">
        <v>5397</v>
      </c>
      <c r="B2931" s="451"/>
      <c r="C2931" s="451" t="s">
        <v>3710</v>
      </c>
      <c r="D2931" s="451"/>
      <c r="E2931" s="451"/>
      <c r="F2931" s="451"/>
      <c r="G2931" s="451" t="s">
        <v>22877</v>
      </c>
      <c r="H2931" s="451" t="s">
        <v>22878</v>
      </c>
      <c r="I2931" s="451" t="s">
        <v>23646</v>
      </c>
      <c r="J2931" s="451" t="s">
        <v>23185</v>
      </c>
      <c r="K2931" s="451"/>
    </row>
    <row r="2932" spans="1:11">
      <c r="A2932" s="450" t="s">
        <v>21587</v>
      </c>
      <c r="B2932" s="450"/>
      <c r="C2932" s="450" t="s">
        <v>5398</v>
      </c>
      <c r="D2932" s="450"/>
      <c r="E2932" s="450"/>
      <c r="F2932" s="450"/>
      <c r="G2932" s="450" t="s">
        <v>22877</v>
      </c>
      <c r="H2932" s="450" t="s">
        <v>22878</v>
      </c>
      <c r="I2932" s="450" t="s">
        <v>34214</v>
      </c>
      <c r="J2932" s="450" t="s">
        <v>22939</v>
      </c>
      <c r="K2932" s="450"/>
    </row>
    <row r="2933" spans="1:11">
      <c r="A2933" s="451" t="s">
        <v>5399</v>
      </c>
      <c r="B2933" s="451"/>
      <c r="C2933" s="451" t="s">
        <v>3013</v>
      </c>
      <c r="D2933" s="451"/>
      <c r="E2933" s="451"/>
      <c r="F2933" s="451"/>
      <c r="G2933" s="451" t="s">
        <v>22877</v>
      </c>
      <c r="H2933" s="451" t="s">
        <v>22878</v>
      </c>
      <c r="I2933" s="451" t="s">
        <v>34215</v>
      </c>
      <c r="J2933" s="451" t="s">
        <v>22939</v>
      </c>
      <c r="K2933" s="451"/>
    </row>
    <row r="2934" spans="1:11">
      <c r="A2934" s="450" t="s">
        <v>21588</v>
      </c>
      <c r="B2934" s="450"/>
      <c r="C2934" s="450" t="s">
        <v>5031</v>
      </c>
      <c r="D2934" s="450"/>
      <c r="E2934" s="450"/>
      <c r="F2934" s="450"/>
      <c r="G2934" s="450" t="s">
        <v>22877</v>
      </c>
      <c r="H2934" s="450" t="s">
        <v>22878</v>
      </c>
      <c r="I2934" s="450" t="s">
        <v>24276</v>
      </c>
      <c r="J2934" s="450" t="s">
        <v>22939</v>
      </c>
      <c r="K2934" s="450"/>
    </row>
    <row r="2935" spans="1:11">
      <c r="A2935" s="451" t="s">
        <v>5400</v>
      </c>
      <c r="B2935" s="451" t="s">
        <v>24277</v>
      </c>
      <c r="C2935" s="451" t="s">
        <v>24278</v>
      </c>
      <c r="D2935" s="451"/>
      <c r="E2935" s="451"/>
      <c r="F2935" s="451"/>
      <c r="G2935" s="451" t="s">
        <v>22877</v>
      </c>
      <c r="H2935" s="451" t="s">
        <v>22878</v>
      </c>
      <c r="I2935" s="451" t="s">
        <v>24279</v>
      </c>
      <c r="J2935" s="451" t="s">
        <v>24280</v>
      </c>
      <c r="K2935" s="451"/>
    </row>
    <row r="2936" spans="1:11">
      <c r="A2936" s="450" t="s">
        <v>5400</v>
      </c>
      <c r="B2936" s="450" t="s">
        <v>5401</v>
      </c>
      <c r="C2936" s="450" t="s">
        <v>5402</v>
      </c>
      <c r="D2936" s="450"/>
      <c r="E2936" s="450"/>
      <c r="F2936" s="450"/>
      <c r="G2936" s="450" t="s">
        <v>22877</v>
      </c>
      <c r="H2936" s="450" t="s">
        <v>22878</v>
      </c>
      <c r="I2936" s="450" t="s">
        <v>30881</v>
      </c>
      <c r="J2936" s="450" t="s">
        <v>30882</v>
      </c>
      <c r="K2936" s="450"/>
    </row>
    <row r="2937" spans="1:11">
      <c r="A2937" s="451" t="s">
        <v>5403</v>
      </c>
      <c r="B2937" s="451" t="s">
        <v>5404</v>
      </c>
      <c r="C2937" s="451" t="s">
        <v>5405</v>
      </c>
      <c r="D2937" s="451" t="s">
        <v>5406</v>
      </c>
      <c r="E2937" s="451"/>
      <c r="F2937" s="451"/>
      <c r="G2937" s="451" t="s">
        <v>22877</v>
      </c>
      <c r="H2937" s="451" t="s">
        <v>22878</v>
      </c>
      <c r="I2937" s="451" t="s">
        <v>5406</v>
      </c>
      <c r="J2937" s="451" t="s">
        <v>24281</v>
      </c>
      <c r="K2937" s="451"/>
    </row>
    <row r="2938" spans="1:11">
      <c r="A2938" s="450" t="s">
        <v>5403</v>
      </c>
      <c r="B2938" s="450" t="s">
        <v>5404</v>
      </c>
      <c r="C2938" s="450" t="s">
        <v>5405</v>
      </c>
      <c r="D2938" s="450" t="s">
        <v>5406</v>
      </c>
      <c r="E2938" s="450" t="s">
        <v>5407</v>
      </c>
      <c r="F2938" s="450"/>
      <c r="G2938" s="450" t="s">
        <v>22877</v>
      </c>
      <c r="H2938" s="450" t="s">
        <v>22878</v>
      </c>
      <c r="I2938" s="450" t="s">
        <v>30883</v>
      </c>
      <c r="J2938" s="450" t="s">
        <v>24281</v>
      </c>
      <c r="K2938" s="450"/>
    </row>
    <row r="2939" spans="1:11">
      <c r="A2939" s="451" t="s">
        <v>5408</v>
      </c>
      <c r="B2939" s="451" t="s">
        <v>5409</v>
      </c>
      <c r="C2939" s="451" t="s">
        <v>5410</v>
      </c>
      <c r="D2939" s="451"/>
      <c r="E2939" s="451"/>
      <c r="F2939" s="451"/>
      <c r="G2939" s="451" t="s">
        <v>22877</v>
      </c>
      <c r="H2939" s="451" t="s">
        <v>22878</v>
      </c>
      <c r="I2939" s="451" t="s">
        <v>34216</v>
      </c>
      <c r="J2939" s="451" t="s">
        <v>34217</v>
      </c>
      <c r="K2939" s="451"/>
    </row>
    <row r="2940" spans="1:11">
      <c r="A2940" s="450" t="s">
        <v>5408</v>
      </c>
      <c r="B2940" s="450" t="s">
        <v>5409</v>
      </c>
      <c r="C2940" s="450" t="s">
        <v>5410</v>
      </c>
      <c r="D2940" s="450"/>
      <c r="E2940" s="450" t="s">
        <v>5411</v>
      </c>
      <c r="F2940" s="450"/>
      <c r="G2940" s="450" t="s">
        <v>22877</v>
      </c>
      <c r="H2940" s="450" t="s">
        <v>22878</v>
      </c>
      <c r="I2940" s="450" t="s">
        <v>30884</v>
      </c>
      <c r="J2940" s="450" t="s">
        <v>30885</v>
      </c>
      <c r="K2940" s="450"/>
    </row>
    <row r="2941" spans="1:11">
      <c r="A2941" s="451" t="s">
        <v>34218</v>
      </c>
      <c r="B2941" s="451"/>
      <c r="C2941" s="451" t="s">
        <v>998</v>
      </c>
      <c r="D2941" s="451"/>
      <c r="E2941" s="451"/>
      <c r="F2941" s="451"/>
      <c r="G2941" s="451" t="s">
        <v>22877</v>
      </c>
      <c r="H2941" s="451" t="s">
        <v>22878</v>
      </c>
      <c r="I2941" s="451" t="s">
        <v>34219</v>
      </c>
      <c r="J2941" s="451" t="s">
        <v>23370</v>
      </c>
      <c r="K2941" s="451"/>
    </row>
    <row r="2942" spans="1:11">
      <c r="A2942" s="450" t="s">
        <v>5412</v>
      </c>
      <c r="B2942" s="450"/>
      <c r="C2942" s="450" t="s">
        <v>5413</v>
      </c>
      <c r="D2942" s="450"/>
      <c r="E2942" s="450"/>
      <c r="F2942" s="450"/>
      <c r="G2942" s="450" t="s">
        <v>22877</v>
      </c>
      <c r="H2942" s="450" t="s">
        <v>22878</v>
      </c>
      <c r="I2942" s="450" t="s">
        <v>34219</v>
      </c>
      <c r="J2942" s="450" t="s">
        <v>22997</v>
      </c>
      <c r="K2942" s="450"/>
    </row>
    <row r="2943" spans="1:11">
      <c r="A2943" s="451" t="s">
        <v>5414</v>
      </c>
      <c r="B2943" s="451"/>
      <c r="C2943" s="451" t="s">
        <v>998</v>
      </c>
      <c r="D2943" s="451"/>
      <c r="E2943" s="451"/>
      <c r="F2943" s="451"/>
      <c r="G2943" s="451" t="s">
        <v>22877</v>
      </c>
      <c r="H2943" s="451" t="s">
        <v>22878</v>
      </c>
      <c r="I2943" s="451"/>
      <c r="J2943" s="451" t="s">
        <v>23492</v>
      </c>
      <c r="K2943" s="451"/>
    </row>
    <row r="2944" spans="1:11">
      <c r="A2944" s="450" t="s">
        <v>34220</v>
      </c>
      <c r="B2944" s="450"/>
      <c r="C2944" s="450" t="s">
        <v>5415</v>
      </c>
      <c r="D2944" s="450"/>
      <c r="E2944" s="450"/>
      <c r="F2944" s="450"/>
      <c r="G2944" s="450" t="s">
        <v>22877</v>
      </c>
      <c r="H2944" s="450" t="s">
        <v>22878</v>
      </c>
      <c r="I2944" s="450" t="s">
        <v>34221</v>
      </c>
      <c r="J2944" s="450" t="s">
        <v>22943</v>
      </c>
      <c r="K2944" s="450"/>
    </row>
    <row r="2945" spans="1:11">
      <c r="A2945" s="451" t="s">
        <v>21589</v>
      </c>
      <c r="B2945" s="451"/>
      <c r="C2945" s="451" t="s">
        <v>5415</v>
      </c>
      <c r="D2945" s="451"/>
      <c r="E2945" s="451"/>
      <c r="F2945" s="451"/>
      <c r="G2945" s="451" t="s">
        <v>22877</v>
      </c>
      <c r="H2945" s="451" t="s">
        <v>22878</v>
      </c>
      <c r="I2945" s="451" t="s">
        <v>34222</v>
      </c>
      <c r="J2945" s="451" t="s">
        <v>23185</v>
      </c>
      <c r="K2945" s="451"/>
    </row>
    <row r="2946" spans="1:11">
      <c r="A2946" s="450" t="s">
        <v>5416</v>
      </c>
      <c r="B2946" s="450"/>
      <c r="C2946" s="450" t="s">
        <v>5417</v>
      </c>
      <c r="D2946" s="450"/>
      <c r="E2946" s="450"/>
      <c r="F2946" s="450"/>
      <c r="G2946" s="450" t="s">
        <v>22882</v>
      </c>
      <c r="H2946" s="450" t="s">
        <v>22883</v>
      </c>
      <c r="I2946" s="450" t="s">
        <v>34223</v>
      </c>
      <c r="J2946" s="450" t="s">
        <v>23492</v>
      </c>
      <c r="K2946" s="450"/>
    </row>
    <row r="2947" spans="1:11">
      <c r="A2947" s="451" t="s">
        <v>5418</v>
      </c>
      <c r="B2947" s="451"/>
      <c r="C2947" s="451" t="s">
        <v>5419</v>
      </c>
      <c r="D2947" s="451"/>
      <c r="E2947" s="451"/>
      <c r="F2947" s="451"/>
      <c r="G2947" s="451" t="s">
        <v>22882</v>
      </c>
      <c r="H2947" s="451" t="s">
        <v>22883</v>
      </c>
      <c r="I2947" s="451"/>
      <c r="J2947" s="451" t="s">
        <v>22997</v>
      </c>
      <c r="K2947" s="451"/>
    </row>
    <row r="2948" spans="1:11">
      <c r="A2948" s="450" t="s">
        <v>34224</v>
      </c>
      <c r="B2948" s="450"/>
      <c r="C2948" s="450" t="s">
        <v>5417</v>
      </c>
      <c r="D2948" s="450"/>
      <c r="E2948" s="450"/>
      <c r="F2948" s="450"/>
      <c r="G2948" s="450" t="s">
        <v>22882</v>
      </c>
      <c r="H2948" s="450" t="s">
        <v>22883</v>
      </c>
      <c r="I2948" s="450" t="s">
        <v>34225</v>
      </c>
      <c r="J2948" s="450" t="s">
        <v>23370</v>
      </c>
      <c r="K2948" s="450"/>
    </row>
    <row r="2949" spans="1:11">
      <c r="A2949" s="451" t="s">
        <v>5420</v>
      </c>
      <c r="B2949" s="451"/>
      <c r="C2949" s="451" t="s">
        <v>5421</v>
      </c>
      <c r="D2949" s="451"/>
      <c r="E2949" s="451"/>
      <c r="F2949" s="451"/>
      <c r="G2949" s="451" t="s">
        <v>22882</v>
      </c>
      <c r="H2949" s="451" t="s">
        <v>22883</v>
      </c>
      <c r="I2949" s="451" t="s">
        <v>34226</v>
      </c>
      <c r="J2949" s="451" t="s">
        <v>22997</v>
      </c>
      <c r="K2949" s="451"/>
    </row>
    <row r="2950" spans="1:11">
      <c r="A2950" s="450" t="s">
        <v>5422</v>
      </c>
      <c r="B2950" s="450"/>
      <c r="C2950" s="450" t="s">
        <v>5423</v>
      </c>
      <c r="D2950" s="450"/>
      <c r="E2950" s="450"/>
      <c r="F2950" s="450"/>
      <c r="G2950" s="450" t="s">
        <v>22877</v>
      </c>
      <c r="H2950" s="450" t="s">
        <v>22878</v>
      </c>
      <c r="I2950" s="450" t="s">
        <v>24282</v>
      </c>
      <c r="J2950" s="450" t="s">
        <v>23370</v>
      </c>
      <c r="K2950" s="450"/>
    </row>
    <row r="2951" spans="1:11">
      <c r="A2951" s="451" t="s">
        <v>24283</v>
      </c>
      <c r="B2951" s="451" t="s">
        <v>5425</v>
      </c>
      <c r="C2951" s="451" t="s">
        <v>5426</v>
      </c>
      <c r="D2951" s="451" t="s">
        <v>5427</v>
      </c>
      <c r="E2951" s="451"/>
      <c r="F2951" s="451"/>
      <c r="G2951" s="451" t="s">
        <v>22877</v>
      </c>
      <c r="H2951" s="451" t="s">
        <v>22878</v>
      </c>
      <c r="I2951" s="451" t="s">
        <v>24284</v>
      </c>
      <c r="J2951" s="451" t="s">
        <v>24285</v>
      </c>
      <c r="K2951" s="451"/>
    </row>
    <row r="2952" spans="1:11">
      <c r="A2952" s="450" t="s">
        <v>24286</v>
      </c>
      <c r="B2952" s="450"/>
      <c r="C2952" s="450" t="s">
        <v>5430</v>
      </c>
      <c r="D2952" s="450" t="s">
        <v>5431</v>
      </c>
      <c r="E2952" s="450"/>
      <c r="F2952" s="450"/>
      <c r="G2952" s="450" t="s">
        <v>22877</v>
      </c>
      <c r="H2952" s="450" t="s">
        <v>22878</v>
      </c>
      <c r="I2952" s="450" t="s">
        <v>24287</v>
      </c>
      <c r="J2952" s="450" t="s">
        <v>24288</v>
      </c>
      <c r="K2952" s="450"/>
    </row>
    <row r="2953" spans="1:11">
      <c r="A2953" s="451" t="s">
        <v>5424</v>
      </c>
      <c r="B2953" s="451" t="s">
        <v>5425</v>
      </c>
      <c r="C2953" s="451" t="s">
        <v>5426</v>
      </c>
      <c r="D2953" s="451" t="s">
        <v>5427</v>
      </c>
      <c r="E2953" s="451" t="s">
        <v>5428</v>
      </c>
      <c r="F2953" s="451"/>
      <c r="G2953" s="451" t="s">
        <v>22877</v>
      </c>
      <c r="H2953" s="451" t="s">
        <v>22878</v>
      </c>
      <c r="I2953" s="451" t="s">
        <v>5427</v>
      </c>
      <c r="J2953" s="451" t="s">
        <v>30886</v>
      </c>
      <c r="K2953" s="451"/>
    </row>
    <row r="2954" spans="1:11">
      <c r="A2954" s="450" t="s">
        <v>5429</v>
      </c>
      <c r="B2954" s="450"/>
      <c r="C2954" s="450" t="s">
        <v>5430</v>
      </c>
      <c r="D2954" s="450" t="s">
        <v>5431</v>
      </c>
      <c r="E2954" s="450" t="s">
        <v>5432</v>
      </c>
      <c r="F2954" s="450"/>
      <c r="G2954" s="450" t="s">
        <v>22877</v>
      </c>
      <c r="H2954" s="450" t="s">
        <v>22878</v>
      </c>
      <c r="I2954" s="450" t="s">
        <v>30887</v>
      </c>
      <c r="J2954" s="450" t="s">
        <v>30888</v>
      </c>
      <c r="K2954" s="450"/>
    </row>
    <row r="2955" spans="1:11">
      <c r="A2955" s="451" t="s">
        <v>5433</v>
      </c>
      <c r="B2955" s="451" t="s">
        <v>5434</v>
      </c>
      <c r="C2955" s="451" t="s">
        <v>5199</v>
      </c>
      <c r="D2955" s="451" t="s">
        <v>5435</v>
      </c>
      <c r="E2955" s="451"/>
      <c r="F2955" s="451"/>
      <c r="G2955" s="451" t="s">
        <v>22877</v>
      </c>
      <c r="H2955" s="451" t="s">
        <v>22878</v>
      </c>
      <c r="I2955" s="451" t="s">
        <v>5435</v>
      </c>
      <c r="J2955" s="451" t="s">
        <v>24289</v>
      </c>
      <c r="K2955" s="451"/>
    </row>
    <row r="2956" spans="1:11">
      <c r="A2956" s="450" t="s">
        <v>5433</v>
      </c>
      <c r="B2956" s="450" t="s">
        <v>5434</v>
      </c>
      <c r="C2956" s="450" t="s">
        <v>5199</v>
      </c>
      <c r="D2956" s="450" t="s">
        <v>5435</v>
      </c>
      <c r="E2956" s="450" t="s">
        <v>5436</v>
      </c>
      <c r="F2956" s="450"/>
      <c r="G2956" s="450" t="s">
        <v>22877</v>
      </c>
      <c r="H2956" s="450" t="s">
        <v>22878</v>
      </c>
      <c r="I2956" s="450" t="s">
        <v>5435</v>
      </c>
      <c r="J2956" s="450" t="s">
        <v>24289</v>
      </c>
      <c r="K2956" s="450"/>
    </row>
    <row r="2957" spans="1:11">
      <c r="A2957" s="451" t="s">
        <v>5437</v>
      </c>
      <c r="B2957" s="451"/>
      <c r="C2957" s="451" t="s">
        <v>4313</v>
      </c>
      <c r="D2957" s="451"/>
      <c r="E2957" s="451"/>
      <c r="F2957" s="451"/>
      <c r="G2957" s="451" t="s">
        <v>22877</v>
      </c>
      <c r="H2957" s="451" t="s">
        <v>22878</v>
      </c>
      <c r="I2957" s="451" t="s">
        <v>24290</v>
      </c>
      <c r="J2957" s="451" t="s">
        <v>23370</v>
      </c>
      <c r="K2957" s="451"/>
    </row>
    <row r="2958" spans="1:11">
      <c r="A2958" s="450" t="s">
        <v>5438</v>
      </c>
      <c r="B2958" s="450" t="s">
        <v>5439</v>
      </c>
      <c r="C2958" s="450" t="s">
        <v>5440</v>
      </c>
      <c r="D2958" s="450"/>
      <c r="E2958" s="450"/>
      <c r="F2958" s="450"/>
      <c r="G2958" s="450" t="s">
        <v>22882</v>
      </c>
      <c r="H2958" s="450" t="s">
        <v>22883</v>
      </c>
      <c r="I2958" s="450" t="s">
        <v>30889</v>
      </c>
      <c r="J2958" s="450" t="s">
        <v>30890</v>
      </c>
      <c r="K2958" s="450"/>
    </row>
    <row r="2959" spans="1:11">
      <c r="A2959" s="451" t="s">
        <v>5441</v>
      </c>
      <c r="B2959" s="451" t="s">
        <v>5442</v>
      </c>
      <c r="C2959" s="451" t="s">
        <v>5443</v>
      </c>
      <c r="D2959" s="451"/>
      <c r="E2959" s="451"/>
      <c r="F2959" s="451"/>
      <c r="G2959" s="451" t="s">
        <v>22877</v>
      </c>
      <c r="H2959" s="451" t="s">
        <v>22878</v>
      </c>
      <c r="I2959" s="451" t="s">
        <v>24291</v>
      </c>
      <c r="J2959" s="451" t="s">
        <v>24292</v>
      </c>
      <c r="K2959" s="451"/>
    </row>
    <row r="2960" spans="1:11">
      <c r="A2960" s="450" t="s">
        <v>5444</v>
      </c>
      <c r="B2960" s="450" t="s">
        <v>5445</v>
      </c>
      <c r="C2960" s="450" t="s">
        <v>5446</v>
      </c>
      <c r="D2960" s="450"/>
      <c r="E2960" s="450"/>
      <c r="F2960" s="450"/>
      <c r="G2960" s="450" t="s">
        <v>22877</v>
      </c>
      <c r="H2960" s="450" t="s">
        <v>22878</v>
      </c>
      <c r="I2960" s="450" t="s">
        <v>24293</v>
      </c>
      <c r="J2960" s="450" t="s">
        <v>24294</v>
      </c>
      <c r="K2960" s="450"/>
    </row>
    <row r="2961" spans="1:11">
      <c r="A2961" s="451" t="s">
        <v>34227</v>
      </c>
      <c r="B2961" s="451"/>
      <c r="C2961" s="451" t="s">
        <v>5448</v>
      </c>
      <c r="D2961" s="451"/>
      <c r="E2961" s="451"/>
      <c r="F2961" s="451"/>
      <c r="G2961" s="451" t="s">
        <v>22877</v>
      </c>
      <c r="H2961" s="451" t="s">
        <v>22878</v>
      </c>
      <c r="I2961" s="451" t="s">
        <v>34228</v>
      </c>
      <c r="J2961" s="451" t="s">
        <v>23370</v>
      </c>
      <c r="K2961" s="451"/>
    </row>
    <row r="2962" spans="1:11">
      <c r="A2962" s="450" t="s">
        <v>5447</v>
      </c>
      <c r="B2962" s="450"/>
      <c r="C2962" s="450" t="s">
        <v>5448</v>
      </c>
      <c r="D2962" s="450"/>
      <c r="E2962" s="450"/>
      <c r="F2962" s="450"/>
      <c r="G2962" s="450" t="s">
        <v>22877</v>
      </c>
      <c r="H2962" s="450" t="s">
        <v>22878</v>
      </c>
      <c r="I2962" s="450"/>
      <c r="J2962" s="450" t="s">
        <v>23492</v>
      </c>
      <c r="K2962" s="450"/>
    </row>
    <row r="2963" spans="1:11">
      <c r="A2963" s="451" t="s">
        <v>34229</v>
      </c>
      <c r="B2963" s="451"/>
      <c r="C2963" s="451" t="s">
        <v>5450</v>
      </c>
      <c r="D2963" s="451"/>
      <c r="E2963" s="451"/>
      <c r="F2963" s="451"/>
      <c r="G2963" s="451" t="s">
        <v>22877</v>
      </c>
      <c r="H2963" s="451" t="s">
        <v>22878</v>
      </c>
      <c r="I2963" s="451" t="s">
        <v>34230</v>
      </c>
      <c r="J2963" s="451" t="s">
        <v>22943</v>
      </c>
      <c r="K2963" s="451"/>
    </row>
    <row r="2964" spans="1:11">
      <c r="A2964" s="450" t="s">
        <v>5449</v>
      </c>
      <c r="B2964" s="450"/>
      <c r="C2964" s="450" t="s">
        <v>5450</v>
      </c>
      <c r="D2964" s="450"/>
      <c r="E2964" s="450"/>
      <c r="F2964" s="450"/>
      <c r="G2964" s="450" t="s">
        <v>22882</v>
      </c>
      <c r="H2964" s="450" t="s">
        <v>22883</v>
      </c>
      <c r="I2964" s="450" t="s">
        <v>34231</v>
      </c>
      <c r="J2964" s="450" t="s">
        <v>23185</v>
      </c>
      <c r="K2964" s="450"/>
    </row>
    <row r="2965" spans="1:11">
      <c r="A2965" s="451" t="s">
        <v>5451</v>
      </c>
      <c r="B2965" s="451"/>
      <c r="C2965" s="451" t="s">
        <v>2168</v>
      </c>
      <c r="D2965" s="451" t="s">
        <v>5452</v>
      </c>
      <c r="E2965" s="451"/>
      <c r="F2965" s="451"/>
      <c r="G2965" s="451" t="s">
        <v>22877</v>
      </c>
      <c r="H2965" s="451" t="s">
        <v>22878</v>
      </c>
      <c r="I2965" s="451" t="s">
        <v>5452</v>
      </c>
      <c r="J2965" s="451" t="s">
        <v>34232</v>
      </c>
      <c r="K2965" s="451"/>
    </row>
    <row r="2966" spans="1:11">
      <c r="A2966" s="450" t="s">
        <v>5451</v>
      </c>
      <c r="B2966" s="450"/>
      <c r="C2966" s="450" t="s">
        <v>2168</v>
      </c>
      <c r="D2966" s="450" t="s">
        <v>5452</v>
      </c>
      <c r="E2966" s="450" t="s">
        <v>5453</v>
      </c>
      <c r="F2966" s="450"/>
      <c r="G2966" s="450" t="s">
        <v>22877</v>
      </c>
      <c r="H2966" s="450" t="s">
        <v>22878</v>
      </c>
      <c r="I2966" s="450" t="s">
        <v>5452</v>
      </c>
      <c r="J2966" s="450" t="s">
        <v>34233</v>
      </c>
      <c r="K2966" s="450"/>
    </row>
    <row r="2967" spans="1:11">
      <c r="A2967" s="451" t="s">
        <v>5454</v>
      </c>
      <c r="B2967" s="451"/>
      <c r="C2967" s="451" t="s">
        <v>5455</v>
      </c>
      <c r="D2967" s="451"/>
      <c r="E2967" s="451"/>
      <c r="F2967" s="451"/>
      <c r="G2967" s="451" t="s">
        <v>22882</v>
      </c>
      <c r="H2967" s="451" t="s">
        <v>22883</v>
      </c>
      <c r="I2967" s="451"/>
      <c r="J2967" s="451" t="s">
        <v>22997</v>
      </c>
      <c r="K2967" s="451"/>
    </row>
    <row r="2968" spans="1:11">
      <c r="A2968" s="450" t="s">
        <v>24295</v>
      </c>
      <c r="B2968" s="450" t="s">
        <v>24296</v>
      </c>
      <c r="C2968" s="450" t="s">
        <v>24297</v>
      </c>
      <c r="D2968" s="450"/>
      <c r="E2968" s="450"/>
      <c r="F2968" s="450"/>
      <c r="G2968" s="450" t="s">
        <v>22877</v>
      </c>
      <c r="H2968" s="450" t="s">
        <v>22878</v>
      </c>
      <c r="I2968" s="450" t="s">
        <v>24298</v>
      </c>
      <c r="J2968" s="450" t="s">
        <v>24299</v>
      </c>
      <c r="K2968" s="450"/>
    </row>
    <row r="2969" spans="1:11">
      <c r="A2969" s="451" t="s">
        <v>5456</v>
      </c>
      <c r="B2969" s="451" t="s">
        <v>5457</v>
      </c>
      <c r="C2969" s="451" t="s">
        <v>5458</v>
      </c>
      <c r="D2969" s="451"/>
      <c r="E2969" s="451"/>
      <c r="F2969" s="451"/>
      <c r="G2969" s="451" t="s">
        <v>22877</v>
      </c>
      <c r="H2969" s="451" t="s">
        <v>22878</v>
      </c>
      <c r="I2969" s="451" t="s">
        <v>24300</v>
      </c>
      <c r="J2969" s="451" t="s">
        <v>24301</v>
      </c>
      <c r="K2969" s="451"/>
    </row>
    <row r="2970" spans="1:11">
      <c r="A2970" s="450" t="s">
        <v>5459</v>
      </c>
      <c r="B2970" s="450" t="s">
        <v>5460</v>
      </c>
      <c r="C2970" s="450" t="s">
        <v>1746</v>
      </c>
      <c r="D2970" s="450"/>
      <c r="E2970" s="450"/>
      <c r="F2970" s="450"/>
      <c r="G2970" s="450" t="s">
        <v>22877</v>
      </c>
      <c r="H2970" s="450" t="s">
        <v>22878</v>
      </c>
      <c r="I2970" s="450" t="s">
        <v>34234</v>
      </c>
      <c r="J2970" s="450" t="s">
        <v>34235</v>
      </c>
      <c r="K2970" s="450"/>
    </row>
    <row r="2971" spans="1:11">
      <c r="A2971" s="451" t="s">
        <v>5461</v>
      </c>
      <c r="B2971" s="451" t="s">
        <v>5462</v>
      </c>
      <c r="C2971" s="451" t="s">
        <v>5463</v>
      </c>
      <c r="D2971" s="451" t="s">
        <v>5464</v>
      </c>
      <c r="E2971" s="451"/>
      <c r="F2971" s="451"/>
      <c r="G2971" s="451" t="s">
        <v>22877</v>
      </c>
      <c r="H2971" s="451" t="s">
        <v>22878</v>
      </c>
      <c r="I2971" s="451" t="s">
        <v>34234</v>
      </c>
      <c r="J2971" s="451" t="s">
        <v>34236</v>
      </c>
      <c r="K2971" s="451"/>
    </row>
    <row r="2972" spans="1:11">
      <c r="A2972" s="450" t="s">
        <v>5461</v>
      </c>
      <c r="B2972" s="450" t="s">
        <v>5462</v>
      </c>
      <c r="C2972" s="450" t="s">
        <v>5463</v>
      </c>
      <c r="D2972" s="450" t="s">
        <v>5464</v>
      </c>
      <c r="E2972" s="450" t="s">
        <v>5465</v>
      </c>
      <c r="F2972" s="450"/>
      <c r="G2972" s="450" t="s">
        <v>22877</v>
      </c>
      <c r="H2972" s="450" t="s">
        <v>22878</v>
      </c>
      <c r="I2972" s="450" t="s">
        <v>5464</v>
      </c>
      <c r="J2972" s="450" t="s">
        <v>30891</v>
      </c>
      <c r="K2972" s="450"/>
    </row>
    <row r="2973" spans="1:11">
      <c r="A2973" s="451" t="s">
        <v>5466</v>
      </c>
      <c r="B2973" s="451" t="s">
        <v>5467</v>
      </c>
      <c r="C2973" s="451" t="s">
        <v>5468</v>
      </c>
      <c r="D2973" s="451"/>
      <c r="E2973" s="451"/>
      <c r="F2973" s="451"/>
      <c r="G2973" s="451" t="s">
        <v>22882</v>
      </c>
      <c r="H2973" s="451" t="s">
        <v>22883</v>
      </c>
      <c r="I2973" s="451" t="s">
        <v>24302</v>
      </c>
      <c r="J2973" s="451" t="s">
        <v>24303</v>
      </c>
      <c r="K2973" s="451"/>
    </row>
    <row r="2974" spans="1:11">
      <c r="A2974" s="450" t="s">
        <v>5469</v>
      </c>
      <c r="B2974" s="450"/>
      <c r="C2974" s="450" t="s">
        <v>4003</v>
      </c>
      <c r="D2974" s="450"/>
      <c r="E2974" s="450"/>
      <c r="F2974" s="450"/>
      <c r="G2974" s="450" t="s">
        <v>22877</v>
      </c>
      <c r="H2974" s="450" t="s">
        <v>22878</v>
      </c>
      <c r="I2974" s="450" t="s">
        <v>24304</v>
      </c>
      <c r="J2974" s="450" t="s">
        <v>23121</v>
      </c>
      <c r="K2974" s="450"/>
    </row>
    <row r="2975" spans="1:11">
      <c r="A2975" s="451" t="s">
        <v>5470</v>
      </c>
      <c r="B2975" s="451" t="s">
        <v>5471</v>
      </c>
      <c r="C2975" s="451" t="s">
        <v>5472</v>
      </c>
      <c r="D2975" s="451"/>
      <c r="E2975" s="451"/>
      <c r="F2975" s="451"/>
      <c r="G2975" s="451" t="s">
        <v>22877</v>
      </c>
      <c r="H2975" s="451" t="s">
        <v>22878</v>
      </c>
      <c r="I2975" s="451" t="s">
        <v>24305</v>
      </c>
      <c r="J2975" s="451" t="s">
        <v>24306</v>
      </c>
      <c r="K2975" s="451"/>
    </row>
    <row r="2976" spans="1:11">
      <c r="A2976" s="450" t="s">
        <v>5473</v>
      </c>
      <c r="B2976" s="450" t="s">
        <v>5474</v>
      </c>
      <c r="C2976" s="450" t="s">
        <v>5475</v>
      </c>
      <c r="D2976" s="450"/>
      <c r="E2976" s="450"/>
      <c r="F2976" s="450"/>
      <c r="G2976" s="450" t="s">
        <v>22877</v>
      </c>
      <c r="H2976" s="450" t="s">
        <v>22878</v>
      </c>
      <c r="I2976" s="450" t="s">
        <v>30892</v>
      </c>
      <c r="J2976" s="450" t="s">
        <v>30893</v>
      </c>
      <c r="K2976" s="450"/>
    </row>
    <row r="2977" spans="1:11">
      <c r="A2977" s="451" t="s">
        <v>5476</v>
      </c>
      <c r="B2977" s="451" t="s">
        <v>5477</v>
      </c>
      <c r="C2977" s="451" t="s">
        <v>5478</v>
      </c>
      <c r="D2977" s="451"/>
      <c r="E2977" s="451"/>
      <c r="F2977" s="451"/>
      <c r="G2977" s="451" t="s">
        <v>22877</v>
      </c>
      <c r="H2977" s="451" t="s">
        <v>22878</v>
      </c>
      <c r="I2977" s="451"/>
      <c r="J2977" s="451" t="s">
        <v>30894</v>
      </c>
      <c r="K2977" s="451"/>
    </row>
    <row r="2978" spans="1:11">
      <c r="A2978" s="450" t="s">
        <v>5479</v>
      </c>
      <c r="B2978" s="450" t="s">
        <v>5480</v>
      </c>
      <c r="C2978" s="450" t="s">
        <v>5481</v>
      </c>
      <c r="D2978" s="450" t="s">
        <v>5482</v>
      </c>
      <c r="E2978" s="450"/>
      <c r="F2978" s="450"/>
      <c r="G2978" s="450" t="s">
        <v>22882</v>
      </c>
      <c r="H2978" s="450" t="s">
        <v>22883</v>
      </c>
      <c r="I2978" s="450" t="s">
        <v>30895</v>
      </c>
      <c r="J2978" s="450" t="s">
        <v>30896</v>
      </c>
      <c r="K2978" s="450"/>
    </row>
    <row r="2979" spans="1:11">
      <c r="A2979" s="451" t="s">
        <v>5483</v>
      </c>
      <c r="B2979" s="451"/>
      <c r="C2979" s="451" t="s">
        <v>5484</v>
      </c>
      <c r="D2979" s="451"/>
      <c r="E2979" s="451"/>
      <c r="F2979" s="451"/>
      <c r="G2979" s="451" t="s">
        <v>22877</v>
      </c>
      <c r="H2979" s="451" t="s">
        <v>22878</v>
      </c>
      <c r="I2979" s="451"/>
      <c r="J2979" s="451" t="s">
        <v>23185</v>
      </c>
      <c r="K2979" s="451"/>
    </row>
    <row r="2980" spans="1:11">
      <c r="A2980" s="450" t="s">
        <v>5485</v>
      </c>
      <c r="B2980" s="450" t="s">
        <v>5486</v>
      </c>
      <c r="C2980" s="450" t="s">
        <v>5487</v>
      </c>
      <c r="D2980" s="450"/>
      <c r="E2980" s="450"/>
      <c r="F2980" s="450"/>
      <c r="G2980" s="450" t="s">
        <v>22877</v>
      </c>
      <c r="H2980" s="450" t="s">
        <v>22878</v>
      </c>
      <c r="I2980" s="450" t="s">
        <v>30897</v>
      </c>
      <c r="J2980" s="450" t="s">
        <v>30898</v>
      </c>
      <c r="K2980" s="450"/>
    </row>
    <row r="2981" spans="1:11">
      <c r="A2981" s="451" t="s">
        <v>5488</v>
      </c>
      <c r="B2981" s="451" t="s">
        <v>5489</v>
      </c>
      <c r="C2981" s="451" t="s">
        <v>5490</v>
      </c>
      <c r="D2981" s="451"/>
      <c r="E2981" s="451"/>
      <c r="F2981" s="451"/>
      <c r="G2981" s="451" t="s">
        <v>30899</v>
      </c>
      <c r="H2981" s="451" t="s">
        <v>22878</v>
      </c>
      <c r="I2981" s="451" t="s">
        <v>30900</v>
      </c>
      <c r="J2981" s="451" t="s">
        <v>30900</v>
      </c>
      <c r="K2981" s="451"/>
    </row>
    <row r="2982" spans="1:11">
      <c r="A2982" s="450" t="s">
        <v>5491</v>
      </c>
      <c r="B2982" s="450" t="s">
        <v>5492</v>
      </c>
      <c r="C2982" s="450" t="s">
        <v>5493</v>
      </c>
      <c r="D2982" s="450"/>
      <c r="E2982" s="450"/>
      <c r="F2982" s="450"/>
      <c r="G2982" s="450" t="s">
        <v>22877</v>
      </c>
      <c r="H2982" s="450" t="s">
        <v>22878</v>
      </c>
      <c r="I2982" s="450" t="s">
        <v>30901</v>
      </c>
      <c r="J2982" s="450" t="s">
        <v>30902</v>
      </c>
      <c r="K2982" s="450"/>
    </row>
    <row r="2983" spans="1:11">
      <c r="A2983" s="451" t="s">
        <v>5494</v>
      </c>
      <c r="B2983" s="451"/>
      <c r="C2983" s="451" t="s">
        <v>1746</v>
      </c>
      <c r="D2983" s="451"/>
      <c r="E2983" s="451"/>
      <c r="F2983" s="451"/>
      <c r="G2983" s="451" t="s">
        <v>22882</v>
      </c>
      <c r="H2983" s="451" t="s">
        <v>22883</v>
      </c>
      <c r="I2983" s="451"/>
      <c r="J2983" s="451" t="s">
        <v>22939</v>
      </c>
      <c r="K2983" s="451"/>
    </row>
    <row r="2984" spans="1:11">
      <c r="A2984" s="450" t="s">
        <v>34237</v>
      </c>
      <c r="B2984" s="450" t="s">
        <v>34238</v>
      </c>
      <c r="C2984" s="450" t="s">
        <v>34239</v>
      </c>
      <c r="D2984" s="450"/>
      <c r="E2984" s="450"/>
      <c r="F2984" s="450"/>
      <c r="G2984" s="450"/>
      <c r="H2984" s="450"/>
      <c r="I2984" s="450"/>
      <c r="J2984" s="450"/>
      <c r="K2984" s="450"/>
    </row>
    <row r="2985" spans="1:11">
      <c r="A2985" s="451" t="s">
        <v>34240</v>
      </c>
      <c r="B2985" s="451"/>
      <c r="C2985" s="451" t="s">
        <v>5496</v>
      </c>
      <c r="D2985" s="451"/>
      <c r="E2985" s="451"/>
      <c r="F2985" s="451"/>
      <c r="G2985" s="451" t="s">
        <v>22882</v>
      </c>
      <c r="H2985" s="451" t="s">
        <v>22883</v>
      </c>
      <c r="I2985" s="451"/>
      <c r="J2985" s="451" t="s">
        <v>22943</v>
      </c>
      <c r="K2985" s="451"/>
    </row>
    <row r="2986" spans="1:11">
      <c r="A2986" s="450" t="s">
        <v>5495</v>
      </c>
      <c r="B2986" s="450"/>
      <c r="C2986" s="450" t="s">
        <v>5496</v>
      </c>
      <c r="D2986" s="450"/>
      <c r="E2986" s="450"/>
      <c r="F2986" s="450"/>
      <c r="G2986" s="450" t="s">
        <v>22882</v>
      </c>
      <c r="H2986" s="450" t="s">
        <v>22883</v>
      </c>
      <c r="I2986" s="450" t="s">
        <v>30903</v>
      </c>
      <c r="J2986" s="450" t="s">
        <v>22997</v>
      </c>
      <c r="K2986" s="450"/>
    </row>
    <row r="2987" spans="1:11">
      <c r="A2987" s="451" t="s">
        <v>24307</v>
      </c>
      <c r="B2987" s="451" t="s">
        <v>24308</v>
      </c>
      <c r="C2987" s="451" t="s">
        <v>5507</v>
      </c>
      <c r="D2987" s="451"/>
      <c r="E2987" s="451"/>
      <c r="F2987" s="451"/>
      <c r="G2987" s="451" t="s">
        <v>22877</v>
      </c>
      <c r="H2987" s="451" t="s">
        <v>22878</v>
      </c>
      <c r="I2987" s="451" t="s">
        <v>24309</v>
      </c>
      <c r="J2987" s="451" t="s">
        <v>24310</v>
      </c>
      <c r="K2987" s="451"/>
    </row>
    <row r="2988" spans="1:11">
      <c r="A2988" s="450" t="s">
        <v>5497</v>
      </c>
      <c r="B2988" s="450" t="s">
        <v>5498</v>
      </c>
      <c r="C2988" s="450" t="s">
        <v>5499</v>
      </c>
      <c r="D2988" s="450" t="s">
        <v>5500</v>
      </c>
      <c r="E2988" s="450"/>
      <c r="F2988" s="450"/>
      <c r="G2988" s="450" t="s">
        <v>22882</v>
      </c>
      <c r="H2988" s="450" t="s">
        <v>22883</v>
      </c>
      <c r="I2988" s="450" t="s">
        <v>30904</v>
      </c>
      <c r="J2988" s="450" t="s">
        <v>30905</v>
      </c>
      <c r="K2988" s="450"/>
    </row>
    <row r="2989" spans="1:11">
      <c r="A2989" s="451" t="s">
        <v>5501</v>
      </c>
      <c r="B2989" s="451" t="s">
        <v>5502</v>
      </c>
      <c r="C2989" s="451" t="s">
        <v>5503</v>
      </c>
      <c r="D2989" s="451" t="s">
        <v>5504</v>
      </c>
      <c r="E2989" s="451"/>
      <c r="F2989" s="451"/>
      <c r="G2989" s="451" t="s">
        <v>22882</v>
      </c>
      <c r="H2989" s="451" t="s">
        <v>22883</v>
      </c>
      <c r="I2989" s="451" t="s">
        <v>30906</v>
      </c>
      <c r="J2989" s="451" t="s">
        <v>30907</v>
      </c>
      <c r="K2989" s="451"/>
    </row>
    <row r="2990" spans="1:11">
      <c r="A2990" s="450" t="s">
        <v>5505</v>
      </c>
      <c r="B2990" s="450" t="s">
        <v>5506</v>
      </c>
      <c r="C2990" s="450" t="s">
        <v>5507</v>
      </c>
      <c r="D2990" s="450"/>
      <c r="E2990" s="450"/>
      <c r="F2990" s="450"/>
      <c r="G2990" s="450" t="s">
        <v>22877</v>
      </c>
      <c r="H2990" s="450" t="s">
        <v>22878</v>
      </c>
      <c r="I2990" s="450"/>
      <c r="J2990" s="450" t="s">
        <v>30908</v>
      </c>
      <c r="K2990" s="450"/>
    </row>
    <row r="2991" spans="1:11">
      <c r="A2991" s="451" t="s">
        <v>24311</v>
      </c>
      <c r="B2991" s="451" t="s">
        <v>5498</v>
      </c>
      <c r="C2991" s="451" t="s">
        <v>5499</v>
      </c>
      <c r="D2991" s="451" t="s">
        <v>5500</v>
      </c>
      <c r="E2991" s="451"/>
      <c r="F2991" s="451"/>
      <c r="G2991" s="451" t="s">
        <v>22882</v>
      </c>
      <c r="H2991" s="451" t="s">
        <v>22883</v>
      </c>
      <c r="I2991" s="451" t="s">
        <v>24312</v>
      </c>
      <c r="J2991" s="451" t="s">
        <v>24313</v>
      </c>
      <c r="K2991" s="451"/>
    </row>
    <row r="2992" spans="1:11">
      <c r="A2992" s="450" t="s">
        <v>24314</v>
      </c>
      <c r="B2992" s="450" t="s">
        <v>5502</v>
      </c>
      <c r="C2992" s="450" t="s">
        <v>5503</v>
      </c>
      <c r="D2992" s="450" t="s">
        <v>5504</v>
      </c>
      <c r="E2992" s="450"/>
      <c r="F2992" s="450"/>
      <c r="G2992" s="450" t="s">
        <v>22882</v>
      </c>
      <c r="H2992" s="450" t="s">
        <v>22883</v>
      </c>
      <c r="I2992" s="450" t="s">
        <v>24315</v>
      </c>
      <c r="J2992" s="450" t="s">
        <v>24316</v>
      </c>
      <c r="K2992" s="450"/>
    </row>
    <row r="2993" spans="1:11">
      <c r="A2993" s="451" t="s">
        <v>5508</v>
      </c>
      <c r="B2993" s="451" t="s">
        <v>5509</v>
      </c>
      <c r="C2993" s="451" t="s">
        <v>5510</v>
      </c>
      <c r="D2993" s="451" t="s">
        <v>5511</v>
      </c>
      <c r="E2993" s="451" t="s">
        <v>5512</v>
      </c>
      <c r="F2993" s="451"/>
      <c r="G2993" s="451" t="s">
        <v>22877</v>
      </c>
      <c r="H2993" s="451" t="s">
        <v>22878</v>
      </c>
      <c r="I2993" s="451" t="s">
        <v>30909</v>
      </c>
      <c r="J2993" s="451" t="s">
        <v>30910</v>
      </c>
      <c r="K2993" s="451"/>
    </row>
    <row r="2994" spans="1:11">
      <c r="A2994" s="450" t="s">
        <v>5513</v>
      </c>
      <c r="B2994" s="450"/>
      <c r="C2994" s="450" t="s">
        <v>5514</v>
      </c>
      <c r="D2994" s="450"/>
      <c r="E2994" s="450"/>
      <c r="F2994" s="450"/>
      <c r="G2994" s="450" t="s">
        <v>22882</v>
      </c>
      <c r="H2994" s="450" t="s">
        <v>22883</v>
      </c>
      <c r="I2994" s="450"/>
      <c r="J2994" s="450" t="s">
        <v>23185</v>
      </c>
      <c r="K2994" s="450"/>
    </row>
    <row r="2995" spans="1:11">
      <c r="A2995" s="451" t="s">
        <v>24317</v>
      </c>
      <c r="B2995" s="451" t="s">
        <v>5509</v>
      </c>
      <c r="C2995" s="451" t="s">
        <v>5510</v>
      </c>
      <c r="D2995" s="451" t="s">
        <v>5511</v>
      </c>
      <c r="E2995" s="451"/>
      <c r="F2995" s="451"/>
      <c r="G2995" s="451" t="s">
        <v>22877</v>
      </c>
      <c r="H2995" s="451" t="s">
        <v>22878</v>
      </c>
      <c r="I2995" s="451" t="s">
        <v>5511</v>
      </c>
      <c r="J2995" s="451" t="s">
        <v>24318</v>
      </c>
      <c r="K2995" s="451"/>
    </row>
    <row r="2996" spans="1:11">
      <c r="A2996" s="450" t="s">
        <v>34241</v>
      </c>
      <c r="B2996" s="450"/>
      <c r="C2996" s="450" t="s">
        <v>5514</v>
      </c>
      <c r="D2996" s="450"/>
      <c r="E2996" s="450"/>
      <c r="F2996" s="450"/>
      <c r="G2996" s="450" t="s">
        <v>22882</v>
      </c>
      <c r="H2996" s="450" t="s">
        <v>22883</v>
      </c>
      <c r="I2996" s="450"/>
      <c r="J2996" s="450" t="s">
        <v>22943</v>
      </c>
      <c r="K2996" s="450"/>
    </row>
    <row r="2997" spans="1:11">
      <c r="A2997" s="451" t="s">
        <v>21590</v>
      </c>
      <c r="B2997" s="451"/>
      <c r="C2997" s="451" t="s">
        <v>2781</v>
      </c>
      <c r="D2997" s="451"/>
      <c r="E2997" s="451"/>
      <c r="F2997" s="451"/>
      <c r="G2997" s="451" t="s">
        <v>22877</v>
      </c>
      <c r="H2997" s="451" t="s">
        <v>22878</v>
      </c>
      <c r="I2997" s="451" t="s">
        <v>34242</v>
      </c>
      <c r="J2997" s="451" t="s">
        <v>22939</v>
      </c>
      <c r="K2997" s="451"/>
    </row>
    <row r="2998" spans="1:11">
      <c r="A2998" s="450" t="s">
        <v>34243</v>
      </c>
      <c r="B2998" s="450"/>
      <c r="C2998" s="450" t="s">
        <v>5516</v>
      </c>
      <c r="D2998" s="450"/>
      <c r="E2998" s="450"/>
      <c r="F2998" s="450"/>
      <c r="G2998" s="450" t="s">
        <v>22882</v>
      </c>
      <c r="H2998" s="450" t="s">
        <v>22883</v>
      </c>
      <c r="I2998" s="450"/>
      <c r="J2998" s="450" t="s">
        <v>22997</v>
      </c>
      <c r="K2998" s="450"/>
    </row>
    <row r="2999" spans="1:11">
      <c r="A2999" s="451" t="s">
        <v>5515</v>
      </c>
      <c r="B2999" s="451"/>
      <c r="C2999" s="451" t="s">
        <v>5516</v>
      </c>
      <c r="D2999" s="451"/>
      <c r="E2999" s="451"/>
      <c r="F2999" s="451"/>
      <c r="G2999" s="451" t="s">
        <v>22882</v>
      </c>
      <c r="H2999" s="451" t="s">
        <v>22883</v>
      </c>
      <c r="I2999" s="451"/>
      <c r="J2999" s="451" t="s">
        <v>34244</v>
      </c>
      <c r="K2999" s="451"/>
    </row>
    <row r="3000" spans="1:11">
      <c r="A3000" s="450" t="s">
        <v>34245</v>
      </c>
      <c r="B3000" s="450"/>
      <c r="C3000" s="450" t="s">
        <v>5518</v>
      </c>
      <c r="D3000" s="450"/>
      <c r="E3000" s="450"/>
      <c r="F3000" s="450"/>
      <c r="G3000" s="450" t="s">
        <v>22882</v>
      </c>
      <c r="H3000" s="450" t="s">
        <v>22883</v>
      </c>
      <c r="I3000" s="450" t="s">
        <v>34246</v>
      </c>
      <c r="J3000" s="450" t="s">
        <v>23370</v>
      </c>
      <c r="K3000" s="450"/>
    </row>
    <row r="3001" spans="1:11">
      <c r="A3001" s="451" t="s">
        <v>5517</v>
      </c>
      <c r="B3001" s="451"/>
      <c r="C3001" s="451" t="s">
        <v>5518</v>
      </c>
      <c r="D3001" s="451"/>
      <c r="E3001" s="451"/>
      <c r="F3001" s="451"/>
      <c r="G3001" s="451" t="s">
        <v>22882</v>
      </c>
      <c r="H3001" s="451" t="s">
        <v>22883</v>
      </c>
      <c r="I3001" s="451" t="s">
        <v>34247</v>
      </c>
      <c r="J3001" s="451" t="s">
        <v>22943</v>
      </c>
      <c r="K3001" s="451"/>
    </row>
    <row r="3002" spans="1:11">
      <c r="A3002" s="450" t="s">
        <v>5519</v>
      </c>
      <c r="B3002" s="450"/>
      <c r="C3002" s="450" t="s">
        <v>5520</v>
      </c>
      <c r="D3002" s="450"/>
      <c r="E3002" s="450"/>
      <c r="F3002" s="450"/>
      <c r="G3002" s="450" t="s">
        <v>22877</v>
      </c>
      <c r="H3002" s="450" t="s">
        <v>22878</v>
      </c>
      <c r="I3002" s="450" t="s">
        <v>24319</v>
      </c>
      <c r="J3002" s="450" t="s">
        <v>22939</v>
      </c>
      <c r="K3002" s="450"/>
    </row>
    <row r="3003" spans="1:11">
      <c r="A3003" s="451" t="s">
        <v>24320</v>
      </c>
      <c r="B3003" s="451" t="s">
        <v>24321</v>
      </c>
      <c r="C3003" s="451" t="s">
        <v>24322</v>
      </c>
      <c r="D3003" s="451"/>
      <c r="E3003" s="451"/>
      <c r="F3003" s="451"/>
      <c r="G3003" s="451" t="s">
        <v>22877</v>
      </c>
      <c r="H3003" s="451" t="s">
        <v>22878</v>
      </c>
      <c r="I3003" s="451" t="s">
        <v>24323</v>
      </c>
      <c r="J3003" s="451" t="s">
        <v>24324</v>
      </c>
      <c r="K3003" s="451"/>
    </row>
    <row r="3004" spans="1:11">
      <c r="A3004" s="450" t="s">
        <v>5521</v>
      </c>
      <c r="B3004" s="450"/>
      <c r="C3004" s="450" t="s">
        <v>5522</v>
      </c>
      <c r="D3004" s="450"/>
      <c r="E3004" s="450"/>
      <c r="F3004" s="450"/>
      <c r="G3004" s="450" t="s">
        <v>24325</v>
      </c>
      <c r="H3004" s="450" t="s">
        <v>22878</v>
      </c>
      <c r="I3004" s="450" t="s">
        <v>24326</v>
      </c>
      <c r="J3004" s="450" t="s">
        <v>24327</v>
      </c>
      <c r="K3004" s="450"/>
    </row>
    <row r="3005" spans="1:11">
      <c r="A3005" s="451" t="s">
        <v>5523</v>
      </c>
      <c r="B3005" s="451" t="s">
        <v>24328</v>
      </c>
      <c r="C3005" s="451" t="s">
        <v>5525</v>
      </c>
      <c r="D3005" s="451"/>
      <c r="E3005" s="451"/>
      <c r="F3005" s="451" t="s">
        <v>5526</v>
      </c>
      <c r="G3005" s="451" t="s">
        <v>22882</v>
      </c>
      <c r="H3005" s="451" t="s">
        <v>22883</v>
      </c>
      <c r="I3005" s="451"/>
      <c r="J3005" s="451" t="s">
        <v>24329</v>
      </c>
      <c r="K3005" s="451"/>
    </row>
    <row r="3006" spans="1:11">
      <c r="A3006" s="450" t="s">
        <v>5523</v>
      </c>
      <c r="B3006" s="450" t="s">
        <v>5524</v>
      </c>
      <c r="C3006" s="450" t="s">
        <v>5525</v>
      </c>
      <c r="D3006" s="450"/>
      <c r="E3006" s="450"/>
      <c r="F3006" s="450" t="s">
        <v>5526</v>
      </c>
      <c r="G3006" s="450" t="s">
        <v>22882</v>
      </c>
      <c r="H3006" s="450" t="s">
        <v>22883</v>
      </c>
      <c r="I3006" s="450" t="s">
        <v>30911</v>
      </c>
      <c r="J3006" s="450" t="s">
        <v>30912</v>
      </c>
      <c r="K3006" s="450"/>
    </row>
    <row r="3007" spans="1:11">
      <c r="A3007" s="451" t="s">
        <v>5527</v>
      </c>
      <c r="B3007" s="451"/>
      <c r="C3007" s="451" t="s">
        <v>5516</v>
      </c>
      <c r="D3007" s="451"/>
      <c r="E3007" s="451"/>
      <c r="F3007" s="451"/>
      <c r="G3007" s="451" t="s">
        <v>22882</v>
      </c>
      <c r="H3007" s="451" t="s">
        <v>22883</v>
      </c>
      <c r="I3007" s="451"/>
      <c r="J3007" s="451" t="s">
        <v>22943</v>
      </c>
      <c r="K3007" s="451"/>
    </row>
    <row r="3008" spans="1:11">
      <c r="A3008" s="450" t="s">
        <v>5528</v>
      </c>
      <c r="B3008" s="450" t="s">
        <v>5529</v>
      </c>
      <c r="C3008" s="450" t="s">
        <v>3980</v>
      </c>
      <c r="D3008" s="450" t="s">
        <v>5530</v>
      </c>
      <c r="E3008" s="450" t="s">
        <v>5531</v>
      </c>
      <c r="F3008" s="450"/>
      <c r="G3008" s="450" t="s">
        <v>22882</v>
      </c>
      <c r="H3008" s="450" t="s">
        <v>22883</v>
      </c>
      <c r="I3008" s="450" t="s">
        <v>5530</v>
      </c>
      <c r="J3008" s="450" t="s">
        <v>30913</v>
      </c>
      <c r="K3008" s="450"/>
    </row>
    <row r="3009" spans="1:11">
      <c r="A3009" s="451" t="s">
        <v>5532</v>
      </c>
      <c r="B3009" s="451"/>
      <c r="C3009" s="451" t="s">
        <v>5533</v>
      </c>
      <c r="D3009" s="451"/>
      <c r="E3009" s="451"/>
      <c r="F3009" s="451"/>
      <c r="G3009" s="451" t="s">
        <v>22882</v>
      </c>
      <c r="H3009" s="451" t="s">
        <v>22883</v>
      </c>
      <c r="I3009" s="451"/>
      <c r="J3009" s="451" t="s">
        <v>22939</v>
      </c>
      <c r="K3009" s="451"/>
    </row>
    <row r="3010" spans="1:11">
      <c r="A3010" s="450" t="s">
        <v>5534</v>
      </c>
      <c r="B3010" s="450" t="s">
        <v>5535</v>
      </c>
      <c r="C3010" s="450" t="s">
        <v>5536</v>
      </c>
      <c r="D3010" s="450" t="s">
        <v>5537</v>
      </c>
      <c r="E3010" s="450" t="s">
        <v>5538</v>
      </c>
      <c r="F3010" s="450"/>
      <c r="G3010" s="450" t="s">
        <v>22882</v>
      </c>
      <c r="H3010" s="450" t="s">
        <v>22883</v>
      </c>
      <c r="I3010" s="450" t="s">
        <v>5537</v>
      </c>
      <c r="J3010" s="450" t="s">
        <v>30914</v>
      </c>
      <c r="K3010" s="450"/>
    </row>
    <row r="3011" spans="1:11">
      <c r="A3011" s="451" t="s">
        <v>5539</v>
      </c>
      <c r="B3011" s="451"/>
      <c r="C3011" s="451" t="s">
        <v>5540</v>
      </c>
      <c r="D3011" s="451"/>
      <c r="E3011" s="451"/>
      <c r="F3011" s="451"/>
      <c r="G3011" s="451" t="s">
        <v>22877</v>
      </c>
      <c r="H3011" s="451" t="s">
        <v>22878</v>
      </c>
      <c r="I3011" s="451" t="s">
        <v>24330</v>
      </c>
      <c r="J3011" s="451" t="s">
        <v>22939</v>
      </c>
      <c r="K3011" s="451"/>
    </row>
    <row r="3012" spans="1:11">
      <c r="A3012" s="450" t="s">
        <v>24331</v>
      </c>
      <c r="B3012" s="450" t="s">
        <v>24332</v>
      </c>
      <c r="C3012" s="450" t="s">
        <v>5543</v>
      </c>
      <c r="D3012" s="450" t="s">
        <v>5544</v>
      </c>
      <c r="E3012" s="450"/>
      <c r="F3012" s="450"/>
      <c r="G3012" s="450" t="s">
        <v>22877</v>
      </c>
      <c r="H3012" s="450" t="s">
        <v>22878</v>
      </c>
      <c r="I3012" s="450" t="s">
        <v>5544</v>
      </c>
      <c r="J3012" s="450" t="s">
        <v>24333</v>
      </c>
      <c r="K3012" s="450"/>
    </row>
    <row r="3013" spans="1:11">
      <c r="A3013" s="451" t="s">
        <v>5541</v>
      </c>
      <c r="B3013" s="451" t="s">
        <v>5542</v>
      </c>
      <c r="C3013" s="451" t="s">
        <v>5543</v>
      </c>
      <c r="D3013" s="451" t="s">
        <v>5544</v>
      </c>
      <c r="E3013" s="451" t="s">
        <v>5545</v>
      </c>
      <c r="F3013" s="451"/>
      <c r="G3013" s="451" t="s">
        <v>22877</v>
      </c>
      <c r="H3013" s="451" t="s">
        <v>22878</v>
      </c>
      <c r="I3013" s="451" t="s">
        <v>30915</v>
      </c>
      <c r="J3013" s="451" t="s">
        <v>30916</v>
      </c>
      <c r="K3013" s="451"/>
    </row>
    <row r="3014" spans="1:11">
      <c r="A3014" s="450" t="s">
        <v>5546</v>
      </c>
      <c r="B3014" s="450"/>
      <c r="C3014" s="450" t="s">
        <v>5547</v>
      </c>
      <c r="D3014" s="450"/>
      <c r="E3014" s="450"/>
      <c r="F3014" s="450"/>
      <c r="G3014" s="450" t="s">
        <v>22882</v>
      </c>
      <c r="H3014" s="450" t="s">
        <v>22883</v>
      </c>
      <c r="I3014" s="450"/>
      <c r="J3014" s="450" t="s">
        <v>34248</v>
      </c>
      <c r="K3014" s="450"/>
    </row>
    <row r="3015" spans="1:11">
      <c r="A3015" s="451" t="s">
        <v>5548</v>
      </c>
      <c r="B3015" s="451"/>
      <c r="C3015" s="451" t="s">
        <v>5549</v>
      </c>
      <c r="D3015" s="451"/>
      <c r="E3015" s="451"/>
      <c r="F3015" s="451"/>
      <c r="G3015" s="451" t="s">
        <v>22882</v>
      </c>
      <c r="H3015" s="451" t="s">
        <v>22883</v>
      </c>
      <c r="I3015" s="451" t="s">
        <v>34249</v>
      </c>
      <c r="J3015" s="451" t="s">
        <v>22943</v>
      </c>
      <c r="K3015" s="451"/>
    </row>
    <row r="3016" spans="1:11">
      <c r="A3016" s="450" t="s">
        <v>21591</v>
      </c>
      <c r="B3016" s="450"/>
      <c r="C3016" s="450" t="s">
        <v>5550</v>
      </c>
      <c r="D3016" s="450"/>
      <c r="E3016" s="450"/>
      <c r="F3016" s="450"/>
      <c r="G3016" s="450" t="s">
        <v>22877</v>
      </c>
      <c r="H3016" s="450" t="s">
        <v>22878</v>
      </c>
      <c r="I3016" s="450" t="s">
        <v>34250</v>
      </c>
      <c r="J3016" s="450" t="s">
        <v>23185</v>
      </c>
      <c r="K3016" s="450"/>
    </row>
    <row r="3017" spans="1:11">
      <c r="A3017" s="451" t="s">
        <v>21592</v>
      </c>
      <c r="B3017" s="451"/>
      <c r="C3017" s="451" t="s">
        <v>5551</v>
      </c>
      <c r="D3017" s="451"/>
      <c r="E3017" s="451"/>
      <c r="F3017" s="451"/>
      <c r="G3017" s="451" t="s">
        <v>22882</v>
      </c>
      <c r="H3017" s="451" t="s">
        <v>22883</v>
      </c>
      <c r="I3017" s="451" t="s">
        <v>24334</v>
      </c>
      <c r="J3017" s="451" t="s">
        <v>22939</v>
      </c>
      <c r="K3017" s="451"/>
    </row>
    <row r="3018" spans="1:11">
      <c r="A3018" s="450" t="s">
        <v>5552</v>
      </c>
      <c r="B3018" s="450" t="s">
        <v>34251</v>
      </c>
      <c r="C3018" s="450" t="s">
        <v>1249</v>
      </c>
      <c r="D3018" s="450" t="s">
        <v>5554</v>
      </c>
      <c r="E3018" s="450"/>
      <c r="F3018" s="450"/>
      <c r="G3018" s="450" t="s">
        <v>22877</v>
      </c>
      <c r="H3018" s="450" t="s">
        <v>22878</v>
      </c>
      <c r="I3018" s="450" t="s">
        <v>5554</v>
      </c>
      <c r="J3018" s="450" t="s">
        <v>34252</v>
      </c>
      <c r="K3018" s="450"/>
    </row>
    <row r="3019" spans="1:11">
      <c r="A3019" s="451" t="s">
        <v>5552</v>
      </c>
      <c r="B3019" s="451" t="s">
        <v>5553</v>
      </c>
      <c r="C3019" s="451" t="s">
        <v>1249</v>
      </c>
      <c r="D3019" s="451" t="s">
        <v>5554</v>
      </c>
      <c r="E3019" s="451" t="s">
        <v>5555</v>
      </c>
      <c r="F3019" s="451"/>
      <c r="G3019" s="451" t="s">
        <v>22877</v>
      </c>
      <c r="H3019" s="451" t="s">
        <v>22878</v>
      </c>
      <c r="I3019" s="451" t="s">
        <v>5554</v>
      </c>
      <c r="J3019" s="451" t="s">
        <v>30917</v>
      </c>
      <c r="K3019" s="451"/>
    </row>
    <row r="3020" spans="1:11">
      <c r="A3020" s="450" t="s">
        <v>34253</v>
      </c>
      <c r="B3020" s="450" t="s">
        <v>5557</v>
      </c>
      <c r="C3020" s="450" t="s">
        <v>5558</v>
      </c>
      <c r="D3020" s="450" t="s">
        <v>5559</v>
      </c>
      <c r="E3020" s="450"/>
      <c r="F3020" s="450"/>
      <c r="G3020" s="450" t="s">
        <v>22877</v>
      </c>
      <c r="H3020" s="450" t="s">
        <v>22878</v>
      </c>
      <c r="I3020" s="450" t="s">
        <v>34254</v>
      </c>
      <c r="J3020" s="450" t="s">
        <v>34255</v>
      </c>
      <c r="K3020" s="450"/>
    </row>
    <row r="3021" spans="1:11">
      <c r="A3021" s="451" t="s">
        <v>5556</v>
      </c>
      <c r="B3021" s="451" t="s">
        <v>5557</v>
      </c>
      <c r="C3021" s="451" t="s">
        <v>5558</v>
      </c>
      <c r="D3021" s="451" t="s">
        <v>5559</v>
      </c>
      <c r="E3021" s="451" t="s">
        <v>5560</v>
      </c>
      <c r="F3021" s="451"/>
      <c r="G3021" s="451" t="s">
        <v>22877</v>
      </c>
      <c r="H3021" s="451" t="s">
        <v>22878</v>
      </c>
      <c r="I3021" s="451" t="s">
        <v>5559</v>
      </c>
      <c r="J3021" s="451" t="s">
        <v>30918</v>
      </c>
      <c r="K3021" s="451"/>
    </row>
    <row r="3022" spans="1:11">
      <c r="A3022" s="450" t="s">
        <v>5561</v>
      </c>
      <c r="B3022" s="450"/>
      <c r="C3022" s="450" t="s">
        <v>5562</v>
      </c>
      <c r="D3022" s="450"/>
      <c r="E3022" s="450"/>
      <c r="F3022" s="450"/>
      <c r="G3022" s="450" t="s">
        <v>22882</v>
      </c>
      <c r="H3022" s="450" t="s">
        <v>22883</v>
      </c>
      <c r="I3022" s="450"/>
      <c r="J3022" s="450" t="s">
        <v>22943</v>
      </c>
      <c r="K3022" s="450"/>
    </row>
    <row r="3023" spans="1:11">
      <c r="A3023" s="451" t="s">
        <v>5563</v>
      </c>
      <c r="B3023" s="451"/>
      <c r="C3023" s="451" t="s">
        <v>5564</v>
      </c>
      <c r="D3023" s="451"/>
      <c r="E3023" s="451"/>
      <c r="F3023" s="451"/>
      <c r="G3023" s="451" t="s">
        <v>22882</v>
      </c>
      <c r="H3023" s="451" t="s">
        <v>22883</v>
      </c>
      <c r="I3023" s="451"/>
      <c r="J3023" s="451" t="s">
        <v>22943</v>
      </c>
      <c r="K3023" s="451"/>
    </row>
    <row r="3024" spans="1:11">
      <c r="A3024" s="450" t="s">
        <v>21593</v>
      </c>
      <c r="B3024" s="450"/>
      <c r="C3024" s="450" t="s">
        <v>5565</v>
      </c>
      <c r="D3024" s="450"/>
      <c r="E3024" s="450"/>
      <c r="F3024" s="450"/>
      <c r="G3024" s="450" t="s">
        <v>22877</v>
      </c>
      <c r="H3024" s="450" t="s">
        <v>22878</v>
      </c>
      <c r="I3024" s="450" t="s">
        <v>34256</v>
      </c>
      <c r="J3024" s="450" t="s">
        <v>22943</v>
      </c>
      <c r="K3024" s="450"/>
    </row>
    <row r="3025" spans="1:11">
      <c r="A3025" s="451" t="s">
        <v>21594</v>
      </c>
      <c r="B3025" s="451"/>
      <c r="C3025" s="451" t="s">
        <v>5566</v>
      </c>
      <c r="D3025" s="451"/>
      <c r="E3025" s="451"/>
      <c r="F3025" s="451"/>
      <c r="G3025" s="451" t="s">
        <v>22877</v>
      </c>
      <c r="H3025" s="451" t="s">
        <v>22878</v>
      </c>
      <c r="I3025" s="451" t="s">
        <v>24335</v>
      </c>
      <c r="J3025" s="451" t="s">
        <v>22997</v>
      </c>
      <c r="K3025" s="451"/>
    </row>
    <row r="3026" spans="1:11">
      <c r="A3026" s="450" t="s">
        <v>5567</v>
      </c>
      <c r="B3026" s="450"/>
      <c r="C3026" s="450" t="s">
        <v>5568</v>
      </c>
      <c r="D3026" s="450"/>
      <c r="E3026" s="450"/>
      <c r="F3026" s="450"/>
      <c r="G3026" s="450" t="s">
        <v>22877</v>
      </c>
      <c r="H3026" s="450" t="s">
        <v>22878</v>
      </c>
      <c r="I3026" s="450" t="s">
        <v>34257</v>
      </c>
      <c r="J3026" s="450" t="s">
        <v>22939</v>
      </c>
      <c r="K3026" s="450"/>
    </row>
    <row r="3027" spans="1:11">
      <c r="A3027" s="451" t="s">
        <v>5569</v>
      </c>
      <c r="B3027" s="451"/>
      <c r="C3027" s="451" t="s">
        <v>5570</v>
      </c>
      <c r="D3027" s="451"/>
      <c r="E3027" s="451"/>
      <c r="F3027" s="451"/>
      <c r="G3027" s="451" t="s">
        <v>22877</v>
      </c>
      <c r="H3027" s="451" t="s">
        <v>22878</v>
      </c>
      <c r="I3027" s="451" t="s">
        <v>34258</v>
      </c>
      <c r="J3027" s="451" t="s">
        <v>22997</v>
      </c>
      <c r="K3027" s="451"/>
    </row>
    <row r="3028" spans="1:11">
      <c r="A3028" s="450" t="s">
        <v>5571</v>
      </c>
      <c r="B3028" s="450"/>
      <c r="C3028" s="450" t="s">
        <v>5572</v>
      </c>
      <c r="D3028" s="450"/>
      <c r="E3028" s="450"/>
      <c r="F3028" s="450"/>
      <c r="G3028" s="450" t="s">
        <v>22877</v>
      </c>
      <c r="H3028" s="450" t="s">
        <v>22878</v>
      </c>
      <c r="I3028" s="450" t="s">
        <v>34259</v>
      </c>
      <c r="J3028" s="450" t="s">
        <v>22997</v>
      </c>
      <c r="K3028" s="450"/>
    </row>
    <row r="3029" spans="1:11">
      <c r="A3029" s="451" t="s">
        <v>5573</v>
      </c>
      <c r="B3029" s="451"/>
      <c r="C3029" s="451" t="s">
        <v>5574</v>
      </c>
      <c r="D3029" s="451"/>
      <c r="E3029" s="451"/>
      <c r="F3029" s="451"/>
      <c r="G3029" s="451" t="s">
        <v>22877</v>
      </c>
      <c r="H3029" s="451" t="s">
        <v>22878</v>
      </c>
      <c r="I3029" s="451"/>
      <c r="J3029" s="451" t="s">
        <v>22943</v>
      </c>
      <c r="K3029" s="451"/>
    </row>
    <row r="3030" spans="1:11">
      <c r="A3030" s="450" t="s">
        <v>5575</v>
      </c>
      <c r="B3030" s="450"/>
      <c r="C3030" s="450" t="s">
        <v>5576</v>
      </c>
      <c r="D3030" s="450"/>
      <c r="E3030" s="450"/>
      <c r="F3030" s="450"/>
      <c r="G3030" s="450" t="s">
        <v>22882</v>
      </c>
      <c r="H3030" s="450" t="s">
        <v>22883</v>
      </c>
      <c r="I3030" s="450" t="s">
        <v>24337</v>
      </c>
      <c r="J3030" s="450" t="s">
        <v>22943</v>
      </c>
      <c r="K3030" s="450"/>
    </row>
    <row r="3031" spans="1:11">
      <c r="A3031" s="451" t="s">
        <v>24336</v>
      </c>
      <c r="B3031" s="451"/>
      <c r="C3031" s="451" t="s">
        <v>5576</v>
      </c>
      <c r="D3031" s="451"/>
      <c r="E3031" s="451"/>
      <c r="F3031" s="451"/>
      <c r="G3031" s="451" t="s">
        <v>22877</v>
      </c>
      <c r="H3031" s="451" t="s">
        <v>22878</v>
      </c>
      <c r="I3031" s="451" t="s">
        <v>24337</v>
      </c>
      <c r="J3031" s="451" t="s">
        <v>22943</v>
      </c>
      <c r="K3031" s="451"/>
    </row>
    <row r="3032" spans="1:11">
      <c r="A3032" s="450" t="s">
        <v>24338</v>
      </c>
      <c r="B3032" s="450" t="s">
        <v>24339</v>
      </c>
      <c r="C3032" s="450" t="s">
        <v>5579</v>
      </c>
      <c r="D3032" s="450"/>
      <c r="E3032" s="450"/>
      <c r="F3032" s="450"/>
      <c r="G3032" s="450" t="s">
        <v>22877</v>
      </c>
      <c r="H3032" s="450" t="s">
        <v>22878</v>
      </c>
      <c r="I3032" s="450"/>
      <c r="J3032" s="450" t="s">
        <v>24340</v>
      </c>
      <c r="K3032" s="450"/>
    </row>
    <row r="3033" spans="1:11">
      <c r="A3033" s="451" t="s">
        <v>5577</v>
      </c>
      <c r="B3033" s="451" t="s">
        <v>5578</v>
      </c>
      <c r="C3033" s="451" t="s">
        <v>5579</v>
      </c>
      <c r="D3033" s="451"/>
      <c r="E3033" s="451"/>
      <c r="F3033" s="451"/>
      <c r="G3033" s="451" t="s">
        <v>22877</v>
      </c>
      <c r="H3033" s="451" t="s">
        <v>22878</v>
      </c>
      <c r="I3033" s="451" t="s">
        <v>30919</v>
      </c>
      <c r="J3033" s="451" t="s">
        <v>30920</v>
      </c>
      <c r="K3033" s="451"/>
    </row>
    <row r="3034" spans="1:11">
      <c r="A3034" s="450" t="s">
        <v>5580</v>
      </c>
      <c r="B3034" s="450" t="s">
        <v>24341</v>
      </c>
      <c r="C3034" s="450" t="s">
        <v>5582</v>
      </c>
      <c r="D3034" s="450"/>
      <c r="E3034" s="450"/>
      <c r="F3034" s="450"/>
      <c r="G3034" s="450" t="s">
        <v>22877</v>
      </c>
      <c r="H3034" s="450" t="s">
        <v>22878</v>
      </c>
      <c r="I3034" s="450" t="s">
        <v>24342</v>
      </c>
      <c r="J3034" s="450" t="s">
        <v>24343</v>
      </c>
      <c r="K3034" s="450"/>
    </row>
    <row r="3035" spans="1:11">
      <c r="A3035" s="451" t="s">
        <v>5580</v>
      </c>
      <c r="B3035" s="451" t="s">
        <v>5581</v>
      </c>
      <c r="C3035" s="451" t="s">
        <v>5582</v>
      </c>
      <c r="D3035" s="451"/>
      <c r="E3035" s="451"/>
      <c r="F3035" s="451"/>
      <c r="G3035" s="451" t="s">
        <v>22877</v>
      </c>
      <c r="H3035" s="451" t="s">
        <v>22878</v>
      </c>
      <c r="I3035" s="451" t="s">
        <v>30921</v>
      </c>
      <c r="J3035" s="451" t="s">
        <v>30922</v>
      </c>
      <c r="K3035" s="451"/>
    </row>
    <row r="3036" spans="1:11">
      <c r="A3036" s="450" t="s">
        <v>21324</v>
      </c>
      <c r="B3036" s="450" t="s">
        <v>24344</v>
      </c>
      <c r="C3036" s="450" t="s">
        <v>24345</v>
      </c>
      <c r="D3036" s="450"/>
      <c r="E3036" s="450"/>
      <c r="F3036" s="450"/>
      <c r="G3036" s="450" t="s">
        <v>22877</v>
      </c>
      <c r="H3036" s="450" t="s">
        <v>22878</v>
      </c>
      <c r="I3036" s="450" t="s">
        <v>24346</v>
      </c>
      <c r="J3036" s="450" t="s">
        <v>24347</v>
      </c>
      <c r="K3036" s="450"/>
    </row>
    <row r="3037" spans="1:11">
      <c r="A3037" s="451" t="s">
        <v>21324</v>
      </c>
      <c r="B3037" s="451" t="s">
        <v>21322</v>
      </c>
      <c r="C3037" s="451" t="s">
        <v>21323</v>
      </c>
      <c r="D3037" s="451" t="s">
        <v>21325</v>
      </c>
      <c r="E3037" s="451"/>
      <c r="F3037" s="451"/>
      <c r="G3037" s="451" t="s">
        <v>22877</v>
      </c>
      <c r="H3037" s="451" t="s">
        <v>22878</v>
      </c>
      <c r="I3037" s="451" t="s">
        <v>21325</v>
      </c>
      <c r="J3037" s="451" t="s">
        <v>30923</v>
      </c>
      <c r="K3037" s="451"/>
    </row>
    <row r="3038" spans="1:11">
      <c r="A3038" s="450" t="s">
        <v>5583</v>
      </c>
      <c r="B3038" s="450" t="s">
        <v>5584</v>
      </c>
      <c r="C3038" s="450" t="s">
        <v>2168</v>
      </c>
      <c r="D3038" s="450" t="s">
        <v>5585</v>
      </c>
      <c r="E3038" s="450" t="s">
        <v>5586</v>
      </c>
      <c r="F3038" s="450"/>
      <c r="G3038" s="450" t="s">
        <v>22882</v>
      </c>
      <c r="H3038" s="450" t="s">
        <v>22883</v>
      </c>
      <c r="I3038" s="450" t="s">
        <v>5585</v>
      </c>
      <c r="J3038" s="450" t="s">
        <v>30924</v>
      </c>
      <c r="K3038" s="450"/>
    </row>
    <row r="3039" spans="1:11">
      <c r="A3039" s="451" t="s">
        <v>34260</v>
      </c>
      <c r="B3039" s="451" t="s">
        <v>5588</v>
      </c>
      <c r="C3039" s="451" t="s">
        <v>5589</v>
      </c>
      <c r="D3039" s="451"/>
      <c r="E3039" s="451"/>
      <c r="F3039" s="451"/>
      <c r="G3039" s="451" t="s">
        <v>22877</v>
      </c>
      <c r="H3039" s="451" t="s">
        <v>22878</v>
      </c>
      <c r="I3039" s="451" t="s">
        <v>34261</v>
      </c>
      <c r="J3039" s="451" t="s">
        <v>34262</v>
      </c>
      <c r="K3039" s="451"/>
    </row>
    <row r="3040" spans="1:11">
      <c r="A3040" s="450" t="s">
        <v>5587</v>
      </c>
      <c r="B3040" s="450" t="s">
        <v>5588</v>
      </c>
      <c r="C3040" s="450" t="s">
        <v>5589</v>
      </c>
      <c r="D3040" s="450"/>
      <c r="E3040" s="450"/>
      <c r="F3040" s="450"/>
      <c r="G3040" s="450" t="s">
        <v>22882</v>
      </c>
      <c r="H3040" s="450" t="s">
        <v>22883</v>
      </c>
      <c r="I3040" s="450" t="s">
        <v>30925</v>
      </c>
      <c r="J3040" s="450" t="s">
        <v>30926</v>
      </c>
      <c r="K3040" s="450"/>
    </row>
    <row r="3041" spans="1:11">
      <c r="A3041" s="451" t="s">
        <v>24348</v>
      </c>
      <c r="B3041" s="451" t="s">
        <v>24349</v>
      </c>
      <c r="C3041" s="451" t="s">
        <v>24350</v>
      </c>
      <c r="D3041" s="451"/>
      <c r="E3041" s="451"/>
      <c r="F3041" s="451"/>
      <c r="G3041" s="451" t="s">
        <v>22877</v>
      </c>
      <c r="H3041" s="451" t="s">
        <v>22878</v>
      </c>
      <c r="I3041" s="451" t="s">
        <v>24351</v>
      </c>
      <c r="J3041" s="451" t="s">
        <v>24352</v>
      </c>
      <c r="K3041" s="451"/>
    </row>
    <row r="3042" spans="1:11">
      <c r="A3042" s="450" t="s">
        <v>5590</v>
      </c>
      <c r="B3042" s="450" t="s">
        <v>34263</v>
      </c>
      <c r="C3042" s="450" t="s">
        <v>5592</v>
      </c>
      <c r="D3042" s="450" t="s">
        <v>5593</v>
      </c>
      <c r="E3042" s="450"/>
      <c r="F3042" s="450" t="s">
        <v>5595</v>
      </c>
      <c r="G3042" s="450" t="s">
        <v>22877</v>
      </c>
      <c r="H3042" s="450" t="s">
        <v>22878</v>
      </c>
      <c r="I3042" s="450" t="s">
        <v>24353</v>
      </c>
      <c r="J3042" s="450" t="s">
        <v>34264</v>
      </c>
      <c r="K3042" s="450"/>
    </row>
    <row r="3043" spans="1:11">
      <c r="A3043" s="451" t="s">
        <v>5590</v>
      </c>
      <c r="B3043" s="451" t="s">
        <v>5591</v>
      </c>
      <c r="C3043" s="451" t="s">
        <v>5592</v>
      </c>
      <c r="D3043" s="451" t="s">
        <v>5593</v>
      </c>
      <c r="E3043" s="451" t="s">
        <v>5594</v>
      </c>
      <c r="F3043" s="451" t="s">
        <v>5595</v>
      </c>
      <c r="G3043" s="451" t="s">
        <v>22882</v>
      </c>
      <c r="H3043" s="451" t="s">
        <v>22883</v>
      </c>
      <c r="I3043" s="451" t="s">
        <v>24353</v>
      </c>
      <c r="J3043" s="451" t="s">
        <v>30927</v>
      </c>
      <c r="K3043" s="451"/>
    </row>
    <row r="3044" spans="1:11">
      <c r="A3044" s="450" t="s">
        <v>5596</v>
      </c>
      <c r="B3044" s="450"/>
      <c r="C3044" s="450" t="s">
        <v>5597</v>
      </c>
      <c r="D3044" s="450"/>
      <c r="E3044" s="450"/>
      <c r="F3044" s="450"/>
      <c r="G3044" s="450" t="s">
        <v>22877</v>
      </c>
      <c r="H3044" s="450" t="s">
        <v>22878</v>
      </c>
      <c r="I3044" s="450" t="s">
        <v>24354</v>
      </c>
      <c r="J3044" s="450" t="s">
        <v>23133</v>
      </c>
      <c r="K3044" s="450"/>
    </row>
    <row r="3045" spans="1:11">
      <c r="A3045" s="451" t="s">
        <v>24355</v>
      </c>
      <c r="B3045" s="451" t="s">
        <v>5599</v>
      </c>
      <c r="C3045" s="451" t="s">
        <v>4817</v>
      </c>
      <c r="D3045" s="451" t="s">
        <v>5600</v>
      </c>
      <c r="E3045" s="451"/>
      <c r="F3045" s="451"/>
      <c r="G3045" s="451" t="s">
        <v>22877</v>
      </c>
      <c r="H3045" s="451" t="s">
        <v>22878</v>
      </c>
      <c r="I3045" s="451"/>
      <c r="J3045" s="451" t="s">
        <v>24356</v>
      </c>
      <c r="K3045" s="451"/>
    </row>
    <row r="3046" spans="1:11">
      <c r="A3046" s="450" t="s">
        <v>24357</v>
      </c>
      <c r="B3046" s="450" t="s">
        <v>5602</v>
      </c>
      <c r="C3046" s="450" t="s">
        <v>4524</v>
      </c>
      <c r="D3046" s="450" t="s">
        <v>5603</v>
      </c>
      <c r="E3046" s="450"/>
      <c r="F3046" s="450"/>
      <c r="G3046" s="450" t="s">
        <v>22877</v>
      </c>
      <c r="H3046" s="450" t="s">
        <v>22878</v>
      </c>
      <c r="I3046" s="450" t="s">
        <v>24358</v>
      </c>
      <c r="J3046" s="450" t="s">
        <v>24359</v>
      </c>
      <c r="K3046" s="450"/>
    </row>
    <row r="3047" spans="1:11">
      <c r="A3047" s="451" t="s">
        <v>5598</v>
      </c>
      <c r="B3047" s="451" t="s">
        <v>5599</v>
      </c>
      <c r="C3047" s="451" t="s">
        <v>4817</v>
      </c>
      <c r="D3047" s="451" t="s">
        <v>5600</v>
      </c>
      <c r="E3047" s="451"/>
      <c r="F3047" s="451"/>
      <c r="G3047" s="451" t="s">
        <v>22877</v>
      </c>
      <c r="H3047" s="451" t="s">
        <v>22878</v>
      </c>
      <c r="I3047" s="451" t="s">
        <v>30928</v>
      </c>
      <c r="J3047" s="451" t="s">
        <v>30929</v>
      </c>
      <c r="K3047" s="451"/>
    </row>
    <row r="3048" spans="1:11">
      <c r="A3048" s="450" t="s">
        <v>5601</v>
      </c>
      <c r="B3048" s="450" t="s">
        <v>5602</v>
      </c>
      <c r="C3048" s="450" t="s">
        <v>4524</v>
      </c>
      <c r="D3048" s="450" t="s">
        <v>5603</v>
      </c>
      <c r="E3048" s="450"/>
      <c r="F3048" s="450"/>
      <c r="G3048" s="450" t="s">
        <v>22877</v>
      </c>
      <c r="H3048" s="450" t="s">
        <v>22878</v>
      </c>
      <c r="I3048" s="450" t="s">
        <v>24358</v>
      </c>
      <c r="J3048" s="450" t="s">
        <v>24359</v>
      </c>
      <c r="K3048" s="450"/>
    </row>
    <row r="3049" spans="1:11">
      <c r="A3049" s="451" t="s">
        <v>5604</v>
      </c>
      <c r="B3049" s="451"/>
      <c r="C3049" s="451" t="s">
        <v>2583</v>
      </c>
      <c r="D3049" s="451"/>
      <c r="E3049" s="451"/>
      <c r="F3049" s="451"/>
      <c r="G3049" s="451" t="s">
        <v>22877</v>
      </c>
      <c r="H3049" s="451" t="s">
        <v>22878</v>
      </c>
      <c r="I3049" s="451"/>
      <c r="J3049" s="451" t="s">
        <v>22939</v>
      </c>
      <c r="K3049" s="451"/>
    </row>
    <row r="3050" spans="1:11">
      <c r="A3050" s="450" t="s">
        <v>5605</v>
      </c>
      <c r="B3050" s="450" t="s">
        <v>5606</v>
      </c>
      <c r="C3050" s="450" t="s">
        <v>5607</v>
      </c>
      <c r="D3050" s="450"/>
      <c r="E3050" s="450"/>
      <c r="F3050" s="450"/>
      <c r="G3050" s="450" t="s">
        <v>22877</v>
      </c>
      <c r="H3050" s="450" t="s">
        <v>22878</v>
      </c>
      <c r="I3050" s="450" t="s">
        <v>24360</v>
      </c>
      <c r="J3050" s="450" t="s">
        <v>24361</v>
      </c>
      <c r="K3050" s="450"/>
    </row>
    <row r="3051" spans="1:11">
      <c r="A3051" s="451" t="s">
        <v>21595</v>
      </c>
      <c r="B3051" s="451"/>
      <c r="C3051" s="451" t="s">
        <v>5608</v>
      </c>
      <c r="D3051" s="451"/>
      <c r="E3051" s="451"/>
      <c r="F3051" s="451"/>
      <c r="G3051" s="451" t="s">
        <v>22882</v>
      </c>
      <c r="H3051" s="451" t="s">
        <v>22883</v>
      </c>
      <c r="I3051" s="451"/>
      <c r="J3051" s="451" t="s">
        <v>22997</v>
      </c>
      <c r="K3051" s="451"/>
    </row>
    <row r="3052" spans="1:11">
      <c r="A3052" s="450" t="s">
        <v>5609</v>
      </c>
      <c r="B3052" s="450"/>
      <c r="C3052" s="450" t="s">
        <v>5610</v>
      </c>
      <c r="D3052" s="450"/>
      <c r="E3052" s="450"/>
      <c r="F3052" s="450"/>
      <c r="G3052" s="450" t="s">
        <v>22882</v>
      </c>
      <c r="H3052" s="450" t="s">
        <v>22883</v>
      </c>
      <c r="I3052" s="450"/>
      <c r="J3052" s="450" t="s">
        <v>22997</v>
      </c>
      <c r="K3052" s="450"/>
    </row>
    <row r="3053" spans="1:11">
      <c r="A3053" s="451" t="s">
        <v>5611</v>
      </c>
      <c r="B3053" s="451"/>
      <c r="C3053" s="451" t="s">
        <v>5612</v>
      </c>
      <c r="D3053" s="451"/>
      <c r="E3053" s="451"/>
      <c r="F3053" s="451"/>
      <c r="G3053" s="451" t="s">
        <v>22877</v>
      </c>
      <c r="H3053" s="451" t="s">
        <v>22878</v>
      </c>
      <c r="I3053" s="451"/>
      <c r="J3053" s="451" t="s">
        <v>23133</v>
      </c>
      <c r="K3053" s="451"/>
    </row>
    <row r="3054" spans="1:11">
      <c r="A3054" s="450" t="s">
        <v>5613</v>
      </c>
      <c r="B3054" s="450"/>
      <c r="C3054" s="450" t="s">
        <v>5614</v>
      </c>
      <c r="D3054" s="450"/>
      <c r="E3054" s="450"/>
      <c r="F3054" s="450"/>
      <c r="G3054" s="450" t="s">
        <v>22877</v>
      </c>
      <c r="H3054" s="450" t="s">
        <v>22878</v>
      </c>
      <c r="I3054" s="450" t="s">
        <v>34265</v>
      </c>
      <c r="J3054" s="450" t="s">
        <v>22943</v>
      </c>
      <c r="K3054" s="450"/>
    </row>
    <row r="3055" spans="1:11">
      <c r="A3055" s="451" t="s">
        <v>5615</v>
      </c>
      <c r="B3055" s="451"/>
      <c r="C3055" s="451" t="s">
        <v>5616</v>
      </c>
      <c r="D3055" s="451"/>
      <c r="E3055" s="451"/>
      <c r="F3055" s="451"/>
      <c r="G3055" s="451" t="s">
        <v>22877</v>
      </c>
      <c r="H3055" s="451" t="s">
        <v>22878</v>
      </c>
      <c r="I3055" s="451" t="s">
        <v>34266</v>
      </c>
      <c r="J3055" s="451" t="s">
        <v>22939</v>
      </c>
      <c r="K3055" s="451"/>
    </row>
    <row r="3056" spans="1:11">
      <c r="A3056" s="450" t="s">
        <v>5617</v>
      </c>
      <c r="B3056" s="450"/>
      <c r="C3056" s="450" t="s">
        <v>5618</v>
      </c>
      <c r="D3056" s="450"/>
      <c r="E3056" s="450"/>
      <c r="F3056" s="450"/>
      <c r="G3056" s="450" t="s">
        <v>22877</v>
      </c>
      <c r="H3056" s="450" t="s">
        <v>22878</v>
      </c>
      <c r="I3056" s="450"/>
      <c r="J3056" s="450" t="s">
        <v>23185</v>
      </c>
      <c r="K3056" s="450"/>
    </row>
    <row r="3057" spans="1:11">
      <c r="A3057" s="451" t="s">
        <v>5619</v>
      </c>
      <c r="B3057" s="451" t="s">
        <v>5620</v>
      </c>
      <c r="C3057" s="451" t="s">
        <v>5621</v>
      </c>
      <c r="D3057" s="451" t="s">
        <v>5622</v>
      </c>
      <c r="E3057" s="451"/>
      <c r="F3057" s="451" t="s">
        <v>5624</v>
      </c>
      <c r="G3057" s="451" t="s">
        <v>22877</v>
      </c>
      <c r="H3057" s="451" t="s">
        <v>22878</v>
      </c>
      <c r="I3057" s="451" t="s">
        <v>5622</v>
      </c>
      <c r="J3057" s="451" t="s">
        <v>34267</v>
      </c>
      <c r="K3057" s="451"/>
    </row>
    <row r="3058" spans="1:11">
      <c r="A3058" s="450" t="s">
        <v>5619</v>
      </c>
      <c r="B3058" s="450" t="s">
        <v>5620</v>
      </c>
      <c r="C3058" s="450" t="s">
        <v>5621</v>
      </c>
      <c r="D3058" s="450" t="s">
        <v>5622</v>
      </c>
      <c r="E3058" s="450" t="s">
        <v>5623</v>
      </c>
      <c r="F3058" s="450" t="s">
        <v>5624</v>
      </c>
      <c r="G3058" s="450" t="s">
        <v>22877</v>
      </c>
      <c r="H3058" s="450" t="s">
        <v>22878</v>
      </c>
      <c r="I3058" s="450" t="s">
        <v>5622</v>
      </c>
      <c r="J3058" s="450" t="s">
        <v>30930</v>
      </c>
      <c r="K3058" s="450"/>
    </row>
    <row r="3059" spans="1:11">
      <c r="A3059" s="451" t="s">
        <v>5625</v>
      </c>
      <c r="B3059" s="451"/>
      <c r="C3059" s="451" t="s">
        <v>5626</v>
      </c>
      <c r="D3059" s="451"/>
      <c r="E3059" s="451"/>
      <c r="F3059" s="451"/>
      <c r="G3059" s="451" t="s">
        <v>22882</v>
      </c>
      <c r="H3059" s="451" t="s">
        <v>22883</v>
      </c>
      <c r="I3059" s="451"/>
      <c r="J3059" s="451" t="s">
        <v>22942</v>
      </c>
      <c r="K3059" s="451"/>
    </row>
    <row r="3060" spans="1:11">
      <c r="A3060" s="450" t="s">
        <v>34268</v>
      </c>
      <c r="B3060" s="450"/>
      <c r="C3060" s="450" t="s">
        <v>5628</v>
      </c>
      <c r="D3060" s="450"/>
      <c r="E3060" s="450"/>
      <c r="F3060" s="450"/>
      <c r="G3060" s="450" t="s">
        <v>22877</v>
      </c>
      <c r="H3060" s="450" t="s">
        <v>22878</v>
      </c>
      <c r="I3060" s="450" t="s">
        <v>34269</v>
      </c>
      <c r="J3060" s="450" t="s">
        <v>22942</v>
      </c>
      <c r="K3060" s="450"/>
    </row>
    <row r="3061" spans="1:11">
      <c r="A3061" s="451" t="s">
        <v>5627</v>
      </c>
      <c r="B3061" s="451"/>
      <c r="C3061" s="451" t="s">
        <v>5628</v>
      </c>
      <c r="D3061" s="451"/>
      <c r="E3061" s="451"/>
      <c r="F3061" s="451"/>
      <c r="G3061" s="451" t="s">
        <v>22877</v>
      </c>
      <c r="H3061" s="451" t="s">
        <v>22878</v>
      </c>
      <c r="I3061" s="451" t="s">
        <v>34270</v>
      </c>
      <c r="J3061" s="451" t="s">
        <v>22943</v>
      </c>
      <c r="K3061" s="451"/>
    </row>
    <row r="3062" spans="1:11">
      <c r="A3062" s="450" t="s">
        <v>34271</v>
      </c>
      <c r="B3062" s="450"/>
      <c r="C3062" s="450" t="s">
        <v>4124</v>
      </c>
      <c r="D3062" s="450"/>
      <c r="E3062" s="450"/>
      <c r="F3062" s="450"/>
      <c r="G3062" s="450" t="s">
        <v>22877</v>
      </c>
      <c r="H3062" s="450" t="s">
        <v>22878</v>
      </c>
      <c r="I3062" s="450" t="s">
        <v>34272</v>
      </c>
      <c r="J3062" s="450" t="s">
        <v>22942</v>
      </c>
      <c r="K3062" s="450"/>
    </row>
    <row r="3063" spans="1:11">
      <c r="A3063" s="451" t="s">
        <v>5629</v>
      </c>
      <c r="B3063" s="451"/>
      <c r="C3063" s="451" t="s">
        <v>4124</v>
      </c>
      <c r="D3063" s="451"/>
      <c r="E3063" s="451"/>
      <c r="F3063" s="451"/>
      <c r="G3063" s="451" t="s">
        <v>22877</v>
      </c>
      <c r="H3063" s="451" t="s">
        <v>22878</v>
      </c>
      <c r="I3063" s="451" t="s">
        <v>30931</v>
      </c>
      <c r="J3063" s="451" t="s">
        <v>22997</v>
      </c>
      <c r="K3063" s="451"/>
    </row>
    <row r="3064" spans="1:11">
      <c r="A3064" s="450" t="s">
        <v>5630</v>
      </c>
      <c r="B3064" s="450"/>
      <c r="C3064" s="450" t="s">
        <v>2891</v>
      </c>
      <c r="D3064" s="450"/>
      <c r="E3064" s="450"/>
      <c r="F3064" s="450"/>
      <c r="G3064" s="450" t="s">
        <v>22877</v>
      </c>
      <c r="H3064" s="450" t="s">
        <v>22878</v>
      </c>
      <c r="I3064" s="450"/>
      <c r="J3064" s="450" t="s">
        <v>22942</v>
      </c>
      <c r="K3064" s="450"/>
    </row>
    <row r="3065" spans="1:11">
      <c r="A3065" s="451" t="s">
        <v>29996</v>
      </c>
      <c r="B3065" s="451" t="s">
        <v>29997</v>
      </c>
      <c r="C3065" s="451" t="s">
        <v>29998</v>
      </c>
      <c r="D3065" s="451"/>
      <c r="E3065" s="451"/>
      <c r="F3065" s="451"/>
      <c r="G3065" s="451"/>
      <c r="H3065" s="451"/>
      <c r="I3065" s="451"/>
      <c r="J3065" s="451"/>
      <c r="K3065" s="451"/>
    </row>
    <row r="3066" spans="1:11">
      <c r="A3066" s="450" t="s">
        <v>5631</v>
      </c>
      <c r="B3066" s="450" t="s">
        <v>5632</v>
      </c>
      <c r="C3066" s="450" t="s">
        <v>5633</v>
      </c>
      <c r="D3066" s="450"/>
      <c r="E3066" s="450"/>
      <c r="F3066" s="450"/>
      <c r="G3066" s="450" t="s">
        <v>22877</v>
      </c>
      <c r="H3066" s="450" t="s">
        <v>22878</v>
      </c>
      <c r="I3066" s="450" t="s">
        <v>30932</v>
      </c>
      <c r="J3066" s="450" t="s">
        <v>30933</v>
      </c>
      <c r="K3066" s="450"/>
    </row>
    <row r="3067" spans="1:11">
      <c r="A3067" s="451" t="s">
        <v>5634</v>
      </c>
      <c r="B3067" s="451" t="s">
        <v>5635</v>
      </c>
      <c r="C3067" s="451" t="s">
        <v>5636</v>
      </c>
      <c r="D3067" s="451"/>
      <c r="E3067" s="451"/>
      <c r="F3067" s="451" t="s">
        <v>5637</v>
      </c>
      <c r="G3067" s="451" t="s">
        <v>22882</v>
      </c>
      <c r="H3067" s="451" t="s">
        <v>22883</v>
      </c>
      <c r="I3067" s="451"/>
      <c r="J3067" s="451" t="s">
        <v>30934</v>
      </c>
      <c r="K3067" s="451"/>
    </row>
    <row r="3068" spans="1:11">
      <c r="A3068" s="450" t="s">
        <v>5638</v>
      </c>
      <c r="B3068" s="450" t="s">
        <v>5639</v>
      </c>
      <c r="C3068" s="450" t="s">
        <v>5640</v>
      </c>
      <c r="D3068" s="450"/>
      <c r="E3068" s="450"/>
      <c r="F3068" s="450"/>
      <c r="G3068" s="450" t="s">
        <v>22877</v>
      </c>
      <c r="H3068" s="450" t="s">
        <v>22878</v>
      </c>
      <c r="I3068" s="450" t="s">
        <v>30932</v>
      </c>
      <c r="J3068" s="450" t="s">
        <v>30935</v>
      </c>
      <c r="K3068" s="450"/>
    </row>
    <row r="3069" spans="1:11">
      <c r="A3069" s="451" t="s">
        <v>5641</v>
      </c>
      <c r="B3069" s="451"/>
      <c r="C3069" s="451" t="s">
        <v>2842</v>
      </c>
      <c r="D3069" s="451"/>
      <c r="E3069" s="451"/>
      <c r="F3069" s="451"/>
      <c r="G3069" s="451" t="s">
        <v>22882</v>
      </c>
      <c r="H3069" s="451" t="s">
        <v>22883</v>
      </c>
      <c r="I3069" s="451"/>
      <c r="J3069" s="451" t="s">
        <v>22942</v>
      </c>
      <c r="K3069" s="451"/>
    </row>
    <row r="3070" spans="1:11">
      <c r="A3070" s="450" t="s">
        <v>5642</v>
      </c>
      <c r="B3070" s="450" t="s">
        <v>5643</v>
      </c>
      <c r="C3070" s="450" t="s">
        <v>5644</v>
      </c>
      <c r="D3070" s="450" t="s">
        <v>5645</v>
      </c>
      <c r="E3070" s="450"/>
      <c r="F3070" s="450" t="s">
        <v>34273</v>
      </c>
      <c r="G3070" s="450" t="s">
        <v>22882</v>
      </c>
      <c r="H3070" s="450" t="s">
        <v>22883</v>
      </c>
      <c r="I3070" s="450"/>
      <c r="J3070" s="450" t="s">
        <v>24362</v>
      </c>
      <c r="K3070" s="450"/>
    </row>
    <row r="3071" spans="1:11">
      <c r="A3071" s="451" t="s">
        <v>5642</v>
      </c>
      <c r="B3071" s="451" t="s">
        <v>5643</v>
      </c>
      <c r="C3071" s="451" t="s">
        <v>5644</v>
      </c>
      <c r="D3071" s="451" t="s">
        <v>5645</v>
      </c>
      <c r="E3071" s="451" t="s">
        <v>5646</v>
      </c>
      <c r="F3071" s="451" t="s">
        <v>5647</v>
      </c>
      <c r="G3071" s="451" t="s">
        <v>22882</v>
      </c>
      <c r="H3071" s="451" t="s">
        <v>22883</v>
      </c>
      <c r="I3071" s="451" t="s">
        <v>5645</v>
      </c>
      <c r="J3071" s="451" t="s">
        <v>24362</v>
      </c>
      <c r="K3071" s="451"/>
    </row>
    <row r="3072" spans="1:11">
      <c r="A3072" s="450" t="s">
        <v>5648</v>
      </c>
      <c r="B3072" s="450"/>
      <c r="C3072" s="450" t="s">
        <v>5649</v>
      </c>
      <c r="D3072" s="450"/>
      <c r="E3072" s="450"/>
      <c r="F3072" s="450"/>
      <c r="G3072" s="450" t="s">
        <v>22882</v>
      </c>
      <c r="H3072" s="450" t="s">
        <v>22883</v>
      </c>
      <c r="I3072" s="450" t="s">
        <v>34274</v>
      </c>
      <c r="J3072" s="450" t="s">
        <v>23121</v>
      </c>
      <c r="K3072" s="450"/>
    </row>
    <row r="3073" spans="1:11">
      <c r="A3073" s="451" t="s">
        <v>34275</v>
      </c>
      <c r="B3073" s="451"/>
      <c r="C3073" s="451" t="s">
        <v>34276</v>
      </c>
      <c r="D3073" s="451"/>
      <c r="E3073" s="451"/>
      <c r="F3073" s="451"/>
      <c r="G3073" s="451" t="s">
        <v>22877</v>
      </c>
      <c r="H3073" s="451" t="s">
        <v>22878</v>
      </c>
      <c r="I3073" s="451" t="s">
        <v>34277</v>
      </c>
      <c r="J3073" s="451" t="s">
        <v>22942</v>
      </c>
      <c r="K3073" s="451"/>
    </row>
    <row r="3074" spans="1:11">
      <c r="A3074" s="450" t="s">
        <v>5650</v>
      </c>
      <c r="B3074" s="450"/>
      <c r="C3074" s="450" t="s">
        <v>5651</v>
      </c>
      <c r="D3074" s="450"/>
      <c r="E3074" s="450"/>
      <c r="F3074" s="450"/>
      <c r="G3074" s="450" t="s">
        <v>22882</v>
      </c>
      <c r="H3074" s="450" t="s">
        <v>22883</v>
      </c>
      <c r="I3074" s="450"/>
      <c r="J3074" s="450" t="s">
        <v>22942</v>
      </c>
      <c r="K3074" s="450"/>
    </row>
    <row r="3075" spans="1:11">
      <c r="A3075" s="451" t="s">
        <v>5652</v>
      </c>
      <c r="B3075" s="451"/>
      <c r="C3075" s="451" t="s">
        <v>5653</v>
      </c>
      <c r="D3075" s="451"/>
      <c r="E3075" s="451"/>
      <c r="F3075" s="451"/>
      <c r="G3075" s="451" t="s">
        <v>22877</v>
      </c>
      <c r="H3075" s="451" t="s">
        <v>22878</v>
      </c>
      <c r="I3075" s="451" t="s">
        <v>24363</v>
      </c>
      <c r="J3075" s="451" t="s">
        <v>23185</v>
      </c>
      <c r="K3075" s="451"/>
    </row>
    <row r="3076" spans="1:11">
      <c r="A3076" s="450" t="s">
        <v>5654</v>
      </c>
      <c r="B3076" s="450"/>
      <c r="C3076" s="450" t="s">
        <v>5655</v>
      </c>
      <c r="D3076" s="450"/>
      <c r="E3076" s="450"/>
      <c r="F3076" s="450"/>
      <c r="G3076" s="450" t="s">
        <v>22882</v>
      </c>
      <c r="H3076" s="450" t="s">
        <v>22883</v>
      </c>
      <c r="I3076" s="450"/>
      <c r="J3076" s="450" t="s">
        <v>23179</v>
      </c>
      <c r="K3076" s="450"/>
    </row>
    <row r="3077" spans="1:11">
      <c r="A3077" s="451" t="s">
        <v>24364</v>
      </c>
      <c r="B3077" s="451" t="s">
        <v>24365</v>
      </c>
      <c r="C3077" s="451" t="s">
        <v>24366</v>
      </c>
      <c r="D3077" s="451"/>
      <c r="E3077" s="451"/>
      <c r="F3077" s="451"/>
      <c r="G3077" s="451" t="s">
        <v>22877</v>
      </c>
      <c r="H3077" s="451" t="s">
        <v>22878</v>
      </c>
      <c r="I3077" s="451"/>
      <c r="J3077" s="451" t="s">
        <v>24367</v>
      </c>
      <c r="K3077" s="451"/>
    </row>
    <row r="3078" spans="1:11">
      <c r="A3078" s="450" t="s">
        <v>24368</v>
      </c>
      <c r="B3078" s="450" t="s">
        <v>24369</v>
      </c>
      <c r="C3078" s="450" t="s">
        <v>16302</v>
      </c>
      <c r="D3078" s="450" t="s">
        <v>24370</v>
      </c>
      <c r="E3078" s="450"/>
      <c r="F3078" s="450" t="s">
        <v>24371</v>
      </c>
      <c r="G3078" s="450" t="s">
        <v>22877</v>
      </c>
      <c r="H3078" s="450" t="s">
        <v>22878</v>
      </c>
      <c r="I3078" s="450" t="s">
        <v>24370</v>
      </c>
      <c r="J3078" s="450" t="s">
        <v>24372</v>
      </c>
      <c r="K3078" s="450"/>
    </row>
    <row r="3079" spans="1:11">
      <c r="A3079" s="451" t="s">
        <v>5656</v>
      </c>
      <c r="B3079" s="451"/>
      <c r="C3079" s="451" t="s">
        <v>5657</v>
      </c>
      <c r="D3079" s="451"/>
      <c r="E3079" s="451"/>
      <c r="F3079" s="451"/>
      <c r="G3079" s="451" t="s">
        <v>22882</v>
      </c>
      <c r="H3079" s="451" t="s">
        <v>22883</v>
      </c>
      <c r="I3079" s="451" t="s">
        <v>34278</v>
      </c>
      <c r="J3079" s="451" t="s">
        <v>23185</v>
      </c>
      <c r="K3079" s="451"/>
    </row>
    <row r="3080" spans="1:11">
      <c r="A3080" s="450" t="s">
        <v>34279</v>
      </c>
      <c r="B3080" s="450"/>
      <c r="C3080" s="450" t="s">
        <v>34280</v>
      </c>
      <c r="D3080" s="450"/>
      <c r="E3080" s="450"/>
      <c r="F3080" s="450"/>
      <c r="G3080" s="450" t="s">
        <v>22882</v>
      </c>
      <c r="H3080" s="450" t="s">
        <v>22883</v>
      </c>
      <c r="I3080" s="450" t="s">
        <v>34281</v>
      </c>
      <c r="J3080" s="450" t="s">
        <v>22997</v>
      </c>
      <c r="K3080" s="450"/>
    </row>
    <row r="3081" spans="1:11">
      <c r="A3081" s="451" t="s">
        <v>21596</v>
      </c>
      <c r="B3081" s="451"/>
      <c r="C3081" s="451" t="s">
        <v>5658</v>
      </c>
      <c r="D3081" s="451"/>
      <c r="E3081" s="451"/>
      <c r="F3081" s="451"/>
      <c r="G3081" s="451" t="s">
        <v>22882</v>
      </c>
      <c r="H3081" s="451" t="s">
        <v>22883</v>
      </c>
      <c r="I3081" s="451" t="s">
        <v>34281</v>
      </c>
      <c r="J3081" s="451" t="s">
        <v>23121</v>
      </c>
      <c r="K3081" s="451"/>
    </row>
    <row r="3082" spans="1:11">
      <c r="A3082" s="450" t="s">
        <v>21597</v>
      </c>
      <c r="B3082" s="450"/>
      <c r="C3082" s="450" t="s">
        <v>5659</v>
      </c>
      <c r="D3082" s="450"/>
      <c r="E3082" s="450"/>
      <c r="F3082" s="450"/>
      <c r="G3082" s="450" t="s">
        <v>22882</v>
      </c>
      <c r="H3082" s="450" t="s">
        <v>22883</v>
      </c>
      <c r="I3082" s="450" t="s">
        <v>34282</v>
      </c>
      <c r="J3082" s="450" t="s">
        <v>22997</v>
      </c>
      <c r="K3082" s="450"/>
    </row>
    <row r="3083" spans="1:11">
      <c r="A3083" s="451" t="s">
        <v>5660</v>
      </c>
      <c r="B3083" s="451"/>
      <c r="C3083" s="451" t="s">
        <v>5661</v>
      </c>
      <c r="D3083" s="451"/>
      <c r="E3083" s="451"/>
      <c r="F3083" s="451"/>
      <c r="G3083" s="451" t="s">
        <v>22882</v>
      </c>
      <c r="H3083" s="451" t="s">
        <v>22883</v>
      </c>
      <c r="I3083" s="451" t="s">
        <v>34283</v>
      </c>
      <c r="J3083" s="451" t="s">
        <v>22997</v>
      </c>
      <c r="K3083" s="451"/>
    </row>
    <row r="3084" spans="1:11">
      <c r="A3084" s="450" t="s">
        <v>5662</v>
      </c>
      <c r="B3084" s="450"/>
      <c r="C3084" s="450" t="s">
        <v>5663</v>
      </c>
      <c r="D3084" s="450"/>
      <c r="E3084" s="450"/>
      <c r="F3084" s="450"/>
      <c r="G3084" s="450" t="s">
        <v>22877</v>
      </c>
      <c r="H3084" s="450" t="s">
        <v>22878</v>
      </c>
      <c r="I3084" s="450"/>
      <c r="J3084" s="450" t="s">
        <v>22997</v>
      </c>
      <c r="K3084" s="450"/>
    </row>
    <row r="3085" spans="1:11">
      <c r="A3085" s="451" t="s">
        <v>5664</v>
      </c>
      <c r="B3085" s="451"/>
      <c r="C3085" s="451" t="s">
        <v>5665</v>
      </c>
      <c r="D3085" s="451"/>
      <c r="E3085" s="451"/>
      <c r="F3085" s="451"/>
      <c r="G3085" s="451" t="s">
        <v>22877</v>
      </c>
      <c r="H3085" s="451" t="s">
        <v>22878</v>
      </c>
      <c r="I3085" s="451" t="s">
        <v>24373</v>
      </c>
      <c r="J3085" s="451" t="s">
        <v>22942</v>
      </c>
      <c r="K3085" s="451"/>
    </row>
    <row r="3086" spans="1:11">
      <c r="A3086" s="450" t="s">
        <v>5666</v>
      </c>
      <c r="B3086" s="450"/>
      <c r="C3086" s="450" t="s">
        <v>5037</v>
      </c>
      <c r="D3086" s="450"/>
      <c r="E3086" s="450"/>
      <c r="F3086" s="450"/>
      <c r="G3086" s="450" t="s">
        <v>22877</v>
      </c>
      <c r="H3086" s="450" t="s">
        <v>22878</v>
      </c>
      <c r="I3086" s="450"/>
      <c r="J3086" s="450" t="s">
        <v>23370</v>
      </c>
      <c r="K3086" s="450"/>
    </row>
    <row r="3087" spans="1:11">
      <c r="A3087" s="451" t="s">
        <v>34284</v>
      </c>
      <c r="B3087" s="451" t="s">
        <v>5442</v>
      </c>
      <c r="C3087" s="451" t="s">
        <v>5443</v>
      </c>
      <c r="D3087" s="451" t="s">
        <v>5668</v>
      </c>
      <c r="E3087" s="451"/>
      <c r="F3087" s="451"/>
      <c r="G3087" s="451" t="s">
        <v>22877</v>
      </c>
      <c r="H3087" s="451" t="s">
        <v>22878</v>
      </c>
      <c r="I3087" s="451"/>
      <c r="J3087" s="451" t="s">
        <v>34285</v>
      </c>
      <c r="K3087" s="451"/>
    </row>
    <row r="3088" spans="1:11">
      <c r="A3088" s="450" t="s">
        <v>5667</v>
      </c>
      <c r="B3088" s="450" t="s">
        <v>5442</v>
      </c>
      <c r="C3088" s="450" t="s">
        <v>5443</v>
      </c>
      <c r="D3088" s="450" t="s">
        <v>5668</v>
      </c>
      <c r="E3088" s="450" t="s">
        <v>5669</v>
      </c>
      <c r="F3088" s="450"/>
      <c r="G3088" s="450" t="s">
        <v>22877</v>
      </c>
      <c r="H3088" s="450" t="s">
        <v>22878</v>
      </c>
      <c r="I3088" s="450" t="s">
        <v>5668</v>
      </c>
      <c r="J3088" s="450" t="s">
        <v>30936</v>
      </c>
      <c r="K3088" s="450"/>
    </row>
    <row r="3089" spans="1:11">
      <c r="A3089" s="451" t="s">
        <v>5670</v>
      </c>
      <c r="B3089" s="451" t="s">
        <v>5671</v>
      </c>
      <c r="C3089" s="451" t="s">
        <v>2566</v>
      </c>
      <c r="D3089" s="451" t="s">
        <v>5672</v>
      </c>
      <c r="E3089" s="451"/>
      <c r="F3089" s="451"/>
      <c r="G3089" s="451" t="s">
        <v>22877</v>
      </c>
      <c r="H3089" s="451" t="s">
        <v>22878</v>
      </c>
      <c r="I3089" s="451" t="s">
        <v>5672</v>
      </c>
      <c r="J3089" s="451" t="s">
        <v>24374</v>
      </c>
      <c r="K3089" s="451"/>
    </row>
    <row r="3090" spans="1:11">
      <c r="A3090" s="450" t="s">
        <v>5670</v>
      </c>
      <c r="B3090" s="450" t="s">
        <v>5671</v>
      </c>
      <c r="C3090" s="450" t="s">
        <v>2566</v>
      </c>
      <c r="D3090" s="450" t="s">
        <v>5672</v>
      </c>
      <c r="E3090" s="450" t="s">
        <v>5673</v>
      </c>
      <c r="F3090" s="450"/>
      <c r="G3090" s="450" t="s">
        <v>22877</v>
      </c>
      <c r="H3090" s="450" t="s">
        <v>22878</v>
      </c>
      <c r="I3090" s="450" t="s">
        <v>5672</v>
      </c>
      <c r="J3090" s="450" t="s">
        <v>24374</v>
      </c>
      <c r="K3090" s="450"/>
    </row>
    <row r="3091" spans="1:11">
      <c r="A3091" s="451" t="s">
        <v>34286</v>
      </c>
      <c r="B3091" s="451"/>
      <c r="C3091" s="451" t="s">
        <v>5675</v>
      </c>
      <c r="D3091" s="451"/>
      <c r="E3091" s="451"/>
      <c r="F3091" s="451"/>
      <c r="G3091" s="451" t="s">
        <v>22882</v>
      </c>
      <c r="H3091" s="451" t="s">
        <v>22883</v>
      </c>
      <c r="I3091" s="451" t="s">
        <v>34287</v>
      </c>
      <c r="J3091" s="451" t="s">
        <v>22942</v>
      </c>
      <c r="K3091" s="451"/>
    </row>
    <row r="3092" spans="1:11">
      <c r="A3092" s="450" t="s">
        <v>5674</v>
      </c>
      <c r="B3092" s="450"/>
      <c r="C3092" s="450" t="s">
        <v>5675</v>
      </c>
      <c r="D3092" s="450"/>
      <c r="E3092" s="450"/>
      <c r="F3092" s="450"/>
      <c r="G3092" s="450" t="s">
        <v>22882</v>
      </c>
      <c r="H3092" s="450" t="s">
        <v>22883</v>
      </c>
      <c r="I3092" s="450" t="s">
        <v>34287</v>
      </c>
      <c r="J3092" s="450" t="s">
        <v>22943</v>
      </c>
      <c r="K3092" s="450"/>
    </row>
    <row r="3093" spans="1:11">
      <c r="A3093" s="451" t="s">
        <v>34288</v>
      </c>
      <c r="B3093" s="451"/>
      <c r="C3093" s="451" t="s">
        <v>1626</v>
      </c>
      <c r="D3093" s="451"/>
      <c r="E3093" s="451"/>
      <c r="F3093" s="451"/>
      <c r="G3093" s="451" t="s">
        <v>22882</v>
      </c>
      <c r="H3093" s="451" t="s">
        <v>22883</v>
      </c>
      <c r="I3093" s="451"/>
      <c r="J3093" s="451" t="s">
        <v>22942</v>
      </c>
      <c r="K3093" s="451"/>
    </row>
    <row r="3094" spans="1:11">
      <c r="A3094" s="450" t="s">
        <v>5676</v>
      </c>
      <c r="B3094" s="450"/>
      <c r="C3094" s="450" t="s">
        <v>1626</v>
      </c>
      <c r="D3094" s="450"/>
      <c r="E3094" s="450"/>
      <c r="F3094" s="450"/>
      <c r="G3094" s="450" t="s">
        <v>22882</v>
      </c>
      <c r="H3094" s="450" t="s">
        <v>22883</v>
      </c>
      <c r="I3094" s="450" t="s">
        <v>30937</v>
      </c>
      <c r="J3094" s="450" t="s">
        <v>22943</v>
      </c>
      <c r="K3094" s="450"/>
    </row>
    <row r="3095" spans="1:11">
      <c r="A3095" s="451" t="s">
        <v>5677</v>
      </c>
      <c r="B3095" s="451" t="s">
        <v>5678</v>
      </c>
      <c r="C3095" s="451" t="s">
        <v>5679</v>
      </c>
      <c r="D3095" s="451" t="s">
        <v>5680</v>
      </c>
      <c r="E3095" s="451"/>
      <c r="F3095" s="451"/>
      <c r="G3095" s="451" t="s">
        <v>22882</v>
      </c>
      <c r="H3095" s="451" t="s">
        <v>22883</v>
      </c>
      <c r="I3095" s="451" t="s">
        <v>34289</v>
      </c>
      <c r="J3095" s="451" t="s">
        <v>34290</v>
      </c>
      <c r="K3095" s="451"/>
    </row>
    <row r="3096" spans="1:11">
      <c r="A3096" s="450" t="s">
        <v>5677</v>
      </c>
      <c r="B3096" s="450" t="s">
        <v>5678</v>
      </c>
      <c r="C3096" s="450" t="s">
        <v>5679</v>
      </c>
      <c r="D3096" s="450" t="s">
        <v>5680</v>
      </c>
      <c r="E3096" s="450" t="s">
        <v>5681</v>
      </c>
      <c r="F3096" s="450"/>
      <c r="G3096" s="450" t="s">
        <v>22882</v>
      </c>
      <c r="H3096" s="450" t="s">
        <v>22883</v>
      </c>
      <c r="I3096" s="450" t="s">
        <v>5680</v>
      </c>
      <c r="J3096" s="450" t="s">
        <v>30938</v>
      </c>
      <c r="K3096" s="450"/>
    </row>
    <row r="3097" spans="1:11">
      <c r="A3097" s="451" t="s">
        <v>24375</v>
      </c>
      <c r="B3097" s="451" t="s">
        <v>24376</v>
      </c>
      <c r="C3097" s="451" t="s">
        <v>24377</v>
      </c>
      <c r="D3097" s="451"/>
      <c r="E3097" s="451"/>
      <c r="F3097" s="451"/>
      <c r="G3097" s="451" t="s">
        <v>22877</v>
      </c>
      <c r="H3097" s="451" t="s">
        <v>22878</v>
      </c>
      <c r="I3097" s="451"/>
      <c r="J3097" s="451" t="s">
        <v>24378</v>
      </c>
      <c r="K3097" s="451"/>
    </row>
    <row r="3098" spans="1:11">
      <c r="A3098" s="450" t="s">
        <v>5682</v>
      </c>
      <c r="B3098" s="450"/>
      <c r="C3098" s="450" t="s">
        <v>5683</v>
      </c>
      <c r="D3098" s="450"/>
      <c r="E3098" s="450"/>
      <c r="F3098" s="450"/>
      <c r="G3098" s="450" t="s">
        <v>22882</v>
      </c>
      <c r="H3098" s="450" t="s">
        <v>22883</v>
      </c>
      <c r="I3098" s="450" t="s">
        <v>34291</v>
      </c>
      <c r="J3098" s="450" t="s">
        <v>22939</v>
      </c>
      <c r="K3098" s="450"/>
    </row>
    <row r="3099" spans="1:11">
      <c r="A3099" s="451" t="s">
        <v>5684</v>
      </c>
      <c r="B3099" s="451"/>
      <c r="C3099" s="451" t="s">
        <v>5685</v>
      </c>
      <c r="D3099" s="451"/>
      <c r="E3099" s="451"/>
      <c r="F3099" s="451"/>
      <c r="G3099" s="451" t="s">
        <v>22877</v>
      </c>
      <c r="H3099" s="451" t="s">
        <v>22878</v>
      </c>
      <c r="I3099" s="451" t="s">
        <v>34292</v>
      </c>
      <c r="J3099" s="451" t="s">
        <v>22942</v>
      </c>
      <c r="K3099" s="451"/>
    </row>
    <row r="3100" spans="1:11">
      <c r="A3100" s="450" t="s">
        <v>5686</v>
      </c>
      <c r="B3100" s="450"/>
      <c r="C3100" s="450" t="s">
        <v>2702</v>
      </c>
      <c r="D3100" s="450"/>
      <c r="E3100" s="450"/>
      <c r="F3100" s="450"/>
      <c r="G3100" s="450" t="s">
        <v>22882</v>
      </c>
      <c r="H3100" s="450" t="s">
        <v>22883</v>
      </c>
      <c r="I3100" s="450"/>
      <c r="J3100" s="450" t="s">
        <v>22997</v>
      </c>
      <c r="K3100" s="450"/>
    </row>
    <row r="3101" spans="1:11">
      <c r="A3101" s="451" t="s">
        <v>24379</v>
      </c>
      <c r="B3101" s="451" t="s">
        <v>24195</v>
      </c>
      <c r="C3101" s="451" t="s">
        <v>24196</v>
      </c>
      <c r="D3101" s="451"/>
      <c r="E3101" s="451"/>
      <c r="F3101" s="451"/>
      <c r="G3101" s="451" t="s">
        <v>22877</v>
      </c>
      <c r="H3101" s="451" t="s">
        <v>22878</v>
      </c>
      <c r="I3101" s="451" t="s">
        <v>24197</v>
      </c>
      <c r="J3101" s="451" t="s">
        <v>24380</v>
      </c>
      <c r="K3101" s="451"/>
    </row>
    <row r="3102" spans="1:11">
      <c r="A3102" s="450" t="s">
        <v>5687</v>
      </c>
      <c r="B3102" s="450" t="s">
        <v>5688</v>
      </c>
      <c r="C3102" s="450" t="s">
        <v>5689</v>
      </c>
      <c r="D3102" s="450"/>
      <c r="E3102" s="450"/>
      <c r="F3102" s="450"/>
      <c r="G3102" s="450" t="s">
        <v>22882</v>
      </c>
      <c r="H3102" s="450" t="s">
        <v>22883</v>
      </c>
      <c r="I3102" s="450" t="s">
        <v>24381</v>
      </c>
      <c r="J3102" s="450" t="s">
        <v>24382</v>
      </c>
      <c r="K3102" s="450"/>
    </row>
    <row r="3103" spans="1:11">
      <c r="A3103" s="451" t="s">
        <v>24383</v>
      </c>
      <c r="B3103" s="451" t="s">
        <v>24384</v>
      </c>
      <c r="C3103" s="451" t="s">
        <v>4634</v>
      </c>
      <c r="D3103" s="451"/>
      <c r="E3103" s="451"/>
      <c r="F3103" s="451"/>
      <c r="G3103" s="451" t="s">
        <v>22877</v>
      </c>
      <c r="H3103" s="451" t="s">
        <v>22878</v>
      </c>
      <c r="I3103" s="451" t="s">
        <v>24385</v>
      </c>
      <c r="J3103" s="451" t="s">
        <v>24386</v>
      </c>
      <c r="K3103" s="451"/>
    </row>
    <row r="3104" spans="1:11">
      <c r="A3104" s="450" t="s">
        <v>5690</v>
      </c>
      <c r="B3104" s="450" t="s">
        <v>5691</v>
      </c>
      <c r="C3104" s="450" t="s">
        <v>4634</v>
      </c>
      <c r="D3104" s="450"/>
      <c r="E3104" s="450"/>
      <c r="F3104" s="450"/>
      <c r="G3104" s="450" t="s">
        <v>22877</v>
      </c>
      <c r="H3104" s="450" t="s">
        <v>22878</v>
      </c>
      <c r="I3104" s="450" t="s">
        <v>30939</v>
      </c>
      <c r="J3104" s="450" t="s">
        <v>30940</v>
      </c>
      <c r="K3104" s="450"/>
    </row>
    <row r="3105" spans="1:11">
      <c r="A3105" s="451" t="s">
        <v>5692</v>
      </c>
      <c r="B3105" s="451"/>
      <c r="C3105" s="451" t="s">
        <v>5693</v>
      </c>
      <c r="D3105" s="451"/>
      <c r="E3105" s="451"/>
      <c r="F3105" s="451"/>
      <c r="G3105" s="451" t="s">
        <v>22877</v>
      </c>
      <c r="H3105" s="451" t="s">
        <v>22878</v>
      </c>
      <c r="I3105" s="451" t="s">
        <v>34293</v>
      </c>
      <c r="J3105" s="451" t="s">
        <v>22939</v>
      </c>
      <c r="K3105" s="451"/>
    </row>
    <row r="3106" spans="1:11">
      <c r="A3106" s="450" t="s">
        <v>34294</v>
      </c>
      <c r="B3106" s="450"/>
      <c r="C3106" s="450" t="s">
        <v>34295</v>
      </c>
      <c r="D3106" s="450"/>
      <c r="E3106" s="450"/>
      <c r="F3106" s="450"/>
      <c r="G3106" s="450" t="s">
        <v>22877</v>
      </c>
      <c r="H3106" s="450" t="s">
        <v>22878</v>
      </c>
      <c r="I3106" s="450" t="s">
        <v>34293</v>
      </c>
      <c r="J3106" s="450" t="s">
        <v>23185</v>
      </c>
      <c r="K3106" s="450"/>
    </row>
    <row r="3107" spans="1:11">
      <c r="A3107" s="451" t="s">
        <v>5694</v>
      </c>
      <c r="B3107" s="451"/>
      <c r="C3107" s="451" t="s">
        <v>5695</v>
      </c>
      <c r="D3107" s="451"/>
      <c r="E3107" s="451"/>
      <c r="F3107" s="451"/>
      <c r="G3107" s="451" t="s">
        <v>22882</v>
      </c>
      <c r="H3107" s="451" t="s">
        <v>22883</v>
      </c>
      <c r="I3107" s="451"/>
      <c r="J3107" s="451" t="s">
        <v>23185</v>
      </c>
      <c r="K3107" s="451"/>
    </row>
    <row r="3108" spans="1:11">
      <c r="A3108" s="450" t="s">
        <v>5696</v>
      </c>
      <c r="B3108" s="450" t="s">
        <v>5697</v>
      </c>
      <c r="C3108" s="450" t="s">
        <v>5698</v>
      </c>
      <c r="D3108" s="450"/>
      <c r="E3108" s="450"/>
      <c r="F3108" s="450"/>
      <c r="G3108" s="450" t="s">
        <v>22877</v>
      </c>
      <c r="H3108" s="450" t="s">
        <v>22878</v>
      </c>
      <c r="I3108" s="450" t="s">
        <v>24387</v>
      </c>
      <c r="J3108" s="450" t="s">
        <v>24388</v>
      </c>
      <c r="K3108" s="450"/>
    </row>
    <row r="3109" spans="1:11">
      <c r="A3109" s="451" t="s">
        <v>5699</v>
      </c>
      <c r="B3109" s="451" t="s">
        <v>5700</v>
      </c>
      <c r="C3109" s="451" t="s">
        <v>5701</v>
      </c>
      <c r="D3109" s="451" t="s">
        <v>5702</v>
      </c>
      <c r="E3109" s="451"/>
      <c r="F3109" s="451"/>
      <c r="G3109" s="451" t="s">
        <v>22882</v>
      </c>
      <c r="H3109" s="451" t="s">
        <v>22883</v>
      </c>
      <c r="I3109" s="451" t="s">
        <v>24389</v>
      </c>
      <c r="J3109" s="451" t="s">
        <v>24390</v>
      </c>
      <c r="K3109" s="451"/>
    </row>
    <row r="3110" spans="1:11">
      <c r="A3110" s="450" t="s">
        <v>5703</v>
      </c>
      <c r="B3110" s="450"/>
      <c r="C3110" s="450" t="s">
        <v>5364</v>
      </c>
      <c r="D3110" s="450"/>
      <c r="E3110" s="450"/>
      <c r="F3110" s="450"/>
      <c r="G3110" s="450" t="s">
        <v>22877</v>
      </c>
      <c r="H3110" s="450" t="s">
        <v>22878</v>
      </c>
      <c r="I3110" s="450" t="s">
        <v>34296</v>
      </c>
      <c r="J3110" s="450" t="s">
        <v>23185</v>
      </c>
      <c r="K3110" s="450"/>
    </row>
    <row r="3111" spans="1:11">
      <c r="A3111" s="451" t="s">
        <v>5704</v>
      </c>
      <c r="B3111" s="451"/>
      <c r="C3111" s="451" t="s">
        <v>5705</v>
      </c>
      <c r="D3111" s="451"/>
      <c r="E3111" s="451"/>
      <c r="F3111" s="451"/>
      <c r="G3111" s="451" t="s">
        <v>22877</v>
      </c>
      <c r="H3111" s="451" t="s">
        <v>22878</v>
      </c>
      <c r="I3111" s="451"/>
      <c r="J3111" s="451" t="s">
        <v>23185</v>
      </c>
      <c r="K3111" s="451"/>
    </row>
    <row r="3112" spans="1:11">
      <c r="A3112" s="450" t="s">
        <v>5706</v>
      </c>
      <c r="B3112" s="450"/>
      <c r="C3112" s="450" t="s">
        <v>5707</v>
      </c>
      <c r="D3112" s="450"/>
      <c r="E3112" s="450"/>
      <c r="F3112" s="450"/>
      <c r="G3112" s="450" t="s">
        <v>22877</v>
      </c>
      <c r="H3112" s="450" t="s">
        <v>22878</v>
      </c>
      <c r="I3112" s="450" t="s">
        <v>34297</v>
      </c>
      <c r="J3112" s="450" t="s">
        <v>22942</v>
      </c>
      <c r="K3112" s="450"/>
    </row>
    <row r="3113" spans="1:11">
      <c r="A3113" s="451" t="s">
        <v>5708</v>
      </c>
      <c r="B3113" s="451"/>
      <c r="C3113" s="451" t="s">
        <v>5709</v>
      </c>
      <c r="D3113" s="451"/>
      <c r="E3113" s="451"/>
      <c r="F3113" s="451"/>
      <c r="G3113" s="451" t="s">
        <v>22877</v>
      </c>
      <c r="H3113" s="451" t="s">
        <v>22878</v>
      </c>
      <c r="I3113" s="451" t="s">
        <v>24391</v>
      </c>
      <c r="J3113" s="451" t="s">
        <v>22942</v>
      </c>
      <c r="K3113" s="451"/>
    </row>
    <row r="3114" spans="1:11">
      <c r="A3114" s="450" t="s">
        <v>5710</v>
      </c>
      <c r="B3114" s="450" t="s">
        <v>5711</v>
      </c>
      <c r="C3114" s="450" t="s">
        <v>5712</v>
      </c>
      <c r="D3114" s="450" t="s">
        <v>5713</v>
      </c>
      <c r="E3114" s="450"/>
      <c r="F3114" s="450"/>
      <c r="G3114" s="450" t="s">
        <v>22882</v>
      </c>
      <c r="H3114" s="450" t="s">
        <v>22883</v>
      </c>
      <c r="I3114" s="450" t="s">
        <v>5713</v>
      </c>
      <c r="J3114" s="450" t="s">
        <v>34298</v>
      </c>
      <c r="K3114" s="450"/>
    </row>
    <row r="3115" spans="1:11">
      <c r="A3115" s="451" t="s">
        <v>5710</v>
      </c>
      <c r="B3115" s="451" t="s">
        <v>5711</v>
      </c>
      <c r="C3115" s="451" t="s">
        <v>5712</v>
      </c>
      <c r="D3115" s="451" t="s">
        <v>5713</v>
      </c>
      <c r="E3115" s="451" t="s">
        <v>5714</v>
      </c>
      <c r="F3115" s="451"/>
      <c r="G3115" s="451" t="s">
        <v>22882</v>
      </c>
      <c r="H3115" s="451" t="s">
        <v>22883</v>
      </c>
      <c r="I3115" s="451" t="s">
        <v>5713</v>
      </c>
      <c r="J3115" s="451" t="s">
        <v>30941</v>
      </c>
      <c r="K3115" s="451"/>
    </row>
    <row r="3116" spans="1:11">
      <c r="A3116" s="450" t="s">
        <v>5715</v>
      </c>
      <c r="B3116" s="450" t="s">
        <v>34299</v>
      </c>
      <c r="C3116" s="450" t="s">
        <v>2098</v>
      </c>
      <c r="D3116" s="450"/>
      <c r="E3116" s="450"/>
      <c r="F3116" s="450"/>
      <c r="G3116" s="450" t="s">
        <v>22877</v>
      </c>
      <c r="H3116" s="450" t="s">
        <v>22878</v>
      </c>
      <c r="I3116" s="450" t="s">
        <v>24392</v>
      </c>
      <c r="J3116" s="450" t="s">
        <v>34300</v>
      </c>
      <c r="K3116" s="450"/>
    </row>
    <row r="3117" spans="1:11">
      <c r="A3117" s="451" t="s">
        <v>5715</v>
      </c>
      <c r="B3117" s="451" t="s">
        <v>5716</v>
      </c>
      <c r="C3117" s="451" t="s">
        <v>2098</v>
      </c>
      <c r="D3117" s="451"/>
      <c r="E3117" s="451"/>
      <c r="F3117" s="451"/>
      <c r="G3117" s="451" t="s">
        <v>22877</v>
      </c>
      <c r="H3117" s="451" t="s">
        <v>22878</v>
      </c>
      <c r="I3117" s="451" t="s">
        <v>24392</v>
      </c>
      <c r="J3117" s="451" t="s">
        <v>30942</v>
      </c>
      <c r="K3117" s="451"/>
    </row>
    <row r="3118" spans="1:11">
      <c r="A3118" s="450" t="s">
        <v>5717</v>
      </c>
      <c r="B3118" s="450"/>
      <c r="C3118" s="450" t="s">
        <v>5718</v>
      </c>
      <c r="D3118" s="450"/>
      <c r="E3118" s="450"/>
      <c r="F3118" s="450"/>
      <c r="G3118" s="450" t="s">
        <v>22877</v>
      </c>
      <c r="H3118" s="450" t="s">
        <v>22878</v>
      </c>
      <c r="I3118" s="450"/>
      <c r="J3118" s="450" t="s">
        <v>23185</v>
      </c>
      <c r="K3118" s="450"/>
    </row>
    <row r="3119" spans="1:11">
      <c r="A3119" s="451" t="s">
        <v>5719</v>
      </c>
      <c r="B3119" s="451"/>
      <c r="C3119" s="451" t="s">
        <v>2377</v>
      </c>
      <c r="D3119" s="451"/>
      <c r="E3119" s="451"/>
      <c r="F3119" s="451"/>
      <c r="G3119" s="451" t="s">
        <v>22877</v>
      </c>
      <c r="H3119" s="451" t="s">
        <v>22878</v>
      </c>
      <c r="I3119" s="451" t="s">
        <v>34301</v>
      </c>
      <c r="J3119" s="451" t="s">
        <v>22997</v>
      </c>
      <c r="K3119" s="451"/>
    </row>
    <row r="3120" spans="1:11">
      <c r="A3120" s="450" t="s">
        <v>5720</v>
      </c>
      <c r="B3120" s="450"/>
      <c r="C3120" s="450" t="s">
        <v>5721</v>
      </c>
      <c r="D3120" s="450"/>
      <c r="E3120" s="450"/>
      <c r="F3120" s="450"/>
      <c r="G3120" s="450" t="s">
        <v>22882</v>
      </c>
      <c r="H3120" s="450" t="s">
        <v>22883</v>
      </c>
      <c r="I3120" s="450" t="s">
        <v>34302</v>
      </c>
      <c r="J3120" s="450" t="s">
        <v>22997</v>
      </c>
      <c r="K3120" s="450"/>
    </row>
    <row r="3121" spans="1:11">
      <c r="A3121" s="451" t="s">
        <v>34303</v>
      </c>
      <c r="B3121" s="451"/>
      <c r="C3121" s="451" t="s">
        <v>5721</v>
      </c>
      <c r="D3121" s="451"/>
      <c r="E3121" s="451"/>
      <c r="F3121" s="451"/>
      <c r="G3121" s="451" t="s">
        <v>22877</v>
      </c>
      <c r="H3121" s="451" t="s">
        <v>22878</v>
      </c>
      <c r="I3121" s="451"/>
      <c r="J3121" s="451" t="s">
        <v>22997</v>
      </c>
      <c r="K3121" s="451"/>
    </row>
    <row r="3122" spans="1:11">
      <c r="A3122" s="450" t="s">
        <v>5722</v>
      </c>
      <c r="B3122" s="450"/>
      <c r="C3122" s="450" t="s">
        <v>5723</v>
      </c>
      <c r="D3122" s="450"/>
      <c r="E3122" s="450"/>
      <c r="F3122" s="450"/>
      <c r="G3122" s="450" t="s">
        <v>22877</v>
      </c>
      <c r="H3122" s="450" t="s">
        <v>22878</v>
      </c>
      <c r="I3122" s="450"/>
      <c r="J3122" s="450" t="s">
        <v>23185</v>
      </c>
      <c r="K3122" s="450"/>
    </row>
    <row r="3123" spans="1:11">
      <c r="A3123" s="451" t="s">
        <v>34304</v>
      </c>
      <c r="B3123" s="451" t="s">
        <v>5724</v>
      </c>
      <c r="C3123" s="451" t="s">
        <v>5725</v>
      </c>
      <c r="D3123" s="451" t="s">
        <v>5726</v>
      </c>
      <c r="E3123" s="451"/>
      <c r="F3123" s="451"/>
      <c r="G3123" s="451" t="s">
        <v>22877</v>
      </c>
      <c r="H3123" s="451" t="s">
        <v>22878</v>
      </c>
      <c r="I3123" s="451" t="s">
        <v>24393</v>
      </c>
      <c r="J3123" s="451" t="s">
        <v>34305</v>
      </c>
      <c r="K3123" s="451"/>
    </row>
    <row r="3124" spans="1:11">
      <c r="A3124" s="450" t="s">
        <v>21598</v>
      </c>
      <c r="B3124" s="450" t="s">
        <v>5724</v>
      </c>
      <c r="C3124" s="450" t="s">
        <v>5725</v>
      </c>
      <c r="D3124" s="450" t="s">
        <v>5726</v>
      </c>
      <c r="E3124" s="450" t="s">
        <v>5727</v>
      </c>
      <c r="F3124" s="450"/>
      <c r="G3124" s="450" t="s">
        <v>22877</v>
      </c>
      <c r="H3124" s="450" t="s">
        <v>22878</v>
      </c>
      <c r="I3124" s="450" t="s">
        <v>24393</v>
      </c>
      <c r="J3124" s="450" t="s">
        <v>30943</v>
      </c>
      <c r="K3124" s="450"/>
    </row>
    <row r="3125" spans="1:11">
      <c r="A3125" s="451" t="s">
        <v>5728</v>
      </c>
      <c r="B3125" s="451"/>
      <c r="C3125" s="451" t="s">
        <v>5729</v>
      </c>
      <c r="D3125" s="451"/>
      <c r="E3125" s="451"/>
      <c r="F3125" s="451"/>
      <c r="G3125" s="451" t="s">
        <v>22877</v>
      </c>
      <c r="H3125" s="451" t="s">
        <v>22878</v>
      </c>
      <c r="I3125" s="451"/>
      <c r="J3125" s="451" t="s">
        <v>22997</v>
      </c>
      <c r="K3125" s="451"/>
    </row>
    <row r="3126" spans="1:11">
      <c r="A3126" s="450" t="s">
        <v>5730</v>
      </c>
      <c r="B3126" s="450" t="s">
        <v>5731</v>
      </c>
      <c r="C3126" s="450" t="s">
        <v>2699</v>
      </c>
      <c r="D3126" s="450" t="s">
        <v>5732</v>
      </c>
      <c r="E3126" s="450"/>
      <c r="F3126" s="450"/>
      <c r="G3126" s="450" t="s">
        <v>22882</v>
      </c>
      <c r="H3126" s="450" t="s">
        <v>22883</v>
      </c>
      <c r="I3126" s="450" t="s">
        <v>34306</v>
      </c>
      <c r="J3126" s="450" t="s">
        <v>34307</v>
      </c>
      <c r="K3126" s="450"/>
    </row>
    <row r="3127" spans="1:11">
      <c r="A3127" s="451" t="s">
        <v>5730</v>
      </c>
      <c r="B3127" s="451" t="s">
        <v>5731</v>
      </c>
      <c r="C3127" s="451" t="s">
        <v>2699</v>
      </c>
      <c r="D3127" s="451" t="s">
        <v>5732</v>
      </c>
      <c r="E3127" s="451" t="s">
        <v>5733</v>
      </c>
      <c r="F3127" s="451"/>
      <c r="G3127" s="451" t="s">
        <v>22882</v>
      </c>
      <c r="H3127" s="451" t="s">
        <v>22883</v>
      </c>
      <c r="I3127" s="451" t="s">
        <v>5732</v>
      </c>
      <c r="J3127" s="451" t="s">
        <v>30944</v>
      </c>
      <c r="K3127" s="451"/>
    </row>
    <row r="3128" spans="1:11">
      <c r="A3128" s="450" t="s">
        <v>34308</v>
      </c>
      <c r="B3128" s="450" t="s">
        <v>34309</v>
      </c>
      <c r="C3128" s="450" t="s">
        <v>5736</v>
      </c>
      <c r="D3128" s="450" t="s">
        <v>5737</v>
      </c>
      <c r="E3128" s="450"/>
      <c r="F3128" s="450"/>
      <c r="G3128" s="450" t="s">
        <v>22877</v>
      </c>
      <c r="H3128" s="450" t="s">
        <v>22878</v>
      </c>
      <c r="I3128" s="450" t="s">
        <v>24394</v>
      </c>
      <c r="J3128" s="450" t="s">
        <v>34310</v>
      </c>
      <c r="K3128" s="450"/>
    </row>
    <row r="3129" spans="1:11">
      <c r="A3129" s="451" t="s">
        <v>5734</v>
      </c>
      <c r="B3129" s="451" t="s">
        <v>5735</v>
      </c>
      <c r="C3129" s="451" t="s">
        <v>5736</v>
      </c>
      <c r="D3129" s="451" t="s">
        <v>5737</v>
      </c>
      <c r="E3129" s="451"/>
      <c r="F3129" s="451" t="s">
        <v>5738</v>
      </c>
      <c r="G3129" s="451" t="s">
        <v>22877</v>
      </c>
      <c r="H3129" s="451" t="s">
        <v>22878</v>
      </c>
      <c r="I3129" s="451" t="s">
        <v>24394</v>
      </c>
      <c r="J3129" s="451" t="s">
        <v>30945</v>
      </c>
      <c r="K3129" s="451"/>
    </row>
    <row r="3130" spans="1:11">
      <c r="A3130" s="450" t="s">
        <v>34311</v>
      </c>
      <c r="B3130" s="450" t="s">
        <v>5740</v>
      </c>
      <c r="C3130" s="450" t="s">
        <v>2781</v>
      </c>
      <c r="D3130" s="450"/>
      <c r="E3130" s="450"/>
      <c r="F3130" s="450"/>
      <c r="G3130" s="450" t="s">
        <v>22877</v>
      </c>
      <c r="H3130" s="450" t="s">
        <v>22878</v>
      </c>
      <c r="I3130" s="450"/>
      <c r="J3130" s="450" t="s">
        <v>34312</v>
      </c>
      <c r="K3130" s="450"/>
    </row>
    <row r="3131" spans="1:11">
      <c r="A3131" s="451" t="s">
        <v>5739</v>
      </c>
      <c r="B3131" s="451" t="s">
        <v>5740</v>
      </c>
      <c r="C3131" s="451" t="s">
        <v>2781</v>
      </c>
      <c r="D3131" s="451"/>
      <c r="E3131" s="451"/>
      <c r="F3131" s="451"/>
      <c r="G3131" s="451" t="s">
        <v>22877</v>
      </c>
      <c r="H3131" s="451" t="s">
        <v>22878</v>
      </c>
      <c r="I3131" s="451" t="s">
        <v>30946</v>
      </c>
      <c r="J3131" s="451" t="s">
        <v>30947</v>
      </c>
      <c r="K3131" s="451"/>
    </row>
    <row r="3132" spans="1:11">
      <c r="A3132" s="450" t="s">
        <v>5741</v>
      </c>
      <c r="B3132" s="450" t="s">
        <v>5742</v>
      </c>
      <c r="C3132" s="450" t="s">
        <v>5743</v>
      </c>
      <c r="D3132" s="450" t="s">
        <v>5744</v>
      </c>
      <c r="E3132" s="450"/>
      <c r="F3132" s="450"/>
      <c r="G3132" s="450" t="s">
        <v>22877</v>
      </c>
      <c r="H3132" s="450" t="s">
        <v>22878</v>
      </c>
      <c r="I3132" s="450" t="s">
        <v>5744</v>
      </c>
      <c r="J3132" s="450" t="s">
        <v>30948</v>
      </c>
      <c r="K3132" s="450"/>
    </row>
    <row r="3133" spans="1:11">
      <c r="A3133" s="451" t="s">
        <v>21599</v>
      </c>
      <c r="B3133" s="451"/>
      <c r="C3133" s="451" t="s">
        <v>5745</v>
      </c>
      <c r="D3133" s="451"/>
      <c r="E3133" s="451"/>
      <c r="F3133" s="451"/>
      <c r="G3133" s="451" t="s">
        <v>22877</v>
      </c>
      <c r="H3133" s="451" t="s">
        <v>22878</v>
      </c>
      <c r="I3133" s="451" t="s">
        <v>34313</v>
      </c>
      <c r="J3133" s="451" t="s">
        <v>22939</v>
      </c>
      <c r="K3133" s="451"/>
    </row>
    <row r="3134" spans="1:11">
      <c r="A3134" s="450" t="s">
        <v>5746</v>
      </c>
      <c r="B3134" s="450"/>
      <c r="C3134" s="450" t="s">
        <v>5747</v>
      </c>
      <c r="D3134" s="450"/>
      <c r="E3134" s="450"/>
      <c r="F3134" s="450"/>
      <c r="G3134" s="450" t="s">
        <v>22882</v>
      </c>
      <c r="H3134" s="450" t="s">
        <v>22883</v>
      </c>
      <c r="I3134" s="450" t="s">
        <v>34314</v>
      </c>
      <c r="J3134" s="450" t="s">
        <v>22943</v>
      </c>
      <c r="K3134" s="450"/>
    </row>
    <row r="3135" spans="1:11">
      <c r="A3135" s="451" t="s">
        <v>24395</v>
      </c>
      <c r="B3135" s="451"/>
      <c r="C3135" s="451" t="s">
        <v>5747</v>
      </c>
      <c r="D3135" s="451"/>
      <c r="E3135" s="451"/>
      <c r="F3135" s="451"/>
      <c r="G3135" s="451" t="s">
        <v>22882</v>
      </c>
      <c r="H3135" s="451" t="s">
        <v>22883</v>
      </c>
      <c r="I3135" s="451" t="s">
        <v>24396</v>
      </c>
      <c r="J3135" s="451" t="s">
        <v>22942</v>
      </c>
      <c r="K3135" s="451"/>
    </row>
    <row r="3136" spans="1:11">
      <c r="A3136" s="450" t="s">
        <v>5748</v>
      </c>
      <c r="B3136" s="450" t="s">
        <v>5749</v>
      </c>
      <c r="C3136" s="450" t="s">
        <v>5750</v>
      </c>
      <c r="D3136" s="450" t="s">
        <v>5751</v>
      </c>
      <c r="E3136" s="450" t="s">
        <v>5752</v>
      </c>
      <c r="F3136" s="450"/>
      <c r="G3136" s="450" t="s">
        <v>22877</v>
      </c>
      <c r="H3136" s="450" t="s">
        <v>22878</v>
      </c>
      <c r="I3136" s="450" t="s">
        <v>5751</v>
      </c>
      <c r="J3136" s="450" t="s">
        <v>34315</v>
      </c>
      <c r="K3136" s="450"/>
    </row>
    <row r="3137" spans="1:11">
      <c r="A3137" s="451" t="s">
        <v>24397</v>
      </c>
      <c r="B3137" s="451" t="s">
        <v>5749</v>
      </c>
      <c r="C3137" s="451" t="s">
        <v>5750</v>
      </c>
      <c r="D3137" s="451" t="s">
        <v>5751</v>
      </c>
      <c r="E3137" s="451"/>
      <c r="F3137" s="451"/>
      <c r="G3137" s="451" t="s">
        <v>24398</v>
      </c>
      <c r="H3137" s="451" t="s">
        <v>22878</v>
      </c>
      <c r="I3137" s="451" t="s">
        <v>5751</v>
      </c>
      <c r="J3137" s="451" t="s">
        <v>5749</v>
      </c>
      <c r="K3137" s="451"/>
    </row>
    <row r="3138" spans="1:11">
      <c r="A3138" s="450" t="s">
        <v>5753</v>
      </c>
      <c r="B3138" s="450"/>
      <c r="C3138" s="450" t="s">
        <v>5754</v>
      </c>
      <c r="D3138" s="450"/>
      <c r="E3138" s="450"/>
      <c r="F3138" s="450"/>
      <c r="G3138" s="450" t="s">
        <v>22882</v>
      </c>
      <c r="H3138" s="450" t="s">
        <v>22883</v>
      </c>
      <c r="I3138" s="450"/>
      <c r="J3138" s="450" t="s">
        <v>23185</v>
      </c>
      <c r="K3138" s="450"/>
    </row>
    <row r="3139" spans="1:11">
      <c r="A3139" s="451" t="s">
        <v>24399</v>
      </c>
      <c r="B3139" s="451" t="s">
        <v>24400</v>
      </c>
      <c r="C3139" s="451" t="s">
        <v>24401</v>
      </c>
      <c r="D3139" s="451" t="s">
        <v>24402</v>
      </c>
      <c r="E3139" s="451"/>
      <c r="F3139" s="451"/>
      <c r="G3139" s="451" t="s">
        <v>22877</v>
      </c>
      <c r="H3139" s="451" t="s">
        <v>22878</v>
      </c>
      <c r="I3139" s="451" t="s">
        <v>24403</v>
      </c>
      <c r="J3139" s="451" t="s">
        <v>24404</v>
      </c>
      <c r="K3139" s="451"/>
    </row>
    <row r="3140" spans="1:11">
      <c r="A3140" s="450" t="s">
        <v>5755</v>
      </c>
      <c r="B3140" s="450" t="s">
        <v>5756</v>
      </c>
      <c r="C3140" s="450" t="s">
        <v>5757</v>
      </c>
      <c r="D3140" s="450" t="s">
        <v>5758</v>
      </c>
      <c r="E3140" s="450" t="s">
        <v>5759</v>
      </c>
      <c r="F3140" s="450"/>
      <c r="G3140" s="450" t="s">
        <v>22877</v>
      </c>
      <c r="H3140" s="450" t="s">
        <v>22878</v>
      </c>
      <c r="I3140" s="450" t="s">
        <v>30949</v>
      </c>
      <c r="J3140" s="450" t="s">
        <v>30950</v>
      </c>
      <c r="K3140" s="450"/>
    </row>
    <row r="3141" spans="1:11">
      <c r="A3141" s="451" t="s">
        <v>34316</v>
      </c>
      <c r="B3141" s="451"/>
      <c r="C3141" s="451" t="s">
        <v>5234</v>
      </c>
      <c r="D3141" s="451"/>
      <c r="E3141" s="451"/>
      <c r="F3141" s="451"/>
      <c r="G3141" s="451" t="s">
        <v>22882</v>
      </c>
      <c r="H3141" s="451" t="s">
        <v>22883</v>
      </c>
      <c r="I3141" s="451" t="s">
        <v>24405</v>
      </c>
      <c r="J3141" s="451" t="s">
        <v>22997</v>
      </c>
      <c r="K3141" s="451"/>
    </row>
    <row r="3142" spans="1:11">
      <c r="A3142" s="450" t="s">
        <v>5760</v>
      </c>
      <c r="B3142" s="450"/>
      <c r="C3142" s="450" t="s">
        <v>5234</v>
      </c>
      <c r="D3142" s="450"/>
      <c r="E3142" s="450"/>
      <c r="F3142" s="450"/>
      <c r="G3142" s="450" t="s">
        <v>22882</v>
      </c>
      <c r="H3142" s="450" t="s">
        <v>22883</v>
      </c>
      <c r="I3142" s="450" t="s">
        <v>24405</v>
      </c>
      <c r="J3142" s="450" t="s">
        <v>22939</v>
      </c>
      <c r="K3142" s="450"/>
    </row>
    <row r="3143" spans="1:11">
      <c r="A3143" s="451" t="s">
        <v>5761</v>
      </c>
      <c r="B3143" s="451"/>
      <c r="C3143" s="451" t="s">
        <v>5762</v>
      </c>
      <c r="D3143" s="451"/>
      <c r="E3143" s="451"/>
      <c r="F3143" s="451"/>
      <c r="G3143" s="451" t="s">
        <v>22882</v>
      </c>
      <c r="H3143" s="451" t="s">
        <v>22883</v>
      </c>
      <c r="I3143" s="451"/>
      <c r="J3143" s="451" t="s">
        <v>22997</v>
      </c>
      <c r="K3143" s="451"/>
    </row>
    <row r="3144" spans="1:11">
      <c r="A3144" s="450" t="s">
        <v>5763</v>
      </c>
      <c r="B3144" s="450" t="s">
        <v>5764</v>
      </c>
      <c r="C3144" s="450" t="s">
        <v>5765</v>
      </c>
      <c r="D3144" s="450"/>
      <c r="E3144" s="450"/>
      <c r="F3144" s="450"/>
      <c r="G3144" s="450" t="s">
        <v>22877</v>
      </c>
      <c r="H3144" s="450" t="s">
        <v>22878</v>
      </c>
      <c r="I3144" s="450"/>
      <c r="J3144" s="450" t="s">
        <v>24406</v>
      </c>
      <c r="K3144" s="450"/>
    </row>
    <row r="3145" spans="1:11">
      <c r="A3145" s="451" t="s">
        <v>24407</v>
      </c>
      <c r="B3145" s="451" t="s">
        <v>24408</v>
      </c>
      <c r="C3145" s="451" t="s">
        <v>24409</v>
      </c>
      <c r="D3145" s="451"/>
      <c r="E3145" s="451"/>
      <c r="F3145" s="451"/>
      <c r="G3145" s="451" t="s">
        <v>22877</v>
      </c>
      <c r="H3145" s="451" t="s">
        <v>22878</v>
      </c>
      <c r="I3145" s="451" t="s">
        <v>24410</v>
      </c>
      <c r="J3145" s="451" t="s">
        <v>24411</v>
      </c>
      <c r="K3145" s="451"/>
    </row>
    <row r="3146" spans="1:11">
      <c r="A3146" s="450" t="s">
        <v>5766</v>
      </c>
      <c r="B3146" s="450"/>
      <c r="C3146" s="450" t="s">
        <v>5767</v>
      </c>
      <c r="D3146" s="450"/>
      <c r="E3146" s="450"/>
      <c r="F3146" s="450"/>
      <c r="G3146" s="450" t="s">
        <v>22877</v>
      </c>
      <c r="H3146" s="450" t="s">
        <v>22878</v>
      </c>
      <c r="I3146" s="450"/>
      <c r="J3146" s="450" t="s">
        <v>22942</v>
      </c>
      <c r="K3146" s="450"/>
    </row>
    <row r="3147" spans="1:11">
      <c r="A3147" s="451" t="s">
        <v>5768</v>
      </c>
      <c r="B3147" s="451" t="s">
        <v>5769</v>
      </c>
      <c r="C3147" s="451" t="s">
        <v>5770</v>
      </c>
      <c r="D3147" s="451"/>
      <c r="E3147" s="451"/>
      <c r="F3147" s="451"/>
      <c r="G3147" s="451" t="s">
        <v>22877</v>
      </c>
      <c r="H3147" s="451" t="s">
        <v>22878</v>
      </c>
      <c r="I3147" s="451" t="s">
        <v>24412</v>
      </c>
      <c r="J3147" s="451" t="s">
        <v>24413</v>
      </c>
      <c r="K3147" s="451"/>
    </row>
    <row r="3148" spans="1:11">
      <c r="A3148" s="450" t="s">
        <v>34317</v>
      </c>
      <c r="B3148" s="450" t="s">
        <v>5772</v>
      </c>
      <c r="C3148" s="450" t="s">
        <v>5773</v>
      </c>
      <c r="D3148" s="450"/>
      <c r="E3148" s="450"/>
      <c r="F3148" s="450"/>
      <c r="G3148" s="450" t="s">
        <v>22882</v>
      </c>
      <c r="H3148" s="450" t="s">
        <v>22883</v>
      </c>
      <c r="I3148" s="450" t="s">
        <v>24414</v>
      </c>
      <c r="J3148" s="450" t="s">
        <v>34318</v>
      </c>
      <c r="K3148" s="450"/>
    </row>
    <row r="3149" spans="1:11">
      <c r="A3149" s="451" t="s">
        <v>5771</v>
      </c>
      <c r="B3149" s="451" t="s">
        <v>5772</v>
      </c>
      <c r="C3149" s="451" t="s">
        <v>5773</v>
      </c>
      <c r="D3149" s="451"/>
      <c r="E3149" s="451"/>
      <c r="F3149" s="451"/>
      <c r="G3149" s="451" t="s">
        <v>22882</v>
      </c>
      <c r="H3149" s="451" t="s">
        <v>22883</v>
      </c>
      <c r="I3149" s="451" t="s">
        <v>24414</v>
      </c>
      <c r="J3149" s="451" t="s">
        <v>30951</v>
      </c>
      <c r="K3149" s="451"/>
    </row>
    <row r="3150" spans="1:11">
      <c r="A3150" s="450" t="s">
        <v>5774</v>
      </c>
      <c r="B3150" s="450"/>
      <c r="C3150" s="450" t="s">
        <v>5775</v>
      </c>
      <c r="D3150" s="450"/>
      <c r="E3150" s="450"/>
      <c r="F3150" s="450"/>
      <c r="G3150" s="450" t="s">
        <v>22877</v>
      </c>
      <c r="H3150" s="450" t="s">
        <v>22878</v>
      </c>
      <c r="I3150" s="450"/>
      <c r="J3150" s="450" t="s">
        <v>22939</v>
      </c>
      <c r="K3150" s="450"/>
    </row>
    <row r="3151" spans="1:11">
      <c r="A3151" s="451" t="s">
        <v>34319</v>
      </c>
      <c r="B3151" s="451" t="s">
        <v>5777</v>
      </c>
      <c r="C3151" s="451" t="s">
        <v>1483</v>
      </c>
      <c r="D3151" s="451"/>
      <c r="E3151" s="451"/>
      <c r="F3151" s="451" t="s">
        <v>5778</v>
      </c>
      <c r="G3151" s="451" t="s">
        <v>22882</v>
      </c>
      <c r="H3151" s="451" t="s">
        <v>22883</v>
      </c>
      <c r="I3151" s="451" t="s">
        <v>24415</v>
      </c>
      <c r="J3151" s="451" t="s">
        <v>34320</v>
      </c>
      <c r="K3151" s="451"/>
    </row>
    <row r="3152" spans="1:11">
      <c r="A3152" s="450" t="s">
        <v>5776</v>
      </c>
      <c r="B3152" s="450" t="s">
        <v>5777</v>
      </c>
      <c r="C3152" s="450" t="s">
        <v>1483</v>
      </c>
      <c r="D3152" s="450"/>
      <c r="E3152" s="450"/>
      <c r="F3152" s="450" t="s">
        <v>5778</v>
      </c>
      <c r="G3152" s="450" t="s">
        <v>22882</v>
      </c>
      <c r="H3152" s="450" t="s">
        <v>22883</v>
      </c>
      <c r="I3152" s="450" t="s">
        <v>24415</v>
      </c>
      <c r="J3152" s="450" t="s">
        <v>30952</v>
      </c>
      <c r="K3152" s="450"/>
    </row>
    <row r="3153" spans="1:11">
      <c r="A3153" s="451" t="s">
        <v>5779</v>
      </c>
      <c r="B3153" s="451" t="s">
        <v>5780</v>
      </c>
      <c r="C3153" s="451" t="s">
        <v>5781</v>
      </c>
      <c r="D3153" s="451"/>
      <c r="E3153" s="451"/>
      <c r="F3153" s="451"/>
      <c r="G3153" s="451" t="s">
        <v>22882</v>
      </c>
      <c r="H3153" s="451" t="s">
        <v>22883</v>
      </c>
      <c r="I3153" s="451" t="s">
        <v>34321</v>
      </c>
      <c r="J3153" s="451" t="s">
        <v>24417</v>
      </c>
      <c r="K3153" s="451"/>
    </row>
    <row r="3154" spans="1:11">
      <c r="A3154" s="450" t="s">
        <v>24416</v>
      </c>
      <c r="B3154" s="450" t="s">
        <v>5780</v>
      </c>
      <c r="C3154" s="450" t="s">
        <v>5781</v>
      </c>
      <c r="D3154" s="450"/>
      <c r="E3154" s="450"/>
      <c r="F3154" s="450"/>
      <c r="G3154" s="450" t="s">
        <v>22882</v>
      </c>
      <c r="H3154" s="450" t="s">
        <v>22883</v>
      </c>
      <c r="I3154" s="450" t="s">
        <v>24415</v>
      </c>
      <c r="J3154" s="450" t="s">
        <v>24417</v>
      </c>
      <c r="K3154" s="450"/>
    </row>
    <row r="3155" spans="1:11">
      <c r="A3155" s="451" t="s">
        <v>5782</v>
      </c>
      <c r="B3155" s="451" t="s">
        <v>5783</v>
      </c>
      <c r="C3155" s="451" t="s">
        <v>2844</v>
      </c>
      <c r="D3155" s="451" t="s">
        <v>5784</v>
      </c>
      <c r="E3155" s="451"/>
      <c r="F3155" s="451"/>
      <c r="G3155" s="451" t="s">
        <v>22882</v>
      </c>
      <c r="H3155" s="451" t="s">
        <v>22883</v>
      </c>
      <c r="I3155" s="451" t="s">
        <v>24418</v>
      </c>
      <c r="J3155" s="451" t="s">
        <v>24419</v>
      </c>
      <c r="K3155" s="451"/>
    </row>
    <row r="3156" spans="1:11">
      <c r="A3156" s="450" t="s">
        <v>5785</v>
      </c>
      <c r="B3156" s="450"/>
      <c r="C3156" s="450" t="s">
        <v>5786</v>
      </c>
      <c r="D3156" s="450" t="s">
        <v>5787</v>
      </c>
      <c r="E3156" s="450"/>
      <c r="F3156" s="450"/>
      <c r="G3156" s="450" t="s">
        <v>22882</v>
      </c>
      <c r="H3156" s="450" t="s">
        <v>22883</v>
      </c>
      <c r="I3156" s="450"/>
      <c r="J3156" s="450" t="s">
        <v>34322</v>
      </c>
      <c r="K3156" s="450"/>
    </row>
    <row r="3157" spans="1:11">
      <c r="A3157" s="451" t="s">
        <v>5788</v>
      </c>
      <c r="B3157" s="451"/>
      <c r="C3157" s="451" t="s">
        <v>5789</v>
      </c>
      <c r="D3157" s="451"/>
      <c r="E3157" s="451"/>
      <c r="F3157" s="451"/>
      <c r="G3157" s="451" t="s">
        <v>22877</v>
      </c>
      <c r="H3157" s="451" t="s">
        <v>22878</v>
      </c>
      <c r="I3157" s="451" t="s">
        <v>34323</v>
      </c>
      <c r="J3157" s="451" t="s">
        <v>22942</v>
      </c>
      <c r="K3157" s="451"/>
    </row>
    <row r="3158" spans="1:11">
      <c r="A3158" s="450" t="s">
        <v>34324</v>
      </c>
      <c r="B3158" s="450"/>
      <c r="C3158" s="450" t="s">
        <v>5791</v>
      </c>
      <c r="D3158" s="450"/>
      <c r="E3158" s="450"/>
      <c r="F3158" s="450"/>
      <c r="G3158" s="450" t="s">
        <v>22877</v>
      </c>
      <c r="H3158" s="450" t="s">
        <v>22878</v>
      </c>
      <c r="I3158" s="450" t="s">
        <v>34325</v>
      </c>
      <c r="J3158" s="450" t="s">
        <v>34326</v>
      </c>
      <c r="K3158" s="450"/>
    </row>
    <row r="3159" spans="1:11">
      <c r="A3159" s="451" t="s">
        <v>5790</v>
      </c>
      <c r="B3159" s="451"/>
      <c r="C3159" s="451" t="s">
        <v>5791</v>
      </c>
      <c r="D3159" s="451"/>
      <c r="E3159" s="451"/>
      <c r="F3159" s="451"/>
      <c r="G3159" s="451" t="s">
        <v>22877</v>
      </c>
      <c r="H3159" s="451" t="s">
        <v>22878</v>
      </c>
      <c r="I3159" s="451" t="s">
        <v>34325</v>
      </c>
      <c r="J3159" s="451" t="s">
        <v>22943</v>
      </c>
      <c r="K3159" s="451"/>
    </row>
    <row r="3160" spans="1:11">
      <c r="A3160" s="450" t="s">
        <v>34327</v>
      </c>
      <c r="B3160" s="450"/>
      <c r="C3160" s="450" t="s">
        <v>5793</v>
      </c>
      <c r="D3160" s="450"/>
      <c r="E3160" s="450"/>
      <c r="F3160" s="450"/>
      <c r="G3160" s="450" t="s">
        <v>22882</v>
      </c>
      <c r="H3160" s="450" t="s">
        <v>22883</v>
      </c>
      <c r="I3160" s="450" t="s">
        <v>34328</v>
      </c>
      <c r="J3160" s="450" t="s">
        <v>22943</v>
      </c>
      <c r="K3160" s="450"/>
    </row>
    <row r="3161" spans="1:11">
      <c r="A3161" s="451" t="s">
        <v>5792</v>
      </c>
      <c r="B3161" s="451"/>
      <c r="C3161" s="451" t="s">
        <v>5793</v>
      </c>
      <c r="D3161" s="451"/>
      <c r="E3161" s="451"/>
      <c r="F3161" s="451"/>
      <c r="G3161" s="451" t="s">
        <v>22882</v>
      </c>
      <c r="H3161" s="451" t="s">
        <v>22883</v>
      </c>
      <c r="I3161" s="451" t="s">
        <v>34328</v>
      </c>
      <c r="J3161" s="451" t="s">
        <v>23121</v>
      </c>
      <c r="K3161" s="451"/>
    </row>
    <row r="3162" spans="1:11">
      <c r="A3162" s="450" t="s">
        <v>5794</v>
      </c>
      <c r="B3162" s="450"/>
      <c r="C3162" s="450" t="s">
        <v>5795</v>
      </c>
      <c r="D3162" s="450"/>
      <c r="E3162" s="450"/>
      <c r="F3162" s="450"/>
      <c r="G3162" s="450" t="s">
        <v>22877</v>
      </c>
      <c r="H3162" s="450" t="s">
        <v>22878</v>
      </c>
      <c r="I3162" s="450" t="s">
        <v>34329</v>
      </c>
      <c r="J3162" s="450" t="s">
        <v>22939</v>
      </c>
      <c r="K3162" s="450"/>
    </row>
    <row r="3163" spans="1:11">
      <c r="A3163" s="451" t="s">
        <v>34330</v>
      </c>
      <c r="B3163" s="451"/>
      <c r="C3163" s="451" t="s">
        <v>5795</v>
      </c>
      <c r="D3163" s="451"/>
      <c r="E3163" s="451"/>
      <c r="F3163" s="451"/>
      <c r="G3163" s="451" t="s">
        <v>22877</v>
      </c>
      <c r="H3163" s="451" t="s">
        <v>22878</v>
      </c>
      <c r="I3163" s="451" t="s">
        <v>34329</v>
      </c>
      <c r="J3163" s="451" t="s">
        <v>22939</v>
      </c>
      <c r="K3163" s="451"/>
    </row>
    <row r="3164" spans="1:11">
      <c r="A3164" s="450" t="s">
        <v>34331</v>
      </c>
      <c r="B3164" s="450"/>
      <c r="C3164" s="450" t="s">
        <v>5797</v>
      </c>
      <c r="D3164" s="450"/>
      <c r="E3164" s="450"/>
      <c r="F3164" s="450"/>
      <c r="G3164" s="450" t="s">
        <v>22877</v>
      </c>
      <c r="H3164" s="450" t="s">
        <v>22878</v>
      </c>
      <c r="I3164" s="450" t="s">
        <v>34332</v>
      </c>
      <c r="J3164" s="450" t="s">
        <v>22939</v>
      </c>
      <c r="K3164" s="450"/>
    </row>
    <row r="3165" spans="1:11">
      <c r="A3165" s="451" t="s">
        <v>5796</v>
      </c>
      <c r="B3165" s="451"/>
      <c r="C3165" s="451" t="s">
        <v>5797</v>
      </c>
      <c r="D3165" s="451"/>
      <c r="E3165" s="451"/>
      <c r="F3165" s="451"/>
      <c r="G3165" s="451" t="s">
        <v>22877</v>
      </c>
      <c r="H3165" s="451" t="s">
        <v>22878</v>
      </c>
      <c r="I3165" s="451" t="s">
        <v>34333</v>
      </c>
      <c r="J3165" s="451" t="s">
        <v>23185</v>
      </c>
      <c r="K3165" s="451"/>
    </row>
    <row r="3166" spans="1:11">
      <c r="A3166" s="450" t="s">
        <v>5798</v>
      </c>
      <c r="B3166" s="450"/>
      <c r="C3166" s="450" t="s">
        <v>5799</v>
      </c>
      <c r="D3166" s="450"/>
      <c r="E3166" s="450"/>
      <c r="F3166" s="450"/>
      <c r="G3166" s="450" t="s">
        <v>22882</v>
      </c>
      <c r="H3166" s="450" t="s">
        <v>22883</v>
      </c>
      <c r="I3166" s="450" t="s">
        <v>24420</v>
      </c>
      <c r="J3166" s="450" t="s">
        <v>22939</v>
      </c>
      <c r="K3166" s="450"/>
    </row>
    <row r="3167" spans="1:11">
      <c r="A3167" s="451" t="s">
        <v>34334</v>
      </c>
      <c r="B3167" s="451" t="s">
        <v>5801</v>
      </c>
      <c r="C3167" s="451" t="s">
        <v>1898</v>
      </c>
      <c r="D3167" s="451" t="s">
        <v>5802</v>
      </c>
      <c r="E3167" s="451"/>
      <c r="F3167" s="451"/>
      <c r="G3167" s="451" t="s">
        <v>22877</v>
      </c>
      <c r="H3167" s="451" t="s">
        <v>22878</v>
      </c>
      <c r="I3167" s="451" t="s">
        <v>5802</v>
      </c>
      <c r="J3167" s="451" t="s">
        <v>34335</v>
      </c>
      <c r="K3167" s="451"/>
    </row>
    <row r="3168" spans="1:11">
      <c r="A3168" s="450" t="s">
        <v>5800</v>
      </c>
      <c r="B3168" s="450" t="s">
        <v>5801</v>
      </c>
      <c r="C3168" s="450" t="s">
        <v>1898</v>
      </c>
      <c r="D3168" s="450" t="s">
        <v>5802</v>
      </c>
      <c r="E3168" s="450" t="s">
        <v>5803</v>
      </c>
      <c r="F3168" s="450"/>
      <c r="G3168" s="450" t="s">
        <v>22877</v>
      </c>
      <c r="H3168" s="450" t="s">
        <v>22878</v>
      </c>
      <c r="I3168" s="450" t="s">
        <v>23389</v>
      </c>
      <c r="J3168" s="450" t="s">
        <v>30953</v>
      </c>
      <c r="K3168" s="450"/>
    </row>
    <row r="3169" spans="1:11">
      <c r="A3169" s="451" t="s">
        <v>5804</v>
      </c>
      <c r="B3169" s="451"/>
      <c r="C3169" s="451" t="s">
        <v>5805</v>
      </c>
      <c r="D3169" s="451"/>
      <c r="E3169" s="451"/>
      <c r="F3169" s="451"/>
      <c r="G3169" s="451" t="s">
        <v>22877</v>
      </c>
      <c r="H3169" s="451" t="s">
        <v>22878</v>
      </c>
      <c r="I3169" s="451" t="s">
        <v>34336</v>
      </c>
      <c r="J3169" s="451" t="s">
        <v>22997</v>
      </c>
      <c r="K3169" s="451"/>
    </row>
    <row r="3170" spans="1:11">
      <c r="A3170" s="450" t="s">
        <v>5806</v>
      </c>
      <c r="B3170" s="450"/>
      <c r="C3170" s="450" t="s">
        <v>5807</v>
      </c>
      <c r="D3170" s="450"/>
      <c r="E3170" s="450"/>
      <c r="F3170" s="450"/>
      <c r="G3170" s="450" t="s">
        <v>22877</v>
      </c>
      <c r="H3170" s="450" t="s">
        <v>22878</v>
      </c>
      <c r="I3170" s="450" t="s">
        <v>34337</v>
      </c>
      <c r="J3170" s="450" t="s">
        <v>23133</v>
      </c>
      <c r="K3170" s="450"/>
    </row>
    <row r="3171" spans="1:11">
      <c r="A3171" s="451" t="s">
        <v>21600</v>
      </c>
      <c r="B3171" s="451"/>
      <c r="C3171" s="451" t="s">
        <v>5808</v>
      </c>
      <c r="D3171" s="451"/>
      <c r="E3171" s="451"/>
      <c r="F3171" s="451"/>
      <c r="G3171" s="451" t="s">
        <v>22877</v>
      </c>
      <c r="H3171" s="451" t="s">
        <v>22878</v>
      </c>
      <c r="I3171" s="451" t="s">
        <v>24421</v>
      </c>
      <c r="J3171" s="451" t="s">
        <v>23185</v>
      </c>
      <c r="K3171" s="451"/>
    </row>
    <row r="3172" spans="1:11">
      <c r="A3172" s="450" t="s">
        <v>5809</v>
      </c>
      <c r="B3172" s="450" t="s">
        <v>34338</v>
      </c>
      <c r="C3172" s="450" t="s">
        <v>5811</v>
      </c>
      <c r="D3172" s="450"/>
      <c r="E3172" s="450"/>
      <c r="F3172" s="450" t="s">
        <v>5812</v>
      </c>
      <c r="G3172" s="450" t="s">
        <v>22882</v>
      </c>
      <c r="H3172" s="450" t="s">
        <v>22883</v>
      </c>
      <c r="I3172" s="450" t="s">
        <v>24422</v>
      </c>
      <c r="J3172" s="450" t="s">
        <v>34339</v>
      </c>
      <c r="K3172" s="450"/>
    </row>
    <row r="3173" spans="1:11">
      <c r="A3173" s="451" t="s">
        <v>5809</v>
      </c>
      <c r="B3173" s="451" t="s">
        <v>5810</v>
      </c>
      <c r="C3173" s="451" t="s">
        <v>5811</v>
      </c>
      <c r="D3173" s="451"/>
      <c r="E3173" s="451"/>
      <c r="F3173" s="451" t="s">
        <v>5812</v>
      </c>
      <c r="G3173" s="451" t="s">
        <v>22882</v>
      </c>
      <c r="H3173" s="451" t="s">
        <v>22883</v>
      </c>
      <c r="I3173" s="451" t="s">
        <v>24422</v>
      </c>
      <c r="J3173" s="451" t="s">
        <v>30954</v>
      </c>
      <c r="K3173" s="451"/>
    </row>
    <row r="3174" spans="1:11">
      <c r="A3174" s="450" t="s">
        <v>34340</v>
      </c>
      <c r="B3174" s="450"/>
      <c r="C3174" s="450" t="s">
        <v>5814</v>
      </c>
      <c r="D3174" s="450"/>
      <c r="E3174" s="450"/>
      <c r="F3174" s="450"/>
      <c r="G3174" s="450" t="s">
        <v>22877</v>
      </c>
      <c r="H3174" s="450" t="s">
        <v>22878</v>
      </c>
      <c r="I3174" s="450" t="s">
        <v>34341</v>
      </c>
      <c r="J3174" s="450" t="s">
        <v>22997</v>
      </c>
      <c r="K3174" s="450"/>
    </row>
    <row r="3175" spans="1:11">
      <c r="A3175" s="451" t="s">
        <v>5813</v>
      </c>
      <c r="B3175" s="451"/>
      <c r="C3175" s="451" t="s">
        <v>5814</v>
      </c>
      <c r="D3175" s="451"/>
      <c r="E3175" s="451"/>
      <c r="F3175" s="451"/>
      <c r="G3175" s="451" t="s">
        <v>22882</v>
      </c>
      <c r="H3175" s="451" t="s">
        <v>22883</v>
      </c>
      <c r="I3175" s="451"/>
      <c r="J3175" s="451" t="s">
        <v>23185</v>
      </c>
      <c r="K3175" s="451"/>
    </row>
    <row r="3176" spans="1:11">
      <c r="A3176" s="450" t="s">
        <v>5815</v>
      </c>
      <c r="B3176" s="450"/>
      <c r="C3176" s="450" t="s">
        <v>2727</v>
      </c>
      <c r="D3176" s="450"/>
      <c r="E3176" s="450"/>
      <c r="F3176" s="450"/>
      <c r="G3176" s="450" t="s">
        <v>22882</v>
      </c>
      <c r="H3176" s="450" t="s">
        <v>22883</v>
      </c>
      <c r="I3176" s="450"/>
      <c r="J3176" s="450" t="s">
        <v>22939</v>
      </c>
      <c r="K3176" s="450"/>
    </row>
    <row r="3177" spans="1:11">
      <c r="A3177" s="451" t="s">
        <v>21601</v>
      </c>
      <c r="B3177" s="451"/>
      <c r="C3177" s="451" t="s">
        <v>5816</v>
      </c>
      <c r="D3177" s="451"/>
      <c r="E3177" s="451"/>
      <c r="F3177" s="451"/>
      <c r="G3177" s="451" t="s">
        <v>22877</v>
      </c>
      <c r="H3177" s="451" t="s">
        <v>22878</v>
      </c>
      <c r="I3177" s="451" t="s">
        <v>34342</v>
      </c>
      <c r="J3177" s="451" t="s">
        <v>22939</v>
      </c>
      <c r="K3177" s="451"/>
    </row>
    <row r="3178" spans="1:11">
      <c r="A3178" s="450" t="s">
        <v>5817</v>
      </c>
      <c r="B3178" s="450"/>
      <c r="C3178" s="450" t="s">
        <v>5510</v>
      </c>
      <c r="D3178" s="450"/>
      <c r="E3178" s="450"/>
      <c r="F3178" s="450"/>
      <c r="G3178" s="450" t="s">
        <v>22882</v>
      </c>
      <c r="H3178" s="450" t="s">
        <v>22883</v>
      </c>
      <c r="I3178" s="450" t="s">
        <v>34343</v>
      </c>
      <c r="J3178" s="450" t="s">
        <v>22943</v>
      </c>
      <c r="K3178" s="450"/>
    </row>
    <row r="3179" spans="1:11">
      <c r="A3179" s="451" t="s">
        <v>34344</v>
      </c>
      <c r="B3179" s="451"/>
      <c r="C3179" s="451" t="s">
        <v>1222</v>
      </c>
      <c r="D3179" s="451"/>
      <c r="E3179" s="451"/>
      <c r="F3179" s="451"/>
      <c r="G3179" s="451" t="s">
        <v>22882</v>
      </c>
      <c r="H3179" s="451" t="s">
        <v>22883</v>
      </c>
      <c r="I3179" s="451" t="s">
        <v>34345</v>
      </c>
      <c r="J3179" s="451" t="s">
        <v>22943</v>
      </c>
      <c r="K3179" s="451"/>
    </row>
    <row r="3180" spans="1:11">
      <c r="A3180" s="450" t="s">
        <v>5818</v>
      </c>
      <c r="B3180" s="450"/>
      <c r="C3180" s="450" t="s">
        <v>1222</v>
      </c>
      <c r="D3180" s="450"/>
      <c r="E3180" s="450"/>
      <c r="F3180" s="450"/>
      <c r="G3180" s="450" t="s">
        <v>22882</v>
      </c>
      <c r="H3180" s="450" t="s">
        <v>22883</v>
      </c>
      <c r="I3180" s="450" t="s">
        <v>30955</v>
      </c>
      <c r="J3180" s="450" t="s">
        <v>22997</v>
      </c>
      <c r="K3180" s="450"/>
    </row>
    <row r="3181" spans="1:11">
      <c r="A3181" s="451" t="s">
        <v>34346</v>
      </c>
      <c r="B3181" s="451"/>
      <c r="C3181" s="451" t="s">
        <v>4458</v>
      </c>
      <c r="D3181" s="451"/>
      <c r="E3181" s="451"/>
      <c r="F3181" s="451"/>
      <c r="G3181" s="451" t="s">
        <v>22877</v>
      </c>
      <c r="H3181" s="451" t="s">
        <v>22878</v>
      </c>
      <c r="I3181" s="451" t="s">
        <v>34347</v>
      </c>
      <c r="J3181" s="451" t="s">
        <v>22943</v>
      </c>
      <c r="K3181" s="451"/>
    </row>
    <row r="3182" spans="1:11">
      <c r="A3182" s="450" t="s">
        <v>5819</v>
      </c>
      <c r="B3182" s="450"/>
      <c r="C3182" s="450" t="s">
        <v>4458</v>
      </c>
      <c r="D3182" s="450"/>
      <c r="E3182" s="450"/>
      <c r="F3182" s="450"/>
      <c r="G3182" s="450" t="s">
        <v>22882</v>
      </c>
      <c r="H3182" s="450" t="s">
        <v>22883</v>
      </c>
      <c r="I3182" s="450"/>
      <c r="J3182" s="450" t="s">
        <v>24146</v>
      </c>
      <c r="K3182" s="450"/>
    </row>
    <row r="3183" spans="1:11">
      <c r="A3183" s="451" t="s">
        <v>5820</v>
      </c>
      <c r="B3183" s="451"/>
      <c r="C3183" s="451" t="s">
        <v>5821</v>
      </c>
      <c r="D3183" s="451"/>
      <c r="E3183" s="451"/>
      <c r="F3183" s="451"/>
      <c r="G3183" s="451" t="s">
        <v>22877</v>
      </c>
      <c r="H3183" s="451" t="s">
        <v>22878</v>
      </c>
      <c r="I3183" s="451" t="s">
        <v>24423</v>
      </c>
      <c r="J3183" s="451" t="s">
        <v>22939</v>
      </c>
      <c r="K3183" s="451"/>
    </row>
    <row r="3184" spans="1:11">
      <c r="A3184" s="450" t="s">
        <v>24424</v>
      </c>
      <c r="B3184" s="450" t="s">
        <v>24425</v>
      </c>
      <c r="C3184" s="450" t="s">
        <v>24426</v>
      </c>
      <c r="D3184" s="450"/>
      <c r="E3184" s="450"/>
      <c r="F3184" s="450"/>
      <c r="G3184" s="450" t="s">
        <v>22877</v>
      </c>
      <c r="H3184" s="450" t="s">
        <v>22878</v>
      </c>
      <c r="I3184" s="450" t="s">
        <v>24427</v>
      </c>
      <c r="J3184" s="450" t="s">
        <v>24428</v>
      </c>
      <c r="K3184" s="450"/>
    </row>
    <row r="3185" spans="1:11">
      <c r="A3185" s="451" t="s">
        <v>21602</v>
      </c>
      <c r="B3185" s="451" t="s">
        <v>5822</v>
      </c>
      <c r="C3185" s="451" t="s">
        <v>5823</v>
      </c>
      <c r="D3185" s="451"/>
      <c r="E3185" s="451"/>
      <c r="F3185" s="451" t="s">
        <v>21395</v>
      </c>
      <c r="G3185" s="451" t="s">
        <v>22877</v>
      </c>
      <c r="H3185" s="451" t="s">
        <v>22878</v>
      </c>
      <c r="I3185" s="451" t="s">
        <v>24429</v>
      </c>
      <c r="J3185" s="451" t="s">
        <v>24430</v>
      </c>
      <c r="K3185" s="451"/>
    </row>
    <row r="3186" spans="1:11">
      <c r="A3186" s="450" t="s">
        <v>34348</v>
      </c>
      <c r="B3186" s="450" t="s">
        <v>5825</v>
      </c>
      <c r="C3186" s="450" t="s">
        <v>5826</v>
      </c>
      <c r="D3186" s="450" t="s">
        <v>5827</v>
      </c>
      <c r="E3186" s="450"/>
      <c r="F3186" s="450"/>
      <c r="G3186" s="450" t="s">
        <v>22877</v>
      </c>
      <c r="H3186" s="450" t="s">
        <v>22878</v>
      </c>
      <c r="I3186" s="450" t="s">
        <v>5827</v>
      </c>
      <c r="J3186" s="450" t="s">
        <v>24431</v>
      </c>
      <c r="K3186" s="450"/>
    </row>
    <row r="3187" spans="1:11">
      <c r="A3187" s="451" t="s">
        <v>5824</v>
      </c>
      <c r="B3187" s="451" t="s">
        <v>5825</v>
      </c>
      <c r="C3187" s="451" t="s">
        <v>5826</v>
      </c>
      <c r="D3187" s="451" t="s">
        <v>5827</v>
      </c>
      <c r="E3187" s="451" t="s">
        <v>5828</v>
      </c>
      <c r="F3187" s="451"/>
      <c r="G3187" s="451" t="s">
        <v>22877</v>
      </c>
      <c r="H3187" s="451" t="s">
        <v>22878</v>
      </c>
      <c r="I3187" s="451" t="s">
        <v>5827</v>
      </c>
      <c r="J3187" s="451" t="s">
        <v>24431</v>
      </c>
      <c r="K3187" s="451"/>
    </row>
    <row r="3188" spans="1:11">
      <c r="A3188" s="450" t="s">
        <v>5829</v>
      </c>
      <c r="B3188" s="450"/>
      <c r="C3188" s="450" t="s">
        <v>5830</v>
      </c>
      <c r="D3188" s="450"/>
      <c r="E3188" s="450"/>
      <c r="F3188" s="450"/>
      <c r="G3188" s="450" t="s">
        <v>22877</v>
      </c>
      <c r="H3188" s="450" t="s">
        <v>22878</v>
      </c>
      <c r="I3188" s="450" t="s">
        <v>24432</v>
      </c>
      <c r="J3188" s="450" t="s">
        <v>22997</v>
      </c>
      <c r="K3188" s="450"/>
    </row>
    <row r="3189" spans="1:11">
      <c r="A3189" s="451" t="s">
        <v>5831</v>
      </c>
      <c r="B3189" s="451" t="s">
        <v>24433</v>
      </c>
      <c r="C3189" s="451" t="s">
        <v>5833</v>
      </c>
      <c r="D3189" s="451" t="s">
        <v>24434</v>
      </c>
      <c r="E3189" s="451"/>
      <c r="F3189" s="451"/>
      <c r="G3189" s="451" t="s">
        <v>22877</v>
      </c>
      <c r="H3189" s="451" t="s">
        <v>22878</v>
      </c>
      <c r="I3189" s="451" t="s">
        <v>24434</v>
      </c>
      <c r="J3189" s="451" t="s">
        <v>24435</v>
      </c>
      <c r="K3189" s="451"/>
    </row>
    <row r="3190" spans="1:11">
      <c r="A3190" s="450" t="s">
        <v>5831</v>
      </c>
      <c r="B3190" s="450" t="s">
        <v>5832</v>
      </c>
      <c r="C3190" s="450" t="s">
        <v>5833</v>
      </c>
      <c r="D3190" s="450" t="s">
        <v>5834</v>
      </c>
      <c r="E3190" s="450" t="s">
        <v>5835</v>
      </c>
      <c r="F3190" s="450"/>
      <c r="G3190" s="450" t="s">
        <v>22877</v>
      </c>
      <c r="H3190" s="450" t="s">
        <v>22878</v>
      </c>
      <c r="I3190" s="450" t="s">
        <v>30956</v>
      </c>
      <c r="J3190" s="450" t="s">
        <v>30957</v>
      </c>
      <c r="K3190" s="450"/>
    </row>
    <row r="3191" spans="1:11">
      <c r="A3191" s="451" t="s">
        <v>5836</v>
      </c>
      <c r="B3191" s="451"/>
      <c r="C3191" s="451" t="s">
        <v>5837</v>
      </c>
      <c r="D3191" s="451"/>
      <c r="E3191" s="451"/>
      <c r="F3191" s="451"/>
      <c r="G3191" s="451" t="s">
        <v>22877</v>
      </c>
      <c r="H3191" s="451" t="s">
        <v>22878</v>
      </c>
      <c r="I3191" s="451" t="s">
        <v>24437</v>
      </c>
      <c r="J3191" s="451" t="s">
        <v>22943</v>
      </c>
      <c r="K3191" s="451"/>
    </row>
    <row r="3192" spans="1:11">
      <c r="A3192" s="450" t="s">
        <v>24436</v>
      </c>
      <c r="B3192" s="450"/>
      <c r="C3192" s="450" t="s">
        <v>5837</v>
      </c>
      <c r="D3192" s="450"/>
      <c r="E3192" s="450"/>
      <c r="F3192" s="450"/>
      <c r="G3192" s="450" t="s">
        <v>22877</v>
      </c>
      <c r="H3192" s="450" t="s">
        <v>22878</v>
      </c>
      <c r="I3192" s="450" t="s">
        <v>24437</v>
      </c>
      <c r="J3192" s="450" t="s">
        <v>23370</v>
      </c>
      <c r="K3192" s="450"/>
    </row>
    <row r="3193" spans="1:11">
      <c r="A3193" s="451" t="s">
        <v>30958</v>
      </c>
      <c r="B3193" s="451" t="s">
        <v>5310</v>
      </c>
      <c r="C3193" s="451" t="s">
        <v>5311</v>
      </c>
      <c r="D3193" s="451"/>
      <c r="E3193" s="451"/>
      <c r="F3193" s="451"/>
      <c r="G3193" s="451" t="s">
        <v>22877</v>
      </c>
      <c r="H3193" s="451" t="s">
        <v>22878</v>
      </c>
      <c r="I3193" s="451" t="s">
        <v>24438</v>
      </c>
      <c r="J3193" s="451" t="s">
        <v>24439</v>
      </c>
      <c r="K3193" s="451"/>
    </row>
    <row r="3194" spans="1:11">
      <c r="A3194" s="450" t="s">
        <v>5838</v>
      </c>
      <c r="B3194" s="450" t="s">
        <v>5839</v>
      </c>
      <c r="C3194" s="450" t="s">
        <v>5840</v>
      </c>
      <c r="D3194" s="450" t="s">
        <v>5841</v>
      </c>
      <c r="E3194" s="450" t="s">
        <v>5842</v>
      </c>
      <c r="F3194" s="450"/>
      <c r="G3194" s="450" t="s">
        <v>22877</v>
      </c>
      <c r="H3194" s="450" t="s">
        <v>22878</v>
      </c>
      <c r="I3194" s="450" t="s">
        <v>30959</v>
      </c>
      <c r="J3194" s="450" t="s">
        <v>30960</v>
      </c>
      <c r="K3194" s="450"/>
    </row>
    <row r="3195" spans="1:11">
      <c r="A3195" s="451" t="s">
        <v>5843</v>
      </c>
      <c r="B3195" s="451" t="s">
        <v>5844</v>
      </c>
      <c r="C3195" s="451" t="s">
        <v>1049</v>
      </c>
      <c r="D3195" s="451" t="s">
        <v>5845</v>
      </c>
      <c r="E3195" s="451" t="s">
        <v>5846</v>
      </c>
      <c r="F3195" s="451"/>
      <c r="G3195" s="451" t="s">
        <v>22877</v>
      </c>
      <c r="H3195" s="451" t="s">
        <v>22878</v>
      </c>
      <c r="I3195" s="451" t="s">
        <v>34349</v>
      </c>
      <c r="J3195" s="451" t="s">
        <v>34350</v>
      </c>
      <c r="K3195" s="451"/>
    </row>
    <row r="3196" spans="1:11">
      <c r="A3196" s="450" t="s">
        <v>24440</v>
      </c>
      <c r="B3196" s="450" t="s">
        <v>5844</v>
      </c>
      <c r="C3196" s="450" t="s">
        <v>1049</v>
      </c>
      <c r="D3196" s="450" t="s">
        <v>5845</v>
      </c>
      <c r="E3196" s="450"/>
      <c r="F3196" s="450"/>
      <c r="G3196" s="450" t="s">
        <v>22877</v>
      </c>
      <c r="H3196" s="450" t="s">
        <v>22878</v>
      </c>
      <c r="I3196" s="450" t="s">
        <v>24441</v>
      </c>
      <c r="J3196" s="450" t="s">
        <v>24442</v>
      </c>
      <c r="K3196" s="450"/>
    </row>
    <row r="3197" spans="1:11">
      <c r="A3197" s="451" t="s">
        <v>24443</v>
      </c>
      <c r="B3197" s="451" t="s">
        <v>5839</v>
      </c>
      <c r="C3197" s="451" t="s">
        <v>24444</v>
      </c>
      <c r="D3197" s="451" t="s">
        <v>5841</v>
      </c>
      <c r="E3197" s="451"/>
      <c r="F3197" s="451"/>
      <c r="G3197" s="451" t="s">
        <v>22877</v>
      </c>
      <c r="H3197" s="451" t="s">
        <v>22878</v>
      </c>
      <c r="I3197" s="451" t="s">
        <v>24445</v>
      </c>
      <c r="J3197" s="451" t="s">
        <v>24446</v>
      </c>
      <c r="K3197" s="451"/>
    </row>
    <row r="3198" spans="1:11">
      <c r="A3198" s="450" t="s">
        <v>5847</v>
      </c>
      <c r="B3198" s="450" t="s">
        <v>5848</v>
      </c>
      <c r="C3198" s="450" t="s">
        <v>5849</v>
      </c>
      <c r="D3198" s="450" t="s">
        <v>5850</v>
      </c>
      <c r="E3198" s="450"/>
      <c r="F3198" s="450"/>
      <c r="G3198" s="450" t="s">
        <v>22877</v>
      </c>
      <c r="H3198" s="450" t="s">
        <v>22878</v>
      </c>
      <c r="I3198" s="450" t="s">
        <v>34351</v>
      </c>
      <c r="J3198" s="450" t="s">
        <v>34352</v>
      </c>
      <c r="K3198" s="450"/>
    </row>
    <row r="3199" spans="1:11">
      <c r="A3199" s="451" t="s">
        <v>5847</v>
      </c>
      <c r="B3199" s="451" t="s">
        <v>5848</v>
      </c>
      <c r="C3199" s="451" t="s">
        <v>5849</v>
      </c>
      <c r="D3199" s="451" t="s">
        <v>5850</v>
      </c>
      <c r="E3199" s="451" t="s">
        <v>5851</v>
      </c>
      <c r="F3199" s="451"/>
      <c r="G3199" s="451" t="s">
        <v>22877</v>
      </c>
      <c r="H3199" s="451" t="s">
        <v>22878</v>
      </c>
      <c r="I3199" s="451" t="s">
        <v>30961</v>
      </c>
      <c r="J3199" s="451" t="s">
        <v>30962</v>
      </c>
      <c r="K3199" s="451"/>
    </row>
    <row r="3200" spans="1:11">
      <c r="A3200" s="450" t="s">
        <v>5852</v>
      </c>
      <c r="B3200" s="450" t="s">
        <v>5486</v>
      </c>
      <c r="C3200" s="450" t="s">
        <v>5487</v>
      </c>
      <c r="D3200" s="450" t="s">
        <v>5853</v>
      </c>
      <c r="E3200" s="450" t="s">
        <v>5854</v>
      </c>
      <c r="F3200" s="450"/>
      <c r="G3200" s="450" t="s">
        <v>22877</v>
      </c>
      <c r="H3200" s="450" t="s">
        <v>22878</v>
      </c>
      <c r="I3200" s="450"/>
      <c r="J3200" s="450" t="s">
        <v>34353</v>
      </c>
      <c r="K3200" s="450"/>
    </row>
    <row r="3201" spans="1:11">
      <c r="A3201" s="451" t="s">
        <v>5855</v>
      </c>
      <c r="B3201" s="451" t="s">
        <v>5486</v>
      </c>
      <c r="C3201" s="451" t="s">
        <v>5856</v>
      </c>
      <c r="D3201" s="451" t="s">
        <v>5853</v>
      </c>
      <c r="E3201" s="451" t="s">
        <v>5854</v>
      </c>
      <c r="F3201" s="451"/>
      <c r="G3201" s="451" t="s">
        <v>22877</v>
      </c>
      <c r="H3201" s="451" t="s">
        <v>22878</v>
      </c>
      <c r="I3201" s="451"/>
      <c r="J3201" s="451" t="s">
        <v>30963</v>
      </c>
      <c r="K3201" s="451"/>
    </row>
    <row r="3202" spans="1:11">
      <c r="A3202" s="450" t="s">
        <v>34354</v>
      </c>
      <c r="B3202" s="450"/>
      <c r="C3202" s="450" t="s">
        <v>5860</v>
      </c>
      <c r="D3202" s="450"/>
      <c r="E3202" s="450"/>
      <c r="F3202" s="450"/>
      <c r="G3202" s="450" t="s">
        <v>22877</v>
      </c>
      <c r="H3202" s="450" t="s">
        <v>22878</v>
      </c>
      <c r="I3202" s="450" t="s">
        <v>34355</v>
      </c>
      <c r="J3202" s="450" t="s">
        <v>23370</v>
      </c>
      <c r="K3202" s="450"/>
    </row>
    <row r="3203" spans="1:11">
      <c r="A3203" s="451" t="s">
        <v>5857</v>
      </c>
      <c r="B3203" s="451"/>
      <c r="C3203" s="451" t="s">
        <v>5858</v>
      </c>
      <c r="D3203" s="451"/>
      <c r="E3203" s="451"/>
      <c r="F3203" s="451"/>
      <c r="G3203" s="451" t="s">
        <v>22877</v>
      </c>
      <c r="H3203" s="451" t="s">
        <v>22878</v>
      </c>
      <c r="I3203" s="451" t="s">
        <v>34356</v>
      </c>
      <c r="J3203" s="451" t="s">
        <v>22943</v>
      </c>
      <c r="K3203" s="451"/>
    </row>
    <row r="3204" spans="1:11">
      <c r="A3204" s="450" t="s">
        <v>5859</v>
      </c>
      <c r="B3204" s="450"/>
      <c r="C3204" s="450" t="s">
        <v>5860</v>
      </c>
      <c r="D3204" s="450"/>
      <c r="E3204" s="450"/>
      <c r="F3204" s="450"/>
      <c r="G3204" s="450" t="s">
        <v>22877</v>
      </c>
      <c r="H3204" s="450" t="s">
        <v>22878</v>
      </c>
      <c r="I3204" s="450" t="s">
        <v>34355</v>
      </c>
      <c r="J3204" s="450" t="s">
        <v>23370</v>
      </c>
      <c r="K3204" s="450"/>
    </row>
    <row r="3205" spans="1:11">
      <c r="A3205" s="451" t="s">
        <v>5861</v>
      </c>
      <c r="B3205" s="451"/>
      <c r="C3205" s="451" t="s">
        <v>5862</v>
      </c>
      <c r="D3205" s="451"/>
      <c r="E3205" s="451"/>
      <c r="F3205" s="451"/>
      <c r="G3205" s="451" t="s">
        <v>22882</v>
      </c>
      <c r="H3205" s="451" t="s">
        <v>22883</v>
      </c>
      <c r="I3205" s="451" t="s">
        <v>24447</v>
      </c>
      <c r="J3205" s="451" t="s">
        <v>23370</v>
      </c>
      <c r="K3205" s="451"/>
    </row>
    <row r="3206" spans="1:11">
      <c r="A3206" s="450" t="s">
        <v>24448</v>
      </c>
      <c r="B3206" s="450" t="s">
        <v>5878</v>
      </c>
      <c r="C3206" s="450" t="s">
        <v>5879</v>
      </c>
      <c r="D3206" s="450" t="s">
        <v>5880</v>
      </c>
      <c r="E3206" s="450"/>
      <c r="F3206" s="450"/>
      <c r="G3206" s="450" t="s">
        <v>22877</v>
      </c>
      <c r="H3206" s="450" t="s">
        <v>22878</v>
      </c>
      <c r="I3206" s="450" t="s">
        <v>24449</v>
      </c>
      <c r="J3206" s="450" t="s">
        <v>24450</v>
      </c>
      <c r="K3206" s="450"/>
    </row>
    <row r="3207" spans="1:11">
      <c r="A3207" s="451" t="s">
        <v>5863</v>
      </c>
      <c r="B3207" s="451" t="s">
        <v>5864</v>
      </c>
      <c r="C3207" s="451" t="s">
        <v>3124</v>
      </c>
      <c r="D3207" s="451" t="s">
        <v>5865</v>
      </c>
      <c r="E3207" s="451"/>
      <c r="F3207" s="451"/>
      <c r="G3207" s="451" t="s">
        <v>22882</v>
      </c>
      <c r="H3207" s="451" t="s">
        <v>22883</v>
      </c>
      <c r="I3207" s="451" t="s">
        <v>5865</v>
      </c>
      <c r="J3207" s="451" t="s">
        <v>24451</v>
      </c>
      <c r="K3207" s="451"/>
    </row>
    <row r="3208" spans="1:11">
      <c r="A3208" s="450" t="s">
        <v>5863</v>
      </c>
      <c r="B3208" s="450" t="s">
        <v>5864</v>
      </c>
      <c r="C3208" s="450" t="s">
        <v>3124</v>
      </c>
      <c r="D3208" s="450" t="s">
        <v>5865</v>
      </c>
      <c r="E3208" s="450" t="s">
        <v>5866</v>
      </c>
      <c r="F3208" s="450"/>
      <c r="G3208" s="450" t="s">
        <v>22877</v>
      </c>
      <c r="H3208" s="450" t="s">
        <v>22878</v>
      </c>
      <c r="I3208" s="450" t="s">
        <v>5870</v>
      </c>
      <c r="J3208" s="450" t="s">
        <v>24451</v>
      </c>
      <c r="K3208" s="450"/>
    </row>
    <row r="3209" spans="1:11">
      <c r="A3209" s="451" t="s">
        <v>5867</v>
      </c>
      <c r="B3209" s="451" t="s">
        <v>5868</v>
      </c>
      <c r="C3209" s="451" t="s">
        <v>5869</v>
      </c>
      <c r="D3209" s="451" t="s">
        <v>5870</v>
      </c>
      <c r="E3209" s="451"/>
      <c r="F3209" s="451"/>
      <c r="G3209" s="451" t="s">
        <v>22877</v>
      </c>
      <c r="H3209" s="451" t="s">
        <v>22878</v>
      </c>
      <c r="I3209" s="451" t="s">
        <v>23608</v>
      </c>
      <c r="J3209" s="451" t="s">
        <v>24452</v>
      </c>
      <c r="K3209" s="451"/>
    </row>
    <row r="3210" spans="1:11">
      <c r="A3210" s="450" t="s">
        <v>5867</v>
      </c>
      <c r="B3210" s="450" t="s">
        <v>5868</v>
      </c>
      <c r="C3210" s="450" t="s">
        <v>5869</v>
      </c>
      <c r="D3210" s="450" t="s">
        <v>5870</v>
      </c>
      <c r="E3210" s="450" t="s">
        <v>5871</v>
      </c>
      <c r="F3210" s="450"/>
      <c r="G3210" s="450" t="s">
        <v>22877</v>
      </c>
      <c r="H3210" s="450" t="s">
        <v>22878</v>
      </c>
      <c r="I3210" s="450" t="s">
        <v>23608</v>
      </c>
      <c r="J3210" s="450" t="s">
        <v>24452</v>
      </c>
      <c r="K3210" s="450"/>
    </row>
    <row r="3211" spans="1:11">
      <c r="A3211" s="451" t="s">
        <v>5872</v>
      </c>
      <c r="B3211" s="451" t="s">
        <v>5873</v>
      </c>
      <c r="C3211" s="451" t="s">
        <v>5874</v>
      </c>
      <c r="D3211" s="451" t="s">
        <v>5875</v>
      </c>
      <c r="E3211" s="451"/>
      <c r="F3211" s="451"/>
      <c r="G3211" s="451" t="s">
        <v>22882</v>
      </c>
      <c r="H3211" s="451" t="s">
        <v>22883</v>
      </c>
      <c r="I3211" s="451" t="s">
        <v>24453</v>
      </c>
      <c r="J3211" s="451" t="s">
        <v>24454</v>
      </c>
      <c r="K3211" s="451"/>
    </row>
    <row r="3212" spans="1:11">
      <c r="A3212" s="450" t="s">
        <v>5872</v>
      </c>
      <c r="B3212" s="450" t="s">
        <v>5873</v>
      </c>
      <c r="C3212" s="450" t="s">
        <v>5874</v>
      </c>
      <c r="D3212" s="450" t="s">
        <v>5875</v>
      </c>
      <c r="E3212" s="450" t="s">
        <v>5876</v>
      </c>
      <c r="F3212" s="450"/>
      <c r="G3212" s="450" t="s">
        <v>22877</v>
      </c>
      <c r="H3212" s="450" t="s">
        <v>22878</v>
      </c>
      <c r="I3212" s="450" t="s">
        <v>24453</v>
      </c>
      <c r="J3212" s="450" t="s">
        <v>24454</v>
      </c>
      <c r="K3212" s="450"/>
    </row>
    <row r="3213" spans="1:11">
      <c r="A3213" s="451" t="s">
        <v>5877</v>
      </c>
      <c r="B3213" s="451" t="s">
        <v>5878</v>
      </c>
      <c r="C3213" s="451" t="s">
        <v>5879</v>
      </c>
      <c r="D3213" s="451" t="s">
        <v>5880</v>
      </c>
      <c r="E3213" s="451" t="s">
        <v>5881</v>
      </c>
      <c r="F3213" s="451"/>
      <c r="G3213" s="451" t="s">
        <v>22877</v>
      </c>
      <c r="H3213" s="451" t="s">
        <v>22878</v>
      </c>
      <c r="I3213" s="451" t="s">
        <v>30964</v>
      </c>
      <c r="J3213" s="451" t="s">
        <v>30965</v>
      </c>
      <c r="K3213" s="451"/>
    </row>
    <row r="3214" spans="1:11">
      <c r="A3214" s="450" t="s">
        <v>30966</v>
      </c>
      <c r="B3214" s="450" t="s">
        <v>24455</v>
      </c>
      <c r="C3214" s="450" t="s">
        <v>24456</v>
      </c>
      <c r="D3214" s="450" t="s">
        <v>20321</v>
      </c>
      <c r="E3214" s="450"/>
      <c r="F3214" s="450"/>
      <c r="G3214" s="450" t="s">
        <v>22877</v>
      </c>
      <c r="H3214" s="450" t="s">
        <v>22878</v>
      </c>
      <c r="I3214" s="450" t="s">
        <v>20321</v>
      </c>
      <c r="J3214" s="450" t="s">
        <v>24457</v>
      </c>
      <c r="K3214" s="450"/>
    </row>
    <row r="3215" spans="1:11">
      <c r="A3215" s="451" t="s">
        <v>21603</v>
      </c>
      <c r="B3215" s="451" t="s">
        <v>20319</v>
      </c>
      <c r="C3215" s="451" t="s">
        <v>20320</v>
      </c>
      <c r="D3215" s="451" t="s">
        <v>20321</v>
      </c>
      <c r="E3215" s="451" t="s">
        <v>20322</v>
      </c>
      <c r="F3215" s="451" t="s">
        <v>20318</v>
      </c>
      <c r="G3215" s="451" t="s">
        <v>22877</v>
      </c>
      <c r="H3215" s="451" t="s">
        <v>22878</v>
      </c>
      <c r="I3215" s="451" t="s">
        <v>30967</v>
      </c>
      <c r="J3215" s="451" t="s">
        <v>30968</v>
      </c>
      <c r="K3215" s="451"/>
    </row>
    <row r="3216" spans="1:11">
      <c r="A3216" s="450" t="s">
        <v>34357</v>
      </c>
      <c r="B3216" s="450"/>
      <c r="C3216" s="450" t="s">
        <v>5883</v>
      </c>
      <c r="D3216" s="450"/>
      <c r="E3216" s="450"/>
      <c r="F3216" s="450"/>
      <c r="G3216" s="450" t="s">
        <v>22877</v>
      </c>
      <c r="H3216" s="450" t="s">
        <v>22878</v>
      </c>
      <c r="I3216" s="450" t="s">
        <v>24458</v>
      </c>
      <c r="J3216" s="450" t="s">
        <v>22943</v>
      </c>
      <c r="K3216" s="450"/>
    </row>
    <row r="3217" spans="1:11">
      <c r="A3217" s="451" t="s">
        <v>5882</v>
      </c>
      <c r="B3217" s="451"/>
      <c r="C3217" s="451" t="s">
        <v>5883</v>
      </c>
      <c r="D3217" s="451"/>
      <c r="E3217" s="451"/>
      <c r="F3217" s="451"/>
      <c r="G3217" s="451" t="s">
        <v>22877</v>
      </c>
      <c r="H3217" s="451" t="s">
        <v>22878</v>
      </c>
      <c r="I3217" s="451" t="s">
        <v>24458</v>
      </c>
      <c r="J3217" s="451" t="s">
        <v>22997</v>
      </c>
      <c r="K3217" s="451"/>
    </row>
    <row r="3218" spans="1:11">
      <c r="A3218" s="450" t="s">
        <v>24459</v>
      </c>
      <c r="B3218" s="450" t="s">
        <v>24460</v>
      </c>
      <c r="C3218" s="450" t="s">
        <v>24461</v>
      </c>
      <c r="D3218" s="450"/>
      <c r="E3218" s="450"/>
      <c r="F3218" s="450"/>
      <c r="G3218" s="450" t="s">
        <v>22877</v>
      </c>
      <c r="H3218" s="450" t="s">
        <v>22878</v>
      </c>
      <c r="I3218" s="450" t="s">
        <v>24462</v>
      </c>
      <c r="J3218" s="450" t="s">
        <v>24463</v>
      </c>
      <c r="K3218" s="450"/>
    </row>
    <row r="3219" spans="1:11">
      <c r="A3219" s="451" t="s">
        <v>5884</v>
      </c>
      <c r="B3219" s="451"/>
      <c r="C3219" s="451" t="s">
        <v>5885</v>
      </c>
      <c r="D3219" s="451"/>
      <c r="E3219" s="451"/>
      <c r="F3219" s="451"/>
      <c r="G3219" s="451" t="s">
        <v>22877</v>
      </c>
      <c r="H3219" s="451" t="s">
        <v>22878</v>
      </c>
      <c r="I3219" s="451" t="s">
        <v>34358</v>
      </c>
      <c r="J3219" s="451" t="s">
        <v>23121</v>
      </c>
      <c r="K3219" s="451"/>
    </row>
    <row r="3220" spans="1:11">
      <c r="A3220" s="450" t="s">
        <v>5886</v>
      </c>
      <c r="B3220" s="450"/>
      <c r="C3220" s="450" t="s">
        <v>5887</v>
      </c>
      <c r="D3220" s="450"/>
      <c r="E3220" s="450"/>
      <c r="F3220" s="450"/>
      <c r="G3220" s="450" t="s">
        <v>22877</v>
      </c>
      <c r="H3220" s="450" t="s">
        <v>22878</v>
      </c>
      <c r="I3220" s="450" t="s">
        <v>34359</v>
      </c>
      <c r="J3220" s="450" t="s">
        <v>22997</v>
      </c>
      <c r="K3220" s="450"/>
    </row>
    <row r="3221" spans="1:11">
      <c r="A3221" s="451" t="s">
        <v>34360</v>
      </c>
      <c r="B3221" s="451"/>
      <c r="C3221" s="451" t="s">
        <v>5889</v>
      </c>
      <c r="D3221" s="451"/>
      <c r="E3221" s="451"/>
      <c r="F3221" s="451"/>
      <c r="G3221" s="451" t="s">
        <v>22877</v>
      </c>
      <c r="H3221" s="451" t="s">
        <v>22878</v>
      </c>
      <c r="I3221" s="451" t="s">
        <v>34361</v>
      </c>
      <c r="J3221" s="451" t="s">
        <v>22943</v>
      </c>
      <c r="K3221" s="451"/>
    </row>
    <row r="3222" spans="1:11">
      <c r="A3222" s="450" t="s">
        <v>5888</v>
      </c>
      <c r="B3222" s="450"/>
      <c r="C3222" s="450" t="s">
        <v>5889</v>
      </c>
      <c r="D3222" s="450"/>
      <c r="E3222" s="450"/>
      <c r="F3222" s="450"/>
      <c r="G3222" s="450" t="s">
        <v>22882</v>
      </c>
      <c r="H3222" s="450" t="s">
        <v>22883</v>
      </c>
      <c r="I3222" s="450" t="s">
        <v>34362</v>
      </c>
      <c r="J3222" s="450" t="s">
        <v>22943</v>
      </c>
      <c r="K3222" s="450"/>
    </row>
    <row r="3223" spans="1:11">
      <c r="A3223" s="451" t="s">
        <v>34363</v>
      </c>
      <c r="B3223" s="451"/>
      <c r="C3223" s="451" t="s">
        <v>5891</v>
      </c>
      <c r="D3223" s="451"/>
      <c r="E3223" s="451"/>
      <c r="F3223" s="451"/>
      <c r="G3223" s="451" t="s">
        <v>22877</v>
      </c>
      <c r="H3223" s="451" t="s">
        <v>22878</v>
      </c>
      <c r="I3223" s="451" t="s">
        <v>34364</v>
      </c>
      <c r="J3223" s="451" t="s">
        <v>23370</v>
      </c>
      <c r="K3223" s="451"/>
    </row>
    <row r="3224" spans="1:11">
      <c r="A3224" s="450" t="s">
        <v>5890</v>
      </c>
      <c r="B3224" s="450"/>
      <c r="C3224" s="450" t="s">
        <v>5891</v>
      </c>
      <c r="D3224" s="450"/>
      <c r="E3224" s="450"/>
      <c r="F3224" s="450"/>
      <c r="G3224" s="450" t="s">
        <v>22877</v>
      </c>
      <c r="H3224" s="450" t="s">
        <v>22878</v>
      </c>
      <c r="I3224" s="450" t="s">
        <v>34364</v>
      </c>
      <c r="J3224" s="450" t="s">
        <v>22943</v>
      </c>
      <c r="K3224" s="450"/>
    </row>
    <row r="3225" spans="1:11">
      <c r="A3225" s="451" t="s">
        <v>5892</v>
      </c>
      <c r="B3225" s="451"/>
      <c r="C3225" s="451" t="s">
        <v>5893</v>
      </c>
      <c r="D3225" s="451"/>
      <c r="E3225" s="451"/>
      <c r="F3225" s="451"/>
      <c r="G3225" s="451" t="s">
        <v>22877</v>
      </c>
      <c r="H3225" s="451" t="s">
        <v>22878</v>
      </c>
      <c r="I3225" s="451" t="s">
        <v>24464</v>
      </c>
      <c r="J3225" s="451" t="s">
        <v>23121</v>
      </c>
      <c r="K3225" s="451"/>
    </row>
    <row r="3226" spans="1:11">
      <c r="A3226" s="450" t="s">
        <v>24465</v>
      </c>
      <c r="B3226" s="450" t="s">
        <v>24466</v>
      </c>
      <c r="C3226" s="450" t="s">
        <v>24467</v>
      </c>
      <c r="D3226" s="450"/>
      <c r="E3226" s="450"/>
      <c r="F3226" s="450"/>
      <c r="G3226" s="450" t="s">
        <v>22877</v>
      </c>
      <c r="H3226" s="450" t="s">
        <v>22878</v>
      </c>
      <c r="I3226" s="450" t="s">
        <v>24468</v>
      </c>
      <c r="J3226" s="450" t="s">
        <v>24469</v>
      </c>
      <c r="K3226" s="450"/>
    </row>
    <row r="3227" spans="1:11">
      <c r="A3227" s="451" t="s">
        <v>5894</v>
      </c>
      <c r="B3227" s="451"/>
      <c r="C3227" s="451" t="s">
        <v>4806</v>
      </c>
      <c r="D3227" s="451"/>
      <c r="E3227" s="451"/>
      <c r="F3227" s="451"/>
      <c r="G3227" s="451" t="s">
        <v>22877</v>
      </c>
      <c r="H3227" s="451" t="s">
        <v>22878</v>
      </c>
      <c r="I3227" s="451" t="s">
        <v>34365</v>
      </c>
      <c r="J3227" s="451" t="s">
        <v>22943</v>
      </c>
      <c r="K3227" s="451"/>
    </row>
    <row r="3228" spans="1:11">
      <c r="A3228" s="450" t="s">
        <v>34366</v>
      </c>
      <c r="B3228" s="450"/>
      <c r="C3228" s="450" t="s">
        <v>4698</v>
      </c>
      <c r="D3228" s="450"/>
      <c r="E3228" s="450"/>
      <c r="F3228" s="450"/>
      <c r="G3228" s="450" t="s">
        <v>22882</v>
      </c>
      <c r="H3228" s="450" t="s">
        <v>22883</v>
      </c>
      <c r="I3228" s="450" t="s">
        <v>34367</v>
      </c>
      <c r="J3228" s="450" t="s">
        <v>23133</v>
      </c>
      <c r="K3228" s="450"/>
    </row>
    <row r="3229" spans="1:11">
      <c r="A3229" s="451" t="s">
        <v>21604</v>
      </c>
      <c r="B3229" s="451"/>
      <c r="C3229" s="451" t="s">
        <v>4698</v>
      </c>
      <c r="D3229" s="451"/>
      <c r="E3229" s="451"/>
      <c r="F3229" s="451"/>
      <c r="G3229" s="451" t="s">
        <v>22882</v>
      </c>
      <c r="H3229" s="451" t="s">
        <v>22883</v>
      </c>
      <c r="I3229" s="451"/>
      <c r="J3229" s="451" t="s">
        <v>23133</v>
      </c>
      <c r="K3229" s="451"/>
    </row>
    <row r="3230" spans="1:11">
      <c r="A3230" s="450" t="s">
        <v>24470</v>
      </c>
      <c r="B3230" s="450" t="s">
        <v>24471</v>
      </c>
      <c r="C3230" s="450" t="s">
        <v>5897</v>
      </c>
      <c r="D3230" s="450"/>
      <c r="E3230" s="450"/>
      <c r="F3230" s="450"/>
      <c r="G3230" s="450" t="s">
        <v>22877</v>
      </c>
      <c r="H3230" s="450" t="s">
        <v>22878</v>
      </c>
      <c r="I3230" s="450" t="s">
        <v>24472</v>
      </c>
      <c r="J3230" s="450" t="s">
        <v>24473</v>
      </c>
      <c r="K3230" s="450"/>
    </row>
    <row r="3231" spans="1:11">
      <c r="A3231" s="451" t="s">
        <v>5895</v>
      </c>
      <c r="B3231" s="451" t="s">
        <v>5896</v>
      </c>
      <c r="C3231" s="451" t="s">
        <v>5897</v>
      </c>
      <c r="D3231" s="451"/>
      <c r="E3231" s="451"/>
      <c r="F3231" s="451"/>
      <c r="G3231" s="451" t="s">
        <v>22877</v>
      </c>
      <c r="H3231" s="451" t="s">
        <v>22878</v>
      </c>
      <c r="I3231" s="451" t="s">
        <v>30969</v>
      </c>
      <c r="J3231" s="451" t="s">
        <v>24473</v>
      </c>
      <c r="K3231" s="451"/>
    </row>
    <row r="3232" spans="1:11">
      <c r="A3232" s="450" t="s">
        <v>5898</v>
      </c>
      <c r="B3232" s="450"/>
      <c r="C3232" s="450" t="s">
        <v>4230</v>
      </c>
      <c r="D3232" s="450"/>
      <c r="E3232" s="450"/>
      <c r="F3232" s="450"/>
      <c r="G3232" s="450" t="s">
        <v>22882</v>
      </c>
      <c r="H3232" s="450" t="s">
        <v>22883</v>
      </c>
      <c r="I3232" s="450" t="s">
        <v>24474</v>
      </c>
      <c r="J3232" s="450" t="s">
        <v>22943</v>
      </c>
      <c r="K3232" s="450"/>
    </row>
    <row r="3233" spans="1:11">
      <c r="A3233" s="451" t="s">
        <v>34368</v>
      </c>
      <c r="B3233" s="451" t="s">
        <v>5900</v>
      </c>
      <c r="C3233" s="451" t="s">
        <v>5901</v>
      </c>
      <c r="D3233" s="451" t="s">
        <v>5902</v>
      </c>
      <c r="E3233" s="451"/>
      <c r="F3233" s="451"/>
      <c r="G3233" s="451" t="s">
        <v>22882</v>
      </c>
      <c r="H3233" s="451" t="s">
        <v>22883</v>
      </c>
      <c r="I3233" s="451" t="s">
        <v>5902</v>
      </c>
      <c r="J3233" s="451" t="s">
        <v>34369</v>
      </c>
      <c r="K3233" s="451"/>
    </row>
    <row r="3234" spans="1:11">
      <c r="A3234" s="450" t="s">
        <v>5899</v>
      </c>
      <c r="B3234" s="450" t="s">
        <v>5900</v>
      </c>
      <c r="C3234" s="450" t="s">
        <v>5901</v>
      </c>
      <c r="D3234" s="450" t="s">
        <v>5902</v>
      </c>
      <c r="E3234" s="450" t="s">
        <v>5903</v>
      </c>
      <c r="F3234" s="450"/>
      <c r="G3234" s="450" t="s">
        <v>22877</v>
      </c>
      <c r="H3234" s="450" t="s">
        <v>22878</v>
      </c>
      <c r="I3234" s="450" t="s">
        <v>5902</v>
      </c>
      <c r="J3234" s="450" t="s">
        <v>30970</v>
      </c>
      <c r="K3234" s="450"/>
    </row>
    <row r="3235" spans="1:11">
      <c r="A3235" s="451" t="s">
        <v>5904</v>
      </c>
      <c r="B3235" s="451"/>
      <c r="C3235" s="451" t="s">
        <v>5905</v>
      </c>
      <c r="D3235" s="451"/>
      <c r="E3235" s="451"/>
      <c r="F3235" s="451"/>
      <c r="G3235" s="451" t="s">
        <v>22877</v>
      </c>
      <c r="H3235" s="451" t="s">
        <v>22878</v>
      </c>
      <c r="I3235" s="451" t="s">
        <v>34370</v>
      </c>
      <c r="J3235" s="451" t="s">
        <v>22943</v>
      </c>
      <c r="K3235" s="451"/>
    </row>
    <row r="3236" spans="1:11">
      <c r="A3236" s="450" t="s">
        <v>5906</v>
      </c>
      <c r="B3236" s="450"/>
      <c r="C3236" s="450" t="s">
        <v>4848</v>
      </c>
      <c r="D3236" s="450"/>
      <c r="E3236" s="450"/>
      <c r="F3236" s="450"/>
      <c r="G3236" s="450" t="s">
        <v>22882</v>
      </c>
      <c r="H3236" s="450" t="s">
        <v>22883</v>
      </c>
      <c r="I3236" s="450" t="s">
        <v>34371</v>
      </c>
      <c r="J3236" s="450" t="s">
        <v>23185</v>
      </c>
      <c r="K3236" s="450"/>
    </row>
    <row r="3237" spans="1:11">
      <c r="A3237" s="451" t="s">
        <v>5907</v>
      </c>
      <c r="B3237" s="451"/>
      <c r="C3237" s="451" t="s">
        <v>5908</v>
      </c>
      <c r="D3237" s="451"/>
      <c r="E3237" s="451"/>
      <c r="F3237" s="451"/>
      <c r="G3237" s="451" t="s">
        <v>22877</v>
      </c>
      <c r="H3237" s="451" t="s">
        <v>22878</v>
      </c>
      <c r="I3237" s="451" t="s">
        <v>34372</v>
      </c>
      <c r="J3237" s="451" t="s">
        <v>22997</v>
      </c>
      <c r="K3237" s="451"/>
    </row>
    <row r="3238" spans="1:11">
      <c r="A3238" s="450" t="s">
        <v>5909</v>
      </c>
      <c r="B3238" s="450"/>
      <c r="C3238" s="450" t="s">
        <v>4365</v>
      </c>
      <c r="D3238" s="450"/>
      <c r="E3238" s="450"/>
      <c r="F3238" s="450"/>
      <c r="G3238" s="450" t="s">
        <v>22877</v>
      </c>
      <c r="H3238" s="450" t="s">
        <v>22878</v>
      </c>
      <c r="I3238" s="450" t="s">
        <v>34373</v>
      </c>
      <c r="J3238" s="450" t="s">
        <v>22939</v>
      </c>
      <c r="K3238" s="450"/>
    </row>
    <row r="3239" spans="1:11">
      <c r="A3239" s="451" t="s">
        <v>34374</v>
      </c>
      <c r="B3239" s="451"/>
      <c r="C3239" s="451" t="s">
        <v>5911</v>
      </c>
      <c r="D3239" s="451"/>
      <c r="E3239" s="451"/>
      <c r="F3239" s="451"/>
      <c r="G3239" s="451" t="s">
        <v>22877</v>
      </c>
      <c r="H3239" s="451" t="s">
        <v>22878</v>
      </c>
      <c r="I3239" s="451" t="s">
        <v>34375</v>
      </c>
      <c r="J3239" s="451" t="s">
        <v>22943</v>
      </c>
      <c r="K3239" s="451"/>
    </row>
    <row r="3240" spans="1:11">
      <c r="A3240" s="450" t="s">
        <v>5910</v>
      </c>
      <c r="B3240" s="450"/>
      <c r="C3240" s="450" t="s">
        <v>5911</v>
      </c>
      <c r="D3240" s="450"/>
      <c r="E3240" s="450"/>
      <c r="F3240" s="450"/>
      <c r="G3240" s="450" t="s">
        <v>22877</v>
      </c>
      <c r="H3240" s="450" t="s">
        <v>22878</v>
      </c>
      <c r="I3240" s="450" t="s">
        <v>34375</v>
      </c>
      <c r="J3240" s="450" t="s">
        <v>23133</v>
      </c>
      <c r="K3240" s="450"/>
    </row>
    <row r="3241" spans="1:11">
      <c r="A3241" s="451" t="s">
        <v>5912</v>
      </c>
      <c r="B3241" s="451"/>
      <c r="C3241" s="451" t="s">
        <v>2583</v>
      </c>
      <c r="D3241" s="451"/>
      <c r="E3241" s="451"/>
      <c r="F3241" s="451"/>
      <c r="G3241" s="451" t="s">
        <v>22882</v>
      </c>
      <c r="H3241" s="451" t="s">
        <v>22883</v>
      </c>
      <c r="I3241" s="451" t="s">
        <v>24475</v>
      </c>
      <c r="J3241" s="451" t="s">
        <v>22943</v>
      </c>
      <c r="K3241" s="451"/>
    </row>
    <row r="3242" spans="1:11">
      <c r="A3242" s="450" t="s">
        <v>24476</v>
      </c>
      <c r="B3242" s="450" t="s">
        <v>24477</v>
      </c>
      <c r="C3242" s="450" t="s">
        <v>24478</v>
      </c>
      <c r="D3242" s="450" t="s">
        <v>24479</v>
      </c>
      <c r="E3242" s="450"/>
      <c r="F3242" s="450"/>
      <c r="G3242" s="450" t="s">
        <v>22877</v>
      </c>
      <c r="H3242" s="450" t="s">
        <v>22878</v>
      </c>
      <c r="I3242" s="450" t="s">
        <v>24480</v>
      </c>
      <c r="J3242" s="450" t="s">
        <v>24481</v>
      </c>
      <c r="K3242" s="450"/>
    </row>
    <row r="3243" spans="1:11">
      <c r="A3243" s="451" t="s">
        <v>5913</v>
      </c>
      <c r="B3243" s="451"/>
      <c r="C3243" s="451" t="s">
        <v>3089</v>
      </c>
      <c r="D3243" s="451"/>
      <c r="E3243" s="451"/>
      <c r="F3243" s="451"/>
      <c r="G3243" s="451" t="s">
        <v>22877</v>
      </c>
      <c r="H3243" s="451" t="s">
        <v>22878</v>
      </c>
      <c r="I3243" s="451" t="s">
        <v>34376</v>
      </c>
      <c r="J3243" s="451" t="s">
        <v>22943</v>
      </c>
      <c r="K3243" s="451"/>
    </row>
    <row r="3244" spans="1:11">
      <c r="A3244" s="450" t="s">
        <v>5914</v>
      </c>
      <c r="B3244" s="450"/>
      <c r="C3244" s="450" t="s">
        <v>2045</v>
      </c>
      <c r="D3244" s="450"/>
      <c r="E3244" s="450"/>
      <c r="F3244" s="450"/>
      <c r="G3244" s="450" t="s">
        <v>22877</v>
      </c>
      <c r="H3244" s="450" t="s">
        <v>22878</v>
      </c>
      <c r="I3244" s="450" t="s">
        <v>34377</v>
      </c>
      <c r="J3244" s="450" t="s">
        <v>23370</v>
      </c>
      <c r="K3244" s="450"/>
    </row>
    <row r="3245" spans="1:11">
      <c r="A3245" s="451" t="s">
        <v>22121</v>
      </c>
      <c r="B3245" s="451"/>
      <c r="C3245" s="451" t="s">
        <v>5915</v>
      </c>
      <c r="D3245" s="451"/>
      <c r="E3245" s="451"/>
      <c r="F3245" s="451"/>
      <c r="G3245" s="451" t="s">
        <v>22877</v>
      </c>
      <c r="H3245" s="451" t="s">
        <v>22878</v>
      </c>
      <c r="I3245" s="451" t="s">
        <v>34378</v>
      </c>
      <c r="J3245" s="451" t="s">
        <v>23133</v>
      </c>
      <c r="K3245" s="451"/>
    </row>
    <row r="3246" spans="1:11">
      <c r="A3246" s="450" t="s">
        <v>34379</v>
      </c>
      <c r="B3246" s="450"/>
      <c r="C3246" s="450" t="s">
        <v>5917</v>
      </c>
      <c r="D3246" s="450"/>
      <c r="E3246" s="450"/>
      <c r="F3246" s="450"/>
      <c r="G3246" s="450" t="s">
        <v>22877</v>
      </c>
      <c r="H3246" s="450" t="s">
        <v>22878</v>
      </c>
      <c r="I3246" s="450" t="s">
        <v>34380</v>
      </c>
      <c r="J3246" s="450" t="s">
        <v>22943</v>
      </c>
      <c r="K3246" s="450"/>
    </row>
    <row r="3247" spans="1:11">
      <c r="A3247" s="451" t="s">
        <v>5916</v>
      </c>
      <c r="B3247" s="451"/>
      <c r="C3247" s="451" t="s">
        <v>5917</v>
      </c>
      <c r="D3247" s="451"/>
      <c r="E3247" s="451"/>
      <c r="F3247" s="451"/>
      <c r="G3247" s="451" t="s">
        <v>22882</v>
      </c>
      <c r="H3247" s="451" t="s">
        <v>22883</v>
      </c>
      <c r="I3247" s="451"/>
      <c r="J3247" s="451" t="s">
        <v>23185</v>
      </c>
      <c r="K3247" s="451"/>
    </row>
    <row r="3248" spans="1:11">
      <c r="A3248" s="450" t="s">
        <v>5918</v>
      </c>
      <c r="B3248" s="450" t="s">
        <v>5919</v>
      </c>
      <c r="C3248" s="450" t="s">
        <v>5920</v>
      </c>
      <c r="D3248" s="450" t="s">
        <v>5921</v>
      </c>
      <c r="E3248" s="450"/>
      <c r="F3248" s="450"/>
      <c r="G3248" s="450" t="s">
        <v>22877</v>
      </c>
      <c r="H3248" s="450" t="s">
        <v>22878</v>
      </c>
      <c r="I3248" s="450" t="s">
        <v>24482</v>
      </c>
      <c r="J3248" s="450" t="s">
        <v>24483</v>
      </c>
      <c r="K3248" s="450"/>
    </row>
    <row r="3249" spans="1:11">
      <c r="A3249" s="451" t="s">
        <v>5922</v>
      </c>
      <c r="B3249" s="451"/>
      <c r="C3249" s="451" t="s">
        <v>2168</v>
      </c>
      <c r="D3249" s="451"/>
      <c r="E3249" s="451"/>
      <c r="F3249" s="451"/>
      <c r="G3249" s="451" t="s">
        <v>22877</v>
      </c>
      <c r="H3249" s="451" t="s">
        <v>22878</v>
      </c>
      <c r="I3249" s="451" t="s">
        <v>34381</v>
      </c>
      <c r="J3249" s="451" t="s">
        <v>23133</v>
      </c>
      <c r="K3249" s="451"/>
    </row>
    <row r="3250" spans="1:11">
      <c r="A3250" s="450" t="s">
        <v>24484</v>
      </c>
      <c r="B3250" s="450"/>
      <c r="C3250" s="450" t="s">
        <v>5313</v>
      </c>
      <c r="D3250" s="450"/>
      <c r="E3250" s="450"/>
      <c r="F3250" s="450"/>
      <c r="G3250" s="450" t="s">
        <v>22877</v>
      </c>
      <c r="H3250" s="450" t="s">
        <v>22878</v>
      </c>
      <c r="I3250" s="450" t="s">
        <v>24485</v>
      </c>
      <c r="J3250" s="450" t="s">
        <v>23370</v>
      </c>
      <c r="K3250" s="450"/>
    </row>
    <row r="3251" spans="1:11">
      <c r="A3251" s="451" t="s">
        <v>21080</v>
      </c>
      <c r="B3251" s="451" t="s">
        <v>34382</v>
      </c>
      <c r="C3251" s="451" t="s">
        <v>34383</v>
      </c>
      <c r="D3251" s="451"/>
      <c r="E3251" s="451"/>
      <c r="F3251" s="451"/>
      <c r="G3251" s="451" t="s">
        <v>22877</v>
      </c>
      <c r="H3251" s="451" t="s">
        <v>22878</v>
      </c>
      <c r="I3251" s="451" t="s">
        <v>21081</v>
      </c>
      <c r="J3251" s="451" t="s">
        <v>34384</v>
      </c>
      <c r="K3251" s="451"/>
    </row>
    <row r="3252" spans="1:11">
      <c r="A3252" s="450" t="s">
        <v>21080</v>
      </c>
      <c r="B3252" s="450" t="s">
        <v>21079</v>
      </c>
      <c r="C3252" s="450" t="s">
        <v>21078</v>
      </c>
      <c r="D3252" s="450" t="s">
        <v>21081</v>
      </c>
      <c r="E3252" s="450"/>
      <c r="F3252" s="450"/>
      <c r="G3252" s="450" t="s">
        <v>22877</v>
      </c>
      <c r="H3252" s="450" t="s">
        <v>22878</v>
      </c>
      <c r="I3252" s="450" t="s">
        <v>21081</v>
      </c>
      <c r="J3252" s="450" t="s">
        <v>30971</v>
      </c>
      <c r="K3252" s="450"/>
    </row>
    <row r="3253" spans="1:11">
      <c r="A3253" s="451" t="s">
        <v>24486</v>
      </c>
      <c r="B3253" s="451" t="s">
        <v>24487</v>
      </c>
      <c r="C3253" s="451" t="s">
        <v>24488</v>
      </c>
      <c r="D3253" s="451" t="s">
        <v>20998</v>
      </c>
      <c r="E3253" s="451"/>
      <c r="F3253" s="451"/>
      <c r="G3253" s="451" t="s">
        <v>22877</v>
      </c>
      <c r="H3253" s="451" t="s">
        <v>22878</v>
      </c>
      <c r="I3253" s="451" t="s">
        <v>24489</v>
      </c>
      <c r="J3253" s="451" t="s">
        <v>24490</v>
      </c>
      <c r="K3253" s="451"/>
    </row>
    <row r="3254" spans="1:11">
      <c r="A3254" s="450" t="s">
        <v>24491</v>
      </c>
      <c r="B3254" s="450" t="s">
        <v>24492</v>
      </c>
      <c r="C3254" s="450" t="s">
        <v>5925</v>
      </c>
      <c r="D3254" s="450" t="s">
        <v>5926</v>
      </c>
      <c r="E3254" s="450"/>
      <c r="F3254" s="450"/>
      <c r="G3254" s="450" t="s">
        <v>22877</v>
      </c>
      <c r="H3254" s="450" t="s">
        <v>22878</v>
      </c>
      <c r="I3254" s="450" t="s">
        <v>24493</v>
      </c>
      <c r="J3254" s="450" t="s">
        <v>24494</v>
      </c>
      <c r="K3254" s="450"/>
    </row>
    <row r="3255" spans="1:11">
      <c r="A3255" s="451" t="s">
        <v>20995</v>
      </c>
      <c r="B3255" s="451" t="s">
        <v>20996</v>
      </c>
      <c r="C3255" s="451" t="s">
        <v>20997</v>
      </c>
      <c r="D3255" s="451" t="s">
        <v>20998</v>
      </c>
      <c r="E3255" s="451"/>
      <c r="F3255" s="451"/>
      <c r="G3255" s="451" t="s">
        <v>22877</v>
      </c>
      <c r="H3255" s="451" t="s">
        <v>22878</v>
      </c>
      <c r="I3255" s="451" t="s">
        <v>20998</v>
      </c>
      <c r="J3255" s="451" t="s">
        <v>30972</v>
      </c>
      <c r="K3255" s="451"/>
    </row>
    <row r="3256" spans="1:11">
      <c r="A3256" s="450" t="s">
        <v>5923</v>
      </c>
      <c r="B3256" s="450" t="s">
        <v>5924</v>
      </c>
      <c r="C3256" s="450" t="s">
        <v>5925</v>
      </c>
      <c r="D3256" s="450" t="s">
        <v>5926</v>
      </c>
      <c r="E3256" s="450" t="s">
        <v>5927</v>
      </c>
      <c r="F3256" s="450"/>
      <c r="G3256" s="450" t="s">
        <v>22877</v>
      </c>
      <c r="H3256" s="450" t="s">
        <v>22878</v>
      </c>
      <c r="I3256" s="450" t="s">
        <v>5926</v>
      </c>
      <c r="J3256" s="450" t="s">
        <v>30973</v>
      </c>
      <c r="K3256" s="450"/>
    </row>
    <row r="3257" spans="1:11">
      <c r="A3257" s="451" t="s">
        <v>5928</v>
      </c>
      <c r="B3257" s="451" t="s">
        <v>5929</v>
      </c>
      <c r="C3257" s="451" t="s">
        <v>5930</v>
      </c>
      <c r="D3257" s="451"/>
      <c r="E3257" s="451"/>
      <c r="F3257" s="451"/>
      <c r="G3257" s="451" t="s">
        <v>22877</v>
      </c>
      <c r="H3257" s="451" t="s">
        <v>22878</v>
      </c>
      <c r="I3257" s="451" t="s">
        <v>30974</v>
      </c>
      <c r="J3257" s="451" t="s">
        <v>30975</v>
      </c>
      <c r="K3257" s="451"/>
    </row>
    <row r="3258" spans="1:11">
      <c r="A3258" s="450" t="s">
        <v>5931</v>
      </c>
      <c r="B3258" s="450"/>
      <c r="C3258" s="450" t="s">
        <v>3921</v>
      </c>
      <c r="D3258" s="450"/>
      <c r="E3258" s="450"/>
      <c r="F3258" s="450"/>
      <c r="G3258" s="450" t="s">
        <v>22877</v>
      </c>
      <c r="H3258" s="450" t="s">
        <v>22878</v>
      </c>
      <c r="I3258" s="450" t="s">
        <v>34385</v>
      </c>
      <c r="J3258" s="450" t="s">
        <v>22939</v>
      </c>
      <c r="K3258" s="450"/>
    </row>
    <row r="3259" spans="1:11">
      <c r="A3259" s="451" t="s">
        <v>24495</v>
      </c>
      <c r="B3259" s="451"/>
      <c r="C3259" s="451" t="s">
        <v>3921</v>
      </c>
      <c r="D3259" s="451"/>
      <c r="E3259" s="451"/>
      <c r="F3259" s="451"/>
      <c r="G3259" s="451" t="s">
        <v>22882</v>
      </c>
      <c r="H3259" s="451" t="s">
        <v>22883</v>
      </c>
      <c r="I3259" s="451" t="s">
        <v>24496</v>
      </c>
      <c r="J3259" s="451" t="s">
        <v>22943</v>
      </c>
      <c r="K3259" s="451"/>
    </row>
    <row r="3260" spans="1:11">
      <c r="A3260" s="450" t="s">
        <v>21179</v>
      </c>
      <c r="B3260" s="450" t="s">
        <v>21180</v>
      </c>
      <c r="C3260" s="450" t="s">
        <v>21181</v>
      </c>
      <c r="D3260" s="450" t="s">
        <v>21182</v>
      </c>
      <c r="E3260" s="450"/>
      <c r="F3260" s="450"/>
      <c r="G3260" s="450" t="s">
        <v>22877</v>
      </c>
      <c r="H3260" s="450" t="s">
        <v>22878</v>
      </c>
      <c r="I3260" s="450" t="s">
        <v>21182</v>
      </c>
      <c r="J3260" s="450" t="s">
        <v>30976</v>
      </c>
      <c r="K3260" s="450"/>
    </row>
    <row r="3261" spans="1:11">
      <c r="A3261" s="451" t="s">
        <v>5932</v>
      </c>
      <c r="B3261" s="451"/>
      <c r="C3261" s="451" t="s">
        <v>4655</v>
      </c>
      <c r="D3261" s="451"/>
      <c r="E3261" s="451"/>
      <c r="F3261" s="451"/>
      <c r="G3261" s="451" t="s">
        <v>22882</v>
      </c>
      <c r="H3261" s="451" t="s">
        <v>22883</v>
      </c>
      <c r="I3261" s="451"/>
      <c r="J3261" s="451" t="s">
        <v>22943</v>
      </c>
      <c r="K3261" s="451"/>
    </row>
    <row r="3262" spans="1:11">
      <c r="A3262" s="450" t="s">
        <v>5933</v>
      </c>
      <c r="B3262" s="450"/>
      <c r="C3262" s="450" t="s">
        <v>5934</v>
      </c>
      <c r="D3262" s="450"/>
      <c r="E3262" s="450"/>
      <c r="F3262" s="450"/>
      <c r="G3262" s="450" t="s">
        <v>22877</v>
      </c>
      <c r="H3262" s="450" t="s">
        <v>22878</v>
      </c>
      <c r="I3262" s="450" t="s">
        <v>24498</v>
      </c>
      <c r="J3262" s="450" t="s">
        <v>22997</v>
      </c>
      <c r="K3262" s="450"/>
    </row>
    <row r="3263" spans="1:11">
      <c r="A3263" s="451" t="s">
        <v>24497</v>
      </c>
      <c r="B3263" s="451"/>
      <c r="C3263" s="451" t="s">
        <v>5934</v>
      </c>
      <c r="D3263" s="451"/>
      <c r="E3263" s="451"/>
      <c r="F3263" s="451"/>
      <c r="G3263" s="451" t="s">
        <v>22877</v>
      </c>
      <c r="H3263" s="451" t="s">
        <v>22878</v>
      </c>
      <c r="I3263" s="451" t="s">
        <v>24498</v>
      </c>
      <c r="J3263" s="451" t="s">
        <v>22943</v>
      </c>
      <c r="K3263" s="451"/>
    </row>
    <row r="3264" spans="1:11">
      <c r="A3264" s="450" t="s">
        <v>34386</v>
      </c>
      <c r="B3264" s="450" t="s">
        <v>34387</v>
      </c>
      <c r="C3264" s="450" t="s">
        <v>5937</v>
      </c>
      <c r="D3264" s="450" t="s">
        <v>5938</v>
      </c>
      <c r="E3264" s="450"/>
      <c r="F3264" s="450"/>
      <c r="G3264" s="450" t="s">
        <v>22877</v>
      </c>
      <c r="H3264" s="450" t="s">
        <v>22878</v>
      </c>
      <c r="I3264" s="450" t="s">
        <v>5938</v>
      </c>
      <c r="J3264" s="450" t="s">
        <v>34388</v>
      </c>
      <c r="K3264" s="450"/>
    </row>
    <row r="3265" spans="1:11">
      <c r="A3265" s="451" t="s">
        <v>5935</v>
      </c>
      <c r="B3265" s="451" t="s">
        <v>5936</v>
      </c>
      <c r="C3265" s="451" t="s">
        <v>5937</v>
      </c>
      <c r="D3265" s="451" t="s">
        <v>5938</v>
      </c>
      <c r="E3265" s="451"/>
      <c r="F3265" s="451"/>
      <c r="G3265" s="451" t="s">
        <v>22877</v>
      </c>
      <c r="H3265" s="451" t="s">
        <v>22878</v>
      </c>
      <c r="I3265" s="451" t="s">
        <v>5938</v>
      </c>
      <c r="J3265" s="451" t="s">
        <v>30977</v>
      </c>
      <c r="K3265" s="451"/>
    </row>
    <row r="3266" spans="1:11">
      <c r="A3266" s="450" t="s">
        <v>5939</v>
      </c>
      <c r="B3266" s="450"/>
      <c r="C3266" s="450" t="s">
        <v>5940</v>
      </c>
      <c r="D3266" s="450"/>
      <c r="E3266" s="450"/>
      <c r="F3266" s="450"/>
      <c r="G3266" s="450" t="s">
        <v>22877</v>
      </c>
      <c r="H3266" s="450" t="s">
        <v>22878</v>
      </c>
      <c r="I3266" s="450" t="s">
        <v>34389</v>
      </c>
      <c r="J3266" s="450" t="s">
        <v>22939</v>
      </c>
      <c r="K3266" s="450"/>
    </row>
    <row r="3267" spans="1:11">
      <c r="A3267" s="451" t="s">
        <v>34390</v>
      </c>
      <c r="B3267" s="451"/>
      <c r="C3267" s="451" t="s">
        <v>5940</v>
      </c>
      <c r="D3267" s="451"/>
      <c r="E3267" s="451"/>
      <c r="F3267" s="451"/>
      <c r="G3267" s="451" t="s">
        <v>22877</v>
      </c>
      <c r="H3267" s="451" t="s">
        <v>22878</v>
      </c>
      <c r="I3267" s="451" t="s">
        <v>34389</v>
      </c>
      <c r="J3267" s="451" t="s">
        <v>22943</v>
      </c>
      <c r="K3267" s="451"/>
    </row>
    <row r="3268" spans="1:11">
      <c r="A3268" s="450" t="s">
        <v>5941</v>
      </c>
      <c r="B3268" s="450"/>
      <c r="C3268" s="450" t="s">
        <v>5942</v>
      </c>
      <c r="D3268" s="450"/>
      <c r="E3268" s="450"/>
      <c r="F3268" s="450"/>
      <c r="G3268" s="450" t="s">
        <v>22882</v>
      </c>
      <c r="H3268" s="450" t="s">
        <v>22883</v>
      </c>
      <c r="I3268" s="450" t="s">
        <v>24499</v>
      </c>
      <c r="J3268" s="450" t="s">
        <v>22997</v>
      </c>
      <c r="K3268" s="450"/>
    </row>
    <row r="3269" spans="1:11">
      <c r="A3269" s="451" t="s">
        <v>24500</v>
      </c>
      <c r="B3269" s="451" t="s">
        <v>24501</v>
      </c>
      <c r="C3269" s="451" t="s">
        <v>24502</v>
      </c>
      <c r="D3269" s="451"/>
      <c r="E3269" s="451"/>
      <c r="F3269" s="451"/>
      <c r="G3269" s="451" t="s">
        <v>22877</v>
      </c>
      <c r="H3269" s="451" t="s">
        <v>22878</v>
      </c>
      <c r="I3269" s="451" t="s">
        <v>24503</v>
      </c>
      <c r="J3269" s="451" t="s">
        <v>24504</v>
      </c>
      <c r="K3269" s="451"/>
    </row>
    <row r="3270" spans="1:11">
      <c r="A3270" s="450" t="s">
        <v>24505</v>
      </c>
      <c r="B3270" s="450" t="s">
        <v>24506</v>
      </c>
      <c r="C3270" s="450" t="s">
        <v>24507</v>
      </c>
      <c r="D3270" s="450"/>
      <c r="E3270" s="450"/>
      <c r="F3270" s="450"/>
      <c r="G3270" s="450" t="s">
        <v>22877</v>
      </c>
      <c r="H3270" s="450" t="s">
        <v>22878</v>
      </c>
      <c r="I3270" s="450" t="s">
        <v>24508</v>
      </c>
      <c r="J3270" s="450" t="s">
        <v>24509</v>
      </c>
      <c r="K3270" s="450"/>
    </row>
    <row r="3271" spans="1:11">
      <c r="A3271" s="451" t="s">
        <v>5943</v>
      </c>
      <c r="B3271" s="451" t="s">
        <v>5944</v>
      </c>
      <c r="C3271" s="451" t="s">
        <v>5945</v>
      </c>
      <c r="D3271" s="451" t="s">
        <v>5946</v>
      </c>
      <c r="E3271" s="451"/>
      <c r="F3271" s="451"/>
      <c r="G3271" s="451" t="s">
        <v>23052</v>
      </c>
      <c r="H3271" s="451" t="s">
        <v>22878</v>
      </c>
      <c r="I3271" s="451" t="s">
        <v>34391</v>
      </c>
      <c r="J3271" s="451" t="s">
        <v>5944</v>
      </c>
      <c r="K3271" s="451"/>
    </row>
    <row r="3272" spans="1:11">
      <c r="A3272" s="450" t="s">
        <v>5943</v>
      </c>
      <c r="B3272" s="450" t="s">
        <v>5944</v>
      </c>
      <c r="C3272" s="450" t="s">
        <v>5945</v>
      </c>
      <c r="D3272" s="450" t="s">
        <v>5946</v>
      </c>
      <c r="E3272" s="450" t="s">
        <v>5947</v>
      </c>
      <c r="F3272" s="450"/>
      <c r="G3272" s="450" t="s">
        <v>22882</v>
      </c>
      <c r="H3272" s="450" t="s">
        <v>22883</v>
      </c>
      <c r="I3272" s="450"/>
      <c r="J3272" s="450" t="s">
        <v>30978</v>
      </c>
      <c r="K3272" s="450"/>
    </row>
    <row r="3273" spans="1:11">
      <c r="A3273" s="451" t="s">
        <v>24510</v>
      </c>
      <c r="B3273" s="451" t="s">
        <v>5957</v>
      </c>
      <c r="C3273" s="451" t="s">
        <v>5958</v>
      </c>
      <c r="D3273" s="451" t="s">
        <v>5959</v>
      </c>
      <c r="E3273" s="451"/>
      <c r="F3273" s="451"/>
      <c r="G3273" s="451" t="s">
        <v>22882</v>
      </c>
      <c r="H3273" s="451" t="s">
        <v>22883</v>
      </c>
      <c r="I3273" s="451" t="s">
        <v>5959</v>
      </c>
      <c r="J3273" s="451" t="s">
        <v>24511</v>
      </c>
      <c r="K3273" s="451"/>
    </row>
    <row r="3274" spans="1:11">
      <c r="A3274" s="450" t="s">
        <v>5948</v>
      </c>
      <c r="B3274" s="450" t="s">
        <v>5949</v>
      </c>
      <c r="C3274" s="450" t="s">
        <v>5950</v>
      </c>
      <c r="D3274" s="450"/>
      <c r="E3274" s="450"/>
      <c r="F3274" s="450"/>
      <c r="G3274" s="450" t="s">
        <v>22882</v>
      </c>
      <c r="H3274" s="450" t="s">
        <v>22883</v>
      </c>
      <c r="I3274" s="450" t="s">
        <v>24512</v>
      </c>
      <c r="J3274" s="450" t="s">
        <v>24513</v>
      </c>
      <c r="K3274" s="450"/>
    </row>
    <row r="3275" spans="1:11">
      <c r="A3275" s="451" t="s">
        <v>5951</v>
      </c>
      <c r="B3275" s="451" t="s">
        <v>5952</v>
      </c>
      <c r="C3275" s="451" t="s">
        <v>5953</v>
      </c>
      <c r="D3275" s="451" t="s">
        <v>5954</v>
      </c>
      <c r="E3275" s="451"/>
      <c r="F3275" s="451"/>
      <c r="G3275" s="451" t="s">
        <v>22882</v>
      </c>
      <c r="H3275" s="451" t="s">
        <v>22883</v>
      </c>
      <c r="I3275" s="451" t="s">
        <v>5954</v>
      </c>
      <c r="J3275" s="451" t="s">
        <v>24514</v>
      </c>
      <c r="K3275" s="451"/>
    </row>
    <row r="3276" spans="1:11">
      <c r="A3276" s="450" t="s">
        <v>5951</v>
      </c>
      <c r="B3276" s="450" t="s">
        <v>5952</v>
      </c>
      <c r="C3276" s="450" t="s">
        <v>5953</v>
      </c>
      <c r="D3276" s="450" t="s">
        <v>5954</v>
      </c>
      <c r="E3276" s="450" t="s">
        <v>5955</v>
      </c>
      <c r="F3276" s="450"/>
      <c r="G3276" s="450" t="s">
        <v>22882</v>
      </c>
      <c r="H3276" s="450" t="s">
        <v>22883</v>
      </c>
      <c r="I3276" s="450"/>
      <c r="J3276" s="450" t="s">
        <v>24514</v>
      </c>
      <c r="K3276" s="450"/>
    </row>
    <row r="3277" spans="1:11">
      <c r="A3277" s="451" t="s">
        <v>5956</v>
      </c>
      <c r="B3277" s="451" t="s">
        <v>5957</v>
      </c>
      <c r="C3277" s="451" t="s">
        <v>5958</v>
      </c>
      <c r="D3277" s="451" t="s">
        <v>5959</v>
      </c>
      <c r="E3277" s="451"/>
      <c r="F3277" s="451"/>
      <c r="G3277" s="451" t="s">
        <v>22882</v>
      </c>
      <c r="H3277" s="451" t="s">
        <v>22883</v>
      </c>
      <c r="I3277" s="451"/>
      <c r="J3277" s="451" t="s">
        <v>30979</v>
      </c>
      <c r="K3277" s="451"/>
    </row>
    <row r="3278" spans="1:11">
      <c r="A3278" s="450" t="s">
        <v>21605</v>
      </c>
      <c r="B3278" s="450"/>
      <c r="C3278" s="450" t="s">
        <v>5960</v>
      </c>
      <c r="D3278" s="450"/>
      <c r="E3278" s="450"/>
      <c r="F3278" s="450"/>
      <c r="G3278" s="450" t="s">
        <v>22882</v>
      </c>
      <c r="H3278" s="450" t="s">
        <v>22883</v>
      </c>
      <c r="I3278" s="450" t="s">
        <v>34392</v>
      </c>
      <c r="J3278" s="450" t="s">
        <v>22939</v>
      </c>
      <c r="K3278" s="450"/>
    </row>
    <row r="3279" spans="1:11">
      <c r="A3279" s="451" t="s">
        <v>30980</v>
      </c>
      <c r="B3279" s="451"/>
      <c r="C3279" s="451" t="s">
        <v>24515</v>
      </c>
      <c r="D3279" s="451"/>
      <c r="E3279" s="451"/>
      <c r="F3279" s="451"/>
      <c r="G3279" s="451" t="s">
        <v>22882</v>
      </c>
      <c r="H3279" s="451" t="s">
        <v>22883</v>
      </c>
      <c r="I3279" s="451" t="s">
        <v>24516</v>
      </c>
      <c r="J3279" s="451" t="s">
        <v>23185</v>
      </c>
      <c r="K3279" s="451"/>
    </row>
    <row r="3280" spans="1:11">
      <c r="A3280" s="450" t="s">
        <v>34393</v>
      </c>
      <c r="B3280" s="450" t="s">
        <v>5962</v>
      </c>
      <c r="C3280" s="450" t="s">
        <v>2560</v>
      </c>
      <c r="D3280" s="450"/>
      <c r="E3280" s="450"/>
      <c r="F3280" s="450"/>
      <c r="G3280" s="450" t="s">
        <v>22882</v>
      </c>
      <c r="H3280" s="450" t="s">
        <v>22883</v>
      </c>
      <c r="I3280" s="450" t="s">
        <v>34394</v>
      </c>
      <c r="J3280" s="450" t="s">
        <v>34395</v>
      </c>
      <c r="K3280" s="450"/>
    </row>
    <row r="3281" spans="1:11">
      <c r="A3281" s="451" t="s">
        <v>5961</v>
      </c>
      <c r="B3281" s="451" t="s">
        <v>5962</v>
      </c>
      <c r="C3281" s="451" t="s">
        <v>2560</v>
      </c>
      <c r="D3281" s="451"/>
      <c r="E3281" s="451"/>
      <c r="F3281" s="451"/>
      <c r="G3281" s="451" t="s">
        <v>22877</v>
      </c>
      <c r="H3281" s="451" t="s">
        <v>22878</v>
      </c>
      <c r="I3281" s="451" t="s">
        <v>30981</v>
      </c>
      <c r="J3281" s="451" t="s">
        <v>30982</v>
      </c>
      <c r="K3281" s="451"/>
    </row>
    <row r="3282" spans="1:11">
      <c r="A3282" s="450" t="s">
        <v>5963</v>
      </c>
      <c r="B3282" s="450"/>
      <c r="C3282" s="450" t="s">
        <v>3124</v>
      </c>
      <c r="D3282" s="450"/>
      <c r="E3282" s="450"/>
      <c r="F3282" s="450"/>
      <c r="G3282" s="450" t="s">
        <v>22877</v>
      </c>
      <c r="H3282" s="450" t="s">
        <v>22878</v>
      </c>
      <c r="I3282" s="450" t="s">
        <v>34396</v>
      </c>
      <c r="J3282" s="450" t="s">
        <v>22997</v>
      </c>
      <c r="K3282" s="450"/>
    </row>
    <row r="3283" spans="1:11">
      <c r="A3283" s="451" t="s">
        <v>5968</v>
      </c>
      <c r="B3283" s="451"/>
      <c r="C3283" s="451" t="s">
        <v>5969</v>
      </c>
      <c r="D3283" s="451"/>
      <c r="E3283" s="451"/>
      <c r="F3283" s="451"/>
      <c r="G3283" s="451" t="s">
        <v>22877</v>
      </c>
      <c r="H3283" s="451" t="s">
        <v>22878</v>
      </c>
      <c r="I3283" s="451" t="s">
        <v>24517</v>
      </c>
      <c r="J3283" s="451" t="s">
        <v>22943</v>
      </c>
      <c r="K3283" s="451"/>
    </row>
    <row r="3284" spans="1:11">
      <c r="A3284" s="450" t="s">
        <v>34397</v>
      </c>
      <c r="B3284" s="450" t="s">
        <v>34398</v>
      </c>
      <c r="C3284" s="450" t="s">
        <v>5965</v>
      </c>
      <c r="D3284" s="450" t="s">
        <v>5966</v>
      </c>
      <c r="E3284" s="450"/>
      <c r="F3284" s="450"/>
      <c r="G3284" s="450" t="s">
        <v>22877</v>
      </c>
      <c r="H3284" s="450" t="s">
        <v>22878</v>
      </c>
      <c r="I3284" s="450" t="s">
        <v>5973</v>
      </c>
      <c r="J3284" s="450" t="s">
        <v>34399</v>
      </c>
      <c r="K3284" s="450"/>
    </row>
    <row r="3285" spans="1:11">
      <c r="A3285" s="451" t="s">
        <v>5970</v>
      </c>
      <c r="B3285" s="451" t="s">
        <v>5971</v>
      </c>
      <c r="C3285" s="451" t="s">
        <v>5972</v>
      </c>
      <c r="D3285" s="451" t="s">
        <v>5973</v>
      </c>
      <c r="E3285" s="451"/>
      <c r="F3285" s="451" t="s">
        <v>34400</v>
      </c>
      <c r="G3285" s="451" t="s">
        <v>22877</v>
      </c>
      <c r="H3285" s="451" t="s">
        <v>22878</v>
      </c>
      <c r="I3285" s="451" t="s">
        <v>5973</v>
      </c>
      <c r="J3285" s="451" t="s">
        <v>24518</v>
      </c>
      <c r="K3285" s="451"/>
    </row>
    <row r="3286" spans="1:11">
      <c r="A3286" s="450" t="s">
        <v>5970</v>
      </c>
      <c r="B3286" s="450" t="s">
        <v>5971</v>
      </c>
      <c r="C3286" s="450" t="s">
        <v>5972</v>
      </c>
      <c r="D3286" s="450" t="s">
        <v>5973</v>
      </c>
      <c r="E3286" s="450" t="s">
        <v>5974</v>
      </c>
      <c r="F3286" s="450" t="s">
        <v>5975</v>
      </c>
      <c r="G3286" s="450" t="s">
        <v>22877</v>
      </c>
      <c r="H3286" s="450" t="s">
        <v>22878</v>
      </c>
      <c r="I3286" s="450" t="s">
        <v>5973</v>
      </c>
      <c r="J3286" s="450" t="s">
        <v>24518</v>
      </c>
      <c r="K3286" s="450"/>
    </row>
    <row r="3287" spans="1:11">
      <c r="A3287" s="451" t="s">
        <v>21606</v>
      </c>
      <c r="B3287" s="451" t="s">
        <v>5964</v>
      </c>
      <c r="C3287" s="451" t="s">
        <v>5965</v>
      </c>
      <c r="D3287" s="451" t="s">
        <v>5966</v>
      </c>
      <c r="E3287" s="451" t="s">
        <v>5967</v>
      </c>
      <c r="F3287" s="451"/>
      <c r="G3287" s="451" t="s">
        <v>22877</v>
      </c>
      <c r="H3287" s="451" t="s">
        <v>22878</v>
      </c>
      <c r="I3287" s="451" t="s">
        <v>5966</v>
      </c>
      <c r="J3287" s="451" t="s">
        <v>30983</v>
      </c>
      <c r="K3287" s="451"/>
    </row>
    <row r="3288" spans="1:11">
      <c r="A3288" s="450" t="s">
        <v>34401</v>
      </c>
      <c r="B3288" s="450"/>
      <c r="C3288" s="450" t="s">
        <v>3127</v>
      </c>
      <c r="D3288" s="450"/>
      <c r="E3288" s="450"/>
      <c r="F3288" s="450"/>
      <c r="G3288" s="450" t="s">
        <v>22877</v>
      </c>
      <c r="H3288" s="450" t="s">
        <v>22878</v>
      </c>
      <c r="I3288" s="450" t="s">
        <v>24519</v>
      </c>
      <c r="J3288" s="450" t="s">
        <v>22943</v>
      </c>
      <c r="K3288" s="450"/>
    </row>
    <row r="3289" spans="1:11">
      <c r="A3289" s="451" t="s">
        <v>21607</v>
      </c>
      <c r="B3289" s="451"/>
      <c r="C3289" s="451" t="s">
        <v>3127</v>
      </c>
      <c r="D3289" s="451"/>
      <c r="E3289" s="451"/>
      <c r="F3289" s="451"/>
      <c r="G3289" s="451" t="s">
        <v>22877</v>
      </c>
      <c r="H3289" s="451" t="s">
        <v>22878</v>
      </c>
      <c r="I3289" s="451" t="s">
        <v>24519</v>
      </c>
      <c r="J3289" s="451" t="s">
        <v>22939</v>
      </c>
      <c r="K3289" s="451"/>
    </row>
    <row r="3290" spans="1:11">
      <c r="A3290" s="450" t="s">
        <v>5976</v>
      </c>
      <c r="B3290" s="450" t="s">
        <v>5977</v>
      </c>
      <c r="C3290" s="450" t="s">
        <v>5978</v>
      </c>
      <c r="D3290" s="450" t="s">
        <v>5979</v>
      </c>
      <c r="E3290" s="450"/>
      <c r="F3290" s="450"/>
      <c r="G3290" s="450" t="s">
        <v>22882</v>
      </c>
      <c r="H3290" s="450" t="s">
        <v>22883</v>
      </c>
      <c r="I3290" s="450" t="s">
        <v>5979</v>
      </c>
      <c r="J3290" s="450" t="s">
        <v>24520</v>
      </c>
      <c r="K3290" s="450"/>
    </row>
    <row r="3291" spans="1:11">
      <c r="A3291" s="451" t="s">
        <v>22122</v>
      </c>
      <c r="B3291" s="451"/>
      <c r="C3291" s="451" t="s">
        <v>5980</v>
      </c>
      <c r="D3291" s="451"/>
      <c r="E3291" s="451"/>
      <c r="F3291" s="451"/>
      <c r="G3291" s="451" t="s">
        <v>22877</v>
      </c>
      <c r="H3291" s="451" t="s">
        <v>22878</v>
      </c>
      <c r="I3291" s="451"/>
      <c r="J3291" s="451" t="s">
        <v>23121</v>
      </c>
      <c r="K3291" s="451"/>
    </row>
    <row r="3292" spans="1:11">
      <c r="A3292" s="450" t="s">
        <v>5981</v>
      </c>
      <c r="B3292" s="450"/>
      <c r="C3292" s="450" t="s">
        <v>5905</v>
      </c>
      <c r="D3292" s="450"/>
      <c r="E3292" s="450"/>
      <c r="F3292" s="450"/>
      <c r="G3292" s="450" t="s">
        <v>22877</v>
      </c>
      <c r="H3292" s="450" t="s">
        <v>22878</v>
      </c>
      <c r="I3292" s="450" t="s">
        <v>34370</v>
      </c>
      <c r="J3292" s="450" t="s">
        <v>23133</v>
      </c>
      <c r="K3292" s="450"/>
    </row>
    <row r="3293" spans="1:11">
      <c r="A3293" s="451" t="s">
        <v>21608</v>
      </c>
      <c r="B3293" s="451"/>
      <c r="C3293" s="451" t="s">
        <v>5982</v>
      </c>
      <c r="D3293" s="451"/>
      <c r="E3293" s="451"/>
      <c r="F3293" s="451"/>
      <c r="G3293" s="451" t="s">
        <v>22882</v>
      </c>
      <c r="H3293" s="451" t="s">
        <v>22883</v>
      </c>
      <c r="I3293" s="451"/>
      <c r="J3293" s="451" t="s">
        <v>22939</v>
      </c>
      <c r="K3293" s="451"/>
    </row>
    <row r="3294" spans="1:11">
      <c r="A3294" s="450" t="s">
        <v>5983</v>
      </c>
      <c r="B3294" s="450"/>
      <c r="C3294" s="450" t="s">
        <v>5984</v>
      </c>
      <c r="D3294" s="450"/>
      <c r="E3294" s="450"/>
      <c r="F3294" s="450"/>
      <c r="G3294" s="450" t="s">
        <v>22882</v>
      </c>
      <c r="H3294" s="450" t="s">
        <v>22883</v>
      </c>
      <c r="I3294" s="450"/>
      <c r="J3294" s="450" t="s">
        <v>22939</v>
      </c>
      <c r="K3294" s="450"/>
    </row>
    <row r="3295" spans="1:11">
      <c r="A3295" s="451" t="s">
        <v>5985</v>
      </c>
      <c r="B3295" s="451"/>
      <c r="C3295" s="451" t="s">
        <v>5986</v>
      </c>
      <c r="D3295" s="451"/>
      <c r="E3295" s="451"/>
      <c r="F3295" s="451"/>
      <c r="G3295" s="451" t="s">
        <v>22877</v>
      </c>
      <c r="H3295" s="451" t="s">
        <v>22878</v>
      </c>
      <c r="I3295" s="451" t="s">
        <v>30984</v>
      </c>
      <c r="J3295" s="451" t="s">
        <v>22943</v>
      </c>
      <c r="K3295" s="451"/>
    </row>
    <row r="3296" spans="1:11">
      <c r="A3296" s="450" t="s">
        <v>5987</v>
      </c>
      <c r="B3296" s="450" t="s">
        <v>5988</v>
      </c>
      <c r="C3296" s="450" t="s">
        <v>5989</v>
      </c>
      <c r="D3296" s="450" t="s">
        <v>5990</v>
      </c>
      <c r="E3296" s="450" t="s">
        <v>5991</v>
      </c>
      <c r="F3296" s="450"/>
      <c r="G3296" s="450" t="s">
        <v>22877</v>
      </c>
      <c r="H3296" s="450" t="s">
        <v>22878</v>
      </c>
      <c r="I3296" s="450" t="s">
        <v>5990</v>
      </c>
      <c r="J3296" s="450" t="s">
        <v>30985</v>
      </c>
      <c r="K3296" s="450"/>
    </row>
    <row r="3297" spans="1:11">
      <c r="A3297" s="451" t="s">
        <v>5992</v>
      </c>
      <c r="B3297" s="451"/>
      <c r="C3297" s="451" t="s">
        <v>5250</v>
      </c>
      <c r="D3297" s="451"/>
      <c r="E3297" s="451"/>
      <c r="F3297" s="451"/>
      <c r="G3297" s="451" t="s">
        <v>22877</v>
      </c>
      <c r="H3297" s="451" t="s">
        <v>22878</v>
      </c>
      <c r="I3297" s="451" t="s">
        <v>34402</v>
      </c>
      <c r="J3297" s="451" t="s">
        <v>22943</v>
      </c>
      <c r="K3297" s="451"/>
    </row>
    <row r="3298" spans="1:11">
      <c r="A3298" s="450" t="s">
        <v>5993</v>
      </c>
      <c r="B3298" s="450"/>
      <c r="C3298" s="450" t="s">
        <v>2098</v>
      </c>
      <c r="D3298" s="450"/>
      <c r="E3298" s="450"/>
      <c r="F3298" s="450"/>
      <c r="G3298" s="450" t="s">
        <v>22882</v>
      </c>
      <c r="H3298" s="450" t="s">
        <v>22883</v>
      </c>
      <c r="I3298" s="450"/>
      <c r="J3298" s="450" t="s">
        <v>22943</v>
      </c>
      <c r="K3298" s="450"/>
    </row>
    <row r="3299" spans="1:11">
      <c r="A3299" s="451" t="s">
        <v>5994</v>
      </c>
      <c r="B3299" s="451"/>
      <c r="C3299" s="451" t="s">
        <v>5995</v>
      </c>
      <c r="D3299" s="451"/>
      <c r="E3299" s="451"/>
      <c r="F3299" s="451"/>
      <c r="G3299" s="451" t="s">
        <v>22882</v>
      </c>
      <c r="H3299" s="451" t="s">
        <v>22883</v>
      </c>
      <c r="I3299" s="451"/>
      <c r="J3299" s="451" t="s">
        <v>22943</v>
      </c>
      <c r="K3299" s="451"/>
    </row>
    <row r="3300" spans="1:11">
      <c r="A3300" s="450" t="s">
        <v>5996</v>
      </c>
      <c r="B3300" s="450"/>
      <c r="C3300" s="450" t="s">
        <v>2684</v>
      </c>
      <c r="D3300" s="450"/>
      <c r="E3300" s="450"/>
      <c r="F3300" s="450"/>
      <c r="G3300" s="450" t="s">
        <v>22877</v>
      </c>
      <c r="H3300" s="450" t="s">
        <v>22878</v>
      </c>
      <c r="I3300" s="450" t="s">
        <v>24584</v>
      </c>
      <c r="J3300" s="450" t="s">
        <v>22943</v>
      </c>
      <c r="K3300" s="450"/>
    </row>
    <row r="3301" spans="1:11">
      <c r="A3301" s="451" t="s">
        <v>21609</v>
      </c>
      <c r="B3301" s="451" t="s">
        <v>5997</v>
      </c>
      <c r="C3301" s="451" t="s">
        <v>5998</v>
      </c>
      <c r="D3301" s="451" t="s">
        <v>5999</v>
      </c>
      <c r="E3301" s="451"/>
      <c r="F3301" s="451" t="s">
        <v>6000</v>
      </c>
      <c r="G3301" s="451" t="s">
        <v>22882</v>
      </c>
      <c r="H3301" s="451" t="s">
        <v>22883</v>
      </c>
      <c r="I3301" s="451"/>
      <c r="J3301" s="451" t="s">
        <v>30986</v>
      </c>
      <c r="K3301" s="451"/>
    </row>
    <row r="3302" spans="1:11">
      <c r="A3302" s="450" t="s">
        <v>21610</v>
      </c>
      <c r="B3302" s="450" t="s">
        <v>6001</v>
      </c>
      <c r="C3302" s="450" t="s">
        <v>6002</v>
      </c>
      <c r="D3302" s="450" t="s">
        <v>6003</v>
      </c>
      <c r="E3302" s="450" t="s">
        <v>6004</v>
      </c>
      <c r="F3302" s="450"/>
      <c r="G3302" s="450" t="s">
        <v>22877</v>
      </c>
      <c r="H3302" s="450" t="s">
        <v>22878</v>
      </c>
      <c r="I3302" s="450" t="s">
        <v>6003</v>
      </c>
      <c r="J3302" s="450" t="s">
        <v>30987</v>
      </c>
      <c r="K3302" s="450"/>
    </row>
    <row r="3303" spans="1:11">
      <c r="A3303" s="451" t="s">
        <v>6005</v>
      </c>
      <c r="B3303" s="451"/>
      <c r="C3303" s="451" t="s">
        <v>6006</v>
      </c>
      <c r="D3303" s="451"/>
      <c r="E3303" s="451"/>
      <c r="F3303" s="451"/>
      <c r="G3303" s="451" t="s">
        <v>22877</v>
      </c>
      <c r="H3303" s="451" t="s">
        <v>22878</v>
      </c>
      <c r="I3303" s="451"/>
      <c r="J3303" s="451" t="s">
        <v>22943</v>
      </c>
      <c r="K3303" s="451"/>
    </row>
    <row r="3304" spans="1:11">
      <c r="A3304" s="450" t="s">
        <v>6007</v>
      </c>
      <c r="B3304" s="450"/>
      <c r="C3304" s="450" t="s">
        <v>6008</v>
      </c>
      <c r="D3304" s="450"/>
      <c r="E3304" s="450"/>
      <c r="F3304" s="450"/>
      <c r="G3304" s="450" t="s">
        <v>22877</v>
      </c>
      <c r="H3304" s="450" t="s">
        <v>22878</v>
      </c>
      <c r="I3304" s="450"/>
      <c r="J3304" s="450" t="s">
        <v>22997</v>
      </c>
      <c r="K3304" s="450"/>
    </row>
    <row r="3305" spans="1:11">
      <c r="A3305" s="451" t="s">
        <v>6009</v>
      </c>
      <c r="B3305" s="451" t="s">
        <v>6010</v>
      </c>
      <c r="C3305" s="451" t="s">
        <v>6011</v>
      </c>
      <c r="D3305" s="451" t="s">
        <v>6012</v>
      </c>
      <c r="E3305" s="451" t="s">
        <v>6013</v>
      </c>
      <c r="F3305" s="451"/>
      <c r="G3305" s="451" t="s">
        <v>22877</v>
      </c>
      <c r="H3305" s="451" t="s">
        <v>22878</v>
      </c>
      <c r="I3305" s="451" t="s">
        <v>6012</v>
      </c>
      <c r="J3305" s="451" t="s">
        <v>30988</v>
      </c>
      <c r="K3305" s="451"/>
    </row>
    <row r="3306" spans="1:11">
      <c r="A3306" s="450" t="s">
        <v>6014</v>
      </c>
      <c r="B3306" s="450"/>
      <c r="C3306" s="450" t="s">
        <v>4548</v>
      </c>
      <c r="D3306" s="450"/>
      <c r="E3306" s="450"/>
      <c r="F3306" s="450"/>
      <c r="G3306" s="450" t="s">
        <v>22877</v>
      </c>
      <c r="H3306" s="450" t="s">
        <v>22878</v>
      </c>
      <c r="I3306" s="450" t="s">
        <v>30989</v>
      </c>
      <c r="J3306" s="450" t="s">
        <v>22939</v>
      </c>
      <c r="K3306" s="450"/>
    </row>
    <row r="3307" spans="1:11">
      <c r="A3307" s="451" t="s">
        <v>6015</v>
      </c>
      <c r="B3307" s="451" t="s">
        <v>6016</v>
      </c>
      <c r="C3307" s="451" t="s">
        <v>6017</v>
      </c>
      <c r="D3307" s="451"/>
      <c r="E3307" s="451"/>
      <c r="F3307" s="451"/>
      <c r="G3307" s="451" t="s">
        <v>22877</v>
      </c>
      <c r="H3307" s="451" t="s">
        <v>22878</v>
      </c>
      <c r="I3307" s="451" t="s">
        <v>24523</v>
      </c>
      <c r="J3307" s="451" t="s">
        <v>34403</v>
      </c>
      <c r="K3307" s="451"/>
    </row>
    <row r="3308" spans="1:11">
      <c r="A3308" s="450" t="s">
        <v>24521</v>
      </c>
      <c r="B3308" s="450" t="s">
        <v>24522</v>
      </c>
      <c r="C3308" s="450" t="s">
        <v>6017</v>
      </c>
      <c r="D3308" s="450"/>
      <c r="E3308" s="450"/>
      <c r="F3308" s="450"/>
      <c r="G3308" s="450" t="s">
        <v>22877</v>
      </c>
      <c r="H3308" s="450" t="s">
        <v>22878</v>
      </c>
      <c r="I3308" s="450" t="s">
        <v>24523</v>
      </c>
      <c r="J3308" s="450" t="s">
        <v>24524</v>
      </c>
      <c r="K3308" s="450"/>
    </row>
    <row r="3309" spans="1:11">
      <c r="A3309" s="451" t="s">
        <v>34404</v>
      </c>
      <c r="B3309" s="451" t="s">
        <v>34405</v>
      </c>
      <c r="C3309" s="451" t="s">
        <v>34406</v>
      </c>
      <c r="D3309" s="451"/>
      <c r="E3309" s="451"/>
      <c r="F3309" s="451"/>
      <c r="G3309" s="451" t="s">
        <v>22877</v>
      </c>
      <c r="H3309" s="451" t="s">
        <v>22878</v>
      </c>
      <c r="I3309" s="451" t="s">
        <v>24525</v>
      </c>
      <c r="J3309" s="451" t="s">
        <v>34407</v>
      </c>
      <c r="K3309" s="451"/>
    </row>
    <row r="3310" spans="1:11">
      <c r="A3310" s="450" t="s">
        <v>6018</v>
      </c>
      <c r="B3310" s="450" t="s">
        <v>6019</v>
      </c>
      <c r="C3310" s="450" t="s">
        <v>6020</v>
      </c>
      <c r="D3310" s="450"/>
      <c r="E3310" s="450"/>
      <c r="F3310" s="450"/>
      <c r="G3310" s="450" t="s">
        <v>22882</v>
      </c>
      <c r="H3310" s="450" t="s">
        <v>22883</v>
      </c>
      <c r="I3310" s="450" t="s">
        <v>24525</v>
      </c>
      <c r="J3310" s="450" t="s">
        <v>24526</v>
      </c>
      <c r="K3310" s="450"/>
    </row>
    <row r="3311" spans="1:11">
      <c r="A3311" s="451" t="s">
        <v>6021</v>
      </c>
      <c r="B3311" s="451" t="s">
        <v>6022</v>
      </c>
      <c r="C3311" s="451" t="s">
        <v>6023</v>
      </c>
      <c r="D3311" s="451" t="s">
        <v>6024</v>
      </c>
      <c r="E3311" s="451"/>
      <c r="F3311" s="451"/>
      <c r="G3311" s="451" t="s">
        <v>22877</v>
      </c>
      <c r="H3311" s="451" t="s">
        <v>22878</v>
      </c>
      <c r="I3311" s="451" t="s">
        <v>24527</v>
      </c>
      <c r="J3311" s="451" t="s">
        <v>24528</v>
      </c>
      <c r="K3311" s="451"/>
    </row>
    <row r="3312" spans="1:11">
      <c r="A3312" s="450" t="s">
        <v>34408</v>
      </c>
      <c r="B3312" s="450"/>
      <c r="C3312" s="450" t="s">
        <v>6026</v>
      </c>
      <c r="D3312" s="450"/>
      <c r="E3312" s="450"/>
      <c r="F3312" s="450"/>
      <c r="G3312" s="450" t="s">
        <v>22877</v>
      </c>
      <c r="H3312" s="450" t="s">
        <v>22878</v>
      </c>
      <c r="I3312" s="450" t="s">
        <v>24529</v>
      </c>
      <c r="J3312" s="450" t="s">
        <v>22943</v>
      </c>
      <c r="K3312" s="450"/>
    </row>
    <row r="3313" spans="1:11">
      <c r="A3313" s="451" t="s">
        <v>6025</v>
      </c>
      <c r="B3313" s="451"/>
      <c r="C3313" s="451" t="s">
        <v>6026</v>
      </c>
      <c r="D3313" s="451"/>
      <c r="E3313" s="451"/>
      <c r="F3313" s="451"/>
      <c r="G3313" s="451" t="s">
        <v>22877</v>
      </c>
      <c r="H3313" s="451" t="s">
        <v>22878</v>
      </c>
      <c r="I3313" s="451" t="s">
        <v>24529</v>
      </c>
      <c r="J3313" s="451" t="s">
        <v>22939</v>
      </c>
      <c r="K3313" s="451"/>
    </row>
    <row r="3314" spans="1:11">
      <c r="A3314" s="450" t="s">
        <v>34409</v>
      </c>
      <c r="B3314" s="450" t="s">
        <v>6028</v>
      </c>
      <c r="C3314" s="450" t="s">
        <v>6029</v>
      </c>
      <c r="D3314" s="450" t="s">
        <v>6030</v>
      </c>
      <c r="E3314" s="450"/>
      <c r="F3314" s="450"/>
      <c r="G3314" s="450" t="s">
        <v>22877</v>
      </c>
      <c r="H3314" s="450" t="s">
        <v>22878</v>
      </c>
      <c r="I3314" s="450" t="s">
        <v>6030</v>
      </c>
      <c r="J3314" s="450" t="s">
        <v>34410</v>
      </c>
      <c r="K3314" s="450"/>
    </row>
    <row r="3315" spans="1:11">
      <c r="A3315" s="451" t="s">
        <v>6027</v>
      </c>
      <c r="B3315" s="451" t="s">
        <v>6028</v>
      </c>
      <c r="C3315" s="451" t="s">
        <v>6029</v>
      </c>
      <c r="D3315" s="451" t="s">
        <v>6030</v>
      </c>
      <c r="E3315" s="451" t="s">
        <v>6031</v>
      </c>
      <c r="F3315" s="451"/>
      <c r="G3315" s="451" t="s">
        <v>22877</v>
      </c>
      <c r="H3315" s="451" t="s">
        <v>22878</v>
      </c>
      <c r="I3315" s="451" t="s">
        <v>30990</v>
      </c>
      <c r="J3315" s="451" t="s">
        <v>30991</v>
      </c>
      <c r="K3315" s="451"/>
    </row>
    <row r="3316" spans="1:11">
      <c r="A3316" s="450" t="s">
        <v>6032</v>
      </c>
      <c r="B3316" s="450" t="s">
        <v>6033</v>
      </c>
      <c r="C3316" s="450" t="s">
        <v>6034</v>
      </c>
      <c r="D3316" s="450" t="s">
        <v>6035</v>
      </c>
      <c r="E3316" s="450"/>
      <c r="F3316" s="450"/>
      <c r="G3316" s="450" t="s">
        <v>22877</v>
      </c>
      <c r="H3316" s="450" t="s">
        <v>22878</v>
      </c>
      <c r="I3316" s="450" t="s">
        <v>6035</v>
      </c>
      <c r="J3316" s="450" t="s">
        <v>24530</v>
      </c>
      <c r="K3316" s="450"/>
    </row>
    <row r="3317" spans="1:11">
      <c r="A3317" s="451" t="s">
        <v>34411</v>
      </c>
      <c r="B3317" s="451"/>
      <c r="C3317" s="451" t="s">
        <v>3847</v>
      </c>
      <c r="D3317" s="451"/>
      <c r="E3317" s="451"/>
      <c r="F3317" s="451"/>
      <c r="G3317" s="451" t="s">
        <v>22882</v>
      </c>
      <c r="H3317" s="451" t="s">
        <v>22883</v>
      </c>
      <c r="I3317" s="451" t="s">
        <v>34412</v>
      </c>
      <c r="J3317" s="451" t="s">
        <v>22943</v>
      </c>
      <c r="K3317" s="451"/>
    </row>
    <row r="3318" spans="1:11">
      <c r="A3318" s="450" t="s">
        <v>34413</v>
      </c>
      <c r="B3318" s="450"/>
      <c r="C3318" s="450" t="s">
        <v>6038</v>
      </c>
      <c r="D3318" s="450"/>
      <c r="E3318" s="450"/>
      <c r="F3318" s="450"/>
      <c r="G3318" s="450" t="s">
        <v>22877</v>
      </c>
      <c r="H3318" s="450" t="s">
        <v>22878</v>
      </c>
      <c r="I3318" s="450" t="s">
        <v>34414</v>
      </c>
      <c r="J3318" s="450" t="s">
        <v>22943</v>
      </c>
      <c r="K3318" s="450"/>
    </row>
    <row r="3319" spans="1:11">
      <c r="A3319" s="451" t="s">
        <v>6036</v>
      </c>
      <c r="B3319" s="451"/>
      <c r="C3319" s="451" t="s">
        <v>3847</v>
      </c>
      <c r="D3319" s="451"/>
      <c r="E3319" s="451"/>
      <c r="F3319" s="451"/>
      <c r="G3319" s="451" t="s">
        <v>22877</v>
      </c>
      <c r="H3319" s="451" t="s">
        <v>22878</v>
      </c>
      <c r="I3319" s="451" t="s">
        <v>34412</v>
      </c>
      <c r="J3319" s="451" t="s">
        <v>22943</v>
      </c>
      <c r="K3319" s="451"/>
    </row>
    <row r="3320" spans="1:11">
      <c r="A3320" s="450" t="s">
        <v>6037</v>
      </c>
      <c r="B3320" s="450"/>
      <c r="C3320" s="450" t="s">
        <v>6038</v>
      </c>
      <c r="D3320" s="450"/>
      <c r="E3320" s="450"/>
      <c r="F3320" s="450"/>
      <c r="G3320" s="450" t="s">
        <v>22877</v>
      </c>
      <c r="H3320" s="450" t="s">
        <v>22878</v>
      </c>
      <c r="I3320" s="450" t="s">
        <v>34414</v>
      </c>
      <c r="J3320" s="450" t="s">
        <v>22997</v>
      </c>
      <c r="K3320" s="450"/>
    </row>
    <row r="3321" spans="1:11">
      <c r="A3321" s="451" t="s">
        <v>6039</v>
      </c>
      <c r="B3321" s="451"/>
      <c r="C3321" s="451" t="s">
        <v>6040</v>
      </c>
      <c r="D3321" s="451"/>
      <c r="E3321" s="451"/>
      <c r="F3321" s="451"/>
      <c r="G3321" s="451" t="s">
        <v>22877</v>
      </c>
      <c r="H3321" s="451" t="s">
        <v>22878</v>
      </c>
      <c r="I3321" s="451" t="s">
        <v>34415</v>
      </c>
      <c r="J3321" s="451" t="s">
        <v>22939</v>
      </c>
      <c r="K3321" s="451"/>
    </row>
    <row r="3322" spans="1:11">
      <c r="A3322" s="450" t="s">
        <v>6041</v>
      </c>
      <c r="B3322" s="450"/>
      <c r="C3322" s="450" t="s">
        <v>6042</v>
      </c>
      <c r="D3322" s="450"/>
      <c r="E3322" s="450"/>
      <c r="F3322" s="450"/>
      <c r="G3322" s="450" t="s">
        <v>22877</v>
      </c>
      <c r="H3322" s="450" t="s">
        <v>22878</v>
      </c>
      <c r="I3322" s="450" t="s">
        <v>34416</v>
      </c>
      <c r="J3322" s="450" t="s">
        <v>22939</v>
      </c>
      <c r="K3322" s="450"/>
    </row>
    <row r="3323" spans="1:11">
      <c r="A3323" s="451" t="s">
        <v>6043</v>
      </c>
      <c r="B3323" s="451"/>
      <c r="C3323" s="451" t="s">
        <v>6044</v>
      </c>
      <c r="D3323" s="451"/>
      <c r="E3323" s="451"/>
      <c r="F3323" s="451"/>
      <c r="G3323" s="451" t="s">
        <v>22882</v>
      </c>
      <c r="H3323" s="451" t="s">
        <v>22883</v>
      </c>
      <c r="I3323" s="451"/>
      <c r="J3323" s="451" t="s">
        <v>22939</v>
      </c>
      <c r="K3323" s="451"/>
    </row>
    <row r="3324" spans="1:11">
      <c r="A3324" s="450" t="s">
        <v>6045</v>
      </c>
      <c r="B3324" s="450"/>
      <c r="C3324" s="450" t="s">
        <v>6046</v>
      </c>
      <c r="D3324" s="450"/>
      <c r="E3324" s="450"/>
      <c r="F3324" s="450"/>
      <c r="G3324" s="450" t="s">
        <v>22877</v>
      </c>
      <c r="H3324" s="450" t="s">
        <v>22878</v>
      </c>
      <c r="I3324" s="450" t="s">
        <v>24531</v>
      </c>
      <c r="J3324" s="450" t="s">
        <v>23121</v>
      </c>
      <c r="K3324" s="450"/>
    </row>
    <row r="3325" spans="1:11">
      <c r="A3325" s="451" t="s">
        <v>6047</v>
      </c>
      <c r="B3325" s="451" t="s">
        <v>6048</v>
      </c>
      <c r="C3325" s="451" t="s">
        <v>6049</v>
      </c>
      <c r="D3325" s="451" t="s">
        <v>6050</v>
      </c>
      <c r="E3325" s="451"/>
      <c r="F3325" s="451"/>
      <c r="G3325" s="451" t="s">
        <v>22877</v>
      </c>
      <c r="H3325" s="451" t="s">
        <v>22878</v>
      </c>
      <c r="I3325" s="451" t="s">
        <v>34417</v>
      </c>
      <c r="J3325" s="451" t="s">
        <v>24532</v>
      </c>
      <c r="K3325" s="451"/>
    </row>
    <row r="3326" spans="1:11">
      <c r="A3326" s="450" t="s">
        <v>6047</v>
      </c>
      <c r="B3326" s="450" t="s">
        <v>6048</v>
      </c>
      <c r="C3326" s="450" t="s">
        <v>6049</v>
      </c>
      <c r="D3326" s="450" t="s">
        <v>6050</v>
      </c>
      <c r="E3326" s="450" t="s">
        <v>6051</v>
      </c>
      <c r="F3326" s="450"/>
      <c r="G3326" s="450" t="s">
        <v>22877</v>
      </c>
      <c r="H3326" s="450" t="s">
        <v>22878</v>
      </c>
      <c r="I3326" s="450" t="s">
        <v>6050</v>
      </c>
      <c r="J3326" s="450" t="s">
        <v>24532</v>
      </c>
      <c r="K3326" s="450"/>
    </row>
    <row r="3327" spans="1:11">
      <c r="A3327" s="451" t="s">
        <v>6052</v>
      </c>
      <c r="B3327" s="451"/>
      <c r="C3327" s="451" t="s">
        <v>6053</v>
      </c>
      <c r="D3327" s="451"/>
      <c r="E3327" s="451"/>
      <c r="F3327" s="451"/>
      <c r="G3327" s="451" t="s">
        <v>22882</v>
      </c>
      <c r="H3327" s="451" t="s">
        <v>22883</v>
      </c>
      <c r="I3327" s="451"/>
      <c r="J3327" s="451" t="s">
        <v>24146</v>
      </c>
      <c r="K3327" s="451"/>
    </row>
    <row r="3328" spans="1:11">
      <c r="A3328" s="450" t="s">
        <v>6054</v>
      </c>
      <c r="B3328" s="450"/>
      <c r="C3328" s="450" t="s">
        <v>6055</v>
      </c>
      <c r="D3328" s="450"/>
      <c r="E3328" s="450"/>
      <c r="F3328" s="450"/>
      <c r="G3328" s="450" t="s">
        <v>22882</v>
      </c>
      <c r="H3328" s="450" t="s">
        <v>22883</v>
      </c>
      <c r="I3328" s="450" t="s">
        <v>34418</v>
      </c>
      <c r="J3328" s="450" t="s">
        <v>23185</v>
      </c>
      <c r="K3328" s="450"/>
    </row>
    <row r="3329" spans="1:11">
      <c r="A3329" s="451" t="s">
        <v>6056</v>
      </c>
      <c r="B3329" s="451"/>
      <c r="C3329" s="451" t="s">
        <v>6057</v>
      </c>
      <c r="D3329" s="451"/>
      <c r="E3329" s="451"/>
      <c r="F3329" s="451"/>
      <c r="G3329" s="451" t="s">
        <v>22877</v>
      </c>
      <c r="H3329" s="451" t="s">
        <v>22878</v>
      </c>
      <c r="I3329" s="451" t="s">
        <v>2855</v>
      </c>
      <c r="J3329" s="451" t="s">
        <v>23185</v>
      </c>
      <c r="K3329" s="451"/>
    </row>
    <row r="3330" spans="1:11">
      <c r="A3330" s="450" t="s">
        <v>6058</v>
      </c>
      <c r="B3330" s="450"/>
      <c r="C3330" s="450" t="s">
        <v>6059</v>
      </c>
      <c r="D3330" s="450"/>
      <c r="E3330" s="450"/>
      <c r="F3330" s="450"/>
      <c r="G3330" s="450" t="s">
        <v>22877</v>
      </c>
      <c r="H3330" s="450" t="s">
        <v>22878</v>
      </c>
      <c r="I3330" s="450" t="s">
        <v>34419</v>
      </c>
      <c r="J3330" s="450" t="s">
        <v>22939</v>
      </c>
      <c r="K3330" s="450"/>
    </row>
    <row r="3331" spans="1:11">
      <c r="A3331" s="451" t="s">
        <v>34420</v>
      </c>
      <c r="B3331" s="451"/>
      <c r="C3331" s="451" t="s">
        <v>6061</v>
      </c>
      <c r="D3331" s="451"/>
      <c r="E3331" s="451"/>
      <c r="F3331" s="451"/>
      <c r="G3331" s="451" t="s">
        <v>22877</v>
      </c>
      <c r="H3331" s="451" t="s">
        <v>22878</v>
      </c>
      <c r="I3331" s="451" t="s">
        <v>24533</v>
      </c>
      <c r="J3331" s="451" t="s">
        <v>22997</v>
      </c>
      <c r="K3331" s="451"/>
    </row>
    <row r="3332" spans="1:11">
      <c r="A3332" s="450" t="s">
        <v>6060</v>
      </c>
      <c r="B3332" s="450"/>
      <c r="C3332" s="450" t="s">
        <v>6061</v>
      </c>
      <c r="D3332" s="450"/>
      <c r="E3332" s="450"/>
      <c r="F3332" s="450"/>
      <c r="G3332" s="450" t="s">
        <v>22877</v>
      </c>
      <c r="H3332" s="450" t="s">
        <v>22878</v>
      </c>
      <c r="I3332" s="450" t="s">
        <v>24533</v>
      </c>
      <c r="J3332" s="450" t="s">
        <v>22939</v>
      </c>
      <c r="K3332" s="450"/>
    </row>
    <row r="3333" spans="1:11">
      <c r="A3333" s="451" t="s">
        <v>24534</v>
      </c>
      <c r="B3333" s="451" t="s">
        <v>24535</v>
      </c>
      <c r="C3333" s="451" t="s">
        <v>24536</v>
      </c>
      <c r="D3333" s="451"/>
      <c r="E3333" s="451"/>
      <c r="F3333" s="451"/>
      <c r="G3333" s="451" t="s">
        <v>22877</v>
      </c>
      <c r="H3333" s="451" t="s">
        <v>22878</v>
      </c>
      <c r="I3333" s="451" t="s">
        <v>24537</v>
      </c>
      <c r="J3333" s="451" t="s">
        <v>24538</v>
      </c>
      <c r="K3333" s="451"/>
    </row>
    <row r="3334" spans="1:11">
      <c r="A3334" s="450" t="s">
        <v>6062</v>
      </c>
      <c r="B3334" s="450"/>
      <c r="C3334" s="450" t="s">
        <v>6063</v>
      </c>
      <c r="D3334" s="450"/>
      <c r="E3334" s="450"/>
      <c r="F3334" s="450"/>
      <c r="G3334" s="450" t="s">
        <v>22882</v>
      </c>
      <c r="H3334" s="450" t="s">
        <v>22883</v>
      </c>
      <c r="I3334" s="450" t="s">
        <v>24539</v>
      </c>
      <c r="J3334" s="450" t="s">
        <v>22939</v>
      </c>
      <c r="K3334" s="450"/>
    </row>
    <row r="3335" spans="1:11">
      <c r="A3335" s="451" t="s">
        <v>34421</v>
      </c>
      <c r="B3335" s="451" t="s">
        <v>6064</v>
      </c>
      <c r="C3335" s="451" t="s">
        <v>6065</v>
      </c>
      <c r="D3335" s="451" t="s">
        <v>6066</v>
      </c>
      <c r="E3335" s="451"/>
      <c r="F3335" s="451"/>
      <c r="G3335" s="451" t="s">
        <v>22877</v>
      </c>
      <c r="H3335" s="451" t="s">
        <v>22878</v>
      </c>
      <c r="I3335" s="451" t="s">
        <v>24540</v>
      </c>
      <c r="J3335" s="451" t="s">
        <v>34422</v>
      </c>
      <c r="K3335" s="451"/>
    </row>
    <row r="3336" spans="1:11">
      <c r="A3336" s="450" t="s">
        <v>21611</v>
      </c>
      <c r="B3336" s="450" t="s">
        <v>6064</v>
      </c>
      <c r="C3336" s="450" t="s">
        <v>6065</v>
      </c>
      <c r="D3336" s="450" t="s">
        <v>6066</v>
      </c>
      <c r="E3336" s="450" t="s">
        <v>6067</v>
      </c>
      <c r="F3336" s="450"/>
      <c r="G3336" s="450" t="s">
        <v>22877</v>
      </c>
      <c r="H3336" s="450" t="s">
        <v>22878</v>
      </c>
      <c r="I3336" s="450" t="s">
        <v>24540</v>
      </c>
      <c r="J3336" s="450" t="s">
        <v>30992</v>
      </c>
      <c r="K3336" s="450"/>
    </row>
    <row r="3337" spans="1:11">
      <c r="A3337" s="451" t="s">
        <v>6068</v>
      </c>
      <c r="B3337" s="451"/>
      <c r="C3337" s="451" t="s">
        <v>3222</v>
      </c>
      <c r="D3337" s="451"/>
      <c r="E3337" s="451"/>
      <c r="F3337" s="451"/>
      <c r="G3337" s="451" t="s">
        <v>22877</v>
      </c>
      <c r="H3337" s="451" t="s">
        <v>22878</v>
      </c>
      <c r="I3337" s="451" t="s">
        <v>34423</v>
      </c>
      <c r="J3337" s="451" t="s">
        <v>23133</v>
      </c>
      <c r="K3337" s="451"/>
    </row>
    <row r="3338" spans="1:11">
      <c r="A3338" s="450" t="s">
        <v>6069</v>
      </c>
      <c r="B3338" s="450"/>
      <c r="C3338" s="450" t="s">
        <v>6070</v>
      </c>
      <c r="D3338" s="450"/>
      <c r="E3338" s="450"/>
      <c r="F3338" s="450"/>
      <c r="G3338" s="450" t="s">
        <v>22882</v>
      </c>
      <c r="H3338" s="450" t="s">
        <v>22883</v>
      </c>
      <c r="I3338" s="450" t="s">
        <v>34424</v>
      </c>
      <c r="J3338" s="450" t="s">
        <v>22939</v>
      </c>
      <c r="K3338" s="450"/>
    </row>
    <row r="3339" spans="1:11">
      <c r="A3339" s="451" t="s">
        <v>6071</v>
      </c>
      <c r="B3339" s="451"/>
      <c r="C3339" s="451" t="s">
        <v>2139</v>
      </c>
      <c r="D3339" s="451"/>
      <c r="E3339" s="451"/>
      <c r="F3339" s="451"/>
      <c r="G3339" s="451" t="s">
        <v>22877</v>
      </c>
      <c r="H3339" s="451" t="s">
        <v>22878</v>
      </c>
      <c r="I3339" s="451" t="s">
        <v>34425</v>
      </c>
      <c r="J3339" s="451" t="s">
        <v>22997</v>
      </c>
      <c r="K3339" s="451"/>
    </row>
    <row r="3340" spans="1:11">
      <c r="A3340" s="450" t="s">
        <v>34426</v>
      </c>
      <c r="B3340" s="450"/>
      <c r="C3340" s="450" t="s">
        <v>6073</v>
      </c>
      <c r="D3340" s="450"/>
      <c r="E3340" s="450"/>
      <c r="F3340" s="450"/>
      <c r="G3340" s="450" t="s">
        <v>22877</v>
      </c>
      <c r="H3340" s="450" t="s">
        <v>22878</v>
      </c>
      <c r="I3340" s="450" t="s">
        <v>34427</v>
      </c>
      <c r="J3340" s="450" t="s">
        <v>22997</v>
      </c>
      <c r="K3340" s="450"/>
    </row>
    <row r="3341" spans="1:11">
      <c r="A3341" s="451" t="s">
        <v>6072</v>
      </c>
      <c r="B3341" s="451"/>
      <c r="C3341" s="451" t="s">
        <v>6073</v>
      </c>
      <c r="D3341" s="451"/>
      <c r="E3341" s="451"/>
      <c r="F3341" s="451"/>
      <c r="G3341" s="451" t="s">
        <v>22877</v>
      </c>
      <c r="H3341" s="451" t="s">
        <v>22878</v>
      </c>
      <c r="I3341" s="451"/>
      <c r="J3341" s="451" t="s">
        <v>22939</v>
      </c>
      <c r="K3341" s="451"/>
    </row>
    <row r="3342" spans="1:11">
      <c r="A3342" s="450" t="s">
        <v>6074</v>
      </c>
      <c r="B3342" s="450"/>
      <c r="C3342" s="450" t="s">
        <v>6075</v>
      </c>
      <c r="D3342" s="450"/>
      <c r="E3342" s="450"/>
      <c r="F3342" s="450"/>
      <c r="G3342" s="450" t="s">
        <v>22882</v>
      </c>
      <c r="H3342" s="450" t="s">
        <v>22883</v>
      </c>
      <c r="I3342" s="450" t="s">
        <v>24541</v>
      </c>
      <c r="J3342" s="450" t="s">
        <v>22943</v>
      </c>
      <c r="K3342" s="450"/>
    </row>
    <row r="3343" spans="1:11">
      <c r="A3343" s="451" t="s">
        <v>6076</v>
      </c>
      <c r="B3343" s="451" t="s">
        <v>6077</v>
      </c>
      <c r="C3343" s="451" t="s">
        <v>6078</v>
      </c>
      <c r="D3343" s="451"/>
      <c r="E3343" s="451"/>
      <c r="F3343" s="451"/>
      <c r="G3343" s="451" t="s">
        <v>22877</v>
      </c>
      <c r="H3343" s="451" t="s">
        <v>22878</v>
      </c>
      <c r="I3343" s="451" t="s">
        <v>30993</v>
      </c>
      <c r="J3343" s="451" t="s">
        <v>30994</v>
      </c>
      <c r="K3343" s="451"/>
    </row>
    <row r="3344" spans="1:11">
      <c r="A3344" s="450" t="s">
        <v>6079</v>
      </c>
      <c r="B3344" s="450" t="s">
        <v>6080</v>
      </c>
      <c r="C3344" s="450" t="s">
        <v>6081</v>
      </c>
      <c r="D3344" s="450"/>
      <c r="E3344" s="450"/>
      <c r="F3344" s="450"/>
      <c r="G3344" s="450" t="s">
        <v>22877</v>
      </c>
      <c r="H3344" s="450" t="s">
        <v>22878</v>
      </c>
      <c r="I3344" s="450" t="s">
        <v>24548</v>
      </c>
      <c r="J3344" s="450" t="s">
        <v>30995</v>
      </c>
      <c r="K3344" s="450"/>
    </row>
    <row r="3345" spans="1:11">
      <c r="A3345" s="451" t="s">
        <v>34428</v>
      </c>
      <c r="B3345" s="451"/>
      <c r="C3345" s="451" t="s">
        <v>6083</v>
      </c>
      <c r="D3345" s="451"/>
      <c r="E3345" s="451"/>
      <c r="F3345" s="451"/>
      <c r="G3345" s="451" t="s">
        <v>22882</v>
      </c>
      <c r="H3345" s="451" t="s">
        <v>22883</v>
      </c>
      <c r="I3345" s="451" t="s">
        <v>34429</v>
      </c>
      <c r="J3345" s="451" t="s">
        <v>22943</v>
      </c>
      <c r="K3345" s="451"/>
    </row>
    <row r="3346" spans="1:11">
      <c r="A3346" s="450" t="s">
        <v>6082</v>
      </c>
      <c r="B3346" s="450"/>
      <c r="C3346" s="450" t="s">
        <v>6083</v>
      </c>
      <c r="D3346" s="450"/>
      <c r="E3346" s="450"/>
      <c r="F3346" s="450"/>
      <c r="G3346" s="450" t="s">
        <v>22882</v>
      </c>
      <c r="H3346" s="450" t="s">
        <v>22883</v>
      </c>
      <c r="I3346" s="450"/>
      <c r="J3346" s="450" t="s">
        <v>22939</v>
      </c>
      <c r="K3346" s="450"/>
    </row>
    <row r="3347" spans="1:11">
      <c r="A3347" s="451" t="s">
        <v>6084</v>
      </c>
      <c r="B3347" s="451" t="s">
        <v>6085</v>
      </c>
      <c r="C3347" s="451" t="s">
        <v>6086</v>
      </c>
      <c r="D3347" s="451"/>
      <c r="E3347" s="451"/>
      <c r="F3347" s="451" t="s">
        <v>21395</v>
      </c>
      <c r="G3347" s="451" t="s">
        <v>22877</v>
      </c>
      <c r="H3347" s="451" t="s">
        <v>22878</v>
      </c>
      <c r="I3347" s="451" t="s">
        <v>24542</v>
      </c>
      <c r="J3347" s="451" t="s">
        <v>24543</v>
      </c>
      <c r="K3347" s="451"/>
    </row>
    <row r="3348" spans="1:11">
      <c r="A3348" s="450" t="s">
        <v>24544</v>
      </c>
      <c r="B3348" s="450" t="s">
        <v>24545</v>
      </c>
      <c r="C3348" s="450" t="s">
        <v>6078</v>
      </c>
      <c r="D3348" s="450"/>
      <c r="E3348" s="450"/>
      <c r="F3348" s="450"/>
      <c r="G3348" s="450" t="s">
        <v>22882</v>
      </c>
      <c r="H3348" s="450" t="s">
        <v>22883</v>
      </c>
      <c r="I3348" s="450"/>
      <c r="J3348" s="450" t="s">
        <v>24546</v>
      </c>
      <c r="K3348" s="450"/>
    </row>
    <row r="3349" spans="1:11">
      <c r="A3349" s="451" t="s">
        <v>24547</v>
      </c>
      <c r="B3349" s="451" t="s">
        <v>6080</v>
      </c>
      <c r="C3349" s="451" t="s">
        <v>6081</v>
      </c>
      <c r="D3349" s="451"/>
      <c r="E3349" s="451"/>
      <c r="F3349" s="451"/>
      <c r="G3349" s="451" t="s">
        <v>22877</v>
      </c>
      <c r="H3349" s="451" t="s">
        <v>22878</v>
      </c>
      <c r="I3349" s="451" t="s">
        <v>24548</v>
      </c>
      <c r="J3349" s="451" t="s">
        <v>24549</v>
      </c>
      <c r="K3349" s="451"/>
    </row>
    <row r="3350" spans="1:11">
      <c r="A3350" s="450" t="s">
        <v>24550</v>
      </c>
      <c r="B3350" s="450"/>
      <c r="C3350" s="450" t="s">
        <v>5986</v>
      </c>
      <c r="D3350" s="450"/>
      <c r="E3350" s="450"/>
      <c r="F3350" s="450"/>
      <c r="G3350" s="450" t="s">
        <v>22882</v>
      </c>
      <c r="H3350" s="450" t="s">
        <v>22883</v>
      </c>
      <c r="I3350" s="450"/>
      <c r="J3350" s="450" t="s">
        <v>23370</v>
      </c>
      <c r="K3350" s="450"/>
    </row>
    <row r="3351" spans="1:11">
      <c r="A3351" s="451" t="s">
        <v>21612</v>
      </c>
      <c r="B3351" s="451" t="s">
        <v>6087</v>
      </c>
      <c r="C3351" s="451" t="s">
        <v>6088</v>
      </c>
      <c r="D3351" s="451"/>
      <c r="E3351" s="451"/>
      <c r="F3351" s="451"/>
      <c r="G3351" s="451" t="s">
        <v>22877</v>
      </c>
      <c r="H3351" s="451" t="s">
        <v>22878</v>
      </c>
      <c r="I3351" s="451" t="s">
        <v>24551</v>
      </c>
      <c r="J3351" s="451" t="s">
        <v>24552</v>
      </c>
      <c r="K3351" s="451"/>
    </row>
    <row r="3352" spans="1:11">
      <c r="A3352" s="450" t="s">
        <v>6089</v>
      </c>
      <c r="B3352" s="450"/>
      <c r="C3352" s="450" t="s">
        <v>6090</v>
      </c>
      <c r="D3352" s="450"/>
      <c r="E3352" s="450"/>
      <c r="F3352" s="450"/>
      <c r="G3352" s="450" t="s">
        <v>22877</v>
      </c>
      <c r="H3352" s="450" t="s">
        <v>22878</v>
      </c>
      <c r="I3352" s="450" t="s">
        <v>34430</v>
      </c>
      <c r="J3352" s="450" t="s">
        <v>22997</v>
      </c>
      <c r="K3352" s="450"/>
    </row>
    <row r="3353" spans="1:11">
      <c r="A3353" s="451" t="s">
        <v>34431</v>
      </c>
      <c r="B3353" s="451"/>
      <c r="C3353" s="451" t="s">
        <v>1213</v>
      </c>
      <c r="D3353" s="451"/>
      <c r="E3353" s="451"/>
      <c r="F3353" s="451"/>
      <c r="G3353" s="451" t="s">
        <v>22877</v>
      </c>
      <c r="H3353" s="451" t="s">
        <v>22878</v>
      </c>
      <c r="I3353" s="451" t="s">
        <v>34432</v>
      </c>
      <c r="J3353" s="451" t="s">
        <v>23370</v>
      </c>
      <c r="K3353" s="451"/>
    </row>
    <row r="3354" spans="1:11">
      <c r="A3354" s="450" t="s">
        <v>6091</v>
      </c>
      <c r="B3354" s="450"/>
      <c r="C3354" s="450" t="s">
        <v>1213</v>
      </c>
      <c r="D3354" s="450"/>
      <c r="E3354" s="450"/>
      <c r="F3354" s="450"/>
      <c r="G3354" s="450" t="s">
        <v>22877</v>
      </c>
      <c r="H3354" s="450" t="s">
        <v>22878</v>
      </c>
      <c r="I3354" s="450"/>
      <c r="J3354" s="450" t="s">
        <v>22943</v>
      </c>
      <c r="K3354" s="450"/>
    </row>
    <row r="3355" spans="1:11">
      <c r="A3355" s="451" t="s">
        <v>21061</v>
      </c>
      <c r="B3355" s="451" t="s">
        <v>21062</v>
      </c>
      <c r="C3355" s="451" t="s">
        <v>21060</v>
      </c>
      <c r="D3355" s="451" t="s">
        <v>21064</v>
      </c>
      <c r="E3355" s="451"/>
      <c r="F3355" s="451" t="s">
        <v>21063</v>
      </c>
      <c r="G3355" s="451" t="s">
        <v>22877</v>
      </c>
      <c r="H3355" s="451" t="s">
        <v>22878</v>
      </c>
      <c r="I3355" s="451" t="s">
        <v>30996</v>
      </c>
      <c r="J3355" s="451" t="s">
        <v>30997</v>
      </c>
      <c r="K3355" s="451"/>
    </row>
    <row r="3356" spans="1:11">
      <c r="A3356" s="450" t="s">
        <v>34433</v>
      </c>
      <c r="B3356" s="450"/>
      <c r="C3356" s="450" t="s">
        <v>1276</v>
      </c>
      <c r="D3356" s="450"/>
      <c r="E3356" s="450"/>
      <c r="F3356" s="450"/>
      <c r="G3356" s="450" t="s">
        <v>22882</v>
      </c>
      <c r="H3356" s="450" t="s">
        <v>22883</v>
      </c>
      <c r="I3356" s="450" t="s">
        <v>34434</v>
      </c>
      <c r="J3356" s="450" t="s">
        <v>22943</v>
      </c>
      <c r="K3356" s="450"/>
    </row>
    <row r="3357" spans="1:11">
      <c r="A3357" s="451" t="s">
        <v>6092</v>
      </c>
      <c r="B3357" s="451"/>
      <c r="C3357" s="451" t="s">
        <v>1276</v>
      </c>
      <c r="D3357" s="451"/>
      <c r="E3357" s="451"/>
      <c r="F3357" s="451"/>
      <c r="G3357" s="451" t="s">
        <v>22882</v>
      </c>
      <c r="H3357" s="451" t="s">
        <v>22883</v>
      </c>
      <c r="I3357" s="451" t="s">
        <v>34434</v>
      </c>
      <c r="J3357" s="451" t="s">
        <v>22943</v>
      </c>
      <c r="K3357" s="451"/>
    </row>
    <row r="3358" spans="1:11">
      <c r="A3358" s="450" t="s">
        <v>6093</v>
      </c>
      <c r="B3358" s="450"/>
      <c r="C3358" s="450" t="s">
        <v>6094</v>
      </c>
      <c r="D3358" s="450"/>
      <c r="E3358" s="450"/>
      <c r="F3358" s="450"/>
      <c r="G3358" s="450" t="s">
        <v>22882</v>
      </c>
      <c r="H3358" s="450" t="s">
        <v>22883</v>
      </c>
      <c r="I3358" s="450" t="s">
        <v>34435</v>
      </c>
      <c r="J3358" s="450" t="s">
        <v>22997</v>
      </c>
      <c r="K3358" s="450"/>
    </row>
    <row r="3359" spans="1:11">
      <c r="A3359" s="451" t="s">
        <v>6095</v>
      </c>
      <c r="B3359" s="451"/>
      <c r="C3359" s="451" t="s">
        <v>6096</v>
      </c>
      <c r="D3359" s="451"/>
      <c r="E3359" s="451"/>
      <c r="F3359" s="451"/>
      <c r="G3359" s="451" t="s">
        <v>22877</v>
      </c>
      <c r="H3359" s="451" t="s">
        <v>22878</v>
      </c>
      <c r="I3359" s="451" t="s">
        <v>34436</v>
      </c>
      <c r="J3359" s="451" t="s">
        <v>22997</v>
      </c>
      <c r="K3359" s="451"/>
    </row>
    <row r="3360" spans="1:11">
      <c r="A3360" s="450" t="s">
        <v>24553</v>
      </c>
      <c r="B3360" s="450"/>
      <c r="C3360" s="450" t="s">
        <v>24554</v>
      </c>
      <c r="D3360" s="450"/>
      <c r="E3360" s="450"/>
      <c r="F3360" s="450"/>
      <c r="G3360" s="450" t="s">
        <v>22882</v>
      </c>
      <c r="H3360" s="450" t="s">
        <v>22883</v>
      </c>
      <c r="I3360" s="450"/>
      <c r="J3360" s="450" t="s">
        <v>22943</v>
      </c>
      <c r="K3360" s="450"/>
    </row>
    <row r="3361" spans="1:11">
      <c r="A3361" s="451" t="s">
        <v>24555</v>
      </c>
      <c r="B3361" s="451" t="s">
        <v>24556</v>
      </c>
      <c r="C3361" s="451" t="s">
        <v>24557</v>
      </c>
      <c r="D3361" s="451"/>
      <c r="E3361" s="451"/>
      <c r="F3361" s="451"/>
      <c r="G3361" s="451" t="s">
        <v>22877</v>
      </c>
      <c r="H3361" s="451" t="s">
        <v>22878</v>
      </c>
      <c r="I3361" s="451" t="s">
        <v>24558</v>
      </c>
      <c r="J3361" s="451" t="s">
        <v>24559</v>
      </c>
      <c r="K3361" s="451"/>
    </row>
    <row r="3362" spans="1:11">
      <c r="A3362" s="450" t="s">
        <v>6097</v>
      </c>
      <c r="B3362" s="450" t="s">
        <v>24560</v>
      </c>
      <c r="C3362" s="450" t="s">
        <v>6099</v>
      </c>
      <c r="D3362" s="450" t="s">
        <v>6100</v>
      </c>
      <c r="E3362" s="450"/>
      <c r="F3362" s="450"/>
      <c r="G3362" s="450" t="s">
        <v>22877</v>
      </c>
      <c r="H3362" s="450" t="s">
        <v>22878</v>
      </c>
      <c r="I3362" s="450" t="s">
        <v>24561</v>
      </c>
      <c r="J3362" s="450" t="s">
        <v>24562</v>
      </c>
      <c r="K3362" s="450"/>
    </row>
    <row r="3363" spans="1:11">
      <c r="A3363" s="451" t="s">
        <v>6097</v>
      </c>
      <c r="B3363" s="451" t="s">
        <v>6098</v>
      </c>
      <c r="C3363" s="451" t="s">
        <v>6099</v>
      </c>
      <c r="D3363" s="451" t="s">
        <v>6100</v>
      </c>
      <c r="E3363" s="451"/>
      <c r="F3363" s="451"/>
      <c r="G3363" s="451" t="s">
        <v>22877</v>
      </c>
      <c r="H3363" s="451" t="s">
        <v>22878</v>
      </c>
      <c r="I3363" s="451" t="s">
        <v>6100</v>
      </c>
      <c r="J3363" s="451" t="s">
        <v>30998</v>
      </c>
      <c r="K3363" s="451"/>
    </row>
    <row r="3364" spans="1:11">
      <c r="A3364" s="450" t="s">
        <v>6101</v>
      </c>
      <c r="B3364" s="450"/>
      <c r="C3364" s="450" t="s">
        <v>6102</v>
      </c>
      <c r="D3364" s="450"/>
      <c r="E3364" s="450"/>
      <c r="F3364" s="450"/>
      <c r="G3364" s="450" t="s">
        <v>22877</v>
      </c>
      <c r="H3364" s="450" t="s">
        <v>22878</v>
      </c>
      <c r="I3364" s="450" t="s">
        <v>34437</v>
      </c>
      <c r="J3364" s="450" t="s">
        <v>23370</v>
      </c>
      <c r="K3364" s="450"/>
    </row>
    <row r="3365" spans="1:11">
      <c r="A3365" s="451" t="s">
        <v>34438</v>
      </c>
      <c r="B3365" s="451"/>
      <c r="C3365" s="451" t="s">
        <v>34439</v>
      </c>
      <c r="D3365" s="451"/>
      <c r="E3365" s="451"/>
      <c r="F3365" s="451"/>
      <c r="G3365" s="451" t="s">
        <v>22877</v>
      </c>
      <c r="H3365" s="451" t="s">
        <v>22878</v>
      </c>
      <c r="I3365" s="451" t="s">
        <v>34437</v>
      </c>
      <c r="J3365" s="451" t="s">
        <v>23370</v>
      </c>
      <c r="K3365" s="451"/>
    </row>
    <row r="3366" spans="1:11">
      <c r="A3366" s="450" t="s">
        <v>34440</v>
      </c>
      <c r="B3366" s="450"/>
      <c r="C3366" s="450" t="s">
        <v>1022</v>
      </c>
      <c r="D3366" s="450"/>
      <c r="E3366" s="450"/>
      <c r="F3366" s="450"/>
      <c r="G3366" s="450" t="s">
        <v>22877</v>
      </c>
      <c r="H3366" s="450" t="s">
        <v>22878</v>
      </c>
      <c r="I3366" s="450" t="s">
        <v>34441</v>
      </c>
      <c r="J3366" s="450" t="s">
        <v>22943</v>
      </c>
      <c r="K3366" s="450"/>
    </row>
    <row r="3367" spans="1:11">
      <c r="A3367" s="451" t="s">
        <v>21613</v>
      </c>
      <c r="B3367" s="451"/>
      <c r="C3367" s="451" t="s">
        <v>1022</v>
      </c>
      <c r="D3367" s="451"/>
      <c r="E3367" s="451"/>
      <c r="F3367" s="451"/>
      <c r="G3367" s="451" t="s">
        <v>22877</v>
      </c>
      <c r="H3367" s="451" t="s">
        <v>22878</v>
      </c>
      <c r="I3367" s="451" t="s">
        <v>34441</v>
      </c>
      <c r="J3367" s="451" t="s">
        <v>22943</v>
      </c>
      <c r="K3367" s="451"/>
    </row>
    <row r="3368" spans="1:11">
      <c r="A3368" s="450" t="s">
        <v>6103</v>
      </c>
      <c r="B3368" s="450"/>
      <c r="C3368" s="450" t="s">
        <v>6104</v>
      </c>
      <c r="D3368" s="450"/>
      <c r="E3368" s="450"/>
      <c r="F3368" s="450"/>
      <c r="G3368" s="450" t="s">
        <v>22882</v>
      </c>
      <c r="H3368" s="450" t="s">
        <v>22883</v>
      </c>
      <c r="I3368" s="450"/>
      <c r="J3368" s="450" t="s">
        <v>22943</v>
      </c>
      <c r="K3368" s="450"/>
    </row>
    <row r="3369" spans="1:11">
      <c r="A3369" s="451" t="s">
        <v>34442</v>
      </c>
      <c r="B3369" s="451"/>
      <c r="C3369" s="451" t="s">
        <v>6104</v>
      </c>
      <c r="D3369" s="451"/>
      <c r="E3369" s="451"/>
      <c r="F3369" s="451"/>
      <c r="G3369" s="451" t="s">
        <v>22882</v>
      </c>
      <c r="H3369" s="451" t="s">
        <v>22883</v>
      </c>
      <c r="I3369" s="451" t="s">
        <v>34443</v>
      </c>
      <c r="J3369" s="451" t="s">
        <v>22943</v>
      </c>
      <c r="K3369" s="451"/>
    </row>
    <row r="3370" spans="1:11">
      <c r="A3370" s="450" t="s">
        <v>6105</v>
      </c>
      <c r="B3370" s="450"/>
      <c r="C3370" s="450" t="s">
        <v>6106</v>
      </c>
      <c r="D3370" s="450"/>
      <c r="E3370" s="450"/>
      <c r="F3370" s="450"/>
      <c r="G3370" s="450" t="s">
        <v>22882</v>
      </c>
      <c r="H3370" s="450" t="s">
        <v>22883</v>
      </c>
      <c r="I3370" s="450"/>
      <c r="J3370" s="450" t="s">
        <v>22943</v>
      </c>
      <c r="K3370" s="450"/>
    </row>
    <row r="3371" spans="1:11">
      <c r="A3371" s="451" t="s">
        <v>24563</v>
      </c>
      <c r="B3371" s="451"/>
      <c r="C3371" s="451" t="s">
        <v>6106</v>
      </c>
      <c r="D3371" s="451"/>
      <c r="E3371" s="451"/>
      <c r="F3371" s="451"/>
      <c r="G3371" s="451" t="s">
        <v>22882</v>
      </c>
      <c r="H3371" s="451" t="s">
        <v>22883</v>
      </c>
      <c r="I3371" s="451" t="s">
        <v>24564</v>
      </c>
      <c r="J3371" s="451" t="s">
        <v>23370</v>
      </c>
      <c r="K3371" s="451"/>
    </row>
    <row r="3372" spans="1:11">
      <c r="A3372" s="450" t="s">
        <v>24565</v>
      </c>
      <c r="B3372" s="450" t="s">
        <v>5988</v>
      </c>
      <c r="C3372" s="450" t="s">
        <v>5989</v>
      </c>
      <c r="D3372" s="450" t="s">
        <v>5990</v>
      </c>
      <c r="E3372" s="450"/>
      <c r="F3372" s="450"/>
      <c r="G3372" s="450" t="s">
        <v>22877</v>
      </c>
      <c r="H3372" s="450" t="s">
        <v>22878</v>
      </c>
      <c r="I3372" s="450" t="s">
        <v>24566</v>
      </c>
      <c r="J3372" s="450" t="s">
        <v>24567</v>
      </c>
      <c r="K3372" s="450"/>
    </row>
    <row r="3373" spans="1:11">
      <c r="A3373" s="451" t="s">
        <v>6107</v>
      </c>
      <c r="B3373" s="451" t="s">
        <v>34444</v>
      </c>
      <c r="C3373" s="451" t="s">
        <v>6109</v>
      </c>
      <c r="D3373" s="451"/>
      <c r="E3373" s="451"/>
      <c r="F3373" s="451"/>
      <c r="G3373" s="451" t="s">
        <v>22877</v>
      </c>
      <c r="H3373" s="451" t="s">
        <v>22878</v>
      </c>
      <c r="I3373" s="451" t="s">
        <v>24568</v>
      </c>
      <c r="J3373" s="451" t="s">
        <v>34445</v>
      </c>
      <c r="K3373" s="451"/>
    </row>
    <row r="3374" spans="1:11">
      <c r="A3374" s="450" t="s">
        <v>6107</v>
      </c>
      <c r="B3374" s="450" t="s">
        <v>6108</v>
      </c>
      <c r="C3374" s="450" t="s">
        <v>6109</v>
      </c>
      <c r="D3374" s="450"/>
      <c r="E3374" s="450"/>
      <c r="F3374" s="450"/>
      <c r="G3374" s="450" t="s">
        <v>22877</v>
      </c>
      <c r="H3374" s="450" t="s">
        <v>22878</v>
      </c>
      <c r="I3374" s="450" t="s">
        <v>24568</v>
      </c>
      <c r="J3374" s="450" t="s">
        <v>30999</v>
      </c>
      <c r="K3374" s="450"/>
    </row>
    <row r="3375" spans="1:11">
      <c r="A3375" s="451" t="s">
        <v>31000</v>
      </c>
      <c r="B3375" s="451"/>
      <c r="C3375" s="451" t="s">
        <v>5980</v>
      </c>
      <c r="D3375" s="451"/>
      <c r="E3375" s="451"/>
      <c r="F3375" s="451"/>
      <c r="G3375" s="451" t="s">
        <v>22877</v>
      </c>
      <c r="H3375" s="451" t="s">
        <v>22878</v>
      </c>
      <c r="I3375" s="451" t="s">
        <v>24569</v>
      </c>
      <c r="J3375" s="451" t="s">
        <v>22943</v>
      </c>
      <c r="K3375" s="451"/>
    </row>
    <row r="3376" spans="1:11">
      <c r="A3376" s="450" t="s">
        <v>6110</v>
      </c>
      <c r="B3376" s="450"/>
      <c r="C3376" s="450" t="s">
        <v>2928</v>
      </c>
      <c r="D3376" s="450"/>
      <c r="E3376" s="450"/>
      <c r="F3376" s="450"/>
      <c r="G3376" s="450" t="s">
        <v>22882</v>
      </c>
      <c r="H3376" s="450" t="s">
        <v>22883</v>
      </c>
      <c r="I3376" s="450"/>
      <c r="J3376" s="450" t="s">
        <v>23185</v>
      </c>
      <c r="K3376" s="450"/>
    </row>
    <row r="3377" spans="1:11">
      <c r="A3377" s="451" t="s">
        <v>34446</v>
      </c>
      <c r="B3377" s="451" t="s">
        <v>6112</v>
      </c>
      <c r="C3377" s="451" t="s">
        <v>6113</v>
      </c>
      <c r="D3377" s="451"/>
      <c r="E3377" s="451"/>
      <c r="F3377" s="451"/>
      <c r="G3377" s="451" t="s">
        <v>22882</v>
      </c>
      <c r="H3377" s="451" t="s">
        <v>22883</v>
      </c>
      <c r="I3377" s="451"/>
      <c r="J3377" s="451" t="s">
        <v>34447</v>
      </c>
      <c r="K3377" s="451"/>
    </row>
    <row r="3378" spans="1:11">
      <c r="A3378" s="450" t="s">
        <v>6111</v>
      </c>
      <c r="B3378" s="450" t="s">
        <v>6112</v>
      </c>
      <c r="C3378" s="450" t="s">
        <v>6113</v>
      </c>
      <c r="D3378" s="450"/>
      <c r="E3378" s="450"/>
      <c r="F3378" s="450"/>
      <c r="G3378" s="450" t="s">
        <v>22882</v>
      </c>
      <c r="H3378" s="450" t="s">
        <v>22883</v>
      </c>
      <c r="I3378" s="450"/>
      <c r="J3378" s="450" t="s">
        <v>31001</v>
      </c>
      <c r="K3378" s="450"/>
    </row>
    <row r="3379" spans="1:11">
      <c r="A3379" s="451" t="s">
        <v>34448</v>
      </c>
      <c r="B3379" s="451" t="s">
        <v>6115</v>
      </c>
      <c r="C3379" s="451" t="s">
        <v>6116</v>
      </c>
      <c r="D3379" s="451" t="s">
        <v>6117</v>
      </c>
      <c r="E3379" s="451"/>
      <c r="F3379" s="451"/>
      <c r="G3379" s="451" t="s">
        <v>22877</v>
      </c>
      <c r="H3379" s="451" t="s">
        <v>22878</v>
      </c>
      <c r="I3379" s="451" t="s">
        <v>6117</v>
      </c>
      <c r="J3379" s="451" t="s">
        <v>34449</v>
      </c>
      <c r="K3379" s="451"/>
    </row>
    <row r="3380" spans="1:11">
      <c r="A3380" s="450" t="s">
        <v>6114</v>
      </c>
      <c r="B3380" s="450" t="s">
        <v>6115</v>
      </c>
      <c r="C3380" s="450" t="s">
        <v>6116</v>
      </c>
      <c r="D3380" s="450" t="s">
        <v>6117</v>
      </c>
      <c r="E3380" s="450" t="s">
        <v>6118</v>
      </c>
      <c r="F3380" s="450"/>
      <c r="G3380" s="450" t="s">
        <v>22877</v>
      </c>
      <c r="H3380" s="450" t="s">
        <v>22878</v>
      </c>
      <c r="I3380" s="450" t="s">
        <v>6117</v>
      </c>
      <c r="J3380" s="450" t="s">
        <v>31002</v>
      </c>
      <c r="K3380" s="450"/>
    </row>
    <row r="3381" spans="1:11">
      <c r="A3381" s="451" t="s">
        <v>6119</v>
      </c>
      <c r="B3381" s="451"/>
      <c r="C3381" s="451" t="s">
        <v>6120</v>
      </c>
      <c r="D3381" s="451"/>
      <c r="E3381" s="451"/>
      <c r="F3381" s="451"/>
      <c r="G3381" s="451" t="s">
        <v>22877</v>
      </c>
      <c r="H3381" s="451" t="s">
        <v>22878</v>
      </c>
      <c r="I3381" s="451" t="s">
        <v>24570</v>
      </c>
      <c r="J3381" s="451" t="s">
        <v>22943</v>
      </c>
      <c r="K3381" s="451"/>
    </row>
    <row r="3382" spans="1:11">
      <c r="A3382" s="450" t="s">
        <v>24571</v>
      </c>
      <c r="B3382" s="450" t="s">
        <v>24572</v>
      </c>
      <c r="C3382" s="450" t="s">
        <v>12778</v>
      </c>
      <c r="D3382" s="450"/>
      <c r="E3382" s="450"/>
      <c r="F3382" s="450"/>
      <c r="G3382" s="450" t="s">
        <v>22877</v>
      </c>
      <c r="H3382" s="450" t="s">
        <v>22878</v>
      </c>
      <c r="I3382" s="450" t="s">
        <v>24573</v>
      </c>
      <c r="J3382" s="450" t="s">
        <v>24574</v>
      </c>
      <c r="K3382" s="450"/>
    </row>
    <row r="3383" spans="1:11">
      <c r="A3383" s="451" t="s">
        <v>6121</v>
      </c>
      <c r="B3383" s="451"/>
      <c r="C3383" s="451" t="s">
        <v>6122</v>
      </c>
      <c r="D3383" s="451"/>
      <c r="E3383" s="451"/>
      <c r="F3383" s="451"/>
      <c r="G3383" s="451" t="s">
        <v>22877</v>
      </c>
      <c r="H3383" s="451" t="s">
        <v>22878</v>
      </c>
      <c r="I3383" s="451" t="s">
        <v>34450</v>
      </c>
      <c r="J3383" s="451" t="s">
        <v>22939</v>
      </c>
      <c r="K3383" s="451"/>
    </row>
    <row r="3384" spans="1:11">
      <c r="A3384" s="450" t="s">
        <v>34451</v>
      </c>
      <c r="B3384" s="450"/>
      <c r="C3384" s="450" t="s">
        <v>6124</v>
      </c>
      <c r="D3384" s="450"/>
      <c r="E3384" s="450"/>
      <c r="F3384" s="450"/>
      <c r="G3384" s="450" t="s">
        <v>22882</v>
      </c>
      <c r="H3384" s="450" t="s">
        <v>22883</v>
      </c>
      <c r="I3384" s="450" t="s">
        <v>34452</v>
      </c>
      <c r="J3384" s="450" t="s">
        <v>22939</v>
      </c>
      <c r="K3384" s="450"/>
    </row>
    <row r="3385" spans="1:11">
      <c r="A3385" s="451" t="s">
        <v>6123</v>
      </c>
      <c r="B3385" s="451"/>
      <c r="C3385" s="451" t="s">
        <v>6124</v>
      </c>
      <c r="D3385" s="451"/>
      <c r="E3385" s="451"/>
      <c r="F3385" s="451"/>
      <c r="G3385" s="451" t="s">
        <v>22882</v>
      </c>
      <c r="H3385" s="451" t="s">
        <v>22883</v>
      </c>
      <c r="I3385" s="451"/>
      <c r="J3385" s="451" t="s">
        <v>22939</v>
      </c>
      <c r="K3385" s="451"/>
    </row>
    <row r="3386" spans="1:11">
      <c r="A3386" s="450" t="s">
        <v>21614</v>
      </c>
      <c r="B3386" s="450"/>
      <c r="C3386" s="450" t="s">
        <v>6125</v>
      </c>
      <c r="D3386" s="450"/>
      <c r="E3386" s="450"/>
      <c r="F3386" s="450"/>
      <c r="G3386" s="450" t="s">
        <v>22882</v>
      </c>
      <c r="H3386" s="450" t="s">
        <v>22883</v>
      </c>
      <c r="I3386" s="450" t="s">
        <v>24575</v>
      </c>
      <c r="J3386" s="450" t="s">
        <v>22939</v>
      </c>
      <c r="K3386" s="450"/>
    </row>
    <row r="3387" spans="1:11">
      <c r="A3387" s="451" t="s">
        <v>6126</v>
      </c>
      <c r="B3387" s="451" t="s">
        <v>6127</v>
      </c>
      <c r="C3387" s="451" t="s">
        <v>2168</v>
      </c>
      <c r="D3387" s="451"/>
      <c r="E3387" s="451"/>
      <c r="F3387" s="451"/>
      <c r="G3387" s="451" t="s">
        <v>22877</v>
      </c>
      <c r="H3387" s="451" t="s">
        <v>22878</v>
      </c>
      <c r="I3387" s="451" t="s">
        <v>24576</v>
      </c>
      <c r="J3387" s="451" t="s">
        <v>24577</v>
      </c>
      <c r="K3387" s="451"/>
    </row>
    <row r="3388" spans="1:11">
      <c r="A3388" s="450" t="s">
        <v>6128</v>
      </c>
      <c r="B3388" s="450"/>
      <c r="C3388" s="450" t="s">
        <v>5610</v>
      </c>
      <c r="D3388" s="450"/>
      <c r="E3388" s="450"/>
      <c r="F3388" s="450"/>
      <c r="G3388" s="450" t="s">
        <v>22877</v>
      </c>
      <c r="H3388" s="450" t="s">
        <v>22878</v>
      </c>
      <c r="I3388" s="450"/>
      <c r="J3388" s="450" t="s">
        <v>23370</v>
      </c>
      <c r="K3388" s="450"/>
    </row>
    <row r="3389" spans="1:11">
      <c r="A3389" s="451" t="s">
        <v>34453</v>
      </c>
      <c r="B3389" s="451"/>
      <c r="C3389" s="451" t="s">
        <v>5610</v>
      </c>
      <c r="D3389" s="451"/>
      <c r="E3389" s="451"/>
      <c r="F3389" s="451"/>
      <c r="G3389" s="451" t="s">
        <v>22877</v>
      </c>
      <c r="H3389" s="451" t="s">
        <v>22878</v>
      </c>
      <c r="I3389" s="451" t="s">
        <v>34454</v>
      </c>
      <c r="J3389" s="451" t="s">
        <v>24578</v>
      </c>
      <c r="K3389" s="451"/>
    </row>
    <row r="3390" spans="1:11">
      <c r="A3390" s="450" t="s">
        <v>21615</v>
      </c>
      <c r="B3390" s="450"/>
      <c r="C3390" s="450" t="s">
        <v>6129</v>
      </c>
      <c r="D3390" s="450"/>
      <c r="E3390" s="450"/>
      <c r="F3390" s="450"/>
      <c r="G3390" s="450" t="s">
        <v>22882</v>
      </c>
      <c r="H3390" s="450" t="s">
        <v>22883</v>
      </c>
      <c r="I3390" s="450" t="s">
        <v>24579</v>
      </c>
      <c r="J3390" s="450" t="s">
        <v>22939</v>
      </c>
      <c r="K3390" s="450"/>
    </row>
    <row r="3391" spans="1:11">
      <c r="A3391" s="451" t="s">
        <v>6130</v>
      </c>
      <c r="B3391" s="451" t="s">
        <v>34444</v>
      </c>
      <c r="C3391" s="451" t="s">
        <v>6131</v>
      </c>
      <c r="D3391" s="451"/>
      <c r="E3391" s="451"/>
      <c r="F3391" s="451"/>
      <c r="G3391" s="451" t="s">
        <v>22877</v>
      </c>
      <c r="H3391" s="451" t="s">
        <v>22878</v>
      </c>
      <c r="I3391" s="451" t="s">
        <v>24568</v>
      </c>
      <c r="J3391" s="451" t="s">
        <v>34445</v>
      </c>
      <c r="K3391" s="451"/>
    </row>
    <row r="3392" spans="1:11">
      <c r="A3392" s="450" t="s">
        <v>6130</v>
      </c>
      <c r="B3392" s="450" t="s">
        <v>6108</v>
      </c>
      <c r="C3392" s="450" t="s">
        <v>6131</v>
      </c>
      <c r="D3392" s="450"/>
      <c r="E3392" s="450"/>
      <c r="F3392" s="450"/>
      <c r="G3392" s="450" t="s">
        <v>22877</v>
      </c>
      <c r="H3392" s="450" t="s">
        <v>22878</v>
      </c>
      <c r="I3392" s="450" t="s">
        <v>24568</v>
      </c>
      <c r="J3392" s="450" t="s">
        <v>30999</v>
      </c>
      <c r="K3392" s="450"/>
    </row>
    <row r="3393" spans="1:11">
      <c r="A3393" s="451" t="s">
        <v>6132</v>
      </c>
      <c r="B3393" s="451"/>
      <c r="C3393" s="451" t="s">
        <v>6133</v>
      </c>
      <c r="D3393" s="451"/>
      <c r="E3393" s="451"/>
      <c r="F3393" s="451"/>
      <c r="G3393" s="451" t="s">
        <v>22877</v>
      </c>
      <c r="H3393" s="451" t="s">
        <v>22878</v>
      </c>
      <c r="I3393" s="451" t="s">
        <v>24580</v>
      </c>
      <c r="J3393" s="451" t="s">
        <v>22943</v>
      </c>
      <c r="K3393" s="451"/>
    </row>
    <row r="3394" spans="1:11">
      <c r="A3394" s="450" t="s">
        <v>6134</v>
      </c>
      <c r="B3394" s="450" t="s">
        <v>6135</v>
      </c>
      <c r="C3394" s="450" t="s">
        <v>24581</v>
      </c>
      <c r="D3394" s="450"/>
      <c r="E3394" s="450"/>
      <c r="F3394" s="450" t="s">
        <v>6000</v>
      </c>
      <c r="G3394" s="450" t="s">
        <v>22882</v>
      </c>
      <c r="H3394" s="450" t="s">
        <v>22883</v>
      </c>
      <c r="I3394" s="450" t="s">
        <v>24582</v>
      </c>
      <c r="J3394" s="450" t="s">
        <v>24583</v>
      </c>
      <c r="K3394" s="450"/>
    </row>
    <row r="3395" spans="1:11">
      <c r="A3395" s="451" t="s">
        <v>6134</v>
      </c>
      <c r="B3395" s="451" t="s">
        <v>6135</v>
      </c>
      <c r="C3395" s="451" t="s">
        <v>6136</v>
      </c>
      <c r="D3395" s="451"/>
      <c r="E3395" s="451"/>
      <c r="F3395" s="451" t="s">
        <v>6000</v>
      </c>
      <c r="G3395" s="451" t="s">
        <v>22882</v>
      </c>
      <c r="H3395" s="451" t="s">
        <v>22883</v>
      </c>
      <c r="I3395" s="451"/>
      <c r="J3395" s="451" t="s">
        <v>34455</v>
      </c>
      <c r="K3395" s="451"/>
    </row>
    <row r="3396" spans="1:11">
      <c r="A3396" s="450" t="s">
        <v>34456</v>
      </c>
      <c r="B3396" s="450"/>
      <c r="C3396" s="450" t="s">
        <v>5250</v>
      </c>
      <c r="D3396" s="450"/>
      <c r="E3396" s="450"/>
      <c r="F3396" s="450"/>
      <c r="G3396" s="450" t="s">
        <v>22882</v>
      </c>
      <c r="H3396" s="450" t="s">
        <v>22883</v>
      </c>
      <c r="I3396" s="450"/>
      <c r="J3396" s="450" t="s">
        <v>23370</v>
      </c>
      <c r="K3396" s="450"/>
    </row>
    <row r="3397" spans="1:11">
      <c r="A3397" s="451" t="s">
        <v>34457</v>
      </c>
      <c r="B3397" s="451"/>
      <c r="C3397" s="451" t="s">
        <v>2098</v>
      </c>
      <c r="D3397" s="451"/>
      <c r="E3397" s="451"/>
      <c r="F3397" s="451"/>
      <c r="G3397" s="451" t="s">
        <v>22882</v>
      </c>
      <c r="H3397" s="451" t="s">
        <v>22883</v>
      </c>
      <c r="I3397" s="451" t="s">
        <v>34458</v>
      </c>
      <c r="J3397" s="451" t="s">
        <v>22943</v>
      </c>
      <c r="K3397" s="451"/>
    </row>
    <row r="3398" spans="1:11">
      <c r="A3398" s="450" t="s">
        <v>34459</v>
      </c>
      <c r="B3398" s="450"/>
      <c r="C3398" s="450" t="s">
        <v>34460</v>
      </c>
      <c r="D3398" s="450"/>
      <c r="E3398" s="450"/>
      <c r="F3398" s="450"/>
      <c r="G3398" s="450" t="s">
        <v>22882</v>
      </c>
      <c r="H3398" s="450" t="s">
        <v>22883</v>
      </c>
      <c r="I3398" s="450" t="s">
        <v>34461</v>
      </c>
      <c r="J3398" s="450" t="s">
        <v>22943</v>
      </c>
      <c r="K3398" s="450"/>
    </row>
    <row r="3399" spans="1:11">
      <c r="A3399" s="451" t="s">
        <v>34462</v>
      </c>
      <c r="B3399" s="451"/>
      <c r="C3399" s="451" t="s">
        <v>5995</v>
      </c>
      <c r="D3399" s="451"/>
      <c r="E3399" s="451"/>
      <c r="F3399" s="451"/>
      <c r="G3399" s="451" t="s">
        <v>22882</v>
      </c>
      <c r="H3399" s="451" t="s">
        <v>22883</v>
      </c>
      <c r="I3399" s="451" t="s">
        <v>34463</v>
      </c>
      <c r="J3399" s="451" t="s">
        <v>23370</v>
      </c>
      <c r="K3399" s="451"/>
    </row>
    <row r="3400" spans="1:11">
      <c r="A3400" s="450" t="s">
        <v>34464</v>
      </c>
      <c r="B3400" s="450"/>
      <c r="C3400" s="450" t="s">
        <v>2684</v>
      </c>
      <c r="D3400" s="450"/>
      <c r="E3400" s="450"/>
      <c r="F3400" s="450"/>
      <c r="G3400" s="450" t="s">
        <v>22882</v>
      </c>
      <c r="H3400" s="450" t="s">
        <v>22883</v>
      </c>
      <c r="I3400" s="450" t="s">
        <v>24584</v>
      </c>
      <c r="J3400" s="450" t="s">
        <v>22943</v>
      </c>
      <c r="K3400" s="450"/>
    </row>
    <row r="3401" spans="1:11">
      <c r="A3401" s="451" t="s">
        <v>34465</v>
      </c>
      <c r="B3401" s="451"/>
      <c r="C3401" s="451" t="s">
        <v>5905</v>
      </c>
      <c r="D3401" s="451"/>
      <c r="E3401" s="451"/>
      <c r="F3401" s="451"/>
      <c r="G3401" s="451" t="s">
        <v>22877</v>
      </c>
      <c r="H3401" s="451" t="s">
        <v>22878</v>
      </c>
      <c r="I3401" s="451" t="s">
        <v>34370</v>
      </c>
      <c r="J3401" s="451" t="s">
        <v>22939</v>
      </c>
      <c r="K3401" s="451"/>
    </row>
    <row r="3402" spans="1:11">
      <c r="A3402" s="450" t="s">
        <v>21616</v>
      </c>
      <c r="B3402" s="450"/>
      <c r="C3402" s="450" t="s">
        <v>6137</v>
      </c>
      <c r="D3402" s="450"/>
      <c r="E3402" s="450"/>
      <c r="F3402" s="450"/>
      <c r="G3402" s="450" t="s">
        <v>22877</v>
      </c>
      <c r="H3402" s="450" t="s">
        <v>22878</v>
      </c>
      <c r="I3402" s="450" t="s">
        <v>24585</v>
      </c>
      <c r="J3402" s="450" t="s">
        <v>22939</v>
      </c>
      <c r="K3402" s="450"/>
    </row>
    <row r="3403" spans="1:11">
      <c r="A3403" s="451" t="s">
        <v>31003</v>
      </c>
      <c r="B3403" s="451" t="s">
        <v>5997</v>
      </c>
      <c r="C3403" s="451" t="s">
        <v>5998</v>
      </c>
      <c r="D3403" s="451" t="s">
        <v>5999</v>
      </c>
      <c r="E3403" s="451"/>
      <c r="F3403" s="451" t="s">
        <v>6000</v>
      </c>
      <c r="G3403" s="451" t="s">
        <v>22877</v>
      </c>
      <c r="H3403" s="451" t="s">
        <v>22878</v>
      </c>
      <c r="I3403" s="451" t="s">
        <v>5999</v>
      </c>
      <c r="J3403" s="451" t="s">
        <v>24586</v>
      </c>
      <c r="K3403" s="451"/>
    </row>
    <row r="3404" spans="1:11">
      <c r="A3404" s="450" t="s">
        <v>34466</v>
      </c>
      <c r="B3404" s="450"/>
      <c r="C3404" s="450" t="s">
        <v>5982</v>
      </c>
      <c r="D3404" s="450"/>
      <c r="E3404" s="450"/>
      <c r="F3404" s="450"/>
      <c r="G3404" s="450" t="s">
        <v>22882</v>
      </c>
      <c r="H3404" s="450" t="s">
        <v>22883</v>
      </c>
      <c r="I3404" s="450" t="s">
        <v>34467</v>
      </c>
      <c r="J3404" s="450" t="s">
        <v>22939</v>
      </c>
      <c r="K3404" s="450"/>
    </row>
    <row r="3405" spans="1:11">
      <c r="A3405" s="451" t="s">
        <v>6138</v>
      </c>
      <c r="B3405" s="451"/>
      <c r="C3405" s="451" t="s">
        <v>6139</v>
      </c>
      <c r="D3405" s="451"/>
      <c r="E3405" s="451"/>
      <c r="F3405" s="451"/>
      <c r="G3405" s="451" t="s">
        <v>22877</v>
      </c>
      <c r="H3405" s="451" t="s">
        <v>22878</v>
      </c>
      <c r="I3405" s="451" t="s">
        <v>34468</v>
      </c>
      <c r="J3405" s="451" t="s">
        <v>22997</v>
      </c>
      <c r="K3405" s="451"/>
    </row>
    <row r="3406" spans="1:11">
      <c r="A3406" s="450" t="s">
        <v>6140</v>
      </c>
      <c r="B3406" s="450"/>
      <c r="C3406" s="450" t="s">
        <v>6141</v>
      </c>
      <c r="D3406" s="450"/>
      <c r="E3406" s="450"/>
      <c r="F3406" s="450"/>
      <c r="G3406" s="450" t="s">
        <v>22877</v>
      </c>
      <c r="H3406" s="450" t="s">
        <v>22878</v>
      </c>
      <c r="I3406" s="450" t="s">
        <v>34469</v>
      </c>
      <c r="J3406" s="450" t="s">
        <v>22943</v>
      </c>
      <c r="K3406" s="450"/>
    </row>
    <row r="3407" spans="1:11">
      <c r="A3407" s="451" t="s">
        <v>6142</v>
      </c>
      <c r="B3407" s="451"/>
      <c r="C3407" s="451" t="s">
        <v>6143</v>
      </c>
      <c r="D3407" s="451"/>
      <c r="E3407" s="451"/>
      <c r="F3407" s="451"/>
      <c r="G3407" s="451" t="s">
        <v>22882</v>
      </c>
      <c r="H3407" s="451" t="s">
        <v>22883</v>
      </c>
      <c r="I3407" s="451"/>
      <c r="J3407" s="451" t="s">
        <v>22939</v>
      </c>
      <c r="K3407" s="451"/>
    </row>
    <row r="3408" spans="1:11">
      <c r="A3408" s="450" t="s">
        <v>6144</v>
      </c>
      <c r="B3408" s="450"/>
      <c r="C3408" s="450" t="s">
        <v>6145</v>
      </c>
      <c r="D3408" s="450"/>
      <c r="E3408" s="450"/>
      <c r="F3408" s="450"/>
      <c r="G3408" s="450" t="s">
        <v>22882</v>
      </c>
      <c r="H3408" s="450" t="s">
        <v>22883</v>
      </c>
      <c r="I3408" s="450"/>
      <c r="J3408" s="450" t="s">
        <v>23185</v>
      </c>
      <c r="K3408" s="450"/>
    </row>
    <row r="3409" spans="1:11">
      <c r="A3409" s="451" t="s">
        <v>6146</v>
      </c>
      <c r="B3409" s="451"/>
      <c r="C3409" s="451" t="s">
        <v>6147</v>
      </c>
      <c r="D3409" s="451"/>
      <c r="E3409" s="451"/>
      <c r="F3409" s="451"/>
      <c r="G3409" s="451" t="s">
        <v>22877</v>
      </c>
      <c r="H3409" s="451" t="s">
        <v>22878</v>
      </c>
      <c r="I3409" s="451" t="s">
        <v>34470</v>
      </c>
      <c r="J3409" s="451" t="s">
        <v>22943</v>
      </c>
      <c r="K3409" s="451"/>
    </row>
    <row r="3410" spans="1:11">
      <c r="A3410" s="450" t="s">
        <v>34471</v>
      </c>
      <c r="B3410" s="450"/>
      <c r="C3410" s="450" t="s">
        <v>6149</v>
      </c>
      <c r="D3410" s="450"/>
      <c r="E3410" s="450"/>
      <c r="F3410" s="450"/>
      <c r="G3410" s="450" t="s">
        <v>22877</v>
      </c>
      <c r="H3410" s="450" t="s">
        <v>22878</v>
      </c>
      <c r="I3410" s="450" t="s">
        <v>34472</v>
      </c>
      <c r="J3410" s="450" t="s">
        <v>22943</v>
      </c>
      <c r="K3410" s="450"/>
    </row>
    <row r="3411" spans="1:11">
      <c r="A3411" s="451" t="s">
        <v>6148</v>
      </c>
      <c r="B3411" s="451"/>
      <c r="C3411" s="451" t="s">
        <v>6149</v>
      </c>
      <c r="D3411" s="451"/>
      <c r="E3411" s="451"/>
      <c r="F3411" s="451"/>
      <c r="G3411" s="451" t="s">
        <v>22882</v>
      </c>
      <c r="H3411" s="451" t="s">
        <v>22883</v>
      </c>
      <c r="I3411" s="451" t="s">
        <v>34473</v>
      </c>
      <c r="J3411" s="451" t="s">
        <v>22997</v>
      </c>
      <c r="K3411" s="451"/>
    </row>
    <row r="3412" spans="1:11">
      <c r="A3412" s="450" t="s">
        <v>6150</v>
      </c>
      <c r="B3412" s="450"/>
      <c r="C3412" s="450" t="s">
        <v>6151</v>
      </c>
      <c r="D3412" s="450"/>
      <c r="E3412" s="450"/>
      <c r="F3412" s="450"/>
      <c r="G3412" s="450" t="s">
        <v>22877</v>
      </c>
      <c r="H3412" s="450" t="s">
        <v>22878</v>
      </c>
      <c r="I3412" s="450" t="s">
        <v>34474</v>
      </c>
      <c r="J3412" s="450" t="s">
        <v>22939</v>
      </c>
      <c r="K3412" s="450"/>
    </row>
    <row r="3413" spans="1:11">
      <c r="A3413" s="451" t="s">
        <v>6152</v>
      </c>
      <c r="B3413" s="451"/>
      <c r="C3413" s="451" t="s">
        <v>6153</v>
      </c>
      <c r="D3413" s="451"/>
      <c r="E3413" s="451"/>
      <c r="F3413" s="451"/>
      <c r="G3413" s="451" t="s">
        <v>22882</v>
      </c>
      <c r="H3413" s="451" t="s">
        <v>22883</v>
      </c>
      <c r="I3413" s="451" t="s">
        <v>34475</v>
      </c>
      <c r="J3413" s="451" t="s">
        <v>22939</v>
      </c>
      <c r="K3413" s="451"/>
    </row>
    <row r="3414" spans="1:11">
      <c r="A3414" s="450" t="s">
        <v>6154</v>
      </c>
      <c r="B3414" s="450"/>
      <c r="C3414" s="450" t="s">
        <v>6155</v>
      </c>
      <c r="D3414" s="450"/>
      <c r="E3414" s="450"/>
      <c r="F3414" s="450"/>
      <c r="G3414" s="450" t="s">
        <v>22877</v>
      </c>
      <c r="H3414" s="450" t="s">
        <v>22878</v>
      </c>
      <c r="I3414" s="450" t="s">
        <v>24588</v>
      </c>
      <c r="J3414" s="450" t="s">
        <v>22939</v>
      </c>
      <c r="K3414" s="450"/>
    </row>
    <row r="3415" spans="1:11">
      <c r="A3415" s="451" t="s">
        <v>24587</v>
      </c>
      <c r="B3415" s="451"/>
      <c r="C3415" s="451" t="s">
        <v>6155</v>
      </c>
      <c r="D3415" s="451"/>
      <c r="E3415" s="451"/>
      <c r="F3415" s="451"/>
      <c r="G3415" s="451" t="s">
        <v>22877</v>
      </c>
      <c r="H3415" s="451" t="s">
        <v>22878</v>
      </c>
      <c r="I3415" s="451" t="s">
        <v>24588</v>
      </c>
      <c r="J3415" s="451" t="s">
        <v>22939</v>
      </c>
      <c r="K3415" s="451"/>
    </row>
    <row r="3416" spans="1:11">
      <c r="A3416" s="450" t="s">
        <v>24589</v>
      </c>
      <c r="B3416" s="450" t="s">
        <v>24590</v>
      </c>
      <c r="C3416" s="450" t="s">
        <v>24591</v>
      </c>
      <c r="D3416" s="450"/>
      <c r="E3416" s="450"/>
      <c r="F3416" s="450"/>
      <c r="G3416" s="450" t="s">
        <v>22877</v>
      </c>
      <c r="H3416" s="450" t="s">
        <v>22878</v>
      </c>
      <c r="I3416" s="450" t="s">
        <v>24592</v>
      </c>
      <c r="J3416" s="450" t="s">
        <v>24593</v>
      </c>
      <c r="K3416" s="450"/>
    </row>
    <row r="3417" spans="1:11">
      <c r="A3417" s="451" t="s">
        <v>6156</v>
      </c>
      <c r="B3417" s="451" t="s">
        <v>6157</v>
      </c>
      <c r="C3417" s="451" t="s">
        <v>4138</v>
      </c>
      <c r="D3417" s="451" t="s">
        <v>6158</v>
      </c>
      <c r="E3417" s="451"/>
      <c r="F3417" s="451"/>
      <c r="G3417" s="451" t="s">
        <v>22877</v>
      </c>
      <c r="H3417" s="451" t="s">
        <v>22878</v>
      </c>
      <c r="I3417" s="451" t="s">
        <v>6158</v>
      </c>
      <c r="J3417" s="451" t="s">
        <v>34476</v>
      </c>
      <c r="K3417" s="451"/>
    </row>
    <row r="3418" spans="1:11">
      <c r="A3418" s="450" t="s">
        <v>6156</v>
      </c>
      <c r="B3418" s="450" t="s">
        <v>6157</v>
      </c>
      <c r="C3418" s="450" t="s">
        <v>4138</v>
      </c>
      <c r="D3418" s="450" t="s">
        <v>6158</v>
      </c>
      <c r="E3418" s="450" t="s">
        <v>6159</v>
      </c>
      <c r="F3418" s="450"/>
      <c r="G3418" s="450" t="s">
        <v>22877</v>
      </c>
      <c r="H3418" s="450" t="s">
        <v>22878</v>
      </c>
      <c r="I3418" s="450"/>
      <c r="J3418" s="450" t="s">
        <v>31004</v>
      </c>
      <c r="K3418" s="450"/>
    </row>
    <row r="3419" spans="1:11">
      <c r="A3419" s="451" t="s">
        <v>34477</v>
      </c>
      <c r="B3419" s="451"/>
      <c r="C3419" s="451" t="s">
        <v>6161</v>
      </c>
      <c r="D3419" s="451"/>
      <c r="E3419" s="451"/>
      <c r="F3419" s="451"/>
      <c r="G3419" s="451" t="s">
        <v>22877</v>
      </c>
      <c r="H3419" s="451" t="s">
        <v>22878</v>
      </c>
      <c r="I3419" s="451" t="s">
        <v>34478</v>
      </c>
      <c r="J3419" s="451" t="s">
        <v>22943</v>
      </c>
      <c r="K3419" s="451"/>
    </row>
    <row r="3420" spans="1:11">
      <c r="A3420" s="450" t="s">
        <v>6160</v>
      </c>
      <c r="B3420" s="450"/>
      <c r="C3420" s="450" t="s">
        <v>6161</v>
      </c>
      <c r="D3420" s="450"/>
      <c r="E3420" s="450"/>
      <c r="F3420" s="450"/>
      <c r="G3420" s="450" t="s">
        <v>22877</v>
      </c>
      <c r="H3420" s="450" t="s">
        <v>22878</v>
      </c>
      <c r="I3420" s="450" t="s">
        <v>34478</v>
      </c>
      <c r="J3420" s="450" t="s">
        <v>22997</v>
      </c>
      <c r="K3420" s="450"/>
    </row>
    <row r="3421" spans="1:11">
      <c r="A3421" s="451" t="s">
        <v>6162</v>
      </c>
      <c r="B3421" s="451"/>
      <c r="C3421" s="451" t="s">
        <v>3884</v>
      </c>
      <c r="D3421" s="451"/>
      <c r="E3421" s="451"/>
      <c r="F3421" s="451"/>
      <c r="G3421" s="451" t="s">
        <v>22882</v>
      </c>
      <c r="H3421" s="451" t="s">
        <v>22883</v>
      </c>
      <c r="I3421" s="451"/>
      <c r="J3421" s="451" t="s">
        <v>22939</v>
      </c>
      <c r="K3421" s="451"/>
    </row>
    <row r="3422" spans="1:11">
      <c r="A3422" s="450" t="s">
        <v>6163</v>
      </c>
      <c r="B3422" s="450"/>
      <c r="C3422" s="450" t="s">
        <v>6164</v>
      </c>
      <c r="D3422" s="450"/>
      <c r="E3422" s="450"/>
      <c r="F3422" s="450"/>
      <c r="G3422" s="450" t="s">
        <v>22882</v>
      </c>
      <c r="H3422" s="450" t="s">
        <v>22883</v>
      </c>
      <c r="I3422" s="450" t="s">
        <v>24594</v>
      </c>
      <c r="J3422" s="450" t="s">
        <v>22939</v>
      </c>
      <c r="K3422" s="450"/>
    </row>
    <row r="3423" spans="1:11">
      <c r="A3423" s="451" t="s">
        <v>6165</v>
      </c>
      <c r="B3423" s="451"/>
      <c r="C3423" s="451" t="s">
        <v>6166</v>
      </c>
      <c r="D3423" s="451"/>
      <c r="E3423" s="451"/>
      <c r="F3423" s="451"/>
      <c r="G3423" s="451" t="s">
        <v>22877</v>
      </c>
      <c r="H3423" s="451" t="s">
        <v>22878</v>
      </c>
      <c r="I3423" s="451" t="s">
        <v>34479</v>
      </c>
      <c r="J3423" s="451" t="s">
        <v>23133</v>
      </c>
      <c r="K3423" s="451"/>
    </row>
    <row r="3424" spans="1:11">
      <c r="A3424" s="450" t="s">
        <v>6167</v>
      </c>
      <c r="B3424" s="450"/>
      <c r="C3424" s="450" t="s">
        <v>1626</v>
      </c>
      <c r="D3424" s="450"/>
      <c r="E3424" s="450"/>
      <c r="F3424" s="450"/>
      <c r="G3424" s="450" t="s">
        <v>22882</v>
      </c>
      <c r="H3424" s="450" t="s">
        <v>22883</v>
      </c>
      <c r="I3424" s="450" t="s">
        <v>24595</v>
      </c>
      <c r="J3424" s="450" t="s">
        <v>22943</v>
      </c>
      <c r="K3424" s="450"/>
    </row>
    <row r="3425" spans="1:11">
      <c r="A3425" s="451" t="s">
        <v>6168</v>
      </c>
      <c r="B3425" s="451" t="s">
        <v>6169</v>
      </c>
      <c r="C3425" s="451" t="s">
        <v>6170</v>
      </c>
      <c r="D3425" s="451"/>
      <c r="E3425" s="451"/>
      <c r="F3425" s="451" t="s">
        <v>6171</v>
      </c>
      <c r="G3425" s="451" t="s">
        <v>22877</v>
      </c>
      <c r="H3425" s="451" t="s">
        <v>22878</v>
      </c>
      <c r="I3425" s="451" t="s">
        <v>24596</v>
      </c>
      <c r="J3425" s="451" t="s">
        <v>24597</v>
      </c>
      <c r="K3425" s="451"/>
    </row>
    <row r="3426" spans="1:11">
      <c r="A3426" s="450" t="s">
        <v>6172</v>
      </c>
      <c r="B3426" s="450"/>
      <c r="C3426" s="450" t="s">
        <v>6173</v>
      </c>
      <c r="D3426" s="450"/>
      <c r="E3426" s="450"/>
      <c r="F3426" s="450"/>
      <c r="G3426" s="450" t="s">
        <v>22882</v>
      </c>
      <c r="H3426" s="450" t="s">
        <v>22883</v>
      </c>
      <c r="I3426" s="450"/>
      <c r="J3426" s="450" t="s">
        <v>22943</v>
      </c>
      <c r="K3426" s="450"/>
    </row>
    <row r="3427" spans="1:11">
      <c r="A3427" s="451" t="s">
        <v>24598</v>
      </c>
      <c r="B3427" s="451"/>
      <c r="C3427" s="451" t="s">
        <v>6173</v>
      </c>
      <c r="D3427" s="451"/>
      <c r="E3427" s="451"/>
      <c r="F3427" s="451"/>
      <c r="G3427" s="451" t="s">
        <v>22882</v>
      </c>
      <c r="H3427" s="451" t="s">
        <v>22883</v>
      </c>
      <c r="I3427" s="451" t="s">
        <v>24599</v>
      </c>
      <c r="J3427" s="451" t="s">
        <v>23370</v>
      </c>
      <c r="K3427" s="451"/>
    </row>
    <row r="3428" spans="1:11">
      <c r="A3428" s="450" t="s">
        <v>24600</v>
      </c>
      <c r="B3428" s="450" t="s">
        <v>24601</v>
      </c>
      <c r="C3428" s="450" t="s">
        <v>24602</v>
      </c>
      <c r="D3428" s="450"/>
      <c r="E3428" s="450"/>
      <c r="F3428" s="450"/>
      <c r="G3428" s="450" t="s">
        <v>22877</v>
      </c>
      <c r="H3428" s="450" t="s">
        <v>22878</v>
      </c>
      <c r="I3428" s="450" t="s">
        <v>24603</v>
      </c>
      <c r="J3428" s="450" t="s">
        <v>24604</v>
      </c>
      <c r="K3428" s="450"/>
    </row>
    <row r="3429" spans="1:11">
      <c r="A3429" s="451" t="s">
        <v>6174</v>
      </c>
      <c r="B3429" s="451"/>
      <c r="C3429" s="451" t="s">
        <v>6175</v>
      </c>
      <c r="D3429" s="451"/>
      <c r="E3429" s="451"/>
      <c r="F3429" s="451"/>
      <c r="G3429" s="451" t="s">
        <v>22877</v>
      </c>
      <c r="H3429" s="451" t="s">
        <v>22878</v>
      </c>
      <c r="I3429" s="451" t="s">
        <v>34480</v>
      </c>
      <c r="J3429" s="451" t="s">
        <v>22943</v>
      </c>
      <c r="K3429" s="451"/>
    </row>
    <row r="3430" spans="1:11">
      <c r="A3430" s="450" t="s">
        <v>21617</v>
      </c>
      <c r="B3430" s="450"/>
      <c r="C3430" s="450" t="s">
        <v>3694</v>
      </c>
      <c r="D3430" s="450"/>
      <c r="E3430" s="450"/>
      <c r="F3430" s="450"/>
      <c r="G3430" s="450" t="s">
        <v>22877</v>
      </c>
      <c r="H3430" s="450" t="s">
        <v>22878</v>
      </c>
      <c r="I3430" s="450" t="s">
        <v>24605</v>
      </c>
      <c r="J3430" s="450" t="s">
        <v>22997</v>
      </c>
      <c r="K3430" s="450"/>
    </row>
    <row r="3431" spans="1:11">
      <c r="A3431" s="451" t="s">
        <v>34481</v>
      </c>
      <c r="B3431" s="451" t="s">
        <v>6177</v>
      </c>
      <c r="C3431" s="451" t="s">
        <v>6178</v>
      </c>
      <c r="D3431" s="451"/>
      <c r="E3431" s="451"/>
      <c r="F3431" s="451"/>
      <c r="G3431" s="451" t="s">
        <v>22877</v>
      </c>
      <c r="H3431" s="451" t="s">
        <v>22878</v>
      </c>
      <c r="I3431" s="451" t="s">
        <v>24606</v>
      </c>
      <c r="J3431" s="451" t="s">
        <v>34482</v>
      </c>
      <c r="K3431" s="451"/>
    </row>
    <row r="3432" spans="1:11">
      <c r="A3432" s="450" t="s">
        <v>6176</v>
      </c>
      <c r="B3432" s="450" t="s">
        <v>6177</v>
      </c>
      <c r="C3432" s="450" t="s">
        <v>6178</v>
      </c>
      <c r="D3432" s="450"/>
      <c r="E3432" s="450"/>
      <c r="F3432" s="450"/>
      <c r="G3432" s="450" t="s">
        <v>22877</v>
      </c>
      <c r="H3432" s="450" t="s">
        <v>22878</v>
      </c>
      <c r="I3432" s="450" t="s">
        <v>24606</v>
      </c>
      <c r="J3432" s="450" t="s">
        <v>31005</v>
      </c>
      <c r="K3432" s="450"/>
    </row>
    <row r="3433" spans="1:11">
      <c r="A3433" s="451" t="s">
        <v>34483</v>
      </c>
      <c r="B3433" s="451"/>
      <c r="C3433" s="451" t="s">
        <v>3547</v>
      </c>
      <c r="D3433" s="451"/>
      <c r="E3433" s="451"/>
      <c r="F3433" s="451"/>
      <c r="G3433" s="451" t="s">
        <v>22877</v>
      </c>
      <c r="H3433" s="451" t="s">
        <v>22878</v>
      </c>
      <c r="I3433" s="451" t="s">
        <v>34484</v>
      </c>
      <c r="J3433" s="451" t="s">
        <v>22943</v>
      </c>
      <c r="K3433" s="451"/>
    </row>
    <row r="3434" spans="1:11">
      <c r="A3434" s="450" t="s">
        <v>6179</v>
      </c>
      <c r="B3434" s="450"/>
      <c r="C3434" s="450" t="s">
        <v>3547</v>
      </c>
      <c r="D3434" s="450"/>
      <c r="E3434" s="450"/>
      <c r="F3434" s="450"/>
      <c r="G3434" s="450" t="s">
        <v>22877</v>
      </c>
      <c r="H3434" s="450" t="s">
        <v>22878</v>
      </c>
      <c r="I3434" s="450" t="s">
        <v>34485</v>
      </c>
      <c r="J3434" s="450" t="s">
        <v>22943</v>
      </c>
      <c r="K3434" s="450"/>
    </row>
    <row r="3435" spans="1:11">
      <c r="A3435" s="451" t="s">
        <v>6180</v>
      </c>
      <c r="B3435" s="451"/>
      <c r="C3435" s="451" t="s">
        <v>6181</v>
      </c>
      <c r="D3435" s="451"/>
      <c r="E3435" s="451"/>
      <c r="F3435" s="451"/>
      <c r="G3435" s="451" t="s">
        <v>22882</v>
      </c>
      <c r="H3435" s="451" t="s">
        <v>22883</v>
      </c>
      <c r="I3435" s="451" t="s">
        <v>34486</v>
      </c>
      <c r="J3435" s="451" t="s">
        <v>22997</v>
      </c>
      <c r="K3435" s="451"/>
    </row>
    <row r="3436" spans="1:11">
      <c r="A3436" s="450" t="s">
        <v>6182</v>
      </c>
      <c r="B3436" s="450"/>
      <c r="C3436" s="450" t="s">
        <v>6183</v>
      </c>
      <c r="D3436" s="450"/>
      <c r="E3436" s="450"/>
      <c r="F3436" s="450"/>
      <c r="G3436" s="450" t="s">
        <v>22877</v>
      </c>
      <c r="H3436" s="450" t="s">
        <v>22878</v>
      </c>
      <c r="I3436" s="450" t="s">
        <v>24607</v>
      </c>
      <c r="J3436" s="450" t="s">
        <v>24608</v>
      </c>
      <c r="K3436" s="450"/>
    </row>
    <row r="3437" spans="1:11">
      <c r="A3437" s="451" t="s">
        <v>34487</v>
      </c>
      <c r="B3437" s="451" t="s">
        <v>34488</v>
      </c>
      <c r="C3437" s="451" t="s">
        <v>1480</v>
      </c>
      <c r="D3437" s="451"/>
      <c r="E3437" s="451"/>
      <c r="F3437" s="451"/>
      <c r="G3437" s="451" t="s">
        <v>22882</v>
      </c>
      <c r="H3437" s="451" t="s">
        <v>22883</v>
      </c>
      <c r="I3437" s="451" t="s">
        <v>24609</v>
      </c>
      <c r="J3437" s="451" t="s">
        <v>34489</v>
      </c>
      <c r="K3437" s="451"/>
    </row>
    <row r="3438" spans="1:11">
      <c r="A3438" s="450" t="s">
        <v>6184</v>
      </c>
      <c r="B3438" s="450" t="s">
        <v>6185</v>
      </c>
      <c r="C3438" s="450" t="s">
        <v>1480</v>
      </c>
      <c r="D3438" s="450"/>
      <c r="E3438" s="450"/>
      <c r="F3438" s="450"/>
      <c r="G3438" s="450" t="s">
        <v>22882</v>
      </c>
      <c r="H3438" s="450" t="s">
        <v>22883</v>
      </c>
      <c r="I3438" s="450" t="s">
        <v>24609</v>
      </c>
      <c r="J3438" s="450" t="s">
        <v>31006</v>
      </c>
      <c r="K3438" s="450"/>
    </row>
    <row r="3439" spans="1:11">
      <c r="A3439" s="451" t="s">
        <v>24610</v>
      </c>
      <c r="B3439" s="451" t="s">
        <v>24611</v>
      </c>
      <c r="C3439" s="451" t="s">
        <v>24612</v>
      </c>
      <c r="D3439" s="451"/>
      <c r="E3439" s="451"/>
      <c r="F3439" s="451"/>
      <c r="G3439" s="451" t="s">
        <v>22877</v>
      </c>
      <c r="H3439" s="451" t="s">
        <v>22878</v>
      </c>
      <c r="I3439" s="451" t="s">
        <v>24613</v>
      </c>
      <c r="J3439" s="451" t="s">
        <v>24614</v>
      </c>
      <c r="K3439" s="451"/>
    </row>
    <row r="3440" spans="1:11">
      <c r="A3440" s="450" t="s">
        <v>34490</v>
      </c>
      <c r="B3440" s="450" t="s">
        <v>3904</v>
      </c>
      <c r="C3440" s="450" t="s">
        <v>3905</v>
      </c>
      <c r="D3440" s="450" t="s">
        <v>6187</v>
      </c>
      <c r="E3440" s="450"/>
      <c r="F3440" s="450"/>
      <c r="G3440" s="450" t="s">
        <v>22882</v>
      </c>
      <c r="H3440" s="450" t="s">
        <v>22883</v>
      </c>
      <c r="I3440" s="450" t="s">
        <v>6187</v>
      </c>
      <c r="J3440" s="450" t="s">
        <v>34491</v>
      </c>
      <c r="K3440" s="450"/>
    </row>
    <row r="3441" spans="1:11">
      <c r="A3441" s="451" t="s">
        <v>6186</v>
      </c>
      <c r="B3441" s="451" t="s">
        <v>3904</v>
      </c>
      <c r="C3441" s="451" t="s">
        <v>3905</v>
      </c>
      <c r="D3441" s="451" t="s">
        <v>6187</v>
      </c>
      <c r="E3441" s="451" t="s">
        <v>6188</v>
      </c>
      <c r="F3441" s="451"/>
      <c r="G3441" s="451" t="s">
        <v>22882</v>
      </c>
      <c r="H3441" s="451" t="s">
        <v>22883</v>
      </c>
      <c r="I3441" s="451" t="s">
        <v>6187</v>
      </c>
      <c r="J3441" s="451" t="s">
        <v>23676</v>
      </c>
      <c r="K3441" s="451"/>
    </row>
    <row r="3442" spans="1:11">
      <c r="A3442" s="450" t="s">
        <v>34492</v>
      </c>
      <c r="B3442" s="450"/>
      <c r="C3442" s="450" t="s">
        <v>6190</v>
      </c>
      <c r="D3442" s="450"/>
      <c r="E3442" s="450"/>
      <c r="F3442" s="450"/>
      <c r="G3442" s="450" t="s">
        <v>22877</v>
      </c>
      <c r="H3442" s="450" t="s">
        <v>22878</v>
      </c>
      <c r="I3442" s="450" t="s">
        <v>34493</v>
      </c>
      <c r="J3442" s="450" t="s">
        <v>22943</v>
      </c>
      <c r="K3442" s="450"/>
    </row>
    <row r="3443" spans="1:11">
      <c r="A3443" s="451" t="s">
        <v>6189</v>
      </c>
      <c r="B3443" s="451"/>
      <c r="C3443" s="451" t="s">
        <v>6190</v>
      </c>
      <c r="D3443" s="451"/>
      <c r="E3443" s="451"/>
      <c r="F3443" s="451"/>
      <c r="G3443" s="451" t="s">
        <v>22877</v>
      </c>
      <c r="H3443" s="451" t="s">
        <v>22878</v>
      </c>
      <c r="I3443" s="451"/>
      <c r="J3443" s="451" t="s">
        <v>22939</v>
      </c>
      <c r="K3443" s="451"/>
    </row>
    <row r="3444" spans="1:11">
      <c r="A3444" s="450" t="s">
        <v>6191</v>
      </c>
      <c r="B3444" s="450" t="s">
        <v>6192</v>
      </c>
      <c r="C3444" s="450" t="s">
        <v>6193</v>
      </c>
      <c r="D3444" s="450"/>
      <c r="E3444" s="450"/>
      <c r="F3444" s="450" t="s">
        <v>34494</v>
      </c>
      <c r="G3444" s="450" t="s">
        <v>22882</v>
      </c>
      <c r="H3444" s="450" t="s">
        <v>22883</v>
      </c>
      <c r="I3444" s="450" t="s">
        <v>34495</v>
      </c>
      <c r="J3444" s="450" t="s">
        <v>24615</v>
      </c>
      <c r="K3444" s="450"/>
    </row>
    <row r="3445" spans="1:11">
      <c r="A3445" s="451" t="s">
        <v>6191</v>
      </c>
      <c r="B3445" s="451" t="s">
        <v>6192</v>
      </c>
      <c r="C3445" s="451" t="s">
        <v>6193</v>
      </c>
      <c r="D3445" s="451"/>
      <c r="E3445" s="451"/>
      <c r="F3445" s="451" t="s">
        <v>6194</v>
      </c>
      <c r="G3445" s="451" t="s">
        <v>22882</v>
      </c>
      <c r="H3445" s="451" t="s">
        <v>22883</v>
      </c>
      <c r="I3445" s="451"/>
      <c r="J3445" s="451" t="s">
        <v>24615</v>
      </c>
      <c r="K3445" s="451"/>
    </row>
    <row r="3446" spans="1:11">
      <c r="A3446" s="450" t="s">
        <v>6195</v>
      </c>
      <c r="B3446" s="450"/>
      <c r="C3446" s="450" t="s">
        <v>6196</v>
      </c>
      <c r="D3446" s="450"/>
      <c r="E3446" s="450"/>
      <c r="F3446" s="450"/>
      <c r="G3446" s="450" t="s">
        <v>22882</v>
      </c>
      <c r="H3446" s="450" t="s">
        <v>22883</v>
      </c>
      <c r="I3446" s="450" t="s">
        <v>34495</v>
      </c>
      <c r="J3446" s="450" t="s">
        <v>22943</v>
      </c>
      <c r="K3446" s="450"/>
    </row>
    <row r="3447" spans="1:11">
      <c r="A3447" s="451" t="s">
        <v>6197</v>
      </c>
      <c r="B3447" s="451"/>
      <c r="C3447" s="451" t="s">
        <v>6198</v>
      </c>
      <c r="D3447" s="451"/>
      <c r="E3447" s="451"/>
      <c r="F3447" s="451"/>
      <c r="G3447" s="451" t="s">
        <v>22877</v>
      </c>
      <c r="H3447" s="451" t="s">
        <v>22878</v>
      </c>
      <c r="I3447" s="451" t="s">
        <v>34496</v>
      </c>
      <c r="J3447" s="451" t="s">
        <v>22997</v>
      </c>
      <c r="K3447" s="451"/>
    </row>
    <row r="3448" spans="1:11">
      <c r="A3448" s="450" t="s">
        <v>6199</v>
      </c>
      <c r="B3448" s="450"/>
      <c r="C3448" s="450" t="s">
        <v>6200</v>
      </c>
      <c r="D3448" s="450"/>
      <c r="E3448" s="450"/>
      <c r="F3448" s="450"/>
      <c r="G3448" s="450" t="s">
        <v>22877</v>
      </c>
      <c r="H3448" s="450" t="s">
        <v>22878</v>
      </c>
      <c r="I3448" s="450" t="s">
        <v>24616</v>
      </c>
      <c r="J3448" s="450" t="s">
        <v>22939</v>
      </c>
      <c r="K3448" s="450"/>
    </row>
    <row r="3449" spans="1:11">
      <c r="A3449" s="451" t="s">
        <v>20520</v>
      </c>
      <c r="B3449" s="451" t="s">
        <v>6201</v>
      </c>
      <c r="C3449" s="451" t="s">
        <v>2287</v>
      </c>
      <c r="D3449" s="451" t="s">
        <v>20521</v>
      </c>
      <c r="E3449" s="451" t="s">
        <v>20522</v>
      </c>
      <c r="F3449" s="451"/>
      <c r="G3449" s="451" t="s">
        <v>22877</v>
      </c>
      <c r="H3449" s="451" t="s">
        <v>22878</v>
      </c>
      <c r="I3449" s="451" t="s">
        <v>20521</v>
      </c>
      <c r="J3449" s="451" t="s">
        <v>34497</v>
      </c>
      <c r="K3449" s="451"/>
    </row>
    <row r="3450" spans="1:11">
      <c r="A3450" s="450" t="s">
        <v>24617</v>
      </c>
      <c r="B3450" s="450" t="s">
        <v>6201</v>
      </c>
      <c r="C3450" s="450" t="s">
        <v>2287</v>
      </c>
      <c r="D3450" s="450"/>
      <c r="E3450" s="450"/>
      <c r="F3450" s="450"/>
      <c r="G3450" s="450" t="s">
        <v>22877</v>
      </c>
      <c r="H3450" s="450" t="s">
        <v>22878</v>
      </c>
      <c r="I3450" s="450" t="s">
        <v>24618</v>
      </c>
      <c r="J3450" s="450" t="s">
        <v>24619</v>
      </c>
      <c r="K3450" s="450"/>
    </row>
    <row r="3451" spans="1:11">
      <c r="A3451" s="451" t="s">
        <v>6202</v>
      </c>
      <c r="B3451" s="451"/>
      <c r="C3451" s="451" t="s">
        <v>6203</v>
      </c>
      <c r="D3451" s="451"/>
      <c r="E3451" s="451"/>
      <c r="F3451" s="451"/>
      <c r="G3451" s="451" t="s">
        <v>22882</v>
      </c>
      <c r="H3451" s="451" t="s">
        <v>22883</v>
      </c>
      <c r="I3451" s="451" t="s">
        <v>34498</v>
      </c>
      <c r="J3451" s="451" t="s">
        <v>22997</v>
      </c>
      <c r="K3451" s="451"/>
    </row>
    <row r="3452" spans="1:11">
      <c r="A3452" s="450" t="s">
        <v>6204</v>
      </c>
      <c r="B3452" s="450"/>
      <c r="C3452" s="450" t="s">
        <v>6205</v>
      </c>
      <c r="D3452" s="450"/>
      <c r="E3452" s="450"/>
      <c r="F3452" s="450"/>
      <c r="G3452" s="450" t="s">
        <v>22877</v>
      </c>
      <c r="H3452" s="450" t="s">
        <v>22878</v>
      </c>
      <c r="I3452" s="450" t="s">
        <v>34499</v>
      </c>
      <c r="J3452" s="450" t="s">
        <v>23185</v>
      </c>
      <c r="K3452" s="450"/>
    </row>
    <row r="3453" spans="1:11">
      <c r="A3453" s="451" t="s">
        <v>6206</v>
      </c>
      <c r="B3453" s="451"/>
      <c r="C3453" s="451" t="s">
        <v>1213</v>
      </c>
      <c r="D3453" s="451"/>
      <c r="E3453" s="451"/>
      <c r="F3453" s="451"/>
      <c r="G3453" s="451" t="s">
        <v>22877</v>
      </c>
      <c r="H3453" s="451" t="s">
        <v>22878</v>
      </c>
      <c r="I3453" s="451" t="s">
        <v>34500</v>
      </c>
      <c r="J3453" s="451" t="s">
        <v>22939</v>
      </c>
      <c r="K3453" s="451"/>
    </row>
    <row r="3454" spans="1:11">
      <c r="A3454" s="450" t="s">
        <v>34501</v>
      </c>
      <c r="B3454" s="450"/>
      <c r="C3454" s="450" t="s">
        <v>1213</v>
      </c>
      <c r="D3454" s="450"/>
      <c r="E3454" s="450"/>
      <c r="F3454" s="450"/>
      <c r="G3454" s="450" t="s">
        <v>22877</v>
      </c>
      <c r="H3454" s="450" t="s">
        <v>22878</v>
      </c>
      <c r="I3454" s="450" t="s">
        <v>34500</v>
      </c>
      <c r="J3454" s="450" t="s">
        <v>22939</v>
      </c>
      <c r="K3454" s="450"/>
    </row>
    <row r="3455" spans="1:11">
      <c r="A3455" s="451" t="s">
        <v>34502</v>
      </c>
      <c r="B3455" s="451"/>
      <c r="C3455" s="451" t="s">
        <v>1213</v>
      </c>
      <c r="D3455" s="451"/>
      <c r="E3455" s="451"/>
      <c r="F3455" s="451"/>
      <c r="G3455" s="451" t="s">
        <v>22877</v>
      </c>
      <c r="H3455" s="451" t="s">
        <v>22878</v>
      </c>
      <c r="I3455" s="451" t="s">
        <v>24620</v>
      </c>
      <c r="J3455" s="451" t="s">
        <v>22997</v>
      </c>
      <c r="K3455" s="451"/>
    </row>
    <row r="3456" spans="1:11">
      <c r="A3456" s="450" t="s">
        <v>6207</v>
      </c>
      <c r="B3456" s="450"/>
      <c r="C3456" s="450" t="s">
        <v>1213</v>
      </c>
      <c r="D3456" s="450"/>
      <c r="E3456" s="450"/>
      <c r="F3456" s="450"/>
      <c r="G3456" s="450" t="s">
        <v>22877</v>
      </c>
      <c r="H3456" s="450" t="s">
        <v>22878</v>
      </c>
      <c r="I3456" s="450" t="s">
        <v>24620</v>
      </c>
      <c r="J3456" s="450" t="s">
        <v>22997</v>
      </c>
      <c r="K3456" s="450"/>
    </row>
    <row r="3457" spans="1:11">
      <c r="A3457" s="451" t="s">
        <v>6208</v>
      </c>
      <c r="B3457" s="451" t="s">
        <v>6209</v>
      </c>
      <c r="C3457" s="451" t="s">
        <v>2168</v>
      </c>
      <c r="D3457" s="451"/>
      <c r="E3457" s="451"/>
      <c r="F3457" s="451"/>
      <c r="G3457" s="451" t="s">
        <v>24621</v>
      </c>
      <c r="H3457" s="451" t="s">
        <v>22878</v>
      </c>
      <c r="I3457" s="451"/>
      <c r="J3457" s="451" t="s">
        <v>24622</v>
      </c>
      <c r="K3457" s="451"/>
    </row>
    <row r="3458" spans="1:11">
      <c r="A3458" s="450" t="s">
        <v>24623</v>
      </c>
      <c r="B3458" s="450" t="s">
        <v>24624</v>
      </c>
      <c r="C3458" s="450" t="s">
        <v>24625</v>
      </c>
      <c r="D3458" s="450" t="s">
        <v>24626</v>
      </c>
      <c r="E3458" s="450"/>
      <c r="F3458" s="450"/>
      <c r="G3458" s="450" t="s">
        <v>22877</v>
      </c>
      <c r="H3458" s="450" t="s">
        <v>22878</v>
      </c>
      <c r="I3458" s="450" t="s">
        <v>24627</v>
      </c>
      <c r="J3458" s="450" t="s">
        <v>24628</v>
      </c>
      <c r="K3458" s="450"/>
    </row>
    <row r="3459" spans="1:11">
      <c r="A3459" s="451" t="s">
        <v>6210</v>
      </c>
      <c r="B3459" s="451"/>
      <c r="C3459" s="451" t="s">
        <v>6211</v>
      </c>
      <c r="D3459" s="451"/>
      <c r="E3459" s="451"/>
      <c r="F3459" s="451"/>
      <c r="G3459" s="451" t="s">
        <v>22882</v>
      </c>
      <c r="H3459" s="451" t="s">
        <v>22883</v>
      </c>
      <c r="I3459" s="451"/>
      <c r="J3459" s="451" t="s">
        <v>22943</v>
      </c>
      <c r="K3459" s="451"/>
    </row>
    <row r="3460" spans="1:11">
      <c r="A3460" s="450" t="s">
        <v>34503</v>
      </c>
      <c r="B3460" s="450"/>
      <c r="C3460" s="450" t="s">
        <v>6211</v>
      </c>
      <c r="D3460" s="450"/>
      <c r="E3460" s="450"/>
      <c r="F3460" s="450"/>
      <c r="G3460" s="450" t="s">
        <v>22877</v>
      </c>
      <c r="H3460" s="450" t="s">
        <v>22878</v>
      </c>
      <c r="I3460" s="450" t="s">
        <v>34504</v>
      </c>
      <c r="J3460" s="450" t="s">
        <v>23370</v>
      </c>
      <c r="K3460" s="450"/>
    </row>
    <row r="3461" spans="1:11">
      <c r="A3461" s="451" t="s">
        <v>6212</v>
      </c>
      <c r="B3461" s="451"/>
      <c r="C3461" s="451" t="s">
        <v>6213</v>
      </c>
      <c r="D3461" s="451"/>
      <c r="E3461" s="451"/>
      <c r="F3461" s="451"/>
      <c r="G3461" s="451" t="s">
        <v>22882</v>
      </c>
      <c r="H3461" s="451" t="s">
        <v>22883</v>
      </c>
      <c r="I3461" s="451"/>
      <c r="J3461" s="451" t="s">
        <v>22943</v>
      </c>
      <c r="K3461" s="451"/>
    </row>
    <row r="3462" spans="1:11">
      <c r="A3462" s="450" t="s">
        <v>31007</v>
      </c>
      <c r="B3462" s="450" t="s">
        <v>6001</v>
      </c>
      <c r="C3462" s="450" t="s">
        <v>6002</v>
      </c>
      <c r="D3462" s="450" t="s">
        <v>6003</v>
      </c>
      <c r="E3462" s="450"/>
      <c r="F3462" s="450"/>
      <c r="G3462" s="450" t="s">
        <v>22877</v>
      </c>
      <c r="H3462" s="450" t="s">
        <v>22878</v>
      </c>
      <c r="I3462" s="450" t="s">
        <v>6003</v>
      </c>
      <c r="J3462" s="450" t="s">
        <v>24629</v>
      </c>
      <c r="K3462" s="450"/>
    </row>
    <row r="3463" spans="1:11">
      <c r="A3463" s="451" t="s">
        <v>6214</v>
      </c>
      <c r="B3463" s="451"/>
      <c r="C3463" s="451" t="s">
        <v>6215</v>
      </c>
      <c r="D3463" s="451"/>
      <c r="E3463" s="451"/>
      <c r="F3463" s="451"/>
      <c r="G3463" s="451" t="s">
        <v>22877</v>
      </c>
      <c r="H3463" s="451" t="s">
        <v>22878</v>
      </c>
      <c r="I3463" s="451" t="s">
        <v>24630</v>
      </c>
      <c r="J3463" s="451" t="s">
        <v>24631</v>
      </c>
      <c r="K3463" s="451"/>
    </row>
    <row r="3464" spans="1:11">
      <c r="A3464" s="450" t="s">
        <v>6216</v>
      </c>
      <c r="B3464" s="450" t="s">
        <v>6217</v>
      </c>
      <c r="C3464" s="450" t="s">
        <v>6218</v>
      </c>
      <c r="D3464" s="450" t="s">
        <v>6219</v>
      </c>
      <c r="E3464" s="450"/>
      <c r="F3464" s="450"/>
      <c r="G3464" s="450" t="s">
        <v>22877</v>
      </c>
      <c r="H3464" s="450" t="s">
        <v>22878</v>
      </c>
      <c r="I3464" s="450" t="s">
        <v>6219</v>
      </c>
      <c r="J3464" s="450" t="s">
        <v>24632</v>
      </c>
      <c r="K3464" s="450"/>
    </row>
    <row r="3465" spans="1:11">
      <c r="A3465" s="451" t="s">
        <v>6216</v>
      </c>
      <c r="B3465" s="451" t="s">
        <v>6217</v>
      </c>
      <c r="C3465" s="451" t="s">
        <v>6218</v>
      </c>
      <c r="D3465" s="451" t="s">
        <v>6219</v>
      </c>
      <c r="E3465" s="451" t="s">
        <v>6220</v>
      </c>
      <c r="F3465" s="451"/>
      <c r="G3465" s="451" t="s">
        <v>22877</v>
      </c>
      <c r="H3465" s="451" t="s">
        <v>22878</v>
      </c>
      <c r="I3465" s="451" t="s">
        <v>6219</v>
      </c>
      <c r="J3465" s="451" t="s">
        <v>24632</v>
      </c>
      <c r="K3465" s="451"/>
    </row>
    <row r="3466" spans="1:11">
      <c r="A3466" s="450" t="s">
        <v>6221</v>
      </c>
      <c r="B3466" s="450"/>
      <c r="C3466" s="450" t="s">
        <v>6222</v>
      </c>
      <c r="D3466" s="450"/>
      <c r="E3466" s="450"/>
      <c r="F3466" s="450"/>
      <c r="G3466" s="450" t="s">
        <v>22882</v>
      </c>
      <c r="H3466" s="450" t="s">
        <v>22883</v>
      </c>
      <c r="I3466" s="450"/>
      <c r="J3466" s="450" t="s">
        <v>22939</v>
      </c>
      <c r="K3466" s="450"/>
    </row>
    <row r="3467" spans="1:11">
      <c r="A3467" s="451" t="s">
        <v>6223</v>
      </c>
      <c r="B3467" s="451"/>
      <c r="C3467" s="451" t="s">
        <v>6224</v>
      </c>
      <c r="D3467" s="451"/>
      <c r="E3467" s="451"/>
      <c r="F3467" s="451"/>
      <c r="G3467" s="451" t="s">
        <v>22877</v>
      </c>
      <c r="H3467" s="451" t="s">
        <v>22878</v>
      </c>
      <c r="I3467" s="451" t="s">
        <v>34505</v>
      </c>
      <c r="J3467" s="451" t="s">
        <v>22939</v>
      </c>
      <c r="K3467" s="451"/>
    </row>
    <row r="3468" spans="1:11">
      <c r="A3468" s="450" t="s">
        <v>6225</v>
      </c>
      <c r="B3468" s="450"/>
      <c r="C3468" s="450" t="s">
        <v>6226</v>
      </c>
      <c r="D3468" s="450"/>
      <c r="E3468" s="450"/>
      <c r="F3468" s="450"/>
      <c r="G3468" s="450" t="s">
        <v>22877</v>
      </c>
      <c r="H3468" s="450" t="s">
        <v>22878</v>
      </c>
      <c r="I3468" s="450" t="s">
        <v>34506</v>
      </c>
      <c r="J3468" s="450" t="s">
        <v>23370</v>
      </c>
      <c r="K3468" s="450"/>
    </row>
    <row r="3469" spans="1:11">
      <c r="A3469" s="451" t="s">
        <v>6227</v>
      </c>
      <c r="B3469" s="451"/>
      <c r="C3469" s="451" t="s">
        <v>6228</v>
      </c>
      <c r="D3469" s="451"/>
      <c r="E3469" s="451"/>
      <c r="F3469" s="451"/>
      <c r="G3469" s="451" t="s">
        <v>22877</v>
      </c>
      <c r="H3469" s="451" t="s">
        <v>22878</v>
      </c>
      <c r="I3469" s="451" t="s">
        <v>34507</v>
      </c>
      <c r="J3469" s="451" t="s">
        <v>22939</v>
      </c>
      <c r="K3469" s="451"/>
    </row>
    <row r="3470" spans="1:11">
      <c r="A3470" s="450" t="s">
        <v>6229</v>
      </c>
      <c r="B3470" s="450"/>
      <c r="C3470" s="450" t="s">
        <v>4729</v>
      </c>
      <c r="D3470" s="450"/>
      <c r="E3470" s="450"/>
      <c r="F3470" s="450"/>
      <c r="G3470" s="450" t="s">
        <v>22877</v>
      </c>
      <c r="H3470" s="450" t="s">
        <v>22878</v>
      </c>
      <c r="I3470" s="450" t="s">
        <v>24633</v>
      </c>
      <c r="J3470" s="450" t="s">
        <v>22997</v>
      </c>
      <c r="K3470" s="450"/>
    </row>
    <row r="3471" spans="1:11">
      <c r="A3471" s="451" t="s">
        <v>21618</v>
      </c>
      <c r="B3471" s="451"/>
      <c r="C3471" s="451" t="s">
        <v>6230</v>
      </c>
      <c r="D3471" s="451"/>
      <c r="E3471" s="451"/>
      <c r="F3471" s="451"/>
      <c r="G3471" s="451" t="s">
        <v>22877</v>
      </c>
      <c r="H3471" s="451" t="s">
        <v>22878</v>
      </c>
      <c r="I3471" s="451" t="s">
        <v>34508</v>
      </c>
      <c r="J3471" s="451" t="s">
        <v>22939</v>
      </c>
      <c r="K3471" s="451"/>
    </row>
    <row r="3472" spans="1:11">
      <c r="A3472" s="450" t="s">
        <v>6231</v>
      </c>
      <c r="B3472" s="450"/>
      <c r="C3472" s="450" t="s">
        <v>6232</v>
      </c>
      <c r="D3472" s="450"/>
      <c r="E3472" s="450"/>
      <c r="F3472" s="450"/>
      <c r="G3472" s="450" t="s">
        <v>22877</v>
      </c>
      <c r="H3472" s="450" t="s">
        <v>22878</v>
      </c>
      <c r="I3472" s="450" t="s">
        <v>34506</v>
      </c>
      <c r="J3472" s="450" t="s">
        <v>22943</v>
      </c>
      <c r="K3472" s="450"/>
    </row>
    <row r="3473" spans="1:11">
      <c r="A3473" s="451" t="s">
        <v>21619</v>
      </c>
      <c r="B3473" s="451"/>
      <c r="C3473" s="451" t="s">
        <v>6233</v>
      </c>
      <c r="D3473" s="451"/>
      <c r="E3473" s="451"/>
      <c r="F3473" s="451"/>
      <c r="G3473" s="451" t="s">
        <v>22877</v>
      </c>
      <c r="H3473" s="451" t="s">
        <v>22878</v>
      </c>
      <c r="I3473" s="451" t="s">
        <v>24633</v>
      </c>
      <c r="J3473" s="451" t="s">
        <v>22939</v>
      </c>
      <c r="K3473" s="451"/>
    </row>
    <row r="3474" spans="1:11">
      <c r="A3474" s="450" t="s">
        <v>34509</v>
      </c>
      <c r="B3474" s="450" t="s">
        <v>20297</v>
      </c>
      <c r="C3474" s="450" t="s">
        <v>20301</v>
      </c>
      <c r="D3474" s="450" t="s">
        <v>34510</v>
      </c>
      <c r="E3474" s="450"/>
      <c r="F3474" s="450"/>
      <c r="G3474" s="450" t="s">
        <v>22877</v>
      </c>
      <c r="H3474" s="450" t="s">
        <v>22878</v>
      </c>
      <c r="I3474" s="450" t="s">
        <v>34510</v>
      </c>
      <c r="J3474" s="450" t="s">
        <v>34511</v>
      </c>
      <c r="K3474" s="450"/>
    </row>
    <row r="3475" spans="1:11">
      <c r="A3475" s="451" t="s">
        <v>20296</v>
      </c>
      <c r="B3475" s="451" t="s">
        <v>20297</v>
      </c>
      <c r="C3475" s="451" t="s">
        <v>20301</v>
      </c>
      <c r="D3475" s="451" t="s">
        <v>20298</v>
      </c>
      <c r="E3475" s="451" t="s">
        <v>20299</v>
      </c>
      <c r="F3475" s="451" t="s">
        <v>20300</v>
      </c>
      <c r="G3475" s="451" t="s">
        <v>22877</v>
      </c>
      <c r="H3475" s="451" t="s">
        <v>22878</v>
      </c>
      <c r="I3475" s="451" t="s">
        <v>20298</v>
      </c>
      <c r="J3475" s="451" t="s">
        <v>31008</v>
      </c>
      <c r="K3475" s="451"/>
    </row>
    <row r="3476" spans="1:11">
      <c r="A3476" s="450" t="s">
        <v>6234</v>
      </c>
      <c r="B3476" s="450" t="s">
        <v>20130</v>
      </c>
      <c r="C3476" s="450" t="s">
        <v>15554</v>
      </c>
      <c r="D3476" s="450" t="s">
        <v>6235</v>
      </c>
      <c r="E3476" s="450" t="s">
        <v>6236</v>
      </c>
      <c r="F3476" s="450"/>
      <c r="G3476" s="450" t="s">
        <v>22877</v>
      </c>
      <c r="H3476" s="450" t="s">
        <v>22878</v>
      </c>
      <c r="I3476" s="450" t="s">
        <v>34512</v>
      </c>
      <c r="J3476" s="450" t="s">
        <v>34513</v>
      </c>
      <c r="K3476" s="450"/>
    </row>
    <row r="3477" spans="1:11">
      <c r="A3477" s="451" t="s">
        <v>24634</v>
      </c>
      <c r="B3477" s="451" t="s">
        <v>20130</v>
      </c>
      <c r="C3477" s="451" t="s">
        <v>15554</v>
      </c>
      <c r="D3477" s="451" t="s">
        <v>6235</v>
      </c>
      <c r="E3477" s="451"/>
      <c r="F3477" s="451"/>
      <c r="G3477" s="451" t="s">
        <v>22877</v>
      </c>
      <c r="H3477" s="451" t="s">
        <v>22878</v>
      </c>
      <c r="I3477" s="451" t="s">
        <v>24635</v>
      </c>
      <c r="J3477" s="451" t="s">
        <v>24636</v>
      </c>
      <c r="K3477" s="451"/>
    </row>
    <row r="3478" spans="1:11">
      <c r="A3478" s="450" t="s">
        <v>24637</v>
      </c>
      <c r="B3478" s="450" t="s">
        <v>24638</v>
      </c>
      <c r="C3478" s="450" t="s">
        <v>24639</v>
      </c>
      <c r="D3478" s="450"/>
      <c r="E3478" s="450"/>
      <c r="F3478" s="450"/>
      <c r="G3478" s="450" t="s">
        <v>22877</v>
      </c>
      <c r="H3478" s="450" t="s">
        <v>22878</v>
      </c>
      <c r="I3478" s="450" t="s">
        <v>24640</v>
      </c>
      <c r="J3478" s="450" t="s">
        <v>24641</v>
      </c>
      <c r="K3478" s="450"/>
    </row>
    <row r="3479" spans="1:11">
      <c r="A3479" s="451" t="s">
        <v>34514</v>
      </c>
      <c r="B3479" s="451" t="s">
        <v>6238</v>
      </c>
      <c r="C3479" s="451" t="s">
        <v>4023</v>
      </c>
      <c r="D3479" s="451" t="s">
        <v>6239</v>
      </c>
      <c r="E3479" s="451"/>
      <c r="F3479" s="451"/>
      <c r="G3479" s="451" t="s">
        <v>22882</v>
      </c>
      <c r="H3479" s="451" t="s">
        <v>22883</v>
      </c>
      <c r="I3479" s="451" t="s">
        <v>34515</v>
      </c>
      <c r="J3479" s="451" t="s">
        <v>34516</v>
      </c>
      <c r="K3479" s="451"/>
    </row>
    <row r="3480" spans="1:11">
      <c r="A3480" s="450" t="s">
        <v>6237</v>
      </c>
      <c r="B3480" s="450" t="s">
        <v>6238</v>
      </c>
      <c r="C3480" s="450" t="s">
        <v>4023</v>
      </c>
      <c r="D3480" s="450" t="s">
        <v>6239</v>
      </c>
      <c r="E3480" s="450" t="s">
        <v>6240</v>
      </c>
      <c r="F3480" s="450"/>
      <c r="G3480" s="450" t="s">
        <v>22882</v>
      </c>
      <c r="H3480" s="450" t="s">
        <v>22883</v>
      </c>
      <c r="I3480" s="450" t="s">
        <v>6239</v>
      </c>
      <c r="J3480" s="450" t="s">
        <v>31009</v>
      </c>
      <c r="K3480" s="450"/>
    </row>
    <row r="3481" spans="1:11">
      <c r="A3481" s="451" t="s">
        <v>24642</v>
      </c>
      <c r="B3481" s="451" t="s">
        <v>20135</v>
      </c>
      <c r="C3481" s="451" t="s">
        <v>19250</v>
      </c>
      <c r="D3481" s="451" t="s">
        <v>19251</v>
      </c>
      <c r="E3481" s="451"/>
      <c r="F3481" s="451"/>
      <c r="G3481" s="451" t="s">
        <v>22877</v>
      </c>
      <c r="H3481" s="451" t="s">
        <v>22878</v>
      </c>
      <c r="I3481" s="451" t="s">
        <v>24643</v>
      </c>
      <c r="J3481" s="451" t="s">
        <v>24644</v>
      </c>
      <c r="K3481" s="451"/>
    </row>
    <row r="3482" spans="1:11">
      <c r="A3482" s="450" t="s">
        <v>24645</v>
      </c>
      <c r="B3482" s="450" t="s">
        <v>20420</v>
      </c>
      <c r="C3482" s="450" t="s">
        <v>6738</v>
      </c>
      <c r="D3482" s="450" t="s">
        <v>20422</v>
      </c>
      <c r="E3482" s="450"/>
      <c r="F3482" s="450"/>
      <c r="G3482" s="450" t="s">
        <v>22877</v>
      </c>
      <c r="H3482" s="450" t="s">
        <v>22878</v>
      </c>
      <c r="I3482" s="450" t="s">
        <v>20422</v>
      </c>
      <c r="J3482" s="450" t="s">
        <v>24646</v>
      </c>
      <c r="K3482" s="450"/>
    </row>
    <row r="3483" spans="1:11">
      <c r="A3483" s="451" t="s">
        <v>24647</v>
      </c>
      <c r="B3483" s="451" t="s">
        <v>24648</v>
      </c>
      <c r="C3483" s="451" t="s">
        <v>24649</v>
      </c>
      <c r="D3483" s="451"/>
      <c r="E3483" s="451"/>
      <c r="F3483" s="451"/>
      <c r="G3483" s="451" t="s">
        <v>22877</v>
      </c>
      <c r="H3483" s="451" t="s">
        <v>22878</v>
      </c>
      <c r="I3483" s="451" t="s">
        <v>24650</v>
      </c>
      <c r="J3483" s="451" t="s">
        <v>24651</v>
      </c>
      <c r="K3483" s="451"/>
    </row>
    <row r="3484" spans="1:11">
      <c r="A3484" s="450" t="s">
        <v>34517</v>
      </c>
      <c r="B3484" s="450" t="s">
        <v>20131</v>
      </c>
      <c r="C3484" s="450" t="s">
        <v>5120</v>
      </c>
      <c r="D3484" s="450" t="s">
        <v>20132</v>
      </c>
      <c r="E3484" s="450"/>
      <c r="F3484" s="450" t="s">
        <v>20133</v>
      </c>
      <c r="G3484" s="450" t="s">
        <v>22877</v>
      </c>
      <c r="H3484" s="450" t="s">
        <v>22878</v>
      </c>
      <c r="I3484" s="450" t="s">
        <v>20132</v>
      </c>
      <c r="J3484" s="450" t="s">
        <v>34518</v>
      </c>
      <c r="K3484" s="450"/>
    </row>
    <row r="3485" spans="1:11">
      <c r="A3485" s="451" t="s">
        <v>19249</v>
      </c>
      <c r="B3485" s="451" t="s">
        <v>20131</v>
      </c>
      <c r="C3485" s="451" t="s">
        <v>5120</v>
      </c>
      <c r="D3485" s="451" t="s">
        <v>20132</v>
      </c>
      <c r="E3485" s="451"/>
      <c r="F3485" s="451" t="s">
        <v>20133</v>
      </c>
      <c r="G3485" s="451" t="s">
        <v>22877</v>
      </c>
      <c r="H3485" s="451" t="s">
        <v>22878</v>
      </c>
      <c r="I3485" s="451" t="s">
        <v>20132</v>
      </c>
      <c r="J3485" s="451" t="s">
        <v>31010</v>
      </c>
      <c r="K3485" s="451"/>
    </row>
    <row r="3486" spans="1:11">
      <c r="A3486" s="450" t="s">
        <v>20134</v>
      </c>
      <c r="B3486" s="450" t="s">
        <v>20135</v>
      </c>
      <c r="C3486" s="450" t="s">
        <v>19250</v>
      </c>
      <c r="D3486" s="450" t="s">
        <v>19251</v>
      </c>
      <c r="E3486" s="450"/>
      <c r="F3486" s="450"/>
      <c r="G3486" s="450" t="s">
        <v>22877</v>
      </c>
      <c r="H3486" s="450" t="s">
        <v>22878</v>
      </c>
      <c r="I3486" s="450" t="s">
        <v>19251</v>
      </c>
      <c r="J3486" s="450" t="s">
        <v>24644</v>
      </c>
      <c r="K3486" s="450"/>
    </row>
    <row r="3487" spans="1:11">
      <c r="A3487" s="451" t="s">
        <v>20419</v>
      </c>
      <c r="B3487" s="451" t="s">
        <v>20420</v>
      </c>
      <c r="C3487" s="451" t="s">
        <v>20421</v>
      </c>
      <c r="D3487" s="451" t="s">
        <v>20422</v>
      </c>
      <c r="E3487" s="451"/>
      <c r="F3487" s="451"/>
      <c r="G3487" s="451" t="s">
        <v>22877</v>
      </c>
      <c r="H3487" s="451" t="s">
        <v>22878</v>
      </c>
      <c r="I3487" s="451" t="s">
        <v>31011</v>
      </c>
      <c r="J3487" s="451" t="s">
        <v>31012</v>
      </c>
      <c r="K3487" s="451"/>
    </row>
    <row r="3488" spans="1:11">
      <c r="A3488" s="450" t="s">
        <v>24652</v>
      </c>
      <c r="B3488" s="450" t="s">
        <v>24653</v>
      </c>
      <c r="C3488" s="450" t="s">
        <v>6243</v>
      </c>
      <c r="D3488" s="450"/>
      <c r="E3488" s="450"/>
      <c r="F3488" s="450"/>
      <c r="G3488" s="450" t="s">
        <v>22877</v>
      </c>
      <c r="H3488" s="450" t="s">
        <v>22878</v>
      </c>
      <c r="I3488" s="450" t="s">
        <v>24654</v>
      </c>
      <c r="J3488" s="450" t="s">
        <v>24655</v>
      </c>
      <c r="K3488" s="450"/>
    </row>
    <row r="3489" spans="1:11">
      <c r="A3489" s="451" t="s">
        <v>6241</v>
      </c>
      <c r="B3489" s="451" t="s">
        <v>6242</v>
      </c>
      <c r="C3489" s="451" t="s">
        <v>6243</v>
      </c>
      <c r="D3489" s="451"/>
      <c r="E3489" s="451"/>
      <c r="F3489" s="451"/>
      <c r="G3489" s="451" t="s">
        <v>22877</v>
      </c>
      <c r="H3489" s="451" t="s">
        <v>22878</v>
      </c>
      <c r="I3489" s="451" t="s">
        <v>31013</v>
      </c>
      <c r="J3489" s="451" t="s">
        <v>31014</v>
      </c>
      <c r="K3489" s="451"/>
    </row>
    <row r="3490" spans="1:11">
      <c r="A3490" s="450" t="s">
        <v>6244</v>
      </c>
      <c r="B3490" s="450"/>
      <c r="C3490" s="450" t="s">
        <v>6245</v>
      </c>
      <c r="D3490" s="450"/>
      <c r="E3490" s="450"/>
      <c r="F3490" s="450"/>
      <c r="G3490" s="450" t="s">
        <v>22877</v>
      </c>
      <c r="H3490" s="450" t="s">
        <v>22878</v>
      </c>
      <c r="I3490" s="450" t="s">
        <v>34519</v>
      </c>
      <c r="J3490" s="450" t="s">
        <v>23370</v>
      </c>
      <c r="K3490" s="450"/>
    </row>
    <row r="3491" spans="1:11">
      <c r="A3491" s="451" t="s">
        <v>34520</v>
      </c>
      <c r="B3491" s="451"/>
      <c r="C3491" s="451" t="s">
        <v>6247</v>
      </c>
      <c r="D3491" s="451"/>
      <c r="E3491" s="451"/>
      <c r="F3491" s="451"/>
      <c r="G3491" s="451" t="s">
        <v>22882</v>
      </c>
      <c r="H3491" s="451" t="s">
        <v>22883</v>
      </c>
      <c r="I3491" s="451"/>
      <c r="J3491" s="451" t="s">
        <v>23370</v>
      </c>
      <c r="K3491" s="451"/>
    </row>
    <row r="3492" spans="1:11">
      <c r="A3492" s="450" t="s">
        <v>6246</v>
      </c>
      <c r="B3492" s="450"/>
      <c r="C3492" s="450" t="s">
        <v>6247</v>
      </c>
      <c r="D3492" s="450"/>
      <c r="E3492" s="450"/>
      <c r="F3492" s="450"/>
      <c r="G3492" s="450" t="s">
        <v>22882</v>
      </c>
      <c r="H3492" s="450" t="s">
        <v>22883</v>
      </c>
      <c r="I3492" s="450"/>
      <c r="J3492" s="450" t="s">
        <v>22943</v>
      </c>
      <c r="K3492" s="450"/>
    </row>
    <row r="3493" spans="1:11">
      <c r="A3493" s="451" t="s">
        <v>6248</v>
      </c>
      <c r="B3493" s="451" t="s">
        <v>6249</v>
      </c>
      <c r="C3493" s="451" t="s">
        <v>6250</v>
      </c>
      <c r="D3493" s="451"/>
      <c r="E3493" s="451"/>
      <c r="F3493" s="451"/>
      <c r="G3493" s="451" t="s">
        <v>22882</v>
      </c>
      <c r="H3493" s="451" t="s">
        <v>22883</v>
      </c>
      <c r="I3493" s="451" t="s">
        <v>34521</v>
      </c>
      <c r="J3493" s="451" t="s">
        <v>34522</v>
      </c>
      <c r="K3493" s="451"/>
    </row>
    <row r="3494" spans="1:11">
      <c r="A3494" s="450" t="s">
        <v>24656</v>
      </c>
      <c r="B3494" s="450" t="s">
        <v>6249</v>
      </c>
      <c r="C3494" s="450" t="s">
        <v>6250</v>
      </c>
      <c r="D3494" s="450"/>
      <c r="E3494" s="450"/>
      <c r="F3494" s="450"/>
      <c r="G3494" s="450" t="s">
        <v>22877</v>
      </c>
      <c r="H3494" s="450" t="s">
        <v>22878</v>
      </c>
      <c r="I3494" s="450" t="s">
        <v>24657</v>
      </c>
      <c r="J3494" s="450" t="s">
        <v>24658</v>
      </c>
      <c r="K3494" s="450"/>
    </row>
    <row r="3495" spans="1:11">
      <c r="A3495" s="451" t="s">
        <v>34523</v>
      </c>
      <c r="B3495" s="451" t="s">
        <v>6252</v>
      </c>
      <c r="C3495" s="451" t="s">
        <v>6253</v>
      </c>
      <c r="D3495" s="451" t="s">
        <v>6254</v>
      </c>
      <c r="E3495" s="451"/>
      <c r="F3495" s="451"/>
      <c r="G3495" s="451" t="s">
        <v>22877</v>
      </c>
      <c r="H3495" s="451" t="s">
        <v>22878</v>
      </c>
      <c r="I3495" s="451" t="s">
        <v>24659</v>
      </c>
      <c r="J3495" s="451" t="s">
        <v>24660</v>
      </c>
      <c r="K3495" s="451"/>
    </row>
    <row r="3496" spans="1:11">
      <c r="A3496" s="450" t="s">
        <v>6251</v>
      </c>
      <c r="B3496" s="450" t="s">
        <v>6252</v>
      </c>
      <c r="C3496" s="450" t="s">
        <v>6253</v>
      </c>
      <c r="D3496" s="450" t="s">
        <v>6254</v>
      </c>
      <c r="E3496" s="450"/>
      <c r="F3496" s="450"/>
      <c r="G3496" s="450" t="s">
        <v>22877</v>
      </c>
      <c r="H3496" s="450" t="s">
        <v>22878</v>
      </c>
      <c r="I3496" s="450" t="s">
        <v>24659</v>
      </c>
      <c r="J3496" s="450" t="s">
        <v>24660</v>
      </c>
      <c r="K3496" s="450"/>
    </row>
    <row r="3497" spans="1:11">
      <c r="A3497" s="451" t="s">
        <v>6255</v>
      </c>
      <c r="B3497" s="451" t="s">
        <v>6256</v>
      </c>
      <c r="C3497" s="451" t="s">
        <v>6257</v>
      </c>
      <c r="D3497" s="451" t="s">
        <v>6258</v>
      </c>
      <c r="E3497" s="451"/>
      <c r="F3497" s="451"/>
      <c r="G3497" s="451" t="s">
        <v>22877</v>
      </c>
      <c r="H3497" s="451" t="s">
        <v>22878</v>
      </c>
      <c r="I3497" s="451" t="s">
        <v>6258</v>
      </c>
      <c r="J3497" s="451" t="s">
        <v>24661</v>
      </c>
      <c r="K3497" s="451"/>
    </row>
    <row r="3498" spans="1:11">
      <c r="A3498" s="450" t="s">
        <v>6255</v>
      </c>
      <c r="B3498" s="450" t="s">
        <v>6256</v>
      </c>
      <c r="C3498" s="450" t="s">
        <v>6257</v>
      </c>
      <c r="D3498" s="450" t="s">
        <v>6258</v>
      </c>
      <c r="E3498" s="450" t="s">
        <v>6259</v>
      </c>
      <c r="F3498" s="450"/>
      <c r="G3498" s="450" t="s">
        <v>22877</v>
      </c>
      <c r="H3498" s="450" t="s">
        <v>22878</v>
      </c>
      <c r="I3498" s="450" t="s">
        <v>6258</v>
      </c>
      <c r="J3498" s="450" t="s">
        <v>24661</v>
      </c>
      <c r="K3498" s="450"/>
    </row>
    <row r="3499" spans="1:11">
      <c r="A3499" s="451" t="s">
        <v>6260</v>
      </c>
      <c r="B3499" s="451" t="s">
        <v>6261</v>
      </c>
      <c r="C3499" s="451" t="s">
        <v>6262</v>
      </c>
      <c r="D3499" s="451" t="s">
        <v>6263</v>
      </c>
      <c r="E3499" s="451" t="s">
        <v>6264</v>
      </c>
      <c r="F3499" s="451"/>
      <c r="G3499" s="451" t="s">
        <v>22877</v>
      </c>
      <c r="H3499" s="451" t="s">
        <v>22878</v>
      </c>
      <c r="I3499" s="451" t="s">
        <v>34524</v>
      </c>
      <c r="J3499" s="451" t="s">
        <v>34525</v>
      </c>
      <c r="K3499" s="451"/>
    </row>
    <row r="3500" spans="1:11">
      <c r="A3500" s="450" t="s">
        <v>24662</v>
      </c>
      <c r="B3500" s="450" t="s">
        <v>6261</v>
      </c>
      <c r="C3500" s="450" t="s">
        <v>24663</v>
      </c>
      <c r="D3500" s="450" t="s">
        <v>6263</v>
      </c>
      <c r="E3500" s="450"/>
      <c r="F3500" s="450"/>
      <c r="G3500" s="450" t="s">
        <v>22877</v>
      </c>
      <c r="H3500" s="450" t="s">
        <v>22878</v>
      </c>
      <c r="I3500" s="450" t="s">
        <v>6263</v>
      </c>
      <c r="J3500" s="450" t="s">
        <v>24664</v>
      </c>
      <c r="K3500" s="450"/>
    </row>
    <row r="3501" spans="1:11">
      <c r="A3501" s="451" t="s">
        <v>6265</v>
      </c>
      <c r="B3501" s="451" t="s">
        <v>6266</v>
      </c>
      <c r="C3501" s="451" t="s">
        <v>6267</v>
      </c>
      <c r="D3501" s="451"/>
      <c r="E3501" s="451"/>
      <c r="F3501" s="451"/>
      <c r="G3501" s="451" t="s">
        <v>22877</v>
      </c>
      <c r="H3501" s="451" t="s">
        <v>22878</v>
      </c>
      <c r="I3501" s="451" t="s">
        <v>24665</v>
      </c>
      <c r="J3501" s="451" t="s">
        <v>24666</v>
      </c>
      <c r="K3501" s="451"/>
    </row>
    <row r="3502" spans="1:11">
      <c r="A3502" s="450" t="s">
        <v>24667</v>
      </c>
      <c r="B3502" s="450" t="s">
        <v>24668</v>
      </c>
      <c r="C3502" s="450" t="s">
        <v>24669</v>
      </c>
      <c r="D3502" s="450"/>
      <c r="E3502" s="450"/>
      <c r="F3502" s="450"/>
      <c r="G3502" s="450" t="s">
        <v>22877</v>
      </c>
      <c r="H3502" s="450" t="s">
        <v>22878</v>
      </c>
      <c r="I3502" s="450" t="s">
        <v>24670</v>
      </c>
      <c r="J3502" s="450" t="s">
        <v>24671</v>
      </c>
      <c r="K3502" s="450"/>
    </row>
    <row r="3503" spans="1:11">
      <c r="A3503" s="451" t="s">
        <v>6268</v>
      </c>
      <c r="B3503" s="451"/>
      <c r="C3503" s="451" t="s">
        <v>6269</v>
      </c>
      <c r="D3503" s="451"/>
      <c r="E3503" s="451"/>
      <c r="F3503" s="451"/>
      <c r="G3503" s="451" t="s">
        <v>22877</v>
      </c>
      <c r="H3503" s="451" t="s">
        <v>22878</v>
      </c>
      <c r="I3503" s="451" t="s">
        <v>34526</v>
      </c>
      <c r="J3503" s="451" t="s">
        <v>23121</v>
      </c>
      <c r="K3503" s="451"/>
    </row>
    <row r="3504" spans="1:11">
      <c r="A3504" s="450" t="s">
        <v>6270</v>
      </c>
      <c r="B3504" s="450"/>
      <c r="C3504" s="450" t="s">
        <v>3355</v>
      </c>
      <c r="D3504" s="450"/>
      <c r="E3504" s="450"/>
      <c r="F3504" s="450"/>
      <c r="G3504" s="450" t="s">
        <v>22877</v>
      </c>
      <c r="H3504" s="450" t="s">
        <v>22878</v>
      </c>
      <c r="I3504" s="450" t="s">
        <v>34527</v>
      </c>
      <c r="J3504" s="450" t="s">
        <v>34528</v>
      </c>
      <c r="K3504" s="450"/>
    </row>
    <row r="3505" spans="1:11">
      <c r="A3505" s="451" t="s">
        <v>6271</v>
      </c>
      <c r="B3505" s="451"/>
      <c r="C3505" s="451" t="s">
        <v>3310</v>
      </c>
      <c r="D3505" s="451"/>
      <c r="E3505" s="451"/>
      <c r="F3505" s="451"/>
      <c r="G3505" s="451" t="s">
        <v>22877</v>
      </c>
      <c r="H3505" s="451" t="s">
        <v>22878</v>
      </c>
      <c r="I3505" s="451" t="s">
        <v>34529</v>
      </c>
      <c r="J3505" s="451" t="s">
        <v>22943</v>
      </c>
      <c r="K3505" s="451"/>
    </row>
    <row r="3506" spans="1:11">
      <c r="A3506" s="450" t="s">
        <v>6272</v>
      </c>
      <c r="B3506" s="450"/>
      <c r="C3506" s="450" t="s">
        <v>6273</v>
      </c>
      <c r="D3506" s="450"/>
      <c r="E3506" s="450"/>
      <c r="F3506" s="450"/>
      <c r="G3506" s="450" t="s">
        <v>22877</v>
      </c>
      <c r="H3506" s="450" t="s">
        <v>22878</v>
      </c>
      <c r="I3506" s="450" t="s">
        <v>34530</v>
      </c>
      <c r="J3506" s="450" t="s">
        <v>22943</v>
      </c>
      <c r="K3506" s="450"/>
    </row>
    <row r="3507" spans="1:11">
      <c r="A3507" s="451" t="s">
        <v>6274</v>
      </c>
      <c r="B3507" s="451"/>
      <c r="C3507" s="451" t="s">
        <v>4806</v>
      </c>
      <c r="D3507" s="451"/>
      <c r="E3507" s="451"/>
      <c r="F3507" s="451"/>
      <c r="G3507" s="451" t="s">
        <v>22877</v>
      </c>
      <c r="H3507" s="451" t="s">
        <v>22878</v>
      </c>
      <c r="I3507" s="451" t="s">
        <v>34531</v>
      </c>
      <c r="J3507" s="451" t="s">
        <v>22939</v>
      </c>
      <c r="K3507" s="451"/>
    </row>
    <row r="3508" spans="1:11">
      <c r="A3508" s="450" t="s">
        <v>34532</v>
      </c>
      <c r="B3508" s="450"/>
      <c r="C3508" s="450" t="s">
        <v>6273</v>
      </c>
      <c r="D3508" s="450"/>
      <c r="E3508" s="450"/>
      <c r="F3508" s="450"/>
      <c r="G3508" s="450" t="s">
        <v>22877</v>
      </c>
      <c r="H3508" s="450" t="s">
        <v>22878</v>
      </c>
      <c r="I3508" s="450" t="s">
        <v>34533</v>
      </c>
      <c r="J3508" s="450" t="s">
        <v>23370</v>
      </c>
      <c r="K3508" s="450"/>
    </row>
    <row r="3509" spans="1:11">
      <c r="A3509" s="451" t="s">
        <v>34534</v>
      </c>
      <c r="B3509" s="451"/>
      <c r="C3509" s="451" t="s">
        <v>4806</v>
      </c>
      <c r="D3509" s="451"/>
      <c r="E3509" s="451"/>
      <c r="F3509" s="451"/>
      <c r="G3509" s="451" t="s">
        <v>22877</v>
      </c>
      <c r="H3509" s="451" t="s">
        <v>22878</v>
      </c>
      <c r="I3509" s="451" t="s">
        <v>34529</v>
      </c>
      <c r="J3509" s="451" t="s">
        <v>22943</v>
      </c>
      <c r="K3509" s="451"/>
    </row>
    <row r="3510" spans="1:11">
      <c r="A3510" s="450" t="s">
        <v>6275</v>
      </c>
      <c r="B3510" s="450"/>
      <c r="C3510" s="450" t="s">
        <v>6276</v>
      </c>
      <c r="D3510" s="450"/>
      <c r="E3510" s="450"/>
      <c r="F3510" s="450"/>
      <c r="G3510" s="450" t="s">
        <v>22882</v>
      </c>
      <c r="H3510" s="450" t="s">
        <v>22883</v>
      </c>
      <c r="I3510" s="450"/>
      <c r="J3510" s="450" t="s">
        <v>22997</v>
      </c>
      <c r="K3510" s="450"/>
    </row>
    <row r="3511" spans="1:11">
      <c r="A3511" s="451" t="s">
        <v>34535</v>
      </c>
      <c r="B3511" s="451"/>
      <c r="C3511" s="451" t="s">
        <v>6006</v>
      </c>
      <c r="D3511" s="451"/>
      <c r="E3511" s="451"/>
      <c r="F3511" s="451"/>
      <c r="G3511" s="451" t="s">
        <v>22877</v>
      </c>
      <c r="H3511" s="451" t="s">
        <v>22878</v>
      </c>
      <c r="I3511" s="451" t="s">
        <v>34536</v>
      </c>
      <c r="J3511" s="451" t="s">
        <v>23370</v>
      </c>
      <c r="K3511" s="451"/>
    </row>
    <row r="3512" spans="1:11">
      <c r="A3512" s="450" t="s">
        <v>34537</v>
      </c>
      <c r="B3512" s="450"/>
      <c r="C3512" s="450" t="s">
        <v>6008</v>
      </c>
      <c r="D3512" s="450"/>
      <c r="E3512" s="450"/>
      <c r="F3512" s="450"/>
      <c r="G3512" s="450" t="s">
        <v>22877</v>
      </c>
      <c r="H3512" s="450" t="s">
        <v>22878</v>
      </c>
      <c r="I3512" s="450" t="s">
        <v>34536</v>
      </c>
      <c r="J3512" s="450" t="s">
        <v>22943</v>
      </c>
      <c r="K3512" s="450"/>
    </row>
    <row r="3513" spans="1:11">
      <c r="A3513" s="451" t="s">
        <v>34538</v>
      </c>
      <c r="B3513" s="451"/>
      <c r="C3513" s="451" t="s">
        <v>6278</v>
      </c>
      <c r="D3513" s="451"/>
      <c r="E3513" s="451"/>
      <c r="F3513" s="451"/>
      <c r="G3513" s="451" t="s">
        <v>22877</v>
      </c>
      <c r="H3513" s="451" t="s">
        <v>22878</v>
      </c>
      <c r="I3513" s="451" t="s">
        <v>34539</v>
      </c>
      <c r="J3513" s="451" t="s">
        <v>22943</v>
      </c>
      <c r="K3513" s="451"/>
    </row>
    <row r="3514" spans="1:11">
      <c r="A3514" s="450" t="s">
        <v>6277</v>
      </c>
      <c r="B3514" s="450"/>
      <c r="C3514" s="450" t="s">
        <v>6278</v>
      </c>
      <c r="D3514" s="450"/>
      <c r="E3514" s="450"/>
      <c r="F3514" s="450"/>
      <c r="G3514" s="450" t="s">
        <v>22877</v>
      </c>
      <c r="H3514" s="450" t="s">
        <v>22878</v>
      </c>
      <c r="I3514" s="450" t="s">
        <v>34540</v>
      </c>
      <c r="J3514" s="450" t="s">
        <v>22943</v>
      </c>
      <c r="K3514" s="450"/>
    </row>
    <row r="3515" spans="1:11">
      <c r="A3515" s="451" t="s">
        <v>34541</v>
      </c>
      <c r="B3515" s="451"/>
      <c r="C3515" s="451" t="s">
        <v>6280</v>
      </c>
      <c r="D3515" s="451"/>
      <c r="E3515" s="451"/>
      <c r="F3515" s="451"/>
      <c r="G3515" s="451" t="s">
        <v>22877</v>
      </c>
      <c r="H3515" s="451" t="s">
        <v>22878</v>
      </c>
      <c r="I3515" s="451" t="s">
        <v>34542</v>
      </c>
      <c r="J3515" s="451" t="s">
        <v>22997</v>
      </c>
      <c r="K3515" s="451"/>
    </row>
    <row r="3516" spans="1:11">
      <c r="A3516" s="450" t="s">
        <v>6279</v>
      </c>
      <c r="B3516" s="450"/>
      <c r="C3516" s="450" t="s">
        <v>6280</v>
      </c>
      <c r="D3516" s="450"/>
      <c r="E3516" s="450"/>
      <c r="F3516" s="450"/>
      <c r="G3516" s="450" t="s">
        <v>22877</v>
      </c>
      <c r="H3516" s="450" t="s">
        <v>22878</v>
      </c>
      <c r="I3516" s="450" t="s">
        <v>34543</v>
      </c>
      <c r="J3516" s="450" t="s">
        <v>22939</v>
      </c>
      <c r="K3516" s="450"/>
    </row>
    <row r="3517" spans="1:11">
      <c r="A3517" s="451" t="s">
        <v>34544</v>
      </c>
      <c r="B3517" s="451"/>
      <c r="C3517" s="451" t="s">
        <v>6282</v>
      </c>
      <c r="D3517" s="451"/>
      <c r="E3517" s="451"/>
      <c r="F3517" s="451"/>
      <c r="G3517" s="451" t="s">
        <v>22877</v>
      </c>
      <c r="H3517" s="451" t="s">
        <v>22878</v>
      </c>
      <c r="I3517" s="451" t="s">
        <v>34545</v>
      </c>
      <c r="J3517" s="451" t="s">
        <v>22948</v>
      </c>
      <c r="K3517" s="451"/>
    </row>
    <row r="3518" spans="1:11">
      <c r="A3518" s="450" t="s">
        <v>6281</v>
      </c>
      <c r="B3518" s="450"/>
      <c r="C3518" s="450" t="s">
        <v>6282</v>
      </c>
      <c r="D3518" s="450"/>
      <c r="E3518" s="450"/>
      <c r="F3518" s="450"/>
      <c r="G3518" s="450" t="s">
        <v>22877</v>
      </c>
      <c r="H3518" s="450" t="s">
        <v>22878</v>
      </c>
      <c r="I3518" s="450" t="s">
        <v>34545</v>
      </c>
      <c r="J3518" s="450" t="s">
        <v>23370</v>
      </c>
      <c r="K3518" s="450"/>
    </row>
    <row r="3519" spans="1:11">
      <c r="A3519" s="451" t="s">
        <v>6283</v>
      </c>
      <c r="B3519" s="451"/>
      <c r="C3519" s="451" t="s">
        <v>6284</v>
      </c>
      <c r="D3519" s="451"/>
      <c r="E3519" s="451"/>
      <c r="F3519" s="451"/>
      <c r="G3519" s="451" t="s">
        <v>22877</v>
      </c>
      <c r="H3519" s="451" t="s">
        <v>22878</v>
      </c>
      <c r="I3519" s="451" t="s">
        <v>34546</v>
      </c>
      <c r="J3519" s="451" t="s">
        <v>22939</v>
      </c>
      <c r="K3519" s="451"/>
    </row>
    <row r="3520" spans="1:11">
      <c r="A3520" s="450" t="s">
        <v>34547</v>
      </c>
      <c r="B3520" s="450"/>
      <c r="C3520" s="450" t="s">
        <v>6284</v>
      </c>
      <c r="D3520" s="450"/>
      <c r="E3520" s="450"/>
      <c r="F3520" s="450"/>
      <c r="G3520" s="450" t="s">
        <v>22877</v>
      </c>
      <c r="H3520" s="450" t="s">
        <v>22878</v>
      </c>
      <c r="I3520" s="450" t="s">
        <v>34548</v>
      </c>
      <c r="J3520" s="450" t="s">
        <v>22943</v>
      </c>
      <c r="K3520" s="450"/>
    </row>
    <row r="3521" spans="1:11">
      <c r="A3521" s="451" t="s">
        <v>6285</v>
      </c>
      <c r="B3521" s="451"/>
      <c r="C3521" s="451" t="s">
        <v>6286</v>
      </c>
      <c r="D3521" s="451"/>
      <c r="E3521" s="451"/>
      <c r="F3521" s="451"/>
      <c r="G3521" s="451" t="s">
        <v>22877</v>
      </c>
      <c r="H3521" s="451" t="s">
        <v>22878</v>
      </c>
      <c r="I3521" s="451" t="s">
        <v>34549</v>
      </c>
      <c r="J3521" s="451" t="s">
        <v>22997</v>
      </c>
      <c r="K3521" s="451"/>
    </row>
    <row r="3522" spans="1:11">
      <c r="A3522" s="450" t="s">
        <v>34550</v>
      </c>
      <c r="B3522" s="450"/>
      <c r="C3522" s="450" t="s">
        <v>6288</v>
      </c>
      <c r="D3522" s="450"/>
      <c r="E3522" s="450"/>
      <c r="F3522" s="450"/>
      <c r="G3522" s="450" t="s">
        <v>22882</v>
      </c>
      <c r="H3522" s="450" t="s">
        <v>22883</v>
      </c>
      <c r="I3522" s="450"/>
      <c r="J3522" s="450" t="s">
        <v>23370</v>
      </c>
      <c r="K3522" s="450"/>
    </row>
    <row r="3523" spans="1:11">
      <c r="A3523" s="451" t="s">
        <v>6287</v>
      </c>
      <c r="B3523" s="451"/>
      <c r="C3523" s="451" t="s">
        <v>6288</v>
      </c>
      <c r="D3523" s="451"/>
      <c r="E3523" s="451"/>
      <c r="F3523" s="451"/>
      <c r="G3523" s="451" t="s">
        <v>22882</v>
      </c>
      <c r="H3523" s="451" t="s">
        <v>22883</v>
      </c>
      <c r="I3523" s="451"/>
      <c r="J3523" s="451" t="s">
        <v>22943</v>
      </c>
      <c r="K3523" s="451"/>
    </row>
    <row r="3524" spans="1:11">
      <c r="A3524" s="450" t="s">
        <v>34551</v>
      </c>
      <c r="B3524" s="450" t="s">
        <v>6290</v>
      </c>
      <c r="C3524" s="450" t="s">
        <v>6291</v>
      </c>
      <c r="D3524" s="450"/>
      <c r="E3524" s="450"/>
      <c r="F3524" s="450" t="s">
        <v>6292</v>
      </c>
      <c r="G3524" s="450" t="s">
        <v>22877</v>
      </c>
      <c r="H3524" s="450" t="s">
        <v>22878</v>
      </c>
      <c r="I3524" s="450" t="s">
        <v>34552</v>
      </c>
      <c r="J3524" s="450" t="s">
        <v>34553</v>
      </c>
      <c r="K3524" s="450"/>
    </row>
    <row r="3525" spans="1:11">
      <c r="A3525" s="451" t="s">
        <v>6289</v>
      </c>
      <c r="B3525" s="451" t="s">
        <v>6290</v>
      </c>
      <c r="C3525" s="451" t="s">
        <v>6291</v>
      </c>
      <c r="D3525" s="451"/>
      <c r="E3525" s="451"/>
      <c r="F3525" s="451" t="s">
        <v>6292</v>
      </c>
      <c r="G3525" s="451" t="s">
        <v>22882</v>
      </c>
      <c r="H3525" s="451" t="s">
        <v>22883</v>
      </c>
      <c r="I3525" s="451" t="s">
        <v>31015</v>
      </c>
      <c r="J3525" s="451" t="s">
        <v>31016</v>
      </c>
      <c r="K3525" s="451"/>
    </row>
    <row r="3526" spans="1:11">
      <c r="A3526" s="450" t="s">
        <v>34554</v>
      </c>
      <c r="B3526" s="450"/>
      <c r="C3526" s="450" t="s">
        <v>6294</v>
      </c>
      <c r="D3526" s="450"/>
      <c r="E3526" s="450"/>
      <c r="F3526" s="450"/>
      <c r="G3526" s="450" t="s">
        <v>22877</v>
      </c>
      <c r="H3526" s="450" t="s">
        <v>22878</v>
      </c>
      <c r="I3526" s="450" t="s">
        <v>34555</v>
      </c>
      <c r="J3526" s="450" t="s">
        <v>23370</v>
      </c>
      <c r="K3526" s="450"/>
    </row>
    <row r="3527" spans="1:11">
      <c r="A3527" s="451" t="s">
        <v>6293</v>
      </c>
      <c r="B3527" s="451"/>
      <c r="C3527" s="451" t="s">
        <v>6294</v>
      </c>
      <c r="D3527" s="451"/>
      <c r="E3527" s="451"/>
      <c r="F3527" s="451"/>
      <c r="G3527" s="451" t="s">
        <v>22877</v>
      </c>
      <c r="H3527" s="451" t="s">
        <v>22878</v>
      </c>
      <c r="I3527" s="451" t="s">
        <v>34556</v>
      </c>
      <c r="J3527" s="451" t="s">
        <v>22943</v>
      </c>
      <c r="K3527" s="451"/>
    </row>
    <row r="3528" spans="1:11">
      <c r="A3528" s="450" t="s">
        <v>34557</v>
      </c>
      <c r="B3528" s="450"/>
      <c r="C3528" s="450" t="s">
        <v>6295</v>
      </c>
      <c r="D3528" s="450"/>
      <c r="E3528" s="450"/>
      <c r="F3528" s="450"/>
      <c r="G3528" s="450" t="s">
        <v>22882</v>
      </c>
      <c r="H3528" s="450" t="s">
        <v>22883</v>
      </c>
      <c r="I3528" s="450" t="s">
        <v>34558</v>
      </c>
      <c r="J3528" s="450" t="s">
        <v>23185</v>
      </c>
      <c r="K3528" s="450"/>
    </row>
    <row r="3529" spans="1:11">
      <c r="A3529" s="451" t="s">
        <v>21620</v>
      </c>
      <c r="B3529" s="451"/>
      <c r="C3529" s="451" t="s">
        <v>6295</v>
      </c>
      <c r="D3529" s="451"/>
      <c r="E3529" s="451"/>
      <c r="F3529" s="451"/>
      <c r="G3529" s="451" t="s">
        <v>22882</v>
      </c>
      <c r="H3529" s="451" t="s">
        <v>22883</v>
      </c>
      <c r="I3529" s="451" t="s">
        <v>34559</v>
      </c>
      <c r="J3529" s="451" t="s">
        <v>22939</v>
      </c>
      <c r="K3529" s="451"/>
    </row>
    <row r="3530" spans="1:11">
      <c r="A3530" s="450" t="s">
        <v>6296</v>
      </c>
      <c r="B3530" s="450"/>
      <c r="C3530" s="450" t="s">
        <v>3426</v>
      </c>
      <c r="D3530" s="450"/>
      <c r="E3530" s="450"/>
      <c r="F3530" s="450"/>
      <c r="G3530" s="450" t="s">
        <v>22877</v>
      </c>
      <c r="H3530" s="450" t="s">
        <v>22878</v>
      </c>
      <c r="I3530" s="450" t="s">
        <v>24672</v>
      </c>
      <c r="J3530" s="450" t="s">
        <v>22939</v>
      </c>
      <c r="K3530" s="450"/>
    </row>
    <row r="3531" spans="1:11">
      <c r="A3531" s="451" t="s">
        <v>6297</v>
      </c>
      <c r="B3531" s="451" t="s">
        <v>6298</v>
      </c>
      <c r="C3531" s="451" t="s">
        <v>6299</v>
      </c>
      <c r="D3531" s="451" t="s">
        <v>6003</v>
      </c>
      <c r="E3531" s="451" t="s">
        <v>6004</v>
      </c>
      <c r="F3531" s="451"/>
      <c r="G3531" s="451" t="s">
        <v>22877</v>
      </c>
      <c r="H3531" s="451" t="s">
        <v>22878</v>
      </c>
      <c r="I3531" s="451" t="s">
        <v>6003</v>
      </c>
      <c r="J3531" s="451" t="s">
        <v>34560</v>
      </c>
      <c r="K3531" s="451"/>
    </row>
    <row r="3532" spans="1:11">
      <c r="A3532" s="450" t="s">
        <v>31017</v>
      </c>
      <c r="B3532" s="450" t="s">
        <v>6298</v>
      </c>
      <c r="C3532" s="450" t="s">
        <v>6299</v>
      </c>
      <c r="D3532" s="450" t="s">
        <v>6003</v>
      </c>
      <c r="E3532" s="450"/>
      <c r="F3532" s="450"/>
      <c r="G3532" s="450" t="s">
        <v>22877</v>
      </c>
      <c r="H3532" s="450" t="s">
        <v>22878</v>
      </c>
      <c r="I3532" s="450" t="s">
        <v>6003</v>
      </c>
      <c r="J3532" s="450" t="s">
        <v>24673</v>
      </c>
      <c r="K3532" s="450"/>
    </row>
    <row r="3533" spans="1:11">
      <c r="A3533" s="451" t="s">
        <v>6300</v>
      </c>
      <c r="B3533" s="451"/>
      <c r="C3533" s="451" t="s">
        <v>6301</v>
      </c>
      <c r="D3533" s="451"/>
      <c r="E3533" s="451"/>
      <c r="F3533" s="451"/>
      <c r="G3533" s="451" t="s">
        <v>22882</v>
      </c>
      <c r="H3533" s="451" t="s">
        <v>22883</v>
      </c>
      <c r="I3533" s="451"/>
      <c r="J3533" s="451" t="s">
        <v>22939</v>
      </c>
      <c r="K3533" s="451"/>
    </row>
    <row r="3534" spans="1:11">
      <c r="A3534" s="450" t="s">
        <v>34561</v>
      </c>
      <c r="B3534" s="450"/>
      <c r="C3534" s="450" t="s">
        <v>6303</v>
      </c>
      <c r="D3534" s="450"/>
      <c r="E3534" s="450"/>
      <c r="F3534" s="450"/>
      <c r="G3534" s="450" t="s">
        <v>22877</v>
      </c>
      <c r="H3534" s="450" t="s">
        <v>22878</v>
      </c>
      <c r="I3534" s="450" t="s">
        <v>34562</v>
      </c>
      <c r="J3534" s="450" t="s">
        <v>22943</v>
      </c>
      <c r="K3534" s="450"/>
    </row>
    <row r="3535" spans="1:11">
      <c r="A3535" s="451" t="s">
        <v>6302</v>
      </c>
      <c r="B3535" s="451"/>
      <c r="C3535" s="451" t="s">
        <v>6303</v>
      </c>
      <c r="D3535" s="451"/>
      <c r="E3535" s="451"/>
      <c r="F3535" s="451"/>
      <c r="G3535" s="451" t="s">
        <v>22877</v>
      </c>
      <c r="H3535" s="451" t="s">
        <v>22878</v>
      </c>
      <c r="I3535" s="451" t="s">
        <v>34563</v>
      </c>
      <c r="J3535" s="451" t="s">
        <v>22939</v>
      </c>
      <c r="K3535" s="451"/>
    </row>
    <row r="3536" spans="1:11">
      <c r="A3536" s="450" t="s">
        <v>6304</v>
      </c>
      <c r="B3536" s="450"/>
      <c r="C3536" s="450" t="s">
        <v>6305</v>
      </c>
      <c r="D3536" s="450"/>
      <c r="E3536" s="450"/>
      <c r="F3536" s="450"/>
      <c r="G3536" s="450" t="s">
        <v>22877</v>
      </c>
      <c r="H3536" s="450" t="s">
        <v>22878</v>
      </c>
      <c r="I3536" s="450" t="s">
        <v>34564</v>
      </c>
      <c r="J3536" s="450" t="s">
        <v>22997</v>
      </c>
      <c r="K3536" s="450"/>
    </row>
    <row r="3537" spans="1:11">
      <c r="A3537" s="451" t="s">
        <v>6306</v>
      </c>
      <c r="B3537" s="451"/>
      <c r="C3537" s="451" t="s">
        <v>6307</v>
      </c>
      <c r="D3537" s="451"/>
      <c r="E3537" s="451"/>
      <c r="F3537" s="451"/>
      <c r="G3537" s="451" t="s">
        <v>22877</v>
      </c>
      <c r="H3537" s="451" t="s">
        <v>22878</v>
      </c>
      <c r="I3537" s="451" t="s">
        <v>34565</v>
      </c>
      <c r="J3537" s="451" t="s">
        <v>23121</v>
      </c>
      <c r="K3537" s="451"/>
    </row>
    <row r="3538" spans="1:11">
      <c r="A3538" s="450" t="s">
        <v>24674</v>
      </c>
      <c r="B3538" s="450"/>
      <c r="C3538" s="450" t="s">
        <v>6305</v>
      </c>
      <c r="D3538" s="450"/>
      <c r="E3538" s="450"/>
      <c r="F3538" s="450"/>
      <c r="G3538" s="450" t="s">
        <v>22877</v>
      </c>
      <c r="H3538" s="450" t="s">
        <v>22878</v>
      </c>
      <c r="I3538" s="450" t="s">
        <v>24675</v>
      </c>
      <c r="J3538" s="450" t="s">
        <v>22943</v>
      </c>
      <c r="K3538" s="450"/>
    </row>
    <row r="3539" spans="1:11">
      <c r="A3539" s="451" t="s">
        <v>6308</v>
      </c>
      <c r="B3539" s="451" t="s">
        <v>6309</v>
      </c>
      <c r="C3539" s="451" t="s">
        <v>6310</v>
      </c>
      <c r="D3539" s="451" t="s">
        <v>6311</v>
      </c>
      <c r="E3539" s="451"/>
      <c r="F3539" s="451"/>
      <c r="G3539" s="451" t="s">
        <v>22877</v>
      </c>
      <c r="H3539" s="451" t="s">
        <v>22878</v>
      </c>
      <c r="I3539" s="451" t="s">
        <v>6311</v>
      </c>
      <c r="J3539" s="451" t="s">
        <v>24676</v>
      </c>
      <c r="K3539" s="451"/>
    </row>
    <row r="3540" spans="1:11">
      <c r="A3540" s="450" t="s">
        <v>6308</v>
      </c>
      <c r="B3540" s="450" t="s">
        <v>6309</v>
      </c>
      <c r="C3540" s="450" t="s">
        <v>6310</v>
      </c>
      <c r="D3540" s="450" t="s">
        <v>6311</v>
      </c>
      <c r="E3540" s="450" t="s">
        <v>6312</v>
      </c>
      <c r="F3540" s="450"/>
      <c r="G3540" s="450" t="s">
        <v>22877</v>
      </c>
      <c r="H3540" s="450" t="s">
        <v>22878</v>
      </c>
      <c r="I3540" s="450" t="s">
        <v>6311</v>
      </c>
      <c r="J3540" s="450" t="s">
        <v>24676</v>
      </c>
      <c r="K3540" s="450"/>
    </row>
    <row r="3541" spans="1:11">
      <c r="A3541" s="451" t="s">
        <v>24677</v>
      </c>
      <c r="B3541" s="451" t="s">
        <v>6010</v>
      </c>
      <c r="C3541" s="451" t="s">
        <v>6011</v>
      </c>
      <c r="D3541" s="451" t="s">
        <v>6012</v>
      </c>
      <c r="E3541" s="451"/>
      <c r="F3541" s="451"/>
      <c r="G3541" s="451" t="s">
        <v>22877</v>
      </c>
      <c r="H3541" s="451" t="s">
        <v>22878</v>
      </c>
      <c r="I3541" s="451" t="s">
        <v>6012</v>
      </c>
      <c r="J3541" s="451" t="s">
        <v>24678</v>
      </c>
      <c r="K3541" s="451"/>
    </row>
    <row r="3542" spans="1:11">
      <c r="A3542" s="450" t="s">
        <v>6313</v>
      </c>
      <c r="B3542" s="450"/>
      <c r="C3542" s="450" t="s">
        <v>6314</v>
      </c>
      <c r="D3542" s="450"/>
      <c r="E3542" s="450"/>
      <c r="F3542" s="450"/>
      <c r="G3542" s="450" t="s">
        <v>22877</v>
      </c>
      <c r="H3542" s="450" t="s">
        <v>22878</v>
      </c>
      <c r="I3542" s="450" t="s">
        <v>34566</v>
      </c>
      <c r="J3542" s="450" t="s">
        <v>22943</v>
      </c>
      <c r="K3542" s="450"/>
    </row>
    <row r="3543" spans="1:11">
      <c r="A3543" s="451" t="s">
        <v>6315</v>
      </c>
      <c r="B3543" s="451"/>
      <c r="C3543" s="451" t="s">
        <v>5355</v>
      </c>
      <c r="D3543" s="451"/>
      <c r="E3543" s="451"/>
      <c r="F3543" s="451"/>
      <c r="G3543" s="451" t="s">
        <v>22882</v>
      </c>
      <c r="H3543" s="451" t="s">
        <v>22883</v>
      </c>
      <c r="I3543" s="451"/>
      <c r="J3543" s="451" t="s">
        <v>22943</v>
      </c>
      <c r="K3543" s="451"/>
    </row>
    <row r="3544" spans="1:11">
      <c r="A3544" s="450" t="s">
        <v>6316</v>
      </c>
      <c r="B3544" s="450"/>
      <c r="C3544" s="450" t="s">
        <v>6317</v>
      </c>
      <c r="D3544" s="450"/>
      <c r="E3544" s="450"/>
      <c r="F3544" s="450"/>
      <c r="G3544" s="450" t="s">
        <v>22882</v>
      </c>
      <c r="H3544" s="450" t="s">
        <v>22883</v>
      </c>
      <c r="I3544" s="450"/>
      <c r="J3544" s="450" t="s">
        <v>22943</v>
      </c>
      <c r="K3544" s="450"/>
    </row>
    <row r="3545" spans="1:11">
      <c r="A3545" s="451" t="s">
        <v>24679</v>
      </c>
      <c r="B3545" s="451" t="s">
        <v>24680</v>
      </c>
      <c r="C3545" s="451" t="s">
        <v>24681</v>
      </c>
      <c r="D3545" s="451"/>
      <c r="E3545" s="451"/>
      <c r="F3545" s="451"/>
      <c r="G3545" s="451" t="s">
        <v>22877</v>
      </c>
      <c r="H3545" s="451" t="s">
        <v>22878</v>
      </c>
      <c r="I3545" s="451" t="s">
        <v>24682</v>
      </c>
      <c r="J3545" s="451" t="s">
        <v>24683</v>
      </c>
      <c r="K3545" s="451"/>
    </row>
    <row r="3546" spans="1:11">
      <c r="A3546" s="450" t="s">
        <v>6318</v>
      </c>
      <c r="B3546" s="450"/>
      <c r="C3546" s="450" t="s">
        <v>6319</v>
      </c>
      <c r="D3546" s="450"/>
      <c r="E3546" s="450"/>
      <c r="F3546" s="450"/>
      <c r="G3546" s="450" t="s">
        <v>22882</v>
      </c>
      <c r="H3546" s="450" t="s">
        <v>22883</v>
      </c>
      <c r="I3546" s="450" t="s">
        <v>34567</v>
      </c>
      <c r="J3546" s="450" t="s">
        <v>22997</v>
      </c>
      <c r="K3546" s="450"/>
    </row>
    <row r="3547" spans="1:11">
      <c r="A3547" s="451" t="s">
        <v>34568</v>
      </c>
      <c r="B3547" s="451"/>
      <c r="C3547" s="451" t="s">
        <v>6321</v>
      </c>
      <c r="D3547" s="451"/>
      <c r="E3547" s="451"/>
      <c r="F3547" s="451"/>
      <c r="G3547" s="451" t="s">
        <v>22882</v>
      </c>
      <c r="H3547" s="451" t="s">
        <v>22883</v>
      </c>
      <c r="I3547" s="451"/>
      <c r="J3547" s="451" t="s">
        <v>23370</v>
      </c>
      <c r="K3547" s="451"/>
    </row>
    <row r="3548" spans="1:11">
      <c r="A3548" s="450" t="s">
        <v>6320</v>
      </c>
      <c r="B3548" s="450"/>
      <c r="C3548" s="450" t="s">
        <v>6321</v>
      </c>
      <c r="D3548" s="450"/>
      <c r="E3548" s="450"/>
      <c r="F3548" s="450"/>
      <c r="G3548" s="450" t="s">
        <v>22882</v>
      </c>
      <c r="H3548" s="450" t="s">
        <v>22883</v>
      </c>
      <c r="I3548" s="450"/>
      <c r="J3548" s="450" t="s">
        <v>22943</v>
      </c>
      <c r="K3548" s="450"/>
    </row>
    <row r="3549" spans="1:11">
      <c r="A3549" s="451" t="s">
        <v>34569</v>
      </c>
      <c r="B3549" s="451"/>
      <c r="C3549" s="451" t="s">
        <v>6323</v>
      </c>
      <c r="D3549" s="451"/>
      <c r="E3549" s="451"/>
      <c r="F3549" s="451"/>
      <c r="G3549" s="451" t="s">
        <v>22877</v>
      </c>
      <c r="H3549" s="451" t="s">
        <v>22878</v>
      </c>
      <c r="I3549" s="451" t="s">
        <v>34570</v>
      </c>
      <c r="J3549" s="451" t="s">
        <v>22943</v>
      </c>
      <c r="K3549" s="451"/>
    </row>
    <row r="3550" spans="1:11">
      <c r="A3550" s="450" t="s">
        <v>6322</v>
      </c>
      <c r="B3550" s="450"/>
      <c r="C3550" s="450" t="s">
        <v>6323</v>
      </c>
      <c r="D3550" s="450"/>
      <c r="E3550" s="450"/>
      <c r="F3550" s="450"/>
      <c r="G3550" s="450" t="s">
        <v>22882</v>
      </c>
      <c r="H3550" s="450" t="s">
        <v>22883</v>
      </c>
      <c r="I3550" s="450" t="s">
        <v>34570</v>
      </c>
      <c r="J3550" s="450" t="s">
        <v>22997</v>
      </c>
      <c r="K3550" s="450"/>
    </row>
    <row r="3551" spans="1:11">
      <c r="A3551" s="451" t="s">
        <v>34571</v>
      </c>
      <c r="B3551" s="451"/>
      <c r="C3551" s="451" t="s">
        <v>6325</v>
      </c>
      <c r="D3551" s="451"/>
      <c r="E3551" s="451"/>
      <c r="F3551" s="451"/>
      <c r="G3551" s="451" t="s">
        <v>22877</v>
      </c>
      <c r="H3551" s="451" t="s">
        <v>22878</v>
      </c>
      <c r="I3551" s="451" t="s">
        <v>34572</v>
      </c>
      <c r="J3551" s="451" t="s">
        <v>22943</v>
      </c>
      <c r="K3551" s="451"/>
    </row>
    <row r="3552" spans="1:11">
      <c r="A3552" s="450" t="s">
        <v>6324</v>
      </c>
      <c r="B3552" s="450"/>
      <c r="C3552" s="450" t="s">
        <v>6325</v>
      </c>
      <c r="D3552" s="450"/>
      <c r="E3552" s="450"/>
      <c r="F3552" s="450"/>
      <c r="G3552" s="450" t="s">
        <v>22877</v>
      </c>
      <c r="H3552" s="450" t="s">
        <v>22878</v>
      </c>
      <c r="I3552" s="450" t="s">
        <v>31018</v>
      </c>
      <c r="J3552" s="450" t="s">
        <v>22939</v>
      </c>
      <c r="K3552" s="450"/>
    </row>
    <row r="3553" spans="1:11">
      <c r="A3553" s="451" t="s">
        <v>24684</v>
      </c>
      <c r="B3553" s="451" t="s">
        <v>24685</v>
      </c>
      <c r="C3553" s="451" t="s">
        <v>24686</v>
      </c>
      <c r="D3553" s="451"/>
      <c r="E3553" s="451"/>
      <c r="F3553" s="451"/>
      <c r="G3553" s="451" t="s">
        <v>22877</v>
      </c>
      <c r="H3553" s="451" t="s">
        <v>22878</v>
      </c>
      <c r="I3553" s="451" t="s">
        <v>24687</v>
      </c>
      <c r="J3553" s="451" t="s">
        <v>24688</v>
      </c>
      <c r="K3553" s="451"/>
    </row>
    <row r="3554" spans="1:11">
      <c r="A3554" s="450" t="s">
        <v>34573</v>
      </c>
      <c r="B3554" s="450" t="s">
        <v>6327</v>
      </c>
      <c r="C3554" s="450" t="s">
        <v>2291</v>
      </c>
      <c r="D3554" s="450" t="s">
        <v>6328</v>
      </c>
      <c r="E3554" s="450"/>
      <c r="F3554" s="450"/>
      <c r="G3554" s="450" t="s">
        <v>22877</v>
      </c>
      <c r="H3554" s="450" t="s">
        <v>22878</v>
      </c>
      <c r="I3554" s="450" t="s">
        <v>6328</v>
      </c>
      <c r="J3554" s="450" t="s">
        <v>34574</v>
      </c>
      <c r="K3554" s="450"/>
    </row>
    <row r="3555" spans="1:11">
      <c r="A3555" s="451" t="s">
        <v>6326</v>
      </c>
      <c r="B3555" s="451" t="s">
        <v>6327</v>
      </c>
      <c r="C3555" s="451" t="s">
        <v>2291</v>
      </c>
      <c r="D3555" s="451" t="s">
        <v>6328</v>
      </c>
      <c r="E3555" s="451" t="s">
        <v>6329</v>
      </c>
      <c r="F3555" s="451"/>
      <c r="G3555" s="451" t="s">
        <v>22877</v>
      </c>
      <c r="H3555" s="451" t="s">
        <v>22878</v>
      </c>
      <c r="I3555" s="451" t="s">
        <v>6328</v>
      </c>
      <c r="J3555" s="451" t="s">
        <v>31019</v>
      </c>
      <c r="K3555" s="451"/>
    </row>
    <row r="3556" spans="1:11">
      <c r="A3556" s="450" t="s">
        <v>6330</v>
      </c>
      <c r="B3556" s="450"/>
      <c r="C3556" s="450" t="s">
        <v>6331</v>
      </c>
      <c r="D3556" s="450"/>
      <c r="E3556" s="450"/>
      <c r="F3556" s="450"/>
      <c r="G3556" s="450" t="s">
        <v>22882</v>
      </c>
      <c r="H3556" s="450" t="s">
        <v>22883</v>
      </c>
      <c r="I3556" s="450"/>
      <c r="J3556" s="450" t="s">
        <v>22939</v>
      </c>
      <c r="K3556" s="450"/>
    </row>
    <row r="3557" spans="1:11">
      <c r="A3557" s="451" t="s">
        <v>21621</v>
      </c>
      <c r="B3557" s="451"/>
      <c r="C3557" s="451" t="s">
        <v>6332</v>
      </c>
      <c r="D3557" s="451"/>
      <c r="E3557" s="451"/>
      <c r="F3557" s="451"/>
      <c r="G3557" s="451" t="s">
        <v>22877</v>
      </c>
      <c r="H3557" s="451" t="s">
        <v>22878</v>
      </c>
      <c r="I3557" s="451" t="s">
        <v>34575</v>
      </c>
      <c r="J3557" s="451" t="s">
        <v>22997</v>
      </c>
      <c r="K3557" s="451"/>
    </row>
    <row r="3558" spans="1:11">
      <c r="A3558" s="450" t="s">
        <v>6333</v>
      </c>
      <c r="B3558" s="450"/>
      <c r="C3558" s="450" t="s">
        <v>6334</v>
      </c>
      <c r="D3558" s="450"/>
      <c r="E3558" s="450"/>
      <c r="F3558" s="450"/>
      <c r="G3558" s="450" t="s">
        <v>22877</v>
      </c>
      <c r="H3558" s="450" t="s">
        <v>22878</v>
      </c>
      <c r="I3558" s="450" t="s">
        <v>34576</v>
      </c>
      <c r="J3558" s="450" t="s">
        <v>22997</v>
      </c>
      <c r="K3558" s="450"/>
    </row>
    <row r="3559" spans="1:11">
      <c r="A3559" s="451" t="s">
        <v>6335</v>
      </c>
      <c r="B3559" s="451"/>
      <c r="C3559" s="451" t="s">
        <v>2799</v>
      </c>
      <c r="D3559" s="451"/>
      <c r="E3559" s="451"/>
      <c r="F3559" s="451"/>
      <c r="G3559" s="451" t="s">
        <v>22877</v>
      </c>
      <c r="H3559" s="451" t="s">
        <v>22878</v>
      </c>
      <c r="I3559" s="451" t="s">
        <v>34577</v>
      </c>
      <c r="J3559" s="451" t="s">
        <v>22902</v>
      </c>
      <c r="K3559" s="451"/>
    </row>
    <row r="3560" spans="1:11">
      <c r="A3560" s="450" t="s">
        <v>34578</v>
      </c>
      <c r="B3560" s="450"/>
      <c r="C3560" s="450" t="s">
        <v>6337</v>
      </c>
      <c r="D3560" s="450"/>
      <c r="E3560" s="450"/>
      <c r="F3560" s="450"/>
      <c r="G3560" s="450" t="s">
        <v>22882</v>
      </c>
      <c r="H3560" s="450" t="s">
        <v>22883</v>
      </c>
      <c r="I3560" s="450"/>
      <c r="J3560" s="450" t="s">
        <v>22943</v>
      </c>
      <c r="K3560" s="450"/>
    </row>
    <row r="3561" spans="1:11">
      <c r="A3561" s="451" t="s">
        <v>34579</v>
      </c>
      <c r="B3561" s="451"/>
      <c r="C3561" s="451" t="s">
        <v>6339</v>
      </c>
      <c r="D3561" s="451"/>
      <c r="E3561" s="451"/>
      <c r="F3561" s="451"/>
      <c r="G3561" s="451" t="s">
        <v>22882</v>
      </c>
      <c r="H3561" s="451" t="s">
        <v>22883</v>
      </c>
      <c r="I3561" s="451"/>
      <c r="J3561" s="451" t="s">
        <v>22943</v>
      </c>
      <c r="K3561" s="451"/>
    </row>
    <row r="3562" spans="1:11">
      <c r="A3562" s="450" t="s">
        <v>6336</v>
      </c>
      <c r="B3562" s="450"/>
      <c r="C3562" s="450" t="s">
        <v>6337</v>
      </c>
      <c r="D3562" s="450"/>
      <c r="E3562" s="450"/>
      <c r="F3562" s="450"/>
      <c r="G3562" s="450" t="s">
        <v>22882</v>
      </c>
      <c r="H3562" s="450" t="s">
        <v>22883</v>
      </c>
      <c r="I3562" s="450" t="s">
        <v>34580</v>
      </c>
      <c r="J3562" s="450" t="s">
        <v>22997</v>
      </c>
      <c r="K3562" s="450"/>
    </row>
    <row r="3563" spans="1:11">
      <c r="A3563" s="451" t="s">
        <v>6338</v>
      </c>
      <c r="B3563" s="451"/>
      <c r="C3563" s="451" t="s">
        <v>6339</v>
      </c>
      <c r="D3563" s="451"/>
      <c r="E3563" s="451"/>
      <c r="F3563" s="451"/>
      <c r="G3563" s="451" t="s">
        <v>22882</v>
      </c>
      <c r="H3563" s="451" t="s">
        <v>22883</v>
      </c>
      <c r="I3563" s="451"/>
      <c r="J3563" s="451" t="s">
        <v>22939</v>
      </c>
      <c r="K3563" s="451"/>
    </row>
    <row r="3564" spans="1:11">
      <c r="A3564" s="450" t="s">
        <v>6340</v>
      </c>
      <c r="B3564" s="450"/>
      <c r="C3564" s="450" t="s">
        <v>6341</v>
      </c>
      <c r="D3564" s="450"/>
      <c r="E3564" s="450"/>
      <c r="F3564" s="450"/>
      <c r="G3564" s="450" t="s">
        <v>22877</v>
      </c>
      <c r="H3564" s="450" t="s">
        <v>22878</v>
      </c>
      <c r="I3564" s="450" t="s">
        <v>34581</v>
      </c>
      <c r="J3564" s="450" t="s">
        <v>22943</v>
      </c>
      <c r="K3564" s="450"/>
    </row>
    <row r="3565" spans="1:11">
      <c r="A3565" s="451" t="s">
        <v>6342</v>
      </c>
      <c r="B3565" s="451"/>
      <c r="C3565" s="451" t="s">
        <v>6343</v>
      </c>
      <c r="D3565" s="451"/>
      <c r="E3565" s="451"/>
      <c r="F3565" s="451"/>
      <c r="G3565" s="451" t="s">
        <v>22877</v>
      </c>
      <c r="H3565" s="451" t="s">
        <v>22878</v>
      </c>
      <c r="I3565" s="451" t="s">
        <v>34582</v>
      </c>
      <c r="J3565" s="451" t="s">
        <v>22939</v>
      </c>
      <c r="K3565" s="451"/>
    </row>
    <row r="3566" spans="1:11">
      <c r="A3566" s="450" t="s">
        <v>6344</v>
      </c>
      <c r="B3566" s="450"/>
      <c r="C3566" s="450" t="s">
        <v>6345</v>
      </c>
      <c r="D3566" s="450"/>
      <c r="E3566" s="450"/>
      <c r="F3566" s="450"/>
      <c r="G3566" s="450" t="s">
        <v>22877</v>
      </c>
      <c r="H3566" s="450" t="s">
        <v>22878</v>
      </c>
      <c r="I3566" s="450" t="s">
        <v>34583</v>
      </c>
      <c r="J3566" s="450" t="s">
        <v>22939</v>
      </c>
      <c r="K3566" s="450"/>
    </row>
    <row r="3567" spans="1:11">
      <c r="A3567" s="451" t="s">
        <v>6346</v>
      </c>
      <c r="B3567" s="451"/>
      <c r="C3567" s="451" t="s">
        <v>6347</v>
      </c>
      <c r="D3567" s="451"/>
      <c r="E3567" s="451"/>
      <c r="F3567" s="451"/>
      <c r="G3567" s="451" t="s">
        <v>22877</v>
      </c>
      <c r="H3567" s="451" t="s">
        <v>22878</v>
      </c>
      <c r="I3567" s="451" t="s">
        <v>24689</v>
      </c>
      <c r="J3567" s="451" t="s">
        <v>22939</v>
      </c>
      <c r="K3567" s="451"/>
    </row>
    <row r="3568" spans="1:11">
      <c r="A3568" s="450" t="s">
        <v>6348</v>
      </c>
      <c r="B3568" s="450" t="s">
        <v>6349</v>
      </c>
      <c r="C3568" s="450" t="s">
        <v>6350</v>
      </c>
      <c r="D3568" s="450"/>
      <c r="E3568" s="450"/>
      <c r="F3568" s="450" t="s">
        <v>6351</v>
      </c>
      <c r="G3568" s="450" t="s">
        <v>22877</v>
      </c>
      <c r="H3568" s="450" t="s">
        <v>22878</v>
      </c>
      <c r="I3568" s="450" t="s">
        <v>24690</v>
      </c>
      <c r="J3568" s="450" t="s">
        <v>24691</v>
      </c>
      <c r="K3568" s="450"/>
    </row>
    <row r="3569" spans="1:11">
      <c r="A3569" s="451" t="s">
        <v>34584</v>
      </c>
      <c r="B3569" s="451" t="s">
        <v>6353</v>
      </c>
      <c r="C3569" s="451" t="s">
        <v>3958</v>
      </c>
      <c r="D3569" s="451" t="s">
        <v>6354</v>
      </c>
      <c r="E3569" s="451"/>
      <c r="F3569" s="451"/>
      <c r="G3569" s="451" t="s">
        <v>22877</v>
      </c>
      <c r="H3569" s="451" t="s">
        <v>22878</v>
      </c>
      <c r="I3569" s="451" t="s">
        <v>6354</v>
      </c>
      <c r="J3569" s="451" t="s">
        <v>34585</v>
      </c>
      <c r="K3569" s="451"/>
    </row>
    <row r="3570" spans="1:11">
      <c r="A3570" s="450" t="s">
        <v>6352</v>
      </c>
      <c r="B3570" s="450" t="s">
        <v>6353</v>
      </c>
      <c r="C3570" s="450" t="s">
        <v>3958</v>
      </c>
      <c r="D3570" s="450" t="s">
        <v>6354</v>
      </c>
      <c r="E3570" s="450" t="s">
        <v>6355</v>
      </c>
      <c r="F3570" s="450"/>
      <c r="G3570" s="450" t="s">
        <v>22877</v>
      </c>
      <c r="H3570" s="450" t="s">
        <v>22878</v>
      </c>
      <c r="I3570" s="450" t="s">
        <v>6354</v>
      </c>
      <c r="J3570" s="450" t="s">
        <v>31020</v>
      </c>
      <c r="K3570" s="450"/>
    </row>
    <row r="3571" spans="1:11">
      <c r="A3571" s="451" t="s">
        <v>24692</v>
      </c>
      <c r="B3571" s="451" t="s">
        <v>24693</v>
      </c>
      <c r="C3571" s="451" t="s">
        <v>24694</v>
      </c>
      <c r="D3571" s="451"/>
      <c r="E3571" s="451"/>
      <c r="F3571" s="451"/>
      <c r="G3571" s="451" t="s">
        <v>22877</v>
      </c>
      <c r="H3571" s="451" t="s">
        <v>22878</v>
      </c>
      <c r="I3571" s="451" t="s">
        <v>24695</v>
      </c>
      <c r="J3571" s="451" t="s">
        <v>24696</v>
      </c>
      <c r="K3571" s="451"/>
    </row>
    <row r="3572" spans="1:11">
      <c r="A3572" s="450" t="s">
        <v>6356</v>
      </c>
      <c r="B3572" s="450" t="s">
        <v>16142</v>
      </c>
      <c r="C3572" s="450" t="s">
        <v>6358</v>
      </c>
      <c r="D3572" s="450"/>
      <c r="E3572" s="450"/>
      <c r="F3572" s="450"/>
      <c r="G3572" s="450" t="s">
        <v>22877</v>
      </c>
      <c r="H3572" s="450" t="s">
        <v>22878</v>
      </c>
      <c r="I3572" s="450" t="s">
        <v>24697</v>
      </c>
      <c r="J3572" s="450" t="s">
        <v>24698</v>
      </c>
      <c r="K3572" s="450"/>
    </row>
    <row r="3573" spans="1:11">
      <c r="A3573" s="451" t="s">
        <v>6356</v>
      </c>
      <c r="B3573" s="451" t="s">
        <v>6357</v>
      </c>
      <c r="C3573" s="451" t="s">
        <v>6358</v>
      </c>
      <c r="D3573" s="451"/>
      <c r="E3573" s="451"/>
      <c r="F3573" s="451"/>
      <c r="G3573" s="451" t="s">
        <v>22877</v>
      </c>
      <c r="H3573" s="451" t="s">
        <v>22878</v>
      </c>
      <c r="I3573" s="451" t="s">
        <v>28705</v>
      </c>
      <c r="J3573" s="451" t="s">
        <v>31021</v>
      </c>
      <c r="K3573" s="451"/>
    </row>
    <row r="3574" spans="1:11">
      <c r="A3574" s="450" t="s">
        <v>34586</v>
      </c>
      <c r="B3574" s="450"/>
      <c r="C3574" s="450" t="s">
        <v>5984</v>
      </c>
      <c r="D3574" s="450"/>
      <c r="E3574" s="450"/>
      <c r="F3574" s="450"/>
      <c r="G3574" s="450" t="s">
        <v>22882</v>
      </c>
      <c r="H3574" s="450" t="s">
        <v>22883</v>
      </c>
      <c r="I3574" s="450" t="s">
        <v>34587</v>
      </c>
      <c r="J3574" s="450" t="s">
        <v>22943</v>
      </c>
      <c r="K3574" s="450"/>
    </row>
    <row r="3575" spans="1:11">
      <c r="A3575" s="451" t="s">
        <v>34588</v>
      </c>
      <c r="B3575" s="451"/>
      <c r="C3575" s="451" t="s">
        <v>6360</v>
      </c>
      <c r="D3575" s="451"/>
      <c r="E3575" s="451"/>
      <c r="F3575" s="451"/>
      <c r="G3575" s="451" t="s">
        <v>22877</v>
      </c>
      <c r="H3575" s="451" t="s">
        <v>22878</v>
      </c>
      <c r="I3575" s="451" t="s">
        <v>34589</v>
      </c>
      <c r="J3575" s="451" t="s">
        <v>23370</v>
      </c>
      <c r="K3575" s="451"/>
    </row>
    <row r="3576" spans="1:11">
      <c r="A3576" s="450" t="s">
        <v>6359</v>
      </c>
      <c r="B3576" s="450"/>
      <c r="C3576" s="450" t="s">
        <v>6360</v>
      </c>
      <c r="D3576" s="450"/>
      <c r="E3576" s="450"/>
      <c r="F3576" s="450"/>
      <c r="G3576" s="450" t="s">
        <v>22882</v>
      </c>
      <c r="H3576" s="450" t="s">
        <v>22883</v>
      </c>
      <c r="I3576" s="450"/>
      <c r="J3576" s="450" t="s">
        <v>22943</v>
      </c>
      <c r="K3576" s="450"/>
    </row>
    <row r="3577" spans="1:11">
      <c r="A3577" s="451" t="s">
        <v>34590</v>
      </c>
      <c r="B3577" s="451"/>
      <c r="C3577" s="451" t="s">
        <v>6362</v>
      </c>
      <c r="D3577" s="451"/>
      <c r="E3577" s="451"/>
      <c r="F3577" s="451"/>
      <c r="G3577" s="451" t="s">
        <v>22877</v>
      </c>
      <c r="H3577" s="451" t="s">
        <v>22878</v>
      </c>
      <c r="I3577" s="451" t="s">
        <v>34591</v>
      </c>
      <c r="J3577" s="451" t="s">
        <v>22943</v>
      </c>
      <c r="K3577" s="451"/>
    </row>
    <row r="3578" spans="1:11">
      <c r="A3578" s="450" t="s">
        <v>6361</v>
      </c>
      <c r="B3578" s="450"/>
      <c r="C3578" s="450" t="s">
        <v>6362</v>
      </c>
      <c r="D3578" s="450"/>
      <c r="E3578" s="450"/>
      <c r="F3578" s="450"/>
      <c r="G3578" s="450" t="s">
        <v>22882</v>
      </c>
      <c r="H3578" s="450" t="s">
        <v>22883</v>
      </c>
      <c r="I3578" s="450" t="s">
        <v>34591</v>
      </c>
      <c r="J3578" s="450" t="s">
        <v>22997</v>
      </c>
      <c r="K3578" s="450"/>
    </row>
    <row r="3579" spans="1:11">
      <c r="A3579" s="451" t="s">
        <v>34592</v>
      </c>
      <c r="B3579" s="451"/>
      <c r="C3579" s="451" t="s">
        <v>1421</v>
      </c>
      <c r="D3579" s="451"/>
      <c r="E3579" s="451"/>
      <c r="F3579" s="451"/>
      <c r="G3579" s="451" t="s">
        <v>22877</v>
      </c>
      <c r="H3579" s="451" t="s">
        <v>22878</v>
      </c>
      <c r="I3579" s="451" t="s">
        <v>34593</v>
      </c>
      <c r="J3579" s="451" t="s">
        <v>22943</v>
      </c>
      <c r="K3579" s="451"/>
    </row>
    <row r="3580" spans="1:11">
      <c r="A3580" s="450" t="s">
        <v>6363</v>
      </c>
      <c r="B3580" s="450"/>
      <c r="C3580" s="450" t="s">
        <v>1421</v>
      </c>
      <c r="D3580" s="450"/>
      <c r="E3580" s="450"/>
      <c r="F3580" s="450"/>
      <c r="G3580" s="450" t="s">
        <v>22877</v>
      </c>
      <c r="H3580" s="450" t="s">
        <v>22878</v>
      </c>
      <c r="I3580" s="450" t="s">
        <v>34593</v>
      </c>
      <c r="J3580" s="450" t="s">
        <v>23133</v>
      </c>
      <c r="K3580" s="450"/>
    </row>
    <row r="3581" spans="1:11">
      <c r="A3581" s="451" t="s">
        <v>6364</v>
      </c>
      <c r="B3581" s="451"/>
      <c r="C3581" s="451" t="s">
        <v>6365</v>
      </c>
      <c r="D3581" s="451"/>
      <c r="E3581" s="451"/>
      <c r="F3581" s="451"/>
      <c r="G3581" s="451" t="s">
        <v>22877</v>
      </c>
      <c r="H3581" s="451" t="s">
        <v>22878</v>
      </c>
      <c r="I3581" s="451" t="s">
        <v>34594</v>
      </c>
      <c r="J3581" s="451" t="s">
        <v>22943</v>
      </c>
      <c r="K3581" s="451"/>
    </row>
    <row r="3582" spans="1:11">
      <c r="A3582" s="450" t="s">
        <v>34595</v>
      </c>
      <c r="B3582" s="450"/>
      <c r="C3582" s="450" t="s">
        <v>6365</v>
      </c>
      <c r="D3582" s="450"/>
      <c r="E3582" s="450"/>
      <c r="F3582" s="450"/>
      <c r="G3582" s="450" t="s">
        <v>22877</v>
      </c>
      <c r="H3582" s="450" t="s">
        <v>22878</v>
      </c>
      <c r="I3582" s="450" t="s">
        <v>34596</v>
      </c>
      <c r="J3582" s="450" t="s">
        <v>22948</v>
      </c>
      <c r="K3582" s="450"/>
    </row>
    <row r="3583" spans="1:11">
      <c r="A3583" s="451" t="s">
        <v>34597</v>
      </c>
      <c r="B3583" s="451"/>
      <c r="C3583" s="451" t="s">
        <v>6366</v>
      </c>
      <c r="D3583" s="451"/>
      <c r="E3583" s="451"/>
      <c r="F3583" s="451"/>
      <c r="G3583" s="451" t="s">
        <v>22882</v>
      </c>
      <c r="H3583" s="451" t="s">
        <v>22883</v>
      </c>
      <c r="I3583" s="451"/>
      <c r="J3583" s="451" t="s">
        <v>22997</v>
      </c>
      <c r="K3583" s="451"/>
    </row>
    <row r="3584" spans="1:11">
      <c r="A3584" s="450" t="s">
        <v>21622</v>
      </c>
      <c r="B3584" s="450"/>
      <c r="C3584" s="450" t="s">
        <v>6366</v>
      </c>
      <c r="D3584" s="450"/>
      <c r="E3584" s="450"/>
      <c r="F3584" s="450"/>
      <c r="G3584" s="450" t="s">
        <v>22882</v>
      </c>
      <c r="H3584" s="450" t="s">
        <v>22883</v>
      </c>
      <c r="I3584" s="450"/>
      <c r="J3584" s="450" t="s">
        <v>22939</v>
      </c>
      <c r="K3584" s="450"/>
    </row>
    <row r="3585" spans="1:11">
      <c r="A3585" s="451" t="s">
        <v>6367</v>
      </c>
      <c r="B3585" s="451"/>
      <c r="C3585" s="451" t="s">
        <v>1663</v>
      </c>
      <c r="D3585" s="451"/>
      <c r="E3585" s="451"/>
      <c r="F3585" s="451"/>
      <c r="G3585" s="451" t="s">
        <v>22877</v>
      </c>
      <c r="H3585" s="451" t="s">
        <v>22878</v>
      </c>
      <c r="I3585" s="451" t="s">
        <v>34598</v>
      </c>
      <c r="J3585" s="451" t="s">
        <v>22943</v>
      </c>
      <c r="K3585" s="451"/>
    </row>
    <row r="3586" spans="1:11">
      <c r="A3586" s="450" t="s">
        <v>34599</v>
      </c>
      <c r="B3586" s="450"/>
      <c r="C3586" s="450" t="s">
        <v>6369</v>
      </c>
      <c r="D3586" s="450"/>
      <c r="E3586" s="450"/>
      <c r="F3586" s="450"/>
      <c r="G3586" s="450" t="s">
        <v>22882</v>
      </c>
      <c r="H3586" s="450" t="s">
        <v>22883</v>
      </c>
      <c r="I3586" s="450"/>
      <c r="J3586" s="450" t="s">
        <v>22943</v>
      </c>
      <c r="K3586" s="450"/>
    </row>
    <row r="3587" spans="1:11">
      <c r="A3587" s="451" t="s">
        <v>6368</v>
      </c>
      <c r="B3587" s="451"/>
      <c r="C3587" s="451" t="s">
        <v>6369</v>
      </c>
      <c r="D3587" s="451"/>
      <c r="E3587" s="451"/>
      <c r="F3587" s="451"/>
      <c r="G3587" s="451" t="s">
        <v>22882</v>
      </c>
      <c r="H3587" s="451" t="s">
        <v>22883</v>
      </c>
      <c r="I3587" s="451"/>
      <c r="J3587" s="451" t="s">
        <v>22939</v>
      </c>
      <c r="K3587" s="451"/>
    </row>
    <row r="3588" spans="1:11">
      <c r="A3588" s="450" t="s">
        <v>34600</v>
      </c>
      <c r="B3588" s="450"/>
      <c r="C3588" s="450" t="s">
        <v>1525</v>
      </c>
      <c r="D3588" s="450"/>
      <c r="E3588" s="450"/>
      <c r="F3588" s="450"/>
      <c r="G3588" s="450" t="s">
        <v>22882</v>
      </c>
      <c r="H3588" s="450" t="s">
        <v>22883</v>
      </c>
      <c r="I3588" s="450" t="s">
        <v>34601</v>
      </c>
      <c r="J3588" s="450" t="s">
        <v>22948</v>
      </c>
      <c r="K3588" s="450"/>
    </row>
    <row r="3589" spans="1:11">
      <c r="A3589" s="451" t="s">
        <v>6370</v>
      </c>
      <c r="B3589" s="451"/>
      <c r="C3589" s="451" t="s">
        <v>1525</v>
      </c>
      <c r="D3589" s="451"/>
      <c r="E3589" s="451"/>
      <c r="F3589" s="451"/>
      <c r="G3589" s="451" t="s">
        <v>22882</v>
      </c>
      <c r="H3589" s="451" t="s">
        <v>22883</v>
      </c>
      <c r="I3589" s="451"/>
      <c r="J3589" s="451" t="s">
        <v>22943</v>
      </c>
      <c r="K3589" s="451"/>
    </row>
    <row r="3590" spans="1:11">
      <c r="A3590" s="450" t="s">
        <v>6371</v>
      </c>
      <c r="B3590" s="450"/>
      <c r="C3590" s="450" t="s">
        <v>6372</v>
      </c>
      <c r="D3590" s="450"/>
      <c r="E3590" s="450"/>
      <c r="F3590" s="450"/>
      <c r="G3590" s="450" t="s">
        <v>22882</v>
      </c>
      <c r="H3590" s="450" t="s">
        <v>22883</v>
      </c>
      <c r="I3590" s="450"/>
      <c r="J3590" s="450" t="s">
        <v>22997</v>
      </c>
      <c r="K3590" s="450"/>
    </row>
    <row r="3591" spans="1:11">
      <c r="A3591" s="451" t="s">
        <v>24699</v>
      </c>
      <c r="B3591" s="451" t="s">
        <v>24700</v>
      </c>
      <c r="C3591" s="451" t="s">
        <v>24701</v>
      </c>
      <c r="D3591" s="451"/>
      <c r="E3591" s="451"/>
      <c r="F3591" s="451"/>
      <c r="G3591" s="451" t="s">
        <v>22877</v>
      </c>
      <c r="H3591" s="451" t="s">
        <v>22878</v>
      </c>
      <c r="I3591" s="451" t="s">
        <v>24702</v>
      </c>
      <c r="J3591" s="451" t="s">
        <v>24703</v>
      </c>
      <c r="K3591" s="451"/>
    </row>
    <row r="3592" spans="1:11">
      <c r="A3592" s="450" t="s">
        <v>24704</v>
      </c>
      <c r="B3592" s="450" t="s">
        <v>24705</v>
      </c>
      <c r="C3592" s="450" t="s">
        <v>24602</v>
      </c>
      <c r="D3592" s="450"/>
      <c r="E3592" s="450"/>
      <c r="F3592" s="450"/>
      <c r="G3592" s="450" t="s">
        <v>22877</v>
      </c>
      <c r="H3592" s="450" t="s">
        <v>22878</v>
      </c>
      <c r="I3592" s="450" t="s">
        <v>24603</v>
      </c>
      <c r="J3592" s="450" t="s">
        <v>24706</v>
      </c>
      <c r="K3592" s="450"/>
    </row>
    <row r="3593" spans="1:11">
      <c r="A3593" s="451" t="s">
        <v>6373</v>
      </c>
      <c r="B3593" s="451" t="s">
        <v>6374</v>
      </c>
      <c r="C3593" s="451" t="s">
        <v>6375</v>
      </c>
      <c r="D3593" s="451"/>
      <c r="E3593" s="451"/>
      <c r="F3593" s="451"/>
      <c r="G3593" s="451" t="s">
        <v>22877</v>
      </c>
      <c r="H3593" s="451" t="s">
        <v>22878</v>
      </c>
      <c r="I3593" s="451" t="s">
        <v>31022</v>
      </c>
      <c r="J3593" s="451" t="s">
        <v>31023</v>
      </c>
      <c r="K3593" s="451"/>
    </row>
    <row r="3594" spans="1:11">
      <c r="A3594" s="450" t="s">
        <v>34602</v>
      </c>
      <c r="B3594" s="450"/>
      <c r="C3594" s="450" t="s">
        <v>6372</v>
      </c>
      <c r="D3594" s="450"/>
      <c r="E3594" s="450"/>
      <c r="F3594" s="450"/>
      <c r="G3594" s="450" t="s">
        <v>22877</v>
      </c>
      <c r="H3594" s="450" t="s">
        <v>22878</v>
      </c>
      <c r="I3594" s="450" t="s">
        <v>34603</v>
      </c>
      <c r="J3594" s="450" t="s">
        <v>22943</v>
      </c>
      <c r="K3594" s="450"/>
    </row>
    <row r="3595" spans="1:11">
      <c r="A3595" s="451" t="s">
        <v>6376</v>
      </c>
      <c r="B3595" s="451"/>
      <c r="C3595" s="451" t="s">
        <v>6377</v>
      </c>
      <c r="D3595" s="451"/>
      <c r="E3595" s="451"/>
      <c r="F3595" s="451"/>
      <c r="G3595" s="451" t="s">
        <v>22877</v>
      </c>
      <c r="H3595" s="451" t="s">
        <v>22878</v>
      </c>
      <c r="I3595" s="451" t="s">
        <v>24707</v>
      </c>
      <c r="J3595" s="451" t="s">
        <v>22943</v>
      </c>
      <c r="K3595" s="451"/>
    </row>
    <row r="3596" spans="1:11">
      <c r="A3596" s="450" t="s">
        <v>34604</v>
      </c>
      <c r="B3596" s="450" t="s">
        <v>6379</v>
      </c>
      <c r="C3596" s="450" t="s">
        <v>6380</v>
      </c>
      <c r="D3596" s="450" t="s">
        <v>6381</v>
      </c>
      <c r="E3596" s="450"/>
      <c r="F3596" s="450"/>
      <c r="G3596" s="450" t="s">
        <v>22882</v>
      </c>
      <c r="H3596" s="450" t="s">
        <v>22883</v>
      </c>
      <c r="I3596" s="450" t="s">
        <v>6381</v>
      </c>
      <c r="J3596" s="450" t="s">
        <v>34605</v>
      </c>
      <c r="K3596" s="450"/>
    </row>
    <row r="3597" spans="1:11">
      <c r="A3597" s="451" t="s">
        <v>6378</v>
      </c>
      <c r="B3597" s="451" t="s">
        <v>6379</v>
      </c>
      <c r="C3597" s="451" t="s">
        <v>6380</v>
      </c>
      <c r="D3597" s="451" t="s">
        <v>6381</v>
      </c>
      <c r="E3597" s="451" t="s">
        <v>6382</v>
      </c>
      <c r="F3597" s="451"/>
      <c r="G3597" s="451" t="s">
        <v>22882</v>
      </c>
      <c r="H3597" s="451" t="s">
        <v>22883</v>
      </c>
      <c r="I3597" s="451" t="s">
        <v>6381</v>
      </c>
      <c r="J3597" s="451" t="s">
        <v>31024</v>
      </c>
      <c r="K3597" s="451"/>
    </row>
    <row r="3598" spans="1:11">
      <c r="A3598" s="450" t="s">
        <v>6383</v>
      </c>
      <c r="B3598" s="450"/>
      <c r="C3598" s="450" t="s">
        <v>6384</v>
      </c>
      <c r="D3598" s="450"/>
      <c r="E3598" s="450"/>
      <c r="F3598" s="450"/>
      <c r="G3598" s="450" t="s">
        <v>22877</v>
      </c>
      <c r="H3598" s="450" t="s">
        <v>22878</v>
      </c>
      <c r="I3598" s="450" t="s">
        <v>34606</v>
      </c>
      <c r="J3598" s="450" t="s">
        <v>22939</v>
      </c>
      <c r="K3598" s="450"/>
    </row>
    <row r="3599" spans="1:11">
      <c r="A3599" s="451" t="s">
        <v>34607</v>
      </c>
      <c r="B3599" s="451"/>
      <c r="C3599" s="451" t="s">
        <v>6386</v>
      </c>
      <c r="D3599" s="451"/>
      <c r="E3599" s="451"/>
      <c r="F3599" s="451"/>
      <c r="G3599" s="451" t="s">
        <v>22877</v>
      </c>
      <c r="H3599" s="451" t="s">
        <v>22878</v>
      </c>
      <c r="I3599" s="451" t="s">
        <v>34608</v>
      </c>
      <c r="J3599" s="451" t="s">
        <v>22943</v>
      </c>
      <c r="K3599" s="451"/>
    </row>
    <row r="3600" spans="1:11">
      <c r="A3600" s="450" t="s">
        <v>6385</v>
      </c>
      <c r="B3600" s="450"/>
      <c r="C3600" s="450" t="s">
        <v>6386</v>
      </c>
      <c r="D3600" s="450"/>
      <c r="E3600" s="450"/>
      <c r="F3600" s="450"/>
      <c r="G3600" s="450" t="s">
        <v>22877</v>
      </c>
      <c r="H3600" s="450" t="s">
        <v>22878</v>
      </c>
      <c r="I3600" s="450" t="s">
        <v>34609</v>
      </c>
      <c r="J3600" s="450" t="s">
        <v>23121</v>
      </c>
      <c r="K3600" s="450"/>
    </row>
    <row r="3601" spans="1:11">
      <c r="A3601" s="451" t="s">
        <v>34610</v>
      </c>
      <c r="B3601" s="451" t="s">
        <v>34611</v>
      </c>
      <c r="C3601" s="451" t="s">
        <v>6388</v>
      </c>
      <c r="D3601" s="451"/>
      <c r="E3601" s="451"/>
      <c r="F3601" s="451"/>
      <c r="G3601" s="451" t="s">
        <v>22877</v>
      </c>
      <c r="H3601" s="451" t="s">
        <v>22878</v>
      </c>
      <c r="I3601" s="451" t="s">
        <v>34612</v>
      </c>
      <c r="J3601" s="451" t="s">
        <v>34613</v>
      </c>
      <c r="K3601" s="451"/>
    </row>
    <row r="3602" spans="1:11">
      <c r="A3602" s="450" t="s">
        <v>6387</v>
      </c>
      <c r="B3602" s="450"/>
      <c r="C3602" s="450" t="s">
        <v>6388</v>
      </c>
      <c r="D3602" s="450"/>
      <c r="E3602" s="450"/>
      <c r="F3602" s="450"/>
      <c r="G3602" s="450" t="s">
        <v>22877</v>
      </c>
      <c r="H3602" s="450" t="s">
        <v>22878</v>
      </c>
      <c r="I3602" s="450" t="s">
        <v>34612</v>
      </c>
      <c r="J3602" s="450" t="s">
        <v>22943</v>
      </c>
      <c r="K3602" s="450"/>
    </row>
    <row r="3603" spans="1:11">
      <c r="A3603" s="451" t="s">
        <v>6389</v>
      </c>
      <c r="B3603" s="451"/>
      <c r="C3603" s="451" t="s">
        <v>1185</v>
      </c>
      <c r="D3603" s="451"/>
      <c r="E3603" s="451"/>
      <c r="F3603" s="451"/>
      <c r="G3603" s="451" t="s">
        <v>22877</v>
      </c>
      <c r="H3603" s="451" t="s">
        <v>22878</v>
      </c>
      <c r="I3603" s="451" t="s">
        <v>34614</v>
      </c>
      <c r="J3603" s="451" t="s">
        <v>22939</v>
      </c>
      <c r="K3603" s="451"/>
    </row>
    <row r="3604" spans="1:11">
      <c r="A3604" s="450" t="s">
        <v>34615</v>
      </c>
      <c r="B3604" s="450"/>
      <c r="C3604" s="450" t="s">
        <v>1185</v>
      </c>
      <c r="D3604" s="450"/>
      <c r="E3604" s="450"/>
      <c r="F3604" s="450"/>
      <c r="G3604" s="450" t="s">
        <v>22877</v>
      </c>
      <c r="H3604" s="450" t="s">
        <v>22878</v>
      </c>
      <c r="I3604" s="450" t="s">
        <v>34616</v>
      </c>
      <c r="J3604" s="450" t="s">
        <v>22943</v>
      </c>
      <c r="K3604" s="450"/>
    </row>
    <row r="3605" spans="1:11">
      <c r="A3605" s="451" t="s">
        <v>6390</v>
      </c>
      <c r="B3605" s="451"/>
      <c r="C3605" s="451" t="s">
        <v>6391</v>
      </c>
      <c r="D3605" s="451"/>
      <c r="E3605" s="451"/>
      <c r="F3605" s="451"/>
      <c r="G3605" s="451" t="s">
        <v>22877</v>
      </c>
      <c r="H3605" s="451" t="s">
        <v>22878</v>
      </c>
      <c r="I3605" s="451" t="s">
        <v>24708</v>
      </c>
      <c r="J3605" s="451" t="s">
        <v>22997</v>
      </c>
      <c r="K3605" s="451"/>
    </row>
    <row r="3606" spans="1:11">
      <c r="A3606" s="450" t="s">
        <v>24709</v>
      </c>
      <c r="B3606" s="450"/>
      <c r="C3606" s="450" t="s">
        <v>4548</v>
      </c>
      <c r="D3606" s="450"/>
      <c r="E3606" s="450"/>
      <c r="F3606" s="450"/>
      <c r="G3606" s="450" t="s">
        <v>22877</v>
      </c>
      <c r="H3606" s="450" t="s">
        <v>22878</v>
      </c>
      <c r="I3606" s="450" t="s">
        <v>24708</v>
      </c>
      <c r="J3606" s="450" t="s">
        <v>22939</v>
      </c>
      <c r="K3606" s="450"/>
    </row>
    <row r="3607" spans="1:11">
      <c r="A3607" s="451" t="s">
        <v>34617</v>
      </c>
      <c r="B3607" s="451" t="s">
        <v>6394</v>
      </c>
      <c r="C3607" s="451" t="s">
        <v>6395</v>
      </c>
      <c r="D3607" s="451" t="s">
        <v>6396</v>
      </c>
      <c r="E3607" s="451"/>
      <c r="F3607" s="451"/>
      <c r="G3607" s="451" t="s">
        <v>22882</v>
      </c>
      <c r="H3607" s="451" t="s">
        <v>22883</v>
      </c>
      <c r="I3607" s="451" t="s">
        <v>34618</v>
      </c>
      <c r="J3607" s="451" t="s">
        <v>24710</v>
      </c>
      <c r="K3607" s="451"/>
    </row>
    <row r="3608" spans="1:11">
      <c r="A3608" s="450" t="s">
        <v>6393</v>
      </c>
      <c r="B3608" s="450" t="s">
        <v>6394</v>
      </c>
      <c r="C3608" s="450" t="s">
        <v>6395</v>
      </c>
      <c r="D3608" s="450" t="s">
        <v>6396</v>
      </c>
      <c r="E3608" s="450"/>
      <c r="F3608" s="450"/>
      <c r="G3608" s="450" t="s">
        <v>22882</v>
      </c>
      <c r="H3608" s="450" t="s">
        <v>22883</v>
      </c>
      <c r="I3608" s="450" t="s">
        <v>31025</v>
      </c>
      <c r="J3608" s="450" t="s">
        <v>24710</v>
      </c>
      <c r="K3608" s="450"/>
    </row>
    <row r="3609" spans="1:11">
      <c r="A3609" s="451" t="s">
        <v>21623</v>
      </c>
      <c r="B3609" s="451"/>
      <c r="C3609" s="451" t="s">
        <v>6392</v>
      </c>
      <c r="D3609" s="451"/>
      <c r="E3609" s="451"/>
      <c r="F3609" s="451"/>
      <c r="G3609" s="451" t="s">
        <v>22877</v>
      </c>
      <c r="H3609" s="451" t="s">
        <v>22878</v>
      </c>
      <c r="I3609" s="451" t="s">
        <v>34619</v>
      </c>
      <c r="J3609" s="451" t="s">
        <v>22939</v>
      </c>
      <c r="K3609" s="451"/>
    </row>
    <row r="3610" spans="1:11">
      <c r="A3610" s="450" t="s">
        <v>6397</v>
      </c>
      <c r="B3610" s="450"/>
      <c r="C3610" s="450" t="s">
        <v>6398</v>
      </c>
      <c r="D3610" s="450"/>
      <c r="E3610" s="450"/>
      <c r="F3610" s="450"/>
      <c r="G3610" s="450" t="s">
        <v>22877</v>
      </c>
      <c r="H3610" s="450" t="s">
        <v>22878</v>
      </c>
      <c r="I3610" s="450" t="s">
        <v>31026</v>
      </c>
      <c r="J3610" s="450" t="s">
        <v>22939</v>
      </c>
      <c r="K3610" s="450"/>
    </row>
    <row r="3611" spans="1:11">
      <c r="A3611" s="451" t="s">
        <v>6399</v>
      </c>
      <c r="B3611" s="451" t="s">
        <v>6400</v>
      </c>
      <c r="C3611" s="451" t="s">
        <v>6401</v>
      </c>
      <c r="D3611" s="451" t="s">
        <v>6402</v>
      </c>
      <c r="E3611" s="451" t="s">
        <v>6403</v>
      </c>
      <c r="F3611" s="451"/>
      <c r="G3611" s="451" t="s">
        <v>22877</v>
      </c>
      <c r="H3611" s="451" t="s">
        <v>22878</v>
      </c>
      <c r="I3611" s="451" t="s">
        <v>6402</v>
      </c>
      <c r="J3611" s="451" t="s">
        <v>24745</v>
      </c>
      <c r="K3611" s="451"/>
    </row>
    <row r="3612" spans="1:11">
      <c r="A3612" s="450" t="s">
        <v>6404</v>
      </c>
      <c r="B3612" s="450"/>
      <c r="C3612" s="450" t="s">
        <v>6405</v>
      </c>
      <c r="D3612" s="450"/>
      <c r="E3612" s="450"/>
      <c r="F3612" s="450"/>
      <c r="G3612" s="450" t="s">
        <v>22877</v>
      </c>
      <c r="H3612" s="450" t="s">
        <v>22878</v>
      </c>
      <c r="I3612" s="450" t="s">
        <v>34620</v>
      </c>
      <c r="J3612" s="450" t="s">
        <v>22943</v>
      </c>
      <c r="K3612" s="450"/>
    </row>
    <row r="3613" spans="1:11">
      <c r="A3613" s="451" t="s">
        <v>21624</v>
      </c>
      <c r="B3613" s="451"/>
      <c r="C3613" s="451" t="s">
        <v>4675</v>
      </c>
      <c r="D3613" s="451"/>
      <c r="E3613" s="451"/>
      <c r="F3613" s="451"/>
      <c r="G3613" s="451" t="s">
        <v>22877</v>
      </c>
      <c r="H3613" s="451" t="s">
        <v>22878</v>
      </c>
      <c r="I3613" s="451" t="s">
        <v>34621</v>
      </c>
      <c r="J3613" s="451" t="s">
        <v>22939</v>
      </c>
      <c r="K3613" s="451"/>
    </row>
    <row r="3614" spans="1:11">
      <c r="A3614" s="450" t="s">
        <v>6406</v>
      </c>
      <c r="B3614" s="450"/>
      <c r="C3614" s="450" t="s">
        <v>6407</v>
      </c>
      <c r="D3614" s="450"/>
      <c r="E3614" s="450"/>
      <c r="F3614" s="450"/>
      <c r="G3614" s="450" t="s">
        <v>22877</v>
      </c>
      <c r="H3614" s="450" t="s">
        <v>22878</v>
      </c>
      <c r="I3614" s="450" t="s">
        <v>24965</v>
      </c>
      <c r="J3614" s="450" t="s">
        <v>23370</v>
      </c>
      <c r="K3614" s="450"/>
    </row>
    <row r="3615" spans="1:11">
      <c r="A3615" s="451" t="s">
        <v>6408</v>
      </c>
      <c r="B3615" s="451"/>
      <c r="C3615" s="451" t="s">
        <v>6409</v>
      </c>
      <c r="D3615" s="451"/>
      <c r="E3615" s="451"/>
      <c r="F3615" s="451"/>
      <c r="G3615" s="451" t="s">
        <v>22877</v>
      </c>
      <c r="H3615" s="451" t="s">
        <v>22878</v>
      </c>
      <c r="I3615" s="451" t="s">
        <v>34622</v>
      </c>
      <c r="J3615" s="451" t="s">
        <v>23370</v>
      </c>
      <c r="K3615" s="451"/>
    </row>
    <row r="3616" spans="1:11">
      <c r="A3616" s="450" t="s">
        <v>6410</v>
      </c>
      <c r="B3616" s="450"/>
      <c r="C3616" s="450" t="s">
        <v>1730</v>
      </c>
      <c r="D3616" s="450"/>
      <c r="E3616" s="450"/>
      <c r="F3616" s="450"/>
      <c r="G3616" s="450" t="s">
        <v>22877</v>
      </c>
      <c r="H3616" s="450" t="s">
        <v>22878</v>
      </c>
      <c r="I3616" s="450" t="s">
        <v>34623</v>
      </c>
      <c r="J3616" s="450" t="s">
        <v>23133</v>
      </c>
      <c r="K3616" s="450"/>
    </row>
    <row r="3617" spans="1:11">
      <c r="A3617" s="451" t="s">
        <v>6411</v>
      </c>
      <c r="B3617" s="451"/>
      <c r="C3617" s="451" t="s">
        <v>1739</v>
      </c>
      <c r="D3617" s="451"/>
      <c r="E3617" s="451"/>
      <c r="F3617" s="451"/>
      <c r="G3617" s="451" t="s">
        <v>24711</v>
      </c>
      <c r="H3617" s="451" t="s">
        <v>22878</v>
      </c>
      <c r="I3617" s="451"/>
      <c r="J3617" s="451"/>
      <c r="K3617" s="451"/>
    </row>
    <row r="3618" spans="1:11">
      <c r="A3618" s="450" t="s">
        <v>6412</v>
      </c>
      <c r="B3618" s="450" t="s">
        <v>31027</v>
      </c>
      <c r="C3618" s="450" t="s">
        <v>2085</v>
      </c>
      <c r="D3618" s="450" t="s">
        <v>6414</v>
      </c>
      <c r="E3618" s="450"/>
      <c r="F3618" s="450"/>
      <c r="G3618" s="450" t="s">
        <v>22877</v>
      </c>
      <c r="H3618" s="450" t="s">
        <v>22878</v>
      </c>
      <c r="I3618" s="450" t="s">
        <v>34624</v>
      </c>
      <c r="J3618" s="450" t="s">
        <v>34625</v>
      </c>
      <c r="K3618" s="450"/>
    </row>
    <row r="3619" spans="1:11">
      <c r="A3619" s="451" t="s">
        <v>6412</v>
      </c>
      <c r="B3619" s="451" t="s">
        <v>31027</v>
      </c>
      <c r="C3619" s="451" t="s">
        <v>2085</v>
      </c>
      <c r="D3619" s="451" t="s">
        <v>6414</v>
      </c>
      <c r="E3619" s="451" t="s">
        <v>6415</v>
      </c>
      <c r="F3619" s="451"/>
      <c r="G3619" s="451" t="s">
        <v>22877</v>
      </c>
      <c r="H3619" s="451" t="s">
        <v>22878</v>
      </c>
      <c r="I3619" s="451" t="s">
        <v>31028</v>
      </c>
      <c r="J3619" s="451" t="s">
        <v>31029</v>
      </c>
      <c r="K3619" s="451"/>
    </row>
    <row r="3620" spans="1:11">
      <c r="A3620" s="450" t="s">
        <v>34626</v>
      </c>
      <c r="B3620" s="450"/>
      <c r="C3620" s="450" t="s">
        <v>6417</v>
      </c>
      <c r="D3620" s="450"/>
      <c r="E3620" s="450"/>
      <c r="F3620" s="450"/>
      <c r="G3620" s="450" t="s">
        <v>22877</v>
      </c>
      <c r="H3620" s="450" t="s">
        <v>22878</v>
      </c>
      <c r="I3620" s="450" t="s">
        <v>34627</v>
      </c>
      <c r="J3620" s="450" t="s">
        <v>22943</v>
      </c>
      <c r="K3620" s="450"/>
    </row>
    <row r="3621" spans="1:11">
      <c r="A3621" s="451" t="s">
        <v>6416</v>
      </c>
      <c r="B3621" s="451"/>
      <c r="C3621" s="451" t="s">
        <v>6417</v>
      </c>
      <c r="D3621" s="451"/>
      <c r="E3621" s="451"/>
      <c r="F3621" s="451"/>
      <c r="G3621" s="451" t="s">
        <v>22877</v>
      </c>
      <c r="H3621" s="451" t="s">
        <v>22878</v>
      </c>
      <c r="I3621" s="451" t="s">
        <v>34628</v>
      </c>
      <c r="J3621" s="451" t="s">
        <v>22943</v>
      </c>
      <c r="K3621" s="451"/>
    </row>
    <row r="3622" spans="1:11">
      <c r="A3622" s="450" t="s">
        <v>6418</v>
      </c>
      <c r="B3622" s="450"/>
      <c r="C3622" s="450" t="s">
        <v>6213</v>
      </c>
      <c r="D3622" s="450"/>
      <c r="E3622" s="450"/>
      <c r="F3622" s="450"/>
      <c r="G3622" s="450" t="s">
        <v>22877</v>
      </c>
      <c r="H3622" s="450" t="s">
        <v>22878</v>
      </c>
      <c r="I3622" s="450" t="s">
        <v>34629</v>
      </c>
      <c r="J3622" s="450" t="s">
        <v>22948</v>
      </c>
      <c r="K3622" s="450"/>
    </row>
    <row r="3623" spans="1:11">
      <c r="A3623" s="451" t="s">
        <v>6419</v>
      </c>
      <c r="B3623" s="451"/>
      <c r="C3623" s="451" t="s">
        <v>6420</v>
      </c>
      <c r="D3623" s="451"/>
      <c r="E3623" s="451"/>
      <c r="F3623" s="451"/>
      <c r="G3623" s="451" t="s">
        <v>22877</v>
      </c>
      <c r="H3623" s="451" t="s">
        <v>22878</v>
      </c>
      <c r="I3623" s="451" t="s">
        <v>34630</v>
      </c>
      <c r="J3623" s="451" t="s">
        <v>22939</v>
      </c>
      <c r="K3623" s="451"/>
    </row>
    <row r="3624" spans="1:11">
      <c r="A3624" s="450" t="s">
        <v>6421</v>
      </c>
      <c r="B3624" s="450"/>
      <c r="C3624" s="450" t="s">
        <v>4178</v>
      </c>
      <c r="D3624" s="450"/>
      <c r="E3624" s="450"/>
      <c r="F3624" s="450"/>
      <c r="G3624" s="450" t="s">
        <v>22877</v>
      </c>
      <c r="H3624" s="450" t="s">
        <v>22878</v>
      </c>
      <c r="I3624" s="450" t="s">
        <v>34631</v>
      </c>
      <c r="J3624" s="450" t="s">
        <v>22939</v>
      </c>
      <c r="K3624" s="450"/>
    </row>
    <row r="3625" spans="1:11">
      <c r="A3625" s="451" t="s">
        <v>6422</v>
      </c>
      <c r="B3625" s="451"/>
      <c r="C3625" s="451" t="s">
        <v>6423</v>
      </c>
      <c r="D3625" s="451"/>
      <c r="E3625" s="451"/>
      <c r="F3625" s="451"/>
      <c r="G3625" s="451" t="s">
        <v>22877</v>
      </c>
      <c r="H3625" s="451" t="s">
        <v>22878</v>
      </c>
      <c r="I3625" s="451" t="s">
        <v>34632</v>
      </c>
      <c r="J3625" s="451" t="s">
        <v>22939</v>
      </c>
      <c r="K3625" s="451"/>
    </row>
    <row r="3626" spans="1:11">
      <c r="A3626" s="450" t="s">
        <v>6424</v>
      </c>
      <c r="B3626" s="450"/>
      <c r="C3626" s="450" t="s">
        <v>6425</v>
      </c>
      <c r="D3626" s="450"/>
      <c r="E3626" s="450"/>
      <c r="F3626" s="450"/>
      <c r="G3626" s="450" t="s">
        <v>22877</v>
      </c>
      <c r="H3626" s="450" t="s">
        <v>22878</v>
      </c>
      <c r="I3626" s="450" t="s">
        <v>34633</v>
      </c>
      <c r="J3626" s="450" t="s">
        <v>22943</v>
      </c>
      <c r="K3626" s="450"/>
    </row>
    <row r="3627" spans="1:11">
      <c r="A3627" s="451" t="s">
        <v>6426</v>
      </c>
      <c r="B3627" s="451"/>
      <c r="C3627" s="451" t="s">
        <v>2098</v>
      </c>
      <c r="D3627" s="451"/>
      <c r="E3627" s="451"/>
      <c r="F3627" s="451"/>
      <c r="G3627" s="451" t="s">
        <v>22882</v>
      </c>
      <c r="H3627" s="451" t="s">
        <v>22883</v>
      </c>
      <c r="I3627" s="451"/>
      <c r="J3627" s="451" t="s">
        <v>22939</v>
      </c>
      <c r="K3627" s="451"/>
    </row>
    <row r="3628" spans="1:11">
      <c r="A3628" s="450" t="s">
        <v>6427</v>
      </c>
      <c r="B3628" s="450" t="s">
        <v>6428</v>
      </c>
      <c r="C3628" s="450" t="s">
        <v>6429</v>
      </c>
      <c r="D3628" s="450"/>
      <c r="E3628" s="450"/>
      <c r="F3628" s="450"/>
      <c r="G3628" s="450" t="s">
        <v>22877</v>
      </c>
      <c r="H3628" s="450" t="s">
        <v>22878</v>
      </c>
      <c r="I3628" s="450" t="s">
        <v>24712</v>
      </c>
      <c r="J3628" s="450" t="s">
        <v>24713</v>
      </c>
      <c r="K3628" s="450"/>
    </row>
    <row r="3629" spans="1:11">
      <c r="A3629" s="451" t="s">
        <v>34634</v>
      </c>
      <c r="B3629" s="451" t="s">
        <v>6431</v>
      </c>
      <c r="C3629" s="451" t="s">
        <v>6432</v>
      </c>
      <c r="D3629" s="451" t="s">
        <v>6433</v>
      </c>
      <c r="E3629" s="451"/>
      <c r="F3629" s="451"/>
      <c r="G3629" s="451" t="s">
        <v>22877</v>
      </c>
      <c r="H3629" s="451" t="s">
        <v>22878</v>
      </c>
      <c r="I3629" s="451" t="s">
        <v>6433</v>
      </c>
      <c r="J3629" s="451" t="s">
        <v>24714</v>
      </c>
      <c r="K3629" s="451"/>
    </row>
    <row r="3630" spans="1:11">
      <c r="A3630" s="450" t="s">
        <v>6430</v>
      </c>
      <c r="B3630" s="450" t="s">
        <v>6431</v>
      </c>
      <c r="C3630" s="450" t="s">
        <v>6432</v>
      </c>
      <c r="D3630" s="450" t="s">
        <v>6433</v>
      </c>
      <c r="E3630" s="450" t="s">
        <v>6434</v>
      </c>
      <c r="F3630" s="450"/>
      <c r="G3630" s="450" t="s">
        <v>22877</v>
      </c>
      <c r="H3630" s="450" t="s">
        <v>22878</v>
      </c>
      <c r="I3630" s="450" t="s">
        <v>6433</v>
      </c>
      <c r="J3630" s="450" t="s">
        <v>24714</v>
      </c>
      <c r="K3630" s="450"/>
    </row>
    <row r="3631" spans="1:11">
      <c r="A3631" s="451" t="s">
        <v>6435</v>
      </c>
      <c r="B3631" s="451"/>
      <c r="C3631" s="451" t="s">
        <v>6436</v>
      </c>
      <c r="D3631" s="451"/>
      <c r="E3631" s="451"/>
      <c r="F3631" s="451"/>
      <c r="G3631" s="451" t="s">
        <v>22877</v>
      </c>
      <c r="H3631" s="451" t="s">
        <v>22878</v>
      </c>
      <c r="I3631" s="451" t="s">
        <v>24715</v>
      </c>
      <c r="J3631" s="451" t="s">
        <v>22997</v>
      </c>
      <c r="K3631" s="451"/>
    </row>
    <row r="3632" spans="1:11">
      <c r="A3632" s="450" t="s">
        <v>6437</v>
      </c>
      <c r="B3632" s="450" t="s">
        <v>6438</v>
      </c>
      <c r="C3632" s="450" t="s">
        <v>6439</v>
      </c>
      <c r="D3632" s="450"/>
      <c r="E3632" s="450"/>
      <c r="F3632" s="450"/>
      <c r="G3632" s="450" t="s">
        <v>22877</v>
      </c>
      <c r="H3632" s="450" t="s">
        <v>22878</v>
      </c>
      <c r="I3632" s="450" t="s">
        <v>24716</v>
      </c>
      <c r="J3632" s="450" t="s">
        <v>24717</v>
      </c>
      <c r="K3632" s="450"/>
    </row>
    <row r="3633" spans="1:11">
      <c r="A3633" s="451" t="s">
        <v>6440</v>
      </c>
      <c r="B3633" s="451" t="s">
        <v>6441</v>
      </c>
      <c r="C3633" s="451" t="s">
        <v>3538</v>
      </c>
      <c r="D3633" s="451"/>
      <c r="E3633" s="451"/>
      <c r="F3633" s="451"/>
      <c r="G3633" s="451" t="s">
        <v>22877</v>
      </c>
      <c r="H3633" s="451" t="s">
        <v>22878</v>
      </c>
      <c r="I3633" s="451"/>
      <c r="J3633" s="451" t="s">
        <v>24718</v>
      </c>
      <c r="K3633" s="451"/>
    </row>
    <row r="3634" spans="1:11">
      <c r="A3634" s="450" t="s">
        <v>6442</v>
      </c>
      <c r="B3634" s="450" t="s">
        <v>34635</v>
      </c>
      <c r="C3634" s="450" t="s">
        <v>5920</v>
      </c>
      <c r="D3634" s="450" t="s">
        <v>6444</v>
      </c>
      <c r="E3634" s="450"/>
      <c r="F3634" s="450"/>
      <c r="G3634" s="450" t="s">
        <v>22877</v>
      </c>
      <c r="H3634" s="450" t="s">
        <v>22878</v>
      </c>
      <c r="I3634" s="450" t="s">
        <v>6444</v>
      </c>
      <c r="J3634" s="450" t="s">
        <v>34636</v>
      </c>
      <c r="K3634" s="450"/>
    </row>
    <row r="3635" spans="1:11">
      <c r="A3635" s="451" t="s">
        <v>6442</v>
      </c>
      <c r="B3635" s="451" t="s">
        <v>6443</v>
      </c>
      <c r="C3635" s="451" t="s">
        <v>5920</v>
      </c>
      <c r="D3635" s="451" t="s">
        <v>6444</v>
      </c>
      <c r="E3635" s="451" t="s">
        <v>6445</v>
      </c>
      <c r="F3635" s="451"/>
      <c r="G3635" s="451" t="s">
        <v>22877</v>
      </c>
      <c r="H3635" s="451" t="s">
        <v>22878</v>
      </c>
      <c r="I3635" s="451" t="s">
        <v>6444</v>
      </c>
      <c r="J3635" s="451" t="s">
        <v>31030</v>
      </c>
      <c r="K3635" s="451"/>
    </row>
    <row r="3636" spans="1:11">
      <c r="A3636" s="450" t="s">
        <v>6446</v>
      </c>
      <c r="B3636" s="450"/>
      <c r="C3636" s="450" t="s">
        <v>6447</v>
      </c>
      <c r="D3636" s="450"/>
      <c r="E3636" s="450"/>
      <c r="F3636" s="450"/>
      <c r="G3636" s="450" t="s">
        <v>22877</v>
      </c>
      <c r="H3636" s="450" t="s">
        <v>22878</v>
      </c>
      <c r="I3636" s="450" t="s">
        <v>34637</v>
      </c>
      <c r="J3636" s="450" t="s">
        <v>22997</v>
      </c>
      <c r="K3636" s="450"/>
    </row>
    <row r="3637" spans="1:11">
      <c r="A3637" s="451" t="s">
        <v>6448</v>
      </c>
      <c r="B3637" s="451"/>
      <c r="C3637" s="451" t="s">
        <v>6449</v>
      </c>
      <c r="D3637" s="451"/>
      <c r="E3637" s="451"/>
      <c r="F3637" s="451"/>
      <c r="G3637" s="451" t="s">
        <v>22877</v>
      </c>
      <c r="H3637" s="451" t="s">
        <v>22878</v>
      </c>
      <c r="I3637" s="451" t="s">
        <v>34638</v>
      </c>
      <c r="J3637" s="451" t="s">
        <v>22939</v>
      </c>
      <c r="K3637" s="451"/>
    </row>
    <row r="3638" spans="1:11">
      <c r="A3638" s="450" t="s">
        <v>6450</v>
      </c>
      <c r="B3638" s="450"/>
      <c r="C3638" s="450" t="s">
        <v>6451</v>
      </c>
      <c r="D3638" s="450"/>
      <c r="E3638" s="450"/>
      <c r="F3638" s="450"/>
      <c r="G3638" s="450" t="s">
        <v>22877</v>
      </c>
      <c r="H3638" s="450" t="s">
        <v>22878</v>
      </c>
      <c r="I3638" s="450" t="s">
        <v>24719</v>
      </c>
      <c r="J3638" s="450" t="s">
        <v>22997</v>
      </c>
      <c r="K3638" s="450"/>
    </row>
    <row r="3639" spans="1:11">
      <c r="A3639" s="451" t="s">
        <v>24720</v>
      </c>
      <c r="B3639" s="451" t="s">
        <v>24721</v>
      </c>
      <c r="C3639" s="451" t="s">
        <v>24722</v>
      </c>
      <c r="D3639" s="451"/>
      <c r="E3639" s="451"/>
      <c r="F3639" s="451"/>
      <c r="G3639" s="451" t="s">
        <v>22877</v>
      </c>
      <c r="H3639" s="451" t="s">
        <v>22878</v>
      </c>
      <c r="I3639" s="451" t="s">
        <v>24723</v>
      </c>
      <c r="J3639" s="451" t="s">
        <v>24724</v>
      </c>
      <c r="K3639" s="451"/>
    </row>
    <row r="3640" spans="1:11">
      <c r="A3640" s="450" t="s">
        <v>6452</v>
      </c>
      <c r="B3640" s="450" t="s">
        <v>24725</v>
      </c>
      <c r="C3640" s="450" t="s">
        <v>6454</v>
      </c>
      <c r="D3640" s="450"/>
      <c r="E3640" s="450"/>
      <c r="F3640" s="450"/>
      <c r="G3640" s="450" t="s">
        <v>22877</v>
      </c>
      <c r="H3640" s="450" t="s">
        <v>22878</v>
      </c>
      <c r="I3640" s="450" t="s">
        <v>24726</v>
      </c>
      <c r="J3640" s="450" t="s">
        <v>24727</v>
      </c>
      <c r="K3640" s="450"/>
    </row>
    <row r="3641" spans="1:11">
      <c r="A3641" s="451" t="s">
        <v>6452</v>
      </c>
      <c r="B3641" s="451" t="s">
        <v>6453</v>
      </c>
      <c r="C3641" s="451" t="s">
        <v>6454</v>
      </c>
      <c r="D3641" s="451"/>
      <c r="E3641" s="451"/>
      <c r="F3641" s="451"/>
      <c r="G3641" s="451" t="s">
        <v>22877</v>
      </c>
      <c r="H3641" s="451" t="s">
        <v>22878</v>
      </c>
      <c r="I3641" s="451" t="s">
        <v>31031</v>
      </c>
      <c r="J3641" s="451" t="s">
        <v>6453</v>
      </c>
      <c r="K3641" s="451"/>
    </row>
    <row r="3642" spans="1:11">
      <c r="A3642" s="450" t="s">
        <v>6455</v>
      </c>
      <c r="B3642" s="450"/>
      <c r="C3642" s="450" t="s">
        <v>6456</v>
      </c>
      <c r="D3642" s="450"/>
      <c r="E3642" s="450"/>
      <c r="F3642" s="450"/>
      <c r="G3642" s="450" t="s">
        <v>22877</v>
      </c>
      <c r="H3642" s="450" t="s">
        <v>22878</v>
      </c>
      <c r="I3642" s="450"/>
      <c r="J3642" s="450" t="s">
        <v>23370</v>
      </c>
      <c r="K3642" s="450"/>
    </row>
    <row r="3643" spans="1:11">
      <c r="A3643" s="451" t="s">
        <v>21625</v>
      </c>
      <c r="B3643" s="451"/>
      <c r="C3643" s="451" t="s">
        <v>3890</v>
      </c>
      <c r="D3643" s="451"/>
      <c r="E3643" s="451"/>
      <c r="F3643" s="451"/>
      <c r="G3643" s="451" t="s">
        <v>22877</v>
      </c>
      <c r="H3643" s="451" t="s">
        <v>22878</v>
      </c>
      <c r="I3643" s="451" t="s">
        <v>34639</v>
      </c>
      <c r="J3643" s="451" t="s">
        <v>22939</v>
      </c>
      <c r="K3643" s="451"/>
    </row>
    <row r="3644" spans="1:11">
      <c r="A3644" s="450" t="s">
        <v>34640</v>
      </c>
      <c r="B3644" s="450"/>
      <c r="C3644" s="450" t="s">
        <v>33579</v>
      </c>
      <c r="D3644" s="450"/>
      <c r="E3644" s="450"/>
      <c r="F3644" s="450"/>
      <c r="G3644" s="450" t="s">
        <v>22877</v>
      </c>
      <c r="H3644" s="450" t="s">
        <v>22878</v>
      </c>
      <c r="I3644" s="450" t="s">
        <v>34639</v>
      </c>
      <c r="J3644" s="450" t="s">
        <v>22939</v>
      </c>
      <c r="K3644" s="450"/>
    </row>
    <row r="3645" spans="1:11">
      <c r="A3645" s="451" t="s">
        <v>6457</v>
      </c>
      <c r="B3645" s="451"/>
      <c r="C3645" s="451" t="s">
        <v>2661</v>
      </c>
      <c r="D3645" s="451"/>
      <c r="E3645" s="451"/>
      <c r="F3645" s="451"/>
      <c r="G3645" s="451" t="s">
        <v>22882</v>
      </c>
      <c r="H3645" s="451" t="s">
        <v>22883</v>
      </c>
      <c r="I3645" s="451"/>
      <c r="J3645" s="451" t="s">
        <v>22997</v>
      </c>
      <c r="K3645" s="451"/>
    </row>
    <row r="3646" spans="1:11">
      <c r="A3646" s="450" t="s">
        <v>34641</v>
      </c>
      <c r="B3646" s="450"/>
      <c r="C3646" s="450" t="s">
        <v>6459</v>
      </c>
      <c r="D3646" s="450"/>
      <c r="E3646" s="450"/>
      <c r="F3646" s="450"/>
      <c r="G3646" s="450" t="s">
        <v>22882</v>
      </c>
      <c r="H3646" s="450" t="s">
        <v>22883</v>
      </c>
      <c r="I3646" s="450"/>
      <c r="J3646" s="450" t="s">
        <v>22997</v>
      </c>
      <c r="K3646" s="450"/>
    </row>
    <row r="3647" spans="1:11">
      <c r="A3647" s="451" t="s">
        <v>6458</v>
      </c>
      <c r="B3647" s="451"/>
      <c r="C3647" s="451" t="s">
        <v>6459</v>
      </c>
      <c r="D3647" s="451"/>
      <c r="E3647" s="451"/>
      <c r="F3647" s="451"/>
      <c r="G3647" s="451" t="s">
        <v>22882</v>
      </c>
      <c r="H3647" s="451" t="s">
        <v>22883</v>
      </c>
      <c r="I3647" s="451"/>
      <c r="J3647" s="451" t="s">
        <v>22939</v>
      </c>
      <c r="K3647" s="451"/>
    </row>
    <row r="3648" spans="1:11">
      <c r="A3648" s="450" t="s">
        <v>6460</v>
      </c>
      <c r="B3648" s="450" t="s">
        <v>24728</v>
      </c>
      <c r="C3648" s="450" t="s">
        <v>24729</v>
      </c>
      <c r="D3648" s="450"/>
      <c r="E3648" s="450"/>
      <c r="F3648" s="450"/>
      <c r="G3648" s="450" t="s">
        <v>22877</v>
      </c>
      <c r="H3648" s="450" t="s">
        <v>22878</v>
      </c>
      <c r="I3648" s="450" t="s">
        <v>24730</v>
      </c>
      <c r="J3648" s="450" t="s">
        <v>24731</v>
      </c>
      <c r="K3648" s="450"/>
    </row>
    <row r="3649" spans="1:11">
      <c r="A3649" s="451" t="s">
        <v>6460</v>
      </c>
      <c r="B3649" s="451" t="s">
        <v>6461</v>
      </c>
      <c r="C3649" s="451" t="s">
        <v>6462</v>
      </c>
      <c r="D3649" s="451"/>
      <c r="E3649" s="451"/>
      <c r="F3649" s="451"/>
      <c r="G3649" s="451" t="s">
        <v>22877</v>
      </c>
      <c r="H3649" s="451" t="s">
        <v>22878</v>
      </c>
      <c r="I3649" s="451" t="s">
        <v>31032</v>
      </c>
      <c r="J3649" s="451" t="s">
        <v>31033</v>
      </c>
      <c r="K3649" s="451"/>
    </row>
    <row r="3650" spans="1:11">
      <c r="A3650" s="450" t="s">
        <v>34642</v>
      </c>
      <c r="B3650" s="450"/>
      <c r="C3650" s="450" t="s">
        <v>4979</v>
      </c>
      <c r="D3650" s="450"/>
      <c r="E3650" s="450"/>
      <c r="F3650" s="450"/>
      <c r="G3650" s="450" t="s">
        <v>22877</v>
      </c>
      <c r="H3650" s="450" t="s">
        <v>22878</v>
      </c>
      <c r="I3650" s="450" t="s">
        <v>34643</v>
      </c>
      <c r="J3650" s="450" t="s">
        <v>22997</v>
      </c>
      <c r="K3650" s="450"/>
    </row>
    <row r="3651" spans="1:11">
      <c r="A3651" s="451" t="s">
        <v>34644</v>
      </c>
      <c r="B3651" s="451"/>
      <c r="C3651" s="451" t="s">
        <v>34645</v>
      </c>
      <c r="D3651" s="451"/>
      <c r="E3651" s="451"/>
      <c r="F3651" s="451"/>
      <c r="G3651" s="451" t="s">
        <v>22877</v>
      </c>
      <c r="H3651" s="451" t="s">
        <v>22878</v>
      </c>
      <c r="I3651" s="451" t="s">
        <v>34643</v>
      </c>
      <c r="J3651" s="451" t="s">
        <v>22943</v>
      </c>
      <c r="K3651" s="451"/>
    </row>
    <row r="3652" spans="1:11">
      <c r="A3652" s="450" t="s">
        <v>6463</v>
      </c>
      <c r="B3652" s="450"/>
      <c r="C3652" s="450" t="s">
        <v>4979</v>
      </c>
      <c r="D3652" s="450"/>
      <c r="E3652" s="450"/>
      <c r="F3652" s="450"/>
      <c r="G3652" s="450" t="s">
        <v>22877</v>
      </c>
      <c r="H3652" s="450" t="s">
        <v>22878</v>
      </c>
      <c r="I3652" s="450" t="s">
        <v>34643</v>
      </c>
      <c r="J3652" s="450" t="s">
        <v>23185</v>
      </c>
      <c r="K3652" s="450"/>
    </row>
    <row r="3653" spans="1:11">
      <c r="A3653" s="451" t="s">
        <v>34646</v>
      </c>
      <c r="B3653" s="451"/>
      <c r="C3653" s="451" t="s">
        <v>6465</v>
      </c>
      <c r="D3653" s="451"/>
      <c r="E3653" s="451"/>
      <c r="F3653" s="451"/>
      <c r="G3653" s="451" t="s">
        <v>22877</v>
      </c>
      <c r="H3653" s="451" t="s">
        <v>22878</v>
      </c>
      <c r="I3653" s="451" t="s">
        <v>24732</v>
      </c>
      <c r="J3653" s="451" t="s">
        <v>22943</v>
      </c>
      <c r="K3653" s="451"/>
    </row>
    <row r="3654" spans="1:11">
      <c r="A3654" s="450" t="s">
        <v>6464</v>
      </c>
      <c r="B3654" s="450"/>
      <c r="C3654" s="450" t="s">
        <v>6465</v>
      </c>
      <c r="D3654" s="450"/>
      <c r="E3654" s="450"/>
      <c r="F3654" s="450"/>
      <c r="G3654" s="450" t="s">
        <v>22877</v>
      </c>
      <c r="H3654" s="450" t="s">
        <v>22878</v>
      </c>
      <c r="I3654" s="450" t="s">
        <v>24732</v>
      </c>
      <c r="J3654" s="450" t="s">
        <v>22943</v>
      </c>
      <c r="K3654" s="450"/>
    </row>
    <row r="3655" spans="1:11">
      <c r="A3655" s="451" t="s">
        <v>24733</v>
      </c>
      <c r="B3655" s="451" t="s">
        <v>24734</v>
      </c>
      <c r="C3655" s="451" t="s">
        <v>24735</v>
      </c>
      <c r="D3655" s="451"/>
      <c r="E3655" s="451"/>
      <c r="F3655" s="451"/>
      <c r="G3655" s="451" t="s">
        <v>22877</v>
      </c>
      <c r="H3655" s="451" t="s">
        <v>22878</v>
      </c>
      <c r="I3655" s="451" t="s">
        <v>24736</v>
      </c>
      <c r="J3655" s="451" t="s">
        <v>24737</v>
      </c>
      <c r="K3655" s="451"/>
    </row>
    <row r="3656" spans="1:11">
      <c r="A3656" s="450" t="s">
        <v>6466</v>
      </c>
      <c r="B3656" s="450"/>
      <c r="C3656" s="450" t="s">
        <v>6467</v>
      </c>
      <c r="D3656" s="450"/>
      <c r="E3656" s="450"/>
      <c r="F3656" s="450"/>
      <c r="G3656" s="450" t="s">
        <v>22882</v>
      </c>
      <c r="H3656" s="450" t="s">
        <v>22883</v>
      </c>
      <c r="I3656" s="450" t="s">
        <v>34647</v>
      </c>
      <c r="J3656" s="450" t="s">
        <v>22997</v>
      </c>
      <c r="K3656" s="450"/>
    </row>
    <row r="3657" spans="1:11">
      <c r="A3657" s="451" t="s">
        <v>34648</v>
      </c>
      <c r="B3657" s="451"/>
      <c r="C3657" s="451" t="s">
        <v>6467</v>
      </c>
      <c r="D3657" s="451"/>
      <c r="E3657" s="451"/>
      <c r="F3657" s="451"/>
      <c r="G3657" s="451" t="s">
        <v>22882</v>
      </c>
      <c r="H3657" s="451" t="s">
        <v>22883</v>
      </c>
      <c r="I3657" s="451"/>
      <c r="J3657" s="451" t="s">
        <v>22943</v>
      </c>
      <c r="K3657" s="451"/>
    </row>
    <row r="3658" spans="1:11">
      <c r="A3658" s="450" t="s">
        <v>6468</v>
      </c>
      <c r="B3658" s="450"/>
      <c r="C3658" s="450" t="s">
        <v>6469</v>
      </c>
      <c r="D3658" s="450"/>
      <c r="E3658" s="450"/>
      <c r="F3658" s="450"/>
      <c r="G3658" s="450" t="s">
        <v>22877</v>
      </c>
      <c r="H3658" s="450" t="s">
        <v>22878</v>
      </c>
      <c r="I3658" s="450"/>
      <c r="J3658" s="450" t="s">
        <v>23370</v>
      </c>
      <c r="K3658" s="450"/>
    </row>
    <row r="3659" spans="1:11">
      <c r="A3659" s="451" t="s">
        <v>24738</v>
      </c>
      <c r="B3659" s="451" t="s">
        <v>24739</v>
      </c>
      <c r="C3659" s="451" t="s">
        <v>6650</v>
      </c>
      <c r="D3659" s="451"/>
      <c r="E3659" s="451"/>
      <c r="F3659" s="451"/>
      <c r="G3659" s="451" t="s">
        <v>22877</v>
      </c>
      <c r="H3659" s="451" t="s">
        <v>22878</v>
      </c>
      <c r="I3659" s="451" t="s">
        <v>24740</v>
      </c>
      <c r="J3659" s="451" t="s">
        <v>24741</v>
      </c>
      <c r="K3659" s="451"/>
    </row>
    <row r="3660" spans="1:11">
      <c r="A3660" s="450" t="s">
        <v>6470</v>
      </c>
      <c r="B3660" s="450"/>
      <c r="C3660" s="450" t="s">
        <v>6471</v>
      </c>
      <c r="D3660" s="450"/>
      <c r="E3660" s="450"/>
      <c r="F3660" s="450"/>
      <c r="G3660" s="450" t="s">
        <v>22877</v>
      </c>
      <c r="H3660" s="450" t="s">
        <v>22878</v>
      </c>
      <c r="I3660" s="450"/>
      <c r="J3660" s="450" t="s">
        <v>23370</v>
      </c>
      <c r="K3660" s="450"/>
    </row>
    <row r="3661" spans="1:11">
      <c r="A3661" s="451" t="s">
        <v>24742</v>
      </c>
      <c r="B3661" s="451"/>
      <c r="C3661" s="451" t="s">
        <v>6398</v>
      </c>
      <c r="D3661" s="451"/>
      <c r="E3661" s="451"/>
      <c r="F3661" s="451"/>
      <c r="G3661" s="451" t="s">
        <v>22882</v>
      </c>
      <c r="H3661" s="451" t="s">
        <v>22883</v>
      </c>
      <c r="I3661" s="451"/>
      <c r="J3661" s="451" t="s">
        <v>22997</v>
      </c>
      <c r="K3661" s="451"/>
    </row>
    <row r="3662" spans="1:11">
      <c r="A3662" s="450" t="s">
        <v>6472</v>
      </c>
      <c r="B3662" s="450" t="s">
        <v>6473</v>
      </c>
      <c r="C3662" s="450" t="s">
        <v>6474</v>
      </c>
      <c r="D3662" s="450" t="s">
        <v>6475</v>
      </c>
      <c r="E3662" s="450" t="s">
        <v>6476</v>
      </c>
      <c r="F3662" s="450"/>
      <c r="G3662" s="450" t="s">
        <v>22882</v>
      </c>
      <c r="H3662" s="450" t="s">
        <v>22883</v>
      </c>
      <c r="I3662" s="450" t="s">
        <v>6475</v>
      </c>
      <c r="J3662" s="450" t="s">
        <v>24743</v>
      </c>
      <c r="K3662" s="450"/>
    </row>
    <row r="3663" spans="1:11">
      <c r="A3663" s="451" t="s">
        <v>34649</v>
      </c>
      <c r="B3663" s="451" t="s">
        <v>6473</v>
      </c>
      <c r="C3663" s="451" t="s">
        <v>6474</v>
      </c>
      <c r="D3663" s="451" t="s">
        <v>6475</v>
      </c>
      <c r="E3663" s="451"/>
      <c r="F3663" s="451"/>
      <c r="G3663" s="451" t="s">
        <v>22882</v>
      </c>
      <c r="H3663" s="451" t="s">
        <v>22883</v>
      </c>
      <c r="I3663" s="451"/>
      <c r="J3663" s="451" t="s">
        <v>24743</v>
      </c>
      <c r="K3663" s="451"/>
    </row>
    <row r="3664" spans="1:11">
      <c r="A3664" s="450" t="s">
        <v>6477</v>
      </c>
      <c r="B3664" s="450" t="s">
        <v>6478</v>
      </c>
      <c r="C3664" s="450" t="s">
        <v>6479</v>
      </c>
      <c r="D3664" s="450" t="s">
        <v>6480</v>
      </c>
      <c r="E3664" s="450"/>
      <c r="F3664" s="450"/>
      <c r="G3664" s="450" t="s">
        <v>22877</v>
      </c>
      <c r="H3664" s="450" t="s">
        <v>22878</v>
      </c>
      <c r="I3664" s="450"/>
      <c r="J3664" s="450" t="s">
        <v>34650</v>
      </c>
      <c r="K3664" s="450"/>
    </row>
    <row r="3665" spans="1:11">
      <c r="A3665" s="451" t="s">
        <v>6481</v>
      </c>
      <c r="B3665" s="451" t="s">
        <v>6482</v>
      </c>
      <c r="C3665" s="451" t="s">
        <v>6483</v>
      </c>
      <c r="D3665" s="451"/>
      <c r="E3665" s="451"/>
      <c r="F3665" s="451"/>
      <c r="G3665" s="451" t="s">
        <v>22877</v>
      </c>
      <c r="H3665" s="451" t="s">
        <v>22878</v>
      </c>
      <c r="I3665" s="451"/>
      <c r="J3665" s="451" t="s">
        <v>34651</v>
      </c>
      <c r="K3665" s="451"/>
    </row>
    <row r="3666" spans="1:11">
      <c r="A3666" s="450" t="s">
        <v>6484</v>
      </c>
      <c r="B3666" s="450"/>
      <c r="C3666" s="450" t="s">
        <v>3480</v>
      </c>
      <c r="D3666" s="450"/>
      <c r="E3666" s="450"/>
      <c r="F3666" s="450"/>
      <c r="G3666" s="450" t="s">
        <v>22882</v>
      </c>
      <c r="H3666" s="450" t="s">
        <v>22883</v>
      </c>
      <c r="I3666" s="450"/>
      <c r="J3666" s="450" t="s">
        <v>23121</v>
      </c>
      <c r="K3666" s="450"/>
    </row>
    <row r="3667" spans="1:11">
      <c r="A3667" s="451" t="s">
        <v>34652</v>
      </c>
      <c r="B3667" s="451"/>
      <c r="C3667" s="451" t="s">
        <v>3480</v>
      </c>
      <c r="D3667" s="451"/>
      <c r="E3667" s="451"/>
      <c r="F3667" s="451"/>
      <c r="G3667" s="451" t="s">
        <v>22877</v>
      </c>
      <c r="H3667" s="451" t="s">
        <v>22878</v>
      </c>
      <c r="I3667" s="451"/>
      <c r="J3667" s="451" t="s">
        <v>22943</v>
      </c>
      <c r="K3667" s="451"/>
    </row>
    <row r="3668" spans="1:11">
      <c r="A3668" s="450" t="s">
        <v>6485</v>
      </c>
      <c r="B3668" s="450"/>
      <c r="C3668" s="450" t="s">
        <v>6486</v>
      </c>
      <c r="D3668" s="450"/>
      <c r="E3668" s="450"/>
      <c r="F3668" s="450"/>
      <c r="G3668" s="450" t="s">
        <v>22877</v>
      </c>
      <c r="H3668" s="450" t="s">
        <v>22878</v>
      </c>
      <c r="I3668" s="450"/>
      <c r="J3668" s="450" t="s">
        <v>22939</v>
      </c>
      <c r="K3668" s="450"/>
    </row>
    <row r="3669" spans="1:11">
      <c r="A3669" s="451" t="s">
        <v>24744</v>
      </c>
      <c r="B3669" s="451" t="s">
        <v>6400</v>
      </c>
      <c r="C3669" s="451" t="s">
        <v>6401</v>
      </c>
      <c r="D3669" s="451" t="s">
        <v>6402</v>
      </c>
      <c r="E3669" s="451"/>
      <c r="F3669" s="451"/>
      <c r="G3669" s="451" t="s">
        <v>22877</v>
      </c>
      <c r="H3669" s="451" t="s">
        <v>22878</v>
      </c>
      <c r="I3669" s="451" t="s">
        <v>6402</v>
      </c>
      <c r="J3669" s="451" t="s">
        <v>24745</v>
      </c>
      <c r="K3669" s="451"/>
    </row>
    <row r="3670" spans="1:11">
      <c r="A3670" s="450" t="s">
        <v>34653</v>
      </c>
      <c r="B3670" s="450"/>
      <c r="C3670" s="450" t="s">
        <v>6405</v>
      </c>
      <c r="D3670" s="450"/>
      <c r="E3670" s="450"/>
      <c r="F3670" s="450"/>
      <c r="G3670" s="450" t="s">
        <v>22877</v>
      </c>
      <c r="H3670" s="450" t="s">
        <v>22878</v>
      </c>
      <c r="I3670" s="450" t="s">
        <v>34620</v>
      </c>
      <c r="J3670" s="450" t="s">
        <v>22943</v>
      </c>
      <c r="K3670" s="450"/>
    </row>
    <row r="3671" spans="1:11">
      <c r="A3671" s="451" t="s">
        <v>6487</v>
      </c>
      <c r="B3671" s="451"/>
      <c r="C3671" s="451" t="s">
        <v>6488</v>
      </c>
      <c r="D3671" s="451"/>
      <c r="E3671" s="451"/>
      <c r="F3671" s="451"/>
      <c r="G3671" s="451" t="s">
        <v>22877</v>
      </c>
      <c r="H3671" s="451" t="s">
        <v>22878</v>
      </c>
      <c r="I3671" s="451" t="s">
        <v>24746</v>
      </c>
      <c r="J3671" s="451" t="s">
        <v>22997</v>
      </c>
      <c r="K3671" s="451"/>
    </row>
    <row r="3672" spans="1:11">
      <c r="A3672" s="450" t="s">
        <v>6489</v>
      </c>
      <c r="B3672" s="450" t="s">
        <v>6490</v>
      </c>
      <c r="C3672" s="450" t="s">
        <v>6491</v>
      </c>
      <c r="D3672" s="450"/>
      <c r="E3672" s="450"/>
      <c r="F3672" s="450"/>
      <c r="G3672" s="450" t="s">
        <v>22877</v>
      </c>
      <c r="H3672" s="450" t="s">
        <v>22878</v>
      </c>
      <c r="I3672" s="450" t="s">
        <v>24747</v>
      </c>
      <c r="J3672" s="450" t="s">
        <v>24748</v>
      </c>
      <c r="K3672" s="450"/>
    </row>
    <row r="3673" spans="1:11">
      <c r="A3673" s="451" t="s">
        <v>6492</v>
      </c>
      <c r="B3673" s="451"/>
      <c r="C3673" s="451" t="s">
        <v>2147</v>
      </c>
      <c r="D3673" s="451"/>
      <c r="E3673" s="451"/>
      <c r="F3673" s="451"/>
      <c r="G3673" s="451" t="s">
        <v>22882</v>
      </c>
      <c r="H3673" s="451" t="s">
        <v>22883</v>
      </c>
      <c r="I3673" s="451"/>
      <c r="J3673" s="451" t="s">
        <v>23133</v>
      </c>
      <c r="K3673" s="451"/>
    </row>
    <row r="3674" spans="1:11">
      <c r="A3674" s="450" t="s">
        <v>34654</v>
      </c>
      <c r="B3674" s="450"/>
      <c r="C3674" s="450" t="s">
        <v>2147</v>
      </c>
      <c r="D3674" s="450"/>
      <c r="E3674" s="450"/>
      <c r="F3674" s="450"/>
      <c r="G3674" s="450" t="s">
        <v>22882</v>
      </c>
      <c r="H3674" s="450" t="s">
        <v>22883</v>
      </c>
      <c r="I3674" s="450" t="s">
        <v>34655</v>
      </c>
      <c r="J3674" s="450" t="s">
        <v>23133</v>
      </c>
      <c r="K3674" s="450"/>
    </row>
    <row r="3675" spans="1:11">
      <c r="A3675" s="451" t="s">
        <v>6493</v>
      </c>
      <c r="B3675" s="451" t="s">
        <v>6494</v>
      </c>
      <c r="C3675" s="451" t="s">
        <v>6495</v>
      </c>
      <c r="D3675" s="451"/>
      <c r="E3675" s="451"/>
      <c r="F3675" s="451"/>
      <c r="G3675" s="451" t="s">
        <v>22882</v>
      </c>
      <c r="H3675" s="451" t="s">
        <v>22883</v>
      </c>
      <c r="I3675" s="451"/>
      <c r="J3675" s="451" t="s">
        <v>34656</v>
      </c>
      <c r="K3675" s="451"/>
    </row>
    <row r="3676" spans="1:11">
      <c r="A3676" s="450" t="s">
        <v>34657</v>
      </c>
      <c r="B3676" s="450"/>
      <c r="C3676" s="450" t="s">
        <v>3814</v>
      </c>
      <c r="D3676" s="450" t="s">
        <v>34658</v>
      </c>
      <c r="E3676" s="450"/>
      <c r="F3676" s="450"/>
      <c r="G3676" s="450" t="s">
        <v>22877</v>
      </c>
      <c r="H3676" s="450" t="s">
        <v>22878</v>
      </c>
      <c r="I3676" s="450"/>
      <c r="J3676" s="450" t="s">
        <v>34659</v>
      </c>
      <c r="K3676" s="450"/>
    </row>
    <row r="3677" spans="1:11">
      <c r="A3677" s="451" t="s">
        <v>6496</v>
      </c>
      <c r="B3677" s="451"/>
      <c r="C3677" s="451" t="s">
        <v>6497</v>
      </c>
      <c r="D3677" s="451"/>
      <c r="E3677" s="451"/>
      <c r="F3677" s="451"/>
      <c r="G3677" s="451" t="s">
        <v>22877</v>
      </c>
      <c r="H3677" s="451" t="s">
        <v>22878</v>
      </c>
      <c r="I3677" s="451" t="s">
        <v>34660</v>
      </c>
      <c r="J3677" s="451" t="s">
        <v>22939</v>
      </c>
      <c r="K3677" s="451"/>
    </row>
    <row r="3678" spans="1:11">
      <c r="A3678" s="450" t="s">
        <v>24749</v>
      </c>
      <c r="B3678" s="450"/>
      <c r="C3678" s="450" t="s">
        <v>6497</v>
      </c>
      <c r="D3678" s="450"/>
      <c r="E3678" s="450"/>
      <c r="F3678" s="450"/>
      <c r="G3678" s="450" t="s">
        <v>22877</v>
      </c>
      <c r="H3678" s="450" t="s">
        <v>22878</v>
      </c>
      <c r="I3678" s="450" t="s">
        <v>24750</v>
      </c>
      <c r="J3678" s="450" t="s">
        <v>22997</v>
      </c>
      <c r="K3678" s="450"/>
    </row>
    <row r="3679" spans="1:11">
      <c r="A3679" s="451" t="s">
        <v>6498</v>
      </c>
      <c r="B3679" s="451" t="s">
        <v>6499</v>
      </c>
      <c r="C3679" s="451" t="s">
        <v>6500</v>
      </c>
      <c r="D3679" s="451" t="s">
        <v>6501</v>
      </c>
      <c r="E3679" s="451"/>
      <c r="F3679" s="451"/>
      <c r="G3679" s="451" t="s">
        <v>22877</v>
      </c>
      <c r="H3679" s="451" t="s">
        <v>22878</v>
      </c>
      <c r="I3679" s="451" t="s">
        <v>6501</v>
      </c>
      <c r="J3679" s="451" t="s">
        <v>24751</v>
      </c>
      <c r="K3679" s="451"/>
    </row>
    <row r="3680" spans="1:11">
      <c r="A3680" s="450" t="s">
        <v>6498</v>
      </c>
      <c r="B3680" s="450" t="s">
        <v>6499</v>
      </c>
      <c r="C3680" s="450" t="s">
        <v>6500</v>
      </c>
      <c r="D3680" s="450" t="s">
        <v>6501</v>
      </c>
      <c r="E3680" s="450" t="s">
        <v>6502</v>
      </c>
      <c r="F3680" s="450"/>
      <c r="G3680" s="450" t="s">
        <v>22877</v>
      </c>
      <c r="H3680" s="450" t="s">
        <v>22878</v>
      </c>
      <c r="I3680" s="450" t="s">
        <v>6501</v>
      </c>
      <c r="J3680" s="450" t="s">
        <v>24751</v>
      </c>
      <c r="K3680" s="450"/>
    </row>
    <row r="3681" spans="1:11">
      <c r="A3681" s="451" t="s">
        <v>34661</v>
      </c>
      <c r="B3681" s="451"/>
      <c r="C3681" s="451" t="s">
        <v>6510</v>
      </c>
      <c r="D3681" s="451"/>
      <c r="E3681" s="451"/>
      <c r="F3681" s="451"/>
      <c r="G3681" s="451" t="s">
        <v>22882</v>
      </c>
      <c r="H3681" s="451" t="s">
        <v>22883</v>
      </c>
      <c r="I3681" s="451"/>
      <c r="J3681" s="451" t="s">
        <v>23121</v>
      </c>
      <c r="K3681" s="451"/>
    </row>
    <row r="3682" spans="1:11">
      <c r="A3682" s="450" t="s">
        <v>6503</v>
      </c>
      <c r="B3682" s="450"/>
      <c r="C3682" s="450" t="s">
        <v>1120</v>
      </c>
      <c r="D3682" s="450"/>
      <c r="E3682" s="450"/>
      <c r="F3682" s="450"/>
      <c r="G3682" s="450" t="s">
        <v>22882</v>
      </c>
      <c r="H3682" s="450" t="s">
        <v>22883</v>
      </c>
      <c r="I3682" s="450"/>
      <c r="J3682" s="450" t="s">
        <v>22943</v>
      </c>
      <c r="K3682" s="450"/>
    </row>
    <row r="3683" spans="1:11">
      <c r="A3683" s="451" t="s">
        <v>34662</v>
      </c>
      <c r="B3683" s="451"/>
      <c r="C3683" s="451" t="s">
        <v>4753</v>
      </c>
      <c r="D3683" s="451"/>
      <c r="E3683" s="451"/>
      <c r="F3683" s="451"/>
      <c r="G3683" s="451" t="s">
        <v>22877</v>
      </c>
      <c r="H3683" s="451" t="s">
        <v>22878</v>
      </c>
      <c r="I3683" s="451" t="s">
        <v>34663</v>
      </c>
      <c r="J3683" s="451" t="s">
        <v>22943</v>
      </c>
      <c r="K3683" s="451"/>
    </row>
    <row r="3684" spans="1:11">
      <c r="A3684" s="450" t="s">
        <v>6504</v>
      </c>
      <c r="B3684" s="450"/>
      <c r="C3684" s="450" t="s">
        <v>6505</v>
      </c>
      <c r="D3684" s="450"/>
      <c r="E3684" s="450"/>
      <c r="F3684" s="450"/>
      <c r="G3684" s="450" t="s">
        <v>22882</v>
      </c>
      <c r="H3684" s="450" t="s">
        <v>22883</v>
      </c>
      <c r="I3684" s="450"/>
      <c r="J3684" s="450" t="s">
        <v>23133</v>
      </c>
      <c r="K3684" s="450"/>
    </row>
    <row r="3685" spans="1:11">
      <c r="A3685" s="451" t="s">
        <v>6506</v>
      </c>
      <c r="B3685" s="451"/>
      <c r="C3685" s="451" t="s">
        <v>6507</v>
      </c>
      <c r="D3685" s="451"/>
      <c r="E3685" s="451"/>
      <c r="F3685" s="451"/>
      <c r="G3685" s="451" t="s">
        <v>22882</v>
      </c>
      <c r="H3685" s="451" t="s">
        <v>22883</v>
      </c>
      <c r="I3685" s="451" t="s">
        <v>34664</v>
      </c>
      <c r="J3685" s="451" t="s">
        <v>22997</v>
      </c>
      <c r="K3685" s="451"/>
    </row>
    <row r="3686" spans="1:11">
      <c r="A3686" s="450" t="s">
        <v>6508</v>
      </c>
      <c r="B3686" s="450"/>
      <c r="C3686" s="450" t="s">
        <v>4753</v>
      </c>
      <c r="D3686" s="450"/>
      <c r="E3686" s="450"/>
      <c r="F3686" s="450"/>
      <c r="G3686" s="450" t="s">
        <v>22877</v>
      </c>
      <c r="H3686" s="450" t="s">
        <v>22878</v>
      </c>
      <c r="I3686" s="450" t="s">
        <v>34663</v>
      </c>
      <c r="J3686" s="450" t="s">
        <v>22997</v>
      </c>
      <c r="K3686" s="450"/>
    </row>
    <row r="3687" spans="1:11">
      <c r="A3687" s="451" t="s">
        <v>34665</v>
      </c>
      <c r="B3687" s="451"/>
      <c r="C3687" s="451" t="s">
        <v>6507</v>
      </c>
      <c r="D3687" s="451"/>
      <c r="E3687" s="451"/>
      <c r="F3687" s="451"/>
      <c r="G3687" s="451" t="s">
        <v>22882</v>
      </c>
      <c r="H3687" s="451" t="s">
        <v>22883</v>
      </c>
      <c r="I3687" s="451" t="s">
        <v>34664</v>
      </c>
      <c r="J3687" s="451" t="s">
        <v>22943</v>
      </c>
      <c r="K3687" s="451"/>
    </row>
    <row r="3688" spans="1:11">
      <c r="A3688" s="450" t="s">
        <v>34666</v>
      </c>
      <c r="B3688" s="450"/>
      <c r="C3688" s="450" t="s">
        <v>6505</v>
      </c>
      <c r="D3688" s="450"/>
      <c r="E3688" s="450"/>
      <c r="F3688" s="450"/>
      <c r="G3688" s="450" t="s">
        <v>22882</v>
      </c>
      <c r="H3688" s="450" t="s">
        <v>22883</v>
      </c>
      <c r="I3688" s="450"/>
      <c r="J3688" s="450" t="s">
        <v>22997</v>
      </c>
      <c r="K3688" s="450"/>
    </row>
    <row r="3689" spans="1:11">
      <c r="A3689" s="451" t="s">
        <v>6509</v>
      </c>
      <c r="B3689" s="451"/>
      <c r="C3689" s="451" t="s">
        <v>6510</v>
      </c>
      <c r="D3689" s="451"/>
      <c r="E3689" s="451"/>
      <c r="F3689" s="451"/>
      <c r="G3689" s="451" t="s">
        <v>22882</v>
      </c>
      <c r="H3689" s="451" t="s">
        <v>22883</v>
      </c>
      <c r="I3689" s="451"/>
      <c r="J3689" s="451" t="s">
        <v>22939</v>
      </c>
      <c r="K3689" s="451"/>
    </row>
    <row r="3690" spans="1:11">
      <c r="A3690" s="450" t="s">
        <v>6511</v>
      </c>
      <c r="B3690" s="450" t="s">
        <v>6512</v>
      </c>
      <c r="C3690" s="450" t="s">
        <v>6513</v>
      </c>
      <c r="D3690" s="450" t="s">
        <v>6514</v>
      </c>
      <c r="E3690" s="450" t="s">
        <v>6515</v>
      </c>
      <c r="F3690" s="450"/>
      <c r="G3690" s="450" t="s">
        <v>22877</v>
      </c>
      <c r="H3690" s="450" t="s">
        <v>22878</v>
      </c>
      <c r="I3690" s="450" t="s">
        <v>6514</v>
      </c>
      <c r="J3690" s="450" t="s">
        <v>34667</v>
      </c>
      <c r="K3690" s="450"/>
    </row>
    <row r="3691" spans="1:11">
      <c r="A3691" s="451" t="s">
        <v>24752</v>
      </c>
      <c r="B3691" s="451" t="s">
        <v>6512</v>
      </c>
      <c r="C3691" s="451" t="s">
        <v>6513</v>
      </c>
      <c r="D3691" s="451" t="s">
        <v>6514</v>
      </c>
      <c r="E3691" s="451"/>
      <c r="F3691" s="451"/>
      <c r="G3691" s="451" t="s">
        <v>22877</v>
      </c>
      <c r="H3691" s="451" t="s">
        <v>22878</v>
      </c>
      <c r="I3691" s="451" t="s">
        <v>6514</v>
      </c>
      <c r="J3691" s="451" t="s">
        <v>24753</v>
      </c>
      <c r="K3691" s="451"/>
    </row>
    <row r="3692" spans="1:11">
      <c r="A3692" s="450" t="s">
        <v>24754</v>
      </c>
      <c r="B3692" s="450" t="s">
        <v>24755</v>
      </c>
      <c r="C3692" s="450" t="s">
        <v>24756</v>
      </c>
      <c r="D3692" s="450"/>
      <c r="E3692" s="450"/>
      <c r="F3692" s="450"/>
      <c r="G3692" s="450" t="s">
        <v>22877</v>
      </c>
      <c r="H3692" s="450" t="s">
        <v>22878</v>
      </c>
      <c r="I3692" s="450" t="s">
        <v>24757</v>
      </c>
      <c r="J3692" s="450" t="s">
        <v>24758</v>
      </c>
      <c r="K3692" s="450"/>
    </row>
    <row r="3693" spans="1:11">
      <c r="A3693" s="451" t="s">
        <v>24759</v>
      </c>
      <c r="B3693" s="451" t="s">
        <v>24760</v>
      </c>
      <c r="C3693" s="451" t="s">
        <v>24761</v>
      </c>
      <c r="D3693" s="451"/>
      <c r="E3693" s="451"/>
      <c r="F3693" s="451"/>
      <c r="G3693" s="451" t="s">
        <v>22877</v>
      </c>
      <c r="H3693" s="451" t="s">
        <v>22878</v>
      </c>
      <c r="I3693" s="451" t="s">
        <v>24762</v>
      </c>
      <c r="J3693" s="451" t="s">
        <v>24763</v>
      </c>
      <c r="K3693" s="451"/>
    </row>
    <row r="3694" spans="1:11">
      <c r="A3694" s="450" t="s">
        <v>6516</v>
      </c>
      <c r="B3694" s="450"/>
      <c r="C3694" s="450" t="s">
        <v>6517</v>
      </c>
      <c r="D3694" s="450"/>
      <c r="E3694" s="450"/>
      <c r="F3694" s="450"/>
      <c r="G3694" s="450" t="s">
        <v>22877</v>
      </c>
      <c r="H3694" s="450" t="s">
        <v>22878</v>
      </c>
      <c r="I3694" s="450"/>
      <c r="J3694" s="450" t="s">
        <v>22939</v>
      </c>
      <c r="K3694" s="450"/>
    </row>
    <row r="3695" spans="1:11">
      <c r="A3695" s="451" t="s">
        <v>34668</v>
      </c>
      <c r="B3695" s="451" t="s">
        <v>6519</v>
      </c>
      <c r="C3695" s="451" t="s">
        <v>6520</v>
      </c>
      <c r="D3695" s="451"/>
      <c r="E3695" s="451"/>
      <c r="F3695" s="451"/>
      <c r="G3695" s="451" t="s">
        <v>22877</v>
      </c>
      <c r="H3695" s="451" t="s">
        <v>22878</v>
      </c>
      <c r="I3695" s="451" t="s">
        <v>34669</v>
      </c>
      <c r="J3695" s="451" t="s">
        <v>34670</v>
      </c>
      <c r="K3695" s="451"/>
    </row>
    <row r="3696" spans="1:11">
      <c r="A3696" s="450" t="s">
        <v>6518</v>
      </c>
      <c r="B3696" s="450" t="s">
        <v>6519</v>
      </c>
      <c r="C3696" s="450" t="s">
        <v>6520</v>
      </c>
      <c r="D3696" s="450"/>
      <c r="E3696" s="450"/>
      <c r="F3696" s="450"/>
      <c r="G3696" s="450" t="s">
        <v>22877</v>
      </c>
      <c r="H3696" s="450" t="s">
        <v>22878</v>
      </c>
      <c r="I3696" s="450" t="s">
        <v>31034</v>
      </c>
      <c r="J3696" s="450" t="s">
        <v>31035</v>
      </c>
      <c r="K3696" s="450"/>
    </row>
    <row r="3697" spans="1:11">
      <c r="A3697" s="451" t="s">
        <v>6521</v>
      </c>
      <c r="B3697" s="451"/>
      <c r="C3697" s="451" t="s">
        <v>6522</v>
      </c>
      <c r="D3697" s="451"/>
      <c r="E3697" s="451"/>
      <c r="F3697" s="451"/>
      <c r="G3697" s="451" t="s">
        <v>22877</v>
      </c>
      <c r="H3697" s="451" t="s">
        <v>22878</v>
      </c>
      <c r="I3697" s="451"/>
      <c r="J3697" s="451" t="s">
        <v>22939</v>
      </c>
      <c r="K3697" s="451"/>
    </row>
    <row r="3698" spans="1:11">
      <c r="A3698" s="450" t="s">
        <v>6523</v>
      </c>
      <c r="B3698" s="450" t="s">
        <v>6524</v>
      </c>
      <c r="C3698" s="450" t="s">
        <v>6525</v>
      </c>
      <c r="D3698" s="450" t="s">
        <v>6526</v>
      </c>
      <c r="E3698" s="450"/>
      <c r="F3698" s="450"/>
      <c r="G3698" s="450" t="s">
        <v>22877</v>
      </c>
      <c r="H3698" s="450" t="s">
        <v>22878</v>
      </c>
      <c r="I3698" s="450" t="s">
        <v>34671</v>
      </c>
      <c r="J3698" s="450" t="s">
        <v>24764</v>
      </c>
      <c r="K3698" s="450"/>
    </row>
    <row r="3699" spans="1:11">
      <c r="A3699" s="451" t="s">
        <v>6523</v>
      </c>
      <c r="B3699" s="451" t="s">
        <v>6524</v>
      </c>
      <c r="C3699" s="451" t="s">
        <v>6525</v>
      </c>
      <c r="D3699" s="451" t="s">
        <v>6526</v>
      </c>
      <c r="E3699" s="451" t="s">
        <v>6527</v>
      </c>
      <c r="F3699" s="451"/>
      <c r="G3699" s="451" t="s">
        <v>22877</v>
      </c>
      <c r="H3699" s="451" t="s">
        <v>22878</v>
      </c>
      <c r="I3699" s="451" t="s">
        <v>6526</v>
      </c>
      <c r="J3699" s="451" t="s">
        <v>24764</v>
      </c>
      <c r="K3699" s="451"/>
    </row>
    <row r="3700" spans="1:11">
      <c r="A3700" s="450" t="s">
        <v>20306</v>
      </c>
      <c r="B3700" s="450" t="s">
        <v>20305</v>
      </c>
      <c r="C3700" s="450" t="s">
        <v>18687</v>
      </c>
      <c r="D3700" s="450" t="s">
        <v>20307</v>
      </c>
      <c r="E3700" s="450"/>
      <c r="F3700" s="450" t="s">
        <v>20308</v>
      </c>
      <c r="G3700" s="450" t="s">
        <v>22877</v>
      </c>
      <c r="H3700" s="450" t="s">
        <v>22878</v>
      </c>
      <c r="I3700" s="450" t="s">
        <v>20307</v>
      </c>
      <c r="J3700" s="450" t="s">
        <v>31036</v>
      </c>
      <c r="K3700" s="450"/>
    </row>
    <row r="3701" spans="1:11">
      <c r="A3701" s="451" t="s">
        <v>24765</v>
      </c>
      <c r="B3701" s="451" t="s">
        <v>24766</v>
      </c>
      <c r="C3701" s="451" t="s">
        <v>18687</v>
      </c>
      <c r="D3701" s="451" t="s">
        <v>24767</v>
      </c>
      <c r="E3701" s="451"/>
      <c r="F3701" s="451" t="s">
        <v>24768</v>
      </c>
      <c r="G3701" s="451" t="s">
        <v>22877</v>
      </c>
      <c r="H3701" s="451" t="s">
        <v>22878</v>
      </c>
      <c r="I3701" s="451" t="s">
        <v>24767</v>
      </c>
      <c r="J3701" s="451" t="s">
        <v>24769</v>
      </c>
      <c r="K3701" s="451"/>
    </row>
    <row r="3702" spans="1:11">
      <c r="A3702" s="450" t="s">
        <v>6528</v>
      </c>
      <c r="B3702" s="450"/>
      <c r="C3702" s="450" t="s">
        <v>6529</v>
      </c>
      <c r="D3702" s="450"/>
      <c r="E3702" s="450"/>
      <c r="F3702" s="450"/>
      <c r="G3702" s="450" t="s">
        <v>22877</v>
      </c>
      <c r="H3702" s="450" t="s">
        <v>22878</v>
      </c>
      <c r="I3702" s="450" t="s">
        <v>24770</v>
      </c>
      <c r="J3702" s="450" t="s">
        <v>22939</v>
      </c>
      <c r="K3702" s="450"/>
    </row>
    <row r="3703" spans="1:11">
      <c r="A3703" s="451" t="s">
        <v>24771</v>
      </c>
      <c r="B3703" s="451" t="s">
        <v>21096</v>
      </c>
      <c r="C3703" s="451" t="s">
        <v>20333</v>
      </c>
      <c r="D3703" s="451"/>
      <c r="E3703" s="451"/>
      <c r="F3703" s="451"/>
      <c r="G3703" s="451" t="s">
        <v>22877</v>
      </c>
      <c r="H3703" s="451" t="s">
        <v>22878</v>
      </c>
      <c r="I3703" s="451" t="s">
        <v>24772</v>
      </c>
      <c r="J3703" s="451" t="s">
        <v>24773</v>
      </c>
      <c r="K3703" s="451"/>
    </row>
    <row r="3704" spans="1:11">
      <c r="A3704" s="450" t="s">
        <v>6530</v>
      </c>
      <c r="B3704" s="450"/>
      <c r="C3704" s="450" t="s">
        <v>6531</v>
      </c>
      <c r="D3704" s="450"/>
      <c r="E3704" s="450"/>
      <c r="F3704" s="450"/>
      <c r="G3704" s="450" t="s">
        <v>22877</v>
      </c>
      <c r="H3704" s="450" t="s">
        <v>22878</v>
      </c>
      <c r="I3704" s="450" t="s">
        <v>24774</v>
      </c>
      <c r="J3704" s="450" t="s">
        <v>22997</v>
      </c>
      <c r="K3704" s="450"/>
    </row>
    <row r="3705" spans="1:11">
      <c r="A3705" s="451" t="s">
        <v>24775</v>
      </c>
      <c r="B3705" s="451" t="s">
        <v>15906</v>
      </c>
      <c r="C3705" s="451" t="s">
        <v>24776</v>
      </c>
      <c r="D3705" s="451"/>
      <c r="E3705" s="451"/>
      <c r="F3705" s="451"/>
      <c r="G3705" s="451" t="s">
        <v>22877</v>
      </c>
      <c r="H3705" s="451" t="s">
        <v>22878</v>
      </c>
      <c r="I3705" s="451"/>
      <c r="J3705" s="451" t="s">
        <v>24777</v>
      </c>
      <c r="K3705" s="451"/>
    </row>
    <row r="3706" spans="1:11">
      <c r="A3706" s="450" t="s">
        <v>24778</v>
      </c>
      <c r="B3706" s="450"/>
      <c r="C3706" s="450" t="s">
        <v>24779</v>
      </c>
      <c r="D3706" s="450"/>
      <c r="E3706" s="450"/>
      <c r="F3706" s="450"/>
      <c r="G3706" s="450" t="s">
        <v>22877</v>
      </c>
      <c r="H3706" s="450" t="s">
        <v>22878</v>
      </c>
      <c r="I3706" s="450" t="s">
        <v>24780</v>
      </c>
      <c r="J3706" s="450" t="s">
        <v>22939</v>
      </c>
      <c r="K3706" s="450"/>
    </row>
    <row r="3707" spans="1:11">
      <c r="A3707" s="451" t="s">
        <v>24781</v>
      </c>
      <c r="B3707" s="451" t="s">
        <v>24782</v>
      </c>
      <c r="C3707" s="451" t="s">
        <v>24783</v>
      </c>
      <c r="D3707" s="451"/>
      <c r="E3707" s="451"/>
      <c r="F3707" s="451"/>
      <c r="G3707" s="451" t="s">
        <v>22877</v>
      </c>
      <c r="H3707" s="451" t="s">
        <v>22878</v>
      </c>
      <c r="I3707" s="451"/>
      <c r="J3707" s="451" t="s">
        <v>24784</v>
      </c>
      <c r="K3707" s="451"/>
    </row>
    <row r="3708" spans="1:11">
      <c r="A3708" s="450" t="s">
        <v>29967</v>
      </c>
      <c r="B3708" s="450" t="s">
        <v>21096</v>
      </c>
      <c r="C3708" s="450" t="s">
        <v>20333</v>
      </c>
      <c r="D3708" s="450" t="s">
        <v>21095</v>
      </c>
      <c r="E3708" s="450"/>
      <c r="F3708" s="450"/>
      <c r="G3708" s="450" t="s">
        <v>22877</v>
      </c>
      <c r="H3708" s="450" t="s">
        <v>22878</v>
      </c>
      <c r="I3708" s="450" t="s">
        <v>31037</v>
      </c>
      <c r="J3708" s="450" t="s">
        <v>31038</v>
      </c>
      <c r="K3708" s="450"/>
    </row>
    <row r="3709" spans="1:11">
      <c r="A3709" s="451" t="s">
        <v>24785</v>
      </c>
      <c r="B3709" s="451" t="s">
        <v>24786</v>
      </c>
      <c r="C3709" s="451" t="s">
        <v>24787</v>
      </c>
      <c r="D3709" s="451"/>
      <c r="E3709" s="451"/>
      <c r="F3709" s="451"/>
      <c r="G3709" s="451" t="s">
        <v>22877</v>
      </c>
      <c r="H3709" s="451" t="s">
        <v>22878</v>
      </c>
      <c r="I3709" s="451" t="s">
        <v>24788</v>
      </c>
      <c r="J3709" s="451" t="s">
        <v>24789</v>
      </c>
      <c r="K3709" s="451"/>
    </row>
    <row r="3710" spans="1:11">
      <c r="A3710" s="450" t="s">
        <v>24790</v>
      </c>
      <c r="B3710" s="450" t="s">
        <v>24755</v>
      </c>
      <c r="C3710" s="450" t="s">
        <v>24756</v>
      </c>
      <c r="D3710" s="450"/>
      <c r="E3710" s="450"/>
      <c r="F3710" s="450"/>
      <c r="G3710" s="450" t="s">
        <v>22877</v>
      </c>
      <c r="H3710" s="450" t="s">
        <v>22878</v>
      </c>
      <c r="I3710" s="450" t="s">
        <v>24757</v>
      </c>
      <c r="J3710" s="450" t="s">
        <v>24758</v>
      </c>
      <c r="K3710" s="450"/>
    </row>
    <row r="3711" spans="1:11">
      <c r="A3711" s="451" t="s">
        <v>34672</v>
      </c>
      <c r="B3711" s="451"/>
      <c r="C3711" s="451" t="s">
        <v>6532</v>
      </c>
      <c r="D3711" s="451"/>
      <c r="E3711" s="451"/>
      <c r="F3711" s="451"/>
      <c r="G3711" s="451" t="s">
        <v>22877</v>
      </c>
      <c r="H3711" s="451" t="s">
        <v>22878</v>
      </c>
      <c r="I3711" s="451" t="s">
        <v>34673</v>
      </c>
      <c r="J3711" s="451" t="s">
        <v>22939</v>
      </c>
      <c r="K3711" s="451"/>
    </row>
    <row r="3712" spans="1:11">
      <c r="A3712" s="450" t="s">
        <v>21626</v>
      </c>
      <c r="B3712" s="450"/>
      <c r="C3712" s="450" t="s">
        <v>6532</v>
      </c>
      <c r="D3712" s="450"/>
      <c r="E3712" s="450"/>
      <c r="F3712" s="450"/>
      <c r="G3712" s="450" t="s">
        <v>22877</v>
      </c>
      <c r="H3712" s="450" t="s">
        <v>22878</v>
      </c>
      <c r="I3712" s="450" t="s">
        <v>34674</v>
      </c>
      <c r="J3712" s="450" t="s">
        <v>23185</v>
      </c>
      <c r="K3712" s="450"/>
    </row>
    <row r="3713" spans="1:11">
      <c r="A3713" s="451" t="s">
        <v>34675</v>
      </c>
      <c r="B3713" s="451"/>
      <c r="C3713" s="451" t="s">
        <v>6534</v>
      </c>
      <c r="D3713" s="451"/>
      <c r="E3713" s="451"/>
      <c r="F3713" s="451"/>
      <c r="G3713" s="451" t="s">
        <v>22877</v>
      </c>
      <c r="H3713" s="451" t="s">
        <v>22878</v>
      </c>
      <c r="I3713" s="451" t="s">
        <v>34676</v>
      </c>
      <c r="J3713" s="451" t="s">
        <v>22943</v>
      </c>
      <c r="K3713" s="451"/>
    </row>
    <row r="3714" spans="1:11">
      <c r="A3714" s="450" t="s">
        <v>6533</v>
      </c>
      <c r="B3714" s="450"/>
      <c r="C3714" s="450" t="s">
        <v>6534</v>
      </c>
      <c r="D3714" s="450"/>
      <c r="E3714" s="450"/>
      <c r="F3714" s="450"/>
      <c r="G3714" s="450" t="s">
        <v>22877</v>
      </c>
      <c r="H3714" s="450" t="s">
        <v>22878</v>
      </c>
      <c r="I3714" s="450" t="s">
        <v>34676</v>
      </c>
      <c r="J3714" s="450" t="s">
        <v>22997</v>
      </c>
      <c r="K3714" s="450"/>
    </row>
    <row r="3715" spans="1:11">
      <c r="A3715" s="451" t="s">
        <v>6535</v>
      </c>
      <c r="B3715" s="451"/>
      <c r="C3715" s="451" t="s">
        <v>6536</v>
      </c>
      <c r="D3715" s="451"/>
      <c r="E3715" s="451"/>
      <c r="F3715" s="451"/>
      <c r="G3715" s="451" t="s">
        <v>22877</v>
      </c>
      <c r="H3715" s="451" t="s">
        <v>22878</v>
      </c>
      <c r="I3715" s="451" t="s">
        <v>34677</v>
      </c>
      <c r="J3715" s="451" t="s">
        <v>22939</v>
      </c>
      <c r="K3715" s="451"/>
    </row>
    <row r="3716" spans="1:11">
      <c r="A3716" s="450" t="s">
        <v>34678</v>
      </c>
      <c r="B3716" s="450"/>
      <c r="C3716" s="450" t="s">
        <v>1195</v>
      </c>
      <c r="D3716" s="450"/>
      <c r="E3716" s="450"/>
      <c r="F3716" s="450"/>
      <c r="G3716" s="450" t="s">
        <v>22877</v>
      </c>
      <c r="H3716" s="450" t="s">
        <v>22878</v>
      </c>
      <c r="I3716" s="450" t="s">
        <v>34679</v>
      </c>
      <c r="J3716" s="450" t="s">
        <v>22943</v>
      </c>
      <c r="K3716" s="450"/>
    </row>
    <row r="3717" spans="1:11">
      <c r="A3717" s="451" t="s">
        <v>6537</v>
      </c>
      <c r="B3717" s="451"/>
      <c r="C3717" s="451" t="s">
        <v>1195</v>
      </c>
      <c r="D3717" s="451"/>
      <c r="E3717" s="451"/>
      <c r="F3717" s="451"/>
      <c r="G3717" s="451" t="s">
        <v>22877</v>
      </c>
      <c r="H3717" s="451" t="s">
        <v>22878</v>
      </c>
      <c r="I3717" s="451" t="s">
        <v>31039</v>
      </c>
      <c r="J3717" s="451" t="s">
        <v>22997</v>
      </c>
      <c r="K3717" s="451"/>
    </row>
    <row r="3718" spans="1:11">
      <c r="A3718" s="450" t="s">
        <v>20984</v>
      </c>
      <c r="B3718" s="450" t="s">
        <v>20983</v>
      </c>
      <c r="C3718" s="450" t="s">
        <v>11346</v>
      </c>
      <c r="D3718" s="450" t="s">
        <v>20985</v>
      </c>
      <c r="E3718" s="450"/>
      <c r="F3718" s="450"/>
      <c r="G3718" s="450" t="s">
        <v>22877</v>
      </c>
      <c r="H3718" s="450" t="s">
        <v>22878</v>
      </c>
      <c r="I3718" s="450" t="s">
        <v>20985</v>
      </c>
      <c r="J3718" s="450" t="s">
        <v>34680</v>
      </c>
      <c r="K3718" s="450"/>
    </row>
    <row r="3719" spans="1:11">
      <c r="A3719" s="451" t="s">
        <v>24791</v>
      </c>
      <c r="B3719" s="451" t="s">
        <v>20983</v>
      </c>
      <c r="C3719" s="451" t="s">
        <v>11346</v>
      </c>
      <c r="D3719" s="451" t="s">
        <v>24792</v>
      </c>
      <c r="E3719" s="451"/>
      <c r="F3719" s="451"/>
      <c r="G3719" s="451" t="s">
        <v>22877</v>
      </c>
      <c r="H3719" s="451" t="s">
        <v>22878</v>
      </c>
      <c r="I3719" s="451" t="s">
        <v>20985</v>
      </c>
      <c r="J3719" s="451" t="s">
        <v>24793</v>
      </c>
      <c r="K3719" s="451"/>
    </row>
    <row r="3720" spans="1:11">
      <c r="A3720" s="450" t="s">
        <v>6538</v>
      </c>
      <c r="B3720" s="450" t="s">
        <v>6539</v>
      </c>
      <c r="C3720" s="450" t="s">
        <v>6540</v>
      </c>
      <c r="D3720" s="450">
        <v>2483736000</v>
      </c>
      <c r="E3720" s="450"/>
      <c r="F3720" s="450"/>
      <c r="G3720" s="450" t="s">
        <v>22877</v>
      </c>
      <c r="H3720" s="450" t="s">
        <v>22878</v>
      </c>
      <c r="I3720" s="450" t="s">
        <v>34681</v>
      </c>
      <c r="J3720" s="450" t="s">
        <v>24794</v>
      </c>
      <c r="K3720" s="450"/>
    </row>
    <row r="3721" spans="1:11">
      <c r="A3721" s="451" t="s">
        <v>6538</v>
      </c>
      <c r="B3721" s="451" t="s">
        <v>6539</v>
      </c>
      <c r="C3721" s="451" t="s">
        <v>6540</v>
      </c>
      <c r="D3721" s="451">
        <v>2483736000</v>
      </c>
      <c r="E3721" s="451">
        <v>2483738084</v>
      </c>
      <c r="F3721" s="451"/>
      <c r="G3721" s="451" t="s">
        <v>22877</v>
      </c>
      <c r="H3721" s="451" t="s">
        <v>22878</v>
      </c>
      <c r="I3721" s="451" t="s">
        <v>31040</v>
      </c>
      <c r="J3721" s="451" t="s">
        <v>24794</v>
      </c>
      <c r="K3721" s="451"/>
    </row>
    <row r="3722" spans="1:11">
      <c r="A3722" s="450" t="s">
        <v>21627</v>
      </c>
      <c r="B3722" s="450" t="s">
        <v>6541</v>
      </c>
      <c r="C3722" s="450" t="s">
        <v>6542</v>
      </c>
      <c r="D3722" s="450" t="s">
        <v>6543</v>
      </c>
      <c r="E3722" s="450"/>
      <c r="F3722" s="450"/>
      <c r="G3722" s="450" t="s">
        <v>22882</v>
      </c>
      <c r="H3722" s="450" t="s">
        <v>22883</v>
      </c>
      <c r="I3722" s="450" t="s">
        <v>6543</v>
      </c>
      <c r="J3722" s="450" t="s">
        <v>31041</v>
      </c>
      <c r="K3722" s="450"/>
    </row>
    <row r="3723" spans="1:11">
      <c r="A3723" s="451" t="s">
        <v>34682</v>
      </c>
      <c r="B3723" s="451" t="s">
        <v>6545</v>
      </c>
      <c r="C3723" s="451" t="s">
        <v>1218</v>
      </c>
      <c r="D3723" s="451" t="s">
        <v>6546</v>
      </c>
      <c r="E3723" s="451"/>
      <c r="F3723" s="451"/>
      <c r="G3723" s="451" t="s">
        <v>22877</v>
      </c>
      <c r="H3723" s="451" t="s">
        <v>22878</v>
      </c>
      <c r="I3723" s="451" t="s">
        <v>6546</v>
      </c>
      <c r="J3723" s="451" t="s">
        <v>34683</v>
      </c>
      <c r="K3723" s="451"/>
    </row>
    <row r="3724" spans="1:11">
      <c r="A3724" s="450" t="s">
        <v>6544</v>
      </c>
      <c r="B3724" s="450" t="s">
        <v>6545</v>
      </c>
      <c r="C3724" s="450" t="s">
        <v>1218</v>
      </c>
      <c r="D3724" s="450" t="s">
        <v>6546</v>
      </c>
      <c r="E3724" s="450"/>
      <c r="F3724" s="450"/>
      <c r="G3724" s="450" t="s">
        <v>22877</v>
      </c>
      <c r="H3724" s="450" t="s">
        <v>22878</v>
      </c>
      <c r="I3724" s="450" t="s">
        <v>6546</v>
      </c>
      <c r="J3724" s="450" t="s">
        <v>31042</v>
      </c>
      <c r="K3724" s="450"/>
    </row>
    <row r="3725" spans="1:11">
      <c r="A3725" s="451" t="s">
        <v>6547</v>
      </c>
      <c r="B3725" s="451" t="s">
        <v>6548</v>
      </c>
      <c r="C3725" s="451" t="s">
        <v>2265</v>
      </c>
      <c r="D3725" s="451"/>
      <c r="E3725" s="451"/>
      <c r="F3725" s="451" t="s">
        <v>6549</v>
      </c>
      <c r="G3725" s="451" t="s">
        <v>22877</v>
      </c>
      <c r="H3725" s="451" t="s">
        <v>22878</v>
      </c>
      <c r="I3725" s="451" t="s">
        <v>24799</v>
      </c>
      <c r="J3725" s="451" t="s">
        <v>31043</v>
      </c>
      <c r="K3725" s="451"/>
    </row>
    <row r="3726" spans="1:11">
      <c r="A3726" s="450" t="s">
        <v>24795</v>
      </c>
      <c r="B3726" s="450" t="s">
        <v>6551</v>
      </c>
      <c r="C3726" s="450" t="s">
        <v>6552</v>
      </c>
      <c r="D3726" s="450"/>
      <c r="E3726" s="450"/>
      <c r="F3726" s="450"/>
      <c r="G3726" s="450" t="s">
        <v>22877</v>
      </c>
      <c r="H3726" s="450" t="s">
        <v>22878</v>
      </c>
      <c r="I3726" s="450" t="s">
        <v>24796</v>
      </c>
      <c r="J3726" s="450" t="s">
        <v>24797</v>
      </c>
      <c r="K3726" s="450"/>
    </row>
    <row r="3727" spans="1:11">
      <c r="A3727" s="451" t="s">
        <v>24798</v>
      </c>
      <c r="B3727" s="451" t="s">
        <v>6548</v>
      </c>
      <c r="C3727" s="451" t="s">
        <v>2265</v>
      </c>
      <c r="D3727" s="451"/>
      <c r="E3727" s="451"/>
      <c r="F3727" s="451" t="s">
        <v>6549</v>
      </c>
      <c r="G3727" s="451" t="s">
        <v>22877</v>
      </c>
      <c r="H3727" s="451" t="s">
        <v>22878</v>
      </c>
      <c r="I3727" s="451" t="s">
        <v>24799</v>
      </c>
      <c r="J3727" s="451" t="s">
        <v>24800</v>
      </c>
      <c r="K3727" s="451"/>
    </row>
    <row r="3728" spans="1:11">
      <c r="A3728" s="450" t="s">
        <v>6550</v>
      </c>
      <c r="B3728" s="450" t="s">
        <v>6551</v>
      </c>
      <c r="C3728" s="450" t="s">
        <v>6552</v>
      </c>
      <c r="D3728" s="450"/>
      <c r="E3728" s="450"/>
      <c r="F3728" s="450"/>
      <c r="G3728" s="450" t="s">
        <v>22877</v>
      </c>
      <c r="H3728" s="450" t="s">
        <v>22878</v>
      </c>
      <c r="I3728" s="450" t="s">
        <v>31044</v>
      </c>
      <c r="J3728" s="450" t="s">
        <v>31045</v>
      </c>
      <c r="K3728" s="450"/>
    </row>
    <row r="3729" spans="1:11">
      <c r="A3729" s="451" t="s">
        <v>34684</v>
      </c>
      <c r="B3729" s="451"/>
      <c r="C3729" s="451" t="s">
        <v>6554</v>
      </c>
      <c r="D3729" s="451"/>
      <c r="E3729" s="451"/>
      <c r="F3729" s="451"/>
      <c r="G3729" s="451" t="s">
        <v>22882</v>
      </c>
      <c r="H3729" s="451" t="s">
        <v>22883</v>
      </c>
      <c r="I3729" s="451" t="s">
        <v>24801</v>
      </c>
      <c r="J3729" s="451" t="s">
        <v>22943</v>
      </c>
      <c r="K3729" s="451"/>
    </row>
    <row r="3730" spans="1:11">
      <c r="A3730" s="450" t="s">
        <v>6553</v>
      </c>
      <c r="B3730" s="450"/>
      <c r="C3730" s="450" t="s">
        <v>6554</v>
      </c>
      <c r="D3730" s="450"/>
      <c r="E3730" s="450"/>
      <c r="F3730" s="450"/>
      <c r="G3730" s="450" t="s">
        <v>22882</v>
      </c>
      <c r="H3730" s="450" t="s">
        <v>22883</v>
      </c>
      <c r="I3730" s="450" t="s">
        <v>24801</v>
      </c>
      <c r="J3730" s="450" t="s">
        <v>22997</v>
      </c>
      <c r="K3730" s="450"/>
    </row>
    <row r="3731" spans="1:11" ht="15.5">
      <c r="A3731" s="449" t="s">
        <v>32376</v>
      </c>
      <c r="B3731" s="449" t="s">
        <v>32377</v>
      </c>
      <c r="C3731" s="449" t="s">
        <v>32378</v>
      </c>
      <c r="D3731" s="449" t="s">
        <v>39487</v>
      </c>
      <c r="E3731" s="449"/>
      <c r="F3731" s="449"/>
      <c r="G3731" s="449"/>
      <c r="H3731" s="449"/>
      <c r="I3731" s="449"/>
      <c r="J3731" s="449"/>
      <c r="K3731" s="449"/>
    </row>
    <row r="3732" spans="1:11">
      <c r="A3732" s="450" t="s">
        <v>24802</v>
      </c>
      <c r="B3732" s="450" t="s">
        <v>6557</v>
      </c>
      <c r="C3732" s="450" t="s">
        <v>6558</v>
      </c>
      <c r="D3732" s="450" t="s">
        <v>6559</v>
      </c>
      <c r="E3732" s="450"/>
      <c r="F3732" s="450"/>
      <c r="G3732" s="450" t="s">
        <v>22877</v>
      </c>
      <c r="H3732" s="450" t="s">
        <v>22878</v>
      </c>
      <c r="I3732" s="450"/>
      <c r="J3732" s="450" t="s">
        <v>24803</v>
      </c>
      <c r="K3732" s="450"/>
    </row>
    <row r="3733" spans="1:11">
      <c r="A3733" s="451" t="s">
        <v>6555</v>
      </c>
      <c r="B3733" s="451"/>
      <c r="C3733" s="451" t="s">
        <v>3819</v>
      </c>
      <c r="D3733" s="451"/>
      <c r="E3733" s="451"/>
      <c r="F3733" s="451"/>
      <c r="G3733" s="451" t="s">
        <v>22877</v>
      </c>
      <c r="H3733" s="451" t="s">
        <v>22878</v>
      </c>
      <c r="I3733" s="451" t="s">
        <v>24804</v>
      </c>
      <c r="J3733" s="451" t="s">
        <v>22943</v>
      </c>
      <c r="K3733" s="451"/>
    </row>
    <row r="3734" spans="1:11">
      <c r="A3734" s="450" t="s">
        <v>6556</v>
      </c>
      <c r="B3734" s="450" t="s">
        <v>6557</v>
      </c>
      <c r="C3734" s="450" t="s">
        <v>6558</v>
      </c>
      <c r="D3734" s="450" t="s">
        <v>6559</v>
      </c>
      <c r="E3734" s="450" t="s">
        <v>6560</v>
      </c>
      <c r="F3734" s="450"/>
      <c r="G3734" s="450" t="s">
        <v>22877</v>
      </c>
      <c r="H3734" s="450" t="s">
        <v>22878</v>
      </c>
      <c r="I3734" s="450" t="s">
        <v>6559</v>
      </c>
      <c r="J3734" s="450" t="s">
        <v>31046</v>
      </c>
      <c r="K3734" s="450"/>
    </row>
    <row r="3735" spans="1:11">
      <c r="A3735" s="451" t="s">
        <v>34685</v>
      </c>
      <c r="B3735" s="451"/>
      <c r="C3735" s="451" t="s">
        <v>3870</v>
      </c>
      <c r="D3735" s="451"/>
      <c r="E3735" s="451"/>
      <c r="F3735" s="451"/>
      <c r="G3735" s="451" t="s">
        <v>22877</v>
      </c>
      <c r="H3735" s="451" t="s">
        <v>22878</v>
      </c>
      <c r="I3735" s="451" t="s">
        <v>34686</v>
      </c>
      <c r="J3735" s="451" t="s">
        <v>23370</v>
      </c>
      <c r="K3735" s="451"/>
    </row>
    <row r="3736" spans="1:11">
      <c r="A3736" s="450" t="s">
        <v>6561</v>
      </c>
      <c r="B3736" s="450"/>
      <c r="C3736" s="450" t="s">
        <v>3870</v>
      </c>
      <c r="D3736" s="450"/>
      <c r="E3736" s="450"/>
      <c r="F3736" s="450"/>
      <c r="G3736" s="450" t="s">
        <v>22877</v>
      </c>
      <c r="H3736" s="450" t="s">
        <v>22878</v>
      </c>
      <c r="I3736" s="450" t="s">
        <v>34686</v>
      </c>
      <c r="J3736" s="450" t="s">
        <v>22943</v>
      </c>
      <c r="K3736" s="450"/>
    </row>
    <row r="3737" spans="1:11">
      <c r="A3737" s="451" t="s">
        <v>6562</v>
      </c>
      <c r="B3737" s="451"/>
      <c r="C3737" s="451" t="s">
        <v>6563</v>
      </c>
      <c r="D3737" s="451"/>
      <c r="E3737" s="451"/>
      <c r="F3737" s="451"/>
      <c r="G3737" s="451" t="s">
        <v>22877</v>
      </c>
      <c r="H3737" s="451" t="s">
        <v>22878</v>
      </c>
      <c r="I3737" s="451" t="s">
        <v>24806</v>
      </c>
      <c r="J3737" s="451" t="s">
        <v>22997</v>
      </c>
      <c r="K3737" s="451"/>
    </row>
    <row r="3738" spans="1:11">
      <c r="A3738" s="450" t="s">
        <v>24805</v>
      </c>
      <c r="B3738" s="450"/>
      <c r="C3738" s="450" t="s">
        <v>6563</v>
      </c>
      <c r="D3738" s="450"/>
      <c r="E3738" s="450"/>
      <c r="F3738" s="450"/>
      <c r="G3738" s="450" t="s">
        <v>22877</v>
      </c>
      <c r="H3738" s="450" t="s">
        <v>22878</v>
      </c>
      <c r="I3738" s="450" t="s">
        <v>24806</v>
      </c>
      <c r="J3738" s="450" t="s">
        <v>22943</v>
      </c>
      <c r="K3738" s="450"/>
    </row>
    <row r="3739" spans="1:11">
      <c r="A3739" s="451" t="s">
        <v>21628</v>
      </c>
      <c r="B3739" s="451" t="s">
        <v>6564</v>
      </c>
      <c r="C3739" s="451" t="s">
        <v>2578</v>
      </c>
      <c r="D3739" s="451" t="s">
        <v>6565</v>
      </c>
      <c r="E3739" s="451"/>
      <c r="F3739" s="451"/>
      <c r="G3739" s="451" t="s">
        <v>22877</v>
      </c>
      <c r="H3739" s="451" t="s">
        <v>22878</v>
      </c>
      <c r="I3739" s="451" t="s">
        <v>24807</v>
      </c>
      <c r="J3739" s="451" t="s">
        <v>24808</v>
      </c>
      <c r="K3739" s="451"/>
    </row>
    <row r="3740" spans="1:11">
      <c r="A3740" s="450" t="s">
        <v>21629</v>
      </c>
      <c r="B3740" s="450"/>
      <c r="C3740" s="450" t="s">
        <v>6566</v>
      </c>
      <c r="D3740" s="450"/>
      <c r="E3740" s="450"/>
      <c r="F3740" s="450"/>
      <c r="G3740" s="450" t="s">
        <v>22877</v>
      </c>
      <c r="H3740" s="450" t="s">
        <v>22878</v>
      </c>
      <c r="I3740" s="450" t="s">
        <v>6565</v>
      </c>
      <c r="J3740" s="450" t="s">
        <v>22943</v>
      </c>
      <c r="K3740" s="450"/>
    </row>
    <row r="3741" spans="1:11">
      <c r="A3741" s="451" t="s">
        <v>6567</v>
      </c>
      <c r="B3741" s="451"/>
      <c r="C3741" s="451" t="s">
        <v>6568</v>
      </c>
      <c r="D3741" s="451"/>
      <c r="E3741" s="451"/>
      <c r="F3741" s="451"/>
      <c r="G3741" s="451" t="s">
        <v>22877</v>
      </c>
      <c r="H3741" s="451" t="s">
        <v>22878</v>
      </c>
      <c r="I3741" s="451" t="s">
        <v>24809</v>
      </c>
      <c r="J3741" s="451" t="s">
        <v>22939</v>
      </c>
      <c r="K3741" s="451"/>
    </row>
    <row r="3742" spans="1:11">
      <c r="A3742" s="450" t="s">
        <v>6569</v>
      </c>
      <c r="B3742" s="450" t="s">
        <v>6570</v>
      </c>
      <c r="C3742" s="450" t="s">
        <v>6571</v>
      </c>
      <c r="D3742" s="450" t="s">
        <v>6572</v>
      </c>
      <c r="E3742" s="450"/>
      <c r="F3742" s="450"/>
      <c r="G3742" s="450" t="s">
        <v>22877</v>
      </c>
      <c r="H3742" s="450" t="s">
        <v>22878</v>
      </c>
      <c r="I3742" s="450"/>
      <c r="J3742" s="450" t="s">
        <v>24810</v>
      </c>
      <c r="K3742" s="450"/>
    </row>
    <row r="3743" spans="1:11">
      <c r="A3743" s="451" t="s">
        <v>6569</v>
      </c>
      <c r="B3743" s="451" t="s">
        <v>6570</v>
      </c>
      <c r="C3743" s="451" t="s">
        <v>6571</v>
      </c>
      <c r="D3743" s="451" t="s">
        <v>6572</v>
      </c>
      <c r="E3743" s="451" t="s">
        <v>6573</v>
      </c>
      <c r="F3743" s="451"/>
      <c r="G3743" s="451" t="s">
        <v>22882</v>
      </c>
      <c r="H3743" s="451" t="s">
        <v>22883</v>
      </c>
      <c r="I3743" s="451"/>
      <c r="J3743" s="451" t="s">
        <v>24810</v>
      </c>
      <c r="K3743" s="451"/>
    </row>
    <row r="3744" spans="1:11">
      <c r="A3744" s="450" t="s">
        <v>24811</v>
      </c>
      <c r="B3744" s="450" t="s">
        <v>24812</v>
      </c>
      <c r="C3744" s="450" t="s">
        <v>24813</v>
      </c>
      <c r="D3744" s="450" t="s">
        <v>6574</v>
      </c>
      <c r="E3744" s="450"/>
      <c r="F3744" s="450"/>
      <c r="G3744" s="450" t="s">
        <v>22877</v>
      </c>
      <c r="H3744" s="450" t="s">
        <v>22878</v>
      </c>
      <c r="I3744" s="450" t="s">
        <v>24814</v>
      </c>
      <c r="J3744" s="450" t="s">
        <v>24815</v>
      </c>
      <c r="K3744" s="450"/>
    </row>
    <row r="3745" spans="1:11">
      <c r="A3745" s="451" t="s">
        <v>6576</v>
      </c>
      <c r="B3745" s="451" t="s">
        <v>6577</v>
      </c>
      <c r="C3745" s="451" t="s">
        <v>6578</v>
      </c>
      <c r="D3745" s="451" t="s">
        <v>6574</v>
      </c>
      <c r="E3745" s="451" t="s">
        <v>6575</v>
      </c>
      <c r="F3745" s="451" t="s">
        <v>6579</v>
      </c>
      <c r="G3745" s="451" t="s">
        <v>22877</v>
      </c>
      <c r="H3745" s="451" t="s">
        <v>22878</v>
      </c>
      <c r="I3745" s="451" t="s">
        <v>6574</v>
      </c>
      <c r="J3745" s="451" t="s">
        <v>31047</v>
      </c>
      <c r="K3745" s="451"/>
    </row>
    <row r="3746" spans="1:11">
      <c r="A3746" s="450" t="s">
        <v>6580</v>
      </c>
      <c r="B3746" s="450"/>
      <c r="C3746" s="450" t="s">
        <v>6153</v>
      </c>
      <c r="D3746" s="450"/>
      <c r="E3746" s="450"/>
      <c r="F3746" s="450"/>
      <c r="G3746" s="450" t="s">
        <v>22877</v>
      </c>
      <c r="H3746" s="450" t="s">
        <v>22878</v>
      </c>
      <c r="I3746" s="450" t="s">
        <v>24816</v>
      </c>
      <c r="J3746" s="450" t="s">
        <v>22939</v>
      </c>
      <c r="K3746" s="450"/>
    </row>
    <row r="3747" spans="1:11">
      <c r="A3747" s="451" t="s">
        <v>24817</v>
      </c>
      <c r="B3747" s="451" t="s">
        <v>24818</v>
      </c>
      <c r="C3747" s="451" t="s">
        <v>24819</v>
      </c>
      <c r="D3747" s="451"/>
      <c r="E3747" s="451"/>
      <c r="F3747" s="451"/>
      <c r="G3747" s="451" t="s">
        <v>22877</v>
      </c>
      <c r="H3747" s="451" t="s">
        <v>22878</v>
      </c>
      <c r="I3747" s="451" t="s">
        <v>24816</v>
      </c>
      <c r="J3747" s="451" t="s">
        <v>24820</v>
      </c>
      <c r="K3747" s="451"/>
    </row>
    <row r="3748" spans="1:11">
      <c r="A3748" s="450" t="s">
        <v>34687</v>
      </c>
      <c r="B3748" s="450"/>
      <c r="C3748" s="450" t="s">
        <v>6582</v>
      </c>
      <c r="D3748" s="450"/>
      <c r="E3748" s="450"/>
      <c r="F3748" s="450"/>
      <c r="G3748" s="450" t="s">
        <v>22882</v>
      </c>
      <c r="H3748" s="450" t="s">
        <v>22883</v>
      </c>
      <c r="I3748" s="450" t="s">
        <v>34688</v>
      </c>
      <c r="J3748" s="450" t="s">
        <v>23370</v>
      </c>
      <c r="K3748" s="450"/>
    </row>
    <row r="3749" spans="1:11">
      <c r="A3749" s="451" t="s">
        <v>6581</v>
      </c>
      <c r="B3749" s="451"/>
      <c r="C3749" s="451" t="s">
        <v>6582</v>
      </c>
      <c r="D3749" s="451"/>
      <c r="E3749" s="451"/>
      <c r="F3749" s="451"/>
      <c r="G3749" s="451" t="s">
        <v>22882</v>
      </c>
      <c r="H3749" s="451" t="s">
        <v>22883</v>
      </c>
      <c r="I3749" s="451" t="s">
        <v>34688</v>
      </c>
      <c r="J3749" s="451" t="s">
        <v>22943</v>
      </c>
      <c r="K3749" s="451"/>
    </row>
    <row r="3750" spans="1:11">
      <c r="A3750" s="450" t="s">
        <v>34689</v>
      </c>
      <c r="B3750" s="450"/>
      <c r="C3750" s="450" t="s">
        <v>1195</v>
      </c>
      <c r="D3750" s="450"/>
      <c r="E3750" s="450"/>
      <c r="F3750" s="450"/>
      <c r="G3750" s="450" t="s">
        <v>22877</v>
      </c>
      <c r="H3750" s="450" t="s">
        <v>22878</v>
      </c>
      <c r="I3750" s="450" t="s">
        <v>1010</v>
      </c>
      <c r="J3750" s="450" t="s">
        <v>22943</v>
      </c>
      <c r="K3750" s="450"/>
    </row>
    <row r="3751" spans="1:11">
      <c r="A3751" s="451" t="s">
        <v>6583</v>
      </c>
      <c r="B3751" s="451"/>
      <c r="C3751" s="451" t="s">
        <v>1195</v>
      </c>
      <c r="D3751" s="451"/>
      <c r="E3751" s="451"/>
      <c r="F3751" s="451"/>
      <c r="G3751" s="451" t="s">
        <v>22877</v>
      </c>
      <c r="H3751" s="451" t="s">
        <v>22878</v>
      </c>
      <c r="I3751" s="451" t="s">
        <v>34690</v>
      </c>
      <c r="J3751" s="451" t="s">
        <v>22943</v>
      </c>
      <c r="K3751" s="451"/>
    </row>
    <row r="3752" spans="1:11">
      <c r="A3752" s="450" t="s">
        <v>6584</v>
      </c>
      <c r="B3752" s="450"/>
      <c r="C3752" s="450" t="s">
        <v>2851</v>
      </c>
      <c r="D3752" s="450"/>
      <c r="E3752" s="450"/>
      <c r="F3752" s="450"/>
      <c r="G3752" s="450" t="s">
        <v>22882</v>
      </c>
      <c r="H3752" s="450" t="s">
        <v>22883</v>
      </c>
      <c r="I3752" s="450" t="s">
        <v>34691</v>
      </c>
      <c r="J3752" s="450" t="s">
        <v>22943</v>
      </c>
      <c r="K3752" s="450"/>
    </row>
    <row r="3753" spans="1:11">
      <c r="A3753" s="451" t="s">
        <v>6585</v>
      </c>
      <c r="B3753" s="451"/>
      <c r="C3753" s="451" t="s">
        <v>2102</v>
      </c>
      <c r="D3753" s="451"/>
      <c r="E3753" s="451"/>
      <c r="F3753" s="451"/>
      <c r="G3753" s="451" t="s">
        <v>22877</v>
      </c>
      <c r="H3753" s="451" t="s">
        <v>22878</v>
      </c>
      <c r="I3753" s="451" t="s">
        <v>34692</v>
      </c>
      <c r="J3753" s="451" t="s">
        <v>22943</v>
      </c>
      <c r="K3753" s="451"/>
    </row>
    <row r="3754" spans="1:11">
      <c r="A3754" s="450" t="s">
        <v>6586</v>
      </c>
      <c r="B3754" s="450"/>
      <c r="C3754" s="450" t="s">
        <v>6587</v>
      </c>
      <c r="D3754" s="450"/>
      <c r="E3754" s="450"/>
      <c r="F3754" s="450"/>
      <c r="G3754" s="450" t="s">
        <v>22882</v>
      </c>
      <c r="H3754" s="450" t="s">
        <v>22883</v>
      </c>
      <c r="I3754" s="450"/>
      <c r="J3754" s="450" t="s">
        <v>22939</v>
      </c>
      <c r="K3754" s="450"/>
    </row>
    <row r="3755" spans="1:11">
      <c r="A3755" s="451" t="s">
        <v>6588</v>
      </c>
      <c r="B3755" s="451"/>
      <c r="C3755" s="451" t="s">
        <v>4365</v>
      </c>
      <c r="D3755" s="451"/>
      <c r="E3755" s="451"/>
      <c r="F3755" s="451"/>
      <c r="G3755" s="451" t="s">
        <v>22882</v>
      </c>
      <c r="H3755" s="451" t="s">
        <v>22883</v>
      </c>
      <c r="I3755" s="451"/>
      <c r="J3755" s="451" t="s">
        <v>22997</v>
      </c>
      <c r="K3755" s="451"/>
    </row>
    <row r="3756" spans="1:11">
      <c r="A3756" s="450" t="s">
        <v>24821</v>
      </c>
      <c r="B3756" s="450" t="s">
        <v>24822</v>
      </c>
      <c r="C3756" s="450" t="s">
        <v>1378</v>
      </c>
      <c r="D3756" s="450" t="s">
        <v>6591</v>
      </c>
      <c r="E3756" s="450"/>
      <c r="F3756" s="450"/>
      <c r="G3756" s="450" t="s">
        <v>22877</v>
      </c>
      <c r="H3756" s="450" t="s">
        <v>22878</v>
      </c>
      <c r="I3756" s="450" t="s">
        <v>24823</v>
      </c>
      <c r="J3756" s="450" t="s">
        <v>24824</v>
      </c>
      <c r="K3756" s="450"/>
    </row>
    <row r="3757" spans="1:11">
      <c r="A3757" s="451" t="s">
        <v>6589</v>
      </c>
      <c r="B3757" s="451" t="s">
        <v>6590</v>
      </c>
      <c r="C3757" s="451" t="s">
        <v>1378</v>
      </c>
      <c r="D3757" s="451" t="s">
        <v>6591</v>
      </c>
      <c r="E3757" s="451" t="s">
        <v>6592</v>
      </c>
      <c r="F3757" s="451"/>
      <c r="G3757" s="451" t="s">
        <v>22877</v>
      </c>
      <c r="H3757" s="451" t="s">
        <v>22878</v>
      </c>
      <c r="I3757" s="451" t="s">
        <v>31048</v>
      </c>
      <c r="J3757" s="451" t="s">
        <v>31049</v>
      </c>
      <c r="K3757" s="451"/>
    </row>
    <row r="3758" spans="1:11">
      <c r="A3758" s="450" t="s">
        <v>6593</v>
      </c>
      <c r="B3758" s="450"/>
      <c r="C3758" s="450" t="s">
        <v>1334</v>
      </c>
      <c r="D3758" s="450"/>
      <c r="E3758" s="450"/>
      <c r="F3758" s="450"/>
      <c r="G3758" s="450" t="s">
        <v>34693</v>
      </c>
      <c r="H3758" s="450" t="s">
        <v>22878</v>
      </c>
      <c r="I3758" s="450"/>
      <c r="J3758" s="450"/>
      <c r="K3758" s="450"/>
    </row>
    <row r="3759" spans="1:11">
      <c r="A3759" s="451" t="s">
        <v>21630</v>
      </c>
      <c r="B3759" s="451"/>
      <c r="C3759" s="451" t="s">
        <v>6594</v>
      </c>
      <c r="D3759" s="451"/>
      <c r="E3759" s="451"/>
      <c r="F3759" s="451"/>
      <c r="G3759" s="451" t="s">
        <v>22877</v>
      </c>
      <c r="H3759" s="451" t="s">
        <v>22878</v>
      </c>
      <c r="I3759" s="451" t="s">
        <v>24825</v>
      </c>
      <c r="J3759" s="451" t="s">
        <v>22939</v>
      </c>
      <c r="K3759" s="451"/>
    </row>
    <row r="3760" spans="1:11">
      <c r="A3760" s="450" t="s">
        <v>24826</v>
      </c>
      <c r="B3760" s="450" t="s">
        <v>6595</v>
      </c>
      <c r="C3760" s="450" t="s">
        <v>6596</v>
      </c>
      <c r="D3760" s="450"/>
      <c r="E3760" s="450"/>
      <c r="F3760" s="450"/>
      <c r="G3760" s="450" t="s">
        <v>22882</v>
      </c>
      <c r="H3760" s="450" t="s">
        <v>22883</v>
      </c>
      <c r="I3760" s="450" t="s">
        <v>24827</v>
      </c>
      <c r="J3760" s="450" t="s">
        <v>24828</v>
      </c>
      <c r="K3760" s="450"/>
    </row>
    <row r="3761" spans="1:11">
      <c r="A3761" s="451" t="s">
        <v>34694</v>
      </c>
      <c r="B3761" s="451" t="s">
        <v>34695</v>
      </c>
      <c r="C3761" s="451" t="s">
        <v>34696</v>
      </c>
      <c r="D3761" s="451"/>
      <c r="E3761" s="451"/>
      <c r="F3761" s="451"/>
      <c r="G3761" s="451"/>
      <c r="H3761" s="451"/>
      <c r="I3761" s="451"/>
      <c r="J3761" s="451"/>
      <c r="K3761" s="451"/>
    </row>
    <row r="3762" spans="1:11">
      <c r="A3762" s="450" t="s">
        <v>6597</v>
      </c>
      <c r="B3762" s="450"/>
      <c r="C3762" s="450" t="s">
        <v>1366</v>
      </c>
      <c r="D3762" s="450"/>
      <c r="E3762" s="450"/>
      <c r="F3762" s="450"/>
      <c r="G3762" s="450" t="s">
        <v>22882</v>
      </c>
      <c r="H3762" s="450" t="s">
        <v>22883</v>
      </c>
      <c r="I3762" s="450"/>
      <c r="J3762" s="450" t="s">
        <v>22943</v>
      </c>
      <c r="K3762" s="450"/>
    </row>
    <row r="3763" spans="1:11">
      <c r="A3763" s="451" t="s">
        <v>6598</v>
      </c>
      <c r="B3763" s="451"/>
      <c r="C3763" s="451" t="s">
        <v>6599</v>
      </c>
      <c r="D3763" s="451"/>
      <c r="E3763" s="451"/>
      <c r="F3763" s="451"/>
      <c r="G3763" s="451" t="s">
        <v>22882</v>
      </c>
      <c r="H3763" s="451" t="s">
        <v>22883</v>
      </c>
      <c r="I3763" s="451"/>
      <c r="J3763" s="451" t="s">
        <v>24829</v>
      </c>
      <c r="K3763" s="451"/>
    </row>
    <row r="3764" spans="1:11">
      <c r="A3764" s="450" t="s">
        <v>21631</v>
      </c>
      <c r="B3764" s="450" t="s">
        <v>6595</v>
      </c>
      <c r="C3764" s="450" t="s">
        <v>6596</v>
      </c>
      <c r="D3764" s="450"/>
      <c r="E3764" s="450"/>
      <c r="F3764" s="450"/>
      <c r="G3764" s="450" t="s">
        <v>22882</v>
      </c>
      <c r="H3764" s="450" t="s">
        <v>22883</v>
      </c>
      <c r="I3764" s="450" t="s">
        <v>24827</v>
      </c>
      <c r="J3764" s="450" t="s">
        <v>31050</v>
      </c>
      <c r="K3764" s="450"/>
    </row>
    <row r="3765" spans="1:11">
      <c r="A3765" s="451" t="s">
        <v>6600</v>
      </c>
      <c r="B3765" s="451"/>
      <c r="C3765" s="451" t="s">
        <v>6601</v>
      </c>
      <c r="D3765" s="451"/>
      <c r="E3765" s="451"/>
      <c r="F3765" s="451"/>
      <c r="G3765" s="451" t="s">
        <v>22882</v>
      </c>
      <c r="H3765" s="451" t="s">
        <v>22883</v>
      </c>
      <c r="I3765" s="451" t="s">
        <v>34697</v>
      </c>
      <c r="J3765" s="451" t="s">
        <v>22943</v>
      </c>
      <c r="K3765" s="451"/>
    </row>
    <row r="3766" spans="1:11">
      <c r="A3766" s="450" t="s">
        <v>34698</v>
      </c>
      <c r="B3766" s="450"/>
      <c r="C3766" s="450" t="s">
        <v>6603</v>
      </c>
      <c r="D3766" s="450"/>
      <c r="E3766" s="450"/>
      <c r="F3766" s="450"/>
      <c r="G3766" s="450" t="s">
        <v>22877</v>
      </c>
      <c r="H3766" s="450" t="s">
        <v>22878</v>
      </c>
      <c r="I3766" s="450" t="s">
        <v>34699</v>
      </c>
      <c r="J3766" s="450" t="s">
        <v>22997</v>
      </c>
      <c r="K3766" s="450"/>
    </row>
    <row r="3767" spans="1:11">
      <c r="A3767" s="451" t="s">
        <v>6602</v>
      </c>
      <c r="B3767" s="451"/>
      <c r="C3767" s="451" t="s">
        <v>6603</v>
      </c>
      <c r="D3767" s="451"/>
      <c r="E3767" s="451"/>
      <c r="F3767" s="451"/>
      <c r="G3767" s="451" t="s">
        <v>22877</v>
      </c>
      <c r="H3767" s="451" t="s">
        <v>22878</v>
      </c>
      <c r="I3767" s="451" t="s">
        <v>34699</v>
      </c>
      <c r="J3767" s="451" t="s">
        <v>34700</v>
      </c>
      <c r="K3767" s="451"/>
    </row>
    <row r="3768" spans="1:11">
      <c r="A3768" s="450" t="s">
        <v>24830</v>
      </c>
      <c r="B3768" s="450"/>
      <c r="C3768" s="450" t="s">
        <v>24831</v>
      </c>
      <c r="D3768" s="450" t="s">
        <v>24832</v>
      </c>
      <c r="E3768" s="450"/>
      <c r="F3768" s="450"/>
      <c r="G3768" s="450" t="s">
        <v>22877</v>
      </c>
      <c r="H3768" s="450" t="s">
        <v>22878</v>
      </c>
      <c r="I3768" s="450" t="s">
        <v>24832</v>
      </c>
      <c r="J3768" s="450" t="s">
        <v>24833</v>
      </c>
      <c r="K3768" s="450"/>
    </row>
    <row r="3769" spans="1:11">
      <c r="A3769" s="451" t="s">
        <v>34701</v>
      </c>
      <c r="B3769" s="451" t="s">
        <v>6605</v>
      </c>
      <c r="C3769" s="451" t="s">
        <v>6606</v>
      </c>
      <c r="D3769" s="451" t="s">
        <v>6607</v>
      </c>
      <c r="E3769" s="451"/>
      <c r="F3769" s="451"/>
      <c r="G3769" s="451" t="s">
        <v>22877</v>
      </c>
      <c r="H3769" s="451" t="s">
        <v>22878</v>
      </c>
      <c r="I3769" s="451" t="s">
        <v>6607</v>
      </c>
      <c r="J3769" s="451" t="s">
        <v>34702</v>
      </c>
      <c r="K3769" s="451"/>
    </row>
    <row r="3770" spans="1:11">
      <c r="A3770" s="450" t="s">
        <v>6604</v>
      </c>
      <c r="B3770" s="450" t="s">
        <v>6605</v>
      </c>
      <c r="C3770" s="450" t="s">
        <v>6606</v>
      </c>
      <c r="D3770" s="450" t="s">
        <v>6607</v>
      </c>
      <c r="E3770" s="450" t="s">
        <v>6608</v>
      </c>
      <c r="F3770" s="450"/>
      <c r="G3770" s="450" t="s">
        <v>22877</v>
      </c>
      <c r="H3770" s="450" t="s">
        <v>22878</v>
      </c>
      <c r="I3770" s="450" t="s">
        <v>6607</v>
      </c>
      <c r="J3770" s="450" t="s">
        <v>31051</v>
      </c>
      <c r="K3770" s="450"/>
    </row>
    <row r="3771" spans="1:11">
      <c r="A3771" s="451" t="s">
        <v>24834</v>
      </c>
      <c r="B3771" s="451" t="s">
        <v>24835</v>
      </c>
      <c r="C3771" s="451" t="s">
        <v>11980</v>
      </c>
      <c r="D3771" s="451" t="s">
        <v>24836</v>
      </c>
      <c r="E3771" s="451"/>
      <c r="F3771" s="451"/>
      <c r="G3771" s="451" t="s">
        <v>22877</v>
      </c>
      <c r="H3771" s="451" t="s">
        <v>22878</v>
      </c>
      <c r="I3771" s="451" t="s">
        <v>24836</v>
      </c>
      <c r="J3771" s="451" t="s">
        <v>24837</v>
      </c>
      <c r="K3771" s="451"/>
    </row>
    <row r="3772" spans="1:11">
      <c r="A3772" s="450" t="s">
        <v>20479</v>
      </c>
      <c r="B3772" s="450"/>
      <c r="C3772" s="450" t="s">
        <v>20481</v>
      </c>
      <c r="D3772" s="450" t="s">
        <v>20482</v>
      </c>
      <c r="E3772" s="450"/>
      <c r="F3772" s="450" t="s">
        <v>20480</v>
      </c>
      <c r="G3772" s="450" t="s">
        <v>22877</v>
      </c>
      <c r="H3772" s="450" t="s">
        <v>22878</v>
      </c>
      <c r="I3772" s="450" t="s">
        <v>20482</v>
      </c>
      <c r="J3772" s="450" t="s">
        <v>34703</v>
      </c>
      <c r="K3772" s="450"/>
    </row>
    <row r="3773" spans="1:11">
      <c r="A3773" s="451" t="s">
        <v>6609</v>
      </c>
      <c r="B3773" s="451"/>
      <c r="C3773" s="451" t="s">
        <v>6610</v>
      </c>
      <c r="D3773" s="451"/>
      <c r="E3773" s="451"/>
      <c r="F3773" s="451"/>
      <c r="G3773" s="451" t="s">
        <v>22877</v>
      </c>
      <c r="H3773" s="451" t="s">
        <v>22878</v>
      </c>
      <c r="I3773" s="451" t="s">
        <v>34704</v>
      </c>
      <c r="J3773" s="451" t="s">
        <v>23133</v>
      </c>
      <c r="K3773" s="451"/>
    </row>
    <row r="3774" spans="1:11">
      <c r="A3774" s="450" t="s">
        <v>6611</v>
      </c>
      <c r="B3774" s="450"/>
      <c r="C3774" s="450" t="s">
        <v>6612</v>
      </c>
      <c r="D3774" s="450"/>
      <c r="E3774" s="450"/>
      <c r="F3774" s="450"/>
      <c r="G3774" s="450" t="s">
        <v>22882</v>
      </c>
      <c r="H3774" s="450" t="s">
        <v>22883</v>
      </c>
      <c r="I3774" s="450" t="s">
        <v>34705</v>
      </c>
      <c r="J3774" s="450" t="s">
        <v>22997</v>
      </c>
      <c r="K3774" s="450"/>
    </row>
    <row r="3775" spans="1:11">
      <c r="A3775" s="451" t="s">
        <v>6613</v>
      </c>
      <c r="B3775" s="451"/>
      <c r="C3775" s="451" t="s">
        <v>6614</v>
      </c>
      <c r="D3775" s="451"/>
      <c r="E3775" s="451"/>
      <c r="F3775" s="451"/>
      <c r="G3775" s="451" t="s">
        <v>22877</v>
      </c>
      <c r="H3775" s="451" t="s">
        <v>22878</v>
      </c>
      <c r="I3775" s="451" t="s">
        <v>34706</v>
      </c>
      <c r="J3775" s="451" t="s">
        <v>22997</v>
      </c>
      <c r="K3775" s="451"/>
    </row>
    <row r="3776" spans="1:11">
      <c r="A3776" s="450" t="s">
        <v>6615</v>
      </c>
      <c r="B3776" s="450"/>
      <c r="C3776" s="450" t="s">
        <v>6616</v>
      </c>
      <c r="D3776" s="450"/>
      <c r="E3776" s="450"/>
      <c r="F3776" s="450"/>
      <c r="G3776" s="450" t="s">
        <v>22877</v>
      </c>
      <c r="H3776" s="450" t="s">
        <v>22878</v>
      </c>
      <c r="I3776" s="450" t="s">
        <v>24838</v>
      </c>
      <c r="J3776" s="450" t="s">
        <v>22939</v>
      </c>
      <c r="K3776" s="450"/>
    </row>
    <row r="3777" spans="1:11">
      <c r="A3777" s="451" t="s">
        <v>24839</v>
      </c>
      <c r="B3777" s="451" t="s">
        <v>24840</v>
      </c>
      <c r="C3777" s="451" t="s">
        <v>6619</v>
      </c>
      <c r="D3777" s="451" t="s">
        <v>6620</v>
      </c>
      <c r="E3777" s="451"/>
      <c r="F3777" s="451"/>
      <c r="G3777" s="451" t="s">
        <v>22882</v>
      </c>
      <c r="H3777" s="451" t="s">
        <v>22883</v>
      </c>
      <c r="I3777" s="451" t="s">
        <v>6620</v>
      </c>
      <c r="J3777" s="451" t="s">
        <v>24841</v>
      </c>
      <c r="K3777" s="451"/>
    </row>
    <row r="3778" spans="1:11">
      <c r="A3778" s="450" t="s">
        <v>6617</v>
      </c>
      <c r="B3778" s="450" t="s">
        <v>6618</v>
      </c>
      <c r="C3778" s="450" t="s">
        <v>6619</v>
      </c>
      <c r="D3778" s="450" t="s">
        <v>6620</v>
      </c>
      <c r="E3778" s="450"/>
      <c r="F3778" s="450"/>
      <c r="G3778" s="450" t="s">
        <v>22882</v>
      </c>
      <c r="H3778" s="450" t="s">
        <v>22883</v>
      </c>
      <c r="I3778" s="450" t="s">
        <v>27330</v>
      </c>
      <c r="J3778" s="450" t="s">
        <v>31052</v>
      </c>
      <c r="K3778" s="450"/>
    </row>
    <row r="3779" spans="1:11">
      <c r="A3779" s="451" t="s">
        <v>6621</v>
      </c>
      <c r="B3779" s="451"/>
      <c r="C3779" s="451" t="s">
        <v>6622</v>
      </c>
      <c r="D3779" s="451"/>
      <c r="E3779" s="451"/>
      <c r="F3779" s="451"/>
      <c r="G3779" s="451" t="s">
        <v>22877</v>
      </c>
      <c r="H3779" s="451" t="s">
        <v>22878</v>
      </c>
      <c r="I3779" s="451" t="s">
        <v>24842</v>
      </c>
      <c r="J3779" s="451" t="s">
        <v>22997</v>
      </c>
      <c r="K3779" s="451"/>
    </row>
    <row r="3780" spans="1:11">
      <c r="A3780" s="450" t="s">
        <v>34707</v>
      </c>
      <c r="B3780" s="450" t="s">
        <v>6624</v>
      </c>
      <c r="C3780" s="450" t="s">
        <v>6625</v>
      </c>
      <c r="D3780" s="450" t="s">
        <v>6626</v>
      </c>
      <c r="E3780" s="450"/>
      <c r="F3780" s="450"/>
      <c r="G3780" s="450" t="s">
        <v>22877</v>
      </c>
      <c r="H3780" s="450" t="s">
        <v>22878</v>
      </c>
      <c r="I3780" s="450" t="s">
        <v>6626</v>
      </c>
      <c r="J3780" s="450" t="s">
        <v>24843</v>
      </c>
      <c r="K3780" s="450"/>
    </row>
    <row r="3781" spans="1:11">
      <c r="A3781" s="451" t="s">
        <v>6623</v>
      </c>
      <c r="B3781" s="451" t="s">
        <v>6624</v>
      </c>
      <c r="C3781" s="451" t="s">
        <v>6625</v>
      </c>
      <c r="D3781" s="451" t="s">
        <v>6626</v>
      </c>
      <c r="E3781" s="451"/>
      <c r="F3781" s="451"/>
      <c r="G3781" s="451" t="s">
        <v>22877</v>
      </c>
      <c r="H3781" s="451" t="s">
        <v>22878</v>
      </c>
      <c r="I3781" s="451" t="s">
        <v>6626</v>
      </c>
      <c r="J3781" s="451" t="s">
        <v>24843</v>
      </c>
      <c r="K3781" s="451"/>
    </row>
    <row r="3782" spans="1:11">
      <c r="A3782" s="450" t="s">
        <v>34708</v>
      </c>
      <c r="B3782" s="450" t="s">
        <v>6628</v>
      </c>
      <c r="C3782" s="450" t="s">
        <v>6629</v>
      </c>
      <c r="D3782" s="450" t="s">
        <v>6630</v>
      </c>
      <c r="E3782" s="450"/>
      <c r="F3782" s="450"/>
      <c r="G3782" s="450" t="s">
        <v>22877</v>
      </c>
      <c r="H3782" s="450" t="s">
        <v>22878</v>
      </c>
      <c r="I3782" s="450" t="s">
        <v>6630</v>
      </c>
      <c r="J3782" s="450" t="s">
        <v>24844</v>
      </c>
      <c r="K3782" s="450"/>
    </row>
    <row r="3783" spans="1:11">
      <c r="A3783" s="451" t="s">
        <v>6627</v>
      </c>
      <c r="B3783" s="451" t="s">
        <v>6628</v>
      </c>
      <c r="C3783" s="451" t="s">
        <v>6629</v>
      </c>
      <c r="D3783" s="451" t="s">
        <v>6630</v>
      </c>
      <c r="E3783" s="451"/>
      <c r="F3783" s="451"/>
      <c r="G3783" s="451" t="s">
        <v>22877</v>
      </c>
      <c r="H3783" s="451" t="s">
        <v>22878</v>
      </c>
      <c r="I3783" s="451" t="s">
        <v>6630</v>
      </c>
      <c r="J3783" s="451" t="s">
        <v>24844</v>
      </c>
      <c r="K3783" s="451"/>
    </row>
    <row r="3784" spans="1:11">
      <c r="A3784" s="450" t="s">
        <v>34709</v>
      </c>
      <c r="B3784" s="450" t="s">
        <v>6632</v>
      </c>
      <c r="C3784" s="450" t="s">
        <v>6633</v>
      </c>
      <c r="D3784" s="450" t="s">
        <v>6634</v>
      </c>
      <c r="E3784" s="450"/>
      <c r="F3784" s="450"/>
      <c r="G3784" s="450" t="s">
        <v>22877</v>
      </c>
      <c r="H3784" s="450" t="s">
        <v>22878</v>
      </c>
      <c r="I3784" s="450" t="s">
        <v>6634</v>
      </c>
      <c r="J3784" s="450" t="s">
        <v>34710</v>
      </c>
      <c r="K3784" s="450"/>
    </row>
    <row r="3785" spans="1:11">
      <c r="A3785" s="451" t="s">
        <v>6631</v>
      </c>
      <c r="B3785" s="451" t="s">
        <v>6632</v>
      </c>
      <c r="C3785" s="451" t="s">
        <v>6633</v>
      </c>
      <c r="D3785" s="451" t="s">
        <v>6634</v>
      </c>
      <c r="E3785" s="451" t="s">
        <v>6635</v>
      </c>
      <c r="F3785" s="451"/>
      <c r="G3785" s="451" t="s">
        <v>22877</v>
      </c>
      <c r="H3785" s="451" t="s">
        <v>22878</v>
      </c>
      <c r="I3785" s="451" t="s">
        <v>6634</v>
      </c>
      <c r="J3785" s="451" t="s">
        <v>31053</v>
      </c>
      <c r="K3785" s="451"/>
    </row>
    <row r="3786" spans="1:11">
      <c r="A3786" s="450" t="s">
        <v>6636</v>
      </c>
      <c r="B3786" s="450"/>
      <c r="C3786" s="450" t="s">
        <v>6637</v>
      </c>
      <c r="D3786" s="450"/>
      <c r="E3786" s="450"/>
      <c r="F3786" s="450"/>
      <c r="G3786" s="450" t="s">
        <v>22882</v>
      </c>
      <c r="H3786" s="450" t="s">
        <v>22883</v>
      </c>
      <c r="I3786" s="450" t="s">
        <v>24845</v>
      </c>
      <c r="J3786" s="450" t="s">
        <v>22943</v>
      </c>
      <c r="K3786" s="450"/>
    </row>
    <row r="3787" spans="1:11">
      <c r="A3787" s="451" t="s">
        <v>34711</v>
      </c>
      <c r="B3787" s="451" t="s">
        <v>6639</v>
      </c>
      <c r="C3787" s="451" t="s">
        <v>1226</v>
      </c>
      <c r="D3787" s="451" t="s">
        <v>6640</v>
      </c>
      <c r="E3787" s="451"/>
      <c r="F3787" s="451"/>
      <c r="G3787" s="451" t="s">
        <v>22877</v>
      </c>
      <c r="H3787" s="451" t="s">
        <v>22878</v>
      </c>
      <c r="I3787" s="451" t="s">
        <v>6640</v>
      </c>
      <c r="J3787" s="451" t="s">
        <v>24846</v>
      </c>
      <c r="K3787" s="451"/>
    </row>
    <row r="3788" spans="1:11">
      <c r="A3788" s="450" t="s">
        <v>6638</v>
      </c>
      <c r="B3788" s="450" t="s">
        <v>6639</v>
      </c>
      <c r="C3788" s="450" t="s">
        <v>1226</v>
      </c>
      <c r="D3788" s="450" t="s">
        <v>6640</v>
      </c>
      <c r="E3788" s="450"/>
      <c r="F3788" s="450"/>
      <c r="G3788" s="450" t="s">
        <v>22877</v>
      </c>
      <c r="H3788" s="450" t="s">
        <v>22878</v>
      </c>
      <c r="I3788" s="450" t="s">
        <v>6640</v>
      </c>
      <c r="J3788" s="450" t="s">
        <v>24846</v>
      </c>
      <c r="K3788" s="450"/>
    </row>
    <row r="3789" spans="1:11">
      <c r="A3789" s="451" t="s">
        <v>6641</v>
      </c>
      <c r="B3789" s="451"/>
      <c r="C3789" s="451" t="s">
        <v>6642</v>
      </c>
      <c r="D3789" s="451"/>
      <c r="E3789" s="451"/>
      <c r="F3789" s="451"/>
      <c r="G3789" s="451" t="s">
        <v>22877</v>
      </c>
      <c r="H3789" s="451" t="s">
        <v>22878</v>
      </c>
      <c r="I3789" s="451" t="s">
        <v>24848</v>
      </c>
      <c r="J3789" s="451" t="s">
        <v>22939</v>
      </c>
      <c r="K3789" s="451"/>
    </row>
    <row r="3790" spans="1:11">
      <c r="A3790" s="450" t="s">
        <v>24847</v>
      </c>
      <c r="B3790" s="450"/>
      <c r="C3790" s="450" t="s">
        <v>6642</v>
      </c>
      <c r="D3790" s="450"/>
      <c r="E3790" s="450"/>
      <c r="F3790" s="450"/>
      <c r="G3790" s="450" t="s">
        <v>22877</v>
      </c>
      <c r="H3790" s="450" t="s">
        <v>22878</v>
      </c>
      <c r="I3790" s="450" t="s">
        <v>24848</v>
      </c>
      <c r="J3790" s="450" t="s">
        <v>22943</v>
      </c>
      <c r="K3790" s="450"/>
    </row>
    <row r="3791" spans="1:11">
      <c r="A3791" s="451" t="s">
        <v>34712</v>
      </c>
      <c r="B3791" s="451" t="s">
        <v>6644</v>
      </c>
      <c r="C3791" s="451" t="s">
        <v>6645</v>
      </c>
      <c r="D3791" s="451"/>
      <c r="E3791" s="451"/>
      <c r="F3791" s="451"/>
      <c r="G3791" s="451" t="s">
        <v>22877</v>
      </c>
      <c r="H3791" s="451" t="s">
        <v>22878</v>
      </c>
      <c r="I3791" s="451" t="s">
        <v>24849</v>
      </c>
      <c r="J3791" s="451" t="s">
        <v>34713</v>
      </c>
      <c r="K3791" s="451"/>
    </row>
    <row r="3792" spans="1:11">
      <c r="A3792" s="450" t="s">
        <v>6643</v>
      </c>
      <c r="B3792" s="450" t="s">
        <v>6644</v>
      </c>
      <c r="C3792" s="450" t="s">
        <v>6645</v>
      </c>
      <c r="D3792" s="450"/>
      <c r="E3792" s="450"/>
      <c r="F3792" s="450"/>
      <c r="G3792" s="450" t="s">
        <v>22877</v>
      </c>
      <c r="H3792" s="450" t="s">
        <v>22878</v>
      </c>
      <c r="I3792" s="450" t="s">
        <v>24849</v>
      </c>
      <c r="J3792" s="450" t="s">
        <v>31054</v>
      </c>
      <c r="K3792" s="450"/>
    </row>
    <row r="3793" spans="1:11">
      <c r="A3793" s="451" t="s">
        <v>20372</v>
      </c>
      <c r="B3793" s="451" t="s">
        <v>24850</v>
      </c>
      <c r="C3793" s="451" t="s">
        <v>6647</v>
      </c>
      <c r="D3793" s="451" t="s">
        <v>6648</v>
      </c>
      <c r="E3793" s="451"/>
      <c r="F3793" s="451"/>
      <c r="G3793" s="451" t="s">
        <v>22877</v>
      </c>
      <c r="H3793" s="451" t="s">
        <v>22878</v>
      </c>
      <c r="I3793" s="451" t="s">
        <v>24851</v>
      </c>
      <c r="J3793" s="451" t="s">
        <v>24852</v>
      </c>
      <c r="K3793" s="451"/>
    </row>
    <row r="3794" spans="1:11">
      <c r="A3794" s="450" t="s">
        <v>20372</v>
      </c>
      <c r="B3794" s="450" t="s">
        <v>6646</v>
      </c>
      <c r="C3794" s="450" t="s">
        <v>6647</v>
      </c>
      <c r="D3794" s="450" t="s">
        <v>6648</v>
      </c>
      <c r="E3794" s="450"/>
      <c r="F3794" s="450"/>
      <c r="G3794" s="450" t="s">
        <v>22877</v>
      </c>
      <c r="H3794" s="450" t="s">
        <v>22878</v>
      </c>
      <c r="I3794" s="450" t="s">
        <v>31055</v>
      </c>
      <c r="J3794" s="450" t="s">
        <v>31056</v>
      </c>
      <c r="K3794" s="450"/>
    </row>
    <row r="3795" spans="1:11">
      <c r="A3795" s="451" t="s">
        <v>20373</v>
      </c>
      <c r="B3795" s="451" t="s">
        <v>6649</v>
      </c>
      <c r="C3795" s="451" t="s">
        <v>6650</v>
      </c>
      <c r="D3795" s="451" t="s">
        <v>6651</v>
      </c>
      <c r="E3795" s="451"/>
      <c r="F3795" s="451"/>
      <c r="G3795" s="451" t="s">
        <v>22877</v>
      </c>
      <c r="H3795" s="451" t="s">
        <v>22878</v>
      </c>
      <c r="I3795" s="451" t="s">
        <v>24853</v>
      </c>
      <c r="J3795" s="451" t="s">
        <v>24854</v>
      </c>
      <c r="K3795" s="451"/>
    </row>
    <row r="3796" spans="1:11">
      <c r="A3796" s="450" t="s">
        <v>20373</v>
      </c>
      <c r="B3796" s="450" t="s">
        <v>6649</v>
      </c>
      <c r="C3796" s="450" t="s">
        <v>6650</v>
      </c>
      <c r="D3796" s="450" t="s">
        <v>6651</v>
      </c>
      <c r="E3796" s="450" t="s">
        <v>6652</v>
      </c>
      <c r="F3796" s="450"/>
      <c r="G3796" s="450" t="s">
        <v>22877</v>
      </c>
      <c r="H3796" s="450" t="s">
        <v>22878</v>
      </c>
      <c r="I3796" s="450" t="s">
        <v>24853</v>
      </c>
      <c r="J3796" s="450" t="s">
        <v>24854</v>
      </c>
      <c r="K3796" s="450"/>
    </row>
    <row r="3797" spans="1:11">
      <c r="A3797" s="451" t="s">
        <v>20374</v>
      </c>
      <c r="B3797" s="451" t="s">
        <v>20376</v>
      </c>
      <c r="C3797" s="451" t="s">
        <v>20375</v>
      </c>
      <c r="D3797" s="451" t="s">
        <v>20377</v>
      </c>
      <c r="E3797" s="451"/>
      <c r="F3797" s="451" t="s">
        <v>20387</v>
      </c>
      <c r="G3797" s="451" t="s">
        <v>22877</v>
      </c>
      <c r="H3797" s="451" t="s">
        <v>22878</v>
      </c>
      <c r="I3797" s="451" t="s">
        <v>24855</v>
      </c>
      <c r="J3797" s="451" t="s">
        <v>24856</v>
      </c>
      <c r="K3797" s="451"/>
    </row>
    <row r="3798" spans="1:11">
      <c r="A3798" s="450" t="s">
        <v>20374</v>
      </c>
      <c r="B3798" s="450" t="s">
        <v>20376</v>
      </c>
      <c r="C3798" s="450" t="s">
        <v>20375</v>
      </c>
      <c r="D3798" s="450" t="s">
        <v>20377</v>
      </c>
      <c r="E3798" s="450"/>
      <c r="F3798" s="450" t="s">
        <v>20378</v>
      </c>
      <c r="G3798" s="450" t="s">
        <v>22877</v>
      </c>
      <c r="H3798" s="450" t="s">
        <v>22878</v>
      </c>
      <c r="I3798" s="450" t="s">
        <v>24855</v>
      </c>
      <c r="J3798" s="450" t="s">
        <v>24856</v>
      </c>
      <c r="K3798" s="450"/>
    </row>
    <row r="3799" spans="1:11">
      <c r="A3799" s="451" t="s">
        <v>20385</v>
      </c>
      <c r="B3799" s="451" t="s">
        <v>20384</v>
      </c>
      <c r="C3799" s="451" t="s">
        <v>20383</v>
      </c>
      <c r="D3799" s="451" t="s">
        <v>20386</v>
      </c>
      <c r="E3799" s="451"/>
      <c r="F3799" s="451"/>
      <c r="G3799" s="451" t="s">
        <v>22877</v>
      </c>
      <c r="H3799" s="451" t="s">
        <v>22878</v>
      </c>
      <c r="I3799" s="451" t="s">
        <v>24857</v>
      </c>
      <c r="J3799" s="451" t="s">
        <v>24858</v>
      </c>
      <c r="K3799" s="451"/>
    </row>
    <row r="3800" spans="1:11">
      <c r="A3800" s="450" t="s">
        <v>20385</v>
      </c>
      <c r="B3800" s="450" t="s">
        <v>20384</v>
      </c>
      <c r="C3800" s="450" t="s">
        <v>20383</v>
      </c>
      <c r="D3800" s="450" t="s">
        <v>20386</v>
      </c>
      <c r="E3800" s="450"/>
      <c r="F3800" s="450" t="s">
        <v>20387</v>
      </c>
      <c r="G3800" s="450" t="s">
        <v>22877</v>
      </c>
      <c r="H3800" s="450" t="s">
        <v>22878</v>
      </c>
      <c r="I3800" s="450" t="s">
        <v>24857</v>
      </c>
      <c r="J3800" s="450" t="s">
        <v>24858</v>
      </c>
      <c r="K3800" s="450"/>
    </row>
    <row r="3801" spans="1:11">
      <c r="A3801" s="451" t="s">
        <v>6653</v>
      </c>
      <c r="B3801" s="451" t="s">
        <v>6654</v>
      </c>
      <c r="C3801" s="451" t="s">
        <v>6655</v>
      </c>
      <c r="D3801" s="451" t="s">
        <v>6656</v>
      </c>
      <c r="E3801" s="451"/>
      <c r="F3801" s="451"/>
      <c r="G3801" s="451" t="s">
        <v>22877</v>
      </c>
      <c r="H3801" s="451" t="s">
        <v>22878</v>
      </c>
      <c r="I3801" s="451" t="s">
        <v>6656</v>
      </c>
      <c r="J3801" s="451" t="s">
        <v>24859</v>
      </c>
      <c r="K3801" s="451"/>
    </row>
    <row r="3802" spans="1:11">
      <c r="A3802" s="450" t="s">
        <v>6653</v>
      </c>
      <c r="B3802" s="450" t="s">
        <v>6654</v>
      </c>
      <c r="C3802" s="450" t="s">
        <v>6655</v>
      </c>
      <c r="D3802" s="450" t="s">
        <v>6656</v>
      </c>
      <c r="E3802" s="450" t="s">
        <v>6657</v>
      </c>
      <c r="F3802" s="450"/>
      <c r="G3802" s="450" t="s">
        <v>22877</v>
      </c>
      <c r="H3802" s="450" t="s">
        <v>22878</v>
      </c>
      <c r="I3802" s="450" t="s">
        <v>6656</v>
      </c>
      <c r="J3802" s="450" t="s">
        <v>24859</v>
      </c>
      <c r="K3802" s="450"/>
    </row>
    <row r="3803" spans="1:11">
      <c r="A3803" s="451" t="s">
        <v>6658</v>
      </c>
      <c r="B3803" s="451"/>
      <c r="C3803" s="451" t="s">
        <v>6659</v>
      </c>
      <c r="D3803" s="451"/>
      <c r="E3803" s="451"/>
      <c r="F3803" s="451"/>
      <c r="G3803" s="451" t="s">
        <v>22877</v>
      </c>
      <c r="H3803" s="451" t="s">
        <v>22878</v>
      </c>
      <c r="I3803" s="451" t="s">
        <v>34714</v>
      </c>
      <c r="J3803" s="451" t="s">
        <v>23133</v>
      </c>
      <c r="K3803" s="451"/>
    </row>
    <row r="3804" spans="1:11">
      <c r="A3804" s="450" t="s">
        <v>24860</v>
      </c>
      <c r="B3804" s="450"/>
      <c r="C3804" s="450" t="s">
        <v>6659</v>
      </c>
      <c r="D3804" s="450"/>
      <c r="E3804" s="450"/>
      <c r="F3804" s="450"/>
      <c r="G3804" s="450" t="s">
        <v>22877</v>
      </c>
      <c r="H3804" s="450" t="s">
        <v>22878</v>
      </c>
      <c r="I3804" s="450" t="s">
        <v>24861</v>
      </c>
      <c r="J3804" s="450" t="s">
        <v>22943</v>
      </c>
      <c r="K3804" s="450"/>
    </row>
    <row r="3805" spans="1:11">
      <c r="A3805" s="451" t="s">
        <v>6660</v>
      </c>
      <c r="B3805" s="451" t="s">
        <v>6661</v>
      </c>
      <c r="C3805" s="451" t="s">
        <v>6257</v>
      </c>
      <c r="D3805" s="451" t="s">
        <v>6662</v>
      </c>
      <c r="E3805" s="451"/>
      <c r="F3805" s="451"/>
      <c r="G3805" s="451" t="s">
        <v>22882</v>
      </c>
      <c r="H3805" s="451" t="s">
        <v>22883</v>
      </c>
      <c r="I3805" s="451" t="s">
        <v>6662</v>
      </c>
      <c r="J3805" s="451" t="s">
        <v>24862</v>
      </c>
      <c r="K3805" s="451"/>
    </row>
    <row r="3806" spans="1:11">
      <c r="A3806" s="450" t="s">
        <v>6660</v>
      </c>
      <c r="B3806" s="450" t="s">
        <v>6661</v>
      </c>
      <c r="C3806" s="450" t="s">
        <v>6257</v>
      </c>
      <c r="D3806" s="450" t="s">
        <v>6662</v>
      </c>
      <c r="E3806" s="450" t="s">
        <v>6663</v>
      </c>
      <c r="F3806" s="450"/>
      <c r="G3806" s="450" t="s">
        <v>22882</v>
      </c>
      <c r="H3806" s="450" t="s">
        <v>22883</v>
      </c>
      <c r="I3806" s="450" t="s">
        <v>6662</v>
      </c>
      <c r="J3806" s="450" t="s">
        <v>24862</v>
      </c>
      <c r="K3806" s="450"/>
    </row>
    <row r="3807" spans="1:11">
      <c r="A3807" s="451" t="s">
        <v>6664</v>
      </c>
      <c r="B3807" s="451" t="s">
        <v>34715</v>
      </c>
      <c r="C3807" s="451" t="s">
        <v>6666</v>
      </c>
      <c r="D3807" s="451" t="s">
        <v>6667</v>
      </c>
      <c r="E3807" s="451"/>
      <c r="F3807" s="451"/>
      <c r="G3807" s="451" t="s">
        <v>22877</v>
      </c>
      <c r="H3807" s="451" t="s">
        <v>22878</v>
      </c>
      <c r="I3807" s="451" t="s">
        <v>24863</v>
      </c>
      <c r="J3807" s="451" t="s">
        <v>34716</v>
      </c>
      <c r="K3807" s="451"/>
    </row>
    <row r="3808" spans="1:11">
      <c r="A3808" s="450" t="s">
        <v>6664</v>
      </c>
      <c r="B3808" s="450" t="s">
        <v>6665</v>
      </c>
      <c r="C3808" s="450" t="s">
        <v>6666</v>
      </c>
      <c r="D3808" s="450" t="s">
        <v>6667</v>
      </c>
      <c r="E3808" s="450" t="s">
        <v>6668</v>
      </c>
      <c r="F3808" s="450"/>
      <c r="G3808" s="450" t="s">
        <v>22882</v>
      </c>
      <c r="H3808" s="450" t="s">
        <v>22883</v>
      </c>
      <c r="I3808" s="450" t="s">
        <v>24863</v>
      </c>
      <c r="J3808" s="450" t="s">
        <v>31057</v>
      </c>
      <c r="K3808" s="450"/>
    </row>
    <row r="3809" spans="1:11">
      <c r="A3809" s="451" t="s">
        <v>6669</v>
      </c>
      <c r="B3809" s="451"/>
      <c r="C3809" s="451" t="s">
        <v>2749</v>
      </c>
      <c r="D3809" s="451"/>
      <c r="E3809" s="451"/>
      <c r="F3809" s="451"/>
      <c r="G3809" s="451" t="s">
        <v>22877</v>
      </c>
      <c r="H3809" s="451" t="s">
        <v>22878</v>
      </c>
      <c r="I3809" s="451" t="s">
        <v>24864</v>
      </c>
      <c r="J3809" s="451" t="s">
        <v>22939</v>
      </c>
      <c r="K3809" s="451"/>
    </row>
    <row r="3810" spans="1:11">
      <c r="A3810" s="450" t="s">
        <v>34717</v>
      </c>
      <c r="B3810" s="450" t="s">
        <v>6671</v>
      </c>
      <c r="C3810" s="450" t="s">
        <v>6672</v>
      </c>
      <c r="D3810" s="450" t="s">
        <v>6673</v>
      </c>
      <c r="E3810" s="450"/>
      <c r="F3810" s="450"/>
      <c r="G3810" s="450" t="s">
        <v>22877</v>
      </c>
      <c r="H3810" s="450" t="s">
        <v>22878</v>
      </c>
      <c r="I3810" s="450" t="s">
        <v>24865</v>
      </c>
      <c r="J3810" s="450" t="s">
        <v>34718</v>
      </c>
      <c r="K3810" s="450"/>
    </row>
    <row r="3811" spans="1:11">
      <c r="A3811" s="451" t="s">
        <v>6670</v>
      </c>
      <c r="B3811" s="451" t="s">
        <v>6671</v>
      </c>
      <c r="C3811" s="451" t="s">
        <v>6672</v>
      </c>
      <c r="D3811" s="451" t="s">
        <v>6673</v>
      </c>
      <c r="E3811" s="451" t="s">
        <v>6674</v>
      </c>
      <c r="F3811" s="451"/>
      <c r="G3811" s="451" t="s">
        <v>22877</v>
      </c>
      <c r="H3811" s="451" t="s">
        <v>22878</v>
      </c>
      <c r="I3811" s="451" t="s">
        <v>6673</v>
      </c>
      <c r="J3811" s="451" t="s">
        <v>31058</v>
      </c>
      <c r="K3811" s="451"/>
    </row>
    <row r="3812" spans="1:11">
      <c r="A3812" s="450" t="s">
        <v>6675</v>
      </c>
      <c r="B3812" s="450"/>
      <c r="C3812" s="450" t="s">
        <v>6676</v>
      </c>
      <c r="D3812" s="450"/>
      <c r="E3812" s="450"/>
      <c r="F3812" s="450"/>
      <c r="G3812" s="450" t="s">
        <v>22877</v>
      </c>
      <c r="H3812" s="450" t="s">
        <v>22878</v>
      </c>
      <c r="I3812" s="450" t="s">
        <v>24866</v>
      </c>
      <c r="J3812" s="450" t="s">
        <v>22939</v>
      </c>
      <c r="K3812" s="450"/>
    </row>
    <row r="3813" spans="1:11">
      <c r="A3813" s="451" t="s">
        <v>6677</v>
      </c>
      <c r="B3813" s="451" t="s">
        <v>6678</v>
      </c>
      <c r="C3813" s="451" t="s">
        <v>5247</v>
      </c>
      <c r="D3813" s="451"/>
      <c r="E3813" s="451"/>
      <c r="F3813" s="451"/>
      <c r="G3813" s="451" t="s">
        <v>22882</v>
      </c>
      <c r="H3813" s="451" t="s">
        <v>22883</v>
      </c>
      <c r="I3813" s="451" t="s">
        <v>24867</v>
      </c>
      <c r="J3813" s="451" t="s">
        <v>24868</v>
      </c>
      <c r="K3813" s="451"/>
    </row>
    <row r="3814" spans="1:11">
      <c r="A3814" s="450" t="s">
        <v>24869</v>
      </c>
      <c r="B3814" s="450" t="s">
        <v>24870</v>
      </c>
      <c r="C3814" s="450" t="s">
        <v>24871</v>
      </c>
      <c r="D3814" s="450">
        <v>8508738887</v>
      </c>
      <c r="E3814" s="450"/>
      <c r="F3814" s="450"/>
      <c r="G3814" s="450" t="s">
        <v>22877</v>
      </c>
      <c r="H3814" s="450" t="s">
        <v>22878</v>
      </c>
      <c r="I3814" s="450" t="s">
        <v>24872</v>
      </c>
      <c r="J3814" s="450" t="s">
        <v>24873</v>
      </c>
      <c r="K3814" s="450"/>
    </row>
    <row r="3815" spans="1:11">
      <c r="A3815" s="451" t="s">
        <v>34719</v>
      </c>
      <c r="B3815" s="451" t="s">
        <v>6680</v>
      </c>
      <c r="C3815" s="451" t="s">
        <v>6681</v>
      </c>
      <c r="D3815" s="451" t="s">
        <v>6682</v>
      </c>
      <c r="E3815" s="451"/>
      <c r="F3815" s="451"/>
      <c r="G3815" s="451" t="s">
        <v>22882</v>
      </c>
      <c r="H3815" s="451" t="s">
        <v>22883</v>
      </c>
      <c r="I3815" s="451" t="s">
        <v>6682</v>
      </c>
      <c r="J3815" s="451" t="s">
        <v>24874</v>
      </c>
      <c r="K3815" s="451"/>
    </row>
    <row r="3816" spans="1:11">
      <c r="A3816" s="450" t="s">
        <v>6679</v>
      </c>
      <c r="B3816" s="450" t="s">
        <v>6680</v>
      </c>
      <c r="C3816" s="450" t="s">
        <v>6681</v>
      </c>
      <c r="D3816" s="450" t="s">
        <v>6682</v>
      </c>
      <c r="E3816" s="450" t="s">
        <v>6683</v>
      </c>
      <c r="F3816" s="450"/>
      <c r="G3816" s="450" t="s">
        <v>22877</v>
      </c>
      <c r="H3816" s="450" t="s">
        <v>22878</v>
      </c>
      <c r="I3816" s="450" t="s">
        <v>31059</v>
      </c>
      <c r="J3816" s="450" t="s">
        <v>24874</v>
      </c>
      <c r="K3816" s="450"/>
    </row>
    <row r="3817" spans="1:11">
      <c r="A3817" s="451" t="s">
        <v>24875</v>
      </c>
      <c r="B3817" s="451"/>
      <c r="C3817" s="451" t="s">
        <v>24876</v>
      </c>
      <c r="D3817" s="451"/>
      <c r="E3817" s="451"/>
      <c r="F3817" s="451"/>
      <c r="G3817" s="451" t="s">
        <v>22882</v>
      </c>
      <c r="H3817" s="451" t="s">
        <v>22883</v>
      </c>
      <c r="I3817" s="451"/>
      <c r="J3817" s="451" t="s">
        <v>22939</v>
      </c>
      <c r="K3817" s="451"/>
    </row>
    <row r="3818" spans="1:11">
      <c r="A3818" s="450" t="s">
        <v>22131</v>
      </c>
      <c r="B3818" s="450" t="s">
        <v>22133</v>
      </c>
      <c r="C3818" s="450" t="s">
        <v>22132</v>
      </c>
      <c r="D3818" s="450" t="s">
        <v>14649</v>
      </c>
      <c r="E3818" s="450"/>
      <c r="F3818" s="450" t="s">
        <v>22134</v>
      </c>
      <c r="G3818" s="450" t="s">
        <v>22877</v>
      </c>
      <c r="H3818" s="450" t="s">
        <v>22878</v>
      </c>
      <c r="I3818" s="450" t="s">
        <v>31060</v>
      </c>
      <c r="J3818" s="450" t="s">
        <v>31061</v>
      </c>
      <c r="K3818" s="450"/>
    </row>
    <row r="3819" spans="1:11">
      <c r="A3819" s="451" t="s">
        <v>24877</v>
      </c>
      <c r="B3819" s="451" t="s">
        <v>24878</v>
      </c>
      <c r="C3819" s="451" t="s">
        <v>22132</v>
      </c>
      <c r="D3819" s="451" t="s">
        <v>14649</v>
      </c>
      <c r="E3819" s="451"/>
      <c r="F3819" s="451" t="s">
        <v>24879</v>
      </c>
      <c r="G3819" s="451" t="s">
        <v>22877</v>
      </c>
      <c r="H3819" s="451" t="s">
        <v>22878</v>
      </c>
      <c r="I3819" s="451" t="s">
        <v>14649</v>
      </c>
      <c r="J3819" s="451" t="s">
        <v>24880</v>
      </c>
      <c r="K3819" s="451"/>
    </row>
    <row r="3820" spans="1:11">
      <c r="A3820" s="450" t="s">
        <v>34720</v>
      </c>
      <c r="B3820" s="450"/>
      <c r="C3820" s="450" t="s">
        <v>6684</v>
      </c>
      <c r="D3820" s="450" t="s">
        <v>6685</v>
      </c>
      <c r="E3820" s="450"/>
      <c r="F3820" s="450"/>
      <c r="G3820" s="450" t="s">
        <v>22877</v>
      </c>
      <c r="H3820" s="450" t="s">
        <v>22878</v>
      </c>
      <c r="I3820" s="450" t="s">
        <v>6685</v>
      </c>
      <c r="J3820" s="450" t="s">
        <v>34721</v>
      </c>
      <c r="K3820" s="450"/>
    </row>
    <row r="3821" spans="1:11">
      <c r="A3821" s="451" t="s">
        <v>22130</v>
      </c>
      <c r="B3821" s="451"/>
      <c r="C3821" s="451" t="s">
        <v>6684</v>
      </c>
      <c r="D3821" s="451" t="s">
        <v>6685</v>
      </c>
      <c r="E3821" s="451" t="s">
        <v>6686</v>
      </c>
      <c r="F3821" s="451"/>
      <c r="G3821" s="451" t="s">
        <v>22877</v>
      </c>
      <c r="H3821" s="451" t="s">
        <v>22878</v>
      </c>
      <c r="I3821" s="451" t="s">
        <v>6685</v>
      </c>
      <c r="J3821" s="451" t="s">
        <v>34722</v>
      </c>
      <c r="K3821" s="451"/>
    </row>
    <row r="3822" spans="1:11">
      <c r="A3822" s="450" t="s">
        <v>34723</v>
      </c>
      <c r="B3822" s="450"/>
      <c r="C3822" s="450" t="s">
        <v>6688</v>
      </c>
      <c r="D3822" s="450"/>
      <c r="E3822" s="450"/>
      <c r="F3822" s="450"/>
      <c r="G3822" s="450" t="s">
        <v>22877</v>
      </c>
      <c r="H3822" s="450" t="s">
        <v>22878</v>
      </c>
      <c r="I3822" s="450" t="s">
        <v>34724</v>
      </c>
      <c r="J3822" s="450" t="s">
        <v>22943</v>
      </c>
      <c r="K3822" s="450"/>
    </row>
    <row r="3823" spans="1:11">
      <c r="A3823" s="451" t="s">
        <v>6687</v>
      </c>
      <c r="B3823" s="451"/>
      <c r="C3823" s="451" t="s">
        <v>6688</v>
      </c>
      <c r="D3823" s="451"/>
      <c r="E3823" s="451"/>
      <c r="F3823" s="451"/>
      <c r="G3823" s="451" t="s">
        <v>22877</v>
      </c>
      <c r="H3823" s="451" t="s">
        <v>22878</v>
      </c>
      <c r="I3823" s="451" t="s">
        <v>34725</v>
      </c>
      <c r="J3823" s="451" t="s">
        <v>22997</v>
      </c>
      <c r="K3823" s="451"/>
    </row>
    <row r="3824" spans="1:11">
      <c r="A3824" s="450" t="s">
        <v>34726</v>
      </c>
      <c r="B3824" s="450"/>
      <c r="C3824" s="450" t="s">
        <v>6689</v>
      </c>
      <c r="D3824" s="450"/>
      <c r="E3824" s="450"/>
      <c r="F3824" s="450"/>
      <c r="G3824" s="450" t="s">
        <v>22877</v>
      </c>
      <c r="H3824" s="450" t="s">
        <v>22878</v>
      </c>
      <c r="I3824" s="450" t="s">
        <v>34727</v>
      </c>
      <c r="J3824" s="450" t="s">
        <v>23133</v>
      </c>
      <c r="K3824" s="450"/>
    </row>
    <row r="3825" spans="1:11">
      <c r="A3825" s="451" t="s">
        <v>21632</v>
      </c>
      <c r="B3825" s="451"/>
      <c r="C3825" s="451" t="s">
        <v>6689</v>
      </c>
      <c r="D3825" s="451"/>
      <c r="E3825" s="451"/>
      <c r="F3825" s="451"/>
      <c r="G3825" s="451" t="s">
        <v>22877</v>
      </c>
      <c r="H3825" s="451" t="s">
        <v>22878</v>
      </c>
      <c r="I3825" s="451" t="s">
        <v>34727</v>
      </c>
      <c r="J3825" s="451" t="s">
        <v>23179</v>
      </c>
      <c r="K3825" s="451"/>
    </row>
    <row r="3826" spans="1:11">
      <c r="A3826" s="450" t="s">
        <v>34728</v>
      </c>
      <c r="B3826" s="450"/>
      <c r="C3826" s="450" t="s">
        <v>6690</v>
      </c>
      <c r="D3826" s="450"/>
      <c r="E3826" s="450"/>
      <c r="F3826" s="450"/>
      <c r="G3826" s="450" t="s">
        <v>22882</v>
      </c>
      <c r="H3826" s="450" t="s">
        <v>22883</v>
      </c>
      <c r="I3826" s="450" t="s">
        <v>34729</v>
      </c>
      <c r="J3826" s="450" t="s">
        <v>22939</v>
      </c>
      <c r="K3826" s="450"/>
    </row>
    <row r="3827" spans="1:11">
      <c r="A3827" s="451" t="s">
        <v>21633</v>
      </c>
      <c r="B3827" s="451"/>
      <c r="C3827" s="451" t="s">
        <v>6690</v>
      </c>
      <c r="D3827" s="451"/>
      <c r="E3827" s="451"/>
      <c r="F3827" s="451"/>
      <c r="G3827" s="451" t="s">
        <v>22882</v>
      </c>
      <c r="H3827" s="451" t="s">
        <v>22883</v>
      </c>
      <c r="I3827" s="451" t="s">
        <v>31062</v>
      </c>
      <c r="J3827" s="451" t="s">
        <v>23133</v>
      </c>
      <c r="K3827" s="451"/>
    </row>
    <row r="3828" spans="1:11">
      <c r="A3828" s="450" t="s">
        <v>6691</v>
      </c>
      <c r="B3828" s="450" t="s">
        <v>6692</v>
      </c>
      <c r="C3828" s="450" t="s">
        <v>6693</v>
      </c>
      <c r="D3828" s="450" t="s">
        <v>6694</v>
      </c>
      <c r="E3828" s="450"/>
      <c r="F3828" s="450"/>
      <c r="G3828" s="450" t="s">
        <v>22882</v>
      </c>
      <c r="H3828" s="450" t="s">
        <v>22883</v>
      </c>
      <c r="I3828" s="450" t="s">
        <v>6694</v>
      </c>
      <c r="J3828" s="450" t="s">
        <v>24881</v>
      </c>
      <c r="K3828" s="450"/>
    </row>
    <row r="3829" spans="1:11">
      <c r="A3829" s="451" t="s">
        <v>6691</v>
      </c>
      <c r="B3829" s="451" t="s">
        <v>6692</v>
      </c>
      <c r="C3829" s="451" t="s">
        <v>6693</v>
      </c>
      <c r="D3829" s="451" t="s">
        <v>6694</v>
      </c>
      <c r="E3829" s="451" t="s">
        <v>6695</v>
      </c>
      <c r="F3829" s="451"/>
      <c r="G3829" s="451" t="s">
        <v>22882</v>
      </c>
      <c r="H3829" s="451" t="s">
        <v>22883</v>
      </c>
      <c r="I3829" s="451" t="s">
        <v>6694</v>
      </c>
      <c r="J3829" s="451" t="s">
        <v>24881</v>
      </c>
      <c r="K3829" s="451"/>
    </row>
    <row r="3830" spans="1:11">
      <c r="A3830" s="450" t="s">
        <v>6696</v>
      </c>
      <c r="B3830" s="450" t="s">
        <v>6697</v>
      </c>
      <c r="C3830" s="450" t="s">
        <v>6698</v>
      </c>
      <c r="D3830" s="450" t="s">
        <v>6699</v>
      </c>
      <c r="E3830" s="450" t="s">
        <v>6700</v>
      </c>
      <c r="F3830" s="450"/>
      <c r="G3830" s="450" t="s">
        <v>22877</v>
      </c>
      <c r="H3830" s="450" t="s">
        <v>22878</v>
      </c>
      <c r="I3830" s="450" t="s">
        <v>6699</v>
      </c>
      <c r="J3830" s="450" t="s">
        <v>24882</v>
      </c>
      <c r="K3830" s="450"/>
    </row>
    <row r="3831" spans="1:11">
      <c r="A3831" s="451" t="s">
        <v>6701</v>
      </c>
      <c r="B3831" s="451" t="s">
        <v>6702</v>
      </c>
      <c r="C3831" s="451" t="s">
        <v>6703</v>
      </c>
      <c r="D3831" s="451" t="s">
        <v>6704</v>
      </c>
      <c r="E3831" s="451" t="s">
        <v>6705</v>
      </c>
      <c r="F3831" s="451"/>
      <c r="G3831" s="451" t="s">
        <v>22882</v>
      </c>
      <c r="H3831" s="451" t="s">
        <v>22883</v>
      </c>
      <c r="I3831" s="451"/>
      <c r="J3831" s="451" t="s">
        <v>31063</v>
      </c>
      <c r="K3831" s="451"/>
    </row>
    <row r="3832" spans="1:11">
      <c r="A3832" s="450" t="s">
        <v>31064</v>
      </c>
      <c r="B3832" s="450" t="s">
        <v>6697</v>
      </c>
      <c r="C3832" s="450" t="s">
        <v>6698</v>
      </c>
      <c r="D3832" s="450" t="s">
        <v>6699</v>
      </c>
      <c r="E3832" s="450"/>
      <c r="F3832" s="450"/>
      <c r="G3832" s="450" t="s">
        <v>22877</v>
      </c>
      <c r="H3832" s="450" t="s">
        <v>22878</v>
      </c>
      <c r="I3832" s="450" t="s">
        <v>6699</v>
      </c>
      <c r="J3832" s="450" t="s">
        <v>24882</v>
      </c>
      <c r="K3832" s="450"/>
    </row>
    <row r="3833" spans="1:11">
      <c r="A3833" s="451" t="s">
        <v>31065</v>
      </c>
      <c r="B3833" s="451" t="s">
        <v>6702</v>
      </c>
      <c r="C3833" s="451" t="s">
        <v>6703</v>
      </c>
      <c r="D3833" s="451" t="s">
        <v>6704</v>
      </c>
      <c r="E3833" s="451"/>
      <c r="F3833" s="451"/>
      <c r="G3833" s="451" t="s">
        <v>22882</v>
      </c>
      <c r="H3833" s="451" t="s">
        <v>22883</v>
      </c>
      <c r="I3833" s="451"/>
      <c r="J3833" s="451" t="s">
        <v>24883</v>
      </c>
      <c r="K3833" s="451"/>
    </row>
    <row r="3834" spans="1:11">
      <c r="A3834" s="450" t="s">
        <v>6706</v>
      </c>
      <c r="B3834" s="450" t="s">
        <v>24884</v>
      </c>
      <c r="C3834" s="450" t="s">
        <v>6708</v>
      </c>
      <c r="D3834" s="450" t="s">
        <v>6709</v>
      </c>
      <c r="E3834" s="450"/>
      <c r="F3834" s="450" t="s">
        <v>24885</v>
      </c>
      <c r="G3834" s="450" t="s">
        <v>22877</v>
      </c>
      <c r="H3834" s="450" t="s">
        <v>22878</v>
      </c>
      <c r="I3834" s="450" t="s">
        <v>24886</v>
      </c>
      <c r="J3834" s="450" t="s">
        <v>24887</v>
      </c>
      <c r="K3834" s="450"/>
    </row>
    <row r="3835" spans="1:11">
      <c r="A3835" s="451" t="s">
        <v>6706</v>
      </c>
      <c r="B3835" s="451" t="s">
        <v>6707</v>
      </c>
      <c r="C3835" s="451" t="s">
        <v>6708</v>
      </c>
      <c r="D3835" s="451" t="s">
        <v>6709</v>
      </c>
      <c r="E3835" s="451" t="s">
        <v>6710</v>
      </c>
      <c r="F3835" s="451" t="s">
        <v>6711</v>
      </c>
      <c r="G3835" s="451" t="s">
        <v>22877</v>
      </c>
      <c r="H3835" s="451" t="s">
        <v>22878</v>
      </c>
      <c r="I3835" s="451" t="s">
        <v>31066</v>
      </c>
      <c r="J3835" s="451" t="s">
        <v>31067</v>
      </c>
      <c r="K3835" s="451"/>
    </row>
    <row r="3836" spans="1:11">
      <c r="A3836" s="450" t="s">
        <v>6712</v>
      </c>
      <c r="B3836" s="450"/>
      <c r="C3836" s="450" t="s">
        <v>1190</v>
      </c>
      <c r="D3836" s="450"/>
      <c r="E3836" s="450"/>
      <c r="F3836" s="450"/>
      <c r="G3836" s="450" t="s">
        <v>22882</v>
      </c>
      <c r="H3836" s="450" t="s">
        <v>22883</v>
      </c>
      <c r="I3836" s="450"/>
      <c r="J3836" s="450" t="s">
        <v>22943</v>
      </c>
      <c r="K3836" s="450"/>
    </row>
    <row r="3837" spans="1:11">
      <c r="A3837" s="451" t="s">
        <v>24888</v>
      </c>
      <c r="B3837" s="451" t="s">
        <v>24889</v>
      </c>
      <c r="C3837" s="451" t="s">
        <v>24890</v>
      </c>
      <c r="D3837" s="451"/>
      <c r="E3837" s="451"/>
      <c r="F3837" s="451"/>
      <c r="G3837" s="451" t="s">
        <v>22877</v>
      </c>
      <c r="H3837" s="451" t="s">
        <v>22878</v>
      </c>
      <c r="I3837" s="451" t="s">
        <v>24891</v>
      </c>
      <c r="J3837" s="451" t="s">
        <v>24892</v>
      </c>
      <c r="K3837" s="451"/>
    </row>
    <row r="3838" spans="1:11">
      <c r="A3838" s="450" t="s">
        <v>6713</v>
      </c>
      <c r="B3838" s="450"/>
      <c r="C3838" s="450" t="s">
        <v>6714</v>
      </c>
      <c r="D3838" s="450"/>
      <c r="E3838" s="450"/>
      <c r="F3838" s="450"/>
      <c r="G3838" s="450" t="s">
        <v>22877</v>
      </c>
      <c r="H3838" s="450" t="s">
        <v>22878</v>
      </c>
      <c r="I3838" s="450" t="s">
        <v>24893</v>
      </c>
      <c r="J3838" s="450" t="s">
        <v>22997</v>
      </c>
      <c r="K3838" s="450"/>
    </row>
    <row r="3839" spans="1:11">
      <c r="A3839" s="451" t="s">
        <v>24894</v>
      </c>
      <c r="B3839" s="451" t="s">
        <v>24895</v>
      </c>
      <c r="C3839" s="451" t="s">
        <v>24896</v>
      </c>
      <c r="D3839" s="451"/>
      <c r="E3839" s="451"/>
      <c r="F3839" s="451"/>
      <c r="G3839" s="451" t="s">
        <v>22877</v>
      </c>
      <c r="H3839" s="451" t="s">
        <v>22878</v>
      </c>
      <c r="I3839" s="451" t="s">
        <v>24897</v>
      </c>
      <c r="J3839" s="451" t="s">
        <v>24898</v>
      </c>
      <c r="K3839" s="451"/>
    </row>
    <row r="3840" spans="1:11">
      <c r="A3840" s="450" t="s">
        <v>6715</v>
      </c>
      <c r="B3840" s="450" t="s">
        <v>6716</v>
      </c>
      <c r="C3840" s="450" t="s">
        <v>6717</v>
      </c>
      <c r="D3840" s="450">
        <v>7852326036</v>
      </c>
      <c r="E3840" s="450"/>
      <c r="F3840" s="450"/>
      <c r="G3840" s="450" t="s">
        <v>22877</v>
      </c>
      <c r="H3840" s="450" t="s">
        <v>22878</v>
      </c>
      <c r="I3840" s="450" t="s">
        <v>24899</v>
      </c>
      <c r="J3840" s="450" t="s">
        <v>34730</v>
      </c>
      <c r="K3840" s="450"/>
    </row>
    <row r="3841" spans="1:11">
      <c r="A3841" s="451" t="s">
        <v>6715</v>
      </c>
      <c r="B3841" s="451" t="s">
        <v>6716</v>
      </c>
      <c r="C3841" s="451" t="s">
        <v>6717</v>
      </c>
      <c r="D3841" s="451">
        <v>7852326036</v>
      </c>
      <c r="E3841" s="451">
        <v>7852336357</v>
      </c>
      <c r="F3841" s="451"/>
      <c r="G3841" s="451" t="s">
        <v>22877</v>
      </c>
      <c r="H3841" s="451" t="s">
        <v>22878</v>
      </c>
      <c r="I3841" s="451" t="s">
        <v>24899</v>
      </c>
      <c r="J3841" s="451" t="s">
        <v>31068</v>
      </c>
      <c r="K3841" s="451"/>
    </row>
    <row r="3842" spans="1:11">
      <c r="A3842" s="450" t="s">
        <v>6718</v>
      </c>
      <c r="B3842" s="450"/>
      <c r="C3842" s="450" t="s">
        <v>3213</v>
      </c>
      <c r="D3842" s="450"/>
      <c r="E3842" s="450"/>
      <c r="F3842" s="450"/>
      <c r="G3842" s="450" t="s">
        <v>22882</v>
      </c>
      <c r="H3842" s="450" t="s">
        <v>22883</v>
      </c>
      <c r="I3842" s="450"/>
      <c r="J3842" s="450" t="s">
        <v>22939</v>
      </c>
      <c r="K3842" s="450"/>
    </row>
    <row r="3843" spans="1:11">
      <c r="A3843" s="451" t="s">
        <v>6719</v>
      </c>
      <c r="B3843" s="451"/>
      <c r="C3843" s="451" t="s">
        <v>6720</v>
      </c>
      <c r="D3843" s="451" t="s">
        <v>6721</v>
      </c>
      <c r="E3843" s="451"/>
      <c r="F3843" s="451"/>
      <c r="G3843" s="451" t="s">
        <v>22882</v>
      </c>
      <c r="H3843" s="451" t="s">
        <v>22883</v>
      </c>
      <c r="I3843" s="451" t="s">
        <v>6721</v>
      </c>
      <c r="J3843" s="451" t="s">
        <v>24900</v>
      </c>
      <c r="K3843" s="451"/>
    </row>
    <row r="3844" spans="1:11">
      <c r="A3844" s="450" t="s">
        <v>6722</v>
      </c>
      <c r="B3844" s="450" t="s">
        <v>6723</v>
      </c>
      <c r="C3844" s="450" t="s">
        <v>1022</v>
      </c>
      <c r="D3844" s="450" t="s">
        <v>6724</v>
      </c>
      <c r="E3844" s="450" t="s">
        <v>6725</v>
      </c>
      <c r="F3844" s="450"/>
      <c r="G3844" s="450" t="s">
        <v>22877</v>
      </c>
      <c r="H3844" s="450" t="s">
        <v>22878</v>
      </c>
      <c r="I3844" s="450" t="s">
        <v>34731</v>
      </c>
      <c r="J3844" s="450" t="s">
        <v>34732</v>
      </c>
      <c r="K3844" s="450"/>
    </row>
    <row r="3845" spans="1:11">
      <c r="A3845" s="451" t="s">
        <v>24901</v>
      </c>
      <c r="B3845" s="451" t="s">
        <v>6723</v>
      </c>
      <c r="C3845" s="451" t="s">
        <v>1022</v>
      </c>
      <c r="D3845" s="451" t="s">
        <v>6724</v>
      </c>
      <c r="E3845" s="451"/>
      <c r="F3845" s="451"/>
      <c r="G3845" s="451" t="s">
        <v>22877</v>
      </c>
      <c r="H3845" s="451" t="s">
        <v>22878</v>
      </c>
      <c r="I3845" s="451" t="s">
        <v>24902</v>
      </c>
      <c r="J3845" s="451" t="s">
        <v>24903</v>
      </c>
      <c r="K3845" s="451"/>
    </row>
    <row r="3846" spans="1:11">
      <c r="A3846" s="450" t="s">
        <v>6726</v>
      </c>
      <c r="B3846" s="450"/>
      <c r="C3846" s="450" t="s">
        <v>4618</v>
      </c>
      <c r="D3846" s="450"/>
      <c r="E3846" s="450"/>
      <c r="F3846" s="450"/>
      <c r="G3846" s="450" t="s">
        <v>22882</v>
      </c>
      <c r="H3846" s="450" t="s">
        <v>22883</v>
      </c>
      <c r="I3846" s="450" t="s">
        <v>34733</v>
      </c>
      <c r="J3846" s="450" t="s">
        <v>22943</v>
      </c>
      <c r="K3846" s="450"/>
    </row>
    <row r="3847" spans="1:11">
      <c r="A3847" s="451" t="s">
        <v>6727</v>
      </c>
      <c r="B3847" s="451"/>
      <c r="C3847" s="451" t="s">
        <v>6305</v>
      </c>
      <c r="D3847" s="451"/>
      <c r="E3847" s="451"/>
      <c r="F3847" s="451"/>
      <c r="G3847" s="451" t="s">
        <v>22877</v>
      </c>
      <c r="H3847" s="451" t="s">
        <v>22878</v>
      </c>
      <c r="I3847" s="451" t="s">
        <v>34734</v>
      </c>
      <c r="J3847" s="451" t="s">
        <v>22939</v>
      </c>
      <c r="K3847" s="451"/>
    </row>
    <row r="3848" spans="1:11">
      <c r="A3848" s="450" t="s">
        <v>6728</v>
      </c>
      <c r="B3848" s="450"/>
      <c r="C3848" s="450" t="s">
        <v>1638</v>
      </c>
      <c r="D3848" s="450"/>
      <c r="E3848" s="450"/>
      <c r="F3848" s="450"/>
      <c r="G3848" s="450" t="s">
        <v>22882</v>
      </c>
      <c r="H3848" s="450" t="s">
        <v>22883</v>
      </c>
      <c r="I3848" s="450"/>
      <c r="J3848" s="450" t="s">
        <v>23121</v>
      </c>
      <c r="K3848" s="450"/>
    </row>
    <row r="3849" spans="1:11">
      <c r="A3849" s="451" t="s">
        <v>6729</v>
      </c>
      <c r="B3849" s="451" t="s">
        <v>34735</v>
      </c>
      <c r="C3849" s="451" t="s">
        <v>6731</v>
      </c>
      <c r="D3849" s="451" t="s">
        <v>6732</v>
      </c>
      <c r="E3849" s="451"/>
      <c r="F3849" s="451"/>
      <c r="G3849" s="451" t="s">
        <v>22877</v>
      </c>
      <c r="H3849" s="451" t="s">
        <v>22878</v>
      </c>
      <c r="I3849" s="451" t="s">
        <v>24904</v>
      </c>
      <c r="J3849" s="451" t="s">
        <v>34736</v>
      </c>
      <c r="K3849" s="451"/>
    </row>
    <row r="3850" spans="1:11">
      <c r="A3850" s="450" t="s">
        <v>6729</v>
      </c>
      <c r="B3850" s="450" t="s">
        <v>6730</v>
      </c>
      <c r="C3850" s="450" t="s">
        <v>6731</v>
      </c>
      <c r="D3850" s="450" t="s">
        <v>6732</v>
      </c>
      <c r="E3850" s="450" t="s">
        <v>6733</v>
      </c>
      <c r="F3850" s="450"/>
      <c r="G3850" s="450" t="s">
        <v>22877</v>
      </c>
      <c r="H3850" s="450" t="s">
        <v>22878</v>
      </c>
      <c r="I3850" s="450" t="s">
        <v>24904</v>
      </c>
      <c r="J3850" s="450" t="s">
        <v>31069</v>
      </c>
      <c r="K3850" s="450"/>
    </row>
    <row r="3851" spans="1:11">
      <c r="A3851" s="451" t="s">
        <v>6734</v>
      </c>
      <c r="B3851" s="451"/>
      <c r="C3851" s="451" t="s">
        <v>6735</v>
      </c>
      <c r="D3851" s="451"/>
      <c r="E3851" s="451"/>
      <c r="F3851" s="451"/>
      <c r="G3851" s="451" t="s">
        <v>22877</v>
      </c>
      <c r="H3851" s="451" t="s">
        <v>22878</v>
      </c>
      <c r="I3851" s="451" t="s">
        <v>24905</v>
      </c>
      <c r="J3851" s="451" t="s">
        <v>23185</v>
      </c>
      <c r="K3851" s="451"/>
    </row>
    <row r="3852" spans="1:11">
      <c r="A3852" s="450" t="s">
        <v>24906</v>
      </c>
      <c r="B3852" s="450" t="s">
        <v>6743</v>
      </c>
      <c r="C3852" s="450" t="s">
        <v>6744</v>
      </c>
      <c r="D3852" s="450" t="s">
        <v>6745</v>
      </c>
      <c r="E3852" s="450"/>
      <c r="F3852" s="450"/>
      <c r="G3852" s="450" t="s">
        <v>22882</v>
      </c>
      <c r="H3852" s="450" t="s">
        <v>22883</v>
      </c>
      <c r="I3852" s="450" t="s">
        <v>6745</v>
      </c>
      <c r="J3852" s="450" t="s">
        <v>24907</v>
      </c>
      <c r="K3852" s="450"/>
    </row>
    <row r="3853" spans="1:11">
      <c r="A3853" s="451" t="s">
        <v>6736</v>
      </c>
      <c r="B3853" s="451" t="s">
        <v>6737</v>
      </c>
      <c r="C3853" s="451" t="s">
        <v>6738</v>
      </c>
      <c r="D3853" s="451" t="s">
        <v>6739</v>
      </c>
      <c r="E3853" s="451"/>
      <c r="F3853" s="451" t="s">
        <v>6741</v>
      </c>
      <c r="G3853" s="451" t="s">
        <v>22877</v>
      </c>
      <c r="H3853" s="451" t="s">
        <v>22878</v>
      </c>
      <c r="I3853" s="451" t="s">
        <v>24908</v>
      </c>
      <c r="J3853" s="451" t="s">
        <v>24909</v>
      </c>
      <c r="K3853" s="451"/>
    </row>
    <row r="3854" spans="1:11">
      <c r="A3854" s="450" t="s">
        <v>6736</v>
      </c>
      <c r="B3854" s="450" t="s">
        <v>6737</v>
      </c>
      <c r="C3854" s="450" t="s">
        <v>6738</v>
      </c>
      <c r="D3854" s="450" t="s">
        <v>6739</v>
      </c>
      <c r="E3854" s="450" t="s">
        <v>6740</v>
      </c>
      <c r="F3854" s="450" t="s">
        <v>6741</v>
      </c>
      <c r="G3854" s="450" t="s">
        <v>22877</v>
      </c>
      <c r="H3854" s="450" t="s">
        <v>22878</v>
      </c>
      <c r="I3854" s="450" t="s">
        <v>24908</v>
      </c>
      <c r="J3854" s="450" t="s">
        <v>24909</v>
      </c>
      <c r="K3854" s="450"/>
    </row>
    <row r="3855" spans="1:11">
      <c r="A3855" s="451" t="s">
        <v>6742</v>
      </c>
      <c r="B3855" s="451" t="s">
        <v>6743</v>
      </c>
      <c r="C3855" s="451" t="s">
        <v>6744</v>
      </c>
      <c r="D3855" s="451" t="s">
        <v>6745</v>
      </c>
      <c r="E3855" s="451"/>
      <c r="F3855" s="451"/>
      <c r="G3855" s="451" t="s">
        <v>22882</v>
      </c>
      <c r="H3855" s="451" t="s">
        <v>22883</v>
      </c>
      <c r="I3855" s="451" t="s">
        <v>31070</v>
      </c>
      <c r="J3855" s="451" t="s">
        <v>31071</v>
      </c>
      <c r="K3855" s="451"/>
    </row>
    <row r="3856" spans="1:11">
      <c r="A3856" s="450" t="s">
        <v>6746</v>
      </c>
      <c r="B3856" s="450" t="s">
        <v>6747</v>
      </c>
      <c r="C3856" s="450" t="s">
        <v>6748</v>
      </c>
      <c r="D3856" s="450" t="s">
        <v>6749</v>
      </c>
      <c r="E3856" s="450"/>
      <c r="F3856" s="450"/>
      <c r="G3856" s="450" t="s">
        <v>22882</v>
      </c>
      <c r="H3856" s="450" t="s">
        <v>22883</v>
      </c>
      <c r="I3856" s="450" t="s">
        <v>6749</v>
      </c>
      <c r="J3856" s="450" t="s">
        <v>24910</v>
      </c>
      <c r="K3856" s="450"/>
    </row>
    <row r="3857" spans="1:11">
      <c r="A3857" s="451" t="s">
        <v>6746</v>
      </c>
      <c r="B3857" s="451" t="s">
        <v>6747</v>
      </c>
      <c r="C3857" s="451" t="s">
        <v>6748</v>
      </c>
      <c r="D3857" s="451" t="s">
        <v>6749</v>
      </c>
      <c r="E3857" s="451" t="s">
        <v>6750</v>
      </c>
      <c r="F3857" s="451"/>
      <c r="G3857" s="451" t="s">
        <v>22882</v>
      </c>
      <c r="H3857" s="451" t="s">
        <v>22883</v>
      </c>
      <c r="I3857" s="451" t="s">
        <v>31072</v>
      </c>
      <c r="J3857" s="451" t="s">
        <v>24910</v>
      </c>
      <c r="K3857" s="451"/>
    </row>
    <row r="3858" spans="1:11">
      <c r="A3858" s="450" t="s">
        <v>6751</v>
      </c>
      <c r="B3858" s="450" t="s">
        <v>6752</v>
      </c>
      <c r="C3858" s="450" t="s">
        <v>6753</v>
      </c>
      <c r="D3858" s="450" t="s">
        <v>6754</v>
      </c>
      <c r="E3858" s="450"/>
      <c r="F3858" s="450"/>
      <c r="G3858" s="450" t="s">
        <v>22877</v>
      </c>
      <c r="H3858" s="450" t="s">
        <v>22878</v>
      </c>
      <c r="I3858" s="450" t="s">
        <v>6754</v>
      </c>
      <c r="J3858" s="450" t="s">
        <v>24911</v>
      </c>
      <c r="K3858" s="450"/>
    </row>
    <row r="3859" spans="1:11">
      <c r="A3859" s="451" t="s">
        <v>6751</v>
      </c>
      <c r="B3859" s="451" t="s">
        <v>6752</v>
      </c>
      <c r="C3859" s="451" t="s">
        <v>6753</v>
      </c>
      <c r="D3859" s="451" t="s">
        <v>6754</v>
      </c>
      <c r="E3859" s="451" t="s">
        <v>6755</v>
      </c>
      <c r="F3859" s="451"/>
      <c r="G3859" s="451" t="s">
        <v>22877</v>
      </c>
      <c r="H3859" s="451" t="s">
        <v>22878</v>
      </c>
      <c r="I3859" s="451" t="s">
        <v>6754</v>
      </c>
      <c r="J3859" s="451" t="s">
        <v>24911</v>
      </c>
      <c r="K3859" s="451"/>
    </row>
    <row r="3860" spans="1:11">
      <c r="A3860" s="450" t="s">
        <v>6751</v>
      </c>
      <c r="B3860" s="450" t="s">
        <v>29999</v>
      </c>
      <c r="C3860" s="450" t="s">
        <v>6753</v>
      </c>
      <c r="D3860" s="450" t="s">
        <v>6754</v>
      </c>
      <c r="E3860" s="450"/>
      <c r="F3860" s="450"/>
      <c r="G3860" s="450"/>
      <c r="H3860" s="450"/>
      <c r="I3860" s="450"/>
      <c r="J3860" s="450"/>
      <c r="K3860" s="450"/>
    </row>
    <row r="3861" spans="1:11">
      <c r="A3861" s="451" t="s">
        <v>6756</v>
      </c>
      <c r="B3861" s="451" t="s">
        <v>6757</v>
      </c>
      <c r="C3861" s="451" t="s">
        <v>6758</v>
      </c>
      <c r="D3861" s="451" t="s">
        <v>6759</v>
      </c>
      <c r="E3861" s="451"/>
      <c r="F3861" s="451"/>
      <c r="G3861" s="451" t="s">
        <v>22877</v>
      </c>
      <c r="H3861" s="451" t="s">
        <v>22878</v>
      </c>
      <c r="I3861" s="451" t="s">
        <v>6759</v>
      </c>
      <c r="J3861" s="451" t="s">
        <v>24912</v>
      </c>
      <c r="K3861" s="451"/>
    </row>
    <row r="3862" spans="1:11">
      <c r="A3862" s="450" t="s">
        <v>6756</v>
      </c>
      <c r="B3862" s="450" t="s">
        <v>6757</v>
      </c>
      <c r="C3862" s="450" t="s">
        <v>6758</v>
      </c>
      <c r="D3862" s="450" t="s">
        <v>6759</v>
      </c>
      <c r="E3862" s="450" t="s">
        <v>6760</v>
      </c>
      <c r="F3862" s="450"/>
      <c r="G3862" s="450" t="s">
        <v>22877</v>
      </c>
      <c r="H3862" s="450" t="s">
        <v>22878</v>
      </c>
      <c r="I3862" s="450" t="s">
        <v>31073</v>
      </c>
      <c r="J3862" s="450" t="s">
        <v>24912</v>
      </c>
      <c r="K3862" s="450"/>
    </row>
    <row r="3863" spans="1:11">
      <c r="A3863" s="451" t="s">
        <v>6761</v>
      </c>
      <c r="B3863" s="451"/>
      <c r="C3863" s="451" t="s">
        <v>6762</v>
      </c>
      <c r="D3863" s="451"/>
      <c r="E3863" s="451"/>
      <c r="F3863" s="451"/>
      <c r="G3863" s="451" t="s">
        <v>22882</v>
      </c>
      <c r="H3863" s="451" t="s">
        <v>22883</v>
      </c>
      <c r="I3863" s="451" t="s">
        <v>23655</v>
      </c>
      <c r="J3863" s="451" t="s">
        <v>22939</v>
      </c>
      <c r="K3863" s="451"/>
    </row>
    <row r="3864" spans="1:11">
      <c r="A3864" s="450" t="s">
        <v>6763</v>
      </c>
      <c r="B3864" s="450" t="s">
        <v>6764</v>
      </c>
      <c r="C3864" s="450" t="s">
        <v>6341</v>
      </c>
      <c r="D3864" s="450" t="s">
        <v>6765</v>
      </c>
      <c r="E3864" s="450"/>
      <c r="F3864" s="450"/>
      <c r="G3864" s="450" t="s">
        <v>22882</v>
      </c>
      <c r="H3864" s="450" t="s">
        <v>22883</v>
      </c>
      <c r="I3864" s="450" t="s">
        <v>6765</v>
      </c>
      <c r="J3864" s="450" t="s">
        <v>24913</v>
      </c>
      <c r="K3864" s="450"/>
    </row>
    <row r="3865" spans="1:11">
      <c r="A3865" s="451" t="s">
        <v>6763</v>
      </c>
      <c r="B3865" s="451" t="s">
        <v>6764</v>
      </c>
      <c r="C3865" s="451" t="s">
        <v>6341</v>
      </c>
      <c r="D3865" s="451" t="s">
        <v>6765</v>
      </c>
      <c r="E3865" s="451" t="s">
        <v>6766</v>
      </c>
      <c r="F3865" s="451"/>
      <c r="G3865" s="451" t="s">
        <v>22877</v>
      </c>
      <c r="H3865" s="451" t="s">
        <v>22878</v>
      </c>
      <c r="I3865" s="451" t="s">
        <v>6765</v>
      </c>
      <c r="J3865" s="451" t="s">
        <v>24913</v>
      </c>
      <c r="K3865" s="451"/>
    </row>
    <row r="3866" spans="1:11">
      <c r="A3866" s="450" t="s">
        <v>6767</v>
      </c>
      <c r="B3866" s="450" t="s">
        <v>34737</v>
      </c>
      <c r="C3866" s="450" t="s">
        <v>6769</v>
      </c>
      <c r="D3866" s="450" t="s">
        <v>6770</v>
      </c>
      <c r="E3866" s="450"/>
      <c r="F3866" s="450"/>
      <c r="G3866" s="450" t="s">
        <v>22877</v>
      </c>
      <c r="H3866" s="450" t="s">
        <v>22878</v>
      </c>
      <c r="I3866" s="450" t="s">
        <v>6770</v>
      </c>
      <c r="J3866" s="450" t="s">
        <v>34738</v>
      </c>
      <c r="K3866" s="450"/>
    </row>
    <row r="3867" spans="1:11">
      <c r="A3867" s="451" t="s">
        <v>6767</v>
      </c>
      <c r="B3867" s="451" t="s">
        <v>6768</v>
      </c>
      <c r="C3867" s="451" t="s">
        <v>6769</v>
      </c>
      <c r="D3867" s="451" t="s">
        <v>6770</v>
      </c>
      <c r="E3867" s="451">
        <v>9413600294</v>
      </c>
      <c r="F3867" s="451"/>
      <c r="G3867" s="451" t="s">
        <v>22877</v>
      </c>
      <c r="H3867" s="451" t="s">
        <v>22878</v>
      </c>
      <c r="I3867" s="451" t="s">
        <v>6770</v>
      </c>
      <c r="J3867" s="451" t="s">
        <v>31074</v>
      </c>
      <c r="K3867" s="451"/>
    </row>
    <row r="3868" spans="1:11">
      <c r="A3868" s="450" t="s">
        <v>6771</v>
      </c>
      <c r="B3868" s="450"/>
      <c r="C3868" s="450" t="s">
        <v>6772</v>
      </c>
      <c r="D3868" s="450"/>
      <c r="E3868" s="450"/>
      <c r="F3868" s="450"/>
      <c r="G3868" s="450" t="s">
        <v>22877</v>
      </c>
      <c r="H3868" s="450" t="s">
        <v>22878</v>
      </c>
      <c r="I3868" s="450" t="s">
        <v>24914</v>
      </c>
      <c r="J3868" s="450" t="s">
        <v>22997</v>
      </c>
      <c r="K3868" s="450"/>
    </row>
    <row r="3869" spans="1:11">
      <c r="A3869" s="451" t="s">
        <v>34739</v>
      </c>
      <c r="B3869" s="451" t="s">
        <v>6774</v>
      </c>
      <c r="C3869" s="451" t="s">
        <v>6775</v>
      </c>
      <c r="D3869" s="451">
        <v>8038926058</v>
      </c>
      <c r="E3869" s="451"/>
      <c r="F3869" s="451"/>
      <c r="G3869" s="451" t="s">
        <v>22877</v>
      </c>
      <c r="H3869" s="451" t="s">
        <v>22878</v>
      </c>
      <c r="I3869" s="451" t="s">
        <v>24915</v>
      </c>
      <c r="J3869" s="451" t="s">
        <v>34740</v>
      </c>
      <c r="K3869" s="451"/>
    </row>
    <row r="3870" spans="1:11">
      <c r="A3870" s="450" t="s">
        <v>6773</v>
      </c>
      <c r="B3870" s="450" t="s">
        <v>6774</v>
      </c>
      <c r="C3870" s="450" t="s">
        <v>6775</v>
      </c>
      <c r="D3870" s="450">
        <v>8038926058</v>
      </c>
      <c r="E3870" s="450">
        <v>8038926975</v>
      </c>
      <c r="F3870" s="450"/>
      <c r="G3870" s="450" t="s">
        <v>22877</v>
      </c>
      <c r="H3870" s="450" t="s">
        <v>22878</v>
      </c>
      <c r="I3870" s="450" t="s">
        <v>24915</v>
      </c>
      <c r="J3870" s="450" t="s">
        <v>31075</v>
      </c>
      <c r="K3870" s="450"/>
    </row>
    <row r="3871" spans="1:11">
      <c r="A3871" s="451" t="s">
        <v>24916</v>
      </c>
      <c r="B3871" s="451" t="s">
        <v>24136</v>
      </c>
      <c r="C3871" s="451" t="s">
        <v>24137</v>
      </c>
      <c r="D3871" s="451"/>
      <c r="E3871" s="451"/>
      <c r="F3871" s="451"/>
      <c r="G3871" s="451" t="s">
        <v>22877</v>
      </c>
      <c r="H3871" s="451" t="s">
        <v>22878</v>
      </c>
      <c r="I3871" s="451" t="s">
        <v>24138</v>
      </c>
      <c r="J3871" s="451" t="s">
        <v>24917</v>
      </c>
      <c r="K3871" s="451"/>
    </row>
    <row r="3872" spans="1:11">
      <c r="A3872" s="450" t="s">
        <v>6776</v>
      </c>
      <c r="B3872" s="450" t="s">
        <v>24918</v>
      </c>
      <c r="C3872" s="450" t="s">
        <v>3289</v>
      </c>
      <c r="D3872" s="450" t="s">
        <v>6778</v>
      </c>
      <c r="E3872" s="450"/>
      <c r="F3872" s="450"/>
      <c r="G3872" s="450" t="s">
        <v>22882</v>
      </c>
      <c r="H3872" s="450" t="s">
        <v>22883</v>
      </c>
      <c r="I3872" s="450" t="s">
        <v>24919</v>
      </c>
      <c r="J3872" s="450" t="s">
        <v>24920</v>
      </c>
      <c r="K3872" s="450"/>
    </row>
    <row r="3873" spans="1:11">
      <c r="A3873" s="451" t="s">
        <v>6776</v>
      </c>
      <c r="B3873" s="451" t="s">
        <v>6777</v>
      </c>
      <c r="C3873" s="451" t="s">
        <v>3289</v>
      </c>
      <c r="D3873" s="451" t="s">
        <v>6778</v>
      </c>
      <c r="E3873" s="451" t="s">
        <v>6779</v>
      </c>
      <c r="F3873" s="451"/>
      <c r="G3873" s="451" t="s">
        <v>22882</v>
      </c>
      <c r="H3873" s="451" t="s">
        <v>22883</v>
      </c>
      <c r="I3873" s="451"/>
      <c r="J3873" s="451" t="s">
        <v>31076</v>
      </c>
      <c r="K3873" s="451"/>
    </row>
    <row r="3874" spans="1:11">
      <c r="A3874" s="450" t="s">
        <v>6780</v>
      </c>
      <c r="B3874" s="450" t="s">
        <v>34741</v>
      </c>
      <c r="C3874" s="450" t="s">
        <v>6782</v>
      </c>
      <c r="D3874" s="450" t="s">
        <v>6783</v>
      </c>
      <c r="E3874" s="450"/>
      <c r="F3874" s="450"/>
      <c r="G3874" s="450" t="s">
        <v>22882</v>
      </c>
      <c r="H3874" s="450" t="s">
        <v>22883</v>
      </c>
      <c r="I3874" s="450" t="s">
        <v>6783</v>
      </c>
      <c r="J3874" s="450" t="s">
        <v>34742</v>
      </c>
      <c r="K3874" s="450"/>
    </row>
    <row r="3875" spans="1:11">
      <c r="A3875" s="451" t="s">
        <v>6780</v>
      </c>
      <c r="B3875" s="451" t="s">
        <v>6781</v>
      </c>
      <c r="C3875" s="451" t="s">
        <v>6782</v>
      </c>
      <c r="D3875" s="451" t="s">
        <v>6783</v>
      </c>
      <c r="E3875" s="451" t="s">
        <v>6779</v>
      </c>
      <c r="F3875" s="451"/>
      <c r="G3875" s="451" t="s">
        <v>22882</v>
      </c>
      <c r="H3875" s="451" t="s">
        <v>22883</v>
      </c>
      <c r="I3875" s="451" t="s">
        <v>6783</v>
      </c>
      <c r="J3875" s="451" t="s">
        <v>31077</v>
      </c>
      <c r="K3875" s="451"/>
    </row>
    <row r="3876" spans="1:11">
      <c r="A3876" s="450" t="s">
        <v>34743</v>
      </c>
      <c r="B3876" s="450" t="s">
        <v>6784</v>
      </c>
      <c r="C3876" s="450" t="s">
        <v>2722</v>
      </c>
      <c r="D3876" s="450" t="s">
        <v>6785</v>
      </c>
      <c r="E3876" s="450"/>
      <c r="F3876" s="450"/>
      <c r="G3876" s="450" t="s">
        <v>22877</v>
      </c>
      <c r="H3876" s="450" t="s">
        <v>22878</v>
      </c>
      <c r="I3876" s="450" t="s">
        <v>34744</v>
      </c>
      <c r="J3876" s="450" t="s">
        <v>34745</v>
      </c>
      <c r="K3876" s="450"/>
    </row>
    <row r="3877" spans="1:11">
      <c r="A3877" s="451" t="s">
        <v>21634</v>
      </c>
      <c r="B3877" s="451" t="s">
        <v>6784</v>
      </c>
      <c r="C3877" s="451" t="s">
        <v>2722</v>
      </c>
      <c r="D3877" s="451" t="s">
        <v>6785</v>
      </c>
      <c r="E3877" s="451" t="s">
        <v>6786</v>
      </c>
      <c r="F3877" s="451"/>
      <c r="G3877" s="451" t="s">
        <v>22877</v>
      </c>
      <c r="H3877" s="451" t="s">
        <v>22878</v>
      </c>
      <c r="I3877" s="451" t="s">
        <v>31078</v>
      </c>
      <c r="J3877" s="451" t="s">
        <v>31079</v>
      </c>
      <c r="K3877" s="451"/>
    </row>
    <row r="3878" spans="1:11">
      <c r="A3878" s="450" t="s">
        <v>6787</v>
      </c>
      <c r="B3878" s="450"/>
      <c r="C3878" s="450" t="s">
        <v>6788</v>
      </c>
      <c r="D3878" s="450"/>
      <c r="E3878" s="450"/>
      <c r="F3878" s="450"/>
      <c r="G3878" s="450" t="s">
        <v>22882</v>
      </c>
      <c r="H3878" s="450" t="s">
        <v>22883</v>
      </c>
      <c r="I3878" s="450" t="s">
        <v>34746</v>
      </c>
      <c r="J3878" s="450" t="s">
        <v>22943</v>
      </c>
      <c r="K3878" s="450"/>
    </row>
    <row r="3879" spans="1:11">
      <c r="A3879" s="451" t="s">
        <v>6789</v>
      </c>
      <c r="B3879" s="451"/>
      <c r="C3879" s="451" t="s">
        <v>3355</v>
      </c>
      <c r="D3879" s="451"/>
      <c r="E3879" s="451"/>
      <c r="F3879" s="451"/>
      <c r="G3879" s="451" t="s">
        <v>22877</v>
      </c>
      <c r="H3879" s="451" t="s">
        <v>22878</v>
      </c>
      <c r="I3879" s="451" t="s">
        <v>24921</v>
      </c>
      <c r="J3879" s="451" t="s">
        <v>22939</v>
      </c>
      <c r="K3879" s="451"/>
    </row>
    <row r="3880" spans="1:11">
      <c r="A3880" s="450" t="s">
        <v>6790</v>
      </c>
      <c r="B3880" s="450" t="s">
        <v>6791</v>
      </c>
      <c r="C3880" s="450" t="s">
        <v>1226</v>
      </c>
      <c r="D3880" s="450" t="s">
        <v>6792</v>
      </c>
      <c r="E3880" s="450"/>
      <c r="F3880" s="450"/>
      <c r="G3880" s="450" t="s">
        <v>22877</v>
      </c>
      <c r="H3880" s="450" t="s">
        <v>22878</v>
      </c>
      <c r="I3880" s="450" t="s">
        <v>6792</v>
      </c>
      <c r="J3880" s="450" t="s">
        <v>24922</v>
      </c>
      <c r="K3880" s="450"/>
    </row>
    <row r="3881" spans="1:11">
      <c r="A3881" s="451" t="s">
        <v>6793</v>
      </c>
      <c r="B3881" s="451"/>
      <c r="C3881" s="451" t="s">
        <v>6794</v>
      </c>
      <c r="D3881" s="451"/>
      <c r="E3881" s="451"/>
      <c r="F3881" s="451"/>
      <c r="G3881" s="451" t="s">
        <v>32634</v>
      </c>
      <c r="H3881" s="451" t="s">
        <v>22878</v>
      </c>
      <c r="I3881" s="451"/>
      <c r="J3881" s="451"/>
      <c r="K3881" s="451"/>
    </row>
    <row r="3882" spans="1:11">
      <c r="A3882" s="450" t="s">
        <v>34747</v>
      </c>
      <c r="B3882" s="450"/>
      <c r="C3882" s="450" t="s">
        <v>2127</v>
      </c>
      <c r="D3882" s="450"/>
      <c r="E3882" s="450"/>
      <c r="F3882" s="450"/>
      <c r="G3882" s="450" t="s">
        <v>23092</v>
      </c>
      <c r="H3882" s="450" t="s">
        <v>22878</v>
      </c>
      <c r="I3882" s="450"/>
      <c r="J3882" s="450"/>
      <c r="K3882" s="450"/>
    </row>
    <row r="3883" spans="1:11">
      <c r="A3883" s="451" t="s">
        <v>6795</v>
      </c>
      <c r="B3883" s="451"/>
      <c r="C3883" s="451" t="s">
        <v>2127</v>
      </c>
      <c r="D3883" s="451"/>
      <c r="E3883" s="451"/>
      <c r="F3883" s="451"/>
      <c r="G3883" s="451" t="s">
        <v>22882</v>
      </c>
      <c r="H3883" s="451" t="s">
        <v>22883</v>
      </c>
      <c r="I3883" s="451"/>
      <c r="J3883" s="451" t="s">
        <v>22939</v>
      </c>
      <c r="K3883" s="451"/>
    </row>
    <row r="3884" spans="1:11">
      <c r="A3884" s="450" t="s">
        <v>6796</v>
      </c>
      <c r="B3884" s="450" t="s">
        <v>6797</v>
      </c>
      <c r="C3884" s="450" t="s">
        <v>6798</v>
      </c>
      <c r="D3884" s="450" t="s">
        <v>6799</v>
      </c>
      <c r="E3884" s="450"/>
      <c r="F3884" s="450"/>
      <c r="G3884" s="450" t="s">
        <v>22877</v>
      </c>
      <c r="H3884" s="450" t="s">
        <v>22878</v>
      </c>
      <c r="I3884" s="450" t="s">
        <v>24747</v>
      </c>
      <c r="J3884" s="450" t="s">
        <v>34748</v>
      </c>
      <c r="K3884" s="450"/>
    </row>
    <row r="3885" spans="1:11">
      <c r="A3885" s="451" t="s">
        <v>6796</v>
      </c>
      <c r="B3885" s="451" t="s">
        <v>6797</v>
      </c>
      <c r="C3885" s="451" t="s">
        <v>6798</v>
      </c>
      <c r="D3885" s="451" t="s">
        <v>6799</v>
      </c>
      <c r="E3885" s="451" t="s">
        <v>6800</v>
      </c>
      <c r="F3885" s="451"/>
      <c r="G3885" s="451" t="s">
        <v>22877</v>
      </c>
      <c r="H3885" s="451" t="s">
        <v>22878</v>
      </c>
      <c r="I3885" s="451" t="s">
        <v>24747</v>
      </c>
      <c r="J3885" s="451" t="s">
        <v>34749</v>
      </c>
      <c r="K3885" s="451"/>
    </row>
    <row r="3886" spans="1:11">
      <c r="A3886" s="450" t="s">
        <v>6801</v>
      </c>
      <c r="B3886" s="450" t="s">
        <v>34750</v>
      </c>
      <c r="C3886" s="450" t="s">
        <v>6803</v>
      </c>
      <c r="D3886" s="450" t="s">
        <v>6804</v>
      </c>
      <c r="E3886" s="450"/>
      <c r="F3886" s="450"/>
      <c r="G3886" s="450" t="s">
        <v>22877</v>
      </c>
      <c r="H3886" s="450" t="s">
        <v>22878</v>
      </c>
      <c r="I3886" s="450" t="s">
        <v>24747</v>
      </c>
      <c r="J3886" s="450" t="s">
        <v>34751</v>
      </c>
      <c r="K3886" s="450"/>
    </row>
    <row r="3887" spans="1:11">
      <c r="A3887" s="451" t="s">
        <v>6801</v>
      </c>
      <c r="B3887" s="451" t="s">
        <v>6802</v>
      </c>
      <c r="C3887" s="451" t="s">
        <v>6803</v>
      </c>
      <c r="D3887" s="451" t="s">
        <v>6804</v>
      </c>
      <c r="E3887" s="451" t="s">
        <v>6800</v>
      </c>
      <c r="F3887" s="451"/>
      <c r="G3887" s="451" t="s">
        <v>22877</v>
      </c>
      <c r="H3887" s="451" t="s">
        <v>22878</v>
      </c>
      <c r="I3887" s="451" t="s">
        <v>24747</v>
      </c>
      <c r="J3887" s="451" t="s">
        <v>31080</v>
      </c>
      <c r="K3887" s="451"/>
    </row>
    <row r="3888" spans="1:11">
      <c r="A3888" s="450" t="s">
        <v>6805</v>
      </c>
      <c r="B3888" s="450" t="s">
        <v>6806</v>
      </c>
      <c r="C3888" s="450" t="s">
        <v>6807</v>
      </c>
      <c r="D3888" s="450" t="s">
        <v>6808</v>
      </c>
      <c r="E3888" s="450"/>
      <c r="F3888" s="450"/>
      <c r="G3888" s="450" t="s">
        <v>22882</v>
      </c>
      <c r="H3888" s="450" t="s">
        <v>22883</v>
      </c>
      <c r="I3888" s="450" t="s">
        <v>24923</v>
      </c>
      <c r="J3888" s="450" t="s">
        <v>24924</v>
      </c>
      <c r="K3888" s="450"/>
    </row>
    <row r="3889" spans="1:11">
      <c r="A3889" s="451" t="s">
        <v>6805</v>
      </c>
      <c r="B3889" s="451" t="s">
        <v>6806</v>
      </c>
      <c r="C3889" s="451" t="s">
        <v>6807</v>
      </c>
      <c r="D3889" s="451" t="s">
        <v>6808</v>
      </c>
      <c r="E3889" s="451" t="s">
        <v>6809</v>
      </c>
      <c r="F3889" s="451"/>
      <c r="G3889" s="451" t="s">
        <v>22882</v>
      </c>
      <c r="H3889" s="451" t="s">
        <v>22883</v>
      </c>
      <c r="I3889" s="451" t="s">
        <v>24923</v>
      </c>
      <c r="J3889" s="451" t="s">
        <v>24924</v>
      </c>
      <c r="K3889" s="451"/>
    </row>
    <row r="3890" spans="1:11">
      <c r="A3890" s="450" t="s">
        <v>34752</v>
      </c>
      <c r="B3890" s="450" t="s">
        <v>34753</v>
      </c>
      <c r="C3890" s="450" t="s">
        <v>6812</v>
      </c>
      <c r="D3890" s="450" t="s">
        <v>6813</v>
      </c>
      <c r="E3890" s="450"/>
      <c r="F3890" s="450"/>
      <c r="G3890" s="450" t="s">
        <v>22877</v>
      </c>
      <c r="H3890" s="450" t="s">
        <v>22878</v>
      </c>
      <c r="I3890" s="450" t="s">
        <v>6813</v>
      </c>
      <c r="J3890" s="450" t="s">
        <v>34754</v>
      </c>
      <c r="K3890" s="450"/>
    </row>
    <row r="3891" spans="1:11">
      <c r="A3891" s="451" t="s">
        <v>6810</v>
      </c>
      <c r="B3891" s="451" t="s">
        <v>6811</v>
      </c>
      <c r="C3891" s="451" t="s">
        <v>6812</v>
      </c>
      <c r="D3891" s="451" t="s">
        <v>6813</v>
      </c>
      <c r="E3891" s="451" t="s">
        <v>6814</v>
      </c>
      <c r="F3891" s="451"/>
      <c r="G3891" s="451" t="s">
        <v>22877</v>
      </c>
      <c r="H3891" s="451" t="s">
        <v>22878</v>
      </c>
      <c r="I3891" s="451" t="s">
        <v>6813</v>
      </c>
      <c r="J3891" s="451" t="s">
        <v>31081</v>
      </c>
      <c r="K3891" s="451"/>
    </row>
    <row r="3892" spans="1:11">
      <c r="A3892" s="450" t="s">
        <v>6819</v>
      </c>
      <c r="B3892" s="450"/>
      <c r="C3892" s="450" t="s">
        <v>6820</v>
      </c>
      <c r="D3892" s="450" t="s">
        <v>6808</v>
      </c>
      <c r="E3892" s="450"/>
      <c r="F3892" s="450"/>
      <c r="G3892" s="450" t="s">
        <v>22882</v>
      </c>
      <c r="H3892" s="450" t="s">
        <v>22883</v>
      </c>
      <c r="I3892" s="450" t="s">
        <v>6808</v>
      </c>
      <c r="J3892" s="450" t="s">
        <v>34755</v>
      </c>
      <c r="K3892" s="450"/>
    </row>
    <row r="3893" spans="1:11">
      <c r="A3893" s="451" t="s">
        <v>6819</v>
      </c>
      <c r="B3893" s="451"/>
      <c r="C3893" s="451" t="s">
        <v>6820</v>
      </c>
      <c r="D3893" s="451" t="s">
        <v>6808</v>
      </c>
      <c r="E3893" s="451" t="s">
        <v>6809</v>
      </c>
      <c r="F3893" s="451"/>
      <c r="G3893" s="451" t="s">
        <v>22882</v>
      </c>
      <c r="H3893" s="451" t="s">
        <v>22883</v>
      </c>
      <c r="I3893" s="451" t="s">
        <v>34756</v>
      </c>
      <c r="J3893" s="451" t="s">
        <v>34757</v>
      </c>
      <c r="K3893" s="451"/>
    </row>
    <row r="3894" spans="1:11">
      <c r="A3894" s="450" t="s">
        <v>34758</v>
      </c>
      <c r="B3894" s="450"/>
      <c r="C3894" s="450" t="s">
        <v>34759</v>
      </c>
      <c r="D3894" s="450"/>
      <c r="E3894" s="450"/>
      <c r="F3894" s="450"/>
      <c r="G3894" s="450" t="s">
        <v>22877</v>
      </c>
      <c r="H3894" s="450" t="s">
        <v>22878</v>
      </c>
      <c r="I3894" s="450" t="s">
        <v>24925</v>
      </c>
      <c r="J3894" s="450" t="s">
        <v>22939</v>
      </c>
      <c r="K3894" s="450"/>
    </row>
    <row r="3895" spans="1:11">
      <c r="A3895" s="451" t="s">
        <v>6821</v>
      </c>
      <c r="B3895" s="451"/>
      <c r="C3895" s="451" t="s">
        <v>6822</v>
      </c>
      <c r="D3895" s="451"/>
      <c r="E3895" s="451"/>
      <c r="F3895" s="451"/>
      <c r="G3895" s="451" t="s">
        <v>22877</v>
      </c>
      <c r="H3895" s="451" t="s">
        <v>22878</v>
      </c>
      <c r="I3895" s="451" t="s">
        <v>24925</v>
      </c>
      <c r="J3895" s="451" t="s">
        <v>22939</v>
      </c>
      <c r="K3895" s="451"/>
    </row>
    <row r="3896" spans="1:11">
      <c r="A3896" s="450" t="s">
        <v>21635</v>
      </c>
      <c r="B3896" s="450" t="s">
        <v>6815</v>
      </c>
      <c r="C3896" s="450" t="s">
        <v>6816</v>
      </c>
      <c r="D3896" s="450" t="s">
        <v>6817</v>
      </c>
      <c r="E3896" s="450"/>
      <c r="F3896" s="450"/>
      <c r="G3896" s="450" t="s">
        <v>22882</v>
      </c>
      <c r="H3896" s="450" t="s">
        <v>22883</v>
      </c>
      <c r="I3896" s="450" t="s">
        <v>6817</v>
      </c>
      <c r="J3896" s="450" t="s">
        <v>34760</v>
      </c>
      <c r="K3896" s="450"/>
    </row>
    <row r="3897" spans="1:11">
      <c r="A3897" s="451" t="s">
        <v>21635</v>
      </c>
      <c r="B3897" s="451" t="s">
        <v>6815</v>
      </c>
      <c r="C3897" s="451" t="s">
        <v>6816</v>
      </c>
      <c r="D3897" s="451" t="s">
        <v>6817</v>
      </c>
      <c r="E3897" s="451" t="s">
        <v>6818</v>
      </c>
      <c r="F3897" s="451"/>
      <c r="G3897" s="451" t="s">
        <v>22877</v>
      </c>
      <c r="H3897" s="451" t="s">
        <v>22878</v>
      </c>
      <c r="I3897" s="451" t="s">
        <v>31082</v>
      </c>
      <c r="J3897" s="451" t="s">
        <v>31083</v>
      </c>
      <c r="K3897" s="451"/>
    </row>
    <row r="3898" spans="1:11">
      <c r="A3898" s="450" t="s">
        <v>34761</v>
      </c>
      <c r="B3898" s="450"/>
      <c r="C3898" s="450" t="s">
        <v>6824</v>
      </c>
      <c r="D3898" s="450"/>
      <c r="E3898" s="450"/>
      <c r="F3898" s="450"/>
      <c r="G3898" s="450" t="s">
        <v>22882</v>
      </c>
      <c r="H3898" s="450" t="s">
        <v>22883</v>
      </c>
      <c r="I3898" s="450" t="s">
        <v>34762</v>
      </c>
      <c r="J3898" s="450" t="s">
        <v>22943</v>
      </c>
      <c r="K3898" s="450"/>
    </row>
    <row r="3899" spans="1:11">
      <c r="A3899" s="451" t="s">
        <v>6823</v>
      </c>
      <c r="B3899" s="451"/>
      <c r="C3899" s="451" t="s">
        <v>6824</v>
      </c>
      <c r="D3899" s="451"/>
      <c r="E3899" s="451"/>
      <c r="F3899" s="451"/>
      <c r="G3899" s="451" t="s">
        <v>22882</v>
      </c>
      <c r="H3899" s="451" t="s">
        <v>22883</v>
      </c>
      <c r="I3899" s="451"/>
      <c r="J3899" s="451" t="s">
        <v>22942</v>
      </c>
      <c r="K3899" s="451"/>
    </row>
    <row r="3900" spans="1:11">
      <c r="A3900" s="450" t="s">
        <v>6825</v>
      </c>
      <c r="B3900" s="450" t="s">
        <v>6826</v>
      </c>
      <c r="C3900" s="450" t="s">
        <v>6827</v>
      </c>
      <c r="D3900" s="450" t="s">
        <v>6828</v>
      </c>
      <c r="E3900" s="450"/>
      <c r="F3900" s="450"/>
      <c r="G3900" s="450" t="s">
        <v>22882</v>
      </c>
      <c r="H3900" s="450" t="s">
        <v>22883</v>
      </c>
      <c r="I3900" s="450" t="s">
        <v>6828</v>
      </c>
      <c r="J3900" s="450" t="s">
        <v>24926</v>
      </c>
      <c r="K3900" s="450"/>
    </row>
    <row r="3901" spans="1:11">
      <c r="A3901" s="451" t="s">
        <v>6825</v>
      </c>
      <c r="B3901" s="451" t="s">
        <v>6826</v>
      </c>
      <c r="C3901" s="451" t="s">
        <v>6827</v>
      </c>
      <c r="D3901" s="451" t="s">
        <v>6828</v>
      </c>
      <c r="E3901" s="451" t="s">
        <v>6829</v>
      </c>
      <c r="F3901" s="451"/>
      <c r="G3901" s="451" t="s">
        <v>22882</v>
      </c>
      <c r="H3901" s="451" t="s">
        <v>22883</v>
      </c>
      <c r="I3901" s="451"/>
      <c r="J3901" s="451" t="s">
        <v>24926</v>
      </c>
      <c r="K3901" s="451"/>
    </row>
    <row r="3902" spans="1:11">
      <c r="A3902" s="450" t="s">
        <v>6830</v>
      </c>
      <c r="B3902" s="450" t="s">
        <v>24927</v>
      </c>
      <c r="C3902" s="450" t="s">
        <v>3213</v>
      </c>
      <c r="D3902" s="450" t="s">
        <v>6832</v>
      </c>
      <c r="E3902" s="450"/>
      <c r="F3902" s="450"/>
      <c r="G3902" s="450" t="s">
        <v>22882</v>
      </c>
      <c r="H3902" s="450" t="s">
        <v>22883</v>
      </c>
      <c r="I3902" s="450" t="s">
        <v>6832</v>
      </c>
      <c r="J3902" s="450" t="s">
        <v>24928</v>
      </c>
      <c r="K3902" s="450"/>
    </row>
    <row r="3903" spans="1:11">
      <c r="A3903" s="451" t="s">
        <v>6830</v>
      </c>
      <c r="B3903" s="451" t="s">
        <v>6831</v>
      </c>
      <c r="C3903" s="451" t="s">
        <v>3213</v>
      </c>
      <c r="D3903" s="451" t="s">
        <v>6832</v>
      </c>
      <c r="E3903" s="451" t="s">
        <v>6833</v>
      </c>
      <c r="F3903" s="451"/>
      <c r="G3903" s="451" t="s">
        <v>22882</v>
      </c>
      <c r="H3903" s="451" t="s">
        <v>22883</v>
      </c>
      <c r="I3903" s="451"/>
      <c r="J3903" s="451" t="s">
        <v>31084</v>
      </c>
      <c r="K3903" s="451"/>
    </row>
    <row r="3904" spans="1:11">
      <c r="A3904" s="450" t="s">
        <v>34763</v>
      </c>
      <c r="B3904" s="450"/>
      <c r="C3904" s="450" t="s">
        <v>3814</v>
      </c>
      <c r="D3904" s="450" t="s">
        <v>6835</v>
      </c>
      <c r="E3904" s="450"/>
      <c r="F3904" s="450"/>
      <c r="G3904" s="450" t="s">
        <v>22882</v>
      </c>
      <c r="H3904" s="450" t="s">
        <v>22883</v>
      </c>
      <c r="I3904" s="450" t="s">
        <v>6835</v>
      </c>
      <c r="J3904" s="450" t="s">
        <v>34764</v>
      </c>
      <c r="K3904" s="450"/>
    </row>
    <row r="3905" spans="1:11">
      <c r="A3905" s="451" t="s">
        <v>6834</v>
      </c>
      <c r="B3905" s="451"/>
      <c r="C3905" s="451" t="s">
        <v>3814</v>
      </c>
      <c r="D3905" s="451" t="s">
        <v>6835</v>
      </c>
      <c r="E3905" s="451" t="s">
        <v>6836</v>
      </c>
      <c r="F3905" s="451"/>
      <c r="G3905" s="451" t="s">
        <v>22882</v>
      </c>
      <c r="H3905" s="451" t="s">
        <v>22883</v>
      </c>
      <c r="I3905" s="451"/>
      <c r="J3905" s="451" t="s">
        <v>31085</v>
      </c>
      <c r="K3905" s="451"/>
    </row>
    <row r="3906" spans="1:11">
      <c r="A3906" s="450" t="s">
        <v>6837</v>
      </c>
      <c r="B3906" s="450" t="s">
        <v>6838</v>
      </c>
      <c r="C3906" s="450" t="s">
        <v>6839</v>
      </c>
      <c r="D3906" s="450" t="s">
        <v>6840</v>
      </c>
      <c r="E3906" s="450"/>
      <c r="F3906" s="450"/>
      <c r="G3906" s="450" t="s">
        <v>22877</v>
      </c>
      <c r="H3906" s="450" t="s">
        <v>22878</v>
      </c>
      <c r="I3906" s="450" t="s">
        <v>6840</v>
      </c>
      <c r="J3906" s="450" t="s">
        <v>24929</v>
      </c>
      <c r="K3906" s="450"/>
    </row>
    <row r="3907" spans="1:11">
      <c r="A3907" s="451" t="s">
        <v>6837</v>
      </c>
      <c r="B3907" s="451" t="s">
        <v>6838</v>
      </c>
      <c r="C3907" s="451" t="s">
        <v>6839</v>
      </c>
      <c r="D3907" s="451" t="s">
        <v>6840</v>
      </c>
      <c r="E3907" s="451" t="s">
        <v>6841</v>
      </c>
      <c r="F3907" s="451"/>
      <c r="G3907" s="451" t="s">
        <v>22877</v>
      </c>
      <c r="H3907" s="451" t="s">
        <v>22878</v>
      </c>
      <c r="I3907" s="451" t="s">
        <v>6840</v>
      </c>
      <c r="J3907" s="451" t="s">
        <v>24929</v>
      </c>
      <c r="K3907" s="451"/>
    </row>
    <row r="3908" spans="1:11">
      <c r="A3908" s="450" t="s">
        <v>6842</v>
      </c>
      <c r="B3908" s="450"/>
      <c r="C3908" s="450" t="s">
        <v>6843</v>
      </c>
      <c r="D3908" s="450"/>
      <c r="E3908" s="450"/>
      <c r="F3908" s="450"/>
      <c r="G3908" s="450" t="s">
        <v>22877</v>
      </c>
      <c r="H3908" s="450" t="s">
        <v>22878</v>
      </c>
      <c r="I3908" s="450" t="s">
        <v>24931</v>
      </c>
      <c r="J3908" s="450" t="s">
        <v>22942</v>
      </c>
      <c r="K3908" s="450"/>
    </row>
    <row r="3909" spans="1:11">
      <c r="A3909" s="451" t="s">
        <v>24930</v>
      </c>
      <c r="B3909" s="451"/>
      <c r="C3909" s="451" t="s">
        <v>6843</v>
      </c>
      <c r="D3909" s="451"/>
      <c r="E3909" s="451"/>
      <c r="F3909" s="451"/>
      <c r="G3909" s="451" t="s">
        <v>22877</v>
      </c>
      <c r="H3909" s="451" t="s">
        <v>22878</v>
      </c>
      <c r="I3909" s="451" t="s">
        <v>24931</v>
      </c>
      <c r="J3909" s="451" t="s">
        <v>22943</v>
      </c>
      <c r="K3909" s="451"/>
    </row>
    <row r="3910" spans="1:11">
      <c r="A3910" s="450" t="s">
        <v>6844</v>
      </c>
      <c r="B3910" s="450" t="s">
        <v>24932</v>
      </c>
      <c r="C3910" s="450" t="s">
        <v>6846</v>
      </c>
      <c r="D3910" s="450" t="s">
        <v>6847</v>
      </c>
      <c r="E3910" s="450"/>
      <c r="F3910" s="450"/>
      <c r="G3910" s="450" t="s">
        <v>22877</v>
      </c>
      <c r="H3910" s="450" t="s">
        <v>22878</v>
      </c>
      <c r="I3910" s="450" t="s">
        <v>6847</v>
      </c>
      <c r="J3910" s="450" t="s">
        <v>24933</v>
      </c>
      <c r="K3910" s="450"/>
    </row>
    <row r="3911" spans="1:11">
      <c r="A3911" s="451" t="s">
        <v>6844</v>
      </c>
      <c r="B3911" s="451" t="s">
        <v>6845</v>
      </c>
      <c r="C3911" s="451" t="s">
        <v>6846</v>
      </c>
      <c r="D3911" s="451" t="s">
        <v>6847</v>
      </c>
      <c r="E3911" s="451"/>
      <c r="F3911" s="451"/>
      <c r="G3911" s="451" t="s">
        <v>22877</v>
      </c>
      <c r="H3911" s="451" t="s">
        <v>22878</v>
      </c>
      <c r="I3911" s="451" t="s">
        <v>6934</v>
      </c>
      <c r="J3911" s="451" t="s">
        <v>31086</v>
      </c>
      <c r="K3911" s="451"/>
    </row>
    <row r="3912" spans="1:11">
      <c r="A3912" s="450" t="s">
        <v>34765</v>
      </c>
      <c r="B3912" s="450"/>
      <c r="C3912" s="450" t="s">
        <v>6849</v>
      </c>
      <c r="D3912" s="450"/>
      <c r="E3912" s="450"/>
      <c r="F3912" s="450"/>
      <c r="G3912" s="450" t="s">
        <v>22882</v>
      </c>
      <c r="H3912" s="450" t="s">
        <v>22883</v>
      </c>
      <c r="I3912" s="450"/>
      <c r="J3912" s="450" t="s">
        <v>23370</v>
      </c>
      <c r="K3912" s="450"/>
    </row>
    <row r="3913" spans="1:11">
      <c r="A3913" s="451" t="s">
        <v>6848</v>
      </c>
      <c r="B3913" s="451"/>
      <c r="C3913" s="451" t="s">
        <v>6849</v>
      </c>
      <c r="D3913" s="451"/>
      <c r="E3913" s="451"/>
      <c r="F3913" s="451"/>
      <c r="G3913" s="451" t="s">
        <v>22882</v>
      </c>
      <c r="H3913" s="451" t="s">
        <v>22883</v>
      </c>
      <c r="I3913" s="451"/>
      <c r="J3913" s="451" t="s">
        <v>22937</v>
      </c>
      <c r="K3913" s="451"/>
    </row>
    <row r="3914" spans="1:11">
      <c r="A3914" s="450" t="s">
        <v>6850</v>
      </c>
      <c r="B3914" s="450"/>
      <c r="C3914" s="450" t="s">
        <v>6181</v>
      </c>
      <c r="D3914" s="450"/>
      <c r="E3914" s="450"/>
      <c r="F3914" s="450"/>
      <c r="G3914" s="450" t="s">
        <v>22877</v>
      </c>
      <c r="H3914" s="450" t="s">
        <v>22878</v>
      </c>
      <c r="I3914" s="450" t="s">
        <v>24934</v>
      </c>
      <c r="J3914" s="450" t="s">
        <v>22943</v>
      </c>
      <c r="K3914" s="450"/>
    </row>
    <row r="3915" spans="1:11">
      <c r="A3915" s="451" t="s">
        <v>21374</v>
      </c>
      <c r="B3915" s="451" t="s">
        <v>24935</v>
      </c>
      <c r="C3915" s="451" t="s">
        <v>24936</v>
      </c>
      <c r="D3915" s="451"/>
      <c r="E3915" s="451"/>
      <c r="F3915" s="451"/>
      <c r="G3915" s="451" t="s">
        <v>22877</v>
      </c>
      <c r="H3915" s="451" t="s">
        <v>22878</v>
      </c>
      <c r="I3915" s="451" t="s">
        <v>24937</v>
      </c>
      <c r="J3915" s="451" t="s">
        <v>24938</v>
      </c>
      <c r="K3915" s="451"/>
    </row>
    <row r="3916" spans="1:11">
      <c r="A3916" s="450" t="s">
        <v>21374</v>
      </c>
      <c r="B3916" s="450" t="s">
        <v>21373</v>
      </c>
      <c r="C3916" s="450" t="s">
        <v>21372</v>
      </c>
      <c r="D3916" s="450"/>
      <c r="E3916" s="450"/>
      <c r="F3916" s="450"/>
      <c r="G3916" s="450" t="s">
        <v>22877</v>
      </c>
      <c r="H3916" s="450" t="s">
        <v>22878</v>
      </c>
      <c r="I3916" s="450" t="s">
        <v>31087</v>
      </c>
      <c r="J3916" s="450" t="s">
        <v>24935</v>
      </c>
      <c r="K3916" s="450"/>
    </row>
    <row r="3917" spans="1:11">
      <c r="A3917" s="451" t="s">
        <v>6851</v>
      </c>
      <c r="B3917" s="451"/>
      <c r="C3917" s="451" t="s">
        <v>6852</v>
      </c>
      <c r="D3917" s="451"/>
      <c r="E3917" s="451"/>
      <c r="F3917" s="451"/>
      <c r="G3917" s="451" t="s">
        <v>22877</v>
      </c>
      <c r="H3917" s="451" t="s">
        <v>22878</v>
      </c>
      <c r="I3917" s="451" t="s">
        <v>34766</v>
      </c>
      <c r="J3917" s="451" t="s">
        <v>22943</v>
      </c>
      <c r="K3917" s="451"/>
    </row>
    <row r="3918" spans="1:11">
      <c r="A3918" s="450" t="s">
        <v>6853</v>
      </c>
      <c r="B3918" s="450"/>
      <c r="C3918" s="450" t="s">
        <v>6854</v>
      </c>
      <c r="D3918" s="450"/>
      <c r="E3918" s="450"/>
      <c r="F3918" s="450"/>
      <c r="G3918" s="450" t="s">
        <v>22877</v>
      </c>
      <c r="H3918" s="450" t="s">
        <v>22878</v>
      </c>
      <c r="I3918" s="450" t="s">
        <v>34767</v>
      </c>
      <c r="J3918" s="450" t="s">
        <v>22943</v>
      </c>
      <c r="K3918" s="450"/>
    </row>
    <row r="3919" spans="1:11">
      <c r="A3919" s="451" t="s">
        <v>6855</v>
      </c>
      <c r="B3919" s="451"/>
      <c r="C3919" s="451" t="s">
        <v>6856</v>
      </c>
      <c r="D3919" s="451"/>
      <c r="E3919" s="451"/>
      <c r="F3919" s="451"/>
      <c r="G3919" s="451" t="s">
        <v>22877</v>
      </c>
      <c r="H3919" s="451" t="s">
        <v>22878</v>
      </c>
      <c r="I3919" s="451" t="s">
        <v>34768</v>
      </c>
      <c r="J3919" s="451" t="s">
        <v>22997</v>
      </c>
      <c r="K3919" s="451"/>
    </row>
    <row r="3920" spans="1:11">
      <c r="A3920" s="450" t="s">
        <v>6857</v>
      </c>
      <c r="B3920" s="450"/>
      <c r="C3920" s="450" t="s">
        <v>6858</v>
      </c>
      <c r="D3920" s="450"/>
      <c r="E3920" s="450"/>
      <c r="F3920" s="450"/>
      <c r="G3920" s="450" t="s">
        <v>22882</v>
      </c>
      <c r="H3920" s="450" t="s">
        <v>22883</v>
      </c>
      <c r="I3920" s="450"/>
      <c r="J3920" s="450" t="s">
        <v>22997</v>
      </c>
      <c r="K3920" s="450"/>
    </row>
    <row r="3921" spans="1:11">
      <c r="A3921" s="451" t="s">
        <v>34769</v>
      </c>
      <c r="B3921" s="451"/>
      <c r="C3921" s="451" t="s">
        <v>6860</v>
      </c>
      <c r="D3921" s="451"/>
      <c r="E3921" s="451"/>
      <c r="F3921" s="451"/>
      <c r="G3921" s="451" t="s">
        <v>22882</v>
      </c>
      <c r="H3921" s="451" t="s">
        <v>22883</v>
      </c>
      <c r="I3921" s="451"/>
      <c r="J3921" s="451" t="s">
        <v>22943</v>
      </c>
      <c r="K3921" s="451"/>
    </row>
    <row r="3922" spans="1:11">
      <c r="A3922" s="450" t="s">
        <v>6859</v>
      </c>
      <c r="B3922" s="450"/>
      <c r="C3922" s="450" t="s">
        <v>6860</v>
      </c>
      <c r="D3922" s="450"/>
      <c r="E3922" s="450"/>
      <c r="F3922" s="450"/>
      <c r="G3922" s="450" t="s">
        <v>22882</v>
      </c>
      <c r="H3922" s="450" t="s">
        <v>22883</v>
      </c>
      <c r="I3922" s="450"/>
      <c r="J3922" s="450" t="s">
        <v>23143</v>
      </c>
      <c r="K3922" s="450"/>
    </row>
    <row r="3923" spans="1:11">
      <c r="A3923" s="451" t="s">
        <v>34770</v>
      </c>
      <c r="B3923" s="451"/>
      <c r="C3923" s="451" t="s">
        <v>3684</v>
      </c>
      <c r="D3923" s="451"/>
      <c r="E3923" s="451"/>
      <c r="F3923" s="451"/>
      <c r="G3923" s="451" t="s">
        <v>22882</v>
      </c>
      <c r="H3923" s="451" t="s">
        <v>22883</v>
      </c>
      <c r="I3923" s="451"/>
      <c r="J3923" s="451" t="s">
        <v>22943</v>
      </c>
      <c r="K3923" s="451"/>
    </row>
    <row r="3924" spans="1:11">
      <c r="A3924" s="450" t="s">
        <v>6861</v>
      </c>
      <c r="B3924" s="450"/>
      <c r="C3924" s="450" t="s">
        <v>3684</v>
      </c>
      <c r="D3924" s="450"/>
      <c r="E3924" s="450"/>
      <c r="F3924" s="450"/>
      <c r="G3924" s="450" t="s">
        <v>22882</v>
      </c>
      <c r="H3924" s="450" t="s">
        <v>22883</v>
      </c>
      <c r="I3924" s="450"/>
      <c r="J3924" s="450" t="s">
        <v>22997</v>
      </c>
      <c r="K3924" s="450"/>
    </row>
    <row r="3925" spans="1:11">
      <c r="A3925" s="451" t="s">
        <v>24939</v>
      </c>
      <c r="B3925" s="451" t="s">
        <v>6863</v>
      </c>
      <c r="C3925" s="451" t="s">
        <v>1242</v>
      </c>
      <c r="D3925" s="451" t="s">
        <v>6864</v>
      </c>
      <c r="E3925" s="451"/>
      <c r="F3925" s="451"/>
      <c r="G3925" s="451" t="s">
        <v>22882</v>
      </c>
      <c r="H3925" s="451" t="s">
        <v>22883</v>
      </c>
      <c r="I3925" s="451" t="s">
        <v>23389</v>
      </c>
      <c r="J3925" s="451" t="s">
        <v>24940</v>
      </c>
      <c r="K3925" s="451"/>
    </row>
    <row r="3926" spans="1:11">
      <c r="A3926" s="450" t="s">
        <v>6862</v>
      </c>
      <c r="B3926" s="450" t="s">
        <v>6863</v>
      </c>
      <c r="C3926" s="450" t="s">
        <v>1242</v>
      </c>
      <c r="D3926" s="450" t="s">
        <v>6864</v>
      </c>
      <c r="E3926" s="450" t="s">
        <v>6865</v>
      </c>
      <c r="F3926" s="450"/>
      <c r="G3926" s="450" t="s">
        <v>22882</v>
      </c>
      <c r="H3926" s="450" t="s">
        <v>22883</v>
      </c>
      <c r="I3926" s="450"/>
      <c r="J3926" s="450" t="s">
        <v>34771</v>
      </c>
      <c r="K3926" s="450"/>
    </row>
    <row r="3927" spans="1:11">
      <c r="A3927" s="451" t="s">
        <v>6866</v>
      </c>
      <c r="B3927" s="451"/>
      <c r="C3927" s="451" t="s">
        <v>6867</v>
      </c>
      <c r="D3927" s="451"/>
      <c r="E3927" s="451"/>
      <c r="F3927" s="451"/>
      <c r="G3927" s="451" t="s">
        <v>22882</v>
      </c>
      <c r="H3927" s="451" t="s">
        <v>22883</v>
      </c>
      <c r="I3927" s="451"/>
      <c r="J3927" s="451" t="s">
        <v>23143</v>
      </c>
      <c r="K3927" s="451"/>
    </row>
    <row r="3928" spans="1:11">
      <c r="A3928" s="450" t="s">
        <v>34772</v>
      </c>
      <c r="B3928" s="450"/>
      <c r="C3928" s="450" t="s">
        <v>6867</v>
      </c>
      <c r="D3928" s="450"/>
      <c r="E3928" s="450"/>
      <c r="F3928" s="450"/>
      <c r="G3928" s="450" t="s">
        <v>22882</v>
      </c>
      <c r="H3928" s="450" t="s">
        <v>22883</v>
      </c>
      <c r="I3928" s="450"/>
      <c r="J3928" s="450" t="s">
        <v>22943</v>
      </c>
      <c r="K3928" s="450"/>
    </row>
    <row r="3929" spans="1:11">
      <c r="A3929" s="451" t="s">
        <v>6868</v>
      </c>
      <c r="B3929" s="451"/>
      <c r="C3929" s="451" t="s">
        <v>6869</v>
      </c>
      <c r="D3929" s="451"/>
      <c r="E3929" s="451"/>
      <c r="F3929" s="451"/>
      <c r="G3929" s="451" t="s">
        <v>22882</v>
      </c>
      <c r="H3929" s="451" t="s">
        <v>22883</v>
      </c>
      <c r="I3929" s="451" t="s">
        <v>34773</v>
      </c>
      <c r="J3929" s="451" t="s">
        <v>34774</v>
      </c>
      <c r="K3929" s="451"/>
    </row>
    <row r="3930" spans="1:11">
      <c r="A3930" s="450" t="s">
        <v>34775</v>
      </c>
      <c r="B3930" s="450"/>
      <c r="C3930" s="450" t="s">
        <v>6871</v>
      </c>
      <c r="D3930" s="450"/>
      <c r="E3930" s="450"/>
      <c r="F3930" s="450"/>
      <c r="G3930" s="450" t="s">
        <v>22882</v>
      </c>
      <c r="H3930" s="450" t="s">
        <v>22883</v>
      </c>
      <c r="I3930" s="450"/>
      <c r="J3930" s="450" t="s">
        <v>23370</v>
      </c>
      <c r="K3930" s="450"/>
    </row>
    <row r="3931" spans="1:11">
      <c r="A3931" s="451" t="s">
        <v>6870</v>
      </c>
      <c r="B3931" s="451"/>
      <c r="C3931" s="451" t="s">
        <v>6871</v>
      </c>
      <c r="D3931" s="451"/>
      <c r="E3931" s="451"/>
      <c r="F3931" s="451"/>
      <c r="G3931" s="451" t="s">
        <v>22882</v>
      </c>
      <c r="H3931" s="451" t="s">
        <v>22883</v>
      </c>
      <c r="I3931" s="451"/>
      <c r="J3931" s="451" t="s">
        <v>22937</v>
      </c>
      <c r="K3931" s="451"/>
    </row>
    <row r="3932" spans="1:11">
      <c r="A3932" s="450" t="s">
        <v>34776</v>
      </c>
      <c r="B3932" s="450" t="s">
        <v>6873</v>
      </c>
      <c r="C3932" s="450" t="s">
        <v>3861</v>
      </c>
      <c r="D3932" s="450" t="s">
        <v>6874</v>
      </c>
      <c r="E3932" s="450"/>
      <c r="F3932" s="450"/>
      <c r="G3932" s="450" t="s">
        <v>22877</v>
      </c>
      <c r="H3932" s="450" t="s">
        <v>22878</v>
      </c>
      <c r="I3932" s="450" t="s">
        <v>6874</v>
      </c>
      <c r="J3932" s="450" t="s">
        <v>34777</v>
      </c>
      <c r="K3932" s="450"/>
    </row>
    <row r="3933" spans="1:11">
      <c r="A3933" s="451" t="s">
        <v>6872</v>
      </c>
      <c r="B3933" s="451" t="s">
        <v>6873</v>
      </c>
      <c r="C3933" s="451" t="s">
        <v>3861</v>
      </c>
      <c r="D3933" s="451" t="s">
        <v>6874</v>
      </c>
      <c r="E3933" s="451" t="s">
        <v>6875</v>
      </c>
      <c r="F3933" s="451"/>
      <c r="G3933" s="451" t="s">
        <v>22877</v>
      </c>
      <c r="H3933" s="451" t="s">
        <v>22878</v>
      </c>
      <c r="I3933" s="451" t="s">
        <v>31088</v>
      </c>
      <c r="J3933" s="451" t="s">
        <v>31089</v>
      </c>
      <c r="K3933" s="451"/>
    </row>
    <row r="3934" spans="1:11">
      <c r="A3934" s="450" t="s">
        <v>6876</v>
      </c>
      <c r="B3934" s="450"/>
      <c r="C3934" s="450" t="s">
        <v>5958</v>
      </c>
      <c r="D3934" s="450"/>
      <c r="E3934" s="450"/>
      <c r="F3934" s="450"/>
      <c r="G3934" s="450" t="s">
        <v>22877</v>
      </c>
      <c r="H3934" s="450" t="s">
        <v>22878</v>
      </c>
      <c r="I3934" s="450" t="s">
        <v>34778</v>
      </c>
      <c r="J3934" s="450" t="s">
        <v>22943</v>
      </c>
      <c r="K3934" s="450"/>
    </row>
    <row r="3935" spans="1:11">
      <c r="A3935" s="451" t="s">
        <v>34779</v>
      </c>
      <c r="B3935" s="451"/>
      <c r="C3935" s="451" t="s">
        <v>1167</v>
      </c>
      <c r="D3935" s="451"/>
      <c r="E3935" s="451"/>
      <c r="F3935" s="451"/>
      <c r="G3935" s="451" t="s">
        <v>22882</v>
      </c>
      <c r="H3935" s="451" t="s">
        <v>22883</v>
      </c>
      <c r="I3935" s="451" t="s">
        <v>34780</v>
      </c>
      <c r="J3935" s="451" t="s">
        <v>23370</v>
      </c>
      <c r="K3935" s="451"/>
    </row>
    <row r="3936" spans="1:11">
      <c r="A3936" s="450" t="s">
        <v>6877</v>
      </c>
      <c r="B3936" s="450"/>
      <c r="C3936" s="450" t="s">
        <v>1167</v>
      </c>
      <c r="D3936" s="450"/>
      <c r="E3936" s="450"/>
      <c r="F3936" s="450"/>
      <c r="G3936" s="450" t="s">
        <v>22877</v>
      </c>
      <c r="H3936" s="450" t="s">
        <v>22878</v>
      </c>
      <c r="I3936" s="450" t="s">
        <v>34781</v>
      </c>
      <c r="J3936" s="450" t="s">
        <v>22937</v>
      </c>
      <c r="K3936" s="450"/>
    </row>
    <row r="3937" spans="1:11">
      <c r="A3937" s="451" t="s">
        <v>6878</v>
      </c>
      <c r="B3937" s="451"/>
      <c r="C3937" s="451" t="s">
        <v>6879</v>
      </c>
      <c r="D3937" s="451"/>
      <c r="E3937" s="451"/>
      <c r="F3937" s="451"/>
      <c r="G3937" s="451" t="s">
        <v>22877</v>
      </c>
      <c r="H3937" s="451" t="s">
        <v>22878</v>
      </c>
      <c r="I3937" s="451" t="s">
        <v>34782</v>
      </c>
      <c r="J3937" s="451" t="s">
        <v>22939</v>
      </c>
      <c r="K3937" s="451"/>
    </row>
    <row r="3938" spans="1:11">
      <c r="A3938" s="450" t="s">
        <v>34783</v>
      </c>
      <c r="B3938" s="450"/>
      <c r="C3938" s="450" t="s">
        <v>4686</v>
      </c>
      <c r="D3938" s="450"/>
      <c r="E3938" s="450"/>
      <c r="F3938" s="450"/>
      <c r="G3938" s="450" t="s">
        <v>22877</v>
      </c>
      <c r="H3938" s="450" t="s">
        <v>22878</v>
      </c>
      <c r="I3938" s="450" t="s">
        <v>34784</v>
      </c>
      <c r="J3938" s="450" t="s">
        <v>22943</v>
      </c>
      <c r="K3938" s="450"/>
    </row>
    <row r="3939" spans="1:11">
      <c r="A3939" s="451" t="s">
        <v>6880</v>
      </c>
      <c r="B3939" s="451"/>
      <c r="C3939" s="451" t="s">
        <v>4686</v>
      </c>
      <c r="D3939" s="451"/>
      <c r="E3939" s="451"/>
      <c r="F3939" s="451"/>
      <c r="G3939" s="451" t="s">
        <v>22877</v>
      </c>
      <c r="H3939" s="451" t="s">
        <v>22878</v>
      </c>
      <c r="I3939" s="451" t="s">
        <v>34784</v>
      </c>
      <c r="J3939" s="451" t="s">
        <v>22937</v>
      </c>
      <c r="K3939" s="451"/>
    </row>
    <row r="3940" spans="1:11">
      <c r="A3940" s="450" t="s">
        <v>6881</v>
      </c>
      <c r="B3940" s="450"/>
      <c r="C3940" s="450" t="s">
        <v>6882</v>
      </c>
      <c r="D3940" s="450"/>
      <c r="E3940" s="450"/>
      <c r="F3940" s="450"/>
      <c r="G3940" s="450" t="s">
        <v>22877</v>
      </c>
      <c r="H3940" s="450" t="s">
        <v>22878</v>
      </c>
      <c r="I3940" s="450" t="s">
        <v>34785</v>
      </c>
      <c r="J3940" s="450" t="s">
        <v>22937</v>
      </c>
      <c r="K3940" s="450"/>
    </row>
    <row r="3941" spans="1:11">
      <c r="A3941" s="451" t="s">
        <v>6883</v>
      </c>
      <c r="B3941" s="451"/>
      <c r="C3941" s="451" t="s">
        <v>6884</v>
      </c>
      <c r="D3941" s="451"/>
      <c r="E3941" s="451"/>
      <c r="F3941" s="451"/>
      <c r="G3941" s="451" t="s">
        <v>22877</v>
      </c>
      <c r="H3941" s="451" t="s">
        <v>22878</v>
      </c>
      <c r="I3941" s="451" t="s">
        <v>34786</v>
      </c>
      <c r="J3941" s="451" t="s">
        <v>23143</v>
      </c>
      <c r="K3941" s="451"/>
    </row>
    <row r="3942" spans="1:11">
      <c r="A3942" s="450" t="s">
        <v>34787</v>
      </c>
      <c r="B3942" s="450"/>
      <c r="C3942" s="450" t="s">
        <v>6882</v>
      </c>
      <c r="D3942" s="450"/>
      <c r="E3942" s="450"/>
      <c r="F3942" s="450"/>
      <c r="G3942" s="450" t="s">
        <v>22877</v>
      </c>
      <c r="H3942" s="450" t="s">
        <v>22878</v>
      </c>
      <c r="I3942" s="450" t="s">
        <v>34785</v>
      </c>
      <c r="J3942" s="450" t="s">
        <v>22943</v>
      </c>
      <c r="K3942" s="450"/>
    </row>
    <row r="3943" spans="1:11">
      <c r="A3943" s="451" t="s">
        <v>34788</v>
      </c>
      <c r="B3943" s="451"/>
      <c r="C3943" s="451" t="s">
        <v>6884</v>
      </c>
      <c r="D3943" s="451"/>
      <c r="E3943" s="451"/>
      <c r="F3943" s="451"/>
      <c r="G3943" s="451" t="s">
        <v>22877</v>
      </c>
      <c r="H3943" s="451" t="s">
        <v>22878</v>
      </c>
      <c r="I3943" s="451" t="s">
        <v>34786</v>
      </c>
      <c r="J3943" s="451" t="s">
        <v>22943</v>
      </c>
      <c r="K3943" s="451"/>
    </row>
    <row r="3944" spans="1:11">
      <c r="A3944" s="450" t="s">
        <v>6885</v>
      </c>
      <c r="B3944" s="450"/>
      <c r="C3944" s="450" t="s">
        <v>6886</v>
      </c>
      <c r="D3944" s="450"/>
      <c r="E3944" s="450"/>
      <c r="F3944" s="450"/>
      <c r="G3944" s="450" t="s">
        <v>22882</v>
      </c>
      <c r="H3944" s="450" t="s">
        <v>22883</v>
      </c>
      <c r="I3944" s="450"/>
      <c r="J3944" s="450" t="s">
        <v>22937</v>
      </c>
      <c r="K3944" s="450"/>
    </row>
    <row r="3945" spans="1:11">
      <c r="A3945" s="451" t="s">
        <v>34789</v>
      </c>
      <c r="B3945" s="451"/>
      <c r="C3945" s="451" t="s">
        <v>6886</v>
      </c>
      <c r="D3945" s="451"/>
      <c r="E3945" s="451"/>
      <c r="F3945" s="451"/>
      <c r="G3945" s="451" t="s">
        <v>22882</v>
      </c>
      <c r="H3945" s="451" t="s">
        <v>22883</v>
      </c>
      <c r="I3945" s="451"/>
      <c r="J3945" s="451" t="s">
        <v>22943</v>
      </c>
      <c r="K3945" s="451"/>
    </row>
    <row r="3946" spans="1:11">
      <c r="A3946" s="450" t="s">
        <v>34790</v>
      </c>
      <c r="B3946" s="450"/>
      <c r="C3946" s="450" t="s">
        <v>6888</v>
      </c>
      <c r="D3946" s="450"/>
      <c r="E3946" s="450"/>
      <c r="F3946" s="450"/>
      <c r="G3946" s="450" t="s">
        <v>22877</v>
      </c>
      <c r="H3946" s="450" t="s">
        <v>22878</v>
      </c>
      <c r="I3946" s="450" t="s">
        <v>34791</v>
      </c>
      <c r="J3946" s="450" t="s">
        <v>22997</v>
      </c>
      <c r="K3946" s="450"/>
    </row>
    <row r="3947" spans="1:11">
      <c r="A3947" s="451" t="s">
        <v>6887</v>
      </c>
      <c r="B3947" s="451"/>
      <c r="C3947" s="451" t="s">
        <v>6888</v>
      </c>
      <c r="D3947" s="451"/>
      <c r="E3947" s="451"/>
      <c r="F3947" s="451"/>
      <c r="G3947" s="451" t="s">
        <v>22877</v>
      </c>
      <c r="H3947" s="451" t="s">
        <v>22878</v>
      </c>
      <c r="I3947" s="451" t="s">
        <v>34791</v>
      </c>
      <c r="J3947" s="451" t="s">
        <v>22939</v>
      </c>
      <c r="K3947" s="451"/>
    </row>
    <row r="3948" spans="1:11">
      <c r="A3948" s="450" t="s">
        <v>6889</v>
      </c>
      <c r="B3948" s="450"/>
      <c r="C3948" s="450" t="s">
        <v>6890</v>
      </c>
      <c r="D3948" s="450"/>
      <c r="E3948" s="450"/>
      <c r="F3948" s="450"/>
      <c r="G3948" s="450" t="s">
        <v>22877</v>
      </c>
      <c r="H3948" s="450" t="s">
        <v>22878</v>
      </c>
      <c r="I3948" s="450" t="s">
        <v>24941</v>
      </c>
      <c r="J3948" s="450" t="s">
        <v>23133</v>
      </c>
      <c r="K3948" s="450"/>
    </row>
    <row r="3949" spans="1:11">
      <c r="A3949" s="451" t="s">
        <v>24942</v>
      </c>
      <c r="B3949" s="451" t="s">
        <v>24943</v>
      </c>
      <c r="C3949" s="451" t="s">
        <v>24944</v>
      </c>
      <c r="D3949" s="451"/>
      <c r="E3949" s="451"/>
      <c r="F3949" s="451"/>
      <c r="G3949" s="451" t="s">
        <v>22877</v>
      </c>
      <c r="H3949" s="451" t="s">
        <v>22878</v>
      </c>
      <c r="I3949" s="451" t="s">
        <v>24945</v>
      </c>
      <c r="J3949" s="451" t="s">
        <v>24946</v>
      </c>
      <c r="K3949" s="451"/>
    </row>
    <row r="3950" spans="1:11">
      <c r="A3950" s="450" t="s">
        <v>34792</v>
      </c>
      <c r="B3950" s="450"/>
      <c r="C3950" s="450" t="s">
        <v>6892</v>
      </c>
      <c r="D3950" s="450" t="s">
        <v>6893</v>
      </c>
      <c r="E3950" s="450"/>
      <c r="F3950" s="450"/>
      <c r="G3950" s="450" t="s">
        <v>22877</v>
      </c>
      <c r="H3950" s="450" t="s">
        <v>22878</v>
      </c>
      <c r="I3950" s="450" t="s">
        <v>24947</v>
      </c>
      <c r="J3950" s="450" t="s">
        <v>34793</v>
      </c>
      <c r="K3950" s="450"/>
    </row>
    <row r="3951" spans="1:11">
      <c r="A3951" s="451" t="s">
        <v>6891</v>
      </c>
      <c r="B3951" s="451"/>
      <c r="C3951" s="451" t="s">
        <v>6892</v>
      </c>
      <c r="D3951" s="451" t="s">
        <v>6893</v>
      </c>
      <c r="E3951" s="451" t="s">
        <v>6894</v>
      </c>
      <c r="F3951" s="451"/>
      <c r="G3951" s="451" t="s">
        <v>22877</v>
      </c>
      <c r="H3951" s="451" t="s">
        <v>22878</v>
      </c>
      <c r="I3951" s="451" t="s">
        <v>24947</v>
      </c>
      <c r="J3951" s="451" t="s">
        <v>31090</v>
      </c>
      <c r="K3951" s="451"/>
    </row>
    <row r="3952" spans="1:11">
      <c r="A3952" s="450" t="s">
        <v>24948</v>
      </c>
      <c r="B3952" s="450" t="s">
        <v>24949</v>
      </c>
      <c r="C3952" s="450" t="s">
        <v>24950</v>
      </c>
      <c r="D3952" s="450"/>
      <c r="E3952" s="450"/>
      <c r="F3952" s="450"/>
      <c r="G3952" s="450" t="s">
        <v>22877</v>
      </c>
      <c r="H3952" s="450" t="s">
        <v>22878</v>
      </c>
      <c r="I3952" s="450" t="s">
        <v>24951</v>
      </c>
      <c r="J3952" s="450" t="s">
        <v>24952</v>
      </c>
      <c r="K3952" s="450"/>
    </row>
    <row r="3953" spans="1:11">
      <c r="A3953" s="451" t="s">
        <v>6895</v>
      </c>
      <c r="B3953" s="451" t="s">
        <v>6896</v>
      </c>
      <c r="C3953" s="451" t="s">
        <v>2334</v>
      </c>
      <c r="D3953" s="451" t="s">
        <v>6897</v>
      </c>
      <c r="E3953" s="451"/>
      <c r="F3953" s="451"/>
      <c r="G3953" s="451" t="s">
        <v>22877</v>
      </c>
      <c r="H3953" s="451" t="s">
        <v>22878</v>
      </c>
      <c r="I3953" s="451" t="s">
        <v>6897</v>
      </c>
      <c r="J3953" s="451" t="s">
        <v>24953</v>
      </c>
      <c r="K3953" s="451"/>
    </row>
    <row r="3954" spans="1:11">
      <c r="A3954" s="450" t="s">
        <v>6898</v>
      </c>
      <c r="B3954" s="450"/>
      <c r="C3954" s="450" t="s">
        <v>2865</v>
      </c>
      <c r="D3954" s="450"/>
      <c r="E3954" s="450"/>
      <c r="F3954" s="450"/>
      <c r="G3954" s="450" t="s">
        <v>22882</v>
      </c>
      <c r="H3954" s="450" t="s">
        <v>22883</v>
      </c>
      <c r="I3954" s="450" t="s">
        <v>34794</v>
      </c>
      <c r="J3954" s="450" t="s">
        <v>23121</v>
      </c>
      <c r="K3954" s="450"/>
    </row>
    <row r="3955" spans="1:11">
      <c r="A3955" s="451" t="s">
        <v>34795</v>
      </c>
      <c r="B3955" s="451"/>
      <c r="C3955" s="451" t="s">
        <v>6900</v>
      </c>
      <c r="D3955" s="451"/>
      <c r="E3955" s="451"/>
      <c r="F3955" s="451"/>
      <c r="G3955" s="451" t="s">
        <v>22877</v>
      </c>
      <c r="H3955" s="451" t="s">
        <v>22878</v>
      </c>
      <c r="I3955" s="451" t="s">
        <v>34796</v>
      </c>
      <c r="J3955" s="451" t="s">
        <v>23370</v>
      </c>
      <c r="K3955" s="451"/>
    </row>
    <row r="3956" spans="1:11">
      <c r="A3956" s="450" t="s">
        <v>6899</v>
      </c>
      <c r="B3956" s="450"/>
      <c r="C3956" s="450" t="s">
        <v>6900</v>
      </c>
      <c r="D3956" s="450"/>
      <c r="E3956" s="450"/>
      <c r="F3956" s="450"/>
      <c r="G3956" s="450" t="s">
        <v>22877</v>
      </c>
      <c r="H3956" s="450" t="s">
        <v>22878</v>
      </c>
      <c r="I3956" s="450" t="s">
        <v>34796</v>
      </c>
      <c r="J3956" s="450" t="s">
        <v>22942</v>
      </c>
      <c r="K3956" s="450"/>
    </row>
    <row r="3957" spans="1:11">
      <c r="A3957" s="451" t="s">
        <v>6901</v>
      </c>
      <c r="B3957" s="451"/>
      <c r="C3957" s="451" t="s">
        <v>6902</v>
      </c>
      <c r="D3957" s="451"/>
      <c r="E3957" s="451"/>
      <c r="F3957" s="451"/>
      <c r="G3957" s="451" t="s">
        <v>22877</v>
      </c>
      <c r="H3957" s="451" t="s">
        <v>22878</v>
      </c>
      <c r="I3957" s="451" t="s">
        <v>34797</v>
      </c>
      <c r="J3957" s="451" t="s">
        <v>22939</v>
      </c>
      <c r="K3957" s="451"/>
    </row>
    <row r="3958" spans="1:11">
      <c r="A3958" s="450" t="s">
        <v>6903</v>
      </c>
      <c r="B3958" s="450"/>
      <c r="C3958" s="450" t="s">
        <v>6904</v>
      </c>
      <c r="D3958" s="450"/>
      <c r="E3958" s="450"/>
      <c r="F3958" s="450"/>
      <c r="G3958" s="450" t="s">
        <v>22882</v>
      </c>
      <c r="H3958" s="450" t="s">
        <v>22883</v>
      </c>
      <c r="I3958" s="450" t="s">
        <v>34798</v>
      </c>
      <c r="J3958" s="450" t="s">
        <v>22939</v>
      </c>
      <c r="K3958" s="450"/>
    </row>
    <row r="3959" spans="1:11">
      <c r="A3959" s="451" t="s">
        <v>34799</v>
      </c>
      <c r="B3959" s="451"/>
      <c r="C3959" s="451" t="s">
        <v>6905</v>
      </c>
      <c r="D3959" s="451"/>
      <c r="E3959" s="451"/>
      <c r="F3959" s="451"/>
      <c r="G3959" s="451" t="s">
        <v>22882</v>
      </c>
      <c r="H3959" s="451" t="s">
        <v>22883</v>
      </c>
      <c r="I3959" s="451"/>
      <c r="J3959" s="451" t="s">
        <v>22943</v>
      </c>
      <c r="K3959" s="451"/>
    </row>
    <row r="3960" spans="1:11">
      <c r="A3960" s="450" t="s">
        <v>21636</v>
      </c>
      <c r="B3960" s="450"/>
      <c r="C3960" s="450" t="s">
        <v>6905</v>
      </c>
      <c r="D3960" s="450"/>
      <c r="E3960" s="450"/>
      <c r="F3960" s="450"/>
      <c r="G3960" s="450" t="s">
        <v>22882</v>
      </c>
      <c r="H3960" s="450" t="s">
        <v>22883</v>
      </c>
      <c r="I3960" s="450"/>
      <c r="J3960" s="450" t="s">
        <v>23121</v>
      </c>
      <c r="K3960" s="450"/>
    </row>
    <row r="3961" spans="1:11">
      <c r="A3961" s="451" t="s">
        <v>6906</v>
      </c>
      <c r="B3961" s="451"/>
      <c r="C3961" s="451" t="s">
        <v>3886</v>
      </c>
      <c r="D3961" s="451"/>
      <c r="E3961" s="451"/>
      <c r="F3961" s="451"/>
      <c r="G3961" s="451" t="s">
        <v>22877</v>
      </c>
      <c r="H3961" s="451" t="s">
        <v>22878</v>
      </c>
      <c r="I3961" s="451" t="s">
        <v>34800</v>
      </c>
      <c r="J3961" s="451" t="s">
        <v>22997</v>
      </c>
      <c r="K3961" s="451"/>
    </row>
    <row r="3962" spans="1:11">
      <c r="A3962" s="450" t="s">
        <v>34801</v>
      </c>
      <c r="B3962" s="450"/>
      <c r="C3962" s="450" t="s">
        <v>6908</v>
      </c>
      <c r="D3962" s="450"/>
      <c r="E3962" s="450"/>
      <c r="F3962" s="450"/>
      <c r="G3962" s="450" t="s">
        <v>22877</v>
      </c>
      <c r="H3962" s="450" t="s">
        <v>22878</v>
      </c>
      <c r="I3962" s="450" t="s">
        <v>34802</v>
      </c>
      <c r="J3962" s="450" t="s">
        <v>22943</v>
      </c>
      <c r="K3962" s="450"/>
    </row>
    <row r="3963" spans="1:11">
      <c r="A3963" s="451" t="s">
        <v>6907</v>
      </c>
      <c r="B3963" s="451"/>
      <c r="C3963" s="451" t="s">
        <v>6908</v>
      </c>
      <c r="D3963" s="451"/>
      <c r="E3963" s="451"/>
      <c r="F3963" s="451"/>
      <c r="G3963" s="451" t="s">
        <v>22877</v>
      </c>
      <c r="H3963" s="451" t="s">
        <v>22878</v>
      </c>
      <c r="I3963" s="451" t="s">
        <v>34802</v>
      </c>
      <c r="J3963" s="451" t="s">
        <v>22937</v>
      </c>
      <c r="K3963" s="451"/>
    </row>
    <row r="3964" spans="1:11">
      <c r="A3964" s="450" t="s">
        <v>6909</v>
      </c>
      <c r="B3964" s="450"/>
      <c r="C3964" s="450" t="s">
        <v>6910</v>
      </c>
      <c r="D3964" s="450"/>
      <c r="E3964" s="450"/>
      <c r="F3964" s="450"/>
      <c r="G3964" s="450" t="s">
        <v>22877</v>
      </c>
      <c r="H3964" s="450" t="s">
        <v>22878</v>
      </c>
      <c r="I3964" s="450" t="s">
        <v>34803</v>
      </c>
      <c r="J3964" s="450" t="s">
        <v>22937</v>
      </c>
      <c r="K3964" s="450"/>
    </row>
    <row r="3965" spans="1:11">
      <c r="A3965" s="451" t="s">
        <v>34804</v>
      </c>
      <c r="B3965" s="451"/>
      <c r="C3965" s="451" t="s">
        <v>34805</v>
      </c>
      <c r="D3965" s="451"/>
      <c r="E3965" s="451"/>
      <c r="F3965" s="451"/>
      <c r="G3965" s="451" t="s">
        <v>22877</v>
      </c>
      <c r="H3965" s="451" t="s">
        <v>22878</v>
      </c>
      <c r="I3965" s="451" t="s">
        <v>34806</v>
      </c>
      <c r="J3965" s="451" t="s">
        <v>22997</v>
      </c>
      <c r="K3965" s="451"/>
    </row>
    <row r="3966" spans="1:11">
      <c r="A3966" s="450" t="s">
        <v>6911</v>
      </c>
      <c r="B3966" s="450"/>
      <c r="C3966" s="450" t="s">
        <v>6912</v>
      </c>
      <c r="D3966" s="450"/>
      <c r="E3966" s="450"/>
      <c r="F3966" s="450"/>
      <c r="G3966" s="450" t="s">
        <v>22877</v>
      </c>
      <c r="H3966" s="450" t="s">
        <v>22878</v>
      </c>
      <c r="I3966" s="450" t="s">
        <v>24954</v>
      </c>
      <c r="J3966" s="450" t="s">
        <v>23121</v>
      </c>
      <c r="K3966" s="450"/>
    </row>
    <row r="3967" spans="1:11">
      <c r="A3967" s="451" t="s">
        <v>21255</v>
      </c>
      <c r="B3967" s="451" t="s">
        <v>21257</v>
      </c>
      <c r="C3967" s="451" t="s">
        <v>21256</v>
      </c>
      <c r="D3967" s="451" t="s">
        <v>21258</v>
      </c>
      <c r="E3967" s="451"/>
      <c r="F3967" s="451"/>
      <c r="G3967" s="451" t="s">
        <v>22877</v>
      </c>
      <c r="H3967" s="451" t="s">
        <v>22878</v>
      </c>
      <c r="I3967" s="451" t="s">
        <v>34807</v>
      </c>
      <c r="J3967" s="451" t="s">
        <v>34808</v>
      </c>
      <c r="K3967" s="451"/>
    </row>
    <row r="3968" spans="1:11">
      <c r="A3968" s="450" t="s">
        <v>24955</v>
      </c>
      <c r="B3968" s="450" t="s">
        <v>21257</v>
      </c>
      <c r="C3968" s="450" t="s">
        <v>24956</v>
      </c>
      <c r="D3968" s="450"/>
      <c r="E3968" s="450"/>
      <c r="F3968" s="450"/>
      <c r="G3968" s="450" t="s">
        <v>22877</v>
      </c>
      <c r="H3968" s="450" t="s">
        <v>22878</v>
      </c>
      <c r="I3968" s="450" t="s">
        <v>24957</v>
      </c>
      <c r="J3968" s="450" t="s">
        <v>24958</v>
      </c>
      <c r="K3968" s="450"/>
    </row>
    <row r="3969" spans="1:11">
      <c r="A3969" s="451" t="s">
        <v>6913</v>
      </c>
      <c r="B3969" s="451" t="s">
        <v>34809</v>
      </c>
      <c r="C3969" s="451" t="s">
        <v>6915</v>
      </c>
      <c r="D3969" s="451" t="s">
        <v>6916</v>
      </c>
      <c r="E3969" s="451"/>
      <c r="F3969" s="451"/>
      <c r="G3969" s="451" t="s">
        <v>22877</v>
      </c>
      <c r="H3969" s="451" t="s">
        <v>22878</v>
      </c>
      <c r="I3969" s="451" t="s">
        <v>24959</v>
      </c>
      <c r="J3969" s="451" t="s">
        <v>34810</v>
      </c>
      <c r="K3969" s="451"/>
    </row>
    <row r="3970" spans="1:11">
      <c r="A3970" s="450" t="s">
        <v>6913</v>
      </c>
      <c r="B3970" s="450" t="s">
        <v>6914</v>
      </c>
      <c r="C3970" s="450" t="s">
        <v>6915</v>
      </c>
      <c r="D3970" s="450" t="s">
        <v>6916</v>
      </c>
      <c r="E3970" s="450" t="s">
        <v>6916</v>
      </c>
      <c r="F3970" s="450"/>
      <c r="G3970" s="450" t="s">
        <v>22877</v>
      </c>
      <c r="H3970" s="450" t="s">
        <v>22878</v>
      </c>
      <c r="I3970" s="450" t="s">
        <v>24959</v>
      </c>
      <c r="J3970" s="450" t="s">
        <v>31091</v>
      </c>
      <c r="K3970" s="450"/>
    </row>
    <row r="3971" spans="1:11">
      <c r="A3971" s="451" t="s">
        <v>24960</v>
      </c>
      <c r="B3971" s="451" t="s">
        <v>24961</v>
      </c>
      <c r="C3971" s="451" t="s">
        <v>20497</v>
      </c>
      <c r="D3971" s="451"/>
      <c r="E3971" s="451"/>
      <c r="F3971" s="451"/>
      <c r="G3971" s="451" t="s">
        <v>22877</v>
      </c>
      <c r="H3971" s="451" t="s">
        <v>22878</v>
      </c>
      <c r="I3971" s="451" t="s">
        <v>24962</v>
      </c>
      <c r="J3971" s="451" t="s">
        <v>24963</v>
      </c>
      <c r="K3971" s="451"/>
    </row>
    <row r="3972" spans="1:11">
      <c r="A3972" s="450" t="s">
        <v>6917</v>
      </c>
      <c r="B3972" s="450"/>
      <c r="C3972" s="450" t="s">
        <v>6918</v>
      </c>
      <c r="D3972" s="450"/>
      <c r="E3972" s="450"/>
      <c r="F3972" s="450"/>
      <c r="G3972" s="450" t="s">
        <v>22877</v>
      </c>
      <c r="H3972" s="450" t="s">
        <v>22878</v>
      </c>
      <c r="I3972" s="450" t="s">
        <v>34811</v>
      </c>
      <c r="J3972" s="450" t="s">
        <v>22937</v>
      </c>
      <c r="K3972" s="450"/>
    </row>
    <row r="3973" spans="1:11">
      <c r="A3973" s="451" t="s">
        <v>24964</v>
      </c>
      <c r="B3973" s="451"/>
      <c r="C3973" s="451" t="s">
        <v>6407</v>
      </c>
      <c r="D3973" s="451"/>
      <c r="E3973" s="451"/>
      <c r="F3973" s="451"/>
      <c r="G3973" s="451" t="s">
        <v>22877</v>
      </c>
      <c r="H3973" s="451" t="s">
        <v>22878</v>
      </c>
      <c r="I3973" s="451" t="s">
        <v>24965</v>
      </c>
      <c r="J3973" s="451" t="s">
        <v>23370</v>
      </c>
      <c r="K3973" s="451"/>
    </row>
    <row r="3974" spans="1:11">
      <c r="A3974" s="450" t="s">
        <v>6919</v>
      </c>
      <c r="B3974" s="450" t="s">
        <v>6920</v>
      </c>
      <c r="C3974" s="450" t="s">
        <v>4350</v>
      </c>
      <c r="D3974" s="450" t="s">
        <v>6921</v>
      </c>
      <c r="E3974" s="450"/>
      <c r="F3974" s="450"/>
      <c r="G3974" s="450" t="s">
        <v>22877</v>
      </c>
      <c r="H3974" s="450" t="s">
        <v>22878</v>
      </c>
      <c r="I3974" s="450" t="s">
        <v>34812</v>
      </c>
      <c r="J3974" s="450" t="s">
        <v>34813</v>
      </c>
      <c r="K3974" s="450"/>
    </row>
    <row r="3975" spans="1:11">
      <c r="A3975" s="451" t="s">
        <v>6919</v>
      </c>
      <c r="B3975" s="451" t="s">
        <v>6920</v>
      </c>
      <c r="C3975" s="451" t="s">
        <v>4350</v>
      </c>
      <c r="D3975" s="451" t="s">
        <v>6921</v>
      </c>
      <c r="E3975" s="451" t="s">
        <v>6922</v>
      </c>
      <c r="F3975" s="451"/>
      <c r="G3975" s="451" t="s">
        <v>22877</v>
      </c>
      <c r="H3975" s="451" t="s">
        <v>22878</v>
      </c>
      <c r="I3975" s="451" t="s">
        <v>31092</v>
      </c>
      <c r="J3975" s="451" t="s">
        <v>31093</v>
      </c>
      <c r="K3975" s="451"/>
    </row>
    <row r="3976" spans="1:11">
      <c r="A3976" s="450" t="s">
        <v>6923</v>
      </c>
      <c r="B3976" s="450"/>
      <c r="C3976" s="450" t="s">
        <v>6924</v>
      </c>
      <c r="D3976" s="450"/>
      <c r="E3976" s="450"/>
      <c r="F3976" s="450"/>
      <c r="G3976" s="450" t="s">
        <v>22877</v>
      </c>
      <c r="H3976" s="450" t="s">
        <v>22878</v>
      </c>
      <c r="I3976" s="450" t="s">
        <v>24966</v>
      </c>
      <c r="J3976" s="450" t="s">
        <v>22943</v>
      </c>
      <c r="K3976" s="450"/>
    </row>
    <row r="3977" spans="1:11">
      <c r="A3977" s="451" t="s">
        <v>6925</v>
      </c>
      <c r="B3977" s="451" t="s">
        <v>6926</v>
      </c>
      <c r="C3977" s="451" t="s">
        <v>6927</v>
      </c>
      <c r="D3977" s="451" t="s">
        <v>6928</v>
      </c>
      <c r="E3977" s="451"/>
      <c r="F3977" s="451"/>
      <c r="G3977" s="451" t="s">
        <v>22877</v>
      </c>
      <c r="H3977" s="451" t="s">
        <v>22878</v>
      </c>
      <c r="I3977" s="451" t="s">
        <v>6928</v>
      </c>
      <c r="J3977" s="451" t="s">
        <v>24967</v>
      </c>
      <c r="K3977" s="451"/>
    </row>
    <row r="3978" spans="1:11">
      <c r="A3978" s="450" t="s">
        <v>6925</v>
      </c>
      <c r="B3978" s="450" t="s">
        <v>6926</v>
      </c>
      <c r="C3978" s="450" t="s">
        <v>6927</v>
      </c>
      <c r="D3978" s="450" t="s">
        <v>6928</v>
      </c>
      <c r="E3978" s="450" t="s">
        <v>6779</v>
      </c>
      <c r="F3978" s="450"/>
      <c r="G3978" s="450" t="s">
        <v>22882</v>
      </c>
      <c r="H3978" s="450" t="s">
        <v>22883</v>
      </c>
      <c r="I3978" s="450"/>
      <c r="J3978" s="450" t="s">
        <v>24967</v>
      </c>
      <c r="K3978" s="450"/>
    </row>
    <row r="3979" spans="1:11">
      <c r="A3979" s="451" t="s">
        <v>6929</v>
      </c>
      <c r="B3979" s="451"/>
      <c r="C3979" s="451" t="s">
        <v>6930</v>
      </c>
      <c r="D3979" s="451"/>
      <c r="E3979" s="451"/>
      <c r="F3979" s="451"/>
      <c r="G3979" s="451" t="s">
        <v>22877</v>
      </c>
      <c r="H3979" s="451" t="s">
        <v>22878</v>
      </c>
      <c r="I3979" s="451" t="s">
        <v>24968</v>
      </c>
      <c r="J3979" s="451" t="s">
        <v>22997</v>
      </c>
      <c r="K3979" s="451"/>
    </row>
    <row r="3980" spans="1:11">
      <c r="A3980" s="450" t="s">
        <v>6931</v>
      </c>
      <c r="B3980" s="450"/>
      <c r="C3980" s="450" t="s">
        <v>2822</v>
      </c>
      <c r="D3980" s="450"/>
      <c r="E3980" s="450"/>
      <c r="F3980" s="450"/>
      <c r="G3980" s="450" t="s">
        <v>22877</v>
      </c>
      <c r="H3980" s="450" t="s">
        <v>22878</v>
      </c>
      <c r="I3980" s="450" t="s">
        <v>24969</v>
      </c>
      <c r="J3980" s="450" t="s">
        <v>22939</v>
      </c>
      <c r="K3980" s="450"/>
    </row>
    <row r="3981" spans="1:11">
      <c r="A3981" s="451" t="s">
        <v>21637</v>
      </c>
      <c r="B3981" s="451" t="s">
        <v>34814</v>
      </c>
      <c r="C3981" s="451" t="s">
        <v>6933</v>
      </c>
      <c r="D3981" s="451" t="s">
        <v>6934</v>
      </c>
      <c r="E3981" s="451"/>
      <c r="F3981" s="451"/>
      <c r="G3981" s="451" t="s">
        <v>22877</v>
      </c>
      <c r="H3981" s="451" t="s">
        <v>22878</v>
      </c>
      <c r="I3981" s="451" t="s">
        <v>6934</v>
      </c>
      <c r="J3981" s="451" t="s">
        <v>34815</v>
      </c>
      <c r="K3981" s="451"/>
    </row>
    <row r="3982" spans="1:11">
      <c r="A3982" s="450" t="s">
        <v>21637</v>
      </c>
      <c r="B3982" s="450" t="s">
        <v>6932</v>
      </c>
      <c r="C3982" s="450" t="s">
        <v>6933</v>
      </c>
      <c r="D3982" s="450" t="s">
        <v>6934</v>
      </c>
      <c r="E3982" s="450"/>
      <c r="F3982" s="450"/>
      <c r="G3982" s="450" t="s">
        <v>22877</v>
      </c>
      <c r="H3982" s="450" t="s">
        <v>22878</v>
      </c>
      <c r="I3982" s="450" t="s">
        <v>6934</v>
      </c>
      <c r="J3982" s="450" t="s">
        <v>31094</v>
      </c>
      <c r="K3982" s="450"/>
    </row>
    <row r="3983" spans="1:11">
      <c r="A3983" s="451" t="s">
        <v>6935</v>
      </c>
      <c r="B3983" s="451" t="s">
        <v>6936</v>
      </c>
      <c r="C3983" s="451" t="s">
        <v>6937</v>
      </c>
      <c r="D3983" s="451"/>
      <c r="E3983" s="451" t="s">
        <v>6938</v>
      </c>
      <c r="F3983" s="451"/>
      <c r="G3983" s="451" t="s">
        <v>22877</v>
      </c>
      <c r="H3983" s="451" t="s">
        <v>22878</v>
      </c>
      <c r="I3983" s="451" t="s">
        <v>31095</v>
      </c>
      <c r="J3983" s="451" t="s">
        <v>31096</v>
      </c>
      <c r="K3983" s="451"/>
    </row>
    <row r="3984" spans="1:11">
      <c r="A3984" s="450" t="s">
        <v>24970</v>
      </c>
      <c r="B3984" s="450" t="s">
        <v>24971</v>
      </c>
      <c r="C3984" s="450" t="s">
        <v>24972</v>
      </c>
      <c r="D3984" s="450"/>
      <c r="E3984" s="450"/>
      <c r="F3984" s="450"/>
      <c r="G3984" s="450" t="s">
        <v>22877</v>
      </c>
      <c r="H3984" s="450" t="s">
        <v>22878</v>
      </c>
      <c r="I3984" s="450" t="s">
        <v>24973</v>
      </c>
      <c r="J3984" s="450" t="s">
        <v>24974</v>
      </c>
      <c r="K3984" s="450"/>
    </row>
    <row r="3985" spans="1:11">
      <c r="A3985" s="451" t="s">
        <v>21638</v>
      </c>
      <c r="B3985" s="451"/>
      <c r="C3985" s="451" t="s">
        <v>6939</v>
      </c>
      <c r="D3985" s="451"/>
      <c r="E3985" s="451"/>
      <c r="F3985" s="451"/>
      <c r="G3985" s="451" t="s">
        <v>22877</v>
      </c>
      <c r="H3985" s="451" t="s">
        <v>22878</v>
      </c>
      <c r="I3985" s="451" t="s">
        <v>34816</v>
      </c>
      <c r="J3985" s="451" t="s">
        <v>22939</v>
      </c>
      <c r="K3985" s="451"/>
    </row>
    <row r="3986" spans="1:11">
      <c r="A3986" s="450" t="s">
        <v>6940</v>
      </c>
      <c r="B3986" s="450"/>
      <c r="C3986" s="450" t="s">
        <v>6941</v>
      </c>
      <c r="D3986" s="450"/>
      <c r="E3986" s="450"/>
      <c r="F3986" s="450"/>
      <c r="G3986" s="450" t="s">
        <v>22877</v>
      </c>
      <c r="H3986" s="450" t="s">
        <v>22878</v>
      </c>
      <c r="I3986" s="450" t="s">
        <v>24975</v>
      </c>
      <c r="J3986" s="450" t="s">
        <v>22943</v>
      </c>
      <c r="K3986" s="450"/>
    </row>
    <row r="3987" spans="1:11">
      <c r="A3987" s="451" t="s">
        <v>6942</v>
      </c>
      <c r="B3987" s="451" t="s">
        <v>6943</v>
      </c>
      <c r="C3987" s="451" t="s">
        <v>1226</v>
      </c>
      <c r="D3987" s="451" t="s">
        <v>6944</v>
      </c>
      <c r="E3987" s="451"/>
      <c r="F3987" s="451"/>
      <c r="G3987" s="451" t="s">
        <v>22877</v>
      </c>
      <c r="H3987" s="451" t="s">
        <v>22878</v>
      </c>
      <c r="I3987" s="451" t="s">
        <v>6944</v>
      </c>
      <c r="J3987" s="451" t="s">
        <v>34817</v>
      </c>
      <c r="K3987" s="451"/>
    </row>
    <row r="3988" spans="1:11">
      <c r="A3988" s="450" t="s">
        <v>24976</v>
      </c>
      <c r="B3988" s="450" t="s">
        <v>6943</v>
      </c>
      <c r="C3988" s="450" t="s">
        <v>1226</v>
      </c>
      <c r="D3988" s="450" t="s">
        <v>6944</v>
      </c>
      <c r="E3988" s="450"/>
      <c r="F3988" s="450"/>
      <c r="G3988" s="450" t="s">
        <v>22877</v>
      </c>
      <c r="H3988" s="450" t="s">
        <v>22878</v>
      </c>
      <c r="I3988" s="450" t="s">
        <v>6944</v>
      </c>
      <c r="J3988" s="450" t="s">
        <v>24977</v>
      </c>
      <c r="K3988" s="450"/>
    </row>
    <row r="3989" spans="1:11">
      <c r="A3989" s="451" t="s">
        <v>24978</v>
      </c>
      <c r="B3989" s="451" t="s">
        <v>24979</v>
      </c>
      <c r="C3989" s="451" t="s">
        <v>24980</v>
      </c>
      <c r="D3989" s="451"/>
      <c r="E3989" s="451"/>
      <c r="F3989" s="451"/>
      <c r="G3989" s="451" t="s">
        <v>22877</v>
      </c>
      <c r="H3989" s="451" t="s">
        <v>22878</v>
      </c>
      <c r="I3989" s="451" t="s">
        <v>24981</v>
      </c>
      <c r="J3989" s="451" t="s">
        <v>24982</v>
      </c>
      <c r="K3989" s="451"/>
    </row>
    <row r="3990" spans="1:11">
      <c r="A3990" s="450" t="s">
        <v>6945</v>
      </c>
      <c r="B3990" s="450" t="s">
        <v>6946</v>
      </c>
      <c r="C3990" s="450" t="s">
        <v>6947</v>
      </c>
      <c r="D3990" s="450" t="s">
        <v>6948</v>
      </c>
      <c r="E3990" s="450" t="s">
        <v>6949</v>
      </c>
      <c r="F3990" s="450"/>
      <c r="G3990" s="450" t="s">
        <v>22877</v>
      </c>
      <c r="H3990" s="450" t="s">
        <v>22878</v>
      </c>
      <c r="I3990" s="450" t="s">
        <v>6948</v>
      </c>
      <c r="J3990" s="450" t="s">
        <v>34818</v>
      </c>
      <c r="K3990" s="450"/>
    </row>
    <row r="3991" spans="1:11">
      <c r="A3991" s="451" t="s">
        <v>24983</v>
      </c>
      <c r="B3991" s="451" t="s">
        <v>6946</v>
      </c>
      <c r="C3991" s="451" t="s">
        <v>6947</v>
      </c>
      <c r="D3991" s="451" t="s">
        <v>6948</v>
      </c>
      <c r="E3991" s="451"/>
      <c r="F3991" s="451"/>
      <c r="G3991" s="451" t="s">
        <v>22877</v>
      </c>
      <c r="H3991" s="451" t="s">
        <v>22878</v>
      </c>
      <c r="I3991" s="451" t="s">
        <v>6948</v>
      </c>
      <c r="J3991" s="451" t="s">
        <v>24984</v>
      </c>
      <c r="K3991" s="451"/>
    </row>
    <row r="3992" spans="1:11">
      <c r="A3992" s="450" t="s">
        <v>6950</v>
      </c>
      <c r="B3992" s="450"/>
      <c r="C3992" s="450" t="s">
        <v>6951</v>
      </c>
      <c r="D3992" s="450"/>
      <c r="E3992" s="450"/>
      <c r="F3992" s="450"/>
      <c r="G3992" s="450" t="s">
        <v>22882</v>
      </c>
      <c r="H3992" s="450" t="s">
        <v>22883</v>
      </c>
      <c r="I3992" s="450"/>
      <c r="J3992" s="450" t="s">
        <v>23133</v>
      </c>
      <c r="K3992" s="450"/>
    </row>
    <row r="3993" spans="1:11">
      <c r="A3993" s="451" t="s">
        <v>34819</v>
      </c>
      <c r="B3993" s="451" t="s">
        <v>6953</v>
      </c>
      <c r="C3993" s="451" t="s">
        <v>6954</v>
      </c>
      <c r="D3993" s="451"/>
      <c r="E3993" s="451"/>
      <c r="F3993" s="451" t="s">
        <v>34820</v>
      </c>
      <c r="G3993" s="451" t="s">
        <v>22877</v>
      </c>
      <c r="H3993" s="451" t="s">
        <v>22878</v>
      </c>
      <c r="I3993" s="451" t="s">
        <v>24985</v>
      </c>
      <c r="J3993" s="451" t="s">
        <v>24986</v>
      </c>
      <c r="K3993" s="451"/>
    </row>
    <row r="3994" spans="1:11">
      <c r="A3994" s="450" t="s">
        <v>6952</v>
      </c>
      <c r="B3994" s="450" t="s">
        <v>6953</v>
      </c>
      <c r="C3994" s="450" t="s">
        <v>6954</v>
      </c>
      <c r="D3994" s="450"/>
      <c r="E3994" s="450"/>
      <c r="F3994" s="450" t="s">
        <v>6955</v>
      </c>
      <c r="G3994" s="450" t="s">
        <v>22877</v>
      </c>
      <c r="H3994" s="450" t="s">
        <v>22878</v>
      </c>
      <c r="I3994" s="450" t="s">
        <v>24985</v>
      </c>
      <c r="J3994" s="450" t="s">
        <v>24986</v>
      </c>
      <c r="K3994" s="450"/>
    </row>
    <row r="3995" spans="1:11">
      <c r="A3995" s="451" t="s">
        <v>6956</v>
      </c>
      <c r="B3995" s="451"/>
      <c r="C3995" s="451" t="s">
        <v>6957</v>
      </c>
      <c r="D3995" s="451"/>
      <c r="E3995" s="451"/>
      <c r="F3995" s="451"/>
      <c r="G3995" s="451" t="s">
        <v>22877</v>
      </c>
      <c r="H3995" s="451" t="s">
        <v>22878</v>
      </c>
      <c r="I3995" s="451" t="s">
        <v>34821</v>
      </c>
      <c r="J3995" s="451" t="s">
        <v>22997</v>
      </c>
      <c r="K3995" s="451"/>
    </row>
    <row r="3996" spans="1:11">
      <c r="A3996" s="450" t="s">
        <v>6958</v>
      </c>
      <c r="B3996" s="450"/>
      <c r="C3996" s="450" t="s">
        <v>6930</v>
      </c>
      <c r="D3996" s="450"/>
      <c r="E3996" s="450"/>
      <c r="F3996" s="450"/>
      <c r="G3996" s="450" t="s">
        <v>22877</v>
      </c>
      <c r="H3996" s="450" t="s">
        <v>22878</v>
      </c>
      <c r="I3996" s="450" t="s">
        <v>24968</v>
      </c>
      <c r="J3996" s="450" t="s">
        <v>22997</v>
      </c>
      <c r="K3996" s="450"/>
    </row>
    <row r="3997" spans="1:11">
      <c r="A3997" s="451" t="s">
        <v>6959</v>
      </c>
      <c r="B3997" s="451" t="s">
        <v>6960</v>
      </c>
      <c r="C3997" s="451" t="s">
        <v>6961</v>
      </c>
      <c r="D3997" s="451"/>
      <c r="E3997" s="451"/>
      <c r="F3997" s="451"/>
      <c r="G3997" s="451" t="s">
        <v>22877</v>
      </c>
      <c r="H3997" s="451" t="s">
        <v>22878</v>
      </c>
      <c r="I3997" s="451" t="s">
        <v>24987</v>
      </c>
      <c r="J3997" s="451" t="s">
        <v>24988</v>
      </c>
      <c r="K3997" s="451"/>
    </row>
    <row r="3998" spans="1:11">
      <c r="A3998" s="450" t="s">
        <v>6962</v>
      </c>
      <c r="B3998" s="450"/>
      <c r="C3998" s="450" t="s">
        <v>6963</v>
      </c>
      <c r="D3998" s="450"/>
      <c r="E3998" s="450"/>
      <c r="F3998" s="450"/>
      <c r="G3998" s="450" t="s">
        <v>22882</v>
      </c>
      <c r="H3998" s="450" t="s">
        <v>22883</v>
      </c>
      <c r="I3998" s="450" t="s">
        <v>24989</v>
      </c>
      <c r="J3998" s="450" t="s">
        <v>22997</v>
      </c>
      <c r="K3998" s="450"/>
    </row>
    <row r="3999" spans="1:11">
      <c r="A3999" s="451" t="s">
        <v>34822</v>
      </c>
      <c r="B3999" s="451" t="s">
        <v>6965</v>
      </c>
      <c r="C3999" s="451" t="s">
        <v>3826</v>
      </c>
      <c r="D3999" s="451" t="s">
        <v>6966</v>
      </c>
      <c r="E3999" s="451"/>
      <c r="F3999" s="451"/>
      <c r="G3999" s="451" t="s">
        <v>22882</v>
      </c>
      <c r="H3999" s="451" t="s">
        <v>22883</v>
      </c>
      <c r="I3999" s="451" t="s">
        <v>34823</v>
      </c>
      <c r="J3999" s="451" t="s">
        <v>34824</v>
      </c>
      <c r="K3999" s="451"/>
    </row>
    <row r="4000" spans="1:11">
      <c r="A4000" s="450" t="s">
        <v>6964</v>
      </c>
      <c r="B4000" s="450" t="s">
        <v>6965</v>
      </c>
      <c r="C4000" s="450" t="s">
        <v>3826</v>
      </c>
      <c r="D4000" s="450" t="s">
        <v>6966</v>
      </c>
      <c r="E4000" s="450" t="s">
        <v>6967</v>
      </c>
      <c r="F4000" s="450"/>
      <c r="G4000" s="450" t="s">
        <v>22882</v>
      </c>
      <c r="H4000" s="450" t="s">
        <v>22883</v>
      </c>
      <c r="I4000" s="450"/>
      <c r="J4000" s="450" t="s">
        <v>31097</v>
      </c>
      <c r="K4000" s="450"/>
    </row>
    <row r="4001" spans="1:11">
      <c r="A4001" s="451" t="s">
        <v>6968</v>
      </c>
      <c r="B4001" s="451"/>
      <c r="C4001" s="451" t="s">
        <v>6969</v>
      </c>
      <c r="D4001" s="451"/>
      <c r="E4001" s="451"/>
      <c r="F4001" s="451"/>
      <c r="G4001" s="451" t="s">
        <v>22882</v>
      </c>
      <c r="H4001" s="451" t="s">
        <v>22883</v>
      </c>
      <c r="I4001" s="451" t="s">
        <v>34825</v>
      </c>
      <c r="J4001" s="451" t="s">
        <v>22939</v>
      </c>
      <c r="K4001" s="451"/>
    </row>
    <row r="4002" spans="1:11">
      <c r="A4002" s="450" t="s">
        <v>6970</v>
      </c>
      <c r="B4002" s="450"/>
      <c r="C4002" s="450" t="s">
        <v>4435</v>
      </c>
      <c r="D4002" s="450"/>
      <c r="E4002" s="450"/>
      <c r="F4002" s="450"/>
      <c r="G4002" s="450" t="s">
        <v>22877</v>
      </c>
      <c r="H4002" s="450" t="s">
        <v>22878</v>
      </c>
      <c r="I4002" s="450" t="s">
        <v>34826</v>
      </c>
      <c r="J4002" s="450" t="s">
        <v>22939</v>
      </c>
      <c r="K4002" s="450"/>
    </row>
    <row r="4003" spans="1:11">
      <c r="A4003" s="451" t="s">
        <v>34827</v>
      </c>
      <c r="B4003" s="451"/>
      <c r="C4003" s="451" t="s">
        <v>33795</v>
      </c>
      <c r="D4003" s="451"/>
      <c r="E4003" s="451"/>
      <c r="F4003" s="451"/>
      <c r="G4003" s="451" t="s">
        <v>22882</v>
      </c>
      <c r="H4003" s="451" t="s">
        <v>22883</v>
      </c>
      <c r="I4003" s="451" t="s">
        <v>34826</v>
      </c>
      <c r="J4003" s="451" t="s">
        <v>22939</v>
      </c>
      <c r="K4003" s="451"/>
    </row>
    <row r="4004" spans="1:11">
      <c r="A4004" s="450" t="s">
        <v>6971</v>
      </c>
      <c r="B4004" s="450"/>
      <c r="C4004" s="450" t="s">
        <v>1249</v>
      </c>
      <c r="D4004" s="450"/>
      <c r="E4004" s="450"/>
      <c r="F4004" s="450"/>
      <c r="G4004" s="450" t="s">
        <v>34828</v>
      </c>
      <c r="H4004" s="450" t="s">
        <v>22878</v>
      </c>
      <c r="I4004" s="450"/>
      <c r="J4004" s="450"/>
      <c r="K4004" s="450"/>
    </row>
    <row r="4005" spans="1:11">
      <c r="A4005" s="451" t="s">
        <v>6972</v>
      </c>
      <c r="B4005" s="451"/>
      <c r="C4005" s="451" t="s">
        <v>6973</v>
      </c>
      <c r="D4005" s="451"/>
      <c r="E4005" s="451"/>
      <c r="F4005" s="451"/>
      <c r="G4005" s="451" t="s">
        <v>22877</v>
      </c>
      <c r="H4005" s="451" t="s">
        <v>22878</v>
      </c>
      <c r="I4005" s="451" t="s">
        <v>34829</v>
      </c>
      <c r="J4005" s="451" t="s">
        <v>22937</v>
      </c>
      <c r="K4005" s="451"/>
    </row>
    <row r="4006" spans="1:11">
      <c r="A4006" s="450" t="s">
        <v>34830</v>
      </c>
      <c r="B4006" s="450"/>
      <c r="C4006" s="450" t="s">
        <v>6973</v>
      </c>
      <c r="D4006" s="450"/>
      <c r="E4006" s="450"/>
      <c r="F4006" s="450"/>
      <c r="G4006" s="450" t="s">
        <v>22877</v>
      </c>
      <c r="H4006" s="450" t="s">
        <v>22878</v>
      </c>
      <c r="I4006" s="450" t="s">
        <v>34831</v>
      </c>
      <c r="J4006" s="450" t="s">
        <v>22943</v>
      </c>
      <c r="K4006" s="450"/>
    </row>
    <row r="4007" spans="1:11">
      <c r="A4007" s="451" t="s">
        <v>6974</v>
      </c>
      <c r="B4007" s="451"/>
      <c r="C4007" s="451" t="s">
        <v>4935</v>
      </c>
      <c r="D4007" s="451"/>
      <c r="E4007" s="451"/>
      <c r="F4007" s="451"/>
      <c r="G4007" s="451" t="s">
        <v>22877</v>
      </c>
      <c r="H4007" s="451" t="s">
        <v>22878</v>
      </c>
      <c r="I4007" s="451" t="s">
        <v>34832</v>
      </c>
      <c r="J4007" s="451" t="s">
        <v>22943</v>
      </c>
      <c r="K4007" s="451"/>
    </row>
    <row r="4008" spans="1:11">
      <c r="A4008" s="450" t="s">
        <v>6975</v>
      </c>
      <c r="B4008" s="450"/>
      <c r="C4008" s="450" t="s">
        <v>6976</v>
      </c>
      <c r="D4008" s="450"/>
      <c r="E4008" s="450"/>
      <c r="F4008" s="450"/>
      <c r="G4008" s="450" t="s">
        <v>22877</v>
      </c>
      <c r="H4008" s="450" t="s">
        <v>22878</v>
      </c>
      <c r="I4008" s="450" t="s">
        <v>24990</v>
      </c>
      <c r="J4008" s="450" t="s">
        <v>22943</v>
      </c>
      <c r="K4008" s="450"/>
    </row>
    <row r="4009" spans="1:11">
      <c r="A4009" s="451" t="s">
        <v>24991</v>
      </c>
      <c r="B4009" s="451" t="s">
        <v>24992</v>
      </c>
      <c r="C4009" s="451" t="s">
        <v>24993</v>
      </c>
      <c r="D4009" s="451"/>
      <c r="E4009" s="451"/>
      <c r="F4009" s="451"/>
      <c r="G4009" s="451" t="s">
        <v>22877</v>
      </c>
      <c r="H4009" s="451" t="s">
        <v>22878</v>
      </c>
      <c r="I4009" s="451" t="s">
        <v>24994</v>
      </c>
      <c r="J4009" s="451" t="s">
        <v>24995</v>
      </c>
      <c r="K4009" s="451"/>
    </row>
    <row r="4010" spans="1:11">
      <c r="A4010" s="450" t="s">
        <v>6977</v>
      </c>
      <c r="B4010" s="450"/>
      <c r="C4010" s="450" t="s">
        <v>6978</v>
      </c>
      <c r="D4010" s="450"/>
      <c r="E4010" s="450"/>
      <c r="F4010" s="450"/>
      <c r="G4010" s="450" t="s">
        <v>22882</v>
      </c>
      <c r="H4010" s="450" t="s">
        <v>22883</v>
      </c>
      <c r="I4010" s="450" t="s">
        <v>34833</v>
      </c>
      <c r="J4010" s="450" t="s">
        <v>22939</v>
      </c>
      <c r="K4010" s="450"/>
    </row>
    <row r="4011" spans="1:11">
      <c r="A4011" s="451" t="s">
        <v>6979</v>
      </c>
      <c r="B4011" s="451"/>
      <c r="C4011" s="451" t="s">
        <v>6980</v>
      </c>
      <c r="D4011" s="451"/>
      <c r="E4011" s="451"/>
      <c r="F4011" s="451"/>
      <c r="G4011" s="451" t="s">
        <v>22877</v>
      </c>
      <c r="H4011" s="451" t="s">
        <v>22878</v>
      </c>
      <c r="I4011" s="451" t="s">
        <v>24996</v>
      </c>
      <c r="J4011" s="451" t="s">
        <v>22943</v>
      </c>
      <c r="K4011" s="451"/>
    </row>
    <row r="4012" spans="1:11">
      <c r="A4012" s="450" t="s">
        <v>34834</v>
      </c>
      <c r="B4012" s="450" t="s">
        <v>6982</v>
      </c>
      <c r="C4012" s="450" t="s">
        <v>3055</v>
      </c>
      <c r="D4012" s="450" t="s">
        <v>6983</v>
      </c>
      <c r="E4012" s="450"/>
      <c r="F4012" s="450"/>
      <c r="G4012" s="450" t="s">
        <v>22877</v>
      </c>
      <c r="H4012" s="450" t="s">
        <v>22878</v>
      </c>
      <c r="I4012" s="450" t="s">
        <v>34835</v>
      </c>
      <c r="J4012" s="450" t="s">
        <v>34836</v>
      </c>
      <c r="K4012" s="450"/>
    </row>
    <row r="4013" spans="1:11">
      <c r="A4013" s="451" t="s">
        <v>6981</v>
      </c>
      <c r="B4013" s="451" t="s">
        <v>6982</v>
      </c>
      <c r="C4013" s="451" t="s">
        <v>3055</v>
      </c>
      <c r="D4013" s="451" t="s">
        <v>6983</v>
      </c>
      <c r="E4013" s="451" t="s">
        <v>6984</v>
      </c>
      <c r="F4013" s="451"/>
      <c r="G4013" s="451" t="s">
        <v>22877</v>
      </c>
      <c r="H4013" s="451" t="s">
        <v>22878</v>
      </c>
      <c r="I4013" s="451" t="s">
        <v>6983</v>
      </c>
      <c r="J4013" s="451" t="s">
        <v>31098</v>
      </c>
      <c r="K4013" s="451"/>
    </row>
    <row r="4014" spans="1:11">
      <c r="A4014" s="450" t="s">
        <v>34837</v>
      </c>
      <c r="B4014" s="450" t="s">
        <v>34838</v>
      </c>
      <c r="C4014" s="450" t="s">
        <v>6987</v>
      </c>
      <c r="D4014" s="450" t="s">
        <v>6988</v>
      </c>
      <c r="E4014" s="450"/>
      <c r="F4014" s="450"/>
      <c r="G4014" s="450" t="s">
        <v>22877</v>
      </c>
      <c r="H4014" s="450" t="s">
        <v>22878</v>
      </c>
      <c r="I4014" s="450" t="s">
        <v>24997</v>
      </c>
      <c r="J4014" s="450" t="s">
        <v>34839</v>
      </c>
      <c r="K4014" s="450"/>
    </row>
    <row r="4015" spans="1:11">
      <c r="A4015" s="451" t="s">
        <v>6985</v>
      </c>
      <c r="B4015" s="451" t="s">
        <v>6986</v>
      </c>
      <c r="C4015" s="451" t="s">
        <v>6987</v>
      </c>
      <c r="D4015" s="451" t="s">
        <v>6988</v>
      </c>
      <c r="E4015" s="451" t="s">
        <v>6989</v>
      </c>
      <c r="F4015" s="451"/>
      <c r="G4015" s="451" t="s">
        <v>22877</v>
      </c>
      <c r="H4015" s="451" t="s">
        <v>22878</v>
      </c>
      <c r="I4015" s="451" t="s">
        <v>24997</v>
      </c>
      <c r="J4015" s="451" t="s">
        <v>31099</v>
      </c>
      <c r="K4015" s="451"/>
    </row>
    <row r="4016" spans="1:11">
      <c r="A4016" s="450" t="s">
        <v>34840</v>
      </c>
      <c r="B4016" s="450"/>
      <c r="C4016" s="450" t="s">
        <v>6991</v>
      </c>
      <c r="D4016" s="450"/>
      <c r="E4016" s="450"/>
      <c r="F4016" s="450"/>
      <c r="G4016" s="450" t="s">
        <v>22882</v>
      </c>
      <c r="H4016" s="450" t="s">
        <v>22883</v>
      </c>
      <c r="I4016" s="450" t="s">
        <v>34841</v>
      </c>
      <c r="J4016" s="450" t="s">
        <v>22943</v>
      </c>
      <c r="K4016" s="450"/>
    </row>
    <row r="4017" spans="1:11">
      <c r="A4017" s="451" t="s">
        <v>6990</v>
      </c>
      <c r="B4017" s="451"/>
      <c r="C4017" s="451" t="s">
        <v>6991</v>
      </c>
      <c r="D4017" s="451"/>
      <c r="E4017" s="451"/>
      <c r="F4017" s="451"/>
      <c r="G4017" s="451" t="s">
        <v>22882</v>
      </c>
      <c r="H4017" s="451" t="s">
        <v>22883</v>
      </c>
      <c r="I4017" s="451"/>
      <c r="J4017" s="451" t="s">
        <v>22939</v>
      </c>
      <c r="K4017" s="451"/>
    </row>
    <row r="4018" spans="1:11">
      <c r="A4018" s="450" t="s">
        <v>6992</v>
      </c>
      <c r="B4018" s="450"/>
      <c r="C4018" s="450" t="s">
        <v>6993</v>
      </c>
      <c r="D4018" s="450"/>
      <c r="E4018" s="450"/>
      <c r="F4018" s="450"/>
      <c r="G4018" s="450" t="s">
        <v>22882</v>
      </c>
      <c r="H4018" s="450" t="s">
        <v>22883</v>
      </c>
      <c r="I4018" s="450" t="s">
        <v>34842</v>
      </c>
      <c r="J4018" s="450" t="s">
        <v>22943</v>
      </c>
      <c r="K4018" s="450"/>
    </row>
    <row r="4019" spans="1:11">
      <c r="A4019" s="451" t="s">
        <v>6994</v>
      </c>
      <c r="B4019" s="451"/>
      <c r="C4019" s="451" t="s">
        <v>6995</v>
      </c>
      <c r="D4019" s="451"/>
      <c r="E4019" s="451"/>
      <c r="F4019" s="451"/>
      <c r="G4019" s="451" t="s">
        <v>22877</v>
      </c>
      <c r="H4019" s="451" t="s">
        <v>22878</v>
      </c>
      <c r="I4019" s="451" t="s">
        <v>24596</v>
      </c>
      <c r="J4019" s="451" t="s">
        <v>22939</v>
      </c>
      <c r="K4019" s="451"/>
    </row>
    <row r="4020" spans="1:11">
      <c r="A4020" s="450" t="s">
        <v>24998</v>
      </c>
      <c r="B4020" s="450" t="s">
        <v>24999</v>
      </c>
      <c r="C4020" s="450" t="s">
        <v>7000</v>
      </c>
      <c r="D4020" s="450"/>
      <c r="E4020" s="450"/>
      <c r="F4020" s="450" t="s">
        <v>25000</v>
      </c>
      <c r="G4020" s="450" t="s">
        <v>22877</v>
      </c>
      <c r="H4020" s="450" t="s">
        <v>22878</v>
      </c>
      <c r="I4020" s="450" t="s">
        <v>25001</v>
      </c>
      <c r="J4020" s="450" t="s">
        <v>25002</v>
      </c>
      <c r="K4020" s="450"/>
    </row>
    <row r="4021" spans="1:11">
      <c r="A4021" s="451" t="s">
        <v>34843</v>
      </c>
      <c r="B4021" s="451"/>
      <c r="C4021" s="451" t="s">
        <v>2311</v>
      </c>
      <c r="D4021" s="451"/>
      <c r="E4021" s="451"/>
      <c r="F4021" s="451"/>
      <c r="G4021" s="451" t="s">
        <v>22877</v>
      </c>
      <c r="H4021" s="451" t="s">
        <v>22878</v>
      </c>
      <c r="I4021" s="451" t="s">
        <v>34844</v>
      </c>
      <c r="J4021" s="451" t="s">
        <v>22943</v>
      </c>
      <c r="K4021" s="451"/>
    </row>
    <row r="4022" spans="1:11">
      <c r="A4022" s="450" t="s">
        <v>6996</v>
      </c>
      <c r="B4022" s="450"/>
      <c r="C4022" s="450" t="s">
        <v>5089</v>
      </c>
      <c r="D4022" s="450"/>
      <c r="E4022" s="450"/>
      <c r="F4022" s="450"/>
      <c r="G4022" s="450" t="s">
        <v>22877</v>
      </c>
      <c r="H4022" s="450" t="s">
        <v>22878</v>
      </c>
      <c r="I4022" s="450" t="s">
        <v>34845</v>
      </c>
      <c r="J4022" s="450" t="s">
        <v>22939</v>
      </c>
      <c r="K4022" s="450"/>
    </row>
    <row r="4023" spans="1:11">
      <c r="A4023" s="451" t="s">
        <v>6997</v>
      </c>
      <c r="B4023" s="451"/>
      <c r="C4023" s="451" t="s">
        <v>2311</v>
      </c>
      <c r="D4023" s="451"/>
      <c r="E4023" s="451"/>
      <c r="F4023" s="451"/>
      <c r="G4023" s="451" t="s">
        <v>22882</v>
      </c>
      <c r="H4023" s="451" t="s">
        <v>22883</v>
      </c>
      <c r="I4023" s="451"/>
      <c r="J4023" s="451" t="s">
        <v>22939</v>
      </c>
      <c r="K4023" s="451"/>
    </row>
    <row r="4024" spans="1:11">
      <c r="A4024" s="450" t="s">
        <v>25003</v>
      </c>
      <c r="B4024" s="450"/>
      <c r="C4024" s="450" t="s">
        <v>4729</v>
      </c>
      <c r="D4024" s="450"/>
      <c r="E4024" s="450"/>
      <c r="F4024" s="450"/>
      <c r="G4024" s="450" t="s">
        <v>22877</v>
      </c>
      <c r="H4024" s="450" t="s">
        <v>22878</v>
      </c>
      <c r="I4024" s="450" t="s">
        <v>25004</v>
      </c>
      <c r="J4024" s="450" t="s">
        <v>22943</v>
      </c>
      <c r="K4024" s="450"/>
    </row>
    <row r="4025" spans="1:11">
      <c r="A4025" s="451" t="s">
        <v>6998</v>
      </c>
      <c r="B4025" s="451" t="s">
        <v>6999</v>
      </c>
      <c r="C4025" s="451" t="s">
        <v>7000</v>
      </c>
      <c r="D4025" s="451"/>
      <c r="E4025" s="451"/>
      <c r="F4025" s="451" t="s">
        <v>7001</v>
      </c>
      <c r="G4025" s="451" t="s">
        <v>22877</v>
      </c>
      <c r="H4025" s="451" t="s">
        <v>22878</v>
      </c>
      <c r="I4025" s="451" t="s">
        <v>25001</v>
      </c>
      <c r="J4025" s="451" t="s">
        <v>31100</v>
      </c>
      <c r="K4025" s="451"/>
    </row>
    <row r="4026" spans="1:11">
      <c r="A4026" s="450" t="s">
        <v>7002</v>
      </c>
      <c r="B4026" s="450"/>
      <c r="C4026" s="450" t="s">
        <v>7003</v>
      </c>
      <c r="D4026" s="450"/>
      <c r="E4026" s="450"/>
      <c r="F4026" s="450"/>
      <c r="G4026" s="450" t="s">
        <v>22877</v>
      </c>
      <c r="H4026" s="450" t="s">
        <v>22878</v>
      </c>
      <c r="I4026" s="450" t="s">
        <v>34846</v>
      </c>
      <c r="J4026" s="450" t="s">
        <v>22937</v>
      </c>
      <c r="K4026" s="450"/>
    </row>
    <row r="4027" spans="1:11">
      <c r="A4027" s="451" t="s">
        <v>34847</v>
      </c>
      <c r="B4027" s="451"/>
      <c r="C4027" s="451" t="s">
        <v>7003</v>
      </c>
      <c r="D4027" s="451"/>
      <c r="E4027" s="451"/>
      <c r="F4027" s="451"/>
      <c r="G4027" s="451" t="s">
        <v>22877</v>
      </c>
      <c r="H4027" s="451" t="s">
        <v>22878</v>
      </c>
      <c r="I4027" s="451" t="s">
        <v>34846</v>
      </c>
      <c r="J4027" s="451" t="s">
        <v>22943</v>
      </c>
      <c r="K4027" s="451"/>
    </row>
    <row r="4028" spans="1:11">
      <c r="A4028" s="450" t="s">
        <v>7004</v>
      </c>
      <c r="B4028" s="450"/>
      <c r="C4028" s="450" t="s">
        <v>4729</v>
      </c>
      <c r="D4028" s="450"/>
      <c r="E4028" s="450"/>
      <c r="F4028" s="450"/>
      <c r="G4028" s="450" t="s">
        <v>22877</v>
      </c>
      <c r="H4028" s="450" t="s">
        <v>22878</v>
      </c>
      <c r="I4028" s="450" t="s">
        <v>34848</v>
      </c>
      <c r="J4028" s="450" t="s">
        <v>34849</v>
      </c>
      <c r="K4028" s="450"/>
    </row>
    <row r="4029" spans="1:11">
      <c r="A4029" s="451" t="s">
        <v>7005</v>
      </c>
      <c r="B4029" s="451"/>
      <c r="C4029" s="451" t="s">
        <v>7006</v>
      </c>
      <c r="D4029" s="451"/>
      <c r="E4029" s="451"/>
      <c r="F4029" s="451"/>
      <c r="G4029" s="451" t="s">
        <v>22877</v>
      </c>
      <c r="H4029" s="451" t="s">
        <v>22878</v>
      </c>
      <c r="I4029" s="451" t="s">
        <v>25001</v>
      </c>
      <c r="J4029" s="451" t="s">
        <v>23133</v>
      </c>
      <c r="K4029" s="451"/>
    </row>
    <row r="4030" spans="1:11">
      <c r="A4030" s="450" t="s">
        <v>7007</v>
      </c>
      <c r="B4030" s="450" t="s">
        <v>7008</v>
      </c>
      <c r="C4030" s="450" t="s">
        <v>7009</v>
      </c>
      <c r="D4030" s="450" t="s">
        <v>7010</v>
      </c>
      <c r="E4030" s="450"/>
      <c r="F4030" s="450"/>
      <c r="G4030" s="450" t="s">
        <v>22877</v>
      </c>
      <c r="H4030" s="450" t="s">
        <v>22878</v>
      </c>
      <c r="I4030" s="450" t="s">
        <v>34850</v>
      </c>
      <c r="J4030" s="450" t="s">
        <v>34851</v>
      </c>
      <c r="K4030" s="450"/>
    </row>
    <row r="4031" spans="1:11">
      <c r="A4031" s="451" t="s">
        <v>7007</v>
      </c>
      <c r="B4031" s="451" t="s">
        <v>7008</v>
      </c>
      <c r="C4031" s="451" t="s">
        <v>7009</v>
      </c>
      <c r="D4031" s="451" t="s">
        <v>7010</v>
      </c>
      <c r="E4031" s="451" t="s">
        <v>7011</v>
      </c>
      <c r="F4031" s="451"/>
      <c r="G4031" s="451" t="s">
        <v>22877</v>
      </c>
      <c r="H4031" s="451" t="s">
        <v>22878</v>
      </c>
      <c r="I4031" s="451" t="s">
        <v>31101</v>
      </c>
      <c r="J4031" s="451" t="s">
        <v>31102</v>
      </c>
      <c r="K4031" s="451"/>
    </row>
    <row r="4032" spans="1:11">
      <c r="A4032" s="450" t="s">
        <v>7012</v>
      </c>
      <c r="B4032" s="450"/>
      <c r="C4032" s="450" t="s">
        <v>5102</v>
      </c>
      <c r="D4032" s="450"/>
      <c r="E4032" s="450"/>
      <c r="F4032" s="450"/>
      <c r="G4032" s="450" t="s">
        <v>22882</v>
      </c>
      <c r="H4032" s="450" t="s">
        <v>22883</v>
      </c>
      <c r="I4032" s="450"/>
      <c r="J4032" s="450" t="s">
        <v>22943</v>
      </c>
      <c r="K4032" s="450"/>
    </row>
    <row r="4033" spans="1:11">
      <c r="A4033" s="451" t="s">
        <v>34852</v>
      </c>
      <c r="B4033" s="451"/>
      <c r="C4033" s="451" t="s">
        <v>7014</v>
      </c>
      <c r="D4033" s="451"/>
      <c r="E4033" s="451"/>
      <c r="F4033" s="451"/>
      <c r="G4033" s="451" t="s">
        <v>22882</v>
      </c>
      <c r="H4033" s="451" t="s">
        <v>22883</v>
      </c>
      <c r="I4033" s="451" t="s">
        <v>34853</v>
      </c>
      <c r="J4033" s="451" t="s">
        <v>22943</v>
      </c>
      <c r="K4033" s="451"/>
    </row>
    <row r="4034" spans="1:11">
      <c r="A4034" s="450" t="s">
        <v>7013</v>
      </c>
      <c r="B4034" s="450"/>
      <c r="C4034" s="450" t="s">
        <v>7014</v>
      </c>
      <c r="D4034" s="450"/>
      <c r="E4034" s="450"/>
      <c r="F4034" s="450"/>
      <c r="G4034" s="450" t="s">
        <v>22882</v>
      </c>
      <c r="H4034" s="450" t="s">
        <v>22883</v>
      </c>
      <c r="I4034" s="450" t="s">
        <v>34853</v>
      </c>
      <c r="J4034" s="450" t="s">
        <v>34854</v>
      </c>
      <c r="K4034" s="450"/>
    </row>
    <row r="4035" spans="1:11">
      <c r="A4035" s="451" t="s">
        <v>7015</v>
      </c>
      <c r="B4035" s="451"/>
      <c r="C4035" s="451" t="s">
        <v>7016</v>
      </c>
      <c r="D4035" s="451"/>
      <c r="E4035" s="451"/>
      <c r="F4035" s="451"/>
      <c r="G4035" s="451" t="s">
        <v>22882</v>
      </c>
      <c r="H4035" s="451" t="s">
        <v>22883</v>
      </c>
      <c r="I4035" s="451"/>
      <c r="J4035" s="451" t="s">
        <v>22943</v>
      </c>
      <c r="K4035" s="451"/>
    </row>
    <row r="4036" spans="1:11">
      <c r="A4036" s="450" t="s">
        <v>7017</v>
      </c>
      <c r="B4036" s="450"/>
      <c r="C4036" s="450" t="s">
        <v>7018</v>
      </c>
      <c r="D4036" s="450"/>
      <c r="E4036" s="450"/>
      <c r="F4036" s="450"/>
      <c r="G4036" s="450" t="s">
        <v>22877</v>
      </c>
      <c r="H4036" s="450" t="s">
        <v>22878</v>
      </c>
      <c r="I4036" s="450" t="s">
        <v>34855</v>
      </c>
      <c r="J4036" s="450" t="s">
        <v>23133</v>
      </c>
      <c r="K4036" s="450"/>
    </row>
    <row r="4037" spans="1:11">
      <c r="A4037" s="451" t="s">
        <v>7019</v>
      </c>
      <c r="B4037" s="451"/>
      <c r="C4037" s="451" t="s">
        <v>7020</v>
      </c>
      <c r="D4037" s="451"/>
      <c r="E4037" s="451"/>
      <c r="F4037" s="451"/>
      <c r="G4037" s="451" t="s">
        <v>22882</v>
      </c>
      <c r="H4037" s="451" t="s">
        <v>22883</v>
      </c>
      <c r="I4037" s="451"/>
      <c r="J4037" s="451" t="s">
        <v>22939</v>
      </c>
      <c r="K4037" s="451"/>
    </row>
    <row r="4038" spans="1:11">
      <c r="A4038" s="450" t="s">
        <v>7021</v>
      </c>
      <c r="B4038" s="450"/>
      <c r="C4038" s="450" t="s">
        <v>7022</v>
      </c>
      <c r="D4038" s="450"/>
      <c r="E4038" s="450"/>
      <c r="F4038" s="450"/>
      <c r="G4038" s="450" t="s">
        <v>22877</v>
      </c>
      <c r="H4038" s="450" t="s">
        <v>22878</v>
      </c>
      <c r="I4038" s="450" t="s">
        <v>34856</v>
      </c>
      <c r="J4038" s="450" t="s">
        <v>22997</v>
      </c>
      <c r="K4038" s="450"/>
    </row>
    <row r="4039" spans="1:11">
      <c r="A4039" s="451" t="s">
        <v>7023</v>
      </c>
      <c r="B4039" s="451"/>
      <c r="C4039" s="451" t="s">
        <v>7024</v>
      </c>
      <c r="D4039" s="451"/>
      <c r="E4039" s="451"/>
      <c r="F4039" s="451"/>
      <c r="G4039" s="451" t="s">
        <v>22882</v>
      </c>
      <c r="H4039" s="451" t="s">
        <v>22883</v>
      </c>
      <c r="I4039" s="451" t="s">
        <v>25005</v>
      </c>
      <c r="J4039" s="451" t="s">
        <v>22943</v>
      </c>
      <c r="K4039" s="451"/>
    </row>
    <row r="4040" spans="1:11">
      <c r="A4040" s="450" t="s">
        <v>7025</v>
      </c>
      <c r="B4040" s="450" t="s">
        <v>34857</v>
      </c>
      <c r="C4040" s="450" t="s">
        <v>7027</v>
      </c>
      <c r="D4040" s="450"/>
      <c r="E4040" s="450"/>
      <c r="F4040" s="450"/>
      <c r="G4040" s="450" t="s">
        <v>22877</v>
      </c>
      <c r="H4040" s="450" t="s">
        <v>22878</v>
      </c>
      <c r="I4040" s="450" t="s">
        <v>24747</v>
      </c>
      <c r="J4040" s="450" t="s">
        <v>34858</v>
      </c>
      <c r="K4040" s="450"/>
    </row>
    <row r="4041" spans="1:11">
      <c r="A4041" s="451" t="s">
        <v>7025</v>
      </c>
      <c r="B4041" s="451" t="s">
        <v>7026</v>
      </c>
      <c r="C4041" s="451" t="s">
        <v>7027</v>
      </c>
      <c r="D4041" s="451"/>
      <c r="E4041" s="451"/>
      <c r="F4041" s="451"/>
      <c r="G4041" s="451" t="s">
        <v>22877</v>
      </c>
      <c r="H4041" s="451" t="s">
        <v>22878</v>
      </c>
      <c r="I4041" s="451" t="s">
        <v>24747</v>
      </c>
      <c r="J4041" s="451" t="s">
        <v>31103</v>
      </c>
      <c r="K4041" s="451"/>
    </row>
    <row r="4042" spans="1:11">
      <c r="A4042" s="450" t="s">
        <v>7028</v>
      </c>
      <c r="B4042" s="450"/>
      <c r="C4042" s="450" t="s">
        <v>7029</v>
      </c>
      <c r="D4042" s="450"/>
      <c r="E4042" s="450"/>
      <c r="F4042" s="450"/>
      <c r="G4042" s="450" t="s">
        <v>22877</v>
      </c>
      <c r="H4042" s="450" t="s">
        <v>22878</v>
      </c>
      <c r="I4042" s="450" t="s">
        <v>34859</v>
      </c>
      <c r="J4042" s="450" t="s">
        <v>22997</v>
      </c>
      <c r="K4042" s="450"/>
    </row>
    <row r="4043" spans="1:11">
      <c r="A4043" s="451" t="s">
        <v>34860</v>
      </c>
      <c r="B4043" s="451"/>
      <c r="C4043" s="451" t="s">
        <v>2993</v>
      </c>
      <c r="D4043" s="451"/>
      <c r="E4043" s="451"/>
      <c r="F4043" s="451"/>
      <c r="G4043" s="451" t="s">
        <v>22877</v>
      </c>
      <c r="H4043" s="451" t="s">
        <v>22878</v>
      </c>
      <c r="I4043" s="451" t="s">
        <v>34861</v>
      </c>
      <c r="J4043" s="451" t="s">
        <v>23370</v>
      </c>
      <c r="K4043" s="451"/>
    </row>
    <row r="4044" spans="1:11">
      <c r="A4044" s="450" t="s">
        <v>7030</v>
      </c>
      <c r="B4044" s="450"/>
      <c r="C4044" s="450" t="s">
        <v>2993</v>
      </c>
      <c r="D4044" s="450"/>
      <c r="E4044" s="450"/>
      <c r="F4044" s="450"/>
      <c r="G4044" s="450" t="s">
        <v>22877</v>
      </c>
      <c r="H4044" s="450" t="s">
        <v>22878</v>
      </c>
      <c r="I4044" s="450" t="s">
        <v>34862</v>
      </c>
      <c r="J4044" s="450" t="s">
        <v>34863</v>
      </c>
      <c r="K4044" s="450"/>
    </row>
    <row r="4045" spans="1:11">
      <c r="A4045" s="451" t="s">
        <v>34864</v>
      </c>
      <c r="B4045" s="451"/>
      <c r="C4045" s="451" t="s">
        <v>7032</v>
      </c>
      <c r="D4045" s="451"/>
      <c r="E4045" s="451"/>
      <c r="F4045" s="451"/>
      <c r="G4045" s="451" t="s">
        <v>22882</v>
      </c>
      <c r="H4045" s="451" t="s">
        <v>22883</v>
      </c>
      <c r="I4045" s="451"/>
      <c r="J4045" s="451" t="s">
        <v>22943</v>
      </c>
      <c r="K4045" s="451"/>
    </row>
    <row r="4046" spans="1:11">
      <c r="A4046" s="450" t="s">
        <v>34865</v>
      </c>
      <c r="B4046" s="450"/>
      <c r="C4046" s="450" t="s">
        <v>7034</v>
      </c>
      <c r="D4046" s="450"/>
      <c r="E4046" s="450"/>
      <c r="F4046" s="450"/>
      <c r="G4046" s="450" t="s">
        <v>22882</v>
      </c>
      <c r="H4046" s="450" t="s">
        <v>22883</v>
      </c>
      <c r="I4046" s="450"/>
      <c r="J4046" s="450" t="s">
        <v>22948</v>
      </c>
      <c r="K4046" s="450"/>
    </row>
    <row r="4047" spans="1:11">
      <c r="A4047" s="451" t="s">
        <v>7031</v>
      </c>
      <c r="B4047" s="451"/>
      <c r="C4047" s="451" t="s">
        <v>7032</v>
      </c>
      <c r="D4047" s="451"/>
      <c r="E4047" s="451"/>
      <c r="F4047" s="451"/>
      <c r="G4047" s="451" t="s">
        <v>22882</v>
      </c>
      <c r="H4047" s="451" t="s">
        <v>22883</v>
      </c>
      <c r="I4047" s="451"/>
      <c r="J4047" s="451" t="s">
        <v>22942</v>
      </c>
      <c r="K4047" s="451"/>
    </row>
    <row r="4048" spans="1:11">
      <c r="A4048" s="450" t="s">
        <v>7033</v>
      </c>
      <c r="B4048" s="450"/>
      <c r="C4048" s="450" t="s">
        <v>7034</v>
      </c>
      <c r="D4048" s="450"/>
      <c r="E4048" s="450"/>
      <c r="F4048" s="450"/>
      <c r="G4048" s="450" t="s">
        <v>22882</v>
      </c>
      <c r="H4048" s="450" t="s">
        <v>22883</v>
      </c>
      <c r="I4048" s="450"/>
      <c r="J4048" s="450" t="s">
        <v>22958</v>
      </c>
      <c r="K4048" s="450"/>
    </row>
    <row r="4049" spans="1:11">
      <c r="A4049" s="451" t="s">
        <v>7035</v>
      </c>
      <c r="B4049" s="451" t="s">
        <v>25006</v>
      </c>
      <c r="C4049" s="451" t="s">
        <v>7037</v>
      </c>
      <c r="D4049" s="451"/>
      <c r="E4049" s="451"/>
      <c r="F4049" s="451"/>
      <c r="G4049" s="451" t="s">
        <v>22877</v>
      </c>
      <c r="H4049" s="451" t="s">
        <v>22878</v>
      </c>
      <c r="I4049" s="451" t="s">
        <v>25007</v>
      </c>
      <c r="J4049" s="451" t="s">
        <v>25008</v>
      </c>
      <c r="K4049" s="451"/>
    </row>
    <row r="4050" spans="1:11">
      <c r="A4050" s="450" t="s">
        <v>7035</v>
      </c>
      <c r="B4050" s="450" t="s">
        <v>7036</v>
      </c>
      <c r="C4050" s="450" t="s">
        <v>7037</v>
      </c>
      <c r="D4050" s="450"/>
      <c r="E4050" s="450"/>
      <c r="F4050" s="450"/>
      <c r="G4050" s="450" t="s">
        <v>22882</v>
      </c>
      <c r="H4050" s="450" t="s">
        <v>22883</v>
      </c>
      <c r="I4050" s="450" t="s">
        <v>31104</v>
      </c>
      <c r="J4050" s="450" t="s">
        <v>31105</v>
      </c>
      <c r="K4050" s="450"/>
    </row>
    <row r="4051" spans="1:11">
      <c r="A4051" s="451" t="s">
        <v>7038</v>
      </c>
      <c r="B4051" s="451"/>
      <c r="C4051" s="451" t="s">
        <v>7039</v>
      </c>
      <c r="D4051" s="451"/>
      <c r="E4051" s="451"/>
      <c r="F4051" s="451"/>
      <c r="G4051" s="451" t="s">
        <v>22877</v>
      </c>
      <c r="H4051" s="451" t="s">
        <v>22878</v>
      </c>
      <c r="I4051" s="451" t="s">
        <v>34866</v>
      </c>
      <c r="J4051" s="451" t="s">
        <v>22943</v>
      </c>
      <c r="K4051" s="451"/>
    </row>
    <row r="4052" spans="1:11">
      <c r="A4052" s="450" t="s">
        <v>7040</v>
      </c>
      <c r="B4052" s="450"/>
      <c r="C4052" s="450" t="s">
        <v>7041</v>
      </c>
      <c r="D4052" s="450"/>
      <c r="E4052" s="450"/>
      <c r="F4052" s="450"/>
      <c r="G4052" s="450" t="s">
        <v>22877</v>
      </c>
      <c r="H4052" s="450" t="s">
        <v>22878</v>
      </c>
      <c r="I4052" s="450" t="s">
        <v>34867</v>
      </c>
      <c r="J4052" s="450" t="s">
        <v>22943</v>
      </c>
      <c r="K4052" s="450"/>
    </row>
    <row r="4053" spans="1:11">
      <c r="A4053" s="451" t="s">
        <v>34868</v>
      </c>
      <c r="B4053" s="451"/>
      <c r="C4053" s="451" t="s">
        <v>7043</v>
      </c>
      <c r="D4053" s="451"/>
      <c r="E4053" s="451"/>
      <c r="F4053" s="451"/>
      <c r="G4053" s="451" t="s">
        <v>22877</v>
      </c>
      <c r="H4053" s="451" t="s">
        <v>22878</v>
      </c>
      <c r="I4053" s="451" t="s">
        <v>34869</v>
      </c>
      <c r="J4053" s="451" t="s">
        <v>22943</v>
      </c>
      <c r="K4053" s="451"/>
    </row>
    <row r="4054" spans="1:11">
      <c r="A4054" s="450" t="s">
        <v>7042</v>
      </c>
      <c r="B4054" s="450"/>
      <c r="C4054" s="450" t="s">
        <v>7043</v>
      </c>
      <c r="D4054" s="450"/>
      <c r="E4054" s="450"/>
      <c r="F4054" s="450"/>
      <c r="G4054" s="450" t="s">
        <v>22877</v>
      </c>
      <c r="H4054" s="450" t="s">
        <v>22878</v>
      </c>
      <c r="I4054" s="450" t="s">
        <v>34870</v>
      </c>
      <c r="J4054" s="450" t="s">
        <v>22937</v>
      </c>
      <c r="K4054" s="450"/>
    </row>
    <row r="4055" spans="1:11">
      <c r="A4055" s="451" t="s">
        <v>34871</v>
      </c>
      <c r="B4055" s="451"/>
      <c r="C4055" s="451" t="s">
        <v>6409</v>
      </c>
      <c r="D4055" s="451"/>
      <c r="E4055" s="451"/>
      <c r="F4055" s="451"/>
      <c r="G4055" s="451" t="s">
        <v>22877</v>
      </c>
      <c r="H4055" s="451" t="s">
        <v>22878</v>
      </c>
      <c r="I4055" s="451" t="s">
        <v>34872</v>
      </c>
      <c r="J4055" s="451" t="s">
        <v>23370</v>
      </c>
      <c r="K4055" s="451"/>
    </row>
    <row r="4056" spans="1:11">
      <c r="A4056" s="450" t="s">
        <v>34873</v>
      </c>
      <c r="B4056" s="450"/>
      <c r="C4056" s="450" t="s">
        <v>1533</v>
      </c>
      <c r="D4056" s="450"/>
      <c r="E4056" s="450"/>
      <c r="F4056" s="450"/>
      <c r="G4056" s="450" t="s">
        <v>22877</v>
      </c>
      <c r="H4056" s="450" t="s">
        <v>22878</v>
      </c>
      <c r="I4056" s="450" t="s">
        <v>25009</v>
      </c>
      <c r="J4056" s="450" t="s">
        <v>22943</v>
      </c>
      <c r="K4056" s="450"/>
    </row>
    <row r="4057" spans="1:11">
      <c r="A4057" s="451" t="s">
        <v>7062</v>
      </c>
      <c r="B4057" s="451"/>
      <c r="C4057" s="451" t="s">
        <v>7063</v>
      </c>
      <c r="D4057" s="451"/>
      <c r="E4057" s="451"/>
      <c r="F4057" s="451"/>
      <c r="G4057" s="451" t="s">
        <v>22882</v>
      </c>
      <c r="H4057" s="451" t="s">
        <v>22883</v>
      </c>
      <c r="I4057" s="451" t="s">
        <v>34874</v>
      </c>
      <c r="J4057" s="451" t="s">
        <v>22942</v>
      </c>
      <c r="K4057" s="451"/>
    </row>
    <row r="4058" spans="1:11">
      <c r="A4058" s="450" t="s">
        <v>7064</v>
      </c>
      <c r="B4058" s="450"/>
      <c r="C4058" s="450" t="s">
        <v>3289</v>
      </c>
      <c r="D4058" s="450"/>
      <c r="E4058" s="450"/>
      <c r="F4058" s="450"/>
      <c r="G4058" s="450" t="s">
        <v>22877</v>
      </c>
      <c r="H4058" s="450" t="s">
        <v>22878</v>
      </c>
      <c r="I4058" s="450" t="s">
        <v>31106</v>
      </c>
      <c r="J4058" s="450" t="s">
        <v>22942</v>
      </c>
      <c r="K4058" s="450"/>
    </row>
    <row r="4059" spans="1:11">
      <c r="A4059" s="451" t="s">
        <v>30000</v>
      </c>
      <c r="B4059" s="451" t="s">
        <v>25022</v>
      </c>
      <c r="C4059" s="451" t="s">
        <v>25023</v>
      </c>
      <c r="D4059" s="451"/>
      <c r="E4059" s="451"/>
      <c r="F4059" s="451"/>
      <c r="G4059" s="451"/>
      <c r="H4059" s="451"/>
      <c r="I4059" s="451"/>
      <c r="J4059" s="451"/>
      <c r="K4059" s="451"/>
    </row>
    <row r="4060" spans="1:11">
      <c r="A4060" s="450" t="s">
        <v>7065</v>
      </c>
      <c r="B4060" s="450"/>
      <c r="C4060" s="450" t="s">
        <v>7066</v>
      </c>
      <c r="D4060" s="450"/>
      <c r="E4060" s="450"/>
      <c r="F4060" s="450"/>
      <c r="G4060" s="450" t="s">
        <v>22882</v>
      </c>
      <c r="H4060" s="450" t="s">
        <v>22883</v>
      </c>
      <c r="I4060" s="450" t="s">
        <v>34875</v>
      </c>
      <c r="J4060" s="450" t="s">
        <v>22937</v>
      </c>
      <c r="K4060" s="450"/>
    </row>
    <row r="4061" spans="1:11">
      <c r="A4061" s="451" t="s">
        <v>7067</v>
      </c>
      <c r="B4061" s="451"/>
      <c r="C4061" s="451" t="s">
        <v>7068</v>
      </c>
      <c r="D4061" s="451"/>
      <c r="E4061" s="451"/>
      <c r="F4061" s="451"/>
      <c r="G4061" s="451" t="s">
        <v>22882</v>
      </c>
      <c r="H4061" s="451" t="s">
        <v>22883</v>
      </c>
      <c r="I4061" s="451" t="s">
        <v>34876</v>
      </c>
      <c r="J4061" s="451" t="s">
        <v>22939</v>
      </c>
      <c r="K4061" s="451"/>
    </row>
    <row r="4062" spans="1:11">
      <c r="A4062" s="450" t="s">
        <v>34877</v>
      </c>
      <c r="B4062" s="450"/>
      <c r="C4062" s="450" t="s">
        <v>7068</v>
      </c>
      <c r="D4062" s="450"/>
      <c r="E4062" s="450"/>
      <c r="F4062" s="450"/>
      <c r="G4062" s="450" t="s">
        <v>22877</v>
      </c>
      <c r="H4062" s="450" t="s">
        <v>22878</v>
      </c>
      <c r="I4062" s="450" t="s">
        <v>34878</v>
      </c>
      <c r="J4062" s="450" t="s">
        <v>22997</v>
      </c>
      <c r="K4062" s="450"/>
    </row>
    <row r="4063" spans="1:11">
      <c r="A4063" s="451" t="s">
        <v>21639</v>
      </c>
      <c r="B4063" s="451"/>
      <c r="C4063" s="451" t="s">
        <v>1215</v>
      </c>
      <c r="D4063" s="451"/>
      <c r="E4063" s="451"/>
      <c r="F4063" s="451"/>
      <c r="G4063" s="451" t="s">
        <v>22882</v>
      </c>
      <c r="H4063" s="451" t="s">
        <v>22883</v>
      </c>
      <c r="I4063" s="451"/>
      <c r="J4063" s="451" t="s">
        <v>22939</v>
      </c>
      <c r="K4063" s="451"/>
    </row>
    <row r="4064" spans="1:11">
      <c r="A4064" s="450" t="s">
        <v>31107</v>
      </c>
      <c r="B4064" s="450" t="s">
        <v>7044</v>
      </c>
      <c r="C4064" s="450" t="s">
        <v>7045</v>
      </c>
      <c r="D4064" s="450" t="s">
        <v>7046</v>
      </c>
      <c r="E4064" s="450"/>
      <c r="F4064" s="450"/>
      <c r="G4064" s="450" t="s">
        <v>22877</v>
      </c>
      <c r="H4064" s="450" t="s">
        <v>22878</v>
      </c>
      <c r="I4064" s="450" t="s">
        <v>25010</v>
      </c>
      <c r="J4064" s="450" t="s">
        <v>25011</v>
      </c>
      <c r="K4064" s="450"/>
    </row>
    <row r="4065" spans="1:11">
      <c r="A4065" s="451" t="s">
        <v>34879</v>
      </c>
      <c r="B4065" s="451" t="s">
        <v>7047</v>
      </c>
      <c r="C4065" s="451" t="s">
        <v>7048</v>
      </c>
      <c r="D4065" s="451" t="s">
        <v>7049</v>
      </c>
      <c r="E4065" s="451"/>
      <c r="F4065" s="451"/>
      <c r="G4065" s="451" t="s">
        <v>22877</v>
      </c>
      <c r="H4065" s="451" t="s">
        <v>22878</v>
      </c>
      <c r="I4065" s="451" t="s">
        <v>7049</v>
      </c>
      <c r="J4065" s="451" t="s">
        <v>34880</v>
      </c>
      <c r="K4065" s="451"/>
    </row>
    <row r="4066" spans="1:11">
      <c r="A4066" s="450" t="s">
        <v>21640</v>
      </c>
      <c r="B4066" s="450" t="s">
        <v>7044</v>
      </c>
      <c r="C4066" s="450" t="s">
        <v>7045</v>
      </c>
      <c r="D4066" s="450" t="s">
        <v>7046</v>
      </c>
      <c r="E4066" s="450"/>
      <c r="F4066" s="450"/>
      <c r="G4066" s="450" t="s">
        <v>22877</v>
      </c>
      <c r="H4066" s="450" t="s">
        <v>22878</v>
      </c>
      <c r="I4066" s="450" t="s">
        <v>26612</v>
      </c>
      <c r="J4066" s="450" t="s">
        <v>34881</v>
      </c>
      <c r="K4066" s="450"/>
    </row>
    <row r="4067" spans="1:11">
      <c r="A4067" s="451" t="s">
        <v>21641</v>
      </c>
      <c r="B4067" s="451" t="s">
        <v>7047</v>
      </c>
      <c r="C4067" s="451" t="s">
        <v>7048</v>
      </c>
      <c r="D4067" s="451" t="s">
        <v>7049</v>
      </c>
      <c r="E4067" s="451" t="s">
        <v>7050</v>
      </c>
      <c r="F4067" s="451"/>
      <c r="G4067" s="451" t="s">
        <v>22877</v>
      </c>
      <c r="H4067" s="451" t="s">
        <v>22878</v>
      </c>
      <c r="I4067" s="451" t="s">
        <v>26612</v>
      </c>
      <c r="J4067" s="451" t="s">
        <v>31108</v>
      </c>
      <c r="K4067" s="451"/>
    </row>
    <row r="4068" spans="1:11">
      <c r="A4068" s="450" t="s">
        <v>21642</v>
      </c>
      <c r="B4068" s="450" t="s">
        <v>34882</v>
      </c>
      <c r="C4068" s="450" t="s">
        <v>6947</v>
      </c>
      <c r="D4068" s="450"/>
      <c r="E4068" s="450"/>
      <c r="F4068" s="450"/>
      <c r="G4068" s="450" t="s">
        <v>22877</v>
      </c>
      <c r="H4068" s="450" t="s">
        <v>22878</v>
      </c>
      <c r="I4068" s="450" t="s">
        <v>25012</v>
      </c>
      <c r="J4068" s="450" t="s">
        <v>34883</v>
      </c>
      <c r="K4068" s="450"/>
    </row>
    <row r="4069" spans="1:11">
      <c r="A4069" s="451" t="s">
        <v>21642</v>
      </c>
      <c r="B4069" s="451" t="s">
        <v>7051</v>
      </c>
      <c r="C4069" s="451" t="s">
        <v>6947</v>
      </c>
      <c r="D4069" s="451"/>
      <c r="E4069" s="451"/>
      <c r="F4069" s="451"/>
      <c r="G4069" s="451" t="s">
        <v>22877</v>
      </c>
      <c r="H4069" s="451" t="s">
        <v>22878</v>
      </c>
      <c r="I4069" s="451" t="s">
        <v>25012</v>
      </c>
      <c r="J4069" s="451" t="s">
        <v>31109</v>
      </c>
      <c r="K4069" s="451"/>
    </row>
    <row r="4070" spans="1:11">
      <c r="A4070" s="450" t="s">
        <v>34884</v>
      </c>
      <c r="B4070" s="450" t="s">
        <v>7052</v>
      </c>
      <c r="C4070" s="450" t="s">
        <v>3938</v>
      </c>
      <c r="D4070" s="450"/>
      <c r="E4070" s="450"/>
      <c r="F4070" s="450"/>
      <c r="G4070" s="450" t="s">
        <v>22877</v>
      </c>
      <c r="H4070" s="450" t="s">
        <v>22878</v>
      </c>
      <c r="I4070" s="450" t="s">
        <v>25013</v>
      </c>
      <c r="J4070" s="450" t="s">
        <v>34885</v>
      </c>
      <c r="K4070" s="450"/>
    </row>
    <row r="4071" spans="1:11">
      <c r="A4071" s="451" t="s">
        <v>21643</v>
      </c>
      <c r="B4071" s="451" t="s">
        <v>7052</v>
      </c>
      <c r="C4071" s="451" t="s">
        <v>3938</v>
      </c>
      <c r="D4071" s="451"/>
      <c r="E4071" s="451"/>
      <c r="F4071" s="451"/>
      <c r="G4071" s="451" t="s">
        <v>22877</v>
      </c>
      <c r="H4071" s="451" t="s">
        <v>22878</v>
      </c>
      <c r="I4071" s="451" t="s">
        <v>25013</v>
      </c>
      <c r="J4071" s="451" t="s">
        <v>31110</v>
      </c>
      <c r="K4071" s="451"/>
    </row>
    <row r="4072" spans="1:11">
      <c r="A4072" s="450" t="s">
        <v>21644</v>
      </c>
      <c r="B4072" s="450"/>
      <c r="C4072" s="450" t="s">
        <v>6211</v>
      </c>
      <c r="D4072" s="450"/>
      <c r="E4072" s="450"/>
      <c r="F4072" s="450"/>
      <c r="G4072" s="450" t="s">
        <v>22877</v>
      </c>
      <c r="H4072" s="450" t="s">
        <v>22878</v>
      </c>
      <c r="I4072" s="450" t="s">
        <v>34886</v>
      </c>
      <c r="J4072" s="450" t="s">
        <v>22939</v>
      </c>
      <c r="K4072" s="450"/>
    </row>
    <row r="4073" spans="1:11">
      <c r="A4073" s="451" t="s">
        <v>21645</v>
      </c>
      <c r="B4073" s="451"/>
      <c r="C4073" s="451" t="s">
        <v>7053</v>
      </c>
      <c r="D4073" s="451"/>
      <c r="E4073" s="451"/>
      <c r="F4073" s="451"/>
      <c r="G4073" s="451" t="s">
        <v>22877</v>
      </c>
      <c r="H4073" s="451" t="s">
        <v>22878</v>
      </c>
      <c r="I4073" s="451" t="s">
        <v>34887</v>
      </c>
      <c r="J4073" s="451" t="s">
        <v>22943</v>
      </c>
      <c r="K4073" s="451"/>
    </row>
    <row r="4074" spans="1:11">
      <c r="A4074" s="450" t="s">
        <v>21646</v>
      </c>
      <c r="B4074" s="450"/>
      <c r="C4074" s="450" t="s">
        <v>7054</v>
      </c>
      <c r="D4074" s="450"/>
      <c r="E4074" s="450"/>
      <c r="F4074" s="450"/>
      <c r="G4074" s="450" t="s">
        <v>22877</v>
      </c>
      <c r="H4074" s="450" t="s">
        <v>22878</v>
      </c>
      <c r="I4074" s="450" t="s">
        <v>34888</v>
      </c>
      <c r="J4074" s="450" t="s">
        <v>22943</v>
      </c>
      <c r="K4074" s="450"/>
    </row>
    <row r="4075" spans="1:11">
      <c r="A4075" s="451" t="s">
        <v>21647</v>
      </c>
      <c r="B4075" s="451"/>
      <c r="C4075" s="451" t="s">
        <v>1533</v>
      </c>
      <c r="D4075" s="451"/>
      <c r="E4075" s="451"/>
      <c r="F4075" s="451"/>
      <c r="G4075" s="451" t="s">
        <v>22877</v>
      </c>
      <c r="H4075" s="451" t="s">
        <v>22878</v>
      </c>
      <c r="I4075" s="451" t="s">
        <v>25009</v>
      </c>
      <c r="J4075" s="451" t="s">
        <v>22939</v>
      </c>
      <c r="K4075" s="451"/>
    </row>
    <row r="4076" spans="1:11">
      <c r="A4076" s="450" t="s">
        <v>31111</v>
      </c>
      <c r="B4076" s="450" t="s">
        <v>25014</v>
      </c>
      <c r="C4076" s="450" t="s">
        <v>25015</v>
      </c>
      <c r="D4076" s="450"/>
      <c r="E4076" s="450"/>
      <c r="F4076" s="450"/>
      <c r="G4076" s="450" t="s">
        <v>22877</v>
      </c>
      <c r="H4076" s="450" t="s">
        <v>22878</v>
      </c>
      <c r="I4076" s="450" t="s">
        <v>25016</v>
      </c>
      <c r="J4076" s="450" t="s">
        <v>25017</v>
      </c>
      <c r="K4076" s="450"/>
    </row>
    <row r="4077" spans="1:11">
      <c r="A4077" s="451" t="s">
        <v>21648</v>
      </c>
      <c r="B4077" s="451"/>
      <c r="C4077" s="451" t="s">
        <v>7055</v>
      </c>
      <c r="D4077" s="451"/>
      <c r="E4077" s="451"/>
      <c r="F4077" s="451"/>
      <c r="G4077" s="451" t="s">
        <v>22877</v>
      </c>
      <c r="H4077" s="451" t="s">
        <v>22878</v>
      </c>
      <c r="I4077" s="451" t="s">
        <v>25018</v>
      </c>
      <c r="J4077" s="451" t="s">
        <v>22943</v>
      </c>
      <c r="K4077" s="451"/>
    </row>
    <row r="4078" spans="1:11">
      <c r="A4078" s="450" t="s">
        <v>31112</v>
      </c>
      <c r="B4078" s="450" t="s">
        <v>7056</v>
      </c>
      <c r="C4078" s="450" t="s">
        <v>7057</v>
      </c>
      <c r="D4078" s="450" t="s">
        <v>7058</v>
      </c>
      <c r="E4078" s="450"/>
      <c r="F4078" s="450"/>
      <c r="G4078" s="450" t="s">
        <v>22877</v>
      </c>
      <c r="H4078" s="450" t="s">
        <v>22878</v>
      </c>
      <c r="I4078" s="450" t="s">
        <v>25019</v>
      </c>
      <c r="J4078" s="450" t="s">
        <v>25020</v>
      </c>
      <c r="K4078" s="450"/>
    </row>
    <row r="4079" spans="1:11">
      <c r="A4079" s="451" t="s">
        <v>21649</v>
      </c>
      <c r="B4079" s="451" t="s">
        <v>7056</v>
      </c>
      <c r="C4079" s="451" t="s">
        <v>7057</v>
      </c>
      <c r="D4079" s="451" t="s">
        <v>7058</v>
      </c>
      <c r="E4079" s="451" t="s">
        <v>7059</v>
      </c>
      <c r="F4079" s="451"/>
      <c r="G4079" s="451" t="s">
        <v>22877</v>
      </c>
      <c r="H4079" s="451" t="s">
        <v>22878</v>
      </c>
      <c r="I4079" s="451" t="s">
        <v>7058</v>
      </c>
      <c r="J4079" s="451" t="s">
        <v>34889</v>
      </c>
      <c r="K4079" s="451"/>
    </row>
    <row r="4080" spans="1:11">
      <c r="A4080" s="450" t="s">
        <v>21650</v>
      </c>
      <c r="B4080" s="450" t="s">
        <v>7060</v>
      </c>
      <c r="C4080" s="450" t="s">
        <v>7057</v>
      </c>
      <c r="D4080" s="450" t="s">
        <v>7061</v>
      </c>
      <c r="E4080" s="450" t="s">
        <v>7059</v>
      </c>
      <c r="F4080" s="450"/>
      <c r="G4080" s="450" t="s">
        <v>22877</v>
      </c>
      <c r="H4080" s="450" t="s">
        <v>22878</v>
      </c>
      <c r="I4080" s="450" t="s">
        <v>7058</v>
      </c>
      <c r="J4080" s="450" t="s">
        <v>31113</v>
      </c>
      <c r="K4080" s="450"/>
    </row>
    <row r="4081" spans="1:11">
      <c r="A4081" s="451" t="s">
        <v>7069</v>
      </c>
      <c r="B4081" s="451"/>
      <c r="C4081" s="451" t="s">
        <v>7070</v>
      </c>
      <c r="D4081" s="451"/>
      <c r="E4081" s="451"/>
      <c r="F4081" s="451"/>
      <c r="G4081" s="451" t="s">
        <v>22877</v>
      </c>
      <c r="H4081" s="451" t="s">
        <v>22878</v>
      </c>
      <c r="I4081" s="451" t="s">
        <v>34890</v>
      </c>
      <c r="J4081" s="451" t="s">
        <v>22939</v>
      </c>
      <c r="K4081" s="451"/>
    </row>
    <row r="4082" spans="1:11">
      <c r="A4082" s="450" t="s">
        <v>7071</v>
      </c>
      <c r="B4082" s="450"/>
      <c r="C4082" s="450" t="s">
        <v>7072</v>
      </c>
      <c r="D4082" s="450"/>
      <c r="E4082" s="450"/>
      <c r="F4082" s="450"/>
      <c r="G4082" s="450" t="s">
        <v>22877</v>
      </c>
      <c r="H4082" s="450" t="s">
        <v>22878</v>
      </c>
      <c r="I4082" s="450" t="s">
        <v>25027</v>
      </c>
      <c r="J4082" s="450" t="s">
        <v>22942</v>
      </c>
      <c r="K4082" s="450"/>
    </row>
    <row r="4083" spans="1:11">
      <c r="A4083" s="451" t="s">
        <v>7073</v>
      </c>
      <c r="B4083" s="451"/>
      <c r="C4083" s="451" t="s">
        <v>7074</v>
      </c>
      <c r="D4083" s="451"/>
      <c r="E4083" s="451"/>
      <c r="F4083" s="451"/>
      <c r="G4083" s="451" t="s">
        <v>22877</v>
      </c>
      <c r="H4083" s="451" t="s">
        <v>22878</v>
      </c>
      <c r="I4083" s="451" t="s">
        <v>34891</v>
      </c>
      <c r="J4083" s="451" t="s">
        <v>22942</v>
      </c>
      <c r="K4083" s="451"/>
    </row>
    <row r="4084" spans="1:11">
      <c r="A4084" s="450" t="s">
        <v>7075</v>
      </c>
      <c r="B4084" s="450"/>
      <c r="C4084" s="450" t="s">
        <v>7076</v>
      </c>
      <c r="D4084" s="450"/>
      <c r="E4084" s="450"/>
      <c r="F4084" s="450"/>
      <c r="G4084" s="450" t="s">
        <v>22882</v>
      </c>
      <c r="H4084" s="450" t="s">
        <v>22883</v>
      </c>
      <c r="I4084" s="450" t="s">
        <v>34892</v>
      </c>
      <c r="J4084" s="450" t="s">
        <v>22939</v>
      </c>
      <c r="K4084" s="450"/>
    </row>
    <row r="4085" spans="1:11">
      <c r="A4085" s="451" t="s">
        <v>7077</v>
      </c>
      <c r="B4085" s="451"/>
      <c r="C4085" s="451" t="s">
        <v>7078</v>
      </c>
      <c r="D4085" s="451"/>
      <c r="E4085" s="451"/>
      <c r="F4085" s="451"/>
      <c r="G4085" s="451" t="s">
        <v>22877</v>
      </c>
      <c r="H4085" s="451" t="s">
        <v>22878</v>
      </c>
      <c r="I4085" s="451" t="s">
        <v>34893</v>
      </c>
      <c r="J4085" s="451" t="s">
        <v>22939</v>
      </c>
      <c r="K4085" s="451"/>
    </row>
    <row r="4086" spans="1:11">
      <c r="A4086" s="450" t="s">
        <v>7079</v>
      </c>
      <c r="B4086" s="450"/>
      <c r="C4086" s="450" t="s">
        <v>7080</v>
      </c>
      <c r="D4086" s="450"/>
      <c r="E4086" s="450"/>
      <c r="F4086" s="450"/>
      <c r="G4086" s="450" t="s">
        <v>22877</v>
      </c>
      <c r="H4086" s="450" t="s">
        <v>22878</v>
      </c>
      <c r="I4086" s="450" t="s">
        <v>31114</v>
      </c>
      <c r="J4086" s="450" t="s">
        <v>22937</v>
      </c>
      <c r="K4086" s="450"/>
    </row>
    <row r="4087" spans="1:11">
      <c r="A4087" s="451" t="s">
        <v>25021</v>
      </c>
      <c r="B4087" s="451" t="s">
        <v>25022</v>
      </c>
      <c r="C4087" s="451" t="s">
        <v>25023</v>
      </c>
      <c r="D4087" s="451"/>
      <c r="E4087" s="451"/>
      <c r="F4087" s="451"/>
      <c r="G4087" s="451" t="s">
        <v>22877</v>
      </c>
      <c r="H4087" s="451" t="s">
        <v>22878</v>
      </c>
      <c r="I4087" s="451" t="s">
        <v>25024</v>
      </c>
      <c r="J4087" s="451" t="s">
        <v>25025</v>
      </c>
      <c r="K4087" s="451"/>
    </row>
    <row r="4088" spans="1:11">
      <c r="A4088" s="450" t="s">
        <v>7081</v>
      </c>
      <c r="B4088" s="450"/>
      <c r="C4088" s="450" t="s">
        <v>7082</v>
      </c>
      <c r="D4088" s="450"/>
      <c r="E4088" s="450"/>
      <c r="F4088" s="450"/>
      <c r="G4088" s="450" t="s">
        <v>22877</v>
      </c>
      <c r="H4088" s="450" t="s">
        <v>22878</v>
      </c>
      <c r="I4088" s="450" t="s">
        <v>34894</v>
      </c>
      <c r="J4088" s="450" t="s">
        <v>22937</v>
      </c>
      <c r="K4088" s="450"/>
    </row>
    <row r="4089" spans="1:11">
      <c r="A4089" s="451" t="s">
        <v>25026</v>
      </c>
      <c r="B4089" s="451"/>
      <c r="C4089" s="451" t="s">
        <v>7072</v>
      </c>
      <c r="D4089" s="451"/>
      <c r="E4089" s="451"/>
      <c r="F4089" s="451"/>
      <c r="G4089" s="451" t="s">
        <v>22877</v>
      </c>
      <c r="H4089" s="451" t="s">
        <v>22878</v>
      </c>
      <c r="I4089" s="451" t="s">
        <v>25027</v>
      </c>
      <c r="J4089" s="451" t="s">
        <v>25028</v>
      </c>
      <c r="K4089" s="451"/>
    </row>
    <row r="4090" spans="1:11">
      <c r="A4090" s="450" t="s">
        <v>7083</v>
      </c>
      <c r="B4090" s="450" t="s">
        <v>25029</v>
      </c>
      <c r="C4090" s="450" t="s">
        <v>7085</v>
      </c>
      <c r="D4090" s="450" t="s">
        <v>7086</v>
      </c>
      <c r="E4090" s="450"/>
      <c r="F4090" s="450"/>
      <c r="G4090" s="450" t="s">
        <v>22877</v>
      </c>
      <c r="H4090" s="450" t="s">
        <v>22878</v>
      </c>
      <c r="I4090" s="450" t="s">
        <v>25030</v>
      </c>
      <c r="J4090" s="450" t="s">
        <v>25031</v>
      </c>
      <c r="K4090" s="450"/>
    </row>
    <row r="4091" spans="1:11">
      <c r="A4091" s="451" t="s">
        <v>7083</v>
      </c>
      <c r="B4091" s="451" t="s">
        <v>7084</v>
      </c>
      <c r="C4091" s="451" t="s">
        <v>7085</v>
      </c>
      <c r="D4091" s="451" t="s">
        <v>7086</v>
      </c>
      <c r="E4091" s="451" t="s">
        <v>7087</v>
      </c>
      <c r="F4091" s="451"/>
      <c r="G4091" s="451" t="s">
        <v>22877</v>
      </c>
      <c r="H4091" s="451" t="s">
        <v>22878</v>
      </c>
      <c r="I4091" s="451" t="s">
        <v>7086</v>
      </c>
      <c r="J4091" s="451" t="s">
        <v>31115</v>
      </c>
      <c r="K4091" s="451"/>
    </row>
    <row r="4092" spans="1:11">
      <c r="A4092" s="450" t="s">
        <v>34895</v>
      </c>
      <c r="B4092" s="450"/>
      <c r="C4092" s="450" t="s">
        <v>7063</v>
      </c>
      <c r="D4092" s="450"/>
      <c r="E4092" s="450"/>
      <c r="F4092" s="450"/>
      <c r="G4092" s="450" t="s">
        <v>22882</v>
      </c>
      <c r="H4092" s="450" t="s">
        <v>22883</v>
      </c>
      <c r="I4092" s="450" t="s">
        <v>34896</v>
      </c>
      <c r="J4092" s="450" t="s">
        <v>23370</v>
      </c>
      <c r="K4092" s="450"/>
    </row>
    <row r="4093" spans="1:11">
      <c r="A4093" s="451" t="s">
        <v>7088</v>
      </c>
      <c r="B4093" s="451"/>
      <c r="C4093" s="451" t="s">
        <v>7089</v>
      </c>
      <c r="D4093" s="451"/>
      <c r="E4093" s="451"/>
      <c r="F4093" s="451"/>
      <c r="G4093" s="451" t="s">
        <v>22882</v>
      </c>
      <c r="H4093" s="451" t="s">
        <v>22883</v>
      </c>
      <c r="I4093" s="451" t="s">
        <v>34897</v>
      </c>
      <c r="J4093" s="451" t="s">
        <v>22937</v>
      </c>
      <c r="K4093" s="451"/>
    </row>
    <row r="4094" spans="1:11">
      <c r="A4094" s="450" t="s">
        <v>7090</v>
      </c>
      <c r="B4094" s="450"/>
      <c r="C4094" s="450" t="s">
        <v>7091</v>
      </c>
      <c r="D4094" s="450"/>
      <c r="E4094" s="450"/>
      <c r="F4094" s="450"/>
      <c r="G4094" s="450" t="s">
        <v>22882</v>
      </c>
      <c r="H4094" s="450" t="s">
        <v>22883</v>
      </c>
      <c r="I4094" s="450"/>
      <c r="J4094" s="450" t="s">
        <v>23121</v>
      </c>
      <c r="K4094" s="450"/>
    </row>
    <row r="4095" spans="1:11">
      <c r="A4095" s="451" t="s">
        <v>34898</v>
      </c>
      <c r="B4095" s="451"/>
      <c r="C4095" s="451" t="s">
        <v>7089</v>
      </c>
      <c r="D4095" s="451"/>
      <c r="E4095" s="451"/>
      <c r="F4095" s="451"/>
      <c r="G4095" s="451" t="s">
        <v>22882</v>
      </c>
      <c r="H4095" s="451" t="s">
        <v>22883</v>
      </c>
      <c r="I4095" s="451"/>
      <c r="J4095" s="451" t="s">
        <v>22943</v>
      </c>
      <c r="K4095" s="451"/>
    </row>
    <row r="4096" spans="1:11">
      <c r="A4096" s="450" t="s">
        <v>34899</v>
      </c>
      <c r="B4096" s="450"/>
      <c r="C4096" s="450" t="s">
        <v>7093</v>
      </c>
      <c r="D4096" s="450"/>
      <c r="E4096" s="450"/>
      <c r="F4096" s="450"/>
      <c r="G4096" s="450" t="s">
        <v>22882</v>
      </c>
      <c r="H4096" s="450" t="s">
        <v>22883</v>
      </c>
      <c r="I4096" s="450" t="s">
        <v>34900</v>
      </c>
      <c r="J4096" s="450" t="s">
        <v>22943</v>
      </c>
      <c r="K4096" s="450"/>
    </row>
    <row r="4097" spans="1:11">
      <c r="A4097" s="451" t="s">
        <v>7092</v>
      </c>
      <c r="B4097" s="451"/>
      <c r="C4097" s="451" t="s">
        <v>7093</v>
      </c>
      <c r="D4097" s="451"/>
      <c r="E4097" s="451"/>
      <c r="F4097" s="451"/>
      <c r="G4097" s="451" t="s">
        <v>22882</v>
      </c>
      <c r="H4097" s="451" t="s">
        <v>22883</v>
      </c>
      <c r="I4097" s="451" t="s">
        <v>34900</v>
      </c>
      <c r="J4097" s="451" t="s">
        <v>22942</v>
      </c>
      <c r="K4097" s="451"/>
    </row>
    <row r="4098" spans="1:11">
      <c r="A4098" s="450" t="s">
        <v>7094</v>
      </c>
      <c r="B4098" s="450"/>
      <c r="C4098" s="450" t="s">
        <v>7095</v>
      </c>
      <c r="D4098" s="450"/>
      <c r="E4098" s="450"/>
      <c r="F4098" s="450"/>
      <c r="G4098" s="450" t="s">
        <v>22877</v>
      </c>
      <c r="H4098" s="450" t="s">
        <v>22878</v>
      </c>
      <c r="I4098" s="450" t="s">
        <v>25032</v>
      </c>
      <c r="J4098" s="450" t="s">
        <v>22943</v>
      </c>
      <c r="K4098" s="450"/>
    </row>
    <row r="4099" spans="1:11">
      <c r="A4099" s="451" t="s">
        <v>34901</v>
      </c>
      <c r="B4099" s="451" t="s">
        <v>7097</v>
      </c>
      <c r="C4099" s="451" t="s">
        <v>7098</v>
      </c>
      <c r="D4099" s="451" t="s">
        <v>7099</v>
      </c>
      <c r="E4099" s="451"/>
      <c r="F4099" s="451"/>
      <c r="G4099" s="451" t="s">
        <v>22882</v>
      </c>
      <c r="H4099" s="451" t="s">
        <v>22883</v>
      </c>
      <c r="I4099" s="451" t="s">
        <v>7099</v>
      </c>
      <c r="J4099" s="451" t="s">
        <v>34902</v>
      </c>
      <c r="K4099" s="451"/>
    </row>
    <row r="4100" spans="1:11">
      <c r="A4100" s="450" t="s">
        <v>7096</v>
      </c>
      <c r="B4100" s="450" t="s">
        <v>7097</v>
      </c>
      <c r="C4100" s="450" t="s">
        <v>7098</v>
      </c>
      <c r="D4100" s="450" t="s">
        <v>7099</v>
      </c>
      <c r="E4100" s="450"/>
      <c r="F4100" s="450"/>
      <c r="G4100" s="450" t="s">
        <v>22882</v>
      </c>
      <c r="H4100" s="450" t="s">
        <v>22883</v>
      </c>
      <c r="I4100" s="450" t="s">
        <v>24418</v>
      </c>
      <c r="J4100" s="450" t="s">
        <v>31116</v>
      </c>
      <c r="K4100" s="450"/>
    </row>
    <row r="4101" spans="1:11">
      <c r="A4101" s="451" t="s">
        <v>34903</v>
      </c>
      <c r="B4101" s="451"/>
      <c r="C4101" s="451" t="s">
        <v>7101</v>
      </c>
      <c r="D4101" s="451"/>
      <c r="E4101" s="451"/>
      <c r="F4101" s="451"/>
      <c r="G4101" s="451" t="s">
        <v>22882</v>
      </c>
      <c r="H4101" s="451" t="s">
        <v>22883</v>
      </c>
      <c r="I4101" s="451" t="s">
        <v>34904</v>
      </c>
      <c r="J4101" s="451" t="s">
        <v>22943</v>
      </c>
      <c r="K4101" s="451"/>
    </row>
    <row r="4102" spans="1:11">
      <c r="A4102" s="450" t="s">
        <v>7100</v>
      </c>
      <c r="B4102" s="450"/>
      <c r="C4102" s="450" t="s">
        <v>7101</v>
      </c>
      <c r="D4102" s="450"/>
      <c r="E4102" s="450"/>
      <c r="F4102" s="450"/>
      <c r="G4102" s="450" t="s">
        <v>22882</v>
      </c>
      <c r="H4102" s="450" t="s">
        <v>22883</v>
      </c>
      <c r="I4102" s="450" t="s">
        <v>34904</v>
      </c>
      <c r="J4102" s="450" t="s">
        <v>22942</v>
      </c>
      <c r="K4102" s="450"/>
    </row>
    <row r="4103" spans="1:11">
      <c r="A4103" s="451" t="s">
        <v>7102</v>
      </c>
      <c r="B4103" s="451"/>
      <c r="C4103" s="451" t="s">
        <v>7103</v>
      </c>
      <c r="D4103" s="451"/>
      <c r="E4103" s="451"/>
      <c r="F4103" s="451"/>
      <c r="G4103" s="451" t="s">
        <v>22877</v>
      </c>
      <c r="H4103" s="451" t="s">
        <v>22878</v>
      </c>
      <c r="I4103" s="451" t="s">
        <v>34905</v>
      </c>
      <c r="J4103" s="451" t="s">
        <v>23370</v>
      </c>
      <c r="K4103" s="451"/>
    </row>
    <row r="4104" spans="1:11">
      <c r="A4104" s="450" t="s">
        <v>7104</v>
      </c>
      <c r="B4104" s="450"/>
      <c r="C4104" s="450" t="s">
        <v>7105</v>
      </c>
      <c r="D4104" s="450"/>
      <c r="E4104" s="450"/>
      <c r="F4104" s="450"/>
      <c r="G4104" s="450" t="s">
        <v>22882</v>
      </c>
      <c r="H4104" s="450" t="s">
        <v>22883</v>
      </c>
      <c r="I4104" s="450" t="s">
        <v>25033</v>
      </c>
      <c r="J4104" s="450" t="s">
        <v>22943</v>
      </c>
      <c r="K4104" s="450"/>
    </row>
    <row r="4105" spans="1:11">
      <c r="A4105" s="451" t="s">
        <v>7106</v>
      </c>
      <c r="B4105" s="451" t="s">
        <v>7107</v>
      </c>
      <c r="C4105" s="451" t="s">
        <v>7108</v>
      </c>
      <c r="D4105" s="451"/>
      <c r="E4105" s="451"/>
      <c r="F4105" s="451"/>
      <c r="G4105" s="451" t="s">
        <v>22882</v>
      </c>
      <c r="H4105" s="451" t="s">
        <v>22883</v>
      </c>
      <c r="I4105" s="451" t="s">
        <v>25034</v>
      </c>
      <c r="J4105" s="451" t="s">
        <v>25035</v>
      </c>
      <c r="K4105" s="451"/>
    </row>
    <row r="4106" spans="1:11">
      <c r="A4106" s="450" t="s">
        <v>7109</v>
      </c>
      <c r="B4106" s="450"/>
      <c r="C4106" s="450" t="s">
        <v>3917</v>
      </c>
      <c r="D4106" s="450"/>
      <c r="E4106" s="450"/>
      <c r="F4106" s="450"/>
      <c r="G4106" s="450" t="s">
        <v>22882</v>
      </c>
      <c r="H4106" s="450" t="s">
        <v>22883</v>
      </c>
      <c r="I4106" s="450" t="s">
        <v>34906</v>
      </c>
      <c r="J4106" s="450" t="s">
        <v>22943</v>
      </c>
      <c r="K4106" s="450"/>
    </row>
    <row r="4107" spans="1:11">
      <c r="A4107" s="451" t="s">
        <v>34907</v>
      </c>
      <c r="B4107" s="451"/>
      <c r="C4107" s="451" t="s">
        <v>7111</v>
      </c>
      <c r="D4107" s="451"/>
      <c r="E4107" s="451"/>
      <c r="F4107" s="451"/>
      <c r="G4107" s="451" t="s">
        <v>22877</v>
      </c>
      <c r="H4107" s="451" t="s">
        <v>22878</v>
      </c>
      <c r="I4107" s="451" t="s">
        <v>25036</v>
      </c>
      <c r="J4107" s="451" t="s">
        <v>22943</v>
      </c>
      <c r="K4107" s="451"/>
    </row>
    <row r="4108" spans="1:11">
      <c r="A4108" s="450" t="s">
        <v>7110</v>
      </c>
      <c r="B4108" s="450"/>
      <c r="C4108" s="450" t="s">
        <v>7111</v>
      </c>
      <c r="D4108" s="450"/>
      <c r="E4108" s="450"/>
      <c r="F4108" s="450"/>
      <c r="G4108" s="450" t="s">
        <v>22877</v>
      </c>
      <c r="H4108" s="450" t="s">
        <v>22878</v>
      </c>
      <c r="I4108" s="450" t="s">
        <v>25036</v>
      </c>
      <c r="J4108" s="450" t="s">
        <v>22937</v>
      </c>
      <c r="K4108" s="450"/>
    </row>
    <row r="4109" spans="1:11">
      <c r="A4109" s="451" t="s">
        <v>7112</v>
      </c>
      <c r="B4109" s="451" t="s">
        <v>7113</v>
      </c>
      <c r="C4109" s="451" t="s">
        <v>7114</v>
      </c>
      <c r="D4109" s="451">
        <v>3863289219</v>
      </c>
      <c r="E4109" s="451">
        <v>3863286366</v>
      </c>
      <c r="F4109" s="451"/>
      <c r="G4109" s="451" t="s">
        <v>22877</v>
      </c>
      <c r="H4109" s="451" t="s">
        <v>22878</v>
      </c>
      <c r="I4109" s="451" t="s">
        <v>31117</v>
      </c>
      <c r="J4109" s="451" t="s">
        <v>31118</v>
      </c>
      <c r="K4109" s="451"/>
    </row>
    <row r="4110" spans="1:11">
      <c r="A4110" s="450" t="s">
        <v>25037</v>
      </c>
      <c r="B4110" s="450" t="s">
        <v>25038</v>
      </c>
      <c r="C4110" s="450" t="s">
        <v>25039</v>
      </c>
      <c r="D4110" s="450"/>
      <c r="E4110" s="450"/>
      <c r="F4110" s="450"/>
      <c r="G4110" s="450" t="s">
        <v>22877</v>
      </c>
      <c r="H4110" s="450" t="s">
        <v>22878</v>
      </c>
      <c r="I4110" s="450" t="s">
        <v>25040</v>
      </c>
      <c r="J4110" s="450" t="s">
        <v>25041</v>
      </c>
      <c r="K4110" s="450"/>
    </row>
    <row r="4111" spans="1:11">
      <c r="A4111" s="451" t="s">
        <v>34908</v>
      </c>
      <c r="B4111" s="451" t="s">
        <v>7115</v>
      </c>
      <c r="C4111" s="451" t="s">
        <v>6211</v>
      </c>
      <c r="D4111" s="451" t="s">
        <v>7116</v>
      </c>
      <c r="E4111" s="451"/>
      <c r="F4111" s="451"/>
      <c r="G4111" s="451" t="s">
        <v>22877</v>
      </c>
      <c r="H4111" s="451" t="s">
        <v>22878</v>
      </c>
      <c r="I4111" s="451" t="s">
        <v>7116</v>
      </c>
      <c r="J4111" s="451" t="s">
        <v>25042</v>
      </c>
      <c r="K4111" s="451"/>
    </row>
    <row r="4112" spans="1:11">
      <c r="A4112" s="450" t="s">
        <v>21651</v>
      </c>
      <c r="B4112" s="450" t="s">
        <v>7115</v>
      </c>
      <c r="C4112" s="450" t="s">
        <v>6211</v>
      </c>
      <c r="D4112" s="450" t="s">
        <v>7116</v>
      </c>
      <c r="E4112" s="450" t="s">
        <v>7117</v>
      </c>
      <c r="F4112" s="450"/>
      <c r="G4112" s="450" t="s">
        <v>22877</v>
      </c>
      <c r="H4112" s="450" t="s">
        <v>22878</v>
      </c>
      <c r="I4112" s="450" t="s">
        <v>7116</v>
      </c>
      <c r="J4112" s="450" t="s">
        <v>25042</v>
      </c>
      <c r="K4112" s="450"/>
    </row>
    <row r="4113" spans="1:11">
      <c r="A4113" s="451" t="s">
        <v>34909</v>
      </c>
      <c r="B4113" s="451" t="s">
        <v>7119</v>
      </c>
      <c r="C4113" s="451" t="s">
        <v>7120</v>
      </c>
      <c r="D4113" s="451" t="s">
        <v>7121</v>
      </c>
      <c r="E4113" s="451"/>
      <c r="F4113" s="451"/>
      <c r="G4113" s="451" t="s">
        <v>22882</v>
      </c>
      <c r="H4113" s="451" t="s">
        <v>22883</v>
      </c>
      <c r="I4113" s="451" t="s">
        <v>7121</v>
      </c>
      <c r="J4113" s="451" t="s">
        <v>34910</v>
      </c>
      <c r="K4113" s="451"/>
    </row>
    <row r="4114" spans="1:11">
      <c r="A4114" s="450" t="s">
        <v>7118</v>
      </c>
      <c r="B4114" s="450" t="s">
        <v>7119</v>
      </c>
      <c r="C4114" s="450" t="s">
        <v>7120</v>
      </c>
      <c r="D4114" s="450" t="s">
        <v>7121</v>
      </c>
      <c r="E4114" s="450" t="s">
        <v>7122</v>
      </c>
      <c r="F4114" s="450"/>
      <c r="G4114" s="450" t="s">
        <v>22882</v>
      </c>
      <c r="H4114" s="450" t="s">
        <v>22883</v>
      </c>
      <c r="I4114" s="450" t="s">
        <v>31119</v>
      </c>
      <c r="J4114" s="450" t="s">
        <v>31120</v>
      </c>
      <c r="K4114" s="450"/>
    </row>
    <row r="4115" spans="1:11">
      <c r="A4115" s="451" t="s">
        <v>34911</v>
      </c>
      <c r="B4115" s="451" t="s">
        <v>7124</v>
      </c>
      <c r="C4115" s="451" t="s">
        <v>7125</v>
      </c>
      <c r="D4115" s="451" t="s">
        <v>7126</v>
      </c>
      <c r="E4115" s="451"/>
      <c r="F4115" s="451"/>
      <c r="G4115" s="451" t="s">
        <v>22877</v>
      </c>
      <c r="H4115" s="451" t="s">
        <v>22878</v>
      </c>
      <c r="I4115" s="451" t="s">
        <v>7126</v>
      </c>
      <c r="J4115" s="451" t="s">
        <v>34912</v>
      </c>
      <c r="K4115" s="451"/>
    </row>
    <row r="4116" spans="1:11">
      <c r="A4116" s="450" t="s">
        <v>7123</v>
      </c>
      <c r="B4116" s="450" t="s">
        <v>7124</v>
      </c>
      <c r="C4116" s="450" t="s">
        <v>7125</v>
      </c>
      <c r="D4116" s="450" t="s">
        <v>7126</v>
      </c>
      <c r="E4116" s="450" t="s">
        <v>7127</v>
      </c>
      <c r="F4116" s="450"/>
      <c r="G4116" s="450" t="s">
        <v>22877</v>
      </c>
      <c r="H4116" s="450" t="s">
        <v>22878</v>
      </c>
      <c r="I4116" s="450" t="s">
        <v>31121</v>
      </c>
      <c r="J4116" s="450" t="s">
        <v>31122</v>
      </c>
      <c r="K4116" s="450"/>
    </row>
    <row r="4117" spans="1:11">
      <c r="A4117" s="451" t="s">
        <v>34913</v>
      </c>
      <c r="B4117" s="451" t="s">
        <v>7129</v>
      </c>
      <c r="C4117" s="451" t="s">
        <v>7130</v>
      </c>
      <c r="D4117" s="451" t="s">
        <v>7131</v>
      </c>
      <c r="E4117" s="451"/>
      <c r="F4117" s="451"/>
      <c r="G4117" s="451" t="s">
        <v>22877</v>
      </c>
      <c r="H4117" s="451" t="s">
        <v>22878</v>
      </c>
      <c r="I4117" s="451" t="s">
        <v>34914</v>
      </c>
      <c r="J4117" s="451" t="s">
        <v>34915</v>
      </c>
      <c r="K4117" s="451"/>
    </row>
    <row r="4118" spans="1:11">
      <c r="A4118" s="450" t="s">
        <v>7128</v>
      </c>
      <c r="B4118" s="450" t="s">
        <v>7129</v>
      </c>
      <c r="C4118" s="450" t="s">
        <v>7130</v>
      </c>
      <c r="D4118" s="450" t="s">
        <v>7131</v>
      </c>
      <c r="E4118" s="450"/>
      <c r="F4118" s="450"/>
      <c r="G4118" s="450" t="s">
        <v>22882</v>
      </c>
      <c r="H4118" s="450" t="s">
        <v>22883</v>
      </c>
      <c r="I4118" s="450" t="s">
        <v>7131</v>
      </c>
      <c r="J4118" s="450" t="s">
        <v>31123</v>
      </c>
      <c r="K4118" s="450"/>
    </row>
    <row r="4119" spans="1:11">
      <c r="A4119" s="451" t="s">
        <v>34916</v>
      </c>
      <c r="B4119" s="451" t="s">
        <v>7133</v>
      </c>
      <c r="C4119" s="451" t="s">
        <v>3623</v>
      </c>
      <c r="D4119" s="451" t="s">
        <v>7134</v>
      </c>
      <c r="E4119" s="451"/>
      <c r="F4119" s="451"/>
      <c r="G4119" s="451" t="s">
        <v>22877</v>
      </c>
      <c r="H4119" s="451" t="s">
        <v>22878</v>
      </c>
      <c r="I4119" s="451" t="s">
        <v>34917</v>
      </c>
      <c r="J4119" s="451" t="s">
        <v>34918</v>
      </c>
      <c r="K4119" s="451"/>
    </row>
    <row r="4120" spans="1:11">
      <c r="A4120" s="450" t="s">
        <v>7132</v>
      </c>
      <c r="B4120" s="450" t="s">
        <v>7133</v>
      </c>
      <c r="C4120" s="450" t="s">
        <v>3623</v>
      </c>
      <c r="D4120" s="450" t="s">
        <v>7134</v>
      </c>
      <c r="E4120" s="450"/>
      <c r="F4120" s="450"/>
      <c r="G4120" s="450" t="s">
        <v>22877</v>
      </c>
      <c r="H4120" s="450" t="s">
        <v>22878</v>
      </c>
      <c r="I4120" s="450" t="s">
        <v>7134</v>
      </c>
      <c r="J4120" s="450" t="s">
        <v>31124</v>
      </c>
      <c r="K4120" s="450"/>
    </row>
    <row r="4121" spans="1:11">
      <c r="A4121" s="451" t="s">
        <v>7135</v>
      </c>
      <c r="B4121" s="451"/>
      <c r="C4121" s="451" t="s">
        <v>7136</v>
      </c>
      <c r="D4121" s="451"/>
      <c r="E4121" s="451"/>
      <c r="F4121" s="451"/>
      <c r="G4121" s="451" t="s">
        <v>22882</v>
      </c>
      <c r="H4121" s="451" t="s">
        <v>22883</v>
      </c>
      <c r="I4121" s="451"/>
      <c r="J4121" s="451" t="s">
        <v>22939</v>
      </c>
      <c r="K4121" s="451"/>
    </row>
    <row r="4122" spans="1:11">
      <c r="A4122" s="450" t="s">
        <v>7137</v>
      </c>
      <c r="B4122" s="450"/>
      <c r="C4122" s="450" t="s">
        <v>2251</v>
      </c>
      <c r="D4122" s="450"/>
      <c r="E4122" s="450"/>
      <c r="F4122" s="450"/>
      <c r="G4122" s="450" t="s">
        <v>22877</v>
      </c>
      <c r="H4122" s="450" t="s">
        <v>22878</v>
      </c>
      <c r="I4122" s="450" t="s">
        <v>25043</v>
      </c>
      <c r="J4122" s="450" t="s">
        <v>22939</v>
      </c>
      <c r="K4122" s="450"/>
    </row>
    <row r="4123" spans="1:11">
      <c r="A4123" s="451" t="s">
        <v>25044</v>
      </c>
      <c r="B4123" s="451" t="s">
        <v>7139</v>
      </c>
      <c r="C4123" s="451" t="s">
        <v>7140</v>
      </c>
      <c r="D4123" s="451" t="s">
        <v>7141</v>
      </c>
      <c r="E4123" s="451"/>
      <c r="F4123" s="451"/>
      <c r="G4123" s="451" t="s">
        <v>22882</v>
      </c>
      <c r="H4123" s="451" t="s">
        <v>22883</v>
      </c>
      <c r="I4123" s="451" t="s">
        <v>7141</v>
      </c>
      <c r="J4123" s="451" t="s">
        <v>25045</v>
      </c>
      <c r="K4123" s="451"/>
    </row>
    <row r="4124" spans="1:11">
      <c r="A4124" s="450" t="s">
        <v>25046</v>
      </c>
      <c r="B4124" s="450" t="s">
        <v>7144</v>
      </c>
      <c r="C4124" s="450" t="s">
        <v>7145</v>
      </c>
      <c r="D4124" s="450" t="s">
        <v>7146</v>
      </c>
      <c r="E4124" s="450"/>
      <c r="F4124" s="450"/>
      <c r="G4124" s="450" t="s">
        <v>22877</v>
      </c>
      <c r="H4124" s="450" t="s">
        <v>22878</v>
      </c>
      <c r="I4124" s="450" t="s">
        <v>25047</v>
      </c>
      <c r="J4124" s="450" t="s">
        <v>25048</v>
      </c>
      <c r="K4124" s="450"/>
    </row>
    <row r="4125" spans="1:11">
      <c r="A4125" s="451" t="s">
        <v>7138</v>
      </c>
      <c r="B4125" s="451" t="s">
        <v>7139</v>
      </c>
      <c r="C4125" s="451" t="s">
        <v>7140</v>
      </c>
      <c r="D4125" s="451" t="s">
        <v>7141</v>
      </c>
      <c r="E4125" s="451" t="s">
        <v>7142</v>
      </c>
      <c r="F4125" s="451"/>
      <c r="G4125" s="451" t="s">
        <v>22882</v>
      </c>
      <c r="H4125" s="451" t="s">
        <v>22883</v>
      </c>
      <c r="I4125" s="451" t="s">
        <v>7141</v>
      </c>
      <c r="J4125" s="451" t="s">
        <v>31125</v>
      </c>
      <c r="K4125" s="451"/>
    </row>
    <row r="4126" spans="1:11">
      <c r="A4126" s="450" t="s">
        <v>7143</v>
      </c>
      <c r="B4126" s="450" t="s">
        <v>7144</v>
      </c>
      <c r="C4126" s="450" t="s">
        <v>7145</v>
      </c>
      <c r="D4126" s="450" t="s">
        <v>7146</v>
      </c>
      <c r="E4126" s="450"/>
      <c r="F4126" s="450"/>
      <c r="G4126" s="450" t="s">
        <v>22877</v>
      </c>
      <c r="H4126" s="450" t="s">
        <v>22878</v>
      </c>
      <c r="I4126" s="450" t="s">
        <v>25047</v>
      </c>
      <c r="J4126" s="450" t="s">
        <v>25048</v>
      </c>
      <c r="K4126" s="450"/>
    </row>
    <row r="4127" spans="1:11">
      <c r="A4127" s="451" t="s">
        <v>30001</v>
      </c>
      <c r="B4127" s="451" t="s">
        <v>30002</v>
      </c>
      <c r="C4127" s="451" t="s">
        <v>30003</v>
      </c>
      <c r="D4127" s="451"/>
      <c r="E4127" s="451"/>
      <c r="F4127" s="451"/>
      <c r="G4127" s="451"/>
      <c r="H4127" s="451"/>
      <c r="I4127" s="451"/>
      <c r="J4127" s="451"/>
      <c r="K4127" s="451"/>
    </row>
    <row r="4128" spans="1:11">
      <c r="A4128" s="450" t="s">
        <v>7147</v>
      </c>
      <c r="B4128" s="450" t="s">
        <v>7148</v>
      </c>
      <c r="C4128" s="450" t="s">
        <v>7149</v>
      </c>
      <c r="D4128" s="450" t="s">
        <v>7150</v>
      </c>
      <c r="E4128" s="450"/>
      <c r="F4128" s="450"/>
      <c r="G4128" s="450" t="s">
        <v>22877</v>
      </c>
      <c r="H4128" s="450" t="s">
        <v>22878</v>
      </c>
      <c r="I4128" s="450" t="s">
        <v>7150</v>
      </c>
      <c r="J4128" s="450" t="s">
        <v>25049</v>
      </c>
      <c r="K4128" s="450"/>
    </row>
    <row r="4129" spans="1:11">
      <c r="A4129" s="451" t="s">
        <v>7151</v>
      </c>
      <c r="B4129" s="451"/>
      <c r="C4129" s="451" t="s">
        <v>7152</v>
      </c>
      <c r="D4129" s="451"/>
      <c r="E4129" s="451"/>
      <c r="F4129" s="451"/>
      <c r="G4129" s="451" t="s">
        <v>22877</v>
      </c>
      <c r="H4129" s="451" t="s">
        <v>22878</v>
      </c>
      <c r="I4129" s="451" t="s">
        <v>34919</v>
      </c>
      <c r="J4129" s="451" t="s">
        <v>23121</v>
      </c>
      <c r="K4129" s="451"/>
    </row>
    <row r="4130" spans="1:11">
      <c r="A4130" s="450" t="s">
        <v>34920</v>
      </c>
      <c r="B4130" s="450"/>
      <c r="C4130" s="450" t="s">
        <v>7154</v>
      </c>
      <c r="D4130" s="450"/>
      <c r="E4130" s="450"/>
      <c r="F4130" s="450"/>
      <c r="G4130" s="450" t="s">
        <v>22882</v>
      </c>
      <c r="H4130" s="450" t="s">
        <v>22883</v>
      </c>
      <c r="I4130" s="450"/>
      <c r="J4130" s="450" t="s">
        <v>22997</v>
      </c>
      <c r="K4130" s="450"/>
    </row>
    <row r="4131" spans="1:11">
      <c r="A4131" s="451" t="s">
        <v>7153</v>
      </c>
      <c r="B4131" s="451"/>
      <c r="C4131" s="451" t="s">
        <v>7154</v>
      </c>
      <c r="D4131" s="451"/>
      <c r="E4131" s="451"/>
      <c r="F4131" s="451"/>
      <c r="G4131" s="451" t="s">
        <v>22882</v>
      </c>
      <c r="H4131" s="451" t="s">
        <v>22883</v>
      </c>
      <c r="I4131" s="451"/>
      <c r="J4131" s="451" t="s">
        <v>22939</v>
      </c>
      <c r="K4131" s="451"/>
    </row>
    <row r="4132" spans="1:11">
      <c r="A4132" s="450" t="s">
        <v>7155</v>
      </c>
      <c r="B4132" s="450" t="s">
        <v>7156</v>
      </c>
      <c r="C4132" s="450" t="s">
        <v>4695</v>
      </c>
      <c r="D4132" s="450" t="s">
        <v>7157</v>
      </c>
      <c r="E4132" s="450" t="s">
        <v>7158</v>
      </c>
      <c r="F4132" s="450"/>
      <c r="G4132" s="450" t="s">
        <v>22882</v>
      </c>
      <c r="H4132" s="450" t="s">
        <v>22883</v>
      </c>
      <c r="I4132" s="450" t="s">
        <v>7157</v>
      </c>
      <c r="J4132" s="450" t="s">
        <v>34921</v>
      </c>
      <c r="K4132" s="450"/>
    </row>
    <row r="4133" spans="1:11">
      <c r="A4133" s="451" t="s">
        <v>25050</v>
      </c>
      <c r="B4133" s="451" t="s">
        <v>7156</v>
      </c>
      <c r="C4133" s="451" t="s">
        <v>4695</v>
      </c>
      <c r="D4133" s="451" t="s">
        <v>7157</v>
      </c>
      <c r="E4133" s="451"/>
      <c r="F4133" s="451"/>
      <c r="G4133" s="451" t="s">
        <v>22877</v>
      </c>
      <c r="H4133" s="451" t="s">
        <v>22878</v>
      </c>
      <c r="I4133" s="451" t="s">
        <v>25051</v>
      </c>
      <c r="J4133" s="451" t="s">
        <v>25052</v>
      </c>
      <c r="K4133" s="451"/>
    </row>
    <row r="4134" spans="1:11">
      <c r="A4134" s="450" t="s">
        <v>34922</v>
      </c>
      <c r="B4134" s="450"/>
      <c r="C4134" s="450" t="s">
        <v>7160</v>
      </c>
      <c r="D4134" s="450"/>
      <c r="E4134" s="450"/>
      <c r="F4134" s="450"/>
      <c r="G4134" s="450" t="s">
        <v>22877</v>
      </c>
      <c r="H4134" s="450" t="s">
        <v>22878</v>
      </c>
      <c r="I4134" s="450" t="s">
        <v>25053</v>
      </c>
      <c r="J4134" s="450" t="s">
        <v>22943</v>
      </c>
      <c r="K4134" s="450"/>
    </row>
    <row r="4135" spans="1:11">
      <c r="A4135" s="451" t="s">
        <v>7159</v>
      </c>
      <c r="B4135" s="451"/>
      <c r="C4135" s="451" t="s">
        <v>7160</v>
      </c>
      <c r="D4135" s="451"/>
      <c r="E4135" s="451"/>
      <c r="F4135" s="451"/>
      <c r="G4135" s="451" t="s">
        <v>22877</v>
      </c>
      <c r="H4135" s="451" t="s">
        <v>22878</v>
      </c>
      <c r="I4135" s="451" t="s">
        <v>25053</v>
      </c>
      <c r="J4135" s="451" t="s">
        <v>22942</v>
      </c>
      <c r="K4135" s="451"/>
    </row>
    <row r="4136" spans="1:11">
      <c r="A4136" s="450" t="s">
        <v>7161</v>
      </c>
      <c r="B4136" s="450" t="s">
        <v>25054</v>
      </c>
      <c r="C4136" s="450" t="s">
        <v>25055</v>
      </c>
      <c r="D4136" s="450"/>
      <c r="E4136" s="450"/>
      <c r="F4136" s="450" t="s">
        <v>7164</v>
      </c>
      <c r="G4136" s="450" t="s">
        <v>22877</v>
      </c>
      <c r="H4136" s="450" t="s">
        <v>22878</v>
      </c>
      <c r="I4136" s="450" t="s">
        <v>24041</v>
      </c>
      <c r="J4136" s="450" t="s">
        <v>25056</v>
      </c>
      <c r="K4136" s="450"/>
    </row>
    <row r="4137" spans="1:11">
      <c r="A4137" s="451" t="s">
        <v>7161</v>
      </c>
      <c r="B4137" s="451" t="s">
        <v>7162</v>
      </c>
      <c r="C4137" s="451" t="s">
        <v>7163</v>
      </c>
      <c r="D4137" s="451"/>
      <c r="E4137" s="451"/>
      <c r="F4137" s="451" t="s">
        <v>7164</v>
      </c>
      <c r="G4137" s="451" t="s">
        <v>22877</v>
      </c>
      <c r="H4137" s="451" t="s">
        <v>22878</v>
      </c>
      <c r="I4137" s="451" t="s">
        <v>31126</v>
      </c>
      <c r="J4137" s="451" t="s">
        <v>31127</v>
      </c>
      <c r="K4137" s="451"/>
    </row>
    <row r="4138" spans="1:11">
      <c r="A4138" s="450" t="s">
        <v>7165</v>
      </c>
      <c r="B4138" s="450"/>
      <c r="C4138" s="450" t="s">
        <v>7166</v>
      </c>
      <c r="D4138" s="450"/>
      <c r="E4138" s="450"/>
      <c r="F4138" s="450"/>
      <c r="G4138" s="450" t="s">
        <v>22882</v>
      </c>
      <c r="H4138" s="450" t="s">
        <v>22883</v>
      </c>
      <c r="I4138" s="450"/>
      <c r="J4138" s="450" t="s">
        <v>22939</v>
      </c>
      <c r="K4138" s="450"/>
    </row>
    <row r="4139" spans="1:11">
      <c r="A4139" s="451" t="s">
        <v>34923</v>
      </c>
      <c r="B4139" s="451"/>
      <c r="C4139" s="451" t="s">
        <v>3289</v>
      </c>
      <c r="D4139" s="451"/>
      <c r="E4139" s="451"/>
      <c r="F4139" s="451"/>
      <c r="G4139" s="451" t="s">
        <v>22882</v>
      </c>
      <c r="H4139" s="451" t="s">
        <v>22883</v>
      </c>
      <c r="I4139" s="451"/>
      <c r="J4139" s="451" t="s">
        <v>23370</v>
      </c>
      <c r="K4139" s="451"/>
    </row>
    <row r="4140" spans="1:11">
      <c r="A4140" s="450" t="s">
        <v>7167</v>
      </c>
      <c r="B4140" s="450"/>
      <c r="C4140" s="450" t="s">
        <v>7168</v>
      </c>
      <c r="D4140" s="450"/>
      <c r="E4140" s="450"/>
      <c r="F4140" s="450"/>
      <c r="G4140" s="450" t="s">
        <v>22882</v>
      </c>
      <c r="H4140" s="450" t="s">
        <v>22883</v>
      </c>
      <c r="I4140" s="450" t="s">
        <v>31128</v>
      </c>
      <c r="J4140" s="450" t="s">
        <v>22958</v>
      </c>
      <c r="K4140" s="450"/>
    </row>
    <row r="4141" spans="1:11">
      <c r="A4141" s="451" t="s">
        <v>7169</v>
      </c>
      <c r="B4141" s="451" t="s">
        <v>7170</v>
      </c>
      <c r="C4141" s="451" t="s">
        <v>34924</v>
      </c>
      <c r="D4141" s="451"/>
      <c r="E4141" s="451"/>
      <c r="F4141" s="451"/>
      <c r="G4141" s="451" t="s">
        <v>22877</v>
      </c>
      <c r="H4141" s="451" t="s">
        <v>22878</v>
      </c>
      <c r="I4141" s="451" t="s">
        <v>7171</v>
      </c>
      <c r="J4141" s="451" t="s">
        <v>34925</v>
      </c>
      <c r="K4141" s="451"/>
    </row>
    <row r="4142" spans="1:11">
      <c r="A4142" s="450" t="s">
        <v>7169</v>
      </c>
      <c r="B4142" s="450" t="s">
        <v>7170</v>
      </c>
      <c r="C4142" s="450" t="s">
        <v>965</v>
      </c>
      <c r="D4142" s="450" t="s">
        <v>7171</v>
      </c>
      <c r="E4142" s="450" t="s">
        <v>7172</v>
      </c>
      <c r="F4142" s="450"/>
      <c r="G4142" s="450" t="s">
        <v>22877</v>
      </c>
      <c r="H4142" s="450" t="s">
        <v>22878</v>
      </c>
      <c r="I4142" s="450" t="s">
        <v>7171</v>
      </c>
      <c r="J4142" s="450" t="s">
        <v>31129</v>
      </c>
      <c r="K4142" s="450"/>
    </row>
    <row r="4143" spans="1:11">
      <c r="A4143" s="451" t="s">
        <v>7173</v>
      </c>
      <c r="B4143" s="451"/>
      <c r="C4143" s="451" t="s">
        <v>7174</v>
      </c>
      <c r="D4143" s="451"/>
      <c r="E4143" s="451"/>
      <c r="F4143" s="451"/>
      <c r="G4143" s="451" t="s">
        <v>22877</v>
      </c>
      <c r="H4143" s="451" t="s">
        <v>22878</v>
      </c>
      <c r="I4143" s="451" t="s">
        <v>34926</v>
      </c>
      <c r="J4143" s="451" t="s">
        <v>34927</v>
      </c>
      <c r="K4143" s="451"/>
    </row>
    <row r="4144" spans="1:11">
      <c r="A4144" s="450" t="s">
        <v>7175</v>
      </c>
      <c r="B4144" s="450"/>
      <c r="C4144" s="450" t="s">
        <v>7176</v>
      </c>
      <c r="D4144" s="450"/>
      <c r="E4144" s="450"/>
      <c r="F4144" s="450"/>
      <c r="G4144" s="450" t="s">
        <v>22877</v>
      </c>
      <c r="H4144" s="450" t="s">
        <v>22878</v>
      </c>
      <c r="I4144" s="450" t="s">
        <v>34928</v>
      </c>
      <c r="J4144" s="450" t="s">
        <v>24578</v>
      </c>
      <c r="K4144" s="450"/>
    </row>
    <row r="4145" spans="1:11">
      <c r="A4145" s="451" t="s">
        <v>7177</v>
      </c>
      <c r="B4145" s="451"/>
      <c r="C4145" s="451" t="s">
        <v>7178</v>
      </c>
      <c r="D4145" s="451"/>
      <c r="E4145" s="451"/>
      <c r="F4145" s="451"/>
      <c r="G4145" s="451" t="s">
        <v>22882</v>
      </c>
      <c r="H4145" s="451" t="s">
        <v>22883</v>
      </c>
      <c r="I4145" s="451"/>
      <c r="J4145" s="451" t="s">
        <v>22943</v>
      </c>
      <c r="K4145" s="451"/>
    </row>
    <row r="4146" spans="1:11">
      <c r="A4146" s="450" t="s">
        <v>31130</v>
      </c>
      <c r="B4146" s="450" t="s">
        <v>25057</v>
      </c>
      <c r="C4146" s="450" t="s">
        <v>25058</v>
      </c>
      <c r="D4146" s="450"/>
      <c r="E4146" s="450"/>
      <c r="F4146" s="450"/>
      <c r="G4146" s="450" t="s">
        <v>22877</v>
      </c>
      <c r="H4146" s="450" t="s">
        <v>22878</v>
      </c>
      <c r="I4146" s="450" t="s">
        <v>7171</v>
      </c>
      <c r="J4146" s="450" t="s">
        <v>25059</v>
      </c>
      <c r="K4146" s="450"/>
    </row>
    <row r="4147" spans="1:11">
      <c r="A4147" s="451" t="s">
        <v>25060</v>
      </c>
      <c r="B4147" s="451" t="s">
        <v>25061</v>
      </c>
      <c r="C4147" s="451" t="s">
        <v>7181</v>
      </c>
      <c r="D4147" s="451"/>
      <c r="E4147" s="451"/>
      <c r="F4147" s="451"/>
      <c r="G4147" s="451" t="s">
        <v>22877</v>
      </c>
      <c r="H4147" s="451" t="s">
        <v>22878</v>
      </c>
      <c r="I4147" s="451" t="s">
        <v>25062</v>
      </c>
      <c r="J4147" s="451" t="s">
        <v>25063</v>
      </c>
      <c r="K4147" s="451"/>
    </row>
    <row r="4148" spans="1:11">
      <c r="A4148" s="450" t="s">
        <v>7179</v>
      </c>
      <c r="B4148" s="450" t="s">
        <v>7180</v>
      </c>
      <c r="C4148" s="450" t="s">
        <v>7181</v>
      </c>
      <c r="D4148" s="450"/>
      <c r="E4148" s="450"/>
      <c r="F4148" s="450"/>
      <c r="G4148" s="450" t="s">
        <v>22882</v>
      </c>
      <c r="H4148" s="450" t="s">
        <v>22883</v>
      </c>
      <c r="I4148" s="450" t="s">
        <v>31131</v>
      </c>
      <c r="J4148" s="450" t="s">
        <v>31132</v>
      </c>
      <c r="K4148" s="450"/>
    </row>
    <row r="4149" spans="1:11">
      <c r="A4149" s="451" t="s">
        <v>7182</v>
      </c>
      <c r="B4149" s="451"/>
      <c r="C4149" s="451" t="s">
        <v>5391</v>
      </c>
      <c r="D4149" s="451"/>
      <c r="E4149" s="451"/>
      <c r="F4149" s="451"/>
      <c r="G4149" s="451" t="s">
        <v>22882</v>
      </c>
      <c r="H4149" s="451" t="s">
        <v>22883</v>
      </c>
      <c r="I4149" s="451"/>
      <c r="J4149" s="451" t="s">
        <v>22939</v>
      </c>
      <c r="K4149" s="451"/>
    </row>
    <row r="4150" spans="1:11">
      <c r="A4150" s="450" t="s">
        <v>7183</v>
      </c>
      <c r="B4150" s="450"/>
      <c r="C4150" s="450" t="s">
        <v>3674</v>
      </c>
      <c r="D4150" s="450"/>
      <c r="E4150" s="450"/>
      <c r="F4150" s="450"/>
      <c r="G4150" s="450" t="s">
        <v>22877</v>
      </c>
      <c r="H4150" s="450" t="s">
        <v>22878</v>
      </c>
      <c r="I4150" s="450" t="s">
        <v>34929</v>
      </c>
      <c r="J4150" s="450" t="s">
        <v>22943</v>
      </c>
      <c r="K4150" s="450"/>
    </row>
    <row r="4151" spans="1:11">
      <c r="A4151" s="451" t="s">
        <v>34930</v>
      </c>
      <c r="B4151" s="451"/>
      <c r="C4151" s="451" t="s">
        <v>7074</v>
      </c>
      <c r="D4151" s="451"/>
      <c r="E4151" s="451"/>
      <c r="F4151" s="451"/>
      <c r="G4151" s="451" t="s">
        <v>22877</v>
      </c>
      <c r="H4151" s="451" t="s">
        <v>22878</v>
      </c>
      <c r="I4151" s="451" t="s">
        <v>34891</v>
      </c>
      <c r="J4151" s="451" t="s">
        <v>22943</v>
      </c>
      <c r="K4151" s="451"/>
    </row>
    <row r="4152" spans="1:11">
      <c r="A4152" s="450" t="s">
        <v>7184</v>
      </c>
      <c r="B4152" s="450"/>
      <c r="C4152" s="450" t="s">
        <v>7185</v>
      </c>
      <c r="D4152" s="450"/>
      <c r="E4152" s="450"/>
      <c r="F4152" s="450"/>
      <c r="G4152" s="450" t="s">
        <v>22882</v>
      </c>
      <c r="H4152" s="450" t="s">
        <v>22883</v>
      </c>
      <c r="I4152" s="450" t="s">
        <v>34931</v>
      </c>
      <c r="J4152" s="450" t="s">
        <v>23370</v>
      </c>
      <c r="K4152" s="450"/>
    </row>
    <row r="4153" spans="1:11">
      <c r="A4153" s="451" t="s">
        <v>7186</v>
      </c>
      <c r="B4153" s="451"/>
      <c r="C4153" s="451" t="s">
        <v>7187</v>
      </c>
      <c r="D4153" s="451"/>
      <c r="E4153" s="451"/>
      <c r="F4153" s="451"/>
      <c r="G4153" s="451" t="s">
        <v>22877</v>
      </c>
      <c r="H4153" s="451" t="s">
        <v>22878</v>
      </c>
      <c r="I4153" s="451" t="s">
        <v>25064</v>
      </c>
      <c r="J4153" s="451" t="s">
        <v>22943</v>
      </c>
      <c r="K4153" s="451"/>
    </row>
    <row r="4154" spans="1:11">
      <c r="A4154" s="450" t="s">
        <v>25065</v>
      </c>
      <c r="B4154" s="450" t="s">
        <v>25066</v>
      </c>
      <c r="C4154" s="450" t="s">
        <v>1701</v>
      </c>
      <c r="D4154" s="450"/>
      <c r="E4154" s="450"/>
      <c r="F4154" s="450"/>
      <c r="G4154" s="450" t="s">
        <v>22877</v>
      </c>
      <c r="H4154" s="450" t="s">
        <v>22878</v>
      </c>
      <c r="I4154" s="450" t="s">
        <v>25067</v>
      </c>
      <c r="J4154" s="450" t="s">
        <v>25068</v>
      </c>
      <c r="K4154" s="450"/>
    </row>
    <row r="4155" spans="1:11">
      <c r="A4155" s="451" t="s">
        <v>7188</v>
      </c>
      <c r="B4155" s="451" t="s">
        <v>7189</v>
      </c>
      <c r="C4155" s="451" t="s">
        <v>7190</v>
      </c>
      <c r="D4155" s="451" t="s">
        <v>7191</v>
      </c>
      <c r="E4155" s="451"/>
      <c r="F4155" s="451"/>
      <c r="G4155" s="451" t="s">
        <v>22882</v>
      </c>
      <c r="H4155" s="451" t="s">
        <v>22883</v>
      </c>
      <c r="I4155" s="451" t="s">
        <v>7191</v>
      </c>
      <c r="J4155" s="451" t="s">
        <v>34932</v>
      </c>
      <c r="K4155" s="451"/>
    </row>
    <row r="4156" spans="1:11">
      <c r="A4156" s="450" t="s">
        <v>7188</v>
      </c>
      <c r="B4156" s="450" t="s">
        <v>7189</v>
      </c>
      <c r="C4156" s="450" t="s">
        <v>7190</v>
      </c>
      <c r="D4156" s="450" t="s">
        <v>7191</v>
      </c>
      <c r="E4156" s="450" t="s">
        <v>7192</v>
      </c>
      <c r="F4156" s="450"/>
      <c r="G4156" s="450" t="s">
        <v>22882</v>
      </c>
      <c r="H4156" s="450" t="s">
        <v>22883</v>
      </c>
      <c r="I4156" s="450" t="s">
        <v>31133</v>
      </c>
      <c r="J4156" s="450" t="s">
        <v>31134</v>
      </c>
      <c r="K4156" s="450"/>
    </row>
    <row r="4157" spans="1:11">
      <c r="A4157" s="451" t="s">
        <v>7193</v>
      </c>
      <c r="B4157" s="451" t="s">
        <v>7194</v>
      </c>
      <c r="C4157" s="451" t="s">
        <v>7195</v>
      </c>
      <c r="D4157" s="451" t="s">
        <v>7196</v>
      </c>
      <c r="E4157" s="451"/>
      <c r="F4157" s="451"/>
      <c r="G4157" s="451" t="s">
        <v>22882</v>
      </c>
      <c r="H4157" s="451" t="s">
        <v>22883</v>
      </c>
      <c r="I4157" s="451" t="s">
        <v>7196</v>
      </c>
      <c r="J4157" s="451" t="s">
        <v>25069</v>
      </c>
      <c r="K4157" s="451"/>
    </row>
    <row r="4158" spans="1:11">
      <c r="A4158" s="450" t="s">
        <v>7193</v>
      </c>
      <c r="B4158" s="450" t="s">
        <v>7194</v>
      </c>
      <c r="C4158" s="450" t="s">
        <v>7195</v>
      </c>
      <c r="D4158" s="450" t="s">
        <v>7196</v>
      </c>
      <c r="E4158" s="450" t="s">
        <v>7197</v>
      </c>
      <c r="F4158" s="450"/>
      <c r="G4158" s="450" t="s">
        <v>22882</v>
      </c>
      <c r="H4158" s="450" t="s">
        <v>22883</v>
      </c>
      <c r="I4158" s="450" t="s">
        <v>7196</v>
      </c>
      <c r="J4158" s="450" t="s">
        <v>25069</v>
      </c>
      <c r="K4158" s="450"/>
    </row>
    <row r="4159" spans="1:11">
      <c r="A4159" s="451" t="s">
        <v>34933</v>
      </c>
      <c r="B4159" s="451"/>
      <c r="C4159" s="451" t="s">
        <v>7199</v>
      </c>
      <c r="D4159" s="451"/>
      <c r="E4159" s="451"/>
      <c r="F4159" s="451"/>
      <c r="G4159" s="451" t="s">
        <v>22882</v>
      </c>
      <c r="H4159" s="451" t="s">
        <v>22883</v>
      </c>
      <c r="I4159" s="451" t="s">
        <v>34934</v>
      </c>
      <c r="J4159" s="451" t="s">
        <v>22943</v>
      </c>
      <c r="K4159" s="451"/>
    </row>
    <row r="4160" spans="1:11">
      <c r="A4160" s="450" t="s">
        <v>7198</v>
      </c>
      <c r="B4160" s="450"/>
      <c r="C4160" s="450" t="s">
        <v>7199</v>
      </c>
      <c r="D4160" s="450"/>
      <c r="E4160" s="450"/>
      <c r="F4160" s="450"/>
      <c r="G4160" s="450" t="s">
        <v>22877</v>
      </c>
      <c r="H4160" s="450" t="s">
        <v>22878</v>
      </c>
      <c r="I4160" s="450" t="s">
        <v>34934</v>
      </c>
      <c r="J4160" s="450" t="s">
        <v>22939</v>
      </c>
      <c r="K4160" s="450"/>
    </row>
    <row r="4161" spans="1:11">
      <c r="A4161" s="451" t="s">
        <v>7200</v>
      </c>
      <c r="B4161" s="451"/>
      <c r="C4161" s="451" t="s">
        <v>7201</v>
      </c>
      <c r="D4161" s="451"/>
      <c r="E4161" s="451"/>
      <c r="F4161" s="451"/>
      <c r="G4161" s="451" t="s">
        <v>22882</v>
      </c>
      <c r="H4161" s="451" t="s">
        <v>22883</v>
      </c>
      <c r="I4161" s="451" t="s">
        <v>25070</v>
      </c>
      <c r="J4161" s="451" t="s">
        <v>23185</v>
      </c>
      <c r="K4161" s="451"/>
    </row>
    <row r="4162" spans="1:11">
      <c r="A4162" s="450" t="s">
        <v>34935</v>
      </c>
      <c r="B4162" s="450" t="s">
        <v>7203</v>
      </c>
      <c r="C4162" s="450" t="s">
        <v>7204</v>
      </c>
      <c r="D4162" s="450" t="s">
        <v>7205</v>
      </c>
      <c r="E4162" s="450"/>
      <c r="F4162" s="450"/>
      <c r="G4162" s="450" t="s">
        <v>22877</v>
      </c>
      <c r="H4162" s="450" t="s">
        <v>22878</v>
      </c>
      <c r="I4162" s="450" t="s">
        <v>7205</v>
      </c>
      <c r="J4162" s="450" t="s">
        <v>25071</v>
      </c>
      <c r="K4162" s="450"/>
    </row>
    <row r="4163" spans="1:11">
      <c r="A4163" s="451" t="s">
        <v>7202</v>
      </c>
      <c r="B4163" s="451" t="s">
        <v>7203</v>
      </c>
      <c r="C4163" s="451" t="s">
        <v>7204</v>
      </c>
      <c r="D4163" s="451" t="s">
        <v>7205</v>
      </c>
      <c r="E4163" s="451"/>
      <c r="F4163" s="451"/>
      <c r="G4163" s="451" t="s">
        <v>22877</v>
      </c>
      <c r="H4163" s="451" t="s">
        <v>22878</v>
      </c>
      <c r="I4163" s="451" t="s">
        <v>7205</v>
      </c>
      <c r="J4163" s="451" t="s">
        <v>25071</v>
      </c>
      <c r="K4163" s="451"/>
    </row>
    <row r="4164" spans="1:11">
      <c r="A4164" s="450" t="s">
        <v>7206</v>
      </c>
      <c r="B4164" s="450"/>
      <c r="C4164" s="450" t="s">
        <v>7207</v>
      </c>
      <c r="D4164" s="450"/>
      <c r="E4164" s="450"/>
      <c r="F4164" s="450"/>
      <c r="G4164" s="450" t="s">
        <v>22877</v>
      </c>
      <c r="H4164" s="450" t="s">
        <v>22878</v>
      </c>
      <c r="I4164" s="450" t="s">
        <v>34936</v>
      </c>
      <c r="J4164" s="450" t="s">
        <v>22939</v>
      </c>
      <c r="K4164" s="450"/>
    </row>
    <row r="4165" spans="1:11">
      <c r="A4165" s="451" t="s">
        <v>7208</v>
      </c>
      <c r="B4165" s="451"/>
      <c r="C4165" s="451" t="s">
        <v>6230</v>
      </c>
      <c r="D4165" s="451"/>
      <c r="E4165" s="451"/>
      <c r="F4165" s="451"/>
      <c r="G4165" s="451" t="s">
        <v>22882</v>
      </c>
      <c r="H4165" s="451" t="s">
        <v>22883</v>
      </c>
      <c r="I4165" s="451" t="s">
        <v>25072</v>
      </c>
      <c r="J4165" s="451" t="s">
        <v>22939</v>
      </c>
      <c r="K4165" s="451"/>
    </row>
    <row r="4166" spans="1:11">
      <c r="A4166" s="450" t="s">
        <v>34937</v>
      </c>
      <c r="B4166" s="450" t="s">
        <v>7210</v>
      </c>
      <c r="C4166" s="450" t="s">
        <v>7211</v>
      </c>
      <c r="D4166" s="450" t="s">
        <v>7212</v>
      </c>
      <c r="E4166" s="450"/>
      <c r="F4166" s="450"/>
      <c r="G4166" s="450" t="s">
        <v>22877</v>
      </c>
      <c r="H4166" s="450" t="s">
        <v>22878</v>
      </c>
      <c r="I4166" s="450" t="s">
        <v>7212</v>
      </c>
      <c r="J4166" s="450" t="s">
        <v>34938</v>
      </c>
      <c r="K4166" s="450"/>
    </row>
    <row r="4167" spans="1:11">
      <c r="A4167" s="451" t="s">
        <v>7209</v>
      </c>
      <c r="B4167" s="451" t="s">
        <v>7210</v>
      </c>
      <c r="C4167" s="451" t="s">
        <v>7211</v>
      </c>
      <c r="D4167" s="451" t="s">
        <v>7212</v>
      </c>
      <c r="E4167" s="451" t="s">
        <v>7213</v>
      </c>
      <c r="F4167" s="451"/>
      <c r="G4167" s="451" t="s">
        <v>22877</v>
      </c>
      <c r="H4167" s="451" t="s">
        <v>22878</v>
      </c>
      <c r="I4167" s="451" t="s">
        <v>7212</v>
      </c>
      <c r="J4167" s="451" t="s">
        <v>31135</v>
      </c>
      <c r="K4167" s="451"/>
    </row>
    <row r="4168" spans="1:11">
      <c r="A4168" s="450" t="s">
        <v>7214</v>
      </c>
      <c r="B4168" s="450"/>
      <c r="C4168" s="450" t="s">
        <v>7215</v>
      </c>
      <c r="D4168" s="450"/>
      <c r="E4168" s="450"/>
      <c r="F4168" s="450"/>
      <c r="G4168" s="450" t="s">
        <v>22882</v>
      </c>
      <c r="H4168" s="450" t="s">
        <v>22883</v>
      </c>
      <c r="I4168" s="450"/>
      <c r="J4168" s="450" t="s">
        <v>23121</v>
      </c>
      <c r="K4168" s="450"/>
    </row>
    <row r="4169" spans="1:11">
      <c r="A4169" s="451" t="s">
        <v>7216</v>
      </c>
      <c r="B4169" s="451"/>
      <c r="C4169" s="451" t="s">
        <v>7217</v>
      </c>
      <c r="D4169" s="451"/>
      <c r="E4169" s="451"/>
      <c r="F4169" s="451"/>
      <c r="G4169" s="451" t="s">
        <v>22877</v>
      </c>
      <c r="H4169" s="451" t="s">
        <v>22878</v>
      </c>
      <c r="I4169" s="451" t="s">
        <v>34894</v>
      </c>
      <c r="J4169" s="451" t="s">
        <v>22939</v>
      </c>
      <c r="K4169" s="451"/>
    </row>
    <row r="4170" spans="1:11">
      <c r="A4170" s="450" t="s">
        <v>7218</v>
      </c>
      <c r="B4170" s="450"/>
      <c r="C4170" s="450" t="s">
        <v>3819</v>
      </c>
      <c r="D4170" s="450"/>
      <c r="E4170" s="450"/>
      <c r="F4170" s="450"/>
      <c r="G4170" s="450" t="s">
        <v>22877</v>
      </c>
      <c r="H4170" s="450" t="s">
        <v>22878</v>
      </c>
      <c r="I4170" s="450" t="s">
        <v>25073</v>
      </c>
      <c r="J4170" s="450" t="s">
        <v>22943</v>
      </c>
      <c r="K4170" s="450"/>
    </row>
    <row r="4171" spans="1:11">
      <c r="A4171" s="451" t="s">
        <v>25074</v>
      </c>
      <c r="B4171" s="451" t="s">
        <v>25075</v>
      </c>
      <c r="C4171" s="451" t="s">
        <v>25076</v>
      </c>
      <c r="D4171" s="451"/>
      <c r="E4171" s="451"/>
      <c r="F4171" s="451"/>
      <c r="G4171" s="451" t="s">
        <v>22882</v>
      </c>
      <c r="H4171" s="451" t="s">
        <v>22883</v>
      </c>
      <c r="I4171" s="451" t="s">
        <v>25077</v>
      </c>
      <c r="J4171" s="451" t="s">
        <v>25078</v>
      </c>
      <c r="K4171" s="451"/>
    </row>
    <row r="4172" spans="1:11">
      <c r="A4172" s="450" t="s">
        <v>7219</v>
      </c>
      <c r="B4172" s="450"/>
      <c r="C4172" s="450" t="s">
        <v>5421</v>
      </c>
      <c r="D4172" s="450"/>
      <c r="E4172" s="450"/>
      <c r="F4172" s="450"/>
      <c r="G4172" s="450" t="s">
        <v>22882</v>
      </c>
      <c r="H4172" s="450" t="s">
        <v>22883</v>
      </c>
      <c r="I4172" s="450"/>
      <c r="J4172" s="450" t="s">
        <v>22939</v>
      </c>
      <c r="K4172" s="450"/>
    </row>
    <row r="4173" spans="1:11">
      <c r="A4173" s="451" t="s">
        <v>25079</v>
      </c>
      <c r="B4173" s="451"/>
      <c r="C4173" s="451" t="s">
        <v>5421</v>
      </c>
      <c r="D4173" s="451"/>
      <c r="E4173" s="451"/>
      <c r="F4173" s="451"/>
      <c r="G4173" s="451" t="s">
        <v>22882</v>
      </c>
      <c r="H4173" s="451" t="s">
        <v>22883</v>
      </c>
      <c r="I4173" s="451"/>
      <c r="J4173" s="451" t="s">
        <v>23185</v>
      </c>
      <c r="K4173" s="451"/>
    </row>
    <row r="4174" spans="1:11">
      <c r="A4174" s="450" t="s">
        <v>25080</v>
      </c>
      <c r="B4174" s="450" t="s">
        <v>25081</v>
      </c>
      <c r="C4174" s="450" t="s">
        <v>25082</v>
      </c>
      <c r="D4174" s="450"/>
      <c r="E4174" s="450"/>
      <c r="F4174" s="450"/>
      <c r="G4174" s="450" t="s">
        <v>22877</v>
      </c>
      <c r="H4174" s="450" t="s">
        <v>22878</v>
      </c>
      <c r="I4174" s="450" t="s">
        <v>25083</v>
      </c>
      <c r="J4174" s="450" t="s">
        <v>25084</v>
      </c>
      <c r="K4174" s="450"/>
    </row>
    <row r="4175" spans="1:11">
      <c r="A4175" s="451" t="s">
        <v>7220</v>
      </c>
      <c r="B4175" s="451"/>
      <c r="C4175" s="451" t="s">
        <v>7221</v>
      </c>
      <c r="D4175" s="451"/>
      <c r="E4175" s="451"/>
      <c r="F4175" s="451"/>
      <c r="G4175" s="451" t="s">
        <v>22882</v>
      </c>
      <c r="H4175" s="451" t="s">
        <v>22883</v>
      </c>
      <c r="I4175" s="451" t="s">
        <v>25085</v>
      </c>
      <c r="J4175" s="451" t="s">
        <v>22997</v>
      </c>
      <c r="K4175" s="451"/>
    </row>
    <row r="4176" spans="1:11">
      <c r="A4176" s="450" t="s">
        <v>7222</v>
      </c>
      <c r="B4176" s="450" t="s">
        <v>7223</v>
      </c>
      <c r="C4176" s="450" t="s">
        <v>7224</v>
      </c>
      <c r="D4176" s="450"/>
      <c r="E4176" s="450"/>
      <c r="F4176" s="450"/>
      <c r="G4176" s="450" t="s">
        <v>22877</v>
      </c>
      <c r="H4176" s="450" t="s">
        <v>22878</v>
      </c>
      <c r="I4176" s="450" t="s">
        <v>25086</v>
      </c>
      <c r="J4176" s="450" t="s">
        <v>25087</v>
      </c>
      <c r="K4176" s="450"/>
    </row>
    <row r="4177" spans="1:11">
      <c r="A4177" s="451" t="s">
        <v>7225</v>
      </c>
      <c r="B4177" s="451"/>
      <c r="C4177" s="451" t="s">
        <v>7226</v>
      </c>
      <c r="D4177" s="451"/>
      <c r="E4177" s="451"/>
      <c r="F4177" s="451"/>
      <c r="G4177" s="451" t="s">
        <v>22882</v>
      </c>
      <c r="H4177" s="451" t="s">
        <v>22883</v>
      </c>
      <c r="I4177" s="451" t="s">
        <v>34939</v>
      </c>
      <c r="J4177" s="451" t="s">
        <v>22939</v>
      </c>
      <c r="K4177" s="451"/>
    </row>
    <row r="4178" spans="1:11">
      <c r="A4178" s="450" t="s">
        <v>34940</v>
      </c>
      <c r="B4178" s="450"/>
      <c r="C4178" s="450" t="s">
        <v>7228</v>
      </c>
      <c r="D4178" s="450"/>
      <c r="E4178" s="450"/>
      <c r="F4178" s="450"/>
      <c r="G4178" s="450" t="s">
        <v>22877</v>
      </c>
      <c r="H4178" s="450" t="s">
        <v>22878</v>
      </c>
      <c r="I4178" s="450" t="s">
        <v>24085</v>
      </c>
      <c r="J4178" s="450" t="s">
        <v>22939</v>
      </c>
      <c r="K4178" s="450"/>
    </row>
    <row r="4179" spans="1:11">
      <c r="A4179" s="451" t="s">
        <v>7227</v>
      </c>
      <c r="B4179" s="451"/>
      <c r="C4179" s="451" t="s">
        <v>7228</v>
      </c>
      <c r="D4179" s="451"/>
      <c r="E4179" s="451"/>
      <c r="F4179" s="451"/>
      <c r="G4179" s="451" t="s">
        <v>22877</v>
      </c>
      <c r="H4179" s="451" t="s">
        <v>22878</v>
      </c>
      <c r="I4179" s="451" t="s">
        <v>24085</v>
      </c>
      <c r="J4179" s="451" t="s">
        <v>22939</v>
      </c>
      <c r="K4179" s="451"/>
    </row>
    <row r="4180" spans="1:11">
      <c r="A4180" s="450" t="s">
        <v>7229</v>
      </c>
      <c r="B4180" s="450"/>
      <c r="C4180" s="450" t="s">
        <v>7230</v>
      </c>
      <c r="D4180" s="450"/>
      <c r="E4180" s="450"/>
      <c r="F4180" s="450"/>
      <c r="G4180" s="450" t="s">
        <v>22877</v>
      </c>
      <c r="H4180" s="450" t="s">
        <v>22878</v>
      </c>
      <c r="I4180" s="450" t="s">
        <v>34941</v>
      </c>
      <c r="J4180" s="450" t="s">
        <v>22943</v>
      </c>
      <c r="K4180" s="450"/>
    </row>
    <row r="4181" spans="1:11">
      <c r="A4181" s="451" t="s">
        <v>34942</v>
      </c>
      <c r="B4181" s="451"/>
      <c r="C4181" s="451" t="s">
        <v>7232</v>
      </c>
      <c r="D4181" s="451"/>
      <c r="E4181" s="451"/>
      <c r="F4181" s="451"/>
      <c r="G4181" s="451" t="s">
        <v>22877</v>
      </c>
      <c r="H4181" s="451" t="s">
        <v>22878</v>
      </c>
      <c r="I4181" s="451" t="s">
        <v>34943</v>
      </c>
      <c r="J4181" s="451" t="s">
        <v>22943</v>
      </c>
      <c r="K4181" s="451"/>
    </row>
    <row r="4182" spans="1:11">
      <c r="A4182" s="450" t="s">
        <v>7231</v>
      </c>
      <c r="B4182" s="450"/>
      <c r="C4182" s="450" t="s">
        <v>7232</v>
      </c>
      <c r="D4182" s="450"/>
      <c r="E4182" s="450"/>
      <c r="F4182" s="450"/>
      <c r="G4182" s="450" t="s">
        <v>22877</v>
      </c>
      <c r="H4182" s="450" t="s">
        <v>22878</v>
      </c>
      <c r="I4182" s="450" t="s">
        <v>34943</v>
      </c>
      <c r="J4182" s="450" t="s">
        <v>22997</v>
      </c>
      <c r="K4182" s="450"/>
    </row>
    <row r="4183" spans="1:11">
      <c r="A4183" s="451" t="s">
        <v>7233</v>
      </c>
      <c r="B4183" s="451"/>
      <c r="C4183" s="451" t="s">
        <v>1276</v>
      </c>
      <c r="D4183" s="451"/>
      <c r="E4183" s="451"/>
      <c r="F4183" s="451"/>
      <c r="G4183" s="451" t="s">
        <v>22877</v>
      </c>
      <c r="H4183" s="451" t="s">
        <v>22878</v>
      </c>
      <c r="I4183" s="451" t="s">
        <v>34944</v>
      </c>
      <c r="J4183" s="451" t="s">
        <v>22943</v>
      </c>
      <c r="K4183" s="451"/>
    </row>
    <row r="4184" spans="1:11">
      <c r="A4184" s="450" t="s">
        <v>34945</v>
      </c>
      <c r="B4184" s="450"/>
      <c r="C4184" s="450" t="s">
        <v>7235</v>
      </c>
      <c r="D4184" s="450"/>
      <c r="E4184" s="450"/>
      <c r="F4184" s="450"/>
      <c r="G4184" s="450" t="s">
        <v>22882</v>
      </c>
      <c r="H4184" s="450" t="s">
        <v>22883</v>
      </c>
      <c r="I4184" s="450" t="s">
        <v>25088</v>
      </c>
      <c r="J4184" s="450" t="s">
        <v>22997</v>
      </c>
      <c r="K4184" s="450"/>
    </row>
    <row r="4185" spans="1:11">
      <c r="A4185" s="451" t="s">
        <v>7234</v>
      </c>
      <c r="B4185" s="451"/>
      <c r="C4185" s="451" t="s">
        <v>7235</v>
      </c>
      <c r="D4185" s="451"/>
      <c r="E4185" s="451"/>
      <c r="F4185" s="451"/>
      <c r="G4185" s="451" t="s">
        <v>22882</v>
      </c>
      <c r="H4185" s="451" t="s">
        <v>22883</v>
      </c>
      <c r="I4185" s="451" t="s">
        <v>25088</v>
      </c>
      <c r="J4185" s="451" t="s">
        <v>22939</v>
      </c>
      <c r="K4185" s="451"/>
    </row>
    <row r="4186" spans="1:11">
      <c r="A4186" s="450" t="s">
        <v>20505</v>
      </c>
      <c r="B4186" s="450" t="s">
        <v>20504</v>
      </c>
      <c r="C4186" s="450" t="s">
        <v>1701</v>
      </c>
      <c r="D4186" s="450"/>
      <c r="E4186" s="450"/>
      <c r="F4186" s="450" t="s">
        <v>20506</v>
      </c>
      <c r="G4186" s="450" t="s">
        <v>22877</v>
      </c>
      <c r="H4186" s="450" t="s">
        <v>22878</v>
      </c>
      <c r="I4186" s="450" t="s">
        <v>25067</v>
      </c>
      <c r="J4186" s="450" t="s">
        <v>31136</v>
      </c>
      <c r="K4186" s="450"/>
    </row>
    <row r="4187" spans="1:11">
      <c r="A4187" s="451" t="s">
        <v>25089</v>
      </c>
      <c r="B4187" s="451"/>
      <c r="C4187" s="451" t="s">
        <v>7076</v>
      </c>
      <c r="D4187" s="451"/>
      <c r="E4187" s="451"/>
      <c r="F4187" s="451"/>
      <c r="G4187" s="451" t="s">
        <v>22877</v>
      </c>
      <c r="H4187" s="451" t="s">
        <v>22878</v>
      </c>
      <c r="I4187" s="451" t="s">
        <v>25090</v>
      </c>
      <c r="J4187" s="451" t="s">
        <v>23121</v>
      </c>
      <c r="K4187" s="451"/>
    </row>
    <row r="4188" spans="1:11">
      <c r="A4188" s="450" t="s">
        <v>25091</v>
      </c>
      <c r="B4188" s="450" t="s">
        <v>25092</v>
      </c>
      <c r="C4188" s="450" t="s">
        <v>25093</v>
      </c>
      <c r="D4188" s="450"/>
      <c r="E4188" s="450"/>
      <c r="F4188" s="450"/>
      <c r="G4188" s="450" t="s">
        <v>22877</v>
      </c>
      <c r="H4188" s="450" t="s">
        <v>22878</v>
      </c>
      <c r="I4188" s="450" t="s">
        <v>25094</v>
      </c>
      <c r="J4188" s="450" t="s">
        <v>25095</v>
      </c>
      <c r="K4188" s="450"/>
    </row>
    <row r="4189" spans="1:11">
      <c r="A4189" s="451" t="s">
        <v>21652</v>
      </c>
      <c r="B4189" s="451"/>
      <c r="C4189" s="451" t="s">
        <v>985</v>
      </c>
      <c r="D4189" s="451"/>
      <c r="E4189" s="451"/>
      <c r="F4189" s="451"/>
      <c r="G4189" s="451" t="s">
        <v>22877</v>
      </c>
      <c r="H4189" s="451" t="s">
        <v>22878</v>
      </c>
      <c r="I4189" s="451" t="s">
        <v>34946</v>
      </c>
      <c r="J4189" s="451" t="s">
        <v>23133</v>
      </c>
      <c r="K4189" s="451"/>
    </row>
    <row r="4190" spans="1:11">
      <c r="A4190" s="450" t="s">
        <v>7236</v>
      </c>
      <c r="B4190" s="450"/>
      <c r="C4190" s="450" t="s">
        <v>7237</v>
      </c>
      <c r="D4190" s="450"/>
      <c r="E4190" s="450"/>
      <c r="F4190" s="450"/>
      <c r="G4190" s="450" t="s">
        <v>22882</v>
      </c>
      <c r="H4190" s="450" t="s">
        <v>22883</v>
      </c>
      <c r="I4190" s="450" t="s">
        <v>25096</v>
      </c>
      <c r="J4190" s="450" t="s">
        <v>23185</v>
      </c>
      <c r="K4190" s="450"/>
    </row>
    <row r="4191" spans="1:11">
      <c r="A4191" s="451" t="s">
        <v>34947</v>
      </c>
      <c r="B4191" s="451" t="s">
        <v>7238</v>
      </c>
      <c r="C4191" s="451" t="s">
        <v>7239</v>
      </c>
      <c r="D4191" s="451" t="s">
        <v>7240</v>
      </c>
      <c r="E4191" s="451"/>
      <c r="F4191" s="451"/>
      <c r="G4191" s="451" t="s">
        <v>22882</v>
      </c>
      <c r="H4191" s="451" t="s">
        <v>22883</v>
      </c>
      <c r="I4191" s="451" t="s">
        <v>7240</v>
      </c>
      <c r="J4191" s="451" t="s">
        <v>25097</v>
      </c>
      <c r="K4191" s="451"/>
    </row>
    <row r="4192" spans="1:11">
      <c r="A4192" s="450" t="s">
        <v>21653</v>
      </c>
      <c r="B4192" s="450" t="s">
        <v>7238</v>
      </c>
      <c r="C4192" s="450" t="s">
        <v>7239</v>
      </c>
      <c r="D4192" s="450" t="s">
        <v>7240</v>
      </c>
      <c r="E4192" s="450"/>
      <c r="F4192" s="450"/>
      <c r="G4192" s="450" t="s">
        <v>22877</v>
      </c>
      <c r="H4192" s="450" t="s">
        <v>22878</v>
      </c>
      <c r="I4192" s="450" t="s">
        <v>7240</v>
      </c>
      <c r="J4192" s="450" t="s">
        <v>25097</v>
      </c>
      <c r="K4192" s="450"/>
    </row>
    <row r="4193" spans="1:11">
      <c r="A4193" s="451" t="s">
        <v>7241</v>
      </c>
      <c r="B4193" s="451" t="s">
        <v>7242</v>
      </c>
      <c r="C4193" s="451" t="s">
        <v>7243</v>
      </c>
      <c r="D4193" s="451" t="s">
        <v>7244</v>
      </c>
      <c r="E4193" s="451"/>
      <c r="F4193" s="451"/>
      <c r="G4193" s="451" t="s">
        <v>22877</v>
      </c>
      <c r="H4193" s="451" t="s">
        <v>22878</v>
      </c>
      <c r="I4193" s="451" t="s">
        <v>25098</v>
      </c>
      <c r="J4193" s="451" t="s">
        <v>34948</v>
      </c>
      <c r="K4193" s="451"/>
    </row>
    <row r="4194" spans="1:11">
      <c r="A4194" s="450" t="s">
        <v>7241</v>
      </c>
      <c r="B4194" s="450" t="s">
        <v>7242</v>
      </c>
      <c r="C4194" s="450" t="s">
        <v>7243</v>
      </c>
      <c r="D4194" s="450" t="s">
        <v>7244</v>
      </c>
      <c r="E4194" s="450" t="s">
        <v>7245</v>
      </c>
      <c r="F4194" s="450"/>
      <c r="G4194" s="450" t="s">
        <v>22877</v>
      </c>
      <c r="H4194" s="450" t="s">
        <v>22878</v>
      </c>
      <c r="I4194" s="450" t="s">
        <v>25098</v>
      </c>
      <c r="J4194" s="450" t="s">
        <v>31137</v>
      </c>
      <c r="K4194" s="450"/>
    </row>
    <row r="4195" spans="1:11">
      <c r="A4195" s="451" t="s">
        <v>7246</v>
      </c>
      <c r="B4195" s="451" t="s">
        <v>7247</v>
      </c>
      <c r="C4195" s="451" t="s">
        <v>7248</v>
      </c>
      <c r="D4195" s="451"/>
      <c r="E4195" s="451"/>
      <c r="F4195" s="451"/>
      <c r="G4195" s="451" t="s">
        <v>22882</v>
      </c>
      <c r="H4195" s="451" t="s">
        <v>22883</v>
      </c>
      <c r="I4195" s="451" t="s">
        <v>25099</v>
      </c>
      <c r="J4195" s="451" t="s">
        <v>25100</v>
      </c>
      <c r="K4195" s="451"/>
    </row>
    <row r="4196" spans="1:11">
      <c r="A4196" s="450" t="s">
        <v>7249</v>
      </c>
      <c r="B4196" s="450" t="s">
        <v>7250</v>
      </c>
      <c r="C4196" s="450" t="s">
        <v>7251</v>
      </c>
      <c r="D4196" s="450"/>
      <c r="E4196" s="450"/>
      <c r="F4196" s="450" t="s">
        <v>7252</v>
      </c>
      <c r="G4196" s="450" t="s">
        <v>22877</v>
      </c>
      <c r="H4196" s="450" t="s">
        <v>22878</v>
      </c>
      <c r="I4196" s="450" t="s">
        <v>25101</v>
      </c>
      <c r="J4196" s="450" t="s">
        <v>25102</v>
      </c>
      <c r="K4196" s="450"/>
    </row>
    <row r="4197" spans="1:11">
      <c r="A4197" s="451" t="s">
        <v>7253</v>
      </c>
      <c r="B4197" s="451" t="s">
        <v>7254</v>
      </c>
      <c r="C4197" s="451" t="s">
        <v>7255</v>
      </c>
      <c r="D4197" s="451"/>
      <c r="E4197" s="451"/>
      <c r="F4197" s="451"/>
      <c r="G4197" s="451" t="s">
        <v>22882</v>
      </c>
      <c r="H4197" s="451" t="s">
        <v>22883</v>
      </c>
      <c r="I4197" s="451" t="s">
        <v>25103</v>
      </c>
      <c r="J4197" s="451" t="s">
        <v>25104</v>
      </c>
      <c r="K4197" s="451"/>
    </row>
    <row r="4198" spans="1:11">
      <c r="A4198" s="450" t="s">
        <v>7256</v>
      </c>
      <c r="B4198" s="450" t="s">
        <v>7257</v>
      </c>
      <c r="C4198" s="450" t="s">
        <v>7258</v>
      </c>
      <c r="D4198" s="450"/>
      <c r="E4198" s="450"/>
      <c r="F4198" s="450"/>
      <c r="G4198" s="450" t="s">
        <v>22882</v>
      </c>
      <c r="H4198" s="450" t="s">
        <v>22883</v>
      </c>
      <c r="I4198" s="450" t="s">
        <v>25105</v>
      </c>
      <c r="J4198" s="450" t="s">
        <v>25106</v>
      </c>
      <c r="K4198" s="450"/>
    </row>
    <row r="4199" spans="1:11">
      <c r="A4199" s="451" t="s">
        <v>7259</v>
      </c>
      <c r="B4199" s="451"/>
      <c r="C4199" s="451" t="s">
        <v>4668</v>
      </c>
      <c r="D4199" s="451"/>
      <c r="E4199" s="451"/>
      <c r="F4199" s="451"/>
      <c r="G4199" s="451" t="s">
        <v>22882</v>
      </c>
      <c r="H4199" s="451" t="s">
        <v>22883</v>
      </c>
      <c r="I4199" s="451" t="s">
        <v>25107</v>
      </c>
      <c r="J4199" s="451" t="s">
        <v>22943</v>
      </c>
      <c r="K4199" s="451"/>
    </row>
    <row r="4200" spans="1:11">
      <c r="A4200" s="450" t="s">
        <v>25108</v>
      </c>
      <c r="B4200" s="450" t="s">
        <v>25109</v>
      </c>
      <c r="C4200" s="450" t="s">
        <v>25110</v>
      </c>
      <c r="D4200" s="450"/>
      <c r="E4200" s="450"/>
      <c r="F4200" s="450"/>
      <c r="G4200" s="450" t="s">
        <v>22877</v>
      </c>
      <c r="H4200" s="450" t="s">
        <v>22878</v>
      </c>
      <c r="I4200" s="450" t="s">
        <v>25111</v>
      </c>
      <c r="J4200" s="450" t="s">
        <v>25112</v>
      </c>
      <c r="K4200" s="450"/>
    </row>
    <row r="4201" spans="1:11">
      <c r="A4201" s="451" t="s">
        <v>7260</v>
      </c>
      <c r="B4201" s="451" t="s">
        <v>7261</v>
      </c>
      <c r="C4201" s="451" t="s">
        <v>7262</v>
      </c>
      <c r="D4201" s="451" t="s">
        <v>7263</v>
      </c>
      <c r="E4201" s="451"/>
      <c r="F4201" s="451"/>
      <c r="G4201" s="451" t="s">
        <v>22882</v>
      </c>
      <c r="H4201" s="451" t="s">
        <v>22883</v>
      </c>
      <c r="I4201" s="451" t="s">
        <v>25113</v>
      </c>
      <c r="J4201" s="451" t="s">
        <v>25114</v>
      </c>
      <c r="K4201" s="451"/>
    </row>
    <row r="4202" spans="1:11">
      <c r="A4202" s="450" t="s">
        <v>7264</v>
      </c>
      <c r="B4202" s="450" t="s">
        <v>7265</v>
      </c>
      <c r="C4202" s="450" t="s">
        <v>7266</v>
      </c>
      <c r="D4202" s="450"/>
      <c r="E4202" s="450"/>
      <c r="F4202" s="450"/>
      <c r="G4202" s="450" t="s">
        <v>22877</v>
      </c>
      <c r="H4202" s="450" t="s">
        <v>22878</v>
      </c>
      <c r="I4202" s="450" t="s">
        <v>25115</v>
      </c>
      <c r="J4202" s="450" t="s">
        <v>34949</v>
      </c>
      <c r="K4202" s="450"/>
    </row>
    <row r="4203" spans="1:11">
      <c r="A4203" s="451" t="s">
        <v>7264</v>
      </c>
      <c r="B4203" s="451" t="s">
        <v>7310</v>
      </c>
      <c r="C4203" s="451" t="s">
        <v>7311</v>
      </c>
      <c r="D4203" s="451"/>
      <c r="E4203" s="451"/>
      <c r="F4203" s="451"/>
      <c r="G4203" s="451" t="s">
        <v>22877</v>
      </c>
      <c r="H4203" s="451" t="s">
        <v>22878</v>
      </c>
      <c r="I4203" s="451" t="s">
        <v>25115</v>
      </c>
      <c r="J4203" s="451" t="s">
        <v>25116</v>
      </c>
      <c r="K4203" s="451"/>
    </row>
    <row r="4204" spans="1:11">
      <c r="A4204" s="450" t="s">
        <v>7267</v>
      </c>
      <c r="B4204" s="450" t="s">
        <v>25117</v>
      </c>
      <c r="C4204" s="450" t="s">
        <v>7269</v>
      </c>
      <c r="D4204" s="450"/>
      <c r="E4204" s="450"/>
      <c r="F4204" s="450"/>
      <c r="G4204" s="450" t="s">
        <v>22877</v>
      </c>
      <c r="H4204" s="450" t="s">
        <v>22878</v>
      </c>
      <c r="I4204" s="450" t="s">
        <v>25118</v>
      </c>
      <c r="J4204" s="450" t="s">
        <v>25119</v>
      </c>
      <c r="K4204" s="450"/>
    </row>
    <row r="4205" spans="1:11">
      <c r="A4205" s="451" t="s">
        <v>7267</v>
      </c>
      <c r="B4205" s="451" t="s">
        <v>7268</v>
      </c>
      <c r="C4205" s="451" t="s">
        <v>7269</v>
      </c>
      <c r="D4205" s="451"/>
      <c r="E4205" s="451"/>
      <c r="F4205" s="451"/>
      <c r="G4205" s="451" t="s">
        <v>22877</v>
      </c>
      <c r="H4205" s="451" t="s">
        <v>22878</v>
      </c>
      <c r="I4205" s="451" t="s">
        <v>31138</v>
      </c>
      <c r="J4205" s="451" t="s">
        <v>31139</v>
      </c>
      <c r="K4205" s="451"/>
    </row>
    <row r="4206" spans="1:11">
      <c r="A4206" s="450" t="s">
        <v>7270</v>
      </c>
      <c r="B4206" s="450" t="s">
        <v>34950</v>
      </c>
      <c r="C4206" s="450" t="s">
        <v>2251</v>
      </c>
      <c r="D4206" s="450"/>
      <c r="E4206" s="450"/>
      <c r="F4206" s="450"/>
      <c r="G4206" s="450" t="s">
        <v>22882</v>
      </c>
      <c r="H4206" s="450" t="s">
        <v>22883</v>
      </c>
      <c r="I4206" s="450" t="s">
        <v>25120</v>
      </c>
      <c r="J4206" s="450" t="s">
        <v>34951</v>
      </c>
      <c r="K4206" s="450"/>
    </row>
    <row r="4207" spans="1:11">
      <c r="A4207" s="451" t="s">
        <v>7270</v>
      </c>
      <c r="B4207" s="451" t="s">
        <v>7271</v>
      </c>
      <c r="C4207" s="451" t="s">
        <v>2251</v>
      </c>
      <c r="D4207" s="451"/>
      <c r="E4207" s="451"/>
      <c r="F4207" s="451"/>
      <c r="G4207" s="451" t="s">
        <v>22882</v>
      </c>
      <c r="H4207" s="451" t="s">
        <v>22883</v>
      </c>
      <c r="I4207" s="451" t="s">
        <v>25120</v>
      </c>
      <c r="J4207" s="451" t="s">
        <v>31140</v>
      </c>
      <c r="K4207" s="451"/>
    </row>
    <row r="4208" spans="1:11">
      <c r="A4208" s="450" t="s">
        <v>25121</v>
      </c>
      <c r="B4208" s="450" t="s">
        <v>25122</v>
      </c>
      <c r="C4208" s="450" t="s">
        <v>25123</v>
      </c>
      <c r="D4208" s="450"/>
      <c r="E4208" s="450"/>
      <c r="F4208" s="450"/>
      <c r="G4208" s="450" t="s">
        <v>22877</v>
      </c>
      <c r="H4208" s="450" t="s">
        <v>22878</v>
      </c>
      <c r="I4208" s="450" t="s">
        <v>25124</v>
      </c>
      <c r="J4208" s="450" t="s">
        <v>25125</v>
      </c>
      <c r="K4208" s="450"/>
    </row>
    <row r="4209" spans="1:11">
      <c r="A4209" s="451" t="s">
        <v>7272</v>
      </c>
      <c r="B4209" s="451" t="s">
        <v>34952</v>
      </c>
      <c r="C4209" s="451" t="s">
        <v>7274</v>
      </c>
      <c r="D4209" s="451"/>
      <c r="E4209" s="451"/>
      <c r="F4209" s="451" t="s">
        <v>7275</v>
      </c>
      <c r="G4209" s="451" t="s">
        <v>22877</v>
      </c>
      <c r="H4209" s="451" t="s">
        <v>22878</v>
      </c>
      <c r="I4209" s="451" t="s">
        <v>25126</v>
      </c>
      <c r="J4209" s="451" t="s">
        <v>34953</v>
      </c>
      <c r="K4209" s="451"/>
    </row>
    <row r="4210" spans="1:11">
      <c r="A4210" s="450" t="s">
        <v>7272</v>
      </c>
      <c r="B4210" s="450" t="s">
        <v>7273</v>
      </c>
      <c r="C4210" s="450" t="s">
        <v>7274</v>
      </c>
      <c r="D4210" s="450"/>
      <c r="E4210" s="450"/>
      <c r="F4210" s="450" t="s">
        <v>7275</v>
      </c>
      <c r="G4210" s="450" t="s">
        <v>22877</v>
      </c>
      <c r="H4210" s="450" t="s">
        <v>22878</v>
      </c>
      <c r="I4210" s="450" t="s">
        <v>25126</v>
      </c>
      <c r="J4210" s="450" t="s">
        <v>31141</v>
      </c>
      <c r="K4210" s="450"/>
    </row>
    <row r="4211" spans="1:11">
      <c r="A4211" s="451" t="s">
        <v>7276</v>
      </c>
      <c r="B4211" s="451" t="s">
        <v>7277</v>
      </c>
      <c r="C4211" s="451" t="s">
        <v>7278</v>
      </c>
      <c r="D4211" s="451" t="s">
        <v>7279</v>
      </c>
      <c r="E4211" s="451"/>
      <c r="F4211" s="451"/>
      <c r="G4211" s="451" t="s">
        <v>22882</v>
      </c>
      <c r="H4211" s="451" t="s">
        <v>22883</v>
      </c>
      <c r="I4211" s="451" t="s">
        <v>25127</v>
      </c>
      <c r="J4211" s="451" t="s">
        <v>25128</v>
      </c>
      <c r="K4211" s="451"/>
    </row>
    <row r="4212" spans="1:11">
      <c r="A4212" s="450" t="s">
        <v>7280</v>
      </c>
      <c r="B4212" s="450"/>
      <c r="C4212" s="450" t="s">
        <v>7281</v>
      </c>
      <c r="D4212" s="450"/>
      <c r="E4212" s="450"/>
      <c r="F4212" s="450"/>
      <c r="G4212" s="450" t="s">
        <v>22882</v>
      </c>
      <c r="H4212" s="450" t="s">
        <v>22883</v>
      </c>
      <c r="I4212" s="450" t="s">
        <v>25129</v>
      </c>
      <c r="J4212" s="450" t="s">
        <v>22943</v>
      </c>
      <c r="K4212" s="450"/>
    </row>
    <row r="4213" spans="1:11">
      <c r="A4213" s="451" t="s">
        <v>7282</v>
      </c>
      <c r="B4213" s="451" t="s">
        <v>7283</v>
      </c>
      <c r="C4213" s="451" t="s">
        <v>2431</v>
      </c>
      <c r="D4213" s="451"/>
      <c r="E4213" s="451"/>
      <c r="F4213" s="451"/>
      <c r="G4213" s="451" t="s">
        <v>22877</v>
      </c>
      <c r="H4213" s="451" t="s">
        <v>22878</v>
      </c>
      <c r="I4213" s="451" t="s">
        <v>25130</v>
      </c>
      <c r="J4213" s="451" t="s">
        <v>25131</v>
      </c>
      <c r="K4213" s="451"/>
    </row>
    <row r="4214" spans="1:11">
      <c r="A4214" s="450" t="s">
        <v>7284</v>
      </c>
      <c r="B4214" s="450"/>
      <c r="C4214" s="450" t="s">
        <v>7285</v>
      </c>
      <c r="D4214" s="450"/>
      <c r="E4214" s="450"/>
      <c r="F4214" s="450"/>
      <c r="G4214" s="450" t="s">
        <v>22882</v>
      </c>
      <c r="H4214" s="450" t="s">
        <v>22883</v>
      </c>
      <c r="I4214" s="450" t="s">
        <v>25132</v>
      </c>
      <c r="J4214" s="450" t="s">
        <v>22943</v>
      </c>
      <c r="K4214" s="450"/>
    </row>
    <row r="4215" spans="1:11">
      <c r="A4215" s="451" t="s">
        <v>25133</v>
      </c>
      <c r="B4215" s="451" t="s">
        <v>25134</v>
      </c>
      <c r="C4215" s="451" t="s">
        <v>25135</v>
      </c>
      <c r="D4215" s="451"/>
      <c r="E4215" s="451"/>
      <c r="F4215" s="451" t="s">
        <v>25136</v>
      </c>
      <c r="G4215" s="451" t="s">
        <v>22877</v>
      </c>
      <c r="H4215" s="451" t="s">
        <v>22878</v>
      </c>
      <c r="I4215" s="451" t="s">
        <v>25137</v>
      </c>
      <c r="J4215" s="451" t="s">
        <v>25138</v>
      </c>
      <c r="K4215" s="451"/>
    </row>
    <row r="4216" spans="1:11">
      <c r="A4216" s="450" t="s">
        <v>7286</v>
      </c>
      <c r="B4216" s="450"/>
      <c r="C4216" s="450" t="s">
        <v>7287</v>
      </c>
      <c r="D4216" s="450"/>
      <c r="E4216" s="450"/>
      <c r="F4216" s="450"/>
      <c r="G4216" s="450" t="s">
        <v>22877</v>
      </c>
      <c r="H4216" s="450" t="s">
        <v>22878</v>
      </c>
      <c r="I4216" s="450" t="s">
        <v>34954</v>
      </c>
      <c r="J4216" s="450" t="s">
        <v>23121</v>
      </c>
      <c r="K4216" s="450"/>
    </row>
    <row r="4217" spans="1:11">
      <c r="A4217" s="451" t="s">
        <v>7288</v>
      </c>
      <c r="B4217" s="451"/>
      <c r="C4217" s="451" t="s">
        <v>7289</v>
      </c>
      <c r="D4217" s="451"/>
      <c r="E4217" s="451"/>
      <c r="F4217" s="451"/>
      <c r="G4217" s="451" t="s">
        <v>22877</v>
      </c>
      <c r="H4217" s="451" t="s">
        <v>22878</v>
      </c>
      <c r="I4217" s="451" t="s">
        <v>34955</v>
      </c>
      <c r="J4217" s="451" t="s">
        <v>22943</v>
      </c>
      <c r="K4217" s="451"/>
    </row>
    <row r="4218" spans="1:11">
      <c r="A4218" s="450" t="s">
        <v>7290</v>
      </c>
      <c r="B4218" s="450"/>
      <c r="C4218" s="450" t="s">
        <v>7291</v>
      </c>
      <c r="D4218" s="450"/>
      <c r="E4218" s="450"/>
      <c r="F4218" s="450"/>
      <c r="G4218" s="450" t="s">
        <v>22877</v>
      </c>
      <c r="H4218" s="450" t="s">
        <v>22878</v>
      </c>
      <c r="I4218" s="450" t="s">
        <v>25139</v>
      </c>
      <c r="J4218" s="450" t="s">
        <v>22939</v>
      </c>
      <c r="K4218" s="450"/>
    </row>
    <row r="4219" spans="1:11">
      <c r="A4219" s="451" t="s">
        <v>7292</v>
      </c>
      <c r="B4219" s="451" t="s">
        <v>25140</v>
      </c>
      <c r="C4219" s="451" t="s">
        <v>7293</v>
      </c>
      <c r="D4219" s="451">
        <v>3863287669</v>
      </c>
      <c r="E4219" s="451"/>
      <c r="F4219" s="451"/>
      <c r="G4219" s="451" t="s">
        <v>22877</v>
      </c>
      <c r="H4219" s="451" t="s">
        <v>22878</v>
      </c>
      <c r="I4219" s="451" t="s">
        <v>25141</v>
      </c>
      <c r="J4219" s="451" t="s">
        <v>25142</v>
      </c>
      <c r="K4219" s="451"/>
    </row>
    <row r="4220" spans="1:11">
      <c r="A4220" s="450" t="s">
        <v>7292</v>
      </c>
      <c r="B4220" s="450" t="s">
        <v>7113</v>
      </c>
      <c r="C4220" s="450" t="s">
        <v>7293</v>
      </c>
      <c r="D4220" s="450" t="s">
        <v>7294</v>
      </c>
      <c r="E4220" s="450" t="s">
        <v>7295</v>
      </c>
      <c r="F4220" s="450"/>
      <c r="G4220" s="450" t="s">
        <v>22877</v>
      </c>
      <c r="H4220" s="450" t="s">
        <v>22878</v>
      </c>
      <c r="I4220" s="450" t="s">
        <v>31117</v>
      </c>
      <c r="J4220" s="450" t="s">
        <v>31142</v>
      </c>
      <c r="K4220" s="450"/>
    </row>
    <row r="4221" spans="1:11">
      <c r="A4221" s="451" t="s">
        <v>25143</v>
      </c>
      <c r="B4221" s="451" t="s">
        <v>25144</v>
      </c>
      <c r="C4221" s="451" t="s">
        <v>25145</v>
      </c>
      <c r="D4221" s="451"/>
      <c r="E4221" s="451"/>
      <c r="F4221" s="451"/>
      <c r="G4221" s="451" t="s">
        <v>22877</v>
      </c>
      <c r="H4221" s="451" t="s">
        <v>22878</v>
      </c>
      <c r="I4221" s="451" t="s">
        <v>25146</v>
      </c>
      <c r="J4221" s="451" t="s">
        <v>25147</v>
      </c>
      <c r="K4221" s="451"/>
    </row>
    <row r="4222" spans="1:11">
      <c r="A4222" s="450" t="s">
        <v>7296</v>
      </c>
      <c r="B4222" s="450"/>
      <c r="C4222" s="450" t="s">
        <v>7297</v>
      </c>
      <c r="D4222" s="450"/>
      <c r="E4222" s="450"/>
      <c r="F4222" s="450"/>
      <c r="G4222" s="450" t="s">
        <v>22877</v>
      </c>
      <c r="H4222" s="450" t="s">
        <v>22878</v>
      </c>
      <c r="I4222" s="450" t="s">
        <v>34956</v>
      </c>
      <c r="J4222" s="450" t="s">
        <v>22997</v>
      </c>
      <c r="K4222" s="450"/>
    </row>
    <row r="4223" spans="1:11">
      <c r="A4223" s="451" t="s">
        <v>7298</v>
      </c>
      <c r="B4223" s="451"/>
      <c r="C4223" s="451" t="s">
        <v>7299</v>
      </c>
      <c r="D4223" s="451"/>
      <c r="E4223" s="451"/>
      <c r="F4223" s="451"/>
      <c r="G4223" s="451" t="s">
        <v>22882</v>
      </c>
      <c r="H4223" s="451" t="s">
        <v>22883</v>
      </c>
      <c r="I4223" s="451" t="s">
        <v>25148</v>
      </c>
      <c r="J4223" s="451" t="s">
        <v>22943</v>
      </c>
      <c r="K4223" s="451"/>
    </row>
    <row r="4224" spans="1:11">
      <c r="A4224" s="450" t="s">
        <v>7300</v>
      </c>
      <c r="B4224" s="450" t="s">
        <v>7301</v>
      </c>
      <c r="C4224" s="450" t="s">
        <v>7302</v>
      </c>
      <c r="D4224" s="450" t="s">
        <v>7303</v>
      </c>
      <c r="E4224" s="450"/>
      <c r="F4224" s="450"/>
      <c r="G4224" s="450" t="s">
        <v>22877</v>
      </c>
      <c r="H4224" s="450" t="s">
        <v>22878</v>
      </c>
      <c r="I4224" s="450" t="s">
        <v>7303</v>
      </c>
      <c r="J4224" s="450" t="s">
        <v>25149</v>
      </c>
      <c r="K4224" s="450"/>
    </row>
    <row r="4225" spans="1:11">
      <c r="A4225" s="451" t="s">
        <v>7304</v>
      </c>
      <c r="B4225" s="451"/>
      <c r="C4225" s="451" t="s">
        <v>7305</v>
      </c>
      <c r="D4225" s="451"/>
      <c r="E4225" s="451"/>
      <c r="F4225" s="451"/>
      <c r="G4225" s="451" t="s">
        <v>22882</v>
      </c>
      <c r="H4225" s="451" t="s">
        <v>22883</v>
      </c>
      <c r="I4225" s="451"/>
      <c r="J4225" s="451" t="s">
        <v>22943</v>
      </c>
      <c r="K4225" s="451"/>
    </row>
    <row r="4226" spans="1:11">
      <c r="A4226" s="450" t="s">
        <v>7306</v>
      </c>
      <c r="B4226" s="450" t="s">
        <v>7307</v>
      </c>
      <c r="C4226" s="450" t="s">
        <v>7308</v>
      </c>
      <c r="D4226" s="450"/>
      <c r="E4226" s="450"/>
      <c r="F4226" s="450"/>
      <c r="G4226" s="450" t="s">
        <v>22882</v>
      </c>
      <c r="H4226" s="450" t="s">
        <v>22883</v>
      </c>
      <c r="I4226" s="450" t="s">
        <v>25150</v>
      </c>
      <c r="J4226" s="450" t="s">
        <v>25151</v>
      </c>
      <c r="K4226" s="450"/>
    </row>
    <row r="4227" spans="1:11">
      <c r="A4227" s="451" t="s">
        <v>7309</v>
      </c>
      <c r="B4227" s="451" t="s">
        <v>7310</v>
      </c>
      <c r="C4227" s="451" t="s">
        <v>7311</v>
      </c>
      <c r="D4227" s="451"/>
      <c r="E4227" s="451"/>
      <c r="F4227" s="451"/>
      <c r="G4227" s="451" t="s">
        <v>22877</v>
      </c>
      <c r="H4227" s="451" t="s">
        <v>22878</v>
      </c>
      <c r="I4227" s="451" t="s">
        <v>31143</v>
      </c>
      <c r="J4227" s="451" t="s">
        <v>31144</v>
      </c>
      <c r="K4227" s="451"/>
    </row>
    <row r="4228" spans="1:11">
      <c r="A4228" s="450" t="s">
        <v>7312</v>
      </c>
      <c r="B4228" s="450"/>
      <c r="C4228" s="450" t="s">
        <v>5024</v>
      </c>
      <c r="D4228" s="450"/>
      <c r="E4228" s="450"/>
      <c r="F4228" s="450"/>
      <c r="G4228" s="450" t="s">
        <v>22877</v>
      </c>
      <c r="H4228" s="450" t="s">
        <v>22878</v>
      </c>
      <c r="I4228" s="450" t="s">
        <v>25152</v>
      </c>
      <c r="J4228" s="450" t="s">
        <v>22939</v>
      </c>
      <c r="K4228" s="450"/>
    </row>
    <row r="4229" spans="1:11">
      <c r="A4229" s="451" t="s">
        <v>34957</v>
      </c>
      <c r="B4229" s="451" t="s">
        <v>7314</v>
      </c>
      <c r="C4229" s="451" t="s">
        <v>7315</v>
      </c>
      <c r="D4229" s="451" t="s">
        <v>7316</v>
      </c>
      <c r="E4229" s="451"/>
      <c r="F4229" s="451"/>
      <c r="G4229" s="451" t="s">
        <v>22877</v>
      </c>
      <c r="H4229" s="451" t="s">
        <v>22878</v>
      </c>
      <c r="I4229" s="451" t="s">
        <v>7316</v>
      </c>
      <c r="J4229" s="451" t="s">
        <v>34958</v>
      </c>
      <c r="K4229" s="451"/>
    </row>
    <row r="4230" spans="1:11">
      <c r="A4230" s="450" t="s">
        <v>7313</v>
      </c>
      <c r="B4230" s="450" t="s">
        <v>7314</v>
      </c>
      <c r="C4230" s="450" t="s">
        <v>7315</v>
      </c>
      <c r="D4230" s="450" t="s">
        <v>7316</v>
      </c>
      <c r="E4230" s="450" t="s">
        <v>7317</v>
      </c>
      <c r="F4230" s="450"/>
      <c r="G4230" s="450" t="s">
        <v>22877</v>
      </c>
      <c r="H4230" s="450" t="s">
        <v>22878</v>
      </c>
      <c r="I4230" s="450" t="s">
        <v>7316</v>
      </c>
      <c r="J4230" s="450" t="s">
        <v>31145</v>
      </c>
      <c r="K4230" s="450"/>
    </row>
    <row r="4231" spans="1:11">
      <c r="A4231" s="451" t="s">
        <v>25153</v>
      </c>
      <c r="B4231" s="451" t="s">
        <v>25154</v>
      </c>
      <c r="C4231" s="451" t="s">
        <v>4713</v>
      </c>
      <c r="D4231" s="451" t="s">
        <v>7320</v>
      </c>
      <c r="E4231" s="451"/>
      <c r="F4231" s="451"/>
      <c r="G4231" s="451" t="s">
        <v>22882</v>
      </c>
      <c r="H4231" s="451" t="s">
        <v>22883</v>
      </c>
      <c r="I4231" s="451" t="s">
        <v>7320</v>
      </c>
      <c r="J4231" s="451" t="s">
        <v>25155</v>
      </c>
      <c r="K4231" s="451"/>
    </row>
    <row r="4232" spans="1:11">
      <c r="A4232" s="450" t="s">
        <v>25156</v>
      </c>
      <c r="B4232" s="450" t="s">
        <v>25157</v>
      </c>
      <c r="C4232" s="450" t="s">
        <v>25158</v>
      </c>
      <c r="D4232" s="450"/>
      <c r="E4232" s="450"/>
      <c r="F4232" s="450"/>
      <c r="G4232" s="450" t="s">
        <v>22877</v>
      </c>
      <c r="H4232" s="450" t="s">
        <v>22878</v>
      </c>
      <c r="I4232" s="450"/>
      <c r="J4232" s="450" t="s">
        <v>25159</v>
      </c>
      <c r="K4232" s="450"/>
    </row>
    <row r="4233" spans="1:11">
      <c r="A4233" s="451" t="s">
        <v>7318</v>
      </c>
      <c r="B4233" s="451" t="s">
        <v>7319</v>
      </c>
      <c r="C4233" s="451" t="s">
        <v>4713</v>
      </c>
      <c r="D4233" s="451" t="s">
        <v>7320</v>
      </c>
      <c r="E4233" s="451" t="s">
        <v>7321</v>
      </c>
      <c r="F4233" s="451"/>
      <c r="G4233" s="451" t="s">
        <v>22882</v>
      </c>
      <c r="H4233" s="451" t="s">
        <v>22883</v>
      </c>
      <c r="I4233" s="451" t="s">
        <v>31146</v>
      </c>
      <c r="J4233" s="451" t="s">
        <v>31147</v>
      </c>
      <c r="K4233" s="451"/>
    </row>
    <row r="4234" spans="1:11">
      <c r="A4234" s="450" t="s">
        <v>25160</v>
      </c>
      <c r="B4234" s="450"/>
      <c r="C4234" s="450" t="s">
        <v>7078</v>
      </c>
      <c r="D4234" s="450"/>
      <c r="E4234" s="450"/>
      <c r="F4234" s="450"/>
      <c r="G4234" s="450" t="s">
        <v>22877</v>
      </c>
      <c r="H4234" s="450" t="s">
        <v>22878</v>
      </c>
      <c r="I4234" s="450" t="s">
        <v>25161</v>
      </c>
      <c r="J4234" s="450" t="s">
        <v>22997</v>
      </c>
      <c r="K4234" s="450"/>
    </row>
    <row r="4235" spans="1:11">
      <c r="A4235" s="451" t="s">
        <v>7322</v>
      </c>
      <c r="B4235" s="451" t="s">
        <v>7323</v>
      </c>
      <c r="C4235" s="451" t="s">
        <v>7324</v>
      </c>
      <c r="D4235" s="451"/>
      <c r="E4235" s="451"/>
      <c r="F4235" s="451" t="s">
        <v>7325</v>
      </c>
      <c r="G4235" s="451" t="s">
        <v>22882</v>
      </c>
      <c r="H4235" s="451" t="s">
        <v>22883</v>
      </c>
      <c r="I4235" s="451" t="s">
        <v>34959</v>
      </c>
      <c r="J4235" s="451" t="s">
        <v>34960</v>
      </c>
      <c r="K4235" s="451"/>
    </row>
    <row r="4236" spans="1:11">
      <c r="A4236" s="450" t="s">
        <v>25162</v>
      </c>
      <c r="B4236" s="450" t="s">
        <v>7323</v>
      </c>
      <c r="C4236" s="450" t="s">
        <v>7324</v>
      </c>
      <c r="D4236" s="450"/>
      <c r="E4236" s="450"/>
      <c r="F4236" s="450" t="s">
        <v>25163</v>
      </c>
      <c r="G4236" s="450" t="s">
        <v>22882</v>
      </c>
      <c r="H4236" s="450" t="s">
        <v>22883</v>
      </c>
      <c r="I4236" s="450" t="s">
        <v>25164</v>
      </c>
      <c r="J4236" s="450" t="s">
        <v>25165</v>
      </c>
      <c r="K4236" s="450"/>
    </row>
    <row r="4237" spans="1:11">
      <c r="A4237" s="451" t="s">
        <v>25166</v>
      </c>
      <c r="B4237" s="451" t="s">
        <v>7327</v>
      </c>
      <c r="C4237" s="451" t="s">
        <v>7328</v>
      </c>
      <c r="D4237" s="451"/>
      <c r="E4237" s="451"/>
      <c r="F4237" s="451" t="s">
        <v>25167</v>
      </c>
      <c r="G4237" s="451" t="s">
        <v>22877</v>
      </c>
      <c r="H4237" s="451" t="s">
        <v>22878</v>
      </c>
      <c r="I4237" s="451" t="s">
        <v>23923</v>
      </c>
      <c r="J4237" s="451" t="s">
        <v>25168</v>
      </c>
      <c r="K4237" s="451"/>
    </row>
    <row r="4238" spans="1:11">
      <c r="A4238" s="450" t="s">
        <v>25169</v>
      </c>
      <c r="B4238" s="450" t="s">
        <v>25170</v>
      </c>
      <c r="C4238" s="450" t="s">
        <v>25171</v>
      </c>
      <c r="D4238" s="450"/>
      <c r="E4238" s="450"/>
      <c r="F4238" s="450"/>
      <c r="G4238" s="450" t="s">
        <v>22877</v>
      </c>
      <c r="H4238" s="450" t="s">
        <v>22878</v>
      </c>
      <c r="I4238" s="450" t="s">
        <v>25172</v>
      </c>
      <c r="J4238" s="450" t="s">
        <v>25173</v>
      </c>
      <c r="K4238" s="450"/>
    </row>
    <row r="4239" spans="1:11">
      <c r="A4239" s="451" t="s">
        <v>7326</v>
      </c>
      <c r="B4239" s="451" t="s">
        <v>7327</v>
      </c>
      <c r="C4239" s="451" t="s">
        <v>7328</v>
      </c>
      <c r="D4239" s="451"/>
      <c r="E4239" s="451"/>
      <c r="F4239" s="451" t="s">
        <v>7329</v>
      </c>
      <c r="G4239" s="451" t="s">
        <v>22877</v>
      </c>
      <c r="H4239" s="451" t="s">
        <v>22878</v>
      </c>
      <c r="I4239" s="451" t="s">
        <v>31148</v>
      </c>
      <c r="J4239" s="451" t="s">
        <v>31149</v>
      </c>
      <c r="K4239" s="451"/>
    </row>
    <row r="4240" spans="1:11">
      <c r="A4240" s="450" t="s">
        <v>34961</v>
      </c>
      <c r="B4240" s="450" t="s">
        <v>34962</v>
      </c>
      <c r="C4240" s="450" t="s">
        <v>34963</v>
      </c>
      <c r="D4240" s="450" t="s">
        <v>34964</v>
      </c>
      <c r="E4240" s="450"/>
      <c r="F4240" s="450"/>
      <c r="G4240" s="450" t="s">
        <v>22882</v>
      </c>
      <c r="H4240" s="450" t="s">
        <v>22883</v>
      </c>
      <c r="I4240" s="450"/>
      <c r="J4240" s="450" t="s">
        <v>34965</v>
      </c>
      <c r="K4240" s="450"/>
    </row>
    <row r="4241" spans="1:11">
      <c r="A4241" s="451" t="s">
        <v>7330</v>
      </c>
      <c r="B4241" s="451"/>
      <c r="C4241" s="451" t="s">
        <v>6849</v>
      </c>
      <c r="D4241" s="451"/>
      <c r="E4241" s="451"/>
      <c r="F4241" s="451"/>
      <c r="G4241" s="451" t="s">
        <v>22877</v>
      </c>
      <c r="H4241" s="451" t="s">
        <v>22878</v>
      </c>
      <c r="I4241" s="451"/>
      <c r="J4241" s="451" t="s">
        <v>22943</v>
      </c>
      <c r="K4241" s="451"/>
    </row>
    <row r="4242" spans="1:11">
      <c r="A4242" s="450" t="s">
        <v>34966</v>
      </c>
      <c r="B4242" s="450"/>
      <c r="C4242" s="450" t="s">
        <v>3101</v>
      </c>
      <c r="D4242" s="450"/>
      <c r="E4242" s="450"/>
      <c r="F4242" s="450"/>
      <c r="G4242" s="450" t="s">
        <v>22882</v>
      </c>
      <c r="H4242" s="450" t="s">
        <v>22883</v>
      </c>
      <c r="I4242" s="450"/>
      <c r="J4242" s="450" t="s">
        <v>22943</v>
      </c>
      <c r="K4242" s="450"/>
    </row>
    <row r="4243" spans="1:11">
      <c r="A4243" s="451" t="s">
        <v>7331</v>
      </c>
      <c r="B4243" s="451"/>
      <c r="C4243" s="451" t="s">
        <v>3101</v>
      </c>
      <c r="D4243" s="451"/>
      <c r="E4243" s="451"/>
      <c r="F4243" s="451"/>
      <c r="G4243" s="451" t="s">
        <v>22882</v>
      </c>
      <c r="H4243" s="451" t="s">
        <v>22883</v>
      </c>
      <c r="I4243" s="451"/>
      <c r="J4243" s="451" t="s">
        <v>22937</v>
      </c>
      <c r="K4243" s="451"/>
    </row>
    <row r="4244" spans="1:11">
      <c r="A4244" s="450" t="s">
        <v>25174</v>
      </c>
      <c r="B4244" s="450"/>
      <c r="C4244" s="450" t="s">
        <v>7080</v>
      </c>
      <c r="D4244" s="450"/>
      <c r="E4244" s="450"/>
      <c r="F4244" s="450"/>
      <c r="G4244" s="450" t="s">
        <v>22877</v>
      </c>
      <c r="H4244" s="450" t="s">
        <v>22878</v>
      </c>
      <c r="I4244" s="450" t="s">
        <v>25175</v>
      </c>
      <c r="J4244" s="450" t="s">
        <v>22943</v>
      </c>
      <c r="K4244" s="450"/>
    </row>
    <row r="4245" spans="1:11">
      <c r="A4245" s="451" t="s">
        <v>25176</v>
      </c>
      <c r="B4245" s="451" t="s">
        <v>25177</v>
      </c>
      <c r="C4245" s="451" t="s">
        <v>25178</v>
      </c>
      <c r="D4245" s="451"/>
      <c r="E4245" s="451"/>
      <c r="F4245" s="451"/>
      <c r="G4245" s="451" t="s">
        <v>22877</v>
      </c>
      <c r="H4245" s="451" t="s">
        <v>22878</v>
      </c>
      <c r="I4245" s="451" t="s">
        <v>25179</v>
      </c>
      <c r="J4245" s="451" t="s">
        <v>25180</v>
      </c>
      <c r="K4245" s="451"/>
    </row>
    <row r="4246" spans="1:11">
      <c r="A4246" s="450" t="s">
        <v>7332</v>
      </c>
      <c r="B4246" s="450"/>
      <c r="C4246" s="450" t="s">
        <v>7333</v>
      </c>
      <c r="D4246" s="450"/>
      <c r="E4246" s="450"/>
      <c r="F4246" s="450"/>
      <c r="G4246" s="450" t="s">
        <v>22877</v>
      </c>
      <c r="H4246" s="450" t="s">
        <v>22878</v>
      </c>
      <c r="I4246" s="450" t="s">
        <v>34967</v>
      </c>
      <c r="J4246" s="450" t="s">
        <v>22943</v>
      </c>
      <c r="K4246" s="450"/>
    </row>
    <row r="4247" spans="1:11">
      <c r="A4247" s="451" t="s">
        <v>7334</v>
      </c>
      <c r="B4247" s="451"/>
      <c r="C4247" s="451" t="s">
        <v>7335</v>
      </c>
      <c r="D4247" s="451"/>
      <c r="E4247" s="451"/>
      <c r="F4247" s="451"/>
      <c r="G4247" s="451" t="s">
        <v>22877</v>
      </c>
      <c r="H4247" s="451" t="s">
        <v>22878</v>
      </c>
      <c r="I4247" s="451" t="s">
        <v>25181</v>
      </c>
      <c r="J4247" s="451" t="s">
        <v>23179</v>
      </c>
      <c r="K4247" s="451"/>
    </row>
    <row r="4248" spans="1:11">
      <c r="A4248" s="450" t="s">
        <v>34968</v>
      </c>
      <c r="B4248" s="450" t="s">
        <v>7336</v>
      </c>
      <c r="C4248" s="450" t="s">
        <v>7337</v>
      </c>
      <c r="D4248" s="450" t="s">
        <v>7338</v>
      </c>
      <c r="E4248" s="450"/>
      <c r="F4248" s="450"/>
      <c r="G4248" s="450" t="s">
        <v>22877</v>
      </c>
      <c r="H4248" s="450" t="s">
        <v>22878</v>
      </c>
      <c r="I4248" s="450" t="s">
        <v>7338</v>
      </c>
      <c r="J4248" s="450" t="s">
        <v>34969</v>
      </c>
      <c r="K4248" s="450"/>
    </row>
    <row r="4249" spans="1:11">
      <c r="A4249" s="451" t="s">
        <v>21654</v>
      </c>
      <c r="B4249" s="451" t="s">
        <v>7336</v>
      </c>
      <c r="C4249" s="451" t="s">
        <v>7337</v>
      </c>
      <c r="D4249" s="451" t="s">
        <v>7338</v>
      </c>
      <c r="E4249" s="451" t="s">
        <v>7339</v>
      </c>
      <c r="F4249" s="451"/>
      <c r="G4249" s="451" t="s">
        <v>22877</v>
      </c>
      <c r="H4249" s="451" t="s">
        <v>22878</v>
      </c>
      <c r="I4249" s="451" t="s">
        <v>31150</v>
      </c>
      <c r="J4249" s="451" t="s">
        <v>31151</v>
      </c>
      <c r="K4249" s="451"/>
    </row>
    <row r="4250" spans="1:11">
      <c r="A4250" s="450" t="s">
        <v>21655</v>
      </c>
      <c r="B4250" s="450"/>
      <c r="C4250" s="450" t="s">
        <v>7340</v>
      </c>
      <c r="D4250" s="450"/>
      <c r="E4250" s="450"/>
      <c r="F4250" s="450"/>
      <c r="G4250" s="450" t="s">
        <v>22882</v>
      </c>
      <c r="H4250" s="450" t="s">
        <v>22883</v>
      </c>
      <c r="I4250" s="450" t="s">
        <v>25182</v>
      </c>
      <c r="J4250" s="450" t="s">
        <v>22939</v>
      </c>
      <c r="K4250" s="450"/>
    </row>
    <row r="4251" spans="1:11">
      <c r="A4251" s="451" t="s">
        <v>34970</v>
      </c>
      <c r="B4251" s="451" t="s">
        <v>7342</v>
      </c>
      <c r="C4251" s="451" t="s">
        <v>7343</v>
      </c>
      <c r="D4251" s="451" t="s">
        <v>7344</v>
      </c>
      <c r="E4251" s="451"/>
      <c r="F4251" s="451"/>
      <c r="G4251" s="451" t="s">
        <v>22877</v>
      </c>
      <c r="H4251" s="451" t="s">
        <v>22878</v>
      </c>
      <c r="I4251" s="451" t="s">
        <v>34971</v>
      </c>
      <c r="J4251" s="451" t="s">
        <v>34972</v>
      </c>
      <c r="K4251" s="451"/>
    </row>
    <row r="4252" spans="1:11">
      <c r="A4252" s="450" t="s">
        <v>7341</v>
      </c>
      <c r="B4252" s="450" t="s">
        <v>7342</v>
      </c>
      <c r="C4252" s="450" t="s">
        <v>7343</v>
      </c>
      <c r="D4252" s="450" t="s">
        <v>7344</v>
      </c>
      <c r="E4252" s="450" t="s">
        <v>7345</v>
      </c>
      <c r="F4252" s="450"/>
      <c r="G4252" s="450" t="s">
        <v>22877</v>
      </c>
      <c r="H4252" s="450" t="s">
        <v>22878</v>
      </c>
      <c r="I4252" s="450" t="s">
        <v>7344</v>
      </c>
      <c r="J4252" s="450" t="s">
        <v>31152</v>
      </c>
      <c r="K4252" s="450"/>
    </row>
    <row r="4253" spans="1:11">
      <c r="A4253" s="451" t="s">
        <v>7346</v>
      </c>
      <c r="B4253" s="451" t="s">
        <v>7347</v>
      </c>
      <c r="C4253" s="451" t="s">
        <v>5421</v>
      </c>
      <c r="D4253" s="451" t="s">
        <v>7348</v>
      </c>
      <c r="E4253" s="451"/>
      <c r="F4253" s="451"/>
      <c r="G4253" s="451" t="s">
        <v>22882</v>
      </c>
      <c r="H4253" s="451" t="s">
        <v>22883</v>
      </c>
      <c r="I4253" s="451" t="s">
        <v>25183</v>
      </c>
      <c r="J4253" s="451" t="s">
        <v>25184</v>
      </c>
      <c r="K4253" s="451"/>
    </row>
    <row r="4254" spans="1:11">
      <c r="A4254" s="450" t="s">
        <v>7349</v>
      </c>
      <c r="B4254" s="450" t="s">
        <v>34973</v>
      </c>
      <c r="C4254" s="450" t="s">
        <v>7351</v>
      </c>
      <c r="D4254" s="450"/>
      <c r="E4254" s="450"/>
      <c r="F4254" s="450"/>
      <c r="G4254" s="450" t="s">
        <v>22882</v>
      </c>
      <c r="H4254" s="450" t="s">
        <v>22883</v>
      </c>
      <c r="I4254" s="450"/>
      <c r="J4254" s="450" t="s">
        <v>34974</v>
      </c>
      <c r="K4254" s="450"/>
    </row>
    <row r="4255" spans="1:11">
      <c r="A4255" s="451" t="s">
        <v>7349</v>
      </c>
      <c r="B4255" s="451" t="s">
        <v>7350</v>
      </c>
      <c r="C4255" s="451" t="s">
        <v>7351</v>
      </c>
      <c r="D4255" s="451"/>
      <c r="E4255" s="451"/>
      <c r="F4255" s="451"/>
      <c r="G4255" s="451" t="s">
        <v>22882</v>
      </c>
      <c r="H4255" s="451" t="s">
        <v>22883</v>
      </c>
      <c r="I4255" s="451"/>
      <c r="J4255" s="451" t="s">
        <v>31153</v>
      </c>
      <c r="K4255" s="451"/>
    </row>
    <row r="4256" spans="1:11">
      <c r="A4256" s="450" t="s">
        <v>20467</v>
      </c>
      <c r="B4256" s="450" t="s">
        <v>20468</v>
      </c>
      <c r="C4256" s="450" t="s">
        <v>20469</v>
      </c>
      <c r="D4256" s="450" t="s">
        <v>20470</v>
      </c>
      <c r="E4256" s="450"/>
      <c r="F4256" s="450"/>
      <c r="G4256" s="450" t="s">
        <v>22877</v>
      </c>
      <c r="H4256" s="450" t="s">
        <v>22878</v>
      </c>
      <c r="I4256" s="450" t="s">
        <v>34964</v>
      </c>
      <c r="J4256" s="450" t="s">
        <v>25188</v>
      </c>
      <c r="K4256" s="450"/>
    </row>
    <row r="4257" spans="1:11">
      <c r="A4257" s="451" t="s">
        <v>25185</v>
      </c>
      <c r="B4257" s="451" t="s">
        <v>20468</v>
      </c>
      <c r="C4257" s="451" t="s">
        <v>20469</v>
      </c>
      <c r="D4257" s="451" t="s">
        <v>25186</v>
      </c>
      <c r="E4257" s="451"/>
      <c r="F4257" s="451" t="s">
        <v>25187</v>
      </c>
      <c r="G4257" s="451" t="s">
        <v>22877</v>
      </c>
      <c r="H4257" s="451" t="s">
        <v>22878</v>
      </c>
      <c r="I4257" s="451" t="s">
        <v>25186</v>
      </c>
      <c r="J4257" s="451" t="s">
        <v>25188</v>
      </c>
      <c r="K4257" s="451"/>
    </row>
    <row r="4258" spans="1:11">
      <c r="A4258" s="450" t="s">
        <v>30004</v>
      </c>
      <c r="B4258" s="450" t="s">
        <v>30005</v>
      </c>
      <c r="C4258" s="450" t="s">
        <v>30006</v>
      </c>
      <c r="D4258" s="450"/>
      <c r="E4258" s="450"/>
      <c r="F4258" s="450"/>
      <c r="G4258" s="450"/>
      <c r="H4258" s="450"/>
      <c r="I4258" s="450"/>
      <c r="J4258" s="450"/>
      <c r="K4258" s="450"/>
    </row>
    <row r="4259" spans="1:11">
      <c r="A4259" s="451" t="s">
        <v>7352</v>
      </c>
      <c r="B4259" s="451"/>
      <c r="C4259" s="451" t="s">
        <v>7353</v>
      </c>
      <c r="D4259" s="451"/>
      <c r="E4259" s="451"/>
      <c r="F4259" s="451"/>
      <c r="G4259" s="451" t="s">
        <v>22877</v>
      </c>
      <c r="H4259" s="451" t="s">
        <v>22878</v>
      </c>
      <c r="I4259" s="451" t="s">
        <v>25189</v>
      </c>
      <c r="J4259" s="451" t="s">
        <v>22997</v>
      </c>
      <c r="K4259" s="451"/>
    </row>
    <row r="4260" spans="1:11">
      <c r="A4260" s="450" t="s">
        <v>34975</v>
      </c>
      <c r="B4260" s="450" t="s">
        <v>7354</v>
      </c>
      <c r="C4260" s="450" t="s">
        <v>7355</v>
      </c>
      <c r="D4260" s="450" t="s">
        <v>7356</v>
      </c>
      <c r="E4260" s="450"/>
      <c r="F4260" s="450"/>
      <c r="G4260" s="450" t="s">
        <v>22877</v>
      </c>
      <c r="H4260" s="450" t="s">
        <v>22878</v>
      </c>
      <c r="I4260" s="450" t="s">
        <v>23809</v>
      </c>
      <c r="J4260" s="450" t="s">
        <v>34976</v>
      </c>
      <c r="K4260" s="450"/>
    </row>
    <row r="4261" spans="1:11">
      <c r="A4261" s="451" t="s">
        <v>21656</v>
      </c>
      <c r="B4261" s="451" t="s">
        <v>7354</v>
      </c>
      <c r="C4261" s="451" t="s">
        <v>7355</v>
      </c>
      <c r="D4261" s="451" t="s">
        <v>7356</v>
      </c>
      <c r="E4261" s="451" t="s">
        <v>7357</v>
      </c>
      <c r="F4261" s="451"/>
      <c r="G4261" s="451" t="s">
        <v>22877</v>
      </c>
      <c r="H4261" s="451" t="s">
        <v>22878</v>
      </c>
      <c r="I4261" s="451" t="s">
        <v>31154</v>
      </c>
      <c r="J4261" s="451" t="s">
        <v>31155</v>
      </c>
      <c r="K4261" s="451"/>
    </row>
    <row r="4262" spans="1:11">
      <c r="A4262" s="450" t="s">
        <v>7358</v>
      </c>
      <c r="B4262" s="450"/>
      <c r="C4262" s="450" t="s">
        <v>7359</v>
      </c>
      <c r="D4262" s="450"/>
      <c r="E4262" s="450"/>
      <c r="F4262" s="450"/>
      <c r="G4262" s="450" t="s">
        <v>22877</v>
      </c>
      <c r="H4262" s="450" t="s">
        <v>22878</v>
      </c>
      <c r="I4262" s="450" t="s">
        <v>34977</v>
      </c>
      <c r="J4262" s="450" t="s">
        <v>22943</v>
      </c>
      <c r="K4262" s="450"/>
    </row>
    <row r="4263" spans="1:11">
      <c r="A4263" s="451" t="s">
        <v>7360</v>
      </c>
      <c r="B4263" s="451"/>
      <c r="C4263" s="451" t="s">
        <v>7361</v>
      </c>
      <c r="D4263" s="451"/>
      <c r="E4263" s="451"/>
      <c r="F4263" s="451"/>
      <c r="G4263" s="451" t="s">
        <v>23108</v>
      </c>
      <c r="H4263" s="451" t="s">
        <v>22878</v>
      </c>
      <c r="I4263" s="451"/>
      <c r="J4263" s="451"/>
      <c r="K4263" s="451" t="s">
        <v>23726</v>
      </c>
    </row>
    <row r="4264" spans="1:11">
      <c r="A4264" s="450" t="s">
        <v>7362</v>
      </c>
      <c r="B4264" s="450"/>
      <c r="C4264" s="450" t="s">
        <v>7363</v>
      </c>
      <c r="D4264" s="450"/>
      <c r="E4264" s="450"/>
      <c r="F4264" s="450"/>
      <c r="G4264" s="450" t="s">
        <v>22882</v>
      </c>
      <c r="H4264" s="450" t="s">
        <v>22883</v>
      </c>
      <c r="I4264" s="450" t="s">
        <v>34978</v>
      </c>
      <c r="J4264" s="450" t="s">
        <v>22939</v>
      </c>
      <c r="K4264" s="450"/>
    </row>
    <row r="4265" spans="1:11">
      <c r="A4265" s="451" t="s">
        <v>25190</v>
      </c>
      <c r="B4265" s="451"/>
      <c r="C4265" s="451" t="s">
        <v>7385</v>
      </c>
      <c r="D4265" s="451"/>
      <c r="E4265" s="451"/>
      <c r="F4265" s="451"/>
      <c r="G4265" s="451" t="s">
        <v>22882</v>
      </c>
      <c r="H4265" s="451" t="s">
        <v>22883</v>
      </c>
      <c r="I4265" s="451"/>
      <c r="J4265" s="451" t="s">
        <v>22943</v>
      </c>
      <c r="K4265" s="451"/>
    </row>
    <row r="4266" spans="1:11">
      <c r="A4266" s="450" t="s">
        <v>7364</v>
      </c>
      <c r="B4266" s="450" t="s">
        <v>7365</v>
      </c>
      <c r="C4266" s="450" t="s">
        <v>7366</v>
      </c>
      <c r="D4266" s="450" t="s">
        <v>7367</v>
      </c>
      <c r="E4266" s="450"/>
      <c r="F4266" s="450"/>
      <c r="G4266" s="450" t="s">
        <v>22882</v>
      </c>
      <c r="H4266" s="450" t="s">
        <v>22883</v>
      </c>
      <c r="I4266" s="450" t="s">
        <v>31156</v>
      </c>
      <c r="J4266" s="450" t="s">
        <v>31157</v>
      </c>
      <c r="K4266" s="450"/>
    </row>
    <row r="4267" spans="1:11">
      <c r="A4267" s="451" t="s">
        <v>7364</v>
      </c>
      <c r="B4267" s="451" t="s">
        <v>7368</v>
      </c>
      <c r="C4267" s="451" t="s">
        <v>7369</v>
      </c>
      <c r="D4267" s="451"/>
      <c r="E4267" s="451"/>
      <c r="F4267" s="451"/>
      <c r="G4267" s="451" t="s">
        <v>22877</v>
      </c>
      <c r="H4267" s="451" t="s">
        <v>22878</v>
      </c>
      <c r="I4267" s="451" t="s">
        <v>31158</v>
      </c>
      <c r="J4267" s="451" t="s">
        <v>31159</v>
      </c>
      <c r="K4267" s="451"/>
    </row>
    <row r="4268" spans="1:11">
      <c r="A4268" s="450" t="s">
        <v>7364</v>
      </c>
      <c r="B4268" s="450" t="s">
        <v>7370</v>
      </c>
      <c r="C4268" s="450" t="s">
        <v>7369</v>
      </c>
      <c r="D4268" s="450" t="s">
        <v>7371</v>
      </c>
      <c r="E4268" s="450"/>
      <c r="F4268" s="450" t="s">
        <v>7372</v>
      </c>
      <c r="G4268" s="450" t="s">
        <v>22877</v>
      </c>
      <c r="H4268" s="450" t="s">
        <v>22878</v>
      </c>
      <c r="I4268" s="450" t="s">
        <v>31160</v>
      </c>
      <c r="J4268" s="450" t="s">
        <v>31161</v>
      </c>
      <c r="K4268" s="450"/>
    </row>
    <row r="4269" spans="1:11">
      <c r="A4269" s="451" t="s">
        <v>7373</v>
      </c>
      <c r="B4269" s="451" t="s">
        <v>7374</v>
      </c>
      <c r="C4269" s="451" t="s">
        <v>7375</v>
      </c>
      <c r="D4269" s="451"/>
      <c r="E4269" s="451"/>
      <c r="F4269" s="451"/>
      <c r="G4269" s="451" t="s">
        <v>31162</v>
      </c>
      <c r="H4269" s="451" t="s">
        <v>22878</v>
      </c>
      <c r="I4269" s="451"/>
      <c r="J4269" s="451" t="s">
        <v>7374</v>
      </c>
      <c r="K4269" s="451"/>
    </row>
    <row r="4270" spans="1:11">
      <c r="A4270" s="450" t="s">
        <v>7376</v>
      </c>
      <c r="B4270" s="450" t="s">
        <v>7379</v>
      </c>
      <c r="C4270" s="450" t="s">
        <v>7380</v>
      </c>
      <c r="D4270" s="450" t="s">
        <v>7381</v>
      </c>
      <c r="E4270" s="450"/>
      <c r="F4270" s="450"/>
      <c r="G4270" s="450" t="s">
        <v>22877</v>
      </c>
      <c r="H4270" s="450" t="s">
        <v>22878</v>
      </c>
      <c r="I4270" s="450" t="s">
        <v>25191</v>
      </c>
      <c r="J4270" s="450" t="s">
        <v>25192</v>
      </c>
      <c r="K4270" s="450"/>
    </row>
    <row r="4271" spans="1:11">
      <c r="A4271" s="451" t="s">
        <v>7376</v>
      </c>
      <c r="B4271" s="451"/>
      <c r="C4271" s="451" t="s">
        <v>7377</v>
      </c>
      <c r="D4271" s="451"/>
      <c r="E4271" s="451"/>
      <c r="F4271" s="451"/>
      <c r="G4271" s="451" t="s">
        <v>22877</v>
      </c>
      <c r="H4271" s="451" t="s">
        <v>22878</v>
      </c>
      <c r="I4271" s="451" t="s">
        <v>31163</v>
      </c>
      <c r="J4271" s="451" t="s">
        <v>22939</v>
      </c>
      <c r="K4271" s="451"/>
    </row>
    <row r="4272" spans="1:11">
      <c r="A4272" s="450" t="s">
        <v>7378</v>
      </c>
      <c r="B4272" s="450" t="s">
        <v>7379</v>
      </c>
      <c r="C4272" s="450" t="s">
        <v>7380</v>
      </c>
      <c r="D4272" s="450" t="s">
        <v>7381</v>
      </c>
      <c r="E4272" s="450"/>
      <c r="F4272" s="450"/>
      <c r="G4272" s="450" t="s">
        <v>22877</v>
      </c>
      <c r="H4272" s="450" t="s">
        <v>22878</v>
      </c>
      <c r="I4272" s="450" t="s">
        <v>7381</v>
      </c>
      <c r="J4272" s="450" t="s">
        <v>31164</v>
      </c>
      <c r="K4272" s="450"/>
    </row>
    <row r="4273" spans="1:11">
      <c r="A4273" s="451" t="s">
        <v>25193</v>
      </c>
      <c r="B4273" s="451" t="s">
        <v>7368</v>
      </c>
      <c r="C4273" s="451" t="s">
        <v>7369</v>
      </c>
      <c r="D4273" s="451" t="s">
        <v>7371</v>
      </c>
      <c r="E4273" s="451"/>
      <c r="F4273" s="451"/>
      <c r="G4273" s="451" t="s">
        <v>22877</v>
      </c>
      <c r="H4273" s="451" t="s">
        <v>22878</v>
      </c>
      <c r="I4273" s="451" t="s">
        <v>7371</v>
      </c>
      <c r="J4273" s="451" t="s">
        <v>25194</v>
      </c>
      <c r="K4273" s="451"/>
    </row>
    <row r="4274" spans="1:11">
      <c r="A4274" s="450" t="s">
        <v>25195</v>
      </c>
      <c r="B4274" s="450" t="s">
        <v>7374</v>
      </c>
      <c r="C4274" s="450" t="s">
        <v>7375</v>
      </c>
      <c r="D4274" s="450"/>
      <c r="E4274" s="450"/>
      <c r="F4274" s="450"/>
      <c r="G4274" s="450" t="s">
        <v>22882</v>
      </c>
      <c r="H4274" s="450" t="s">
        <v>22883</v>
      </c>
      <c r="I4274" s="450" t="s">
        <v>25196</v>
      </c>
      <c r="J4274" s="450" t="s">
        <v>25197</v>
      </c>
      <c r="K4274" s="450"/>
    </row>
    <row r="4275" spans="1:11">
      <c r="A4275" s="451" t="s">
        <v>34979</v>
      </c>
      <c r="B4275" s="451"/>
      <c r="C4275" s="451" t="s">
        <v>7363</v>
      </c>
      <c r="D4275" s="451"/>
      <c r="E4275" s="451"/>
      <c r="F4275" s="451"/>
      <c r="G4275" s="451" t="s">
        <v>22882</v>
      </c>
      <c r="H4275" s="451" t="s">
        <v>22883</v>
      </c>
      <c r="I4275" s="451"/>
      <c r="J4275" s="451" t="s">
        <v>22939</v>
      </c>
      <c r="K4275" s="451"/>
    </row>
    <row r="4276" spans="1:11">
      <c r="A4276" s="450" t="s">
        <v>7382</v>
      </c>
      <c r="B4276" s="450" t="s">
        <v>25198</v>
      </c>
      <c r="C4276" s="450" t="s">
        <v>7366</v>
      </c>
      <c r="D4276" s="450" t="s">
        <v>7367</v>
      </c>
      <c r="E4276" s="450"/>
      <c r="F4276" s="450"/>
      <c r="G4276" s="450" t="s">
        <v>22882</v>
      </c>
      <c r="H4276" s="450" t="s">
        <v>22883</v>
      </c>
      <c r="I4276" s="450"/>
      <c r="J4276" s="450" t="s">
        <v>25199</v>
      </c>
      <c r="K4276" s="450"/>
    </row>
    <row r="4277" spans="1:11">
      <c r="A4277" s="451" t="s">
        <v>7382</v>
      </c>
      <c r="B4277" s="451" t="s">
        <v>7383</v>
      </c>
      <c r="C4277" s="451" t="s">
        <v>3696</v>
      </c>
      <c r="D4277" s="451"/>
      <c r="E4277" s="451"/>
      <c r="F4277" s="451"/>
      <c r="G4277" s="451" t="s">
        <v>22882</v>
      </c>
      <c r="H4277" s="451" t="s">
        <v>22883</v>
      </c>
      <c r="I4277" s="451" t="s">
        <v>31165</v>
      </c>
      <c r="J4277" s="451" t="s">
        <v>31166</v>
      </c>
      <c r="K4277" s="451"/>
    </row>
    <row r="4278" spans="1:11">
      <c r="A4278" s="450" t="s">
        <v>7384</v>
      </c>
      <c r="B4278" s="450"/>
      <c r="C4278" s="450" t="s">
        <v>7385</v>
      </c>
      <c r="D4278" s="450"/>
      <c r="E4278" s="450"/>
      <c r="F4278" s="450"/>
      <c r="G4278" s="450" t="s">
        <v>22882</v>
      </c>
      <c r="H4278" s="450" t="s">
        <v>22883</v>
      </c>
      <c r="I4278" s="450"/>
      <c r="J4278" s="450" t="s">
        <v>22942</v>
      </c>
      <c r="K4278" s="450"/>
    </row>
    <row r="4279" spans="1:11">
      <c r="A4279" s="451" t="s">
        <v>7386</v>
      </c>
      <c r="B4279" s="451"/>
      <c r="C4279" s="451" t="s">
        <v>6449</v>
      </c>
      <c r="D4279" s="451"/>
      <c r="E4279" s="451"/>
      <c r="F4279" s="451"/>
      <c r="G4279" s="451" t="s">
        <v>22882</v>
      </c>
      <c r="H4279" s="451" t="s">
        <v>22883</v>
      </c>
      <c r="I4279" s="451"/>
      <c r="J4279" s="451" t="s">
        <v>22939</v>
      </c>
      <c r="K4279" s="451"/>
    </row>
    <row r="4280" spans="1:11">
      <c r="A4280" s="450" t="s">
        <v>7387</v>
      </c>
      <c r="B4280" s="450"/>
      <c r="C4280" s="450" t="s">
        <v>7388</v>
      </c>
      <c r="D4280" s="450"/>
      <c r="E4280" s="450"/>
      <c r="F4280" s="450"/>
      <c r="G4280" s="450" t="s">
        <v>22882</v>
      </c>
      <c r="H4280" s="450" t="s">
        <v>22883</v>
      </c>
      <c r="I4280" s="450"/>
      <c r="J4280" s="450" t="s">
        <v>23185</v>
      </c>
      <c r="K4280" s="450"/>
    </row>
    <row r="4281" spans="1:11">
      <c r="A4281" s="451" t="s">
        <v>34980</v>
      </c>
      <c r="B4281" s="451"/>
      <c r="C4281" s="451" t="s">
        <v>7390</v>
      </c>
      <c r="D4281" s="451"/>
      <c r="E4281" s="451"/>
      <c r="F4281" s="451"/>
      <c r="G4281" s="451" t="s">
        <v>22882</v>
      </c>
      <c r="H4281" s="451" t="s">
        <v>22883</v>
      </c>
      <c r="I4281" s="451"/>
      <c r="J4281" s="451" t="s">
        <v>22943</v>
      </c>
      <c r="K4281" s="451"/>
    </row>
    <row r="4282" spans="1:11">
      <c r="A4282" s="450" t="s">
        <v>7389</v>
      </c>
      <c r="B4282" s="450"/>
      <c r="C4282" s="450" t="s">
        <v>7390</v>
      </c>
      <c r="D4282" s="450"/>
      <c r="E4282" s="450"/>
      <c r="F4282" s="450"/>
      <c r="G4282" s="450" t="s">
        <v>22882</v>
      </c>
      <c r="H4282" s="450" t="s">
        <v>22883</v>
      </c>
      <c r="I4282" s="450"/>
      <c r="J4282" s="450" t="s">
        <v>22997</v>
      </c>
      <c r="K4282" s="450"/>
    </row>
    <row r="4283" spans="1:11">
      <c r="A4283" s="451" t="s">
        <v>7391</v>
      </c>
      <c r="B4283" s="451"/>
      <c r="C4283" s="451" t="s">
        <v>7392</v>
      </c>
      <c r="D4283" s="451"/>
      <c r="E4283" s="451"/>
      <c r="F4283" s="451"/>
      <c r="G4283" s="451" t="s">
        <v>22877</v>
      </c>
      <c r="H4283" s="451" t="s">
        <v>22878</v>
      </c>
      <c r="I4283" s="451" t="s">
        <v>34981</v>
      </c>
      <c r="J4283" s="451" t="s">
        <v>22939</v>
      </c>
      <c r="K4283" s="451"/>
    </row>
    <row r="4284" spans="1:11">
      <c r="A4284" s="450" t="s">
        <v>7393</v>
      </c>
      <c r="B4284" s="450"/>
      <c r="C4284" s="450" t="s">
        <v>7394</v>
      </c>
      <c r="D4284" s="450"/>
      <c r="E4284" s="450"/>
      <c r="F4284" s="450"/>
      <c r="G4284" s="450" t="s">
        <v>22877</v>
      </c>
      <c r="H4284" s="450" t="s">
        <v>22878</v>
      </c>
      <c r="I4284" s="450" t="s">
        <v>25200</v>
      </c>
      <c r="J4284" s="450" t="s">
        <v>23370</v>
      </c>
      <c r="K4284" s="450"/>
    </row>
    <row r="4285" spans="1:11">
      <c r="A4285" s="451" t="s">
        <v>7395</v>
      </c>
      <c r="B4285" s="451" t="s">
        <v>7396</v>
      </c>
      <c r="C4285" s="451" t="s">
        <v>7397</v>
      </c>
      <c r="D4285" s="451"/>
      <c r="E4285" s="451"/>
      <c r="F4285" s="451"/>
      <c r="G4285" s="451" t="s">
        <v>22882</v>
      </c>
      <c r="H4285" s="451" t="s">
        <v>22883</v>
      </c>
      <c r="I4285" s="451"/>
      <c r="J4285" s="451" t="s">
        <v>25201</v>
      </c>
      <c r="K4285" s="451"/>
    </row>
    <row r="4286" spans="1:11">
      <c r="A4286" s="450" t="s">
        <v>7398</v>
      </c>
      <c r="B4286" s="450" t="s">
        <v>7399</v>
      </c>
      <c r="C4286" s="450" t="s">
        <v>7400</v>
      </c>
      <c r="D4286" s="450" t="s">
        <v>7401</v>
      </c>
      <c r="E4286" s="450"/>
      <c r="F4286" s="450"/>
      <c r="G4286" s="450" t="s">
        <v>22882</v>
      </c>
      <c r="H4286" s="450" t="s">
        <v>22883</v>
      </c>
      <c r="I4286" s="450" t="s">
        <v>25202</v>
      </c>
      <c r="J4286" s="450" t="s">
        <v>25203</v>
      </c>
      <c r="K4286" s="450"/>
    </row>
    <row r="4287" spans="1:11">
      <c r="A4287" s="451" t="s">
        <v>7402</v>
      </c>
      <c r="B4287" s="451"/>
      <c r="C4287" s="451" t="s">
        <v>7403</v>
      </c>
      <c r="D4287" s="451"/>
      <c r="E4287" s="451"/>
      <c r="F4287" s="451"/>
      <c r="G4287" s="451" t="s">
        <v>22882</v>
      </c>
      <c r="H4287" s="451" t="s">
        <v>22883</v>
      </c>
      <c r="I4287" s="451" t="s">
        <v>25204</v>
      </c>
      <c r="J4287" s="451" t="s">
        <v>22939</v>
      </c>
      <c r="K4287" s="451"/>
    </row>
    <row r="4288" spans="1:11">
      <c r="A4288" s="450" t="s">
        <v>7404</v>
      </c>
      <c r="B4288" s="450"/>
      <c r="C4288" s="450" t="s">
        <v>7405</v>
      </c>
      <c r="D4288" s="450"/>
      <c r="E4288" s="450"/>
      <c r="F4288" s="450"/>
      <c r="G4288" s="450" t="s">
        <v>22882</v>
      </c>
      <c r="H4288" s="450" t="s">
        <v>22883</v>
      </c>
      <c r="I4288" s="450"/>
      <c r="J4288" s="450" t="s">
        <v>22939</v>
      </c>
      <c r="K4288" s="450"/>
    </row>
    <row r="4289" spans="1:11">
      <c r="A4289" s="451" t="s">
        <v>31167</v>
      </c>
      <c r="B4289" s="451" t="s">
        <v>25205</v>
      </c>
      <c r="C4289" s="451" t="s">
        <v>25206</v>
      </c>
      <c r="D4289" s="451"/>
      <c r="E4289" s="451"/>
      <c r="F4289" s="451"/>
      <c r="G4289" s="451" t="s">
        <v>22882</v>
      </c>
      <c r="H4289" s="451" t="s">
        <v>22883</v>
      </c>
      <c r="I4289" s="451"/>
      <c r="J4289" s="451" t="s">
        <v>25207</v>
      </c>
      <c r="K4289" s="451"/>
    </row>
    <row r="4290" spans="1:11">
      <c r="A4290" s="450" t="s">
        <v>7407</v>
      </c>
      <c r="B4290" s="450"/>
      <c r="C4290" s="450" t="s">
        <v>7408</v>
      </c>
      <c r="D4290" s="450"/>
      <c r="E4290" s="450"/>
      <c r="F4290" s="450"/>
      <c r="G4290" s="450" t="s">
        <v>22877</v>
      </c>
      <c r="H4290" s="450" t="s">
        <v>22878</v>
      </c>
      <c r="I4290" s="450" t="s">
        <v>34982</v>
      </c>
      <c r="J4290" s="450" t="s">
        <v>22997</v>
      </c>
      <c r="K4290" s="450"/>
    </row>
    <row r="4291" spans="1:11">
      <c r="A4291" s="451" t="s">
        <v>21657</v>
      </c>
      <c r="B4291" s="451"/>
      <c r="C4291" s="451" t="s">
        <v>7406</v>
      </c>
      <c r="D4291" s="451"/>
      <c r="E4291" s="451"/>
      <c r="F4291" s="451"/>
      <c r="G4291" s="451" t="s">
        <v>22882</v>
      </c>
      <c r="H4291" s="451" t="s">
        <v>22883</v>
      </c>
      <c r="I4291" s="451"/>
      <c r="J4291" s="451" t="s">
        <v>22997</v>
      </c>
      <c r="K4291" s="451"/>
    </row>
    <row r="4292" spans="1:11">
      <c r="A4292" s="450" t="s">
        <v>7409</v>
      </c>
      <c r="B4292" s="450"/>
      <c r="C4292" s="450" t="s">
        <v>7410</v>
      </c>
      <c r="D4292" s="450"/>
      <c r="E4292" s="450"/>
      <c r="F4292" s="450"/>
      <c r="G4292" s="450" t="s">
        <v>22877</v>
      </c>
      <c r="H4292" s="450" t="s">
        <v>22878</v>
      </c>
      <c r="I4292" s="450" t="s">
        <v>34983</v>
      </c>
      <c r="J4292" s="450" t="s">
        <v>22997</v>
      </c>
      <c r="K4292" s="450"/>
    </row>
    <row r="4293" spans="1:11">
      <c r="A4293" s="451" t="s">
        <v>7411</v>
      </c>
      <c r="B4293" s="451"/>
      <c r="C4293" s="451" t="s">
        <v>7412</v>
      </c>
      <c r="D4293" s="451"/>
      <c r="E4293" s="451"/>
      <c r="F4293" s="451"/>
      <c r="G4293" s="451" t="s">
        <v>22877</v>
      </c>
      <c r="H4293" s="451" t="s">
        <v>22878</v>
      </c>
      <c r="I4293" s="451" t="s">
        <v>34984</v>
      </c>
      <c r="J4293" s="451" t="s">
        <v>22939</v>
      </c>
      <c r="K4293" s="451"/>
    </row>
    <row r="4294" spans="1:11">
      <c r="A4294" s="450" t="s">
        <v>7413</v>
      </c>
      <c r="B4294" s="450"/>
      <c r="C4294" s="450" t="s">
        <v>7414</v>
      </c>
      <c r="D4294" s="450"/>
      <c r="E4294" s="450"/>
      <c r="F4294" s="450"/>
      <c r="G4294" s="450" t="s">
        <v>22877</v>
      </c>
      <c r="H4294" s="450" t="s">
        <v>22878</v>
      </c>
      <c r="I4294" s="450" t="s">
        <v>34985</v>
      </c>
      <c r="J4294" s="450" t="s">
        <v>22939</v>
      </c>
      <c r="K4294" s="450"/>
    </row>
    <row r="4295" spans="1:11">
      <c r="A4295" s="451" t="s">
        <v>34986</v>
      </c>
      <c r="B4295" s="451"/>
      <c r="C4295" s="451" t="s">
        <v>7414</v>
      </c>
      <c r="D4295" s="451"/>
      <c r="E4295" s="451"/>
      <c r="F4295" s="451"/>
      <c r="G4295" s="451" t="s">
        <v>22877</v>
      </c>
      <c r="H4295" s="451" t="s">
        <v>22878</v>
      </c>
      <c r="I4295" s="451" t="s">
        <v>34987</v>
      </c>
      <c r="J4295" s="451" t="s">
        <v>22943</v>
      </c>
      <c r="K4295" s="451"/>
    </row>
    <row r="4296" spans="1:11">
      <c r="A4296" s="450" t="s">
        <v>7415</v>
      </c>
      <c r="B4296" s="450"/>
      <c r="C4296" s="450" t="s">
        <v>7416</v>
      </c>
      <c r="D4296" s="450"/>
      <c r="E4296" s="450"/>
      <c r="F4296" s="450"/>
      <c r="G4296" s="450" t="s">
        <v>22877</v>
      </c>
      <c r="H4296" s="450" t="s">
        <v>22878</v>
      </c>
      <c r="I4296" s="450" t="s">
        <v>34988</v>
      </c>
      <c r="J4296" s="450" t="s">
        <v>22943</v>
      </c>
      <c r="K4296" s="450"/>
    </row>
    <row r="4297" spans="1:11">
      <c r="A4297" s="451" t="s">
        <v>34989</v>
      </c>
      <c r="B4297" s="451"/>
      <c r="C4297" s="451" t="s">
        <v>7418</v>
      </c>
      <c r="D4297" s="451"/>
      <c r="E4297" s="451"/>
      <c r="F4297" s="451"/>
      <c r="G4297" s="451" t="s">
        <v>22877</v>
      </c>
      <c r="H4297" s="451" t="s">
        <v>22878</v>
      </c>
      <c r="I4297" s="451" t="s">
        <v>34990</v>
      </c>
      <c r="J4297" s="451" t="s">
        <v>22943</v>
      </c>
      <c r="K4297" s="451"/>
    </row>
    <row r="4298" spans="1:11">
      <c r="A4298" s="450" t="s">
        <v>7417</v>
      </c>
      <c r="B4298" s="450"/>
      <c r="C4298" s="450" t="s">
        <v>7418</v>
      </c>
      <c r="D4298" s="450"/>
      <c r="E4298" s="450"/>
      <c r="F4298" s="450"/>
      <c r="G4298" s="450" t="s">
        <v>22882</v>
      </c>
      <c r="H4298" s="450" t="s">
        <v>22883</v>
      </c>
      <c r="I4298" s="450" t="s">
        <v>34991</v>
      </c>
      <c r="J4298" s="450" t="s">
        <v>22937</v>
      </c>
      <c r="K4298" s="450"/>
    </row>
    <row r="4299" spans="1:11">
      <c r="A4299" s="451" t="s">
        <v>7419</v>
      </c>
      <c r="B4299" s="451"/>
      <c r="C4299" s="451" t="s">
        <v>3189</v>
      </c>
      <c r="D4299" s="451"/>
      <c r="E4299" s="451"/>
      <c r="F4299" s="451"/>
      <c r="G4299" s="451" t="s">
        <v>22877</v>
      </c>
      <c r="H4299" s="451" t="s">
        <v>22878</v>
      </c>
      <c r="I4299" s="451" t="s">
        <v>34992</v>
      </c>
      <c r="J4299" s="451" t="s">
        <v>22997</v>
      </c>
      <c r="K4299" s="451"/>
    </row>
    <row r="4300" spans="1:11">
      <c r="A4300" s="450" t="s">
        <v>7420</v>
      </c>
      <c r="B4300" s="450"/>
      <c r="C4300" s="450" t="s">
        <v>4744</v>
      </c>
      <c r="D4300" s="450"/>
      <c r="E4300" s="450"/>
      <c r="F4300" s="450"/>
      <c r="G4300" s="450" t="s">
        <v>22877</v>
      </c>
      <c r="H4300" s="450" t="s">
        <v>22878</v>
      </c>
      <c r="I4300" s="450" t="s">
        <v>34993</v>
      </c>
      <c r="J4300" s="450" t="s">
        <v>22939</v>
      </c>
      <c r="K4300" s="450"/>
    </row>
    <row r="4301" spans="1:11">
      <c r="A4301" s="451" t="s">
        <v>25208</v>
      </c>
      <c r="B4301" s="451"/>
      <c r="C4301" s="451" t="s">
        <v>4744</v>
      </c>
      <c r="D4301" s="451"/>
      <c r="E4301" s="451"/>
      <c r="F4301" s="451"/>
      <c r="G4301" s="451" t="s">
        <v>22877</v>
      </c>
      <c r="H4301" s="451" t="s">
        <v>22878</v>
      </c>
      <c r="I4301" s="451" t="s">
        <v>25209</v>
      </c>
      <c r="J4301" s="451" t="s">
        <v>22997</v>
      </c>
      <c r="K4301" s="451"/>
    </row>
    <row r="4302" spans="1:11">
      <c r="A4302" s="450" t="s">
        <v>30007</v>
      </c>
      <c r="B4302" s="450" t="s">
        <v>30008</v>
      </c>
      <c r="C4302" s="450" t="s">
        <v>16604</v>
      </c>
      <c r="D4302" s="450" t="s">
        <v>30009</v>
      </c>
      <c r="E4302" s="450"/>
      <c r="F4302" s="450"/>
      <c r="G4302" s="450"/>
      <c r="H4302" s="450"/>
      <c r="I4302" s="450"/>
      <c r="J4302" s="450"/>
      <c r="K4302" s="450"/>
    </row>
    <row r="4303" spans="1:11">
      <c r="A4303" s="451" t="s">
        <v>7421</v>
      </c>
      <c r="B4303" s="451"/>
      <c r="C4303" s="451" t="s">
        <v>3502</v>
      </c>
      <c r="D4303" s="451"/>
      <c r="E4303" s="451"/>
      <c r="F4303" s="451"/>
      <c r="G4303" s="451" t="s">
        <v>22882</v>
      </c>
      <c r="H4303" s="451" t="s">
        <v>22883</v>
      </c>
      <c r="I4303" s="451" t="s">
        <v>34994</v>
      </c>
      <c r="J4303" s="451" t="s">
        <v>22943</v>
      </c>
      <c r="K4303" s="451"/>
    </row>
    <row r="4304" spans="1:11">
      <c r="A4304" s="450" t="s">
        <v>34995</v>
      </c>
      <c r="B4304" s="450"/>
      <c r="C4304" s="450" t="s">
        <v>2536</v>
      </c>
      <c r="D4304" s="450"/>
      <c r="E4304" s="450"/>
      <c r="F4304" s="450"/>
      <c r="G4304" s="450" t="s">
        <v>22877</v>
      </c>
      <c r="H4304" s="450" t="s">
        <v>22878</v>
      </c>
      <c r="I4304" s="450" t="s">
        <v>34996</v>
      </c>
      <c r="J4304" s="450" t="s">
        <v>22943</v>
      </c>
      <c r="K4304" s="450"/>
    </row>
    <row r="4305" spans="1:11">
      <c r="A4305" s="451" t="s">
        <v>7422</v>
      </c>
      <c r="B4305" s="451"/>
      <c r="C4305" s="451" t="s">
        <v>2536</v>
      </c>
      <c r="D4305" s="451"/>
      <c r="E4305" s="451"/>
      <c r="F4305" s="451"/>
      <c r="G4305" s="451" t="s">
        <v>22877</v>
      </c>
      <c r="H4305" s="451" t="s">
        <v>22878</v>
      </c>
      <c r="I4305" s="451" t="s">
        <v>34997</v>
      </c>
      <c r="J4305" s="451" t="s">
        <v>22942</v>
      </c>
      <c r="K4305" s="451"/>
    </row>
    <row r="4306" spans="1:11">
      <c r="A4306" s="450" t="s">
        <v>7423</v>
      </c>
      <c r="B4306" s="450"/>
      <c r="C4306" s="450" t="s">
        <v>3398</v>
      </c>
      <c r="D4306" s="450"/>
      <c r="E4306" s="450"/>
      <c r="F4306" s="450"/>
      <c r="G4306" s="450" t="s">
        <v>22877</v>
      </c>
      <c r="H4306" s="450" t="s">
        <v>22878</v>
      </c>
      <c r="I4306" s="450" t="s">
        <v>34998</v>
      </c>
      <c r="J4306" s="450" t="s">
        <v>22997</v>
      </c>
      <c r="K4306" s="450"/>
    </row>
    <row r="4307" spans="1:11">
      <c r="A4307" s="451" t="s">
        <v>34999</v>
      </c>
      <c r="B4307" s="451"/>
      <c r="C4307" s="451" t="s">
        <v>7425</v>
      </c>
      <c r="D4307" s="451"/>
      <c r="E4307" s="451"/>
      <c r="F4307" s="451"/>
      <c r="G4307" s="451" t="s">
        <v>22882</v>
      </c>
      <c r="H4307" s="451" t="s">
        <v>22883</v>
      </c>
      <c r="I4307" s="451"/>
      <c r="J4307" s="451" t="s">
        <v>22997</v>
      </c>
      <c r="K4307" s="451"/>
    </row>
    <row r="4308" spans="1:11">
      <c r="A4308" s="450" t="s">
        <v>7424</v>
      </c>
      <c r="B4308" s="450"/>
      <c r="C4308" s="450" t="s">
        <v>7425</v>
      </c>
      <c r="D4308" s="450"/>
      <c r="E4308" s="450"/>
      <c r="F4308" s="450"/>
      <c r="G4308" s="450" t="s">
        <v>22882</v>
      </c>
      <c r="H4308" s="450" t="s">
        <v>22883</v>
      </c>
      <c r="I4308" s="450"/>
      <c r="J4308" s="450" t="s">
        <v>22939</v>
      </c>
      <c r="K4308" s="450"/>
    </row>
    <row r="4309" spans="1:11">
      <c r="A4309" s="451" t="s">
        <v>7426</v>
      </c>
      <c r="B4309" s="451"/>
      <c r="C4309" s="451" t="s">
        <v>7427</v>
      </c>
      <c r="D4309" s="451"/>
      <c r="E4309" s="451"/>
      <c r="F4309" s="451"/>
      <c r="G4309" s="451" t="s">
        <v>22877</v>
      </c>
      <c r="H4309" s="451" t="s">
        <v>22878</v>
      </c>
      <c r="I4309" s="451" t="s">
        <v>25210</v>
      </c>
      <c r="J4309" s="451" t="s">
        <v>22939</v>
      </c>
      <c r="K4309" s="451"/>
    </row>
    <row r="4310" spans="1:11">
      <c r="A4310" s="450" t="s">
        <v>7428</v>
      </c>
      <c r="B4310" s="450" t="s">
        <v>7429</v>
      </c>
      <c r="C4310" s="450" t="s">
        <v>7430</v>
      </c>
      <c r="D4310" s="450"/>
      <c r="E4310" s="450"/>
      <c r="F4310" s="450"/>
      <c r="G4310" s="450" t="s">
        <v>22882</v>
      </c>
      <c r="H4310" s="450" t="s">
        <v>22883</v>
      </c>
      <c r="I4310" s="450" t="s">
        <v>35000</v>
      </c>
      <c r="J4310" s="450" t="s">
        <v>35001</v>
      </c>
      <c r="K4310" s="450"/>
    </row>
    <row r="4311" spans="1:11">
      <c r="A4311" s="451" t="s">
        <v>7431</v>
      </c>
      <c r="B4311" s="451" t="s">
        <v>7429</v>
      </c>
      <c r="C4311" s="451" t="s">
        <v>7432</v>
      </c>
      <c r="D4311" s="451"/>
      <c r="E4311" s="451"/>
      <c r="F4311" s="451" t="s">
        <v>7433</v>
      </c>
      <c r="G4311" s="451" t="s">
        <v>22882</v>
      </c>
      <c r="H4311" s="451" t="s">
        <v>22883</v>
      </c>
      <c r="I4311" s="451"/>
      <c r="J4311" s="451" t="s">
        <v>25211</v>
      </c>
      <c r="K4311" s="451"/>
    </row>
    <row r="4312" spans="1:11">
      <c r="A4312" s="450" t="s">
        <v>7434</v>
      </c>
      <c r="B4312" s="450" t="s">
        <v>7435</v>
      </c>
      <c r="C4312" s="450" t="s">
        <v>7436</v>
      </c>
      <c r="D4312" s="450" t="s">
        <v>7437</v>
      </c>
      <c r="E4312" s="450"/>
      <c r="F4312" s="450"/>
      <c r="G4312" s="450" t="s">
        <v>22877</v>
      </c>
      <c r="H4312" s="450" t="s">
        <v>22878</v>
      </c>
      <c r="I4312" s="450" t="s">
        <v>7437</v>
      </c>
      <c r="J4312" s="450" t="s">
        <v>35002</v>
      </c>
      <c r="K4312" s="450"/>
    </row>
    <row r="4313" spans="1:11">
      <c r="A4313" s="451" t="s">
        <v>7434</v>
      </c>
      <c r="B4313" s="451" t="s">
        <v>7435</v>
      </c>
      <c r="C4313" s="451" t="s">
        <v>7436</v>
      </c>
      <c r="D4313" s="451" t="s">
        <v>7437</v>
      </c>
      <c r="E4313" s="451" t="s">
        <v>7438</v>
      </c>
      <c r="F4313" s="451"/>
      <c r="G4313" s="451" t="s">
        <v>22877</v>
      </c>
      <c r="H4313" s="451" t="s">
        <v>22878</v>
      </c>
      <c r="I4313" s="451" t="s">
        <v>7437</v>
      </c>
      <c r="J4313" s="451" t="s">
        <v>31168</v>
      </c>
      <c r="K4313" s="451"/>
    </row>
    <row r="4314" spans="1:11">
      <c r="A4314" s="450" t="s">
        <v>7439</v>
      </c>
      <c r="B4314" s="450"/>
      <c r="C4314" s="450" t="s">
        <v>7440</v>
      </c>
      <c r="D4314" s="450"/>
      <c r="E4314" s="450"/>
      <c r="F4314" s="450"/>
      <c r="G4314" s="450" t="s">
        <v>22882</v>
      </c>
      <c r="H4314" s="450" t="s">
        <v>22883</v>
      </c>
      <c r="I4314" s="450"/>
      <c r="J4314" s="450" t="s">
        <v>22939</v>
      </c>
      <c r="K4314" s="450"/>
    </row>
    <row r="4315" spans="1:11">
      <c r="A4315" s="451" t="s">
        <v>7441</v>
      </c>
      <c r="B4315" s="451" t="s">
        <v>7442</v>
      </c>
      <c r="C4315" s="451" t="s">
        <v>7443</v>
      </c>
      <c r="D4315" s="451"/>
      <c r="E4315" s="451"/>
      <c r="F4315" s="451"/>
      <c r="G4315" s="451" t="s">
        <v>22877</v>
      </c>
      <c r="H4315" s="451" t="s">
        <v>22878</v>
      </c>
      <c r="I4315" s="451" t="s">
        <v>31169</v>
      </c>
      <c r="J4315" s="451" t="s">
        <v>31170</v>
      </c>
      <c r="K4315" s="451"/>
    </row>
    <row r="4316" spans="1:11">
      <c r="A4316" s="450" t="s">
        <v>7444</v>
      </c>
      <c r="B4316" s="450" t="s">
        <v>7445</v>
      </c>
      <c r="C4316" s="450" t="s">
        <v>7446</v>
      </c>
      <c r="D4316" s="450" t="s">
        <v>7447</v>
      </c>
      <c r="E4316" s="450"/>
      <c r="F4316" s="450" t="s">
        <v>7448</v>
      </c>
      <c r="G4316" s="450" t="s">
        <v>22877</v>
      </c>
      <c r="H4316" s="450" t="s">
        <v>22878</v>
      </c>
      <c r="I4316" s="450" t="s">
        <v>7447</v>
      </c>
      <c r="J4316" s="450" t="s">
        <v>35003</v>
      </c>
      <c r="K4316" s="450"/>
    </row>
    <row r="4317" spans="1:11">
      <c r="A4317" s="451" t="s">
        <v>25212</v>
      </c>
      <c r="B4317" s="451" t="s">
        <v>7445</v>
      </c>
      <c r="C4317" s="451" t="s">
        <v>7446</v>
      </c>
      <c r="D4317" s="451" t="s">
        <v>7447</v>
      </c>
      <c r="E4317" s="451"/>
      <c r="F4317" s="451"/>
      <c r="G4317" s="451" t="s">
        <v>22877</v>
      </c>
      <c r="H4317" s="451" t="s">
        <v>22878</v>
      </c>
      <c r="I4317" s="451" t="s">
        <v>7447</v>
      </c>
      <c r="J4317" s="451" t="s">
        <v>25213</v>
      </c>
      <c r="K4317" s="451"/>
    </row>
    <row r="4318" spans="1:11">
      <c r="A4318" s="450" t="s">
        <v>7449</v>
      </c>
      <c r="B4318" s="450"/>
      <c r="C4318" s="450" t="s">
        <v>5391</v>
      </c>
      <c r="D4318" s="450"/>
      <c r="E4318" s="450"/>
      <c r="F4318" s="450"/>
      <c r="G4318" s="450" t="s">
        <v>22882</v>
      </c>
      <c r="H4318" s="450" t="s">
        <v>22883</v>
      </c>
      <c r="I4318" s="450"/>
      <c r="J4318" s="450" t="s">
        <v>22939</v>
      </c>
      <c r="K4318" s="450"/>
    </row>
    <row r="4319" spans="1:11">
      <c r="A4319" s="451" t="s">
        <v>7450</v>
      </c>
      <c r="B4319" s="451" t="s">
        <v>7451</v>
      </c>
      <c r="C4319" s="451" t="s">
        <v>7452</v>
      </c>
      <c r="D4319" s="451" t="s">
        <v>7453</v>
      </c>
      <c r="E4319" s="451"/>
      <c r="F4319" s="451"/>
      <c r="G4319" s="451" t="s">
        <v>22882</v>
      </c>
      <c r="H4319" s="451" t="s">
        <v>22883</v>
      </c>
      <c r="I4319" s="451" t="s">
        <v>31171</v>
      </c>
      <c r="J4319" s="451" t="s">
        <v>31172</v>
      </c>
      <c r="K4319" s="451"/>
    </row>
    <row r="4320" spans="1:11">
      <c r="A4320" s="450" t="s">
        <v>7454</v>
      </c>
      <c r="B4320" s="450"/>
      <c r="C4320" s="450" t="s">
        <v>6933</v>
      </c>
      <c r="D4320" s="450"/>
      <c r="E4320" s="450"/>
      <c r="F4320" s="450"/>
      <c r="G4320" s="450" t="s">
        <v>22882</v>
      </c>
      <c r="H4320" s="450" t="s">
        <v>22883</v>
      </c>
      <c r="I4320" s="450"/>
      <c r="J4320" s="450" t="s">
        <v>22939</v>
      </c>
      <c r="K4320" s="450"/>
    </row>
    <row r="4321" spans="1:11">
      <c r="A4321" s="451" t="s">
        <v>35004</v>
      </c>
      <c r="B4321" s="451"/>
      <c r="C4321" s="451" t="s">
        <v>6933</v>
      </c>
      <c r="D4321" s="451"/>
      <c r="E4321" s="451"/>
      <c r="F4321" s="451"/>
      <c r="G4321" s="451" t="s">
        <v>22882</v>
      </c>
      <c r="H4321" s="451" t="s">
        <v>22883</v>
      </c>
      <c r="I4321" s="451"/>
      <c r="J4321" s="451" t="s">
        <v>22997</v>
      </c>
      <c r="K4321" s="451"/>
    </row>
    <row r="4322" spans="1:11">
      <c r="A4322" s="450" t="s">
        <v>7455</v>
      </c>
      <c r="B4322" s="450"/>
      <c r="C4322" s="450" t="s">
        <v>7456</v>
      </c>
      <c r="D4322" s="450"/>
      <c r="E4322" s="450"/>
      <c r="F4322" s="450"/>
      <c r="G4322" s="450" t="s">
        <v>22882</v>
      </c>
      <c r="H4322" s="450" t="s">
        <v>22883</v>
      </c>
      <c r="I4322" s="450"/>
      <c r="J4322" s="450" t="s">
        <v>23370</v>
      </c>
      <c r="K4322" s="450"/>
    </row>
    <row r="4323" spans="1:11">
      <c r="A4323" s="451" t="s">
        <v>35005</v>
      </c>
      <c r="B4323" s="451"/>
      <c r="C4323" s="451" t="s">
        <v>7066</v>
      </c>
      <c r="D4323" s="451"/>
      <c r="E4323" s="451"/>
      <c r="F4323" s="451"/>
      <c r="G4323" s="451" t="s">
        <v>22877</v>
      </c>
      <c r="H4323" s="451" t="s">
        <v>22878</v>
      </c>
      <c r="I4323" s="451" t="s">
        <v>34875</v>
      </c>
      <c r="J4323" s="451" t="s">
        <v>22997</v>
      </c>
      <c r="K4323" s="451"/>
    </row>
    <row r="4324" spans="1:11">
      <c r="A4324" s="450" t="s">
        <v>7457</v>
      </c>
      <c r="B4324" s="450"/>
      <c r="C4324" s="450" t="s">
        <v>3127</v>
      </c>
      <c r="D4324" s="450"/>
      <c r="E4324" s="450"/>
      <c r="F4324" s="450"/>
      <c r="G4324" s="450" t="s">
        <v>22877</v>
      </c>
      <c r="H4324" s="450" t="s">
        <v>22878</v>
      </c>
      <c r="I4324" s="450" t="s">
        <v>35006</v>
      </c>
      <c r="J4324" s="450" t="s">
        <v>22939</v>
      </c>
      <c r="K4324" s="450"/>
    </row>
    <row r="4325" spans="1:11">
      <c r="A4325" s="451" t="s">
        <v>7458</v>
      </c>
      <c r="B4325" s="451"/>
      <c r="C4325" s="451" t="s">
        <v>7459</v>
      </c>
      <c r="D4325" s="451"/>
      <c r="E4325" s="451"/>
      <c r="F4325" s="451"/>
      <c r="G4325" s="451" t="s">
        <v>22877</v>
      </c>
      <c r="H4325" s="451" t="s">
        <v>22878</v>
      </c>
      <c r="I4325" s="451" t="s">
        <v>25214</v>
      </c>
      <c r="J4325" s="451" t="s">
        <v>22943</v>
      </c>
      <c r="K4325" s="451"/>
    </row>
    <row r="4326" spans="1:11">
      <c r="A4326" s="450" t="s">
        <v>35007</v>
      </c>
      <c r="B4326" s="450" t="s">
        <v>7460</v>
      </c>
      <c r="C4326" s="450" t="s">
        <v>7461</v>
      </c>
      <c r="D4326" s="450" t="s">
        <v>7462</v>
      </c>
      <c r="E4326" s="450"/>
      <c r="F4326" s="450"/>
      <c r="G4326" s="450" t="s">
        <v>22882</v>
      </c>
      <c r="H4326" s="450" t="s">
        <v>22883</v>
      </c>
      <c r="I4326" s="450" t="s">
        <v>35008</v>
      </c>
      <c r="J4326" s="450" t="s">
        <v>35009</v>
      </c>
      <c r="K4326" s="450"/>
    </row>
    <row r="4327" spans="1:11">
      <c r="A4327" s="451" t="s">
        <v>21658</v>
      </c>
      <c r="B4327" s="451" t="s">
        <v>7460</v>
      </c>
      <c r="C4327" s="451" t="s">
        <v>7461</v>
      </c>
      <c r="D4327" s="451" t="s">
        <v>7462</v>
      </c>
      <c r="E4327" s="451"/>
      <c r="F4327" s="451"/>
      <c r="G4327" s="451" t="s">
        <v>22882</v>
      </c>
      <c r="H4327" s="451" t="s">
        <v>22883</v>
      </c>
      <c r="I4327" s="451" t="s">
        <v>7462</v>
      </c>
      <c r="J4327" s="451" t="s">
        <v>31173</v>
      </c>
      <c r="K4327" s="451"/>
    </row>
    <row r="4328" spans="1:11">
      <c r="A4328" s="450" t="s">
        <v>25215</v>
      </c>
      <c r="B4328" s="450" t="s">
        <v>7451</v>
      </c>
      <c r="C4328" s="450" t="s">
        <v>7452</v>
      </c>
      <c r="D4328" s="450" t="s">
        <v>7453</v>
      </c>
      <c r="E4328" s="450"/>
      <c r="F4328" s="450"/>
      <c r="G4328" s="450" t="s">
        <v>22882</v>
      </c>
      <c r="H4328" s="450" t="s">
        <v>22883</v>
      </c>
      <c r="I4328" s="450" t="s">
        <v>25216</v>
      </c>
      <c r="J4328" s="450" t="s">
        <v>25217</v>
      </c>
      <c r="K4328" s="450"/>
    </row>
    <row r="4329" spans="1:11">
      <c r="A4329" s="451" t="s">
        <v>35010</v>
      </c>
      <c r="B4329" s="451"/>
      <c r="C4329" s="451" t="s">
        <v>7070</v>
      </c>
      <c r="D4329" s="451"/>
      <c r="E4329" s="451"/>
      <c r="F4329" s="451"/>
      <c r="G4329" s="451" t="s">
        <v>22877</v>
      </c>
      <c r="H4329" s="451" t="s">
        <v>22878</v>
      </c>
      <c r="I4329" s="451" t="s">
        <v>35011</v>
      </c>
      <c r="J4329" s="451" t="s">
        <v>22939</v>
      </c>
      <c r="K4329" s="451"/>
    </row>
    <row r="4330" spans="1:11">
      <c r="A4330" s="450" t="s">
        <v>7463</v>
      </c>
      <c r="B4330" s="450"/>
      <c r="C4330" s="450" t="s">
        <v>4698</v>
      </c>
      <c r="D4330" s="450"/>
      <c r="E4330" s="450"/>
      <c r="F4330" s="450"/>
      <c r="G4330" s="450" t="s">
        <v>22877</v>
      </c>
      <c r="H4330" s="450" t="s">
        <v>22878</v>
      </c>
      <c r="I4330" s="450" t="s">
        <v>35012</v>
      </c>
      <c r="J4330" s="450" t="s">
        <v>22902</v>
      </c>
      <c r="K4330" s="450"/>
    </row>
    <row r="4331" spans="1:11">
      <c r="A4331" s="451" t="s">
        <v>7464</v>
      </c>
      <c r="B4331" s="451"/>
      <c r="C4331" s="451" t="s">
        <v>3847</v>
      </c>
      <c r="D4331" s="451"/>
      <c r="E4331" s="451"/>
      <c r="F4331" s="451"/>
      <c r="G4331" s="451" t="s">
        <v>22877</v>
      </c>
      <c r="H4331" s="451" t="s">
        <v>22878</v>
      </c>
      <c r="I4331" s="451" t="s">
        <v>35013</v>
      </c>
      <c r="J4331" s="451" t="s">
        <v>22943</v>
      </c>
      <c r="K4331" s="451"/>
    </row>
    <row r="4332" spans="1:11">
      <c r="A4332" s="450" t="s">
        <v>35014</v>
      </c>
      <c r="B4332" s="450"/>
      <c r="C4332" s="450" t="s">
        <v>7082</v>
      </c>
      <c r="D4332" s="450"/>
      <c r="E4332" s="450"/>
      <c r="F4332" s="450"/>
      <c r="G4332" s="450" t="s">
        <v>22877</v>
      </c>
      <c r="H4332" s="450" t="s">
        <v>22878</v>
      </c>
      <c r="I4332" s="450" t="s">
        <v>34894</v>
      </c>
      <c r="J4332" s="450" t="s">
        <v>22943</v>
      </c>
      <c r="K4332" s="450"/>
    </row>
    <row r="4333" spans="1:11">
      <c r="A4333" s="451" t="s">
        <v>7465</v>
      </c>
      <c r="B4333" s="451"/>
      <c r="C4333" s="451" t="s">
        <v>7466</v>
      </c>
      <c r="D4333" s="451"/>
      <c r="E4333" s="451"/>
      <c r="F4333" s="451"/>
      <c r="G4333" s="451" t="s">
        <v>22882</v>
      </c>
      <c r="H4333" s="451" t="s">
        <v>22883</v>
      </c>
      <c r="I4333" s="451"/>
      <c r="J4333" s="451" t="s">
        <v>23370</v>
      </c>
      <c r="K4333" s="451"/>
    </row>
    <row r="4334" spans="1:11">
      <c r="A4334" s="450" t="s">
        <v>7467</v>
      </c>
      <c r="B4334" s="450"/>
      <c r="C4334" s="450" t="s">
        <v>3524</v>
      </c>
      <c r="D4334" s="450"/>
      <c r="E4334" s="450"/>
      <c r="F4334" s="450"/>
      <c r="G4334" s="450" t="s">
        <v>22882</v>
      </c>
      <c r="H4334" s="450" t="s">
        <v>22883</v>
      </c>
      <c r="I4334" s="450"/>
      <c r="J4334" s="450" t="s">
        <v>22943</v>
      </c>
      <c r="K4334" s="450"/>
    </row>
    <row r="4335" spans="1:11">
      <c r="A4335" s="451" t="s">
        <v>20309</v>
      </c>
      <c r="B4335" s="451" t="s">
        <v>20310</v>
      </c>
      <c r="C4335" s="451" t="s">
        <v>20311</v>
      </c>
      <c r="D4335" s="451" t="s">
        <v>20312</v>
      </c>
      <c r="E4335" s="451"/>
      <c r="F4335" s="451"/>
      <c r="G4335" s="451" t="s">
        <v>22877</v>
      </c>
      <c r="H4335" s="451" t="s">
        <v>22878</v>
      </c>
      <c r="I4335" s="451" t="s">
        <v>20312</v>
      </c>
      <c r="J4335" s="451" t="s">
        <v>25218</v>
      </c>
      <c r="K4335" s="451"/>
    </row>
    <row r="4336" spans="1:11">
      <c r="A4336" s="450" t="s">
        <v>20309</v>
      </c>
      <c r="B4336" s="450" t="s">
        <v>20310</v>
      </c>
      <c r="C4336" s="450" t="s">
        <v>20311</v>
      </c>
      <c r="D4336" s="450" t="s">
        <v>20312</v>
      </c>
      <c r="E4336" s="450"/>
      <c r="F4336" s="450" t="s">
        <v>20313</v>
      </c>
      <c r="G4336" s="450" t="s">
        <v>22877</v>
      </c>
      <c r="H4336" s="450" t="s">
        <v>22878</v>
      </c>
      <c r="I4336" s="450" t="s">
        <v>31174</v>
      </c>
      <c r="J4336" s="450" t="s">
        <v>35015</v>
      </c>
      <c r="K4336" s="450"/>
    </row>
    <row r="4337" spans="1:11">
      <c r="A4337" s="451" t="s">
        <v>7468</v>
      </c>
      <c r="B4337" s="451"/>
      <c r="C4337" s="451" t="s">
        <v>4858</v>
      </c>
      <c r="D4337" s="451"/>
      <c r="E4337" s="451"/>
      <c r="F4337" s="451"/>
      <c r="G4337" s="451" t="s">
        <v>22877</v>
      </c>
      <c r="H4337" s="451" t="s">
        <v>22878</v>
      </c>
      <c r="I4337" s="451" t="s">
        <v>31174</v>
      </c>
      <c r="J4337" s="451" t="s">
        <v>22942</v>
      </c>
      <c r="K4337" s="451"/>
    </row>
    <row r="4338" spans="1:11">
      <c r="A4338" s="450" t="s">
        <v>35016</v>
      </c>
      <c r="B4338" s="450" t="s">
        <v>7470</v>
      </c>
      <c r="C4338" s="450" t="s">
        <v>7471</v>
      </c>
      <c r="D4338" s="450" t="s">
        <v>7472</v>
      </c>
      <c r="E4338" s="450"/>
      <c r="F4338" s="450"/>
      <c r="G4338" s="450" t="s">
        <v>22877</v>
      </c>
      <c r="H4338" s="450" t="s">
        <v>22878</v>
      </c>
      <c r="I4338" s="450" t="s">
        <v>7472</v>
      </c>
      <c r="J4338" s="450" t="s">
        <v>35017</v>
      </c>
      <c r="K4338" s="450"/>
    </row>
    <row r="4339" spans="1:11">
      <c r="A4339" s="451" t="s">
        <v>7469</v>
      </c>
      <c r="B4339" s="451" t="s">
        <v>7470</v>
      </c>
      <c r="C4339" s="451" t="s">
        <v>7471</v>
      </c>
      <c r="D4339" s="451" t="s">
        <v>7472</v>
      </c>
      <c r="E4339" s="451"/>
      <c r="F4339" s="451"/>
      <c r="G4339" s="451" t="s">
        <v>22877</v>
      </c>
      <c r="H4339" s="451" t="s">
        <v>22878</v>
      </c>
      <c r="I4339" s="451" t="s">
        <v>7472</v>
      </c>
      <c r="J4339" s="451" t="s">
        <v>31175</v>
      </c>
      <c r="K4339" s="451"/>
    </row>
    <row r="4340" spans="1:11">
      <c r="A4340" s="450" t="s">
        <v>21334</v>
      </c>
      <c r="B4340" s="450" t="s">
        <v>21336</v>
      </c>
      <c r="C4340" s="450" t="s">
        <v>21335</v>
      </c>
      <c r="D4340" s="450" t="s">
        <v>21337</v>
      </c>
      <c r="E4340" s="450"/>
      <c r="F4340" s="450"/>
      <c r="G4340" s="450" t="s">
        <v>22877</v>
      </c>
      <c r="H4340" s="450" t="s">
        <v>22878</v>
      </c>
      <c r="I4340" s="450" t="s">
        <v>21337</v>
      </c>
      <c r="J4340" s="450" t="s">
        <v>35018</v>
      </c>
      <c r="K4340" s="450"/>
    </row>
    <row r="4341" spans="1:11">
      <c r="A4341" s="451" t="s">
        <v>25219</v>
      </c>
      <c r="B4341" s="451" t="s">
        <v>25220</v>
      </c>
      <c r="C4341" s="451" t="s">
        <v>21335</v>
      </c>
      <c r="D4341" s="451"/>
      <c r="E4341" s="451"/>
      <c r="F4341" s="451"/>
      <c r="G4341" s="451" t="s">
        <v>22877</v>
      </c>
      <c r="H4341" s="451" t="s">
        <v>22878</v>
      </c>
      <c r="I4341" s="451" t="s">
        <v>21337</v>
      </c>
      <c r="J4341" s="451" t="s">
        <v>25221</v>
      </c>
      <c r="K4341" s="451"/>
    </row>
    <row r="4342" spans="1:11">
      <c r="A4342" s="450" t="s">
        <v>7473</v>
      </c>
      <c r="B4342" s="450" t="s">
        <v>7474</v>
      </c>
      <c r="C4342" s="450" t="s">
        <v>7475</v>
      </c>
      <c r="D4342" s="450"/>
      <c r="E4342" s="450"/>
      <c r="F4342" s="450"/>
      <c r="G4342" s="450" t="s">
        <v>22877</v>
      </c>
      <c r="H4342" s="450" t="s">
        <v>22878</v>
      </c>
      <c r="I4342" s="450" t="s">
        <v>25222</v>
      </c>
      <c r="J4342" s="450" t="s">
        <v>25223</v>
      </c>
      <c r="K4342" s="450"/>
    </row>
    <row r="4343" spans="1:11">
      <c r="A4343" s="451" t="s">
        <v>25224</v>
      </c>
      <c r="B4343" s="451" t="s">
        <v>25225</v>
      </c>
      <c r="C4343" s="451" t="s">
        <v>25226</v>
      </c>
      <c r="D4343" s="451"/>
      <c r="E4343" s="451"/>
      <c r="F4343" s="451"/>
      <c r="G4343" s="451" t="s">
        <v>22877</v>
      </c>
      <c r="H4343" s="451" t="s">
        <v>22878</v>
      </c>
      <c r="I4343" s="451" t="s">
        <v>25227</v>
      </c>
      <c r="J4343" s="451" t="s">
        <v>25228</v>
      </c>
      <c r="K4343" s="451"/>
    </row>
    <row r="4344" spans="1:11">
      <c r="A4344" s="450" t="s">
        <v>7476</v>
      </c>
      <c r="B4344" s="450"/>
      <c r="C4344" s="450" t="s">
        <v>7477</v>
      </c>
      <c r="D4344" s="450"/>
      <c r="E4344" s="450"/>
      <c r="F4344" s="450"/>
      <c r="G4344" s="450" t="s">
        <v>22877</v>
      </c>
      <c r="H4344" s="450" t="s">
        <v>22878</v>
      </c>
      <c r="I4344" s="450" t="s">
        <v>35019</v>
      </c>
      <c r="J4344" s="450" t="s">
        <v>22943</v>
      </c>
      <c r="K4344" s="450"/>
    </row>
    <row r="4345" spans="1:11">
      <c r="A4345" s="451" t="s">
        <v>7478</v>
      </c>
      <c r="B4345" s="451"/>
      <c r="C4345" s="451" t="s">
        <v>7479</v>
      </c>
      <c r="D4345" s="451"/>
      <c r="E4345" s="451"/>
      <c r="F4345" s="451"/>
      <c r="G4345" s="451" t="s">
        <v>22882</v>
      </c>
      <c r="H4345" s="451" t="s">
        <v>22883</v>
      </c>
      <c r="I4345" s="451"/>
      <c r="J4345" s="451" t="s">
        <v>22939</v>
      </c>
      <c r="K4345" s="451"/>
    </row>
    <row r="4346" spans="1:11">
      <c r="A4346" s="450" t="s">
        <v>7480</v>
      </c>
      <c r="B4346" s="450" t="s">
        <v>7481</v>
      </c>
      <c r="C4346" s="450" t="s">
        <v>7482</v>
      </c>
      <c r="D4346" s="450" t="s">
        <v>7483</v>
      </c>
      <c r="E4346" s="450"/>
      <c r="F4346" s="450"/>
      <c r="G4346" s="450" t="s">
        <v>22877</v>
      </c>
      <c r="H4346" s="450" t="s">
        <v>22878</v>
      </c>
      <c r="I4346" s="450" t="s">
        <v>35020</v>
      </c>
      <c r="J4346" s="450" t="s">
        <v>35021</v>
      </c>
      <c r="K4346" s="450"/>
    </row>
    <row r="4347" spans="1:11">
      <c r="A4347" s="451" t="s">
        <v>7480</v>
      </c>
      <c r="B4347" s="451" t="s">
        <v>7481</v>
      </c>
      <c r="C4347" s="451" t="s">
        <v>7482</v>
      </c>
      <c r="D4347" s="451" t="s">
        <v>7483</v>
      </c>
      <c r="E4347" s="451" t="s">
        <v>7484</v>
      </c>
      <c r="F4347" s="451"/>
      <c r="G4347" s="451" t="s">
        <v>22877</v>
      </c>
      <c r="H4347" s="451" t="s">
        <v>22878</v>
      </c>
      <c r="I4347" s="451" t="s">
        <v>7483</v>
      </c>
      <c r="J4347" s="451" t="s">
        <v>31176</v>
      </c>
      <c r="K4347" s="451"/>
    </row>
    <row r="4348" spans="1:11">
      <c r="A4348" s="450" t="s">
        <v>35022</v>
      </c>
      <c r="B4348" s="450"/>
      <c r="C4348" s="450" t="s">
        <v>7486</v>
      </c>
      <c r="D4348" s="450"/>
      <c r="E4348" s="450"/>
      <c r="F4348" s="450"/>
      <c r="G4348" s="450" t="s">
        <v>22877</v>
      </c>
      <c r="H4348" s="450" t="s">
        <v>22878</v>
      </c>
      <c r="I4348" s="450" t="s">
        <v>35023</v>
      </c>
      <c r="J4348" s="450" t="s">
        <v>22939</v>
      </c>
      <c r="K4348" s="450"/>
    </row>
    <row r="4349" spans="1:11">
      <c r="A4349" s="451" t="s">
        <v>7485</v>
      </c>
      <c r="B4349" s="451"/>
      <c r="C4349" s="451" t="s">
        <v>7486</v>
      </c>
      <c r="D4349" s="451"/>
      <c r="E4349" s="451"/>
      <c r="F4349" s="451"/>
      <c r="G4349" s="451" t="s">
        <v>22877</v>
      </c>
      <c r="H4349" s="451" t="s">
        <v>22878</v>
      </c>
      <c r="I4349" s="451" t="s">
        <v>35023</v>
      </c>
      <c r="J4349" s="451" t="s">
        <v>35024</v>
      </c>
      <c r="K4349" s="451"/>
    </row>
    <row r="4350" spans="1:11">
      <c r="A4350" s="450" t="s">
        <v>7487</v>
      </c>
      <c r="B4350" s="450" t="s">
        <v>7488</v>
      </c>
      <c r="C4350" s="450" t="s">
        <v>7489</v>
      </c>
      <c r="D4350" s="450"/>
      <c r="E4350" s="450"/>
      <c r="F4350" s="450" t="s">
        <v>7490</v>
      </c>
      <c r="G4350" s="450" t="s">
        <v>22882</v>
      </c>
      <c r="H4350" s="450" t="s">
        <v>22883</v>
      </c>
      <c r="I4350" s="450"/>
      <c r="J4350" s="450" t="s">
        <v>35025</v>
      </c>
      <c r="K4350" s="450"/>
    </row>
    <row r="4351" spans="1:11">
      <c r="A4351" s="451" t="s">
        <v>35026</v>
      </c>
      <c r="B4351" s="451"/>
      <c r="C4351" s="451" t="s">
        <v>7492</v>
      </c>
      <c r="D4351" s="451"/>
      <c r="E4351" s="451"/>
      <c r="F4351" s="451"/>
      <c r="G4351" s="451" t="s">
        <v>22882</v>
      </c>
      <c r="H4351" s="451" t="s">
        <v>22883</v>
      </c>
      <c r="I4351" s="451"/>
      <c r="J4351" s="451" t="s">
        <v>22939</v>
      </c>
      <c r="K4351" s="451"/>
    </row>
    <row r="4352" spans="1:11">
      <c r="A4352" s="450" t="s">
        <v>7491</v>
      </c>
      <c r="B4352" s="450"/>
      <c r="C4352" s="450" t="s">
        <v>7492</v>
      </c>
      <c r="D4352" s="450"/>
      <c r="E4352" s="450"/>
      <c r="F4352" s="450"/>
      <c r="G4352" s="450" t="s">
        <v>22882</v>
      </c>
      <c r="H4352" s="450" t="s">
        <v>22883</v>
      </c>
      <c r="I4352" s="450"/>
      <c r="J4352" s="450" t="s">
        <v>22939</v>
      </c>
      <c r="K4352" s="450"/>
    </row>
    <row r="4353" spans="1:11">
      <c r="A4353" s="451" t="s">
        <v>35027</v>
      </c>
      <c r="B4353" s="451" t="s">
        <v>7494</v>
      </c>
      <c r="C4353" s="451" t="s">
        <v>2550</v>
      </c>
      <c r="D4353" s="451" t="s">
        <v>7495</v>
      </c>
      <c r="E4353" s="451"/>
      <c r="F4353" s="451"/>
      <c r="G4353" s="451" t="s">
        <v>22877</v>
      </c>
      <c r="H4353" s="451" t="s">
        <v>22878</v>
      </c>
      <c r="I4353" s="451" t="s">
        <v>35028</v>
      </c>
      <c r="J4353" s="451" t="s">
        <v>35029</v>
      </c>
      <c r="K4353" s="451"/>
    </row>
    <row r="4354" spans="1:11">
      <c r="A4354" s="450" t="s">
        <v>7493</v>
      </c>
      <c r="B4354" s="450" t="s">
        <v>7494</v>
      </c>
      <c r="C4354" s="450" t="s">
        <v>2550</v>
      </c>
      <c r="D4354" s="450" t="s">
        <v>7495</v>
      </c>
      <c r="E4354" s="450" t="s">
        <v>7496</v>
      </c>
      <c r="F4354" s="450"/>
      <c r="G4354" s="450" t="s">
        <v>22877</v>
      </c>
      <c r="H4354" s="450" t="s">
        <v>22878</v>
      </c>
      <c r="I4354" s="450" t="s">
        <v>7495</v>
      </c>
      <c r="J4354" s="450" t="s">
        <v>31177</v>
      </c>
      <c r="K4354" s="450"/>
    </row>
    <row r="4355" spans="1:11">
      <c r="A4355" s="451" t="s">
        <v>25229</v>
      </c>
      <c r="B4355" s="451" t="s">
        <v>25230</v>
      </c>
      <c r="C4355" s="451" t="s">
        <v>25231</v>
      </c>
      <c r="D4355" s="451"/>
      <c r="E4355" s="451"/>
      <c r="F4355" s="451"/>
      <c r="G4355" s="451" t="s">
        <v>22877</v>
      </c>
      <c r="H4355" s="451" t="s">
        <v>22878</v>
      </c>
      <c r="I4355" s="451" t="s">
        <v>25232</v>
      </c>
      <c r="J4355" s="451" t="s">
        <v>25233</v>
      </c>
      <c r="K4355" s="451"/>
    </row>
    <row r="4356" spans="1:11">
      <c r="A4356" s="450" t="s">
        <v>25234</v>
      </c>
      <c r="B4356" s="450" t="s">
        <v>20511</v>
      </c>
      <c r="C4356" s="450" t="s">
        <v>25235</v>
      </c>
      <c r="D4356" s="450" t="s">
        <v>25236</v>
      </c>
      <c r="E4356" s="450"/>
      <c r="F4356" s="450" t="s">
        <v>25237</v>
      </c>
      <c r="G4356" s="450" t="s">
        <v>22877</v>
      </c>
      <c r="H4356" s="450" t="s">
        <v>22878</v>
      </c>
      <c r="I4356" s="450" t="s">
        <v>25236</v>
      </c>
      <c r="J4356" s="450" t="s">
        <v>25238</v>
      </c>
      <c r="K4356" s="450"/>
    </row>
    <row r="4357" spans="1:11">
      <c r="A4357" s="451" t="s">
        <v>25239</v>
      </c>
      <c r="B4357" s="451" t="s">
        <v>20508</v>
      </c>
      <c r="C4357" s="451" t="s">
        <v>20509</v>
      </c>
      <c r="D4357" s="451"/>
      <c r="E4357" s="451"/>
      <c r="F4357" s="451"/>
      <c r="G4357" s="451" t="s">
        <v>22877</v>
      </c>
      <c r="H4357" s="451" t="s">
        <v>22878</v>
      </c>
      <c r="I4357" s="451" t="s">
        <v>25240</v>
      </c>
      <c r="J4357" s="451" t="s">
        <v>25241</v>
      </c>
      <c r="K4357" s="451"/>
    </row>
    <row r="4358" spans="1:11">
      <c r="A4358" s="450" t="s">
        <v>7497</v>
      </c>
      <c r="B4358" s="450"/>
      <c r="C4358" s="450" t="s">
        <v>4698</v>
      </c>
      <c r="D4358" s="450"/>
      <c r="E4358" s="450"/>
      <c r="F4358" s="450"/>
      <c r="G4358" s="450" t="s">
        <v>22882</v>
      </c>
      <c r="H4358" s="450" t="s">
        <v>22883</v>
      </c>
      <c r="I4358" s="450" t="s">
        <v>31178</v>
      </c>
      <c r="J4358" s="450" t="s">
        <v>22939</v>
      </c>
      <c r="K4358" s="450"/>
    </row>
    <row r="4359" spans="1:11">
      <c r="A4359" s="451" t="s">
        <v>25242</v>
      </c>
      <c r="B4359" s="451" t="s">
        <v>7498</v>
      </c>
      <c r="C4359" s="451" t="s">
        <v>7499</v>
      </c>
      <c r="D4359" s="451" t="s">
        <v>7500</v>
      </c>
      <c r="E4359" s="451"/>
      <c r="F4359" s="451"/>
      <c r="G4359" s="451" t="s">
        <v>22877</v>
      </c>
      <c r="H4359" s="451" t="s">
        <v>22878</v>
      </c>
      <c r="I4359" s="451" t="s">
        <v>7500</v>
      </c>
      <c r="J4359" s="451" t="s">
        <v>25243</v>
      </c>
      <c r="K4359" s="451"/>
    </row>
    <row r="4360" spans="1:11">
      <c r="A4360" s="450" t="s">
        <v>35030</v>
      </c>
      <c r="B4360" s="450" t="s">
        <v>7503</v>
      </c>
      <c r="C4360" s="450" t="s">
        <v>7504</v>
      </c>
      <c r="D4360" s="450" t="s">
        <v>7505</v>
      </c>
      <c r="E4360" s="450"/>
      <c r="F4360" s="450"/>
      <c r="G4360" s="450" t="s">
        <v>22882</v>
      </c>
      <c r="H4360" s="450" t="s">
        <v>22883</v>
      </c>
      <c r="I4360" s="450"/>
      <c r="J4360" s="450" t="s">
        <v>25244</v>
      </c>
      <c r="K4360" s="450"/>
    </row>
    <row r="4361" spans="1:11">
      <c r="A4361" s="451" t="s">
        <v>7502</v>
      </c>
      <c r="B4361" s="451" t="s">
        <v>7503</v>
      </c>
      <c r="C4361" s="451" t="s">
        <v>7504</v>
      </c>
      <c r="D4361" s="451" t="s">
        <v>7505</v>
      </c>
      <c r="E4361" s="451" t="s">
        <v>7506</v>
      </c>
      <c r="F4361" s="451"/>
      <c r="G4361" s="451" t="s">
        <v>22877</v>
      </c>
      <c r="H4361" s="451" t="s">
        <v>22878</v>
      </c>
      <c r="I4361" s="451" t="s">
        <v>7505</v>
      </c>
      <c r="J4361" s="451" t="s">
        <v>25244</v>
      </c>
      <c r="K4361" s="451"/>
    </row>
    <row r="4362" spans="1:11">
      <c r="A4362" s="450" t="s">
        <v>21659</v>
      </c>
      <c r="B4362" s="450" t="s">
        <v>7498</v>
      </c>
      <c r="C4362" s="450" t="s">
        <v>7499</v>
      </c>
      <c r="D4362" s="450" t="s">
        <v>7500</v>
      </c>
      <c r="E4362" s="450"/>
      <c r="F4362" s="450"/>
      <c r="G4362" s="450" t="s">
        <v>22877</v>
      </c>
      <c r="H4362" s="450" t="s">
        <v>22878</v>
      </c>
      <c r="I4362" s="450" t="s">
        <v>7500</v>
      </c>
      <c r="J4362" s="450" t="s">
        <v>31179</v>
      </c>
      <c r="K4362" s="450"/>
    </row>
    <row r="4363" spans="1:11">
      <c r="A4363" s="451" t="s">
        <v>21660</v>
      </c>
      <c r="B4363" s="451"/>
      <c r="C4363" s="451" t="s">
        <v>7501</v>
      </c>
      <c r="D4363" s="451"/>
      <c r="E4363" s="451"/>
      <c r="F4363" s="451"/>
      <c r="G4363" s="451" t="s">
        <v>22877</v>
      </c>
      <c r="H4363" s="451" t="s">
        <v>22878</v>
      </c>
      <c r="I4363" s="451" t="s">
        <v>31180</v>
      </c>
      <c r="J4363" s="451" t="s">
        <v>22939</v>
      </c>
      <c r="K4363" s="451"/>
    </row>
    <row r="4364" spans="1:11">
      <c r="A4364" s="450" t="s">
        <v>25245</v>
      </c>
      <c r="B4364" s="450" t="s">
        <v>7509</v>
      </c>
      <c r="C4364" s="450" t="s">
        <v>7510</v>
      </c>
      <c r="D4364" s="450"/>
      <c r="E4364" s="450"/>
      <c r="F4364" s="450"/>
      <c r="G4364" s="450" t="s">
        <v>22877</v>
      </c>
      <c r="H4364" s="450" t="s">
        <v>22878</v>
      </c>
      <c r="I4364" s="450" t="s">
        <v>25246</v>
      </c>
      <c r="J4364" s="450" t="s">
        <v>25247</v>
      </c>
      <c r="K4364" s="450"/>
    </row>
    <row r="4365" spans="1:11">
      <c r="A4365" s="451" t="s">
        <v>7507</v>
      </c>
      <c r="B4365" s="451"/>
      <c r="C4365" s="451" t="s">
        <v>4129</v>
      </c>
      <c r="D4365" s="451"/>
      <c r="E4365" s="451"/>
      <c r="F4365" s="451"/>
      <c r="G4365" s="451" t="s">
        <v>22877</v>
      </c>
      <c r="H4365" s="451" t="s">
        <v>22878</v>
      </c>
      <c r="I4365" s="451" t="s">
        <v>25248</v>
      </c>
      <c r="J4365" s="451" t="s">
        <v>22997</v>
      </c>
      <c r="K4365" s="451"/>
    </row>
    <row r="4366" spans="1:11">
      <c r="A4366" s="450" t="s">
        <v>7508</v>
      </c>
      <c r="B4366" s="450" t="s">
        <v>7509</v>
      </c>
      <c r="C4366" s="450" t="s">
        <v>7510</v>
      </c>
      <c r="D4366" s="450"/>
      <c r="E4366" s="450"/>
      <c r="F4366" s="450"/>
      <c r="G4366" s="450" t="s">
        <v>22877</v>
      </c>
      <c r="H4366" s="450" t="s">
        <v>22878</v>
      </c>
      <c r="I4366" s="450" t="s">
        <v>25246</v>
      </c>
      <c r="J4366" s="450" t="s">
        <v>31181</v>
      </c>
      <c r="K4366" s="450"/>
    </row>
    <row r="4367" spans="1:11">
      <c r="A4367" s="451" t="s">
        <v>21661</v>
      </c>
      <c r="B4367" s="451"/>
      <c r="C4367" s="451" t="s">
        <v>7511</v>
      </c>
      <c r="D4367" s="451"/>
      <c r="E4367" s="451"/>
      <c r="F4367" s="451"/>
      <c r="G4367" s="451" t="s">
        <v>22882</v>
      </c>
      <c r="H4367" s="451" t="s">
        <v>22883</v>
      </c>
      <c r="I4367" s="451"/>
      <c r="J4367" s="451" t="s">
        <v>23185</v>
      </c>
      <c r="K4367" s="451"/>
    </row>
    <row r="4368" spans="1:11">
      <c r="A4368" s="450" t="s">
        <v>25249</v>
      </c>
      <c r="B4368" s="450" t="s">
        <v>25250</v>
      </c>
      <c r="C4368" s="450" t="s">
        <v>25251</v>
      </c>
      <c r="D4368" s="450"/>
      <c r="E4368" s="450"/>
      <c r="F4368" s="450"/>
      <c r="G4368" s="450" t="s">
        <v>22877</v>
      </c>
      <c r="H4368" s="450" t="s">
        <v>22878</v>
      </c>
      <c r="I4368" s="450" t="s">
        <v>25252</v>
      </c>
      <c r="J4368" s="450" t="s">
        <v>25253</v>
      </c>
      <c r="K4368" s="450"/>
    </row>
    <row r="4369" spans="1:11">
      <c r="A4369" s="451" t="s">
        <v>21662</v>
      </c>
      <c r="B4369" s="451"/>
      <c r="C4369" s="451" t="s">
        <v>7512</v>
      </c>
      <c r="D4369" s="451"/>
      <c r="E4369" s="451"/>
      <c r="F4369" s="451"/>
      <c r="G4369" s="451" t="s">
        <v>22877</v>
      </c>
      <c r="H4369" s="451" t="s">
        <v>22878</v>
      </c>
      <c r="I4369" s="451" t="s">
        <v>25254</v>
      </c>
      <c r="J4369" s="451" t="s">
        <v>22939</v>
      </c>
      <c r="K4369" s="451"/>
    </row>
    <row r="4370" spans="1:11">
      <c r="A4370" s="450" t="s">
        <v>25255</v>
      </c>
      <c r="B4370" s="450" t="s">
        <v>7514</v>
      </c>
      <c r="C4370" s="450" t="s">
        <v>7515</v>
      </c>
      <c r="D4370" s="450"/>
      <c r="E4370" s="450"/>
      <c r="F4370" s="450" t="s">
        <v>7516</v>
      </c>
      <c r="G4370" s="450" t="s">
        <v>22877</v>
      </c>
      <c r="H4370" s="450" t="s">
        <v>22878</v>
      </c>
      <c r="I4370" s="450" t="s">
        <v>25256</v>
      </c>
      <c r="J4370" s="450" t="s">
        <v>25257</v>
      </c>
      <c r="K4370" s="450"/>
    </row>
    <row r="4371" spans="1:11">
      <c r="A4371" s="451" t="s">
        <v>7513</v>
      </c>
      <c r="B4371" s="451" t="s">
        <v>7514</v>
      </c>
      <c r="C4371" s="451" t="s">
        <v>7515</v>
      </c>
      <c r="D4371" s="451"/>
      <c r="E4371" s="451"/>
      <c r="F4371" s="451" t="s">
        <v>7516</v>
      </c>
      <c r="G4371" s="451" t="s">
        <v>22877</v>
      </c>
      <c r="H4371" s="451" t="s">
        <v>22878</v>
      </c>
      <c r="I4371" s="451"/>
      <c r="J4371" s="451" t="s">
        <v>35031</v>
      </c>
      <c r="K4371" s="451"/>
    </row>
    <row r="4372" spans="1:11">
      <c r="A4372" s="450" t="s">
        <v>7517</v>
      </c>
      <c r="B4372" s="450"/>
      <c r="C4372" s="450" t="s">
        <v>7518</v>
      </c>
      <c r="D4372" s="450"/>
      <c r="E4372" s="450"/>
      <c r="F4372" s="450"/>
      <c r="G4372" s="450" t="s">
        <v>22882</v>
      </c>
      <c r="H4372" s="450" t="s">
        <v>22883</v>
      </c>
      <c r="I4372" s="450"/>
      <c r="J4372" s="450" t="s">
        <v>22939</v>
      </c>
      <c r="K4372" s="450"/>
    </row>
    <row r="4373" spans="1:11">
      <c r="A4373" s="451" t="s">
        <v>35032</v>
      </c>
      <c r="B4373" s="451"/>
      <c r="C4373" s="451" t="s">
        <v>7518</v>
      </c>
      <c r="D4373" s="451"/>
      <c r="E4373" s="451"/>
      <c r="F4373" s="451"/>
      <c r="G4373" s="451" t="s">
        <v>22877</v>
      </c>
      <c r="H4373" s="451" t="s">
        <v>22878</v>
      </c>
      <c r="I4373" s="451" t="s">
        <v>35033</v>
      </c>
      <c r="J4373" s="451" t="s">
        <v>22943</v>
      </c>
      <c r="K4373" s="451"/>
    </row>
    <row r="4374" spans="1:11">
      <c r="A4374" s="450" t="s">
        <v>7519</v>
      </c>
      <c r="B4374" s="450"/>
      <c r="C4374" s="450" t="s">
        <v>7520</v>
      </c>
      <c r="D4374" s="450"/>
      <c r="E4374" s="450"/>
      <c r="F4374" s="450"/>
      <c r="G4374" s="450" t="s">
        <v>22882</v>
      </c>
      <c r="H4374" s="450" t="s">
        <v>22883</v>
      </c>
      <c r="I4374" s="450"/>
      <c r="J4374" s="450" t="s">
        <v>22997</v>
      </c>
      <c r="K4374" s="450"/>
    </row>
    <row r="4375" spans="1:11">
      <c r="A4375" s="451" t="s">
        <v>35034</v>
      </c>
      <c r="B4375" s="451"/>
      <c r="C4375" s="451" t="s">
        <v>7522</v>
      </c>
      <c r="D4375" s="451"/>
      <c r="E4375" s="451"/>
      <c r="F4375" s="451"/>
      <c r="G4375" s="451" t="s">
        <v>22882</v>
      </c>
      <c r="H4375" s="451" t="s">
        <v>22883</v>
      </c>
      <c r="I4375" s="451"/>
      <c r="J4375" s="451" t="s">
        <v>22943</v>
      </c>
      <c r="K4375" s="451"/>
    </row>
    <row r="4376" spans="1:11">
      <c r="A4376" s="450" t="s">
        <v>7521</v>
      </c>
      <c r="B4376" s="450"/>
      <c r="C4376" s="450" t="s">
        <v>7522</v>
      </c>
      <c r="D4376" s="450"/>
      <c r="E4376" s="450"/>
      <c r="F4376" s="450"/>
      <c r="G4376" s="450" t="s">
        <v>22882</v>
      </c>
      <c r="H4376" s="450" t="s">
        <v>22883</v>
      </c>
      <c r="I4376" s="450" t="s">
        <v>35035</v>
      </c>
      <c r="J4376" s="450" t="s">
        <v>22942</v>
      </c>
      <c r="K4376" s="450"/>
    </row>
    <row r="4377" spans="1:11">
      <c r="A4377" s="451" t="s">
        <v>7523</v>
      </c>
      <c r="B4377" s="451"/>
      <c r="C4377" s="451" t="s">
        <v>7524</v>
      </c>
      <c r="D4377" s="451"/>
      <c r="E4377" s="451"/>
      <c r="F4377" s="451"/>
      <c r="G4377" s="451" t="s">
        <v>22882</v>
      </c>
      <c r="H4377" s="451" t="s">
        <v>22883</v>
      </c>
      <c r="I4377" s="451"/>
      <c r="J4377" s="451" t="s">
        <v>22943</v>
      </c>
      <c r="K4377" s="451"/>
    </row>
    <row r="4378" spans="1:11">
      <c r="A4378" s="450" t="s">
        <v>25258</v>
      </c>
      <c r="B4378" s="450" t="s">
        <v>7532</v>
      </c>
      <c r="C4378" s="450" t="s">
        <v>7533</v>
      </c>
      <c r="D4378" s="450" t="s">
        <v>7534</v>
      </c>
      <c r="E4378" s="450"/>
      <c r="F4378" s="450"/>
      <c r="G4378" s="450" t="s">
        <v>22877</v>
      </c>
      <c r="H4378" s="450" t="s">
        <v>22878</v>
      </c>
      <c r="I4378" s="450" t="s">
        <v>7534</v>
      </c>
      <c r="J4378" s="450" t="s">
        <v>25259</v>
      </c>
      <c r="K4378" s="450"/>
    </row>
    <row r="4379" spans="1:11">
      <c r="A4379" s="451" t="s">
        <v>7525</v>
      </c>
      <c r="B4379" s="451" t="s">
        <v>35036</v>
      </c>
      <c r="C4379" s="451" t="s">
        <v>7527</v>
      </c>
      <c r="D4379" s="451" t="s">
        <v>7528</v>
      </c>
      <c r="E4379" s="451"/>
      <c r="F4379" s="451" t="s">
        <v>7530</v>
      </c>
      <c r="G4379" s="451" t="s">
        <v>22877</v>
      </c>
      <c r="H4379" s="451" t="s">
        <v>22878</v>
      </c>
      <c r="I4379" s="451" t="s">
        <v>7528</v>
      </c>
      <c r="J4379" s="451" t="s">
        <v>35037</v>
      </c>
      <c r="K4379" s="451"/>
    </row>
    <row r="4380" spans="1:11">
      <c r="A4380" s="450" t="s">
        <v>7525</v>
      </c>
      <c r="B4380" s="450" t="s">
        <v>7526</v>
      </c>
      <c r="C4380" s="450" t="s">
        <v>7527</v>
      </c>
      <c r="D4380" s="450" t="s">
        <v>7528</v>
      </c>
      <c r="E4380" s="450" t="s">
        <v>7529</v>
      </c>
      <c r="F4380" s="450" t="s">
        <v>7530</v>
      </c>
      <c r="G4380" s="450" t="s">
        <v>22877</v>
      </c>
      <c r="H4380" s="450" t="s">
        <v>22878</v>
      </c>
      <c r="I4380" s="450" t="s">
        <v>7528</v>
      </c>
      <c r="J4380" s="450" t="s">
        <v>31182</v>
      </c>
      <c r="K4380" s="450"/>
    </row>
    <row r="4381" spans="1:11">
      <c r="A4381" s="451" t="s">
        <v>7531</v>
      </c>
      <c r="B4381" s="451" t="s">
        <v>7532</v>
      </c>
      <c r="C4381" s="451" t="s">
        <v>7533</v>
      </c>
      <c r="D4381" s="451" t="s">
        <v>7534</v>
      </c>
      <c r="E4381" s="451" t="s">
        <v>7535</v>
      </c>
      <c r="F4381" s="451"/>
      <c r="G4381" s="451" t="s">
        <v>22877</v>
      </c>
      <c r="H4381" s="451" t="s">
        <v>22878</v>
      </c>
      <c r="I4381" s="451" t="s">
        <v>7534</v>
      </c>
      <c r="J4381" s="451" t="s">
        <v>31183</v>
      </c>
      <c r="K4381" s="451"/>
    </row>
    <row r="4382" spans="1:11">
      <c r="A4382" s="450" t="s">
        <v>7536</v>
      </c>
      <c r="B4382" s="450"/>
      <c r="C4382" s="450" t="s">
        <v>7537</v>
      </c>
      <c r="D4382" s="450"/>
      <c r="E4382" s="450"/>
      <c r="F4382" s="450"/>
      <c r="G4382" s="450" t="s">
        <v>22877</v>
      </c>
      <c r="H4382" s="450" t="s">
        <v>22878</v>
      </c>
      <c r="I4382" s="450" t="s">
        <v>35038</v>
      </c>
      <c r="J4382" s="450" t="s">
        <v>35039</v>
      </c>
      <c r="K4382" s="450"/>
    </row>
    <row r="4383" spans="1:11">
      <c r="A4383" s="451" t="s">
        <v>7538</v>
      </c>
      <c r="B4383" s="451"/>
      <c r="C4383" s="451" t="s">
        <v>4435</v>
      </c>
      <c r="D4383" s="451"/>
      <c r="E4383" s="451"/>
      <c r="F4383" s="451"/>
      <c r="G4383" s="451" t="s">
        <v>22877</v>
      </c>
      <c r="H4383" s="451" t="s">
        <v>22878</v>
      </c>
      <c r="I4383" s="451" t="s">
        <v>35040</v>
      </c>
      <c r="J4383" s="451" t="s">
        <v>23121</v>
      </c>
      <c r="K4383" s="451"/>
    </row>
    <row r="4384" spans="1:11">
      <c r="A4384" s="450" t="s">
        <v>35041</v>
      </c>
      <c r="B4384" s="450"/>
      <c r="C4384" s="450" t="s">
        <v>33795</v>
      </c>
      <c r="D4384" s="450"/>
      <c r="E4384" s="450"/>
      <c r="F4384" s="450"/>
      <c r="G4384" s="450" t="s">
        <v>22877</v>
      </c>
      <c r="H4384" s="450" t="s">
        <v>22878</v>
      </c>
      <c r="I4384" s="450" t="s">
        <v>35042</v>
      </c>
      <c r="J4384" s="450" t="s">
        <v>22997</v>
      </c>
      <c r="K4384" s="450"/>
    </row>
    <row r="4385" spans="1:11">
      <c r="A4385" s="451" t="s">
        <v>7539</v>
      </c>
      <c r="B4385" s="451"/>
      <c r="C4385" s="451" t="s">
        <v>7540</v>
      </c>
      <c r="D4385" s="451"/>
      <c r="E4385" s="451"/>
      <c r="F4385" s="451"/>
      <c r="G4385" s="451" t="s">
        <v>22877</v>
      </c>
      <c r="H4385" s="451" t="s">
        <v>22878</v>
      </c>
      <c r="I4385" s="451" t="s">
        <v>25260</v>
      </c>
      <c r="J4385" s="451" t="s">
        <v>23133</v>
      </c>
      <c r="K4385" s="451"/>
    </row>
    <row r="4386" spans="1:11">
      <c r="A4386" s="450" t="s">
        <v>25261</v>
      </c>
      <c r="B4386" s="450" t="s">
        <v>25262</v>
      </c>
      <c r="C4386" s="450" t="s">
        <v>25263</v>
      </c>
      <c r="D4386" s="450"/>
      <c r="E4386" s="450"/>
      <c r="F4386" s="450"/>
      <c r="G4386" s="450" t="s">
        <v>22877</v>
      </c>
      <c r="H4386" s="450" t="s">
        <v>22878</v>
      </c>
      <c r="I4386" s="450" t="s">
        <v>25264</v>
      </c>
      <c r="J4386" s="450" t="s">
        <v>25265</v>
      </c>
      <c r="K4386" s="450"/>
    </row>
    <row r="4387" spans="1:11">
      <c r="A4387" s="451" t="s">
        <v>35043</v>
      </c>
      <c r="B4387" s="451"/>
      <c r="C4387" s="451" t="s">
        <v>7542</v>
      </c>
      <c r="D4387" s="451"/>
      <c r="E4387" s="451"/>
      <c r="F4387" s="451"/>
      <c r="G4387" s="451" t="s">
        <v>22877</v>
      </c>
      <c r="H4387" s="451" t="s">
        <v>22878</v>
      </c>
      <c r="I4387" s="451" t="s">
        <v>35044</v>
      </c>
      <c r="J4387" s="451" t="s">
        <v>22943</v>
      </c>
      <c r="K4387" s="451"/>
    </row>
    <row r="4388" spans="1:11">
      <c r="A4388" s="450" t="s">
        <v>7541</v>
      </c>
      <c r="B4388" s="450"/>
      <c r="C4388" s="450" t="s">
        <v>7542</v>
      </c>
      <c r="D4388" s="450"/>
      <c r="E4388" s="450"/>
      <c r="F4388" s="450"/>
      <c r="G4388" s="450" t="s">
        <v>22877</v>
      </c>
      <c r="H4388" s="450" t="s">
        <v>22878</v>
      </c>
      <c r="I4388" s="450" t="s">
        <v>35045</v>
      </c>
      <c r="J4388" s="450" t="s">
        <v>23121</v>
      </c>
      <c r="K4388" s="450"/>
    </row>
    <row r="4389" spans="1:11">
      <c r="A4389" s="451" t="s">
        <v>35046</v>
      </c>
      <c r="B4389" s="451"/>
      <c r="C4389" s="451" t="s">
        <v>7544</v>
      </c>
      <c r="D4389" s="451"/>
      <c r="E4389" s="451"/>
      <c r="F4389" s="451"/>
      <c r="G4389" s="451" t="s">
        <v>22877</v>
      </c>
      <c r="H4389" s="451" t="s">
        <v>22878</v>
      </c>
      <c r="I4389" s="451" t="s">
        <v>35047</v>
      </c>
      <c r="J4389" s="451" t="s">
        <v>22943</v>
      </c>
      <c r="K4389" s="451"/>
    </row>
    <row r="4390" spans="1:11">
      <c r="A4390" s="450" t="s">
        <v>7543</v>
      </c>
      <c r="B4390" s="450"/>
      <c r="C4390" s="450" t="s">
        <v>7544</v>
      </c>
      <c r="D4390" s="450"/>
      <c r="E4390" s="450"/>
      <c r="F4390" s="450"/>
      <c r="G4390" s="450" t="s">
        <v>22877</v>
      </c>
      <c r="H4390" s="450" t="s">
        <v>22878</v>
      </c>
      <c r="I4390" s="450" t="s">
        <v>35048</v>
      </c>
      <c r="J4390" s="450" t="s">
        <v>22997</v>
      </c>
      <c r="K4390" s="450"/>
    </row>
    <row r="4391" spans="1:11">
      <c r="A4391" s="451" t="s">
        <v>7545</v>
      </c>
      <c r="B4391" s="451"/>
      <c r="C4391" s="451" t="s">
        <v>7546</v>
      </c>
      <c r="D4391" s="451"/>
      <c r="E4391" s="451"/>
      <c r="F4391" s="451"/>
      <c r="G4391" s="451" t="s">
        <v>22882</v>
      </c>
      <c r="H4391" s="451" t="s">
        <v>22883</v>
      </c>
      <c r="I4391" s="451"/>
      <c r="J4391" s="451" t="s">
        <v>23185</v>
      </c>
      <c r="K4391" s="451"/>
    </row>
    <row r="4392" spans="1:11">
      <c r="A4392" s="450" t="s">
        <v>25266</v>
      </c>
      <c r="B4392" s="450" t="s">
        <v>25267</v>
      </c>
      <c r="C4392" s="450" t="s">
        <v>5120</v>
      </c>
      <c r="D4392" s="450"/>
      <c r="E4392" s="450"/>
      <c r="F4392" s="450"/>
      <c r="G4392" s="450" t="s">
        <v>22877</v>
      </c>
      <c r="H4392" s="450" t="s">
        <v>22878</v>
      </c>
      <c r="I4392" s="450" t="s">
        <v>25268</v>
      </c>
      <c r="J4392" s="450" t="s">
        <v>25269</v>
      </c>
      <c r="K4392" s="450"/>
    </row>
    <row r="4393" spans="1:11">
      <c r="A4393" s="451" t="s">
        <v>7547</v>
      </c>
      <c r="B4393" s="451"/>
      <c r="C4393" s="451" t="s">
        <v>7548</v>
      </c>
      <c r="D4393" s="451"/>
      <c r="E4393" s="451"/>
      <c r="F4393" s="451"/>
      <c r="G4393" s="451" t="s">
        <v>22877</v>
      </c>
      <c r="H4393" s="451" t="s">
        <v>22878</v>
      </c>
      <c r="I4393" s="451" t="s">
        <v>35049</v>
      </c>
      <c r="J4393" s="451" t="s">
        <v>22939</v>
      </c>
      <c r="K4393" s="451"/>
    </row>
    <row r="4394" spans="1:11">
      <c r="A4394" s="450" t="s">
        <v>35050</v>
      </c>
      <c r="B4394" s="450"/>
      <c r="C4394" s="450" t="s">
        <v>7550</v>
      </c>
      <c r="D4394" s="450"/>
      <c r="E4394" s="450"/>
      <c r="F4394" s="450"/>
      <c r="G4394" s="450" t="s">
        <v>22877</v>
      </c>
      <c r="H4394" s="450" t="s">
        <v>22878</v>
      </c>
      <c r="I4394" s="450" t="s">
        <v>35051</v>
      </c>
      <c r="J4394" s="450" t="s">
        <v>22943</v>
      </c>
      <c r="K4394" s="450"/>
    </row>
    <row r="4395" spans="1:11">
      <c r="A4395" s="451" t="s">
        <v>7549</v>
      </c>
      <c r="B4395" s="451"/>
      <c r="C4395" s="451" t="s">
        <v>7550</v>
      </c>
      <c r="D4395" s="451"/>
      <c r="E4395" s="451"/>
      <c r="F4395" s="451"/>
      <c r="G4395" s="451" t="s">
        <v>22877</v>
      </c>
      <c r="H4395" s="451" t="s">
        <v>22878</v>
      </c>
      <c r="I4395" s="451" t="s">
        <v>35052</v>
      </c>
      <c r="J4395" s="451" t="s">
        <v>22939</v>
      </c>
      <c r="K4395" s="451"/>
    </row>
    <row r="4396" spans="1:11">
      <c r="A4396" s="450" t="s">
        <v>7551</v>
      </c>
      <c r="B4396" s="450"/>
      <c r="C4396" s="450" t="s">
        <v>7552</v>
      </c>
      <c r="D4396" s="450"/>
      <c r="E4396" s="450"/>
      <c r="F4396" s="450"/>
      <c r="G4396" s="450" t="s">
        <v>22877</v>
      </c>
      <c r="H4396" s="450" t="s">
        <v>22878</v>
      </c>
      <c r="I4396" s="450" t="s">
        <v>25270</v>
      </c>
      <c r="J4396" s="450" t="s">
        <v>22997</v>
      </c>
      <c r="K4396" s="450"/>
    </row>
    <row r="4397" spans="1:11">
      <c r="A4397" s="451" t="s">
        <v>21663</v>
      </c>
      <c r="B4397" s="451" t="s">
        <v>7553</v>
      </c>
      <c r="C4397" s="451" t="s">
        <v>7554</v>
      </c>
      <c r="D4397" s="451"/>
      <c r="E4397" s="451"/>
      <c r="F4397" s="451"/>
      <c r="G4397" s="451" t="s">
        <v>22877</v>
      </c>
      <c r="H4397" s="451" t="s">
        <v>22878</v>
      </c>
      <c r="I4397" s="451" t="s">
        <v>25271</v>
      </c>
      <c r="J4397" s="451" t="s">
        <v>25272</v>
      </c>
      <c r="K4397" s="451"/>
    </row>
    <row r="4398" spans="1:11">
      <c r="A4398" s="450" t="s">
        <v>25273</v>
      </c>
      <c r="B4398" s="450" t="s">
        <v>25274</v>
      </c>
      <c r="C4398" s="450" t="s">
        <v>25275</v>
      </c>
      <c r="D4398" s="450"/>
      <c r="E4398" s="450"/>
      <c r="F4398" s="450"/>
      <c r="G4398" s="450" t="s">
        <v>22877</v>
      </c>
      <c r="H4398" s="450" t="s">
        <v>22878</v>
      </c>
      <c r="I4398" s="450" t="s">
        <v>25276</v>
      </c>
      <c r="J4398" s="450" t="s">
        <v>25277</v>
      </c>
      <c r="K4398" s="450"/>
    </row>
    <row r="4399" spans="1:11">
      <c r="A4399" s="451" t="s">
        <v>35053</v>
      </c>
      <c r="B4399" s="451"/>
      <c r="C4399" s="451" t="s">
        <v>7556</v>
      </c>
      <c r="D4399" s="451"/>
      <c r="E4399" s="451"/>
      <c r="F4399" s="451"/>
      <c r="G4399" s="451" t="s">
        <v>22882</v>
      </c>
      <c r="H4399" s="451" t="s">
        <v>22883</v>
      </c>
      <c r="I4399" s="451"/>
      <c r="J4399" s="451" t="s">
        <v>22939</v>
      </c>
      <c r="K4399" s="451"/>
    </row>
    <row r="4400" spans="1:11">
      <c r="A4400" s="450" t="s">
        <v>7555</v>
      </c>
      <c r="B4400" s="450"/>
      <c r="C4400" s="450" t="s">
        <v>7556</v>
      </c>
      <c r="D4400" s="450"/>
      <c r="E4400" s="450"/>
      <c r="F4400" s="450"/>
      <c r="G4400" s="450" t="s">
        <v>22877</v>
      </c>
      <c r="H4400" s="450" t="s">
        <v>22878</v>
      </c>
      <c r="I4400" s="450"/>
      <c r="J4400" s="450" t="s">
        <v>23185</v>
      </c>
      <c r="K4400" s="450"/>
    </row>
    <row r="4401" spans="1:11">
      <c r="A4401" s="451" t="s">
        <v>21664</v>
      </c>
      <c r="B4401" s="451"/>
      <c r="C4401" s="451" t="s">
        <v>7557</v>
      </c>
      <c r="D4401" s="451"/>
      <c r="E4401" s="451"/>
      <c r="F4401" s="451"/>
      <c r="G4401" s="451" t="s">
        <v>22877</v>
      </c>
      <c r="H4401" s="451" t="s">
        <v>22878</v>
      </c>
      <c r="I4401" s="451" t="s">
        <v>35054</v>
      </c>
      <c r="J4401" s="451" t="s">
        <v>23133</v>
      </c>
      <c r="K4401" s="451"/>
    </row>
    <row r="4402" spans="1:11">
      <c r="A4402" s="450" t="s">
        <v>7558</v>
      </c>
      <c r="B4402" s="450"/>
      <c r="C4402" s="450" t="s">
        <v>7559</v>
      </c>
      <c r="D4402" s="450"/>
      <c r="E4402" s="450"/>
      <c r="F4402" s="450"/>
      <c r="G4402" s="450" t="s">
        <v>22877</v>
      </c>
      <c r="H4402" s="450" t="s">
        <v>22878</v>
      </c>
      <c r="I4402" s="450" t="s">
        <v>25278</v>
      </c>
      <c r="J4402" s="450" t="s">
        <v>22939</v>
      </c>
      <c r="K4402" s="450"/>
    </row>
    <row r="4403" spans="1:11">
      <c r="A4403" s="451" t="s">
        <v>25279</v>
      </c>
      <c r="B4403" s="451" t="s">
        <v>25280</v>
      </c>
      <c r="C4403" s="451" t="s">
        <v>25281</v>
      </c>
      <c r="D4403" s="451"/>
      <c r="E4403" s="451"/>
      <c r="F4403" s="451"/>
      <c r="G4403" s="451" t="s">
        <v>22877</v>
      </c>
      <c r="H4403" s="451" t="s">
        <v>22878</v>
      </c>
      <c r="I4403" s="451" t="s">
        <v>25282</v>
      </c>
      <c r="J4403" s="451" t="s">
        <v>25283</v>
      </c>
      <c r="K4403" s="451"/>
    </row>
    <row r="4404" spans="1:11">
      <c r="A4404" s="450" t="s">
        <v>21665</v>
      </c>
      <c r="B4404" s="450" t="s">
        <v>7560</v>
      </c>
      <c r="C4404" s="450" t="s">
        <v>7561</v>
      </c>
      <c r="D4404" s="450"/>
      <c r="E4404" s="450"/>
      <c r="F4404" s="450"/>
      <c r="G4404" s="450" t="s">
        <v>22877</v>
      </c>
      <c r="H4404" s="450" t="s">
        <v>22878</v>
      </c>
      <c r="I4404" s="450"/>
      <c r="J4404" s="450" t="s">
        <v>31184</v>
      </c>
      <c r="K4404" s="450"/>
    </row>
    <row r="4405" spans="1:11">
      <c r="A4405" s="451" t="s">
        <v>7562</v>
      </c>
      <c r="B4405" s="451"/>
      <c r="C4405" s="451" t="s">
        <v>7563</v>
      </c>
      <c r="D4405" s="451"/>
      <c r="E4405" s="451"/>
      <c r="F4405" s="451"/>
      <c r="G4405" s="451" t="s">
        <v>22877</v>
      </c>
      <c r="H4405" s="451" t="s">
        <v>22878</v>
      </c>
      <c r="I4405" s="451" t="s">
        <v>35055</v>
      </c>
      <c r="J4405" s="451" t="s">
        <v>22939</v>
      </c>
      <c r="K4405" s="451"/>
    </row>
    <row r="4406" spans="1:11">
      <c r="A4406" s="450" t="s">
        <v>7564</v>
      </c>
      <c r="B4406" s="450"/>
      <c r="C4406" s="450" t="s">
        <v>7565</v>
      </c>
      <c r="D4406" s="450"/>
      <c r="E4406" s="450"/>
      <c r="F4406" s="450"/>
      <c r="G4406" s="450" t="s">
        <v>22877</v>
      </c>
      <c r="H4406" s="450" t="s">
        <v>22878</v>
      </c>
      <c r="I4406" s="450"/>
      <c r="J4406" s="450" t="s">
        <v>23370</v>
      </c>
      <c r="K4406" s="450"/>
    </row>
    <row r="4407" spans="1:11">
      <c r="A4407" s="451" t="s">
        <v>7566</v>
      </c>
      <c r="B4407" s="451"/>
      <c r="C4407" s="451" t="s">
        <v>7567</v>
      </c>
      <c r="D4407" s="451"/>
      <c r="E4407" s="451"/>
      <c r="F4407" s="451"/>
      <c r="G4407" s="451" t="s">
        <v>22882</v>
      </c>
      <c r="H4407" s="451" t="s">
        <v>22883</v>
      </c>
      <c r="I4407" s="451"/>
      <c r="J4407" s="451" t="s">
        <v>23179</v>
      </c>
      <c r="K4407" s="451"/>
    </row>
    <row r="4408" spans="1:11">
      <c r="A4408" s="450" t="s">
        <v>7568</v>
      </c>
      <c r="B4408" s="450"/>
      <c r="C4408" s="450" t="s">
        <v>7569</v>
      </c>
      <c r="D4408" s="450"/>
      <c r="E4408" s="450"/>
      <c r="F4408" s="450"/>
      <c r="G4408" s="450" t="s">
        <v>22877</v>
      </c>
      <c r="H4408" s="450" t="s">
        <v>22878</v>
      </c>
      <c r="I4408" s="450" t="s">
        <v>35056</v>
      </c>
      <c r="J4408" s="450" t="s">
        <v>23121</v>
      </c>
      <c r="K4408" s="450"/>
    </row>
    <row r="4409" spans="1:11">
      <c r="A4409" s="451" t="s">
        <v>35057</v>
      </c>
      <c r="B4409" s="451"/>
      <c r="C4409" s="451" t="s">
        <v>6510</v>
      </c>
      <c r="D4409" s="451"/>
      <c r="E4409" s="451"/>
      <c r="F4409" s="451"/>
      <c r="G4409" s="451" t="s">
        <v>22877</v>
      </c>
      <c r="H4409" s="451" t="s">
        <v>22878</v>
      </c>
      <c r="I4409" s="451" t="s">
        <v>35058</v>
      </c>
      <c r="J4409" s="451" t="s">
        <v>22997</v>
      </c>
      <c r="K4409" s="451"/>
    </row>
    <row r="4410" spans="1:11">
      <c r="A4410" s="450" t="s">
        <v>7570</v>
      </c>
      <c r="B4410" s="450"/>
      <c r="C4410" s="450" t="s">
        <v>4192</v>
      </c>
      <c r="D4410" s="450"/>
      <c r="E4410" s="450"/>
      <c r="F4410" s="450"/>
      <c r="G4410" s="450" t="s">
        <v>22877</v>
      </c>
      <c r="H4410" s="450" t="s">
        <v>22878</v>
      </c>
      <c r="I4410" s="450" t="s">
        <v>35059</v>
      </c>
      <c r="J4410" s="450" t="s">
        <v>22942</v>
      </c>
      <c r="K4410" s="450"/>
    </row>
    <row r="4411" spans="1:11">
      <c r="A4411" s="451" t="s">
        <v>35060</v>
      </c>
      <c r="B4411" s="451"/>
      <c r="C4411" s="451" t="s">
        <v>23781</v>
      </c>
      <c r="D4411" s="451"/>
      <c r="E4411" s="451"/>
      <c r="F4411" s="451"/>
      <c r="G4411" s="451" t="s">
        <v>22877</v>
      </c>
      <c r="H4411" s="451" t="s">
        <v>22878</v>
      </c>
      <c r="I4411" s="451" t="s">
        <v>35061</v>
      </c>
      <c r="J4411" s="451" t="s">
        <v>22943</v>
      </c>
      <c r="K4411" s="451"/>
    </row>
    <row r="4412" spans="1:11">
      <c r="A4412" s="450" t="s">
        <v>7571</v>
      </c>
      <c r="B4412" s="450"/>
      <c r="C4412" s="450" t="s">
        <v>6510</v>
      </c>
      <c r="D4412" s="450"/>
      <c r="E4412" s="450"/>
      <c r="F4412" s="450"/>
      <c r="G4412" s="450" t="s">
        <v>22877</v>
      </c>
      <c r="H4412" s="450" t="s">
        <v>22878</v>
      </c>
      <c r="I4412" s="450" t="s">
        <v>31185</v>
      </c>
      <c r="J4412" s="450" t="s">
        <v>22939</v>
      </c>
      <c r="K4412" s="450"/>
    </row>
    <row r="4413" spans="1:11">
      <c r="A4413" s="451" t="s">
        <v>7572</v>
      </c>
      <c r="B4413" s="451" t="s">
        <v>7573</v>
      </c>
      <c r="C4413" s="451" t="s">
        <v>7574</v>
      </c>
      <c r="D4413" s="451"/>
      <c r="E4413" s="451"/>
      <c r="F4413" s="451"/>
      <c r="G4413" s="451" t="s">
        <v>22877</v>
      </c>
      <c r="H4413" s="451" t="s">
        <v>22878</v>
      </c>
      <c r="I4413" s="451" t="s">
        <v>25284</v>
      </c>
      <c r="J4413" s="451" t="s">
        <v>25285</v>
      </c>
      <c r="K4413" s="451"/>
    </row>
    <row r="4414" spans="1:11">
      <c r="A4414" s="450" t="s">
        <v>25286</v>
      </c>
      <c r="B4414" s="450" t="s">
        <v>25287</v>
      </c>
      <c r="C4414" s="450" t="s">
        <v>25288</v>
      </c>
      <c r="D4414" s="450"/>
      <c r="E4414" s="450"/>
      <c r="F4414" s="450"/>
      <c r="G4414" s="450" t="s">
        <v>22877</v>
      </c>
      <c r="H4414" s="450" t="s">
        <v>22878</v>
      </c>
      <c r="I4414" s="450" t="s">
        <v>25289</v>
      </c>
      <c r="J4414" s="450" t="s">
        <v>25290</v>
      </c>
      <c r="K4414" s="450"/>
    </row>
    <row r="4415" spans="1:11">
      <c r="A4415" s="451" t="s">
        <v>35062</v>
      </c>
      <c r="B4415" s="451" t="s">
        <v>7575</v>
      </c>
      <c r="C4415" s="451" t="s">
        <v>5679</v>
      </c>
      <c r="D4415" s="451" t="s">
        <v>7576</v>
      </c>
      <c r="E4415" s="451"/>
      <c r="F4415" s="451"/>
      <c r="G4415" s="451" t="s">
        <v>22877</v>
      </c>
      <c r="H4415" s="451" t="s">
        <v>22878</v>
      </c>
      <c r="I4415" s="451" t="s">
        <v>35063</v>
      </c>
      <c r="J4415" s="451" t="s">
        <v>35064</v>
      </c>
      <c r="K4415" s="451"/>
    </row>
    <row r="4416" spans="1:11">
      <c r="A4416" s="450" t="s">
        <v>21666</v>
      </c>
      <c r="B4416" s="450" t="s">
        <v>7575</v>
      </c>
      <c r="C4416" s="450" t="s">
        <v>5679</v>
      </c>
      <c r="D4416" s="450" t="s">
        <v>7576</v>
      </c>
      <c r="E4416" s="450" t="s">
        <v>7577</v>
      </c>
      <c r="F4416" s="450"/>
      <c r="G4416" s="450" t="s">
        <v>22882</v>
      </c>
      <c r="H4416" s="450" t="s">
        <v>22883</v>
      </c>
      <c r="I4416" s="450" t="s">
        <v>7576</v>
      </c>
      <c r="J4416" s="450" t="s">
        <v>31186</v>
      </c>
      <c r="K4416" s="450"/>
    </row>
    <row r="4417" spans="1:11">
      <c r="A4417" s="451" t="s">
        <v>35065</v>
      </c>
      <c r="B4417" s="451"/>
      <c r="C4417" s="451" t="s">
        <v>7579</v>
      </c>
      <c r="D4417" s="451"/>
      <c r="E4417" s="451"/>
      <c r="F4417" s="451"/>
      <c r="G4417" s="451" t="s">
        <v>22877</v>
      </c>
      <c r="H4417" s="451" t="s">
        <v>22878</v>
      </c>
      <c r="I4417" s="451" t="s">
        <v>35066</v>
      </c>
      <c r="J4417" s="451" t="s">
        <v>22997</v>
      </c>
      <c r="K4417" s="451"/>
    </row>
    <row r="4418" spans="1:11">
      <c r="A4418" s="450" t="s">
        <v>7578</v>
      </c>
      <c r="B4418" s="450"/>
      <c r="C4418" s="450" t="s">
        <v>7579</v>
      </c>
      <c r="D4418" s="450"/>
      <c r="E4418" s="450"/>
      <c r="F4418" s="450"/>
      <c r="G4418" s="450" t="s">
        <v>22877</v>
      </c>
      <c r="H4418" s="450" t="s">
        <v>22878</v>
      </c>
      <c r="I4418" s="450" t="s">
        <v>35067</v>
      </c>
      <c r="J4418" s="450" t="s">
        <v>22939</v>
      </c>
      <c r="K4418" s="450"/>
    </row>
    <row r="4419" spans="1:11">
      <c r="A4419" s="451" t="s">
        <v>21667</v>
      </c>
      <c r="B4419" s="451"/>
      <c r="C4419" s="451" t="s">
        <v>7580</v>
      </c>
      <c r="D4419" s="451"/>
      <c r="E4419" s="451"/>
      <c r="F4419" s="451"/>
      <c r="G4419" s="451" t="s">
        <v>22877</v>
      </c>
      <c r="H4419" s="451" t="s">
        <v>22878</v>
      </c>
      <c r="I4419" s="451" t="s">
        <v>25291</v>
      </c>
      <c r="J4419" s="451" t="s">
        <v>23133</v>
      </c>
      <c r="K4419" s="451"/>
    </row>
    <row r="4420" spans="1:11">
      <c r="A4420" s="450" t="s">
        <v>7581</v>
      </c>
      <c r="B4420" s="450" t="s">
        <v>7582</v>
      </c>
      <c r="C4420" s="450" t="s">
        <v>7583</v>
      </c>
      <c r="D4420" s="450"/>
      <c r="E4420" s="450"/>
      <c r="F4420" s="450"/>
      <c r="G4420" s="450" t="s">
        <v>22877</v>
      </c>
      <c r="H4420" s="450" t="s">
        <v>22878</v>
      </c>
      <c r="I4420" s="450" t="s">
        <v>25292</v>
      </c>
      <c r="J4420" s="450" t="s">
        <v>25293</v>
      </c>
      <c r="K4420" s="450"/>
    </row>
    <row r="4421" spans="1:11">
      <c r="A4421" s="451" t="s">
        <v>7584</v>
      </c>
      <c r="B4421" s="451"/>
      <c r="C4421" s="451" t="s">
        <v>7154</v>
      </c>
      <c r="D4421" s="451"/>
      <c r="E4421" s="451"/>
      <c r="F4421" s="451"/>
      <c r="G4421" s="451" t="s">
        <v>22882</v>
      </c>
      <c r="H4421" s="451" t="s">
        <v>22883</v>
      </c>
      <c r="I4421" s="451"/>
      <c r="J4421" s="451" t="s">
        <v>22997</v>
      </c>
      <c r="K4421" s="451"/>
    </row>
    <row r="4422" spans="1:11">
      <c r="A4422" s="450" t="s">
        <v>7585</v>
      </c>
      <c r="B4422" s="450"/>
      <c r="C4422" s="450" t="s">
        <v>7586</v>
      </c>
      <c r="D4422" s="450"/>
      <c r="E4422" s="450"/>
      <c r="F4422" s="450"/>
      <c r="G4422" s="450" t="s">
        <v>22877</v>
      </c>
      <c r="H4422" s="450" t="s">
        <v>22878</v>
      </c>
      <c r="I4422" s="450" t="s">
        <v>25294</v>
      </c>
      <c r="J4422" s="450" t="s">
        <v>22939</v>
      </c>
      <c r="K4422" s="450"/>
    </row>
    <row r="4423" spans="1:11">
      <c r="A4423" s="451" t="s">
        <v>7587</v>
      </c>
      <c r="B4423" s="451" t="s">
        <v>7588</v>
      </c>
      <c r="C4423" s="451" t="s">
        <v>7589</v>
      </c>
      <c r="D4423" s="451"/>
      <c r="E4423" s="451"/>
      <c r="F4423" s="451"/>
      <c r="G4423" s="451" t="s">
        <v>22877</v>
      </c>
      <c r="H4423" s="451" t="s">
        <v>22878</v>
      </c>
      <c r="I4423" s="451" t="s">
        <v>25295</v>
      </c>
      <c r="J4423" s="451" t="s">
        <v>25296</v>
      </c>
      <c r="K4423" s="451"/>
    </row>
    <row r="4424" spans="1:11">
      <c r="A4424" s="450" t="s">
        <v>7590</v>
      </c>
      <c r="B4424" s="450"/>
      <c r="C4424" s="450" t="s">
        <v>7591</v>
      </c>
      <c r="D4424" s="450" t="s">
        <v>7592</v>
      </c>
      <c r="E4424" s="450"/>
      <c r="F4424" s="450"/>
      <c r="G4424" s="450" t="s">
        <v>23525</v>
      </c>
      <c r="H4424" s="450" t="s">
        <v>22878</v>
      </c>
      <c r="I4424" s="450" t="s">
        <v>7592</v>
      </c>
      <c r="J4424" s="450"/>
      <c r="K4424" s="450"/>
    </row>
    <row r="4425" spans="1:11">
      <c r="A4425" s="451" t="s">
        <v>7593</v>
      </c>
      <c r="B4425" s="451"/>
      <c r="C4425" s="451" t="s">
        <v>7594</v>
      </c>
      <c r="D4425" s="451"/>
      <c r="E4425" s="451"/>
      <c r="F4425" s="451"/>
      <c r="G4425" s="451" t="s">
        <v>22877</v>
      </c>
      <c r="H4425" s="451" t="s">
        <v>22878</v>
      </c>
      <c r="I4425" s="451" t="s">
        <v>35068</v>
      </c>
      <c r="J4425" s="451" t="s">
        <v>23121</v>
      </c>
      <c r="K4425" s="451"/>
    </row>
    <row r="4426" spans="1:11">
      <c r="A4426" s="450" t="s">
        <v>7595</v>
      </c>
      <c r="B4426" s="450"/>
      <c r="C4426" s="450" t="s">
        <v>7596</v>
      </c>
      <c r="D4426" s="450"/>
      <c r="E4426" s="450"/>
      <c r="F4426" s="450"/>
      <c r="G4426" s="450" t="s">
        <v>22877</v>
      </c>
      <c r="H4426" s="450" t="s">
        <v>22878</v>
      </c>
      <c r="I4426" s="450" t="s">
        <v>35069</v>
      </c>
      <c r="J4426" s="450" t="s">
        <v>22937</v>
      </c>
      <c r="K4426" s="450"/>
    </row>
    <row r="4427" spans="1:11">
      <c r="A4427" s="451" t="s">
        <v>7597</v>
      </c>
      <c r="B4427" s="451"/>
      <c r="C4427" s="451" t="s">
        <v>2924</v>
      </c>
      <c r="D4427" s="451"/>
      <c r="E4427" s="451"/>
      <c r="F4427" s="451"/>
      <c r="G4427" s="451" t="s">
        <v>22877</v>
      </c>
      <c r="H4427" s="451" t="s">
        <v>22878</v>
      </c>
      <c r="I4427" s="451" t="s">
        <v>35070</v>
      </c>
      <c r="J4427" s="451" t="s">
        <v>22997</v>
      </c>
      <c r="K4427" s="451"/>
    </row>
    <row r="4428" spans="1:11">
      <c r="A4428" s="450" t="s">
        <v>35071</v>
      </c>
      <c r="B4428" s="450"/>
      <c r="C4428" s="450" t="s">
        <v>7596</v>
      </c>
      <c r="D4428" s="450"/>
      <c r="E4428" s="450"/>
      <c r="F4428" s="450"/>
      <c r="G4428" s="450" t="s">
        <v>22877</v>
      </c>
      <c r="H4428" s="450" t="s">
        <v>22878</v>
      </c>
      <c r="I4428" s="450" t="s">
        <v>35072</v>
      </c>
      <c r="J4428" s="450" t="s">
        <v>22943</v>
      </c>
      <c r="K4428" s="450"/>
    </row>
    <row r="4429" spans="1:11">
      <c r="A4429" s="451" t="s">
        <v>25297</v>
      </c>
      <c r="B4429" s="451"/>
      <c r="C4429" s="451" t="s">
        <v>2924</v>
      </c>
      <c r="D4429" s="451"/>
      <c r="E4429" s="451"/>
      <c r="F4429" s="451"/>
      <c r="G4429" s="451" t="s">
        <v>22877</v>
      </c>
      <c r="H4429" s="451" t="s">
        <v>22878</v>
      </c>
      <c r="I4429" s="451" t="s">
        <v>25298</v>
      </c>
      <c r="J4429" s="451" t="s">
        <v>22943</v>
      </c>
      <c r="K4429" s="451"/>
    </row>
    <row r="4430" spans="1:11">
      <c r="A4430" s="450" t="s">
        <v>35073</v>
      </c>
      <c r="B4430" s="450" t="s">
        <v>7599</v>
      </c>
      <c r="C4430" s="450" t="s">
        <v>7600</v>
      </c>
      <c r="D4430" s="450"/>
      <c r="E4430" s="450"/>
      <c r="F4430" s="450" t="s">
        <v>35074</v>
      </c>
      <c r="G4430" s="450" t="s">
        <v>22877</v>
      </c>
      <c r="H4430" s="450" t="s">
        <v>22878</v>
      </c>
      <c r="I4430" s="450" t="s">
        <v>35075</v>
      </c>
      <c r="J4430" s="450" t="s">
        <v>35076</v>
      </c>
      <c r="K4430" s="450"/>
    </row>
    <row r="4431" spans="1:11">
      <c r="A4431" s="451" t="s">
        <v>7598</v>
      </c>
      <c r="B4431" s="451" t="s">
        <v>7599</v>
      </c>
      <c r="C4431" s="451" t="s">
        <v>7600</v>
      </c>
      <c r="D4431" s="451"/>
      <c r="E4431" s="451"/>
      <c r="F4431" s="451" t="s">
        <v>7601</v>
      </c>
      <c r="G4431" s="451" t="s">
        <v>22877</v>
      </c>
      <c r="H4431" s="451" t="s">
        <v>22878</v>
      </c>
      <c r="I4431" s="451" t="s">
        <v>31187</v>
      </c>
      <c r="J4431" s="451" t="s">
        <v>31188</v>
      </c>
      <c r="K4431" s="451"/>
    </row>
    <row r="4432" spans="1:11">
      <c r="A4432" s="450" t="s">
        <v>25299</v>
      </c>
      <c r="B4432" s="450" t="s">
        <v>25300</v>
      </c>
      <c r="C4432" s="450" t="s">
        <v>25301</v>
      </c>
      <c r="D4432" s="450"/>
      <c r="E4432" s="450"/>
      <c r="F4432" s="450"/>
      <c r="G4432" s="450" t="s">
        <v>22877</v>
      </c>
      <c r="H4432" s="450" t="s">
        <v>22878</v>
      </c>
      <c r="I4432" s="450" t="s">
        <v>25302</v>
      </c>
      <c r="J4432" s="450" t="s">
        <v>25303</v>
      </c>
      <c r="K4432" s="450"/>
    </row>
    <row r="4433" spans="1:11">
      <c r="A4433" s="451" t="s">
        <v>7602</v>
      </c>
      <c r="B4433" s="451"/>
      <c r="C4433" s="451" t="s">
        <v>7501</v>
      </c>
      <c r="D4433" s="451"/>
      <c r="E4433" s="451"/>
      <c r="F4433" s="451"/>
      <c r="G4433" s="451" t="s">
        <v>22877</v>
      </c>
      <c r="H4433" s="451" t="s">
        <v>22878</v>
      </c>
      <c r="I4433" s="451" t="s">
        <v>35077</v>
      </c>
      <c r="J4433" s="451" t="s">
        <v>22939</v>
      </c>
      <c r="K4433" s="451"/>
    </row>
    <row r="4434" spans="1:11">
      <c r="A4434" s="450" t="s">
        <v>7603</v>
      </c>
      <c r="B4434" s="450"/>
      <c r="C4434" s="450" t="s">
        <v>7604</v>
      </c>
      <c r="D4434" s="450"/>
      <c r="E4434" s="450"/>
      <c r="F4434" s="450"/>
      <c r="G4434" s="450" t="s">
        <v>22882</v>
      </c>
      <c r="H4434" s="450" t="s">
        <v>22883</v>
      </c>
      <c r="I4434" s="450"/>
      <c r="J4434" s="450" t="s">
        <v>22939</v>
      </c>
      <c r="K4434" s="450"/>
    </row>
    <row r="4435" spans="1:11">
      <c r="A4435" s="451" t="s">
        <v>35078</v>
      </c>
      <c r="B4435" s="451"/>
      <c r="C4435" s="451" t="s">
        <v>7606</v>
      </c>
      <c r="D4435" s="451"/>
      <c r="E4435" s="451"/>
      <c r="F4435" s="451"/>
      <c r="G4435" s="451" t="s">
        <v>22882</v>
      </c>
      <c r="H4435" s="451" t="s">
        <v>22883</v>
      </c>
      <c r="I4435" s="451"/>
      <c r="J4435" s="451" t="s">
        <v>22943</v>
      </c>
      <c r="K4435" s="451"/>
    </row>
    <row r="4436" spans="1:11">
      <c r="A4436" s="450" t="s">
        <v>7605</v>
      </c>
      <c r="B4436" s="450"/>
      <c r="C4436" s="450" t="s">
        <v>7606</v>
      </c>
      <c r="D4436" s="450"/>
      <c r="E4436" s="450"/>
      <c r="F4436" s="450"/>
      <c r="G4436" s="450" t="s">
        <v>22882</v>
      </c>
      <c r="H4436" s="450" t="s">
        <v>22883</v>
      </c>
      <c r="I4436" s="450"/>
      <c r="J4436" s="450" t="s">
        <v>23121</v>
      </c>
      <c r="K4436" s="450"/>
    </row>
    <row r="4437" spans="1:11">
      <c r="A4437" s="451" t="s">
        <v>7607</v>
      </c>
      <c r="B4437" s="451"/>
      <c r="C4437" s="451" t="s">
        <v>7608</v>
      </c>
      <c r="D4437" s="451"/>
      <c r="E4437" s="451"/>
      <c r="F4437" s="451"/>
      <c r="G4437" s="451" t="s">
        <v>22882</v>
      </c>
      <c r="H4437" s="451" t="s">
        <v>22883</v>
      </c>
      <c r="I4437" s="451"/>
      <c r="J4437" s="451" t="s">
        <v>22937</v>
      </c>
      <c r="K4437" s="451"/>
    </row>
    <row r="4438" spans="1:11">
      <c r="A4438" s="450" t="s">
        <v>35079</v>
      </c>
      <c r="B4438" s="450"/>
      <c r="C4438" s="450" t="s">
        <v>7608</v>
      </c>
      <c r="D4438" s="450"/>
      <c r="E4438" s="450"/>
      <c r="F4438" s="450"/>
      <c r="G4438" s="450" t="s">
        <v>22882</v>
      </c>
      <c r="H4438" s="450" t="s">
        <v>22883</v>
      </c>
      <c r="I4438" s="450"/>
      <c r="J4438" s="450" t="s">
        <v>22943</v>
      </c>
      <c r="K4438" s="450"/>
    </row>
    <row r="4439" spans="1:11">
      <c r="A4439" s="451" t="s">
        <v>35080</v>
      </c>
      <c r="B4439" s="451"/>
      <c r="C4439" s="451" t="s">
        <v>7610</v>
      </c>
      <c r="D4439" s="451"/>
      <c r="E4439" s="451"/>
      <c r="F4439" s="451"/>
      <c r="G4439" s="451" t="s">
        <v>22882</v>
      </c>
      <c r="H4439" s="451" t="s">
        <v>22883</v>
      </c>
      <c r="I4439" s="451"/>
      <c r="J4439" s="451" t="s">
        <v>23370</v>
      </c>
      <c r="K4439" s="451"/>
    </row>
    <row r="4440" spans="1:11">
      <c r="A4440" s="450" t="s">
        <v>7609</v>
      </c>
      <c r="B4440" s="450"/>
      <c r="C4440" s="450" t="s">
        <v>7610</v>
      </c>
      <c r="D4440" s="450"/>
      <c r="E4440" s="450"/>
      <c r="F4440" s="450"/>
      <c r="G4440" s="450" t="s">
        <v>22877</v>
      </c>
      <c r="H4440" s="450" t="s">
        <v>22878</v>
      </c>
      <c r="I4440" s="450" t="s">
        <v>31189</v>
      </c>
      <c r="J4440" s="450" t="s">
        <v>22943</v>
      </c>
      <c r="K4440" s="450"/>
    </row>
    <row r="4441" spans="1:11">
      <c r="A4441" s="451" t="s">
        <v>25304</v>
      </c>
      <c r="B4441" s="451" t="s">
        <v>25305</v>
      </c>
      <c r="C4441" s="451" t="s">
        <v>7612</v>
      </c>
      <c r="D4441" s="451"/>
      <c r="E4441" s="451"/>
      <c r="F4441" s="451"/>
      <c r="G4441" s="451" t="s">
        <v>22877</v>
      </c>
      <c r="H4441" s="451" t="s">
        <v>22878</v>
      </c>
      <c r="I4441" s="451" t="s">
        <v>25306</v>
      </c>
      <c r="J4441" s="451" t="s">
        <v>25307</v>
      </c>
      <c r="K4441" s="451"/>
    </row>
    <row r="4442" spans="1:11">
      <c r="A4442" s="450" t="s">
        <v>7611</v>
      </c>
      <c r="B4442" s="450"/>
      <c r="C4442" s="450" t="s">
        <v>7612</v>
      </c>
      <c r="D4442" s="450"/>
      <c r="E4442" s="450"/>
      <c r="F4442" s="450"/>
      <c r="G4442" s="450" t="s">
        <v>22877</v>
      </c>
      <c r="H4442" s="450" t="s">
        <v>22878</v>
      </c>
      <c r="I4442" s="450"/>
      <c r="J4442" s="450" t="s">
        <v>22937</v>
      </c>
      <c r="K4442" s="450"/>
    </row>
    <row r="4443" spans="1:11">
      <c r="A4443" s="451" t="s">
        <v>7613</v>
      </c>
      <c r="B4443" s="451"/>
      <c r="C4443" s="451" t="s">
        <v>7614</v>
      </c>
      <c r="D4443" s="451"/>
      <c r="E4443" s="451"/>
      <c r="F4443" s="451"/>
      <c r="G4443" s="451" t="s">
        <v>22877</v>
      </c>
      <c r="H4443" s="451" t="s">
        <v>22878</v>
      </c>
      <c r="I4443" s="451" t="s">
        <v>25308</v>
      </c>
      <c r="J4443" s="451" t="s">
        <v>23133</v>
      </c>
      <c r="K4443" s="451"/>
    </row>
    <row r="4444" spans="1:11">
      <c r="A4444" s="450" t="s">
        <v>25309</v>
      </c>
      <c r="B4444" s="450" t="s">
        <v>25310</v>
      </c>
      <c r="C4444" s="450" t="s">
        <v>25311</v>
      </c>
      <c r="D4444" s="450"/>
      <c r="E4444" s="450"/>
      <c r="F4444" s="450"/>
      <c r="G4444" s="450" t="s">
        <v>22877</v>
      </c>
      <c r="H4444" s="450" t="s">
        <v>22878</v>
      </c>
      <c r="I4444" s="450" t="s">
        <v>25312</v>
      </c>
      <c r="J4444" s="450" t="s">
        <v>25313</v>
      </c>
      <c r="K4444" s="450"/>
    </row>
    <row r="4445" spans="1:11">
      <c r="A4445" s="451" t="s">
        <v>35081</v>
      </c>
      <c r="B4445" s="451" t="s">
        <v>7616</v>
      </c>
      <c r="C4445" s="451" t="s">
        <v>7617</v>
      </c>
      <c r="D4445" s="451" t="s">
        <v>7618</v>
      </c>
      <c r="E4445" s="451"/>
      <c r="F4445" s="451"/>
      <c r="G4445" s="451" t="s">
        <v>22877</v>
      </c>
      <c r="H4445" s="451" t="s">
        <v>22878</v>
      </c>
      <c r="I4445" s="451" t="s">
        <v>35082</v>
      </c>
      <c r="J4445" s="451" t="s">
        <v>35083</v>
      </c>
      <c r="K4445" s="451"/>
    </row>
    <row r="4446" spans="1:11">
      <c r="A4446" s="450" t="s">
        <v>7615</v>
      </c>
      <c r="B4446" s="450" t="s">
        <v>7616</v>
      </c>
      <c r="C4446" s="450" t="s">
        <v>7617</v>
      </c>
      <c r="D4446" s="450" t="s">
        <v>7618</v>
      </c>
      <c r="E4446" s="450" t="s">
        <v>7619</v>
      </c>
      <c r="F4446" s="450"/>
      <c r="G4446" s="450" t="s">
        <v>22877</v>
      </c>
      <c r="H4446" s="450" t="s">
        <v>22878</v>
      </c>
      <c r="I4446" s="450" t="s">
        <v>24863</v>
      </c>
      <c r="J4446" s="450" t="s">
        <v>31190</v>
      </c>
      <c r="K4446" s="450"/>
    </row>
    <row r="4447" spans="1:11">
      <c r="A4447" s="451" t="s">
        <v>7620</v>
      </c>
      <c r="B4447" s="451"/>
      <c r="C4447" s="451" t="s">
        <v>7621</v>
      </c>
      <c r="D4447" s="451"/>
      <c r="E4447" s="451"/>
      <c r="F4447" s="451"/>
      <c r="G4447" s="451" t="s">
        <v>22882</v>
      </c>
      <c r="H4447" s="451" t="s">
        <v>22883</v>
      </c>
      <c r="I4447" s="451"/>
      <c r="J4447" s="451" t="s">
        <v>22997</v>
      </c>
      <c r="K4447" s="451"/>
    </row>
    <row r="4448" spans="1:11">
      <c r="A4448" s="450" t="s">
        <v>7622</v>
      </c>
      <c r="B4448" s="450"/>
      <c r="C4448" s="450"/>
      <c r="D4448" s="450" t="s">
        <v>7623</v>
      </c>
      <c r="E4448" s="450"/>
      <c r="F4448" s="450" t="s">
        <v>35084</v>
      </c>
      <c r="G4448" s="450" t="s">
        <v>22877</v>
      </c>
      <c r="H4448" s="450" t="s">
        <v>22878</v>
      </c>
      <c r="I4448" s="450" t="s">
        <v>35085</v>
      </c>
      <c r="J4448" s="450" t="s">
        <v>35086</v>
      </c>
      <c r="K4448" s="450"/>
    </row>
    <row r="4449" spans="1:11">
      <c r="A4449" s="451" t="s">
        <v>7622</v>
      </c>
      <c r="B4449" s="451"/>
      <c r="C4449" s="451"/>
      <c r="D4449" s="451" t="s">
        <v>7623</v>
      </c>
      <c r="E4449" s="451" t="s">
        <v>7624</v>
      </c>
      <c r="F4449" s="451" t="s">
        <v>7625</v>
      </c>
      <c r="G4449" s="451" t="s">
        <v>22877</v>
      </c>
      <c r="H4449" s="451" t="s">
        <v>22878</v>
      </c>
      <c r="I4449" s="451" t="s">
        <v>7623</v>
      </c>
      <c r="J4449" s="451" t="s">
        <v>35087</v>
      </c>
      <c r="K4449" s="451"/>
    </row>
    <row r="4450" spans="1:11">
      <c r="A4450" s="450" t="s">
        <v>7626</v>
      </c>
      <c r="B4450" s="450"/>
      <c r="C4450" s="450" t="s">
        <v>7627</v>
      </c>
      <c r="D4450" s="450"/>
      <c r="E4450" s="450"/>
      <c r="F4450" s="450"/>
      <c r="G4450" s="450" t="s">
        <v>22877</v>
      </c>
      <c r="H4450" s="450" t="s">
        <v>22878</v>
      </c>
      <c r="I4450" s="450" t="s">
        <v>25314</v>
      </c>
      <c r="J4450" s="450" t="s">
        <v>22939</v>
      </c>
      <c r="K4450" s="450"/>
    </row>
    <row r="4451" spans="1:11">
      <c r="A4451" s="451" t="s">
        <v>21006</v>
      </c>
      <c r="B4451" s="451" t="s">
        <v>21007</v>
      </c>
      <c r="C4451" s="451" t="s">
        <v>21008</v>
      </c>
      <c r="D4451" s="451" t="s">
        <v>15658</v>
      </c>
      <c r="E4451" s="451"/>
      <c r="F4451" s="451"/>
      <c r="G4451" s="451" t="s">
        <v>22877</v>
      </c>
      <c r="H4451" s="451" t="s">
        <v>22878</v>
      </c>
      <c r="I4451" s="451" t="s">
        <v>15658</v>
      </c>
      <c r="J4451" s="451" t="s">
        <v>31191</v>
      </c>
      <c r="K4451" s="451"/>
    </row>
    <row r="4452" spans="1:11">
      <c r="A4452" s="450" t="s">
        <v>7628</v>
      </c>
      <c r="B4452" s="450"/>
      <c r="C4452" s="450" t="s">
        <v>7629</v>
      </c>
      <c r="D4452" s="450"/>
      <c r="E4452" s="450"/>
      <c r="F4452" s="450"/>
      <c r="G4452" s="450" t="s">
        <v>22877</v>
      </c>
      <c r="H4452" s="450" t="s">
        <v>22878</v>
      </c>
      <c r="I4452" s="450" t="s">
        <v>31192</v>
      </c>
      <c r="J4452" s="450" t="s">
        <v>22937</v>
      </c>
      <c r="K4452" s="450"/>
    </row>
    <row r="4453" spans="1:11">
      <c r="A4453" s="451" t="s">
        <v>35088</v>
      </c>
      <c r="B4453" s="451"/>
      <c r="C4453" s="451" t="s">
        <v>7629</v>
      </c>
      <c r="D4453" s="451"/>
      <c r="E4453" s="451"/>
      <c r="F4453" s="451"/>
      <c r="G4453" s="451" t="s">
        <v>22882</v>
      </c>
      <c r="H4453" s="451" t="s">
        <v>22883</v>
      </c>
      <c r="I4453" s="451"/>
      <c r="J4453" s="451" t="s">
        <v>22943</v>
      </c>
      <c r="K4453" s="451"/>
    </row>
    <row r="4454" spans="1:11">
      <c r="A4454" s="450" t="s">
        <v>21668</v>
      </c>
      <c r="B4454" s="450" t="s">
        <v>7630</v>
      </c>
      <c r="C4454" s="450" t="s">
        <v>2062</v>
      </c>
      <c r="D4454" s="450"/>
      <c r="E4454" s="450"/>
      <c r="F4454" s="450"/>
      <c r="G4454" s="450" t="s">
        <v>22882</v>
      </c>
      <c r="H4454" s="450" t="s">
        <v>22883</v>
      </c>
      <c r="I4454" s="450"/>
      <c r="J4454" s="450" t="s">
        <v>25315</v>
      </c>
      <c r="K4454" s="450"/>
    </row>
    <row r="4455" spans="1:11">
      <c r="A4455" s="451" t="s">
        <v>7631</v>
      </c>
      <c r="B4455" s="451"/>
      <c r="C4455" s="451" t="s">
        <v>7632</v>
      </c>
      <c r="D4455" s="451"/>
      <c r="E4455" s="451"/>
      <c r="F4455" s="451"/>
      <c r="G4455" s="451" t="s">
        <v>22877</v>
      </c>
      <c r="H4455" s="451" t="s">
        <v>22878</v>
      </c>
      <c r="I4455" s="451" t="s">
        <v>25316</v>
      </c>
      <c r="J4455" s="451" t="s">
        <v>22997</v>
      </c>
      <c r="K4455" s="451"/>
    </row>
    <row r="4456" spans="1:11">
      <c r="A4456" s="450" t="s">
        <v>21669</v>
      </c>
      <c r="B4456" s="450" t="s">
        <v>25317</v>
      </c>
      <c r="C4456" s="450" t="s">
        <v>7634</v>
      </c>
      <c r="D4456" s="450" t="s">
        <v>7635</v>
      </c>
      <c r="E4456" s="450"/>
      <c r="F4456" s="450"/>
      <c r="G4456" s="450" t="s">
        <v>22877</v>
      </c>
      <c r="H4456" s="450" t="s">
        <v>22878</v>
      </c>
      <c r="I4456" s="450" t="s">
        <v>25318</v>
      </c>
      <c r="J4456" s="450" t="s">
        <v>25319</v>
      </c>
      <c r="K4456" s="450"/>
    </row>
    <row r="4457" spans="1:11">
      <c r="A4457" s="451" t="s">
        <v>21669</v>
      </c>
      <c r="B4457" s="451" t="s">
        <v>7633</v>
      </c>
      <c r="C4457" s="451" t="s">
        <v>7634</v>
      </c>
      <c r="D4457" s="451" t="s">
        <v>7635</v>
      </c>
      <c r="E4457" s="451"/>
      <c r="F4457" s="451"/>
      <c r="G4457" s="451" t="s">
        <v>22877</v>
      </c>
      <c r="H4457" s="451" t="s">
        <v>22878</v>
      </c>
      <c r="I4457" s="451" t="s">
        <v>31193</v>
      </c>
      <c r="J4457" s="451" t="s">
        <v>31194</v>
      </c>
      <c r="K4457" s="451"/>
    </row>
    <row r="4458" spans="1:11">
      <c r="A4458" s="450" t="s">
        <v>35089</v>
      </c>
      <c r="B4458" s="450" t="s">
        <v>7636</v>
      </c>
      <c r="C4458" s="450" t="s">
        <v>7637</v>
      </c>
      <c r="D4458" s="450"/>
      <c r="E4458" s="450"/>
      <c r="F4458" s="450" t="s">
        <v>7638</v>
      </c>
      <c r="G4458" s="450" t="s">
        <v>22877</v>
      </c>
      <c r="H4458" s="450" t="s">
        <v>22878</v>
      </c>
      <c r="I4458" s="450" t="s">
        <v>35090</v>
      </c>
      <c r="J4458" s="450" t="s">
        <v>35091</v>
      </c>
      <c r="K4458" s="450"/>
    </row>
    <row r="4459" spans="1:11">
      <c r="A4459" s="451" t="s">
        <v>21670</v>
      </c>
      <c r="B4459" s="451" t="s">
        <v>7636</v>
      </c>
      <c r="C4459" s="451" t="s">
        <v>7637</v>
      </c>
      <c r="D4459" s="451"/>
      <c r="E4459" s="451"/>
      <c r="F4459" s="451" t="s">
        <v>7638</v>
      </c>
      <c r="G4459" s="451" t="s">
        <v>22877</v>
      </c>
      <c r="H4459" s="451" t="s">
        <v>22878</v>
      </c>
      <c r="I4459" s="451" t="s">
        <v>31195</v>
      </c>
      <c r="J4459" s="451" t="s">
        <v>31196</v>
      </c>
      <c r="K4459" s="451"/>
    </row>
    <row r="4460" spans="1:11">
      <c r="A4460" s="450" t="s">
        <v>35092</v>
      </c>
      <c r="B4460" s="450"/>
      <c r="C4460" s="450" t="s">
        <v>7640</v>
      </c>
      <c r="D4460" s="450"/>
      <c r="E4460" s="450"/>
      <c r="F4460" s="450"/>
      <c r="G4460" s="450" t="s">
        <v>22877</v>
      </c>
      <c r="H4460" s="450" t="s">
        <v>22878</v>
      </c>
      <c r="I4460" s="450" t="s">
        <v>35093</v>
      </c>
      <c r="J4460" s="450" t="s">
        <v>23370</v>
      </c>
      <c r="K4460" s="450"/>
    </row>
    <row r="4461" spans="1:11">
      <c r="A4461" s="451" t="s">
        <v>7639</v>
      </c>
      <c r="B4461" s="451"/>
      <c r="C4461" s="451" t="s">
        <v>7640</v>
      </c>
      <c r="D4461" s="451"/>
      <c r="E4461" s="451"/>
      <c r="F4461" s="451"/>
      <c r="G4461" s="451" t="s">
        <v>22877</v>
      </c>
      <c r="H4461" s="451" t="s">
        <v>22878</v>
      </c>
      <c r="I4461" s="451" t="s">
        <v>31197</v>
      </c>
      <c r="J4461" s="451" t="s">
        <v>22937</v>
      </c>
      <c r="K4461" s="451"/>
    </row>
    <row r="4462" spans="1:11">
      <c r="A4462" s="450" t="s">
        <v>7641</v>
      </c>
      <c r="B4462" s="450" t="s">
        <v>7642</v>
      </c>
      <c r="C4462" s="450" t="s">
        <v>7643</v>
      </c>
      <c r="D4462" s="450" t="s">
        <v>7644</v>
      </c>
      <c r="E4462" s="450"/>
      <c r="F4462" s="450"/>
      <c r="G4462" s="450" t="s">
        <v>22877</v>
      </c>
      <c r="H4462" s="450" t="s">
        <v>22878</v>
      </c>
      <c r="I4462" s="450" t="s">
        <v>35094</v>
      </c>
      <c r="J4462" s="450" t="s">
        <v>25320</v>
      </c>
      <c r="K4462" s="450"/>
    </row>
    <row r="4463" spans="1:11">
      <c r="A4463" s="451" t="s">
        <v>7641</v>
      </c>
      <c r="B4463" s="451" t="s">
        <v>7642</v>
      </c>
      <c r="C4463" s="451" t="s">
        <v>7643</v>
      </c>
      <c r="D4463" s="451" t="s">
        <v>7644</v>
      </c>
      <c r="E4463" s="451" t="s">
        <v>7645</v>
      </c>
      <c r="F4463" s="451"/>
      <c r="G4463" s="451" t="s">
        <v>22877</v>
      </c>
      <c r="H4463" s="451" t="s">
        <v>22878</v>
      </c>
      <c r="I4463" s="451" t="s">
        <v>7644</v>
      </c>
      <c r="J4463" s="451" t="s">
        <v>25320</v>
      </c>
      <c r="K4463" s="451"/>
    </row>
    <row r="4464" spans="1:11">
      <c r="A4464" s="450" t="s">
        <v>7646</v>
      </c>
      <c r="B4464" s="450"/>
      <c r="C4464" s="450" t="s">
        <v>7647</v>
      </c>
      <c r="D4464" s="450"/>
      <c r="E4464" s="450"/>
      <c r="F4464" s="450"/>
      <c r="G4464" s="450" t="s">
        <v>22882</v>
      </c>
      <c r="H4464" s="450" t="s">
        <v>22883</v>
      </c>
      <c r="I4464" s="450"/>
      <c r="J4464" s="450" t="s">
        <v>22939</v>
      </c>
      <c r="K4464" s="450"/>
    </row>
    <row r="4465" spans="1:11">
      <c r="A4465" s="451" t="s">
        <v>7648</v>
      </c>
      <c r="B4465" s="451" t="s">
        <v>25321</v>
      </c>
      <c r="C4465" s="451" t="s">
        <v>7650</v>
      </c>
      <c r="D4465" s="451" t="s">
        <v>4850</v>
      </c>
      <c r="E4465" s="451"/>
      <c r="F4465" s="451"/>
      <c r="G4465" s="451" t="s">
        <v>22877</v>
      </c>
      <c r="H4465" s="451" t="s">
        <v>22878</v>
      </c>
      <c r="I4465" s="451" t="s">
        <v>25322</v>
      </c>
      <c r="J4465" s="451" t="s">
        <v>25323</v>
      </c>
      <c r="K4465" s="451"/>
    </row>
    <row r="4466" spans="1:11">
      <c r="A4466" s="450" t="s">
        <v>7648</v>
      </c>
      <c r="B4466" s="450" t="s">
        <v>7649</v>
      </c>
      <c r="C4466" s="450" t="s">
        <v>7650</v>
      </c>
      <c r="D4466" s="450" t="s">
        <v>4850</v>
      </c>
      <c r="E4466" s="450" t="s">
        <v>4851</v>
      </c>
      <c r="F4466" s="450"/>
      <c r="G4466" s="450" t="s">
        <v>22877</v>
      </c>
      <c r="H4466" s="450" t="s">
        <v>22878</v>
      </c>
      <c r="I4466" s="450"/>
      <c r="J4466" s="450" t="s">
        <v>31198</v>
      </c>
      <c r="K4466" s="450"/>
    </row>
    <row r="4467" spans="1:11">
      <c r="A4467" s="451" t="s">
        <v>7651</v>
      </c>
      <c r="B4467" s="451"/>
      <c r="C4467" s="451" t="s">
        <v>7652</v>
      </c>
      <c r="D4467" s="451"/>
      <c r="E4467" s="451"/>
      <c r="F4467" s="451"/>
      <c r="G4467" s="451" t="s">
        <v>22877</v>
      </c>
      <c r="H4467" s="451" t="s">
        <v>22878</v>
      </c>
      <c r="I4467" s="451" t="s">
        <v>25324</v>
      </c>
      <c r="J4467" s="451" t="s">
        <v>22943</v>
      </c>
      <c r="K4467" s="451"/>
    </row>
    <row r="4468" spans="1:11">
      <c r="A4468" s="450" t="s">
        <v>35095</v>
      </c>
      <c r="B4468" s="450" t="s">
        <v>7654</v>
      </c>
      <c r="C4468" s="450" t="s">
        <v>6812</v>
      </c>
      <c r="D4468" s="450" t="s">
        <v>7655</v>
      </c>
      <c r="E4468" s="450"/>
      <c r="F4468" s="450"/>
      <c r="G4468" s="450" t="s">
        <v>22882</v>
      </c>
      <c r="H4468" s="450" t="s">
        <v>22883</v>
      </c>
      <c r="I4468" s="450"/>
      <c r="J4468" s="450" t="s">
        <v>25325</v>
      </c>
      <c r="K4468" s="450"/>
    </row>
    <row r="4469" spans="1:11">
      <c r="A4469" s="451" t="s">
        <v>7653</v>
      </c>
      <c r="B4469" s="451" t="s">
        <v>7654</v>
      </c>
      <c r="C4469" s="451" t="s">
        <v>6812</v>
      </c>
      <c r="D4469" s="451" t="s">
        <v>7655</v>
      </c>
      <c r="E4469" s="451" t="s">
        <v>7656</v>
      </c>
      <c r="F4469" s="451"/>
      <c r="G4469" s="451" t="s">
        <v>22882</v>
      </c>
      <c r="H4469" s="451" t="s">
        <v>22883</v>
      </c>
      <c r="I4469" s="451"/>
      <c r="J4469" s="451" t="s">
        <v>25325</v>
      </c>
      <c r="K4469" s="451"/>
    </row>
    <row r="4470" spans="1:11">
      <c r="A4470" s="450" t="s">
        <v>25326</v>
      </c>
      <c r="B4470" s="450" t="s">
        <v>25327</v>
      </c>
      <c r="C4470" s="450" t="s">
        <v>25328</v>
      </c>
      <c r="D4470" s="450" t="s">
        <v>25329</v>
      </c>
      <c r="E4470" s="450"/>
      <c r="F4470" s="450"/>
      <c r="G4470" s="450" t="s">
        <v>22877</v>
      </c>
      <c r="H4470" s="450" t="s">
        <v>22878</v>
      </c>
      <c r="I4470" s="450" t="s">
        <v>25330</v>
      </c>
      <c r="J4470" s="450" t="s">
        <v>25331</v>
      </c>
      <c r="K4470" s="450"/>
    </row>
    <row r="4471" spans="1:11">
      <c r="A4471" s="451" t="s">
        <v>7657</v>
      </c>
      <c r="B4471" s="451"/>
      <c r="C4471" s="451" t="s">
        <v>7658</v>
      </c>
      <c r="D4471" s="451"/>
      <c r="E4471" s="451"/>
      <c r="F4471" s="451"/>
      <c r="G4471" s="451" t="s">
        <v>22877</v>
      </c>
      <c r="H4471" s="451" t="s">
        <v>22878</v>
      </c>
      <c r="I4471" s="451" t="s">
        <v>35096</v>
      </c>
      <c r="J4471" s="451" t="s">
        <v>23121</v>
      </c>
      <c r="K4471" s="451"/>
    </row>
    <row r="4472" spans="1:11">
      <c r="A4472" s="450" t="s">
        <v>7659</v>
      </c>
      <c r="B4472" s="450"/>
      <c r="C4472" s="450" t="s">
        <v>7660</v>
      </c>
      <c r="D4472" s="450"/>
      <c r="E4472" s="450"/>
      <c r="F4472" s="450"/>
      <c r="G4472" s="450" t="s">
        <v>22877</v>
      </c>
      <c r="H4472" s="450" t="s">
        <v>22878</v>
      </c>
      <c r="I4472" s="450" t="s">
        <v>25332</v>
      </c>
      <c r="J4472" s="450" t="s">
        <v>22997</v>
      </c>
      <c r="K4472" s="450"/>
    </row>
    <row r="4473" spans="1:11">
      <c r="A4473" s="451" t="s">
        <v>35097</v>
      </c>
      <c r="B4473" s="451" t="s">
        <v>7662</v>
      </c>
      <c r="C4473" s="451" t="s">
        <v>7663</v>
      </c>
      <c r="D4473" s="451" t="s">
        <v>7664</v>
      </c>
      <c r="E4473" s="451"/>
      <c r="F4473" s="451"/>
      <c r="G4473" s="451" t="s">
        <v>22877</v>
      </c>
      <c r="H4473" s="451" t="s">
        <v>22878</v>
      </c>
      <c r="I4473" s="451" t="s">
        <v>35098</v>
      </c>
      <c r="J4473" s="451" t="s">
        <v>35099</v>
      </c>
      <c r="K4473" s="451"/>
    </row>
    <row r="4474" spans="1:11">
      <c r="A4474" s="450" t="s">
        <v>7661</v>
      </c>
      <c r="B4474" s="450" t="s">
        <v>7662</v>
      </c>
      <c r="C4474" s="450" t="s">
        <v>7663</v>
      </c>
      <c r="D4474" s="450" t="s">
        <v>7664</v>
      </c>
      <c r="E4474" s="450" t="s">
        <v>7665</v>
      </c>
      <c r="F4474" s="450"/>
      <c r="G4474" s="450" t="s">
        <v>22877</v>
      </c>
      <c r="H4474" s="450" t="s">
        <v>22878</v>
      </c>
      <c r="I4474" s="450"/>
      <c r="J4474" s="450" t="s">
        <v>31199</v>
      </c>
      <c r="K4474" s="450"/>
    </row>
    <row r="4475" spans="1:11">
      <c r="A4475" s="451" t="s">
        <v>35100</v>
      </c>
      <c r="B4475" s="451" t="s">
        <v>7666</v>
      </c>
      <c r="C4475" s="451" t="s">
        <v>7667</v>
      </c>
      <c r="D4475" s="451" t="s">
        <v>7668</v>
      </c>
      <c r="E4475" s="451"/>
      <c r="F4475" s="451"/>
      <c r="G4475" s="451" t="s">
        <v>22877</v>
      </c>
      <c r="H4475" s="451" t="s">
        <v>22878</v>
      </c>
      <c r="I4475" s="451" t="s">
        <v>25333</v>
      </c>
      <c r="J4475" s="451" t="s">
        <v>35101</v>
      </c>
      <c r="K4475" s="451"/>
    </row>
    <row r="4476" spans="1:11">
      <c r="A4476" s="450" t="s">
        <v>21671</v>
      </c>
      <c r="B4476" s="450" t="s">
        <v>7666</v>
      </c>
      <c r="C4476" s="450" t="s">
        <v>7667</v>
      </c>
      <c r="D4476" s="450" t="s">
        <v>7668</v>
      </c>
      <c r="E4476" s="450" t="s">
        <v>7669</v>
      </c>
      <c r="F4476" s="450"/>
      <c r="G4476" s="450" t="s">
        <v>22877</v>
      </c>
      <c r="H4476" s="450" t="s">
        <v>22878</v>
      </c>
      <c r="I4476" s="450"/>
      <c r="J4476" s="450" t="s">
        <v>31200</v>
      </c>
      <c r="K4476" s="450"/>
    </row>
    <row r="4477" spans="1:11">
      <c r="A4477" s="451" t="s">
        <v>7670</v>
      </c>
      <c r="B4477" s="451"/>
      <c r="C4477" s="451" t="s">
        <v>7671</v>
      </c>
      <c r="D4477" s="451"/>
      <c r="E4477" s="451"/>
      <c r="F4477" s="451"/>
      <c r="G4477" s="451" t="s">
        <v>22877</v>
      </c>
      <c r="H4477" s="451" t="s">
        <v>22878</v>
      </c>
      <c r="I4477" s="451" t="s">
        <v>35102</v>
      </c>
      <c r="J4477" s="451" t="s">
        <v>22939</v>
      </c>
      <c r="K4477" s="451"/>
    </row>
    <row r="4478" spans="1:11">
      <c r="A4478" s="450" t="s">
        <v>35103</v>
      </c>
      <c r="B4478" s="450"/>
      <c r="C4478" s="450" t="s">
        <v>7671</v>
      </c>
      <c r="D4478" s="450"/>
      <c r="E4478" s="450"/>
      <c r="F4478" s="450"/>
      <c r="G4478" s="450" t="s">
        <v>22877</v>
      </c>
      <c r="H4478" s="450" t="s">
        <v>22878</v>
      </c>
      <c r="I4478" s="450" t="s">
        <v>35104</v>
      </c>
      <c r="J4478" s="450" t="s">
        <v>22997</v>
      </c>
      <c r="K4478" s="450"/>
    </row>
    <row r="4479" spans="1:11">
      <c r="A4479" s="451" t="s">
        <v>7672</v>
      </c>
      <c r="B4479" s="451"/>
      <c r="C4479" s="451" t="s">
        <v>4365</v>
      </c>
      <c r="D4479" s="451"/>
      <c r="E4479" s="451"/>
      <c r="F4479" s="451"/>
      <c r="G4479" s="451" t="s">
        <v>22882</v>
      </c>
      <c r="H4479" s="451" t="s">
        <v>22883</v>
      </c>
      <c r="I4479" s="451"/>
      <c r="J4479" s="451" t="s">
        <v>23121</v>
      </c>
      <c r="K4479" s="451"/>
    </row>
    <row r="4480" spans="1:11">
      <c r="A4480" s="450" t="s">
        <v>7673</v>
      </c>
      <c r="B4480" s="450" t="s">
        <v>7674</v>
      </c>
      <c r="C4480" s="450" t="s">
        <v>7675</v>
      </c>
      <c r="D4480" s="450"/>
      <c r="E4480" s="450"/>
      <c r="F4480" s="450" t="s">
        <v>7676</v>
      </c>
      <c r="G4480" s="450" t="s">
        <v>22877</v>
      </c>
      <c r="H4480" s="450" t="s">
        <v>22878</v>
      </c>
      <c r="I4480" s="450" t="s">
        <v>25334</v>
      </c>
      <c r="J4480" s="450" t="s">
        <v>25335</v>
      </c>
      <c r="K4480" s="450"/>
    </row>
    <row r="4481" spans="1:11">
      <c r="A4481" s="451" t="s">
        <v>7677</v>
      </c>
      <c r="B4481" s="451" t="s">
        <v>7678</v>
      </c>
      <c r="C4481" s="451" t="s">
        <v>7679</v>
      </c>
      <c r="D4481" s="451"/>
      <c r="E4481" s="451"/>
      <c r="F4481" s="451"/>
      <c r="G4481" s="451" t="s">
        <v>22877</v>
      </c>
      <c r="H4481" s="451" t="s">
        <v>22878</v>
      </c>
      <c r="I4481" s="451" t="s">
        <v>25336</v>
      </c>
      <c r="J4481" s="451" t="s">
        <v>25337</v>
      </c>
      <c r="K4481" s="451"/>
    </row>
    <row r="4482" spans="1:11">
      <c r="A4482" s="450" t="s">
        <v>7680</v>
      </c>
      <c r="B4482" s="450"/>
      <c r="C4482" s="450" t="s">
        <v>7681</v>
      </c>
      <c r="D4482" s="450"/>
      <c r="E4482" s="450"/>
      <c r="F4482" s="450"/>
      <c r="G4482" s="450" t="s">
        <v>22882</v>
      </c>
      <c r="H4482" s="450" t="s">
        <v>22883</v>
      </c>
      <c r="I4482" s="450"/>
      <c r="J4482" s="450" t="s">
        <v>22943</v>
      </c>
      <c r="K4482" s="450"/>
    </row>
    <row r="4483" spans="1:11">
      <c r="A4483" s="451" t="s">
        <v>35105</v>
      </c>
      <c r="B4483" s="451" t="s">
        <v>7683</v>
      </c>
      <c r="C4483" s="451" t="s">
        <v>7684</v>
      </c>
      <c r="D4483" s="451" t="s">
        <v>7685</v>
      </c>
      <c r="E4483" s="451"/>
      <c r="F4483" s="451"/>
      <c r="G4483" s="451" t="s">
        <v>22877</v>
      </c>
      <c r="H4483" s="451" t="s">
        <v>22878</v>
      </c>
      <c r="I4483" s="451" t="s">
        <v>23389</v>
      </c>
      <c r="J4483" s="451" t="s">
        <v>35106</v>
      </c>
      <c r="K4483" s="451"/>
    </row>
    <row r="4484" spans="1:11">
      <c r="A4484" s="450" t="s">
        <v>7682</v>
      </c>
      <c r="B4484" s="450" t="s">
        <v>7683</v>
      </c>
      <c r="C4484" s="450" t="s">
        <v>7684</v>
      </c>
      <c r="D4484" s="450" t="s">
        <v>7685</v>
      </c>
      <c r="E4484" s="450" t="s">
        <v>7686</v>
      </c>
      <c r="F4484" s="450"/>
      <c r="G4484" s="450" t="s">
        <v>22877</v>
      </c>
      <c r="H4484" s="450" t="s">
        <v>22878</v>
      </c>
      <c r="I4484" s="450"/>
      <c r="J4484" s="450" t="s">
        <v>31201</v>
      </c>
      <c r="K4484" s="450"/>
    </row>
    <row r="4485" spans="1:11">
      <c r="A4485" s="451" t="s">
        <v>35107</v>
      </c>
      <c r="B4485" s="451" t="s">
        <v>7687</v>
      </c>
      <c r="C4485" s="451" t="s">
        <v>7688</v>
      </c>
      <c r="D4485" s="451" t="s">
        <v>7689</v>
      </c>
      <c r="E4485" s="451"/>
      <c r="F4485" s="451"/>
      <c r="G4485" s="451" t="s">
        <v>22877</v>
      </c>
      <c r="H4485" s="451" t="s">
        <v>22878</v>
      </c>
      <c r="I4485" s="451" t="s">
        <v>35108</v>
      </c>
      <c r="J4485" s="451" t="s">
        <v>35109</v>
      </c>
      <c r="K4485" s="451"/>
    </row>
    <row r="4486" spans="1:11">
      <c r="A4486" s="450" t="s">
        <v>21672</v>
      </c>
      <c r="B4486" s="450" t="s">
        <v>7687</v>
      </c>
      <c r="C4486" s="450" t="s">
        <v>7688</v>
      </c>
      <c r="D4486" s="450" t="s">
        <v>7689</v>
      </c>
      <c r="E4486" s="450" t="s">
        <v>7690</v>
      </c>
      <c r="F4486" s="450"/>
      <c r="G4486" s="450" t="s">
        <v>22877</v>
      </c>
      <c r="H4486" s="450" t="s">
        <v>22878</v>
      </c>
      <c r="I4486" s="450" t="s">
        <v>7689</v>
      </c>
      <c r="J4486" s="450" t="s">
        <v>31202</v>
      </c>
      <c r="K4486" s="450"/>
    </row>
    <row r="4487" spans="1:11">
      <c r="A4487" s="451" t="s">
        <v>35110</v>
      </c>
      <c r="B4487" s="451"/>
      <c r="C4487" s="451" t="s">
        <v>7692</v>
      </c>
      <c r="D4487" s="451"/>
      <c r="E4487" s="451"/>
      <c r="F4487" s="451"/>
      <c r="G4487" s="451" t="s">
        <v>22877</v>
      </c>
      <c r="H4487" s="451" t="s">
        <v>22878</v>
      </c>
      <c r="I4487" s="451" t="s">
        <v>35111</v>
      </c>
      <c r="J4487" s="451" t="s">
        <v>22943</v>
      </c>
      <c r="K4487" s="451"/>
    </row>
    <row r="4488" spans="1:11">
      <c r="A4488" s="450" t="s">
        <v>7691</v>
      </c>
      <c r="B4488" s="450"/>
      <c r="C4488" s="450" t="s">
        <v>7692</v>
      </c>
      <c r="D4488" s="450"/>
      <c r="E4488" s="450"/>
      <c r="F4488" s="450"/>
      <c r="G4488" s="450" t="s">
        <v>22877</v>
      </c>
      <c r="H4488" s="450" t="s">
        <v>22878</v>
      </c>
      <c r="I4488" s="450" t="s">
        <v>35112</v>
      </c>
      <c r="J4488" s="450" t="s">
        <v>22939</v>
      </c>
      <c r="K4488" s="450"/>
    </row>
    <row r="4489" spans="1:11">
      <c r="A4489" s="451" t="s">
        <v>7693</v>
      </c>
      <c r="B4489" s="451"/>
      <c r="C4489" s="451" t="s">
        <v>3334</v>
      </c>
      <c r="D4489" s="451"/>
      <c r="E4489" s="451"/>
      <c r="F4489" s="451"/>
      <c r="G4489" s="451" t="s">
        <v>22877</v>
      </c>
      <c r="H4489" s="451" t="s">
        <v>22878</v>
      </c>
      <c r="I4489" s="451" t="s">
        <v>35113</v>
      </c>
      <c r="J4489" s="451" t="s">
        <v>22939</v>
      </c>
      <c r="K4489" s="451"/>
    </row>
    <row r="4490" spans="1:11">
      <c r="A4490" s="450" t="s">
        <v>35114</v>
      </c>
      <c r="B4490" s="450"/>
      <c r="C4490" s="450" t="s">
        <v>7695</v>
      </c>
      <c r="D4490" s="450"/>
      <c r="E4490" s="450"/>
      <c r="F4490" s="450"/>
      <c r="G4490" s="450" t="s">
        <v>22877</v>
      </c>
      <c r="H4490" s="450" t="s">
        <v>22878</v>
      </c>
      <c r="I4490" s="450" t="s">
        <v>35115</v>
      </c>
      <c r="J4490" s="450" t="s">
        <v>22943</v>
      </c>
      <c r="K4490" s="450"/>
    </row>
    <row r="4491" spans="1:11">
      <c r="A4491" s="451" t="s">
        <v>7694</v>
      </c>
      <c r="B4491" s="451"/>
      <c r="C4491" s="451" t="s">
        <v>7695</v>
      </c>
      <c r="D4491" s="451"/>
      <c r="E4491" s="451"/>
      <c r="F4491" s="451"/>
      <c r="G4491" s="451" t="s">
        <v>22882</v>
      </c>
      <c r="H4491" s="451" t="s">
        <v>22883</v>
      </c>
      <c r="I4491" s="451"/>
      <c r="J4491" s="451" t="s">
        <v>22937</v>
      </c>
      <c r="K4491" s="451"/>
    </row>
    <row r="4492" spans="1:11">
      <c r="A4492" s="450" t="s">
        <v>7696</v>
      </c>
      <c r="B4492" s="450" t="s">
        <v>7697</v>
      </c>
      <c r="C4492" s="450" t="s">
        <v>7698</v>
      </c>
      <c r="D4492" s="450" t="s">
        <v>7699</v>
      </c>
      <c r="E4492" s="450"/>
      <c r="F4492" s="450"/>
      <c r="G4492" s="450" t="s">
        <v>22877</v>
      </c>
      <c r="H4492" s="450" t="s">
        <v>22878</v>
      </c>
      <c r="I4492" s="450" t="s">
        <v>35116</v>
      </c>
      <c r="J4492" s="450" t="s">
        <v>35117</v>
      </c>
      <c r="K4492" s="450"/>
    </row>
    <row r="4493" spans="1:11">
      <c r="A4493" s="451" t="s">
        <v>7696</v>
      </c>
      <c r="B4493" s="451" t="s">
        <v>7697</v>
      </c>
      <c r="C4493" s="451" t="s">
        <v>7698</v>
      </c>
      <c r="D4493" s="451" t="s">
        <v>7699</v>
      </c>
      <c r="E4493" s="451" t="s">
        <v>7700</v>
      </c>
      <c r="F4493" s="451"/>
      <c r="G4493" s="451" t="s">
        <v>22877</v>
      </c>
      <c r="H4493" s="451" t="s">
        <v>22878</v>
      </c>
      <c r="I4493" s="451" t="s">
        <v>7699</v>
      </c>
      <c r="J4493" s="451" t="s">
        <v>31203</v>
      </c>
      <c r="K4493" s="451"/>
    </row>
    <row r="4494" spans="1:11">
      <c r="A4494" s="450" t="s">
        <v>25338</v>
      </c>
      <c r="B4494" s="450" t="s">
        <v>25339</v>
      </c>
      <c r="C4494" s="450" t="s">
        <v>7703</v>
      </c>
      <c r="D4494" s="450"/>
      <c r="E4494" s="450"/>
      <c r="F4494" s="450"/>
      <c r="G4494" s="450" t="s">
        <v>22877</v>
      </c>
      <c r="H4494" s="450" t="s">
        <v>22878</v>
      </c>
      <c r="I4494" s="450" t="s">
        <v>25340</v>
      </c>
      <c r="J4494" s="450" t="s">
        <v>25341</v>
      </c>
      <c r="K4494" s="450"/>
    </row>
    <row r="4495" spans="1:11">
      <c r="A4495" s="451" t="s">
        <v>7701</v>
      </c>
      <c r="B4495" s="451" t="s">
        <v>7702</v>
      </c>
      <c r="C4495" s="451" t="s">
        <v>7703</v>
      </c>
      <c r="D4495" s="451"/>
      <c r="E4495" s="451"/>
      <c r="F4495" s="451"/>
      <c r="G4495" s="451" t="s">
        <v>22877</v>
      </c>
      <c r="H4495" s="451" t="s">
        <v>22878</v>
      </c>
      <c r="I4495" s="451" t="s">
        <v>31204</v>
      </c>
      <c r="J4495" s="451" t="s">
        <v>31205</v>
      </c>
      <c r="K4495" s="451"/>
    </row>
    <row r="4496" spans="1:11">
      <c r="A4496" s="450" t="s">
        <v>25342</v>
      </c>
      <c r="B4496" s="450" t="s">
        <v>7705</v>
      </c>
      <c r="C4496" s="450" t="s">
        <v>2334</v>
      </c>
      <c r="D4496" s="450" t="s">
        <v>7706</v>
      </c>
      <c r="E4496" s="450"/>
      <c r="F4496" s="450"/>
      <c r="G4496" s="450" t="s">
        <v>22877</v>
      </c>
      <c r="H4496" s="450" t="s">
        <v>22878</v>
      </c>
      <c r="I4496" s="450" t="s">
        <v>25343</v>
      </c>
      <c r="J4496" s="450" t="s">
        <v>25344</v>
      </c>
      <c r="K4496" s="450"/>
    </row>
    <row r="4497" spans="1:11">
      <c r="A4497" s="451" t="s">
        <v>7704</v>
      </c>
      <c r="B4497" s="451" t="s">
        <v>7705</v>
      </c>
      <c r="C4497" s="451" t="s">
        <v>2334</v>
      </c>
      <c r="D4497" s="451" t="s">
        <v>7706</v>
      </c>
      <c r="E4497" s="451"/>
      <c r="F4497" s="451"/>
      <c r="G4497" s="451" t="s">
        <v>22877</v>
      </c>
      <c r="H4497" s="451" t="s">
        <v>22878</v>
      </c>
      <c r="I4497" s="451"/>
      <c r="J4497" s="451" t="s">
        <v>35118</v>
      </c>
      <c r="K4497" s="451"/>
    </row>
    <row r="4498" spans="1:11">
      <c r="A4498" s="450" t="s">
        <v>7707</v>
      </c>
      <c r="B4498" s="450"/>
      <c r="C4498" s="450" t="s">
        <v>7708</v>
      </c>
      <c r="D4498" s="450"/>
      <c r="E4498" s="450"/>
      <c r="F4498" s="450"/>
      <c r="G4498" s="450" t="s">
        <v>22882</v>
      </c>
      <c r="H4498" s="450" t="s">
        <v>22883</v>
      </c>
      <c r="I4498" s="450"/>
      <c r="J4498" s="450" t="s">
        <v>22943</v>
      </c>
      <c r="K4498" s="450"/>
    </row>
    <row r="4499" spans="1:11">
      <c r="A4499" s="451" t="s">
        <v>35119</v>
      </c>
      <c r="B4499" s="451"/>
      <c r="C4499" s="451" t="s">
        <v>6305</v>
      </c>
      <c r="D4499" s="451"/>
      <c r="E4499" s="451"/>
      <c r="F4499" s="451"/>
      <c r="G4499" s="451" t="s">
        <v>22877</v>
      </c>
      <c r="H4499" s="451" t="s">
        <v>22878</v>
      </c>
      <c r="I4499" s="451" t="s">
        <v>35120</v>
      </c>
      <c r="J4499" s="451" t="s">
        <v>22943</v>
      </c>
      <c r="K4499" s="451"/>
    </row>
    <row r="4500" spans="1:11">
      <c r="A4500" s="450" t="s">
        <v>7709</v>
      </c>
      <c r="B4500" s="450"/>
      <c r="C4500" s="450" t="s">
        <v>6305</v>
      </c>
      <c r="D4500" s="450"/>
      <c r="E4500" s="450"/>
      <c r="F4500" s="450"/>
      <c r="G4500" s="450" t="s">
        <v>22877</v>
      </c>
      <c r="H4500" s="450" t="s">
        <v>22878</v>
      </c>
      <c r="I4500" s="450"/>
      <c r="J4500" s="450" t="s">
        <v>22937</v>
      </c>
      <c r="K4500" s="450"/>
    </row>
    <row r="4501" spans="1:11">
      <c r="A4501" s="451" t="s">
        <v>35121</v>
      </c>
      <c r="B4501" s="451" t="s">
        <v>7711</v>
      </c>
      <c r="C4501" s="451" t="s">
        <v>7712</v>
      </c>
      <c r="D4501" s="451"/>
      <c r="E4501" s="451"/>
      <c r="F4501" s="451"/>
      <c r="G4501" s="451" t="s">
        <v>22882</v>
      </c>
      <c r="H4501" s="451" t="s">
        <v>22883</v>
      </c>
      <c r="I4501" s="451" t="s">
        <v>35122</v>
      </c>
      <c r="J4501" s="451" t="s">
        <v>35123</v>
      </c>
      <c r="K4501" s="451"/>
    </row>
    <row r="4502" spans="1:11">
      <c r="A4502" s="450" t="s">
        <v>7710</v>
      </c>
      <c r="B4502" s="450" t="s">
        <v>7711</v>
      </c>
      <c r="C4502" s="450" t="s">
        <v>7712</v>
      </c>
      <c r="D4502" s="450"/>
      <c r="E4502" s="450"/>
      <c r="F4502" s="450"/>
      <c r="G4502" s="450" t="s">
        <v>22877</v>
      </c>
      <c r="H4502" s="450" t="s">
        <v>22878</v>
      </c>
      <c r="I4502" s="450" t="s">
        <v>31206</v>
      </c>
      <c r="J4502" s="450" t="s">
        <v>31207</v>
      </c>
      <c r="K4502" s="450"/>
    </row>
    <row r="4503" spans="1:11">
      <c r="A4503" s="451" t="s">
        <v>7713</v>
      </c>
      <c r="B4503" s="451" t="s">
        <v>7714</v>
      </c>
      <c r="C4503" s="451" t="s">
        <v>7715</v>
      </c>
      <c r="D4503" s="451" t="s">
        <v>7716</v>
      </c>
      <c r="E4503" s="451"/>
      <c r="F4503" s="451"/>
      <c r="G4503" s="451" t="s">
        <v>22877</v>
      </c>
      <c r="H4503" s="451" t="s">
        <v>22878</v>
      </c>
      <c r="I4503" s="451" t="s">
        <v>35124</v>
      </c>
      <c r="J4503" s="451" t="s">
        <v>25345</v>
      </c>
      <c r="K4503" s="451"/>
    </row>
    <row r="4504" spans="1:11">
      <c r="A4504" s="450" t="s">
        <v>7713</v>
      </c>
      <c r="B4504" s="450" t="s">
        <v>7714</v>
      </c>
      <c r="C4504" s="450" t="s">
        <v>7715</v>
      </c>
      <c r="D4504" s="450" t="s">
        <v>7716</v>
      </c>
      <c r="E4504" s="450" t="s">
        <v>7717</v>
      </c>
      <c r="F4504" s="450"/>
      <c r="G4504" s="450" t="s">
        <v>22877</v>
      </c>
      <c r="H4504" s="450" t="s">
        <v>22878</v>
      </c>
      <c r="I4504" s="450" t="s">
        <v>7716</v>
      </c>
      <c r="J4504" s="450" t="s">
        <v>25345</v>
      </c>
      <c r="K4504" s="450"/>
    </row>
    <row r="4505" spans="1:11">
      <c r="A4505" s="451" t="s">
        <v>7718</v>
      </c>
      <c r="B4505" s="451"/>
      <c r="C4505" s="451" t="s">
        <v>7719</v>
      </c>
      <c r="D4505" s="451"/>
      <c r="E4505" s="451"/>
      <c r="F4505" s="451"/>
      <c r="G4505" s="451" t="s">
        <v>22882</v>
      </c>
      <c r="H4505" s="451" t="s">
        <v>22883</v>
      </c>
      <c r="I4505" s="451"/>
      <c r="J4505" s="451" t="s">
        <v>22937</v>
      </c>
      <c r="K4505" s="451"/>
    </row>
    <row r="4506" spans="1:11">
      <c r="A4506" s="450" t="s">
        <v>35125</v>
      </c>
      <c r="B4506" s="450"/>
      <c r="C4506" s="450" t="s">
        <v>7719</v>
      </c>
      <c r="D4506" s="450"/>
      <c r="E4506" s="450"/>
      <c r="F4506" s="450"/>
      <c r="G4506" s="450" t="s">
        <v>22882</v>
      </c>
      <c r="H4506" s="450" t="s">
        <v>22883</v>
      </c>
      <c r="I4506" s="450" t="s">
        <v>35126</v>
      </c>
      <c r="J4506" s="450" t="s">
        <v>22943</v>
      </c>
      <c r="K4506" s="450"/>
    </row>
    <row r="4507" spans="1:11">
      <c r="A4507" s="451" t="s">
        <v>7720</v>
      </c>
      <c r="B4507" s="451"/>
      <c r="C4507" s="451" t="s">
        <v>7721</v>
      </c>
      <c r="D4507" s="451"/>
      <c r="E4507" s="451"/>
      <c r="F4507" s="451"/>
      <c r="G4507" s="451" t="s">
        <v>22877</v>
      </c>
      <c r="H4507" s="451" t="s">
        <v>22878</v>
      </c>
      <c r="I4507" s="451" t="s">
        <v>25346</v>
      </c>
      <c r="J4507" s="451" t="s">
        <v>22939</v>
      </c>
      <c r="K4507" s="451"/>
    </row>
    <row r="4508" spans="1:11">
      <c r="A4508" s="450" t="s">
        <v>35127</v>
      </c>
      <c r="B4508" s="450" t="s">
        <v>7723</v>
      </c>
      <c r="C4508" s="450" t="s">
        <v>3980</v>
      </c>
      <c r="D4508" s="450" t="s">
        <v>7724</v>
      </c>
      <c r="E4508" s="450"/>
      <c r="F4508" s="450"/>
      <c r="G4508" s="450" t="s">
        <v>22877</v>
      </c>
      <c r="H4508" s="450" t="s">
        <v>22878</v>
      </c>
      <c r="I4508" s="450" t="s">
        <v>35128</v>
      </c>
      <c r="J4508" s="450" t="s">
        <v>35129</v>
      </c>
      <c r="K4508" s="450"/>
    </row>
    <row r="4509" spans="1:11">
      <c r="A4509" s="451" t="s">
        <v>7722</v>
      </c>
      <c r="B4509" s="451" t="s">
        <v>7723</v>
      </c>
      <c r="C4509" s="451" t="s">
        <v>3980</v>
      </c>
      <c r="D4509" s="451" t="s">
        <v>7724</v>
      </c>
      <c r="E4509" s="451" t="s">
        <v>7725</v>
      </c>
      <c r="F4509" s="451"/>
      <c r="G4509" s="451" t="s">
        <v>22882</v>
      </c>
      <c r="H4509" s="451" t="s">
        <v>22883</v>
      </c>
      <c r="I4509" s="451" t="s">
        <v>7724</v>
      </c>
      <c r="J4509" s="451" t="s">
        <v>31208</v>
      </c>
      <c r="K4509" s="451"/>
    </row>
    <row r="4510" spans="1:11">
      <c r="A4510" s="450" t="s">
        <v>7726</v>
      </c>
      <c r="B4510" s="450" t="s">
        <v>7727</v>
      </c>
      <c r="C4510" s="450" t="s">
        <v>7728</v>
      </c>
      <c r="D4510" s="450" t="s">
        <v>7729</v>
      </c>
      <c r="E4510" s="450"/>
      <c r="F4510" s="450"/>
      <c r="G4510" s="450" t="s">
        <v>22877</v>
      </c>
      <c r="H4510" s="450" t="s">
        <v>22878</v>
      </c>
      <c r="I4510" s="450" t="s">
        <v>24393</v>
      </c>
      <c r="J4510" s="450" t="s">
        <v>25347</v>
      </c>
      <c r="K4510" s="450"/>
    </row>
    <row r="4511" spans="1:11">
      <c r="A4511" s="451" t="s">
        <v>7730</v>
      </c>
      <c r="B4511" s="451"/>
      <c r="C4511" s="451" t="s">
        <v>2847</v>
      </c>
      <c r="D4511" s="451"/>
      <c r="E4511" s="451"/>
      <c r="F4511" s="451"/>
      <c r="G4511" s="451" t="s">
        <v>22882</v>
      </c>
      <c r="H4511" s="451" t="s">
        <v>22883</v>
      </c>
      <c r="I4511" s="451"/>
      <c r="J4511" s="451" t="s">
        <v>23370</v>
      </c>
      <c r="K4511" s="451"/>
    </row>
    <row r="4512" spans="1:11">
      <c r="A4512" s="450" t="s">
        <v>7731</v>
      </c>
      <c r="B4512" s="450"/>
      <c r="C4512" s="450" t="s">
        <v>3894</v>
      </c>
      <c r="D4512" s="450"/>
      <c r="E4512" s="450"/>
      <c r="F4512" s="450"/>
      <c r="G4512" s="450" t="s">
        <v>22877</v>
      </c>
      <c r="H4512" s="450" t="s">
        <v>22878</v>
      </c>
      <c r="I4512" s="450" t="s">
        <v>35130</v>
      </c>
      <c r="J4512" s="450" t="s">
        <v>22943</v>
      </c>
      <c r="K4512" s="450"/>
    </row>
    <row r="4513" spans="1:11">
      <c r="A4513" s="451" t="s">
        <v>35131</v>
      </c>
      <c r="B4513" s="451"/>
      <c r="C4513" s="451" t="s">
        <v>7740</v>
      </c>
      <c r="D4513" s="451"/>
      <c r="E4513" s="451"/>
      <c r="F4513" s="451"/>
      <c r="G4513" s="451" t="s">
        <v>22877</v>
      </c>
      <c r="H4513" s="451" t="s">
        <v>22878</v>
      </c>
      <c r="I4513" s="451" t="s">
        <v>35132</v>
      </c>
      <c r="J4513" s="451" t="s">
        <v>22943</v>
      </c>
      <c r="K4513" s="451"/>
    </row>
    <row r="4514" spans="1:11">
      <c r="A4514" s="450" t="s">
        <v>7739</v>
      </c>
      <c r="B4514" s="450"/>
      <c r="C4514" s="450" t="s">
        <v>7740</v>
      </c>
      <c r="D4514" s="450"/>
      <c r="E4514" s="450"/>
      <c r="F4514" s="450"/>
      <c r="G4514" s="450" t="s">
        <v>22877</v>
      </c>
      <c r="H4514" s="450" t="s">
        <v>22878</v>
      </c>
      <c r="I4514" s="450"/>
      <c r="J4514" s="450" t="s">
        <v>22939</v>
      </c>
      <c r="K4514" s="450"/>
    </row>
    <row r="4515" spans="1:11">
      <c r="A4515" s="451" t="s">
        <v>35133</v>
      </c>
      <c r="B4515" s="451"/>
      <c r="C4515" s="451" t="s">
        <v>2245</v>
      </c>
      <c r="D4515" s="451"/>
      <c r="E4515" s="451"/>
      <c r="F4515" s="451"/>
      <c r="G4515" s="451" t="s">
        <v>22882</v>
      </c>
      <c r="H4515" s="451" t="s">
        <v>22883</v>
      </c>
      <c r="I4515" s="451" t="s">
        <v>35134</v>
      </c>
      <c r="J4515" s="451" t="s">
        <v>22943</v>
      </c>
      <c r="K4515" s="451"/>
    </row>
    <row r="4516" spans="1:11">
      <c r="A4516" s="450" t="s">
        <v>7741</v>
      </c>
      <c r="B4516" s="450"/>
      <c r="C4516" s="450" t="s">
        <v>2245</v>
      </c>
      <c r="D4516" s="450"/>
      <c r="E4516" s="450"/>
      <c r="F4516" s="450"/>
      <c r="G4516" s="450" t="s">
        <v>22882</v>
      </c>
      <c r="H4516" s="450" t="s">
        <v>22883</v>
      </c>
      <c r="I4516" s="450"/>
      <c r="J4516" s="450" t="s">
        <v>23121</v>
      </c>
      <c r="K4516" s="450"/>
    </row>
    <row r="4517" spans="1:11">
      <c r="A4517" s="451" t="s">
        <v>7742</v>
      </c>
      <c r="B4517" s="451"/>
      <c r="C4517" s="451" t="s">
        <v>7743</v>
      </c>
      <c r="D4517" s="451"/>
      <c r="E4517" s="451"/>
      <c r="F4517" s="451"/>
      <c r="G4517" s="451" t="s">
        <v>22877</v>
      </c>
      <c r="H4517" s="451" t="s">
        <v>22878</v>
      </c>
      <c r="I4517" s="451" t="s">
        <v>35135</v>
      </c>
      <c r="J4517" s="451" t="s">
        <v>22939</v>
      </c>
      <c r="K4517" s="451"/>
    </row>
    <row r="4518" spans="1:11">
      <c r="A4518" s="450" t="s">
        <v>7744</v>
      </c>
      <c r="B4518" s="450"/>
      <c r="C4518" s="450" t="s">
        <v>3780</v>
      </c>
      <c r="D4518" s="450"/>
      <c r="E4518" s="450"/>
      <c r="F4518" s="450"/>
      <c r="G4518" s="450" t="s">
        <v>22882</v>
      </c>
      <c r="H4518" s="450" t="s">
        <v>22883</v>
      </c>
      <c r="I4518" s="450" t="s">
        <v>35136</v>
      </c>
      <c r="J4518" s="450" t="s">
        <v>22939</v>
      </c>
      <c r="K4518" s="450"/>
    </row>
    <row r="4519" spans="1:11">
      <c r="A4519" s="451" t="s">
        <v>7745</v>
      </c>
      <c r="B4519" s="451"/>
      <c r="C4519" s="451" t="s">
        <v>1190</v>
      </c>
      <c r="D4519" s="451"/>
      <c r="E4519" s="451"/>
      <c r="F4519" s="451"/>
      <c r="G4519" s="451" t="s">
        <v>22877</v>
      </c>
      <c r="H4519" s="451" t="s">
        <v>22878</v>
      </c>
      <c r="I4519" s="451"/>
      <c r="J4519" s="451" t="s">
        <v>22995</v>
      </c>
      <c r="K4519" s="451"/>
    </row>
    <row r="4520" spans="1:11">
      <c r="A4520" s="450" t="s">
        <v>35137</v>
      </c>
      <c r="B4520" s="450"/>
      <c r="C4520" s="450" t="s">
        <v>1190</v>
      </c>
      <c r="D4520" s="450"/>
      <c r="E4520" s="450"/>
      <c r="F4520" s="450"/>
      <c r="G4520" s="450" t="s">
        <v>22882</v>
      </c>
      <c r="H4520" s="450" t="s">
        <v>22883</v>
      </c>
      <c r="I4520" s="450"/>
      <c r="J4520" s="450" t="s">
        <v>22943</v>
      </c>
      <c r="K4520" s="450"/>
    </row>
    <row r="4521" spans="1:11">
      <c r="A4521" s="451" t="s">
        <v>7746</v>
      </c>
      <c r="B4521" s="451"/>
      <c r="C4521" s="451" t="s">
        <v>7747</v>
      </c>
      <c r="D4521" s="451"/>
      <c r="E4521" s="451"/>
      <c r="F4521" s="451"/>
      <c r="G4521" s="451" t="s">
        <v>22877</v>
      </c>
      <c r="H4521" s="451" t="s">
        <v>22878</v>
      </c>
      <c r="I4521" s="451" t="s">
        <v>35138</v>
      </c>
      <c r="J4521" s="451" t="s">
        <v>22939</v>
      </c>
      <c r="K4521" s="451"/>
    </row>
    <row r="4522" spans="1:11">
      <c r="A4522" s="450" t="s">
        <v>35139</v>
      </c>
      <c r="B4522" s="450"/>
      <c r="C4522" s="450" t="s">
        <v>7732</v>
      </c>
      <c r="D4522" s="450"/>
      <c r="E4522" s="450"/>
      <c r="F4522" s="450"/>
      <c r="G4522" s="450" t="s">
        <v>22882</v>
      </c>
      <c r="H4522" s="450" t="s">
        <v>22883</v>
      </c>
      <c r="I4522" s="450"/>
      <c r="J4522" s="450" t="s">
        <v>22943</v>
      </c>
      <c r="K4522" s="450"/>
    </row>
    <row r="4523" spans="1:11">
      <c r="A4523" s="451" t="s">
        <v>21673</v>
      </c>
      <c r="B4523" s="451"/>
      <c r="C4523" s="451" t="s">
        <v>7732</v>
      </c>
      <c r="D4523" s="451"/>
      <c r="E4523" s="451"/>
      <c r="F4523" s="451"/>
      <c r="G4523" s="451" t="s">
        <v>31209</v>
      </c>
      <c r="H4523" s="451" t="s">
        <v>22878</v>
      </c>
      <c r="I4523" s="451" t="s">
        <v>22992</v>
      </c>
      <c r="J4523" s="451"/>
      <c r="K4523" s="451"/>
    </row>
    <row r="4524" spans="1:11">
      <c r="A4524" s="450" t="s">
        <v>31210</v>
      </c>
      <c r="B4524" s="450" t="s">
        <v>7733</v>
      </c>
      <c r="C4524" s="450" t="s">
        <v>7734</v>
      </c>
      <c r="D4524" s="450" t="s">
        <v>7735</v>
      </c>
      <c r="E4524" s="450"/>
      <c r="F4524" s="450"/>
      <c r="G4524" s="450" t="s">
        <v>22877</v>
      </c>
      <c r="H4524" s="450" t="s">
        <v>22878</v>
      </c>
      <c r="I4524" s="450" t="s">
        <v>7735</v>
      </c>
      <c r="J4524" s="450" t="s">
        <v>25348</v>
      </c>
      <c r="K4524" s="450"/>
    </row>
    <row r="4525" spans="1:11">
      <c r="A4525" s="451" t="s">
        <v>21674</v>
      </c>
      <c r="B4525" s="451" t="s">
        <v>7733</v>
      </c>
      <c r="C4525" s="451" t="s">
        <v>7734</v>
      </c>
      <c r="D4525" s="451" t="s">
        <v>7735</v>
      </c>
      <c r="E4525" s="451" t="s">
        <v>7736</v>
      </c>
      <c r="F4525" s="451"/>
      <c r="G4525" s="451" t="s">
        <v>22877</v>
      </c>
      <c r="H4525" s="451" t="s">
        <v>22878</v>
      </c>
      <c r="I4525" s="451"/>
      <c r="J4525" s="451" t="s">
        <v>35140</v>
      </c>
      <c r="K4525" s="451"/>
    </row>
    <row r="4526" spans="1:11">
      <c r="A4526" s="450" t="s">
        <v>21675</v>
      </c>
      <c r="B4526" s="450"/>
      <c r="C4526" s="450" t="s">
        <v>4323</v>
      </c>
      <c r="D4526" s="450"/>
      <c r="E4526" s="450"/>
      <c r="F4526" s="450"/>
      <c r="G4526" s="450" t="s">
        <v>22882</v>
      </c>
      <c r="H4526" s="450" t="s">
        <v>22883</v>
      </c>
      <c r="I4526" s="450"/>
      <c r="J4526" s="450" t="s">
        <v>22943</v>
      </c>
      <c r="K4526" s="450"/>
    </row>
    <row r="4527" spans="1:11">
      <c r="A4527" s="451" t="s">
        <v>21676</v>
      </c>
      <c r="B4527" s="451"/>
      <c r="C4527" s="451" t="s">
        <v>7737</v>
      </c>
      <c r="D4527" s="451"/>
      <c r="E4527" s="451"/>
      <c r="F4527" s="451"/>
      <c r="G4527" s="451" t="s">
        <v>22877</v>
      </c>
      <c r="H4527" s="451" t="s">
        <v>22878</v>
      </c>
      <c r="I4527" s="451" t="s">
        <v>25349</v>
      </c>
      <c r="J4527" s="451" t="s">
        <v>22939</v>
      </c>
      <c r="K4527" s="451"/>
    </row>
    <row r="4528" spans="1:11">
      <c r="A4528" s="450" t="s">
        <v>35141</v>
      </c>
      <c r="B4528" s="450" t="s">
        <v>7749</v>
      </c>
      <c r="C4528" s="450" t="s">
        <v>25350</v>
      </c>
      <c r="D4528" s="450" t="s">
        <v>7751</v>
      </c>
      <c r="E4528" s="450"/>
      <c r="F4528" s="450"/>
      <c r="G4528" s="450" t="s">
        <v>22877</v>
      </c>
      <c r="H4528" s="450" t="s">
        <v>22878</v>
      </c>
      <c r="I4528" s="450"/>
      <c r="J4528" s="450" t="s">
        <v>8619</v>
      </c>
      <c r="K4528" s="450"/>
    </row>
    <row r="4529" spans="1:11">
      <c r="A4529" s="451" t="s">
        <v>7748</v>
      </c>
      <c r="B4529" s="451" t="s">
        <v>7749</v>
      </c>
      <c r="C4529" s="451" t="s">
        <v>25350</v>
      </c>
      <c r="D4529" s="451" t="s">
        <v>7751</v>
      </c>
      <c r="E4529" s="451" t="s">
        <v>7752</v>
      </c>
      <c r="F4529" s="451"/>
      <c r="G4529" s="451" t="s">
        <v>22877</v>
      </c>
      <c r="H4529" s="451" t="s">
        <v>22878</v>
      </c>
      <c r="I4529" s="451" t="s">
        <v>8621</v>
      </c>
      <c r="J4529" s="451" t="s">
        <v>31211</v>
      </c>
      <c r="K4529" s="451"/>
    </row>
    <row r="4530" spans="1:11">
      <c r="A4530" s="450" t="s">
        <v>21677</v>
      </c>
      <c r="B4530" s="450"/>
      <c r="C4530" s="450" t="s">
        <v>7738</v>
      </c>
      <c r="D4530" s="450"/>
      <c r="E4530" s="450"/>
      <c r="F4530" s="450"/>
      <c r="G4530" s="450" t="s">
        <v>22877</v>
      </c>
      <c r="H4530" s="450" t="s">
        <v>22878</v>
      </c>
      <c r="I4530" s="450" t="s">
        <v>35142</v>
      </c>
      <c r="J4530" s="450" t="s">
        <v>22939</v>
      </c>
      <c r="K4530" s="450"/>
    </row>
    <row r="4531" spans="1:11">
      <c r="A4531" s="451" t="s">
        <v>7753</v>
      </c>
      <c r="B4531" s="451"/>
      <c r="C4531" s="451" t="s">
        <v>2245</v>
      </c>
      <c r="D4531" s="451"/>
      <c r="E4531" s="451"/>
      <c r="F4531" s="451"/>
      <c r="G4531" s="451" t="s">
        <v>22882</v>
      </c>
      <c r="H4531" s="451" t="s">
        <v>22883</v>
      </c>
      <c r="I4531" s="451"/>
      <c r="J4531" s="451" t="s">
        <v>22958</v>
      </c>
      <c r="K4531" s="451"/>
    </row>
    <row r="4532" spans="1:11">
      <c r="A4532" s="450" t="s">
        <v>7754</v>
      </c>
      <c r="B4532" s="450"/>
      <c r="C4532" s="450" t="s">
        <v>7755</v>
      </c>
      <c r="D4532" s="450"/>
      <c r="E4532" s="450"/>
      <c r="F4532" s="450"/>
      <c r="G4532" s="450" t="s">
        <v>22877</v>
      </c>
      <c r="H4532" s="450" t="s">
        <v>22878</v>
      </c>
      <c r="I4532" s="450"/>
      <c r="J4532" s="450" t="s">
        <v>22997</v>
      </c>
      <c r="K4532" s="450"/>
    </row>
    <row r="4533" spans="1:11">
      <c r="A4533" s="451" t="s">
        <v>7756</v>
      </c>
      <c r="B4533" s="451"/>
      <c r="C4533" s="451" t="s">
        <v>2067</v>
      </c>
      <c r="D4533" s="451"/>
      <c r="E4533" s="451"/>
      <c r="F4533" s="451"/>
      <c r="G4533" s="451" t="s">
        <v>28609</v>
      </c>
      <c r="H4533" s="451" t="s">
        <v>22878</v>
      </c>
      <c r="I4533" s="451"/>
      <c r="J4533" s="451"/>
      <c r="K4533" s="451"/>
    </row>
    <row r="4534" spans="1:11">
      <c r="A4534" s="450" t="s">
        <v>7757</v>
      </c>
      <c r="B4534" s="450"/>
      <c r="C4534" s="450" t="s">
        <v>7758</v>
      </c>
      <c r="D4534" s="450"/>
      <c r="E4534" s="450"/>
      <c r="F4534" s="450"/>
      <c r="G4534" s="450" t="s">
        <v>22882</v>
      </c>
      <c r="H4534" s="450" t="s">
        <v>22883</v>
      </c>
      <c r="I4534" s="450" t="s">
        <v>35143</v>
      </c>
      <c r="J4534" s="450" t="s">
        <v>22937</v>
      </c>
      <c r="K4534" s="450"/>
    </row>
    <row r="4535" spans="1:11">
      <c r="A4535" s="451" t="s">
        <v>7759</v>
      </c>
      <c r="B4535" s="451"/>
      <c r="C4535" s="451" t="s">
        <v>4082</v>
      </c>
      <c r="D4535" s="451"/>
      <c r="E4535" s="451"/>
      <c r="F4535" s="451"/>
      <c r="G4535" s="451" t="s">
        <v>22882</v>
      </c>
      <c r="H4535" s="451" t="s">
        <v>22883</v>
      </c>
      <c r="I4535" s="451"/>
      <c r="J4535" s="451" t="s">
        <v>22937</v>
      </c>
      <c r="K4535" s="451"/>
    </row>
    <row r="4536" spans="1:11">
      <c r="A4536" s="450" t="s">
        <v>21678</v>
      </c>
      <c r="B4536" s="450"/>
      <c r="C4536" s="450" t="s">
        <v>7760</v>
      </c>
      <c r="D4536" s="450"/>
      <c r="E4536" s="450"/>
      <c r="F4536" s="450"/>
      <c r="G4536" s="450" t="s">
        <v>22877</v>
      </c>
      <c r="H4536" s="450" t="s">
        <v>22878</v>
      </c>
      <c r="I4536" s="450" t="s">
        <v>29554</v>
      </c>
      <c r="J4536" s="450" t="s">
        <v>22939</v>
      </c>
      <c r="K4536" s="450"/>
    </row>
    <row r="4537" spans="1:11">
      <c r="A4537" s="451" t="s">
        <v>7761</v>
      </c>
      <c r="B4537" s="451" t="s">
        <v>7762</v>
      </c>
      <c r="C4537" s="451" t="s">
        <v>7763</v>
      </c>
      <c r="D4537" s="451" t="s">
        <v>7764</v>
      </c>
      <c r="E4537" s="451" t="s">
        <v>7765</v>
      </c>
      <c r="F4537" s="451"/>
      <c r="G4537" s="451" t="s">
        <v>22877</v>
      </c>
      <c r="H4537" s="451" t="s">
        <v>22878</v>
      </c>
      <c r="I4537" s="451" t="s">
        <v>7764</v>
      </c>
      <c r="J4537" s="451" t="s">
        <v>31212</v>
      </c>
      <c r="K4537" s="451"/>
    </row>
    <row r="4538" spans="1:11">
      <c r="A4538" s="450" t="s">
        <v>35144</v>
      </c>
      <c r="B4538" s="450" t="s">
        <v>8492</v>
      </c>
      <c r="C4538" s="450" t="s">
        <v>25351</v>
      </c>
      <c r="D4538" s="450"/>
      <c r="E4538" s="450"/>
      <c r="F4538" s="450"/>
      <c r="G4538" s="450" t="s">
        <v>22877</v>
      </c>
      <c r="H4538" s="450" t="s">
        <v>22878</v>
      </c>
      <c r="I4538" s="450"/>
      <c r="J4538" s="450" t="s">
        <v>35145</v>
      </c>
      <c r="K4538" s="450"/>
    </row>
    <row r="4539" spans="1:11">
      <c r="A4539" s="451" t="s">
        <v>25352</v>
      </c>
      <c r="B4539" s="451"/>
      <c r="C4539" s="451" t="s">
        <v>2127</v>
      </c>
      <c r="D4539" s="451"/>
      <c r="E4539" s="451"/>
      <c r="F4539" s="451"/>
      <c r="G4539" s="451" t="s">
        <v>22882</v>
      </c>
      <c r="H4539" s="451" t="s">
        <v>22883</v>
      </c>
      <c r="I4539" s="451"/>
      <c r="J4539" s="451" t="s">
        <v>25353</v>
      </c>
      <c r="K4539" s="451"/>
    </row>
    <row r="4540" spans="1:11">
      <c r="A4540" s="450" t="s">
        <v>25354</v>
      </c>
      <c r="B4540" s="450" t="s">
        <v>7768</v>
      </c>
      <c r="C4540" s="450" t="s">
        <v>1164</v>
      </c>
      <c r="D4540" s="450" t="s">
        <v>7769</v>
      </c>
      <c r="E4540" s="450"/>
      <c r="F4540" s="450"/>
      <c r="G4540" s="450" t="s">
        <v>22882</v>
      </c>
      <c r="H4540" s="450" t="s">
        <v>22883</v>
      </c>
      <c r="I4540" s="450" t="s">
        <v>7769</v>
      </c>
      <c r="J4540" s="450" t="s">
        <v>25355</v>
      </c>
      <c r="K4540" s="450"/>
    </row>
    <row r="4541" spans="1:11">
      <c r="A4541" s="451" t="s">
        <v>7766</v>
      </c>
      <c r="B4541" s="451"/>
      <c r="C4541" s="451" t="s">
        <v>2127</v>
      </c>
      <c r="D4541" s="451"/>
      <c r="E4541" s="451"/>
      <c r="F4541" s="451"/>
      <c r="G4541" s="451" t="s">
        <v>22882</v>
      </c>
      <c r="H4541" s="451" t="s">
        <v>22883</v>
      </c>
      <c r="I4541" s="451"/>
      <c r="J4541" s="451" t="s">
        <v>22937</v>
      </c>
      <c r="K4541" s="451"/>
    </row>
    <row r="4542" spans="1:11">
      <c r="A4542" s="450" t="s">
        <v>7767</v>
      </c>
      <c r="B4542" s="450" t="s">
        <v>7768</v>
      </c>
      <c r="C4542" s="450" t="s">
        <v>1164</v>
      </c>
      <c r="D4542" s="450" t="s">
        <v>7769</v>
      </c>
      <c r="E4542" s="450" t="s">
        <v>7770</v>
      </c>
      <c r="F4542" s="450"/>
      <c r="G4542" s="450" t="s">
        <v>7767</v>
      </c>
      <c r="H4542" s="450" t="s">
        <v>22878</v>
      </c>
      <c r="I4542" s="450" t="s">
        <v>31213</v>
      </c>
      <c r="J4542" s="450" t="s">
        <v>31214</v>
      </c>
      <c r="K4542" s="450"/>
    </row>
    <row r="4543" spans="1:11">
      <c r="A4543" s="451" t="s">
        <v>7771</v>
      </c>
      <c r="B4543" s="451"/>
      <c r="C4543" s="451" t="s">
        <v>7772</v>
      </c>
      <c r="D4543" s="451"/>
      <c r="E4543" s="451"/>
      <c r="F4543" s="451"/>
      <c r="G4543" s="451" t="s">
        <v>22877</v>
      </c>
      <c r="H4543" s="451" t="s">
        <v>22878</v>
      </c>
      <c r="I4543" s="451" t="s">
        <v>25356</v>
      </c>
      <c r="J4543" s="451" t="s">
        <v>22943</v>
      </c>
      <c r="K4543" s="451"/>
    </row>
    <row r="4544" spans="1:11">
      <c r="A4544" s="450" t="s">
        <v>7773</v>
      </c>
      <c r="B4544" s="450" t="s">
        <v>7774</v>
      </c>
      <c r="C4544" s="450" t="s">
        <v>7775</v>
      </c>
      <c r="D4544" s="450"/>
      <c r="E4544" s="450"/>
      <c r="F4544" s="450"/>
      <c r="G4544" s="450" t="s">
        <v>22882</v>
      </c>
      <c r="H4544" s="450" t="s">
        <v>22883</v>
      </c>
      <c r="I4544" s="450"/>
      <c r="J4544" s="450" t="s">
        <v>25357</v>
      </c>
      <c r="K4544" s="450"/>
    </row>
    <row r="4545" spans="1:11">
      <c r="A4545" s="451" t="s">
        <v>35146</v>
      </c>
      <c r="B4545" s="451"/>
      <c r="C4545" s="451" t="s">
        <v>7777</v>
      </c>
      <c r="D4545" s="451"/>
      <c r="E4545" s="451"/>
      <c r="F4545" s="451"/>
      <c r="G4545" s="451" t="s">
        <v>22877</v>
      </c>
      <c r="H4545" s="451" t="s">
        <v>22878</v>
      </c>
      <c r="I4545" s="451" t="s">
        <v>25358</v>
      </c>
      <c r="J4545" s="451" t="s">
        <v>23133</v>
      </c>
      <c r="K4545" s="451"/>
    </row>
    <row r="4546" spans="1:11">
      <c r="A4546" s="450" t="s">
        <v>7776</v>
      </c>
      <c r="B4546" s="450"/>
      <c r="C4546" s="450" t="s">
        <v>7777</v>
      </c>
      <c r="D4546" s="450"/>
      <c r="E4546" s="450"/>
      <c r="F4546" s="450"/>
      <c r="G4546" s="450" t="s">
        <v>22877</v>
      </c>
      <c r="H4546" s="450" t="s">
        <v>22878</v>
      </c>
      <c r="I4546" s="450" t="s">
        <v>25358</v>
      </c>
      <c r="J4546" s="450" t="s">
        <v>22939</v>
      </c>
      <c r="K4546" s="450"/>
    </row>
    <row r="4547" spans="1:11">
      <c r="A4547" s="451" t="s">
        <v>25359</v>
      </c>
      <c r="B4547" s="451" t="s">
        <v>7170</v>
      </c>
      <c r="C4547" s="451" t="s">
        <v>965</v>
      </c>
      <c r="D4547" s="451" t="s">
        <v>7171</v>
      </c>
      <c r="E4547" s="451"/>
      <c r="F4547" s="451"/>
      <c r="G4547" s="451" t="s">
        <v>22877</v>
      </c>
      <c r="H4547" s="451" t="s">
        <v>22878</v>
      </c>
      <c r="I4547" s="451" t="s">
        <v>7171</v>
      </c>
      <c r="J4547" s="451" t="s">
        <v>25360</v>
      </c>
      <c r="K4547" s="451"/>
    </row>
    <row r="4548" spans="1:11">
      <c r="A4548" s="450" t="s">
        <v>7778</v>
      </c>
      <c r="B4548" s="450" t="s">
        <v>7779</v>
      </c>
      <c r="C4548" s="450" t="s">
        <v>7780</v>
      </c>
      <c r="D4548" s="450" t="s">
        <v>7781</v>
      </c>
      <c r="E4548" s="450"/>
      <c r="F4548" s="450"/>
      <c r="G4548" s="450" t="s">
        <v>22877</v>
      </c>
      <c r="H4548" s="450" t="s">
        <v>22878</v>
      </c>
      <c r="I4548" s="450" t="s">
        <v>35147</v>
      </c>
      <c r="J4548" s="450" t="s">
        <v>35148</v>
      </c>
      <c r="K4548" s="450"/>
    </row>
    <row r="4549" spans="1:11">
      <c r="A4549" s="451" t="s">
        <v>25361</v>
      </c>
      <c r="B4549" s="451" t="s">
        <v>7779</v>
      </c>
      <c r="C4549" s="451" t="s">
        <v>7780</v>
      </c>
      <c r="D4549" s="451" t="s">
        <v>7781</v>
      </c>
      <c r="E4549" s="451"/>
      <c r="F4549" s="451"/>
      <c r="G4549" s="451" t="s">
        <v>22882</v>
      </c>
      <c r="H4549" s="451" t="s">
        <v>22883</v>
      </c>
      <c r="I4549" s="451" t="s">
        <v>7781</v>
      </c>
      <c r="J4549" s="451" t="s">
        <v>25362</v>
      </c>
      <c r="K4549" s="451"/>
    </row>
    <row r="4550" spans="1:11">
      <c r="A4550" s="450" t="s">
        <v>35149</v>
      </c>
      <c r="B4550" s="450" t="s">
        <v>7783</v>
      </c>
      <c r="C4550" s="450" t="s">
        <v>7784</v>
      </c>
      <c r="D4550" s="450"/>
      <c r="E4550" s="450"/>
      <c r="F4550" s="450" t="s">
        <v>35150</v>
      </c>
      <c r="G4550" s="450" t="s">
        <v>22882</v>
      </c>
      <c r="H4550" s="450" t="s">
        <v>22883</v>
      </c>
      <c r="I4550" s="450" t="s">
        <v>35151</v>
      </c>
      <c r="J4550" s="450" t="s">
        <v>35152</v>
      </c>
      <c r="K4550" s="450"/>
    </row>
    <row r="4551" spans="1:11">
      <c r="A4551" s="451" t="s">
        <v>7782</v>
      </c>
      <c r="B4551" s="451" t="s">
        <v>7783</v>
      </c>
      <c r="C4551" s="451" t="s">
        <v>7784</v>
      </c>
      <c r="D4551" s="451"/>
      <c r="E4551" s="451"/>
      <c r="F4551" s="451" t="s">
        <v>7785</v>
      </c>
      <c r="G4551" s="451" t="s">
        <v>22877</v>
      </c>
      <c r="H4551" s="451" t="s">
        <v>22878</v>
      </c>
      <c r="I4551" s="451"/>
      <c r="J4551" s="451" t="s">
        <v>31215</v>
      </c>
      <c r="K4551" s="451"/>
    </row>
    <row r="4552" spans="1:11">
      <c r="A4552" s="450" t="s">
        <v>35153</v>
      </c>
      <c r="B4552" s="450" t="s">
        <v>7787</v>
      </c>
      <c r="C4552" s="450" t="s">
        <v>7788</v>
      </c>
      <c r="D4552" s="450" t="s">
        <v>7789</v>
      </c>
      <c r="E4552" s="450"/>
      <c r="F4552" s="450"/>
      <c r="G4552" s="450" t="s">
        <v>22882</v>
      </c>
      <c r="H4552" s="450" t="s">
        <v>22883</v>
      </c>
      <c r="I4552" s="450" t="s">
        <v>35154</v>
      </c>
      <c r="J4552" s="450" t="s">
        <v>35155</v>
      </c>
      <c r="K4552" s="450"/>
    </row>
    <row r="4553" spans="1:11">
      <c r="A4553" s="451" t="s">
        <v>7786</v>
      </c>
      <c r="B4553" s="451" t="s">
        <v>7787</v>
      </c>
      <c r="C4553" s="451" t="s">
        <v>7788</v>
      </c>
      <c r="D4553" s="451" t="s">
        <v>7789</v>
      </c>
      <c r="E4553" s="451" t="s">
        <v>7790</v>
      </c>
      <c r="F4553" s="451"/>
      <c r="G4553" s="451" t="s">
        <v>22882</v>
      </c>
      <c r="H4553" s="451" t="s">
        <v>22883</v>
      </c>
      <c r="I4553" s="451" t="s">
        <v>7789</v>
      </c>
      <c r="J4553" s="451" t="s">
        <v>31216</v>
      </c>
      <c r="K4553" s="451"/>
    </row>
    <row r="4554" spans="1:11">
      <c r="A4554" s="450" t="s">
        <v>7791</v>
      </c>
      <c r="B4554" s="450"/>
      <c r="C4554" s="450" t="s">
        <v>7792</v>
      </c>
      <c r="D4554" s="450"/>
      <c r="E4554" s="450"/>
      <c r="F4554" s="450"/>
      <c r="G4554" s="450" t="s">
        <v>22877</v>
      </c>
      <c r="H4554" s="450" t="s">
        <v>22878</v>
      </c>
      <c r="I4554" s="450" t="s">
        <v>35156</v>
      </c>
      <c r="J4554" s="450" t="s">
        <v>22939</v>
      </c>
      <c r="K4554" s="450"/>
    </row>
    <row r="4555" spans="1:11">
      <c r="A4555" s="451" t="s">
        <v>35157</v>
      </c>
      <c r="B4555" s="451"/>
      <c r="C4555" s="451" t="s">
        <v>7794</v>
      </c>
      <c r="D4555" s="451"/>
      <c r="E4555" s="451"/>
      <c r="F4555" s="451"/>
      <c r="G4555" s="451" t="s">
        <v>22882</v>
      </c>
      <c r="H4555" s="451" t="s">
        <v>22883</v>
      </c>
      <c r="I4555" s="451" t="s">
        <v>35158</v>
      </c>
      <c r="J4555" s="451" t="s">
        <v>22943</v>
      </c>
      <c r="K4555" s="451"/>
    </row>
    <row r="4556" spans="1:11">
      <c r="A4556" s="450" t="s">
        <v>7793</v>
      </c>
      <c r="B4556" s="450"/>
      <c r="C4556" s="450" t="s">
        <v>7794</v>
      </c>
      <c r="D4556" s="450"/>
      <c r="E4556" s="450"/>
      <c r="F4556" s="450"/>
      <c r="G4556" s="450" t="s">
        <v>22877</v>
      </c>
      <c r="H4556" s="450" t="s">
        <v>22878</v>
      </c>
      <c r="I4556" s="450"/>
      <c r="J4556" s="450" t="s">
        <v>22937</v>
      </c>
      <c r="K4556" s="450"/>
    </row>
    <row r="4557" spans="1:11">
      <c r="A4557" s="451" t="s">
        <v>7795</v>
      </c>
      <c r="B4557" s="451"/>
      <c r="C4557" s="451" t="s">
        <v>7796</v>
      </c>
      <c r="D4557" s="451"/>
      <c r="E4557" s="451"/>
      <c r="F4557" s="451"/>
      <c r="G4557" s="451" t="s">
        <v>22877</v>
      </c>
      <c r="H4557" s="451" t="s">
        <v>22878</v>
      </c>
      <c r="I4557" s="451" t="s">
        <v>35159</v>
      </c>
      <c r="J4557" s="451" t="s">
        <v>22939</v>
      </c>
      <c r="K4557" s="451"/>
    </row>
    <row r="4558" spans="1:11">
      <c r="A4558" s="450" t="s">
        <v>7797</v>
      </c>
      <c r="B4558" s="450"/>
      <c r="C4558" s="450" t="s">
        <v>7798</v>
      </c>
      <c r="D4558" s="450"/>
      <c r="E4558" s="450"/>
      <c r="F4558" s="450"/>
      <c r="G4558" s="450" t="s">
        <v>22877</v>
      </c>
      <c r="H4558" s="450" t="s">
        <v>22878</v>
      </c>
      <c r="I4558" s="450" t="s">
        <v>35160</v>
      </c>
      <c r="J4558" s="450" t="s">
        <v>22939</v>
      </c>
      <c r="K4558" s="450"/>
    </row>
    <row r="4559" spans="1:11">
      <c r="A4559" s="451" t="s">
        <v>35161</v>
      </c>
      <c r="B4559" s="451"/>
      <c r="C4559" s="451" t="s">
        <v>7798</v>
      </c>
      <c r="D4559" s="451"/>
      <c r="E4559" s="451"/>
      <c r="F4559" s="451"/>
      <c r="G4559" s="451" t="s">
        <v>22877</v>
      </c>
      <c r="H4559" s="451" t="s">
        <v>22878</v>
      </c>
      <c r="I4559" s="451" t="s">
        <v>35160</v>
      </c>
      <c r="J4559" s="451" t="s">
        <v>23121</v>
      </c>
      <c r="K4559" s="451"/>
    </row>
    <row r="4560" spans="1:11">
      <c r="A4560" s="450" t="s">
        <v>35162</v>
      </c>
      <c r="B4560" s="450"/>
      <c r="C4560" s="450" t="s">
        <v>7800</v>
      </c>
      <c r="D4560" s="450"/>
      <c r="E4560" s="450"/>
      <c r="F4560" s="450"/>
      <c r="G4560" s="450" t="s">
        <v>22882</v>
      </c>
      <c r="H4560" s="450" t="s">
        <v>22883</v>
      </c>
      <c r="I4560" s="450"/>
      <c r="J4560" s="450" t="s">
        <v>22943</v>
      </c>
      <c r="K4560" s="450"/>
    </row>
    <row r="4561" spans="1:11">
      <c r="A4561" s="451" t="s">
        <v>7799</v>
      </c>
      <c r="B4561" s="451"/>
      <c r="C4561" s="451" t="s">
        <v>7800</v>
      </c>
      <c r="D4561" s="451"/>
      <c r="E4561" s="451"/>
      <c r="F4561" s="451"/>
      <c r="G4561" s="451" t="s">
        <v>22882</v>
      </c>
      <c r="H4561" s="451" t="s">
        <v>22883</v>
      </c>
      <c r="I4561" s="451"/>
      <c r="J4561" s="451" t="s">
        <v>23143</v>
      </c>
      <c r="K4561" s="451"/>
    </row>
    <row r="4562" spans="1:11">
      <c r="A4562" s="450" t="s">
        <v>35163</v>
      </c>
      <c r="B4562" s="450"/>
      <c r="C4562" s="450" t="s">
        <v>7802</v>
      </c>
      <c r="D4562" s="450"/>
      <c r="E4562" s="450"/>
      <c r="F4562" s="450"/>
      <c r="G4562" s="450" t="s">
        <v>22877</v>
      </c>
      <c r="H4562" s="450" t="s">
        <v>22878</v>
      </c>
      <c r="I4562" s="450" t="s">
        <v>35164</v>
      </c>
      <c r="J4562" s="450" t="s">
        <v>22943</v>
      </c>
      <c r="K4562" s="450"/>
    </row>
    <row r="4563" spans="1:11">
      <c r="A4563" s="451" t="s">
        <v>7801</v>
      </c>
      <c r="B4563" s="451"/>
      <c r="C4563" s="451" t="s">
        <v>7802</v>
      </c>
      <c r="D4563" s="451"/>
      <c r="E4563" s="451"/>
      <c r="F4563" s="451"/>
      <c r="G4563" s="451" t="s">
        <v>22877</v>
      </c>
      <c r="H4563" s="451" t="s">
        <v>22878</v>
      </c>
      <c r="I4563" s="451" t="s">
        <v>35164</v>
      </c>
      <c r="J4563" s="451" t="s">
        <v>22997</v>
      </c>
      <c r="K4563" s="451"/>
    </row>
    <row r="4564" spans="1:11">
      <c r="A4564" s="450" t="s">
        <v>7803</v>
      </c>
      <c r="B4564" s="450"/>
      <c r="C4564" s="450" t="s">
        <v>7804</v>
      </c>
      <c r="D4564" s="450"/>
      <c r="E4564" s="450"/>
      <c r="F4564" s="450"/>
      <c r="G4564" s="450" t="s">
        <v>22877</v>
      </c>
      <c r="H4564" s="450" t="s">
        <v>22878</v>
      </c>
      <c r="I4564" s="450" t="s">
        <v>25363</v>
      </c>
      <c r="J4564" s="450" t="s">
        <v>22939</v>
      </c>
      <c r="K4564" s="450"/>
    </row>
    <row r="4565" spans="1:11">
      <c r="A4565" s="451" t="s">
        <v>35165</v>
      </c>
      <c r="B4565" s="451"/>
      <c r="C4565" s="451" t="s">
        <v>6230</v>
      </c>
      <c r="D4565" s="451"/>
      <c r="E4565" s="451"/>
      <c r="F4565" s="451"/>
      <c r="G4565" s="451" t="s">
        <v>22877</v>
      </c>
      <c r="H4565" s="451" t="s">
        <v>22878</v>
      </c>
      <c r="I4565" s="451" t="s">
        <v>35166</v>
      </c>
      <c r="J4565" s="451" t="s">
        <v>22943</v>
      </c>
      <c r="K4565" s="451"/>
    </row>
    <row r="4566" spans="1:11">
      <c r="A4566" s="450" t="s">
        <v>7805</v>
      </c>
      <c r="B4566" s="450"/>
      <c r="C4566" s="450" t="s">
        <v>6230</v>
      </c>
      <c r="D4566" s="450"/>
      <c r="E4566" s="450"/>
      <c r="F4566" s="450"/>
      <c r="G4566" s="450" t="s">
        <v>22877</v>
      </c>
      <c r="H4566" s="450" t="s">
        <v>22878</v>
      </c>
      <c r="I4566" s="450" t="s">
        <v>35167</v>
      </c>
      <c r="J4566" s="450" t="s">
        <v>22939</v>
      </c>
      <c r="K4566" s="450"/>
    </row>
    <row r="4567" spans="1:11">
      <c r="A4567" s="451" t="s">
        <v>7806</v>
      </c>
      <c r="B4567" s="451"/>
      <c r="C4567" s="451" t="s">
        <v>7807</v>
      </c>
      <c r="D4567" s="451"/>
      <c r="E4567" s="451"/>
      <c r="F4567" s="451"/>
      <c r="G4567" s="451" t="s">
        <v>22877</v>
      </c>
      <c r="H4567" s="451" t="s">
        <v>22878</v>
      </c>
      <c r="I4567" s="451" t="s">
        <v>35166</v>
      </c>
      <c r="J4567" s="451" t="s">
        <v>22939</v>
      </c>
      <c r="K4567" s="451"/>
    </row>
    <row r="4568" spans="1:11">
      <c r="A4568" s="450" t="s">
        <v>35168</v>
      </c>
      <c r="B4568" s="450"/>
      <c r="C4568" s="450" t="s">
        <v>7809</v>
      </c>
      <c r="D4568" s="450"/>
      <c r="E4568" s="450"/>
      <c r="F4568" s="450"/>
      <c r="G4568" s="450" t="s">
        <v>22877</v>
      </c>
      <c r="H4568" s="450" t="s">
        <v>22878</v>
      </c>
      <c r="I4568" s="450" t="s">
        <v>35169</v>
      </c>
      <c r="J4568" s="450" t="s">
        <v>22943</v>
      </c>
      <c r="K4568" s="450"/>
    </row>
    <row r="4569" spans="1:11">
      <c r="A4569" s="451" t="s">
        <v>7808</v>
      </c>
      <c r="B4569" s="451"/>
      <c r="C4569" s="451" t="s">
        <v>7809</v>
      </c>
      <c r="D4569" s="451"/>
      <c r="E4569" s="451"/>
      <c r="F4569" s="451"/>
      <c r="G4569" s="451" t="s">
        <v>22877</v>
      </c>
      <c r="H4569" s="451" t="s">
        <v>22878</v>
      </c>
      <c r="I4569" s="451"/>
      <c r="J4569" s="451" t="s">
        <v>23143</v>
      </c>
      <c r="K4569" s="451"/>
    </row>
    <row r="4570" spans="1:11">
      <c r="A4570" s="450" t="s">
        <v>7810</v>
      </c>
      <c r="B4570" s="450"/>
      <c r="C4570" s="450" t="s">
        <v>7811</v>
      </c>
      <c r="D4570" s="450"/>
      <c r="E4570" s="450"/>
      <c r="F4570" s="450"/>
      <c r="G4570" s="450" t="s">
        <v>22877</v>
      </c>
      <c r="H4570" s="450" t="s">
        <v>22878</v>
      </c>
      <c r="I4570" s="450"/>
      <c r="J4570" s="450" t="s">
        <v>22937</v>
      </c>
      <c r="K4570" s="450"/>
    </row>
    <row r="4571" spans="1:11">
      <c r="A4571" s="451" t="s">
        <v>35170</v>
      </c>
      <c r="B4571" s="451"/>
      <c r="C4571" s="451" t="s">
        <v>7813</v>
      </c>
      <c r="D4571" s="451"/>
      <c r="E4571" s="451"/>
      <c r="F4571" s="451"/>
      <c r="G4571" s="451" t="s">
        <v>22877</v>
      </c>
      <c r="H4571" s="451" t="s">
        <v>22878</v>
      </c>
      <c r="I4571" s="451" t="s">
        <v>35171</v>
      </c>
      <c r="J4571" s="451" t="s">
        <v>22943</v>
      </c>
      <c r="K4571" s="451"/>
    </row>
    <row r="4572" spans="1:11">
      <c r="A4572" s="450" t="s">
        <v>7812</v>
      </c>
      <c r="B4572" s="450"/>
      <c r="C4572" s="450" t="s">
        <v>7813</v>
      </c>
      <c r="D4572" s="450"/>
      <c r="E4572" s="450"/>
      <c r="F4572" s="450"/>
      <c r="G4572" s="450" t="s">
        <v>22877</v>
      </c>
      <c r="H4572" s="450" t="s">
        <v>22878</v>
      </c>
      <c r="I4572" s="450"/>
      <c r="J4572" s="450" t="s">
        <v>23121</v>
      </c>
      <c r="K4572" s="450"/>
    </row>
    <row r="4573" spans="1:11">
      <c r="A4573" s="451" t="s">
        <v>35172</v>
      </c>
      <c r="B4573" s="451"/>
      <c r="C4573" s="451" t="s">
        <v>7811</v>
      </c>
      <c r="D4573" s="451"/>
      <c r="E4573" s="451"/>
      <c r="F4573" s="451"/>
      <c r="G4573" s="451" t="s">
        <v>22877</v>
      </c>
      <c r="H4573" s="451" t="s">
        <v>22878</v>
      </c>
      <c r="I4573" s="451" t="s">
        <v>35173</v>
      </c>
      <c r="J4573" s="451" t="s">
        <v>22943</v>
      </c>
      <c r="K4573" s="451"/>
    </row>
    <row r="4574" spans="1:11">
      <c r="A4574" s="450" t="s">
        <v>35174</v>
      </c>
      <c r="B4574" s="450"/>
      <c r="C4574" s="450" t="s">
        <v>7815</v>
      </c>
      <c r="D4574" s="450"/>
      <c r="E4574" s="450"/>
      <c r="F4574" s="450"/>
      <c r="G4574" s="450" t="s">
        <v>22882</v>
      </c>
      <c r="H4574" s="450" t="s">
        <v>22883</v>
      </c>
      <c r="I4574" s="450" t="s">
        <v>25364</v>
      </c>
      <c r="J4574" s="450" t="s">
        <v>22943</v>
      </c>
      <c r="K4574" s="450"/>
    </row>
    <row r="4575" spans="1:11">
      <c r="A4575" s="451" t="s">
        <v>35175</v>
      </c>
      <c r="B4575" s="451"/>
      <c r="C4575" s="451" t="s">
        <v>7817</v>
      </c>
      <c r="D4575" s="451"/>
      <c r="E4575" s="451"/>
      <c r="F4575" s="451"/>
      <c r="G4575" s="451" t="s">
        <v>22882</v>
      </c>
      <c r="H4575" s="451" t="s">
        <v>22883</v>
      </c>
      <c r="I4575" s="451" t="s">
        <v>25364</v>
      </c>
      <c r="J4575" s="451" t="s">
        <v>22997</v>
      </c>
      <c r="K4575" s="451"/>
    </row>
    <row r="4576" spans="1:11">
      <c r="A4576" s="450" t="s">
        <v>7814</v>
      </c>
      <c r="B4576" s="450"/>
      <c r="C4576" s="450" t="s">
        <v>7815</v>
      </c>
      <c r="D4576" s="450"/>
      <c r="E4576" s="450"/>
      <c r="F4576" s="450"/>
      <c r="G4576" s="450" t="s">
        <v>22882</v>
      </c>
      <c r="H4576" s="450" t="s">
        <v>22883</v>
      </c>
      <c r="I4576" s="450" t="s">
        <v>25364</v>
      </c>
      <c r="J4576" s="450" t="s">
        <v>22937</v>
      </c>
      <c r="K4576" s="450"/>
    </row>
    <row r="4577" spans="1:11">
      <c r="A4577" s="451" t="s">
        <v>7816</v>
      </c>
      <c r="B4577" s="451"/>
      <c r="C4577" s="451" t="s">
        <v>7817</v>
      </c>
      <c r="D4577" s="451"/>
      <c r="E4577" s="451"/>
      <c r="F4577" s="451"/>
      <c r="G4577" s="451" t="s">
        <v>22882</v>
      </c>
      <c r="H4577" s="451" t="s">
        <v>22883</v>
      </c>
      <c r="I4577" s="451" t="s">
        <v>25364</v>
      </c>
      <c r="J4577" s="451" t="s">
        <v>22939</v>
      </c>
      <c r="K4577" s="451"/>
    </row>
    <row r="4578" spans="1:11">
      <c r="A4578" s="450" t="s">
        <v>7818</v>
      </c>
      <c r="B4578" s="450" t="s">
        <v>25365</v>
      </c>
      <c r="C4578" s="450" t="s">
        <v>7820</v>
      </c>
      <c r="D4578" s="450"/>
      <c r="E4578" s="450"/>
      <c r="F4578" s="450"/>
      <c r="G4578" s="450" t="s">
        <v>22882</v>
      </c>
      <c r="H4578" s="450" t="s">
        <v>22883</v>
      </c>
      <c r="I4578" s="450" t="s">
        <v>25366</v>
      </c>
      <c r="J4578" s="450" t="s">
        <v>25367</v>
      </c>
      <c r="K4578" s="450"/>
    </row>
    <row r="4579" spans="1:11">
      <c r="A4579" s="451" t="s">
        <v>7818</v>
      </c>
      <c r="B4579" s="451" t="s">
        <v>7819</v>
      </c>
      <c r="C4579" s="451" t="s">
        <v>7820</v>
      </c>
      <c r="D4579" s="451"/>
      <c r="E4579" s="451"/>
      <c r="F4579" s="451"/>
      <c r="G4579" s="451" t="s">
        <v>22882</v>
      </c>
      <c r="H4579" s="451" t="s">
        <v>22883</v>
      </c>
      <c r="I4579" s="451"/>
      <c r="J4579" s="451" t="s">
        <v>31217</v>
      </c>
      <c r="K4579" s="451"/>
    </row>
    <row r="4580" spans="1:11">
      <c r="A4580" s="450" t="s">
        <v>35176</v>
      </c>
      <c r="B4580" s="450" t="s">
        <v>7822</v>
      </c>
      <c r="C4580" s="450" t="s">
        <v>7823</v>
      </c>
      <c r="D4580" s="450"/>
      <c r="E4580" s="450"/>
      <c r="F4580" s="450" t="s">
        <v>35177</v>
      </c>
      <c r="G4580" s="450" t="s">
        <v>22877</v>
      </c>
      <c r="H4580" s="450" t="s">
        <v>22878</v>
      </c>
      <c r="I4580" s="450" t="s">
        <v>35178</v>
      </c>
      <c r="J4580" s="450" t="s">
        <v>35179</v>
      </c>
      <c r="K4580" s="450"/>
    </row>
    <row r="4581" spans="1:11">
      <c r="A4581" s="451" t="s">
        <v>7821</v>
      </c>
      <c r="B4581" s="451" t="s">
        <v>7822</v>
      </c>
      <c r="C4581" s="451" t="s">
        <v>7823</v>
      </c>
      <c r="D4581" s="451"/>
      <c r="E4581" s="451"/>
      <c r="F4581" s="451" t="s">
        <v>7824</v>
      </c>
      <c r="G4581" s="451" t="s">
        <v>22877</v>
      </c>
      <c r="H4581" s="451" t="s">
        <v>22878</v>
      </c>
      <c r="I4581" s="451" t="s">
        <v>31218</v>
      </c>
      <c r="J4581" s="451" t="s">
        <v>31219</v>
      </c>
      <c r="K4581" s="451"/>
    </row>
    <row r="4582" spans="1:11">
      <c r="A4582" s="450" t="s">
        <v>7825</v>
      </c>
      <c r="B4582" s="450"/>
      <c r="C4582" s="450" t="s">
        <v>7826</v>
      </c>
      <c r="D4582" s="450"/>
      <c r="E4582" s="450"/>
      <c r="F4582" s="450"/>
      <c r="G4582" s="450" t="s">
        <v>22882</v>
      </c>
      <c r="H4582" s="450" t="s">
        <v>22883</v>
      </c>
      <c r="I4582" s="450" t="s">
        <v>35180</v>
      </c>
      <c r="J4582" s="450" t="s">
        <v>22939</v>
      </c>
      <c r="K4582" s="450"/>
    </row>
    <row r="4583" spans="1:11">
      <c r="A4583" s="451" t="s">
        <v>7827</v>
      </c>
      <c r="B4583" s="451"/>
      <c r="C4583" s="451" t="s">
        <v>4904</v>
      </c>
      <c r="D4583" s="451"/>
      <c r="E4583" s="451"/>
      <c r="F4583" s="451"/>
      <c r="G4583" s="451" t="s">
        <v>22877</v>
      </c>
      <c r="H4583" s="451" t="s">
        <v>22878</v>
      </c>
      <c r="I4583" s="451" t="s">
        <v>35181</v>
      </c>
      <c r="J4583" s="451" t="s">
        <v>22939</v>
      </c>
      <c r="K4583" s="451"/>
    </row>
    <row r="4584" spans="1:11">
      <c r="A4584" s="450" t="s">
        <v>7828</v>
      </c>
      <c r="B4584" s="450"/>
      <c r="C4584" s="450" t="s">
        <v>3485</v>
      </c>
      <c r="D4584" s="450"/>
      <c r="E4584" s="450"/>
      <c r="F4584" s="450"/>
      <c r="G4584" s="450" t="s">
        <v>22877</v>
      </c>
      <c r="H4584" s="450" t="s">
        <v>22878</v>
      </c>
      <c r="I4584" s="450" t="s">
        <v>25369</v>
      </c>
      <c r="J4584" s="450" t="s">
        <v>22942</v>
      </c>
      <c r="K4584" s="450"/>
    </row>
    <row r="4585" spans="1:11">
      <c r="A4585" s="451" t="s">
        <v>25368</v>
      </c>
      <c r="B4585" s="451"/>
      <c r="C4585" s="451" t="s">
        <v>22780</v>
      </c>
      <c r="D4585" s="451"/>
      <c r="E4585" s="451"/>
      <c r="F4585" s="451"/>
      <c r="G4585" s="451" t="s">
        <v>22877</v>
      </c>
      <c r="H4585" s="451" t="s">
        <v>22878</v>
      </c>
      <c r="I4585" s="451" t="s">
        <v>25369</v>
      </c>
      <c r="J4585" s="451" t="s">
        <v>22943</v>
      </c>
      <c r="K4585" s="451"/>
    </row>
    <row r="4586" spans="1:11">
      <c r="A4586" s="450" t="s">
        <v>35182</v>
      </c>
      <c r="B4586" s="450" t="s">
        <v>7829</v>
      </c>
      <c r="C4586" s="450" t="s">
        <v>7830</v>
      </c>
      <c r="D4586" s="450"/>
      <c r="E4586" s="450"/>
      <c r="F4586" s="450"/>
      <c r="G4586" s="450" t="s">
        <v>22877</v>
      </c>
      <c r="H4586" s="450" t="s">
        <v>22878</v>
      </c>
      <c r="I4586" s="450" t="s">
        <v>25370</v>
      </c>
      <c r="J4586" s="450" t="s">
        <v>25371</v>
      </c>
      <c r="K4586" s="450"/>
    </row>
    <row r="4587" spans="1:11">
      <c r="A4587" s="451" t="s">
        <v>21679</v>
      </c>
      <c r="B4587" s="451" t="s">
        <v>7829</v>
      </c>
      <c r="C4587" s="451" t="s">
        <v>7830</v>
      </c>
      <c r="D4587" s="451"/>
      <c r="E4587" s="451"/>
      <c r="F4587" s="451"/>
      <c r="G4587" s="451" t="s">
        <v>22877</v>
      </c>
      <c r="H4587" s="451" t="s">
        <v>22878</v>
      </c>
      <c r="I4587" s="451" t="s">
        <v>25370</v>
      </c>
      <c r="J4587" s="451" t="s">
        <v>25371</v>
      </c>
      <c r="K4587" s="451"/>
    </row>
    <row r="4588" spans="1:11">
      <c r="A4588" s="450" t="s">
        <v>25372</v>
      </c>
      <c r="B4588" s="450"/>
      <c r="C4588" s="450" t="s">
        <v>7832</v>
      </c>
      <c r="D4588" s="450"/>
      <c r="E4588" s="450"/>
      <c r="F4588" s="450"/>
      <c r="G4588" s="450" t="s">
        <v>22882</v>
      </c>
      <c r="H4588" s="450" t="s">
        <v>22883</v>
      </c>
      <c r="I4588" s="450" t="s">
        <v>25373</v>
      </c>
      <c r="J4588" s="450" t="s">
        <v>23370</v>
      </c>
      <c r="K4588" s="450"/>
    </row>
    <row r="4589" spans="1:11">
      <c r="A4589" s="451" t="s">
        <v>7831</v>
      </c>
      <c r="B4589" s="451"/>
      <c r="C4589" s="451" t="s">
        <v>7832</v>
      </c>
      <c r="D4589" s="451"/>
      <c r="E4589" s="451"/>
      <c r="F4589" s="451"/>
      <c r="G4589" s="451" t="s">
        <v>22882</v>
      </c>
      <c r="H4589" s="451" t="s">
        <v>22883</v>
      </c>
      <c r="I4589" s="451"/>
      <c r="J4589" s="451" t="s">
        <v>22942</v>
      </c>
      <c r="K4589" s="451"/>
    </row>
    <row r="4590" spans="1:11">
      <c r="A4590" s="450" t="s">
        <v>30010</v>
      </c>
      <c r="B4590" s="450" t="s">
        <v>30011</v>
      </c>
      <c r="C4590" s="450" t="s">
        <v>30012</v>
      </c>
      <c r="D4590" s="450"/>
      <c r="E4590" s="450"/>
      <c r="F4590" s="450"/>
      <c r="G4590" s="450"/>
      <c r="H4590" s="450"/>
      <c r="I4590" s="450"/>
      <c r="J4590" s="450"/>
      <c r="K4590" s="450"/>
    </row>
    <row r="4591" spans="1:11">
      <c r="A4591" s="451" t="s">
        <v>35183</v>
      </c>
      <c r="B4591" s="451" t="s">
        <v>7834</v>
      </c>
      <c r="C4591" s="451" t="s">
        <v>7835</v>
      </c>
      <c r="D4591" s="451" t="s">
        <v>7836</v>
      </c>
      <c r="E4591" s="451"/>
      <c r="F4591" s="451"/>
      <c r="G4591" s="451" t="s">
        <v>22877</v>
      </c>
      <c r="H4591" s="451" t="s">
        <v>22878</v>
      </c>
      <c r="I4591" s="451" t="s">
        <v>7837</v>
      </c>
      <c r="J4591" s="451" t="s">
        <v>35184</v>
      </c>
      <c r="K4591" s="451"/>
    </row>
    <row r="4592" spans="1:11">
      <c r="A4592" s="450" t="s">
        <v>7833</v>
      </c>
      <c r="B4592" s="450" t="s">
        <v>7834</v>
      </c>
      <c r="C4592" s="450" t="s">
        <v>7835</v>
      </c>
      <c r="D4592" s="450" t="s">
        <v>7836</v>
      </c>
      <c r="E4592" s="450" t="s">
        <v>7837</v>
      </c>
      <c r="F4592" s="450"/>
      <c r="G4592" s="450" t="s">
        <v>22877</v>
      </c>
      <c r="H4592" s="450" t="s">
        <v>22878</v>
      </c>
      <c r="I4592" s="450"/>
      <c r="J4592" s="450" t="s">
        <v>31220</v>
      </c>
      <c r="K4592" s="450"/>
    </row>
    <row r="4593" spans="1:11">
      <c r="A4593" s="451" t="s">
        <v>7838</v>
      </c>
      <c r="B4593" s="451" t="s">
        <v>25374</v>
      </c>
      <c r="C4593" s="451" t="s">
        <v>7840</v>
      </c>
      <c r="D4593" s="451" t="s">
        <v>7841</v>
      </c>
      <c r="E4593" s="451"/>
      <c r="F4593" s="451"/>
      <c r="G4593" s="451" t="s">
        <v>22877</v>
      </c>
      <c r="H4593" s="451" t="s">
        <v>22878</v>
      </c>
      <c r="I4593" s="451" t="s">
        <v>25375</v>
      </c>
      <c r="J4593" s="451" t="s">
        <v>25376</v>
      </c>
      <c r="K4593" s="451"/>
    </row>
    <row r="4594" spans="1:11">
      <c r="A4594" s="450" t="s">
        <v>7838</v>
      </c>
      <c r="B4594" s="450" t="s">
        <v>7839</v>
      </c>
      <c r="C4594" s="450" t="s">
        <v>7840</v>
      </c>
      <c r="D4594" s="450" t="s">
        <v>7841</v>
      </c>
      <c r="E4594" s="450" t="s">
        <v>7842</v>
      </c>
      <c r="F4594" s="450"/>
      <c r="G4594" s="450" t="s">
        <v>22877</v>
      </c>
      <c r="H4594" s="450" t="s">
        <v>22878</v>
      </c>
      <c r="I4594" s="450"/>
      <c r="J4594" s="450" t="s">
        <v>25376</v>
      </c>
      <c r="K4594" s="450"/>
    </row>
    <row r="4595" spans="1:11">
      <c r="A4595" s="451" t="s">
        <v>7843</v>
      </c>
      <c r="B4595" s="451"/>
      <c r="C4595" s="451" t="s">
        <v>7844</v>
      </c>
      <c r="D4595" s="451"/>
      <c r="E4595" s="451"/>
      <c r="F4595" s="451"/>
      <c r="G4595" s="451" t="s">
        <v>22877</v>
      </c>
      <c r="H4595" s="451" t="s">
        <v>22878</v>
      </c>
      <c r="I4595" s="451" t="s">
        <v>35185</v>
      </c>
      <c r="J4595" s="451" t="s">
        <v>23121</v>
      </c>
      <c r="K4595" s="451"/>
    </row>
    <row r="4596" spans="1:11">
      <c r="A4596" s="450" t="s">
        <v>7845</v>
      </c>
      <c r="B4596" s="450"/>
      <c r="C4596" s="450" t="s">
        <v>6871</v>
      </c>
      <c r="D4596" s="450"/>
      <c r="E4596" s="450"/>
      <c r="F4596" s="450"/>
      <c r="G4596" s="450" t="s">
        <v>22877</v>
      </c>
      <c r="H4596" s="450" t="s">
        <v>22878</v>
      </c>
      <c r="I4596" s="450" t="s">
        <v>35186</v>
      </c>
      <c r="J4596" s="450" t="s">
        <v>22939</v>
      </c>
      <c r="K4596" s="450"/>
    </row>
    <row r="4597" spans="1:11">
      <c r="A4597" s="451" t="s">
        <v>7846</v>
      </c>
      <c r="B4597" s="451"/>
      <c r="C4597" s="451" t="s">
        <v>7847</v>
      </c>
      <c r="D4597" s="451"/>
      <c r="E4597" s="451"/>
      <c r="F4597" s="451"/>
      <c r="G4597" s="451" t="s">
        <v>22882</v>
      </c>
      <c r="H4597" s="451" t="s">
        <v>22883</v>
      </c>
      <c r="I4597" s="451"/>
      <c r="J4597" s="451" t="s">
        <v>22939</v>
      </c>
      <c r="K4597" s="451"/>
    </row>
    <row r="4598" spans="1:11">
      <c r="A4598" s="450" t="s">
        <v>7848</v>
      </c>
      <c r="B4598" s="450"/>
      <c r="C4598" s="450" t="s">
        <v>5208</v>
      </c>
      <c r="D4598" s="450"/>
      <c r="E4598" s="450"/>
      <c r="F4598" s="450"/>
      <c r="G4598" s="450" t="s">
        <v>22882</v>
      </c>
      <c r="H4598" s="450" t="s">
        <v>22883</v>
      </c>
      <c r="I4598" s="450" t="s">
        <v>35187</v>
      </c>
      <c r="J4598" s="450" t="s">
        <v>22943</v>
      </c>
      <c r="K4598" s="450"/>
    </row>
    <row r="4599" spans="1:11">
      <c r="A4599" s="451" t="s">
        <v>7849</v>
      </c>
      <c r="B4599" s="451"/>
      <c r="C4599" s="451" t="s">
        <v>7850</v>
      </c>
      <c r="D4599" s="451" t="s">
        <v>7851</v>
      </c>
      <c r="E4599" s="451"/>
      <c r="F4599" s="451"/>
      <c r="G4599" s="451" t="s">
        <v>22877</v>
      </c>
      <c r="H4599" s="451" t="s">
        <v>22878</v>
      </c>
      <c r="I4599" s="451" t="s">
        <v>35188</v>
      </c>
      <c r="J4599" s="451" t="s">
        <v>35189</v>
      </c>
      <c r="K4599" s="451"/>
    </row>
    <row r="4600" spans="1:11">
      <c r="A4600" s="450" t="s">
        <v>35190</v>
      </c>
      <c r="B4600" s="450"/>
      <c r="C4600" s="450" t="s">
        <v>2583</v>
      </c>
      <c r="D4600" s="450"/>
      <c r="E4600" s="450"/>
      <c r="F4600" s="450"/>
      <c r="G4600" s="450" t="s">
        <v>22882</v>
      </c>
      <c r="H4600" s="450" t="s">
        <v>22883</v>
      </c>
      <c r="I4600" s="450" t="s">
        <v>35191</v>
      </c>
      <c r="J4600" s="450" t="s">
        <v>22943</v>
      </c>
      <c r="K4600" s="450"/>
    </row>
    <row r="4601" spans="1:11">
      <c r="A4601" s="451" t="s">
        <v>7852</v>
      </c>
      <c r="B4601" s="451"/>
      <c r="C4601" s="451" t="s">
        <v>2583</v>
      </c>
      <c r="D4601" s="451"/>
      <c r="E4601" s="451"/>
      <c r="F4601" s="451"/>
      <c r="G4601" s="451" t="s">
        <v>22877</v>
      </c>
      <c r="H4601" s="451" t="s">
        <v>22878</v>
      </c>
      <c r="I4601" s="451"/>
      <c r="J4601" s="451" t="s">
        <v>23143</v>
      </c>
      <c r="K4601" s="451"/>
    </row>
    <row r="4602" spans="1:11">
      <c r="A4602" s="450" t="s">
        <v>7853</v>
      </c>
      <c r="B4602" s="450"/>
      <c r="C4602" s="450" t="s">
        <v>7854</v>
      </c>
      <c r="D4602" s="450"/>
      <c r="E4602" s="450"/>
      <c r="F4602" s="450"/>
      <c r="G4602" s="450" t="s">
        <v>22877</v>
      </c>
      <c r="H4602" s="450" t="s">
        <v>22878</v>
      </c>
      <c r="I4602" s="450" t="s">
        <v>35192</v>
      </c>
      <c r="J4602" s="450" t="s">
        <v>22939</v>
      </c>
      <c r="K4602" s="450"/>
    </row>
    <row r="4603" spans="1:11">
      <c r="A4603" s="451" t="s">
        <v>7855</v>
      </c>
      <c r="B4603" s="451"/>
      <c r="C4603" s="451" t="s">
        <v>6587</v>
      </c>
      <c r="D4603" s="451"/>
      <c r="E4603" s="451"/>
      <c r="F4603" s="451"/>
      <c r="G4603" s="451" t="s">
        <v>22882</v>
      </c>
      <c r="H4603" s="451" t="s">
        <v>22883</v>
      </c>
      <c r="I4603" s="451" t="s">
        <v>35193</v>
      </c>
      <c r="J4603" s="451" t="s">
        <v>22943</v>
      </c>
      <c r="K4603" s="451"/>
    </row>
    <row r="4604" spans="1:11">
      <c r="A4604" s="450" t="s">
        <v>21680</v>
      </c>
      <c r="B4604" s="450"/>
      <c r="C4604" s="450" t="s">
        <v>7856</v>
      </c>
      <c r="D4604" s="450"/>
      <c r="E4604" s="450"/>
      <c r="F4604" s="450"/>
      <c r="G4604" s="450" t="s">
        <v>22882</v>
      </c>
      <c r="H4604" s="450" t="s">
        <v>22883</v>
      </c>
      <c r="I4604" s="450"/>
      <c r="J4604" s="450" t="s">
        <v>22939</v>
      </c>
      <c r="K4604" s="450"/>
    </row>
    <row r="4605" spans="1:11">
      <c r="A4605" s="451" t="s">
        <v>35194</v>
      </c>
      <c r="B4605" s="451"/>
      <c r="C4605" s="451" t="s">
        <v>7858</v>
      </c>
      <c r="D4605" s="451"/>
      <c r="E4605" s="451"/>
      <c r="F4605" s="451"/>
      <c r="G4605" s="451" t="s">
        <v>22877</v>
      </c>
      <c r="H4605" s="451" t="s">
        <v>22878</v>
      </c>
      <c r="I4605" s="451" t="s">
        <v>35195</v>
      </c>
      <c r="J4605" s="451" t="s">
        <v>23370</v>
      </c>
      <c r="K4605" s="451"/>
    </row>
    <row r="4606" spans="1:11">
      <c r="A4606" s="450" t="s">
        <v>7857</v>
      </c>
      <c r="B4606" s="450"/>
      <c r="C4606" s="450" t="s">
        <v>7858</v>
      </c>
      <c r="D4606" s="450"/>
      <c r="E4606" s="450"/>
      <c r="F4606" s="450"/>
      <c r="G4606" s="450" t="s">
        <v>22877</v>
      </c>
      <c r="H4606" s="450" t="s">
        <v>22878</v>
      </c>
      <c r="I4606" s="450" t="s">
        <v>35196</v>
      </c>
      <c r="J4606" s="450" t="s">
        <v>22937</v>
      </c>
      <c r="K4606" s="450"/>
    </row>
    <row r="4607" spans="1:11">
      <c r="A4607" s="451" t="s">
        <v>7859</v>
      </c>
      <c r="B4607" s="451"/>
      <c r="C4607" s="451" t="s">
        <v>7860</v>
      </c>
      <c r="D4607" s="451"/>
      <c r="E4607" s="451"/>
      <c r="F4607" s="451"/>
      <c r="G4607" s="451" t="s">
        <v>22882</v>
      </c>
      <c r="H4607" s="451" t="s">
        <v>22883</v>
      </c>
      <c r="I4607" s="451"/>
      <c r="J4607" s="451" t="s">
        <v>22943</v>
      </c>
      <c r="K4607" s="451"/>
    </row>
    <row r="4608" spans="1:11">
      <c r="A4608" s="450" t="s">
        <v>25377</v>
      </c>
      <c r="B4608" s="450" t="s">
        <v>25378</v>
      </c>
      <c r="C4608" s="450" t="s">
        <v>25379</v>
      </c>
      <c r="D4608" s="450">
        <v>12708254361</v>
      </c>
      <c r="E4608" s="450"/>
      <c r="F4608" s="450"/>
      <c r="G4608" s="450" t="s">
        <v>22877</v>
      </c>
      <c r="H4608" s="450" t="s">
        <v>22878</v>
      </c>
      <c r="I4608" s="450" t="s">
        <v>25380</v>
      </c>
      <c r="J4608" s="450" t="s">
        <v>25381</v>
      </c>
      <c r="K4608" s="450"/>
    </row>
    <row r="4609" spans="1:11">
      <c r="A4609" s="451" t="s">
        <v>21681</v>
      </c>
      <c r="B4609" s="451" t="s">
        <v>21045</v>
      </c>
      <c r="C4609" s="451" t="s">
        <v>21046</v>
      </c>
      <c r="D4609" s="451" t="s">
        <v>21047</v>
      </c>
      <c r="E4609" s="451"/>
      <c r="F4609" s="451"/>
      <c r="G4609" s="451" t="s">
        <v>22877</v>
      </c>
      <c r="H4609" s="451" t="s">
        <v>22878</v>
      </c>
      <c r="I4609" s="451" t="s">
        <v>21047</v>
      </c>
      <c r="J4609" s="451" t="s">
        <v>31221</v>
      </c>
      <c r="K4609" s="451"/>
    </row>
    <row r="4610" spans="1:11">
      <c r="A4610" s="450" t="s">
        <v>35197</v>
      </c>
      <c r="B4610" s="450"/>
      <c r="C4610" s="450" t="s">
        <v>7862</v>
      </c>
      <c r="D4610" s="450"/>
      <c r="E4610" s="450"/>
      <c r="F4610" s="450"/>
      <c r="G4610" s="450" t="s">
        <v>22877</v>
      </c>
      <c r="H4610" s="450" t="s">
        <v>22878</v>
      </c>
      <c r="I4610" s="450" t="s">
        <v>35198</v>
      </c>
      <c r="J4610" s="450" t="s">
        <v>22939</v>
      </c>
      <c r="K4610" s="450"/>
    </row>
    <row r="4611" spans="1:11">
      <c r="A4611" s="451" t="s">
        <v>7861</v>
      </c>
      <c r="B4611" s="451"/>
      <c r="C4611" s="451" t="s">
        <v>7862</v>
      </c>
      <c r="D4611" s="451"/>
      <c r="E4611" s="451"/>
      <c r="F4611" s="451"/>
      <c r="G4611" s="451" t="s">
        <v>22877</v>
      </c>
      <c r="H4611" s="451" t="s">
        <v>22878</v>
      </c>
      <c r="I4611" s="451" t="s">
        <v>35199</v>
      </c>
      <c r="J4611" s="451" t="s">
        <v>22939</v>
      </c>
      <c r="K4611" s="451"/>
    </row>
    <row r="4612" spans="1:11">
      <c r="A4612" s="450" t="s">
        <v>7863</v>
      </c>
      <c r="B4612" s="450"/>
      <c r="C4612" s="450" t="s">
        <v>7864</v>
      </c>
      <c r="D4612" s="450"/>
      <c r="E4612" s="450"/>
      <c r="F4612" s="450"/>
      <c r="G4612" s="450" t="s">
        <v>22882</v>
      </c>
      <c r="H4612" s="450" t="s">
        <v>22883</v>
      </c>
      <c r="I4612" s="450"/>
      <c r="J4612" s="450" t="s">
        <v>22939</v>
      </c>
      <c r="K4612" s="450"/>
    </row>
    <row r="4613" spans="1:11">
      <c r="A4613" s="451" t="s">
        <v>7865</v>
      </c>
      <c r="B4613" s="451"/>
      <c r="C4613" s="451" t="s">
        <v>7425</v>
      </c>
      <c r="D4613" s="451"/>
      <c r="E4613" s="451"/>
      <c r="F4613" s="451"/>
      <c r="G4613" s="451" t="s">
        <v>22877</v>
      </c>
      <c r="H4613" s="451" t="s">
        <v>22878</v>
      </c>
      <c r="I4613" s="451"/>
      <c r="J4613" s="451" t="s">
        <v>22937</v>
      </c>
      <c r="K4613" s="451"/>
    </row>
    <row r="4614" spans="1:11">
      <c r="A4614" s="450" t="s">
        <v>7866</v>
      </c>
      <c r="B4614" s="450" t="s">
        <v>7867</v>
      </c>
      <c r="C4614" s="450" t="s">
        <v>7868</v>
      </c>
      <c r="D4614" s="450" t="s">
        <v>7869</v>
      </c>
      <c r="E4614" s="450"/>
      <c r="F4614" s="450"/>
      <c r="G4614" s="450" t="s">
        <v>22877</v>
      </c>
      <c r="H4614" s="450" t="s">
        <v>22878</v>
      </c>
      <c r="I4614" s="450" t="s">
        <v>7869</v>
      </c>
      <c r="J4614" s="450" t="s">
        <v>25382</v>
      </c>
      <c r="K4614" s="450"/>
    </row>
    <row r="4615" spans="1:11">
      <c r="A4615" s="451" t="s">
        <v>7870</v>
      </c>
      <c r="B4615" s="451"/>
      <c r="C4615" s="451" t="s">
        <v>970</v>
      </c>
      <c r="D4615" s="451"/>
      <c r="E4615" s="451"/>
      <c r="F4615" s="451"/>
      <c r="G4615" s="451" t="s">
        <v>22882</v>
      </c>
      <c r="H4615" s="451" t="s">
        <v>22883</v>
      </c>
      <c r="I4615" s="451" t="s">
        <v>35200</v>
      </c>
      <c r="J4615" s="451" t="s">
        <v>22943</v>
      </c>
      <c r="K4615" s="451"/>
    </row>
    <row r="4616" spans="1:11">
      <c r="A4616" s="450" t="s">
        <v>35201</v>
      </c>
      <c r="B4616" s="450"/>
      <c r="C4616" s="450" t="s">
        <v>7425</v>
      </c>
      <c r="D4616" s="450"/>
      <c r="E4616" s="450"/>
      <c r="F4616" s="450"/>
      <c r="G4616" s="450" t="s">
        <v>22877</v>
      </c>
      <c r="H4616" s="450" t="s">
        <v>22878</v>
      </c>
      <c r="I4616" s="450" t="s">
        <v>35202</v>
      </c>
      <c r="J4616" s="450" t="s">
        <v>22943</v>
      </c>
      <c r="K4616" s="450"/>
    </row>
    <row r="4617" spans="1:11">
      <c r="A4617" s="451" t="s">
        <v>7871</v>
      </c>
      <c r="B4617" s="451"/>
      <c r="C4617" s="451" t="s">
        <v>7872</v>
      </c>
      <c r="D4617" s="451"/>
      <c r="E4617" s="451"/>
      <c r="F4617" s="451"/>
      <c r="G4617" s="451" t="s">
        <v>22877</v>
      </c>
      <c r="H4617" s="451" t="s">
        <v>22878</v>
      </c>
      <c r="I4617" s="451" t="s">
        <v>6433</v>
      </c>
      <c r="J4617" s="451" t="s">
        <v>25383</v>
      </c>
      <c r="K4617" s="451"/>
    </row>
    <row r="4618" spans="1:11">
      <c r="A4618" s="450" t="s">
        <v>31222</v>
      </c>
      <c r="B4618" s="450" t="s">
        <v>7874</v>
      </c>
      <c r="C4618" s="450" t="s">
        <v>7875</v>
      </c>
      <c r="D4618" s="450" t="s">
        <v>7876</v>
      </c>
      <c r="E4618" s="450"/>
      <c r="F4618" s="450"/>
      <c r="G4618" s="450" t="s">
        <v>22877</v>
      </c>
      <c r="H4618" s="450" t="s">
        <v>22878</v>
      </c>
      <c r="I4618" s="450" t="s">
        <v>25384</v>
      </c>
      <c r="J4618" s="450" t="s">
        <v>25385</v>
      </c>
      <c r="K4618" s="450"/>
    </row>
    <row r="4619" spans="1:11">
      <c r="A4619" s="451" t="s">
        <v>21682</v>
      </c>
      <c r="B4619" s="451"/>
      <c r="C4619" s="451" t="s">
        <v>7873</v>
      </c>
      <c r="D4619" s="451"/>
      <c r="E4619" s="451"/>
      <c r="F4619" s="451"/>
      <c r="G4619" s="451" t="s">
        <v>22882</v>
      </c>
      <c r="H4619" s="451" t="s">
        <v>22883</v>
      </c>
      <c r="I4619" s="451" t="s">
        <v>25386</v>
      </c>
      <c r="J4619" s="451" t="s">
        <v>22943</v>
      </c>
      <c r="K4619" s="451"/>
    </row>
    <row r="4620" spans="1:11">
      <c r="A4620" s="450" t="s">
        <v>21683</v>
      </c>
      <c r="B4620" s="450" t="s">
        <v>7874</v>
      </c>
      <c r="C4620" s="450" t="s">
        <v>7875</v>
      </c>
      <c r="D4620" s="450" t="s">
        <v>7876</v>
      </c>
      <c r="E4620" s="450"/>
      <c r="F4620" s="450"/>
      <c r="G4620" s="450" t="s">
        <v>22877</v>
      </c>
      <c r="H4620" s="450" t="s">
        <v>22878</v>
      </c>
      <c r="I4620" s="450"/>
      <c r="J4620" s="450" t="s">
        <v>31223</v>
      </c>
      <c r="K4620" s="450"/>
    </row>
    <row r="4621" spans="1:11">
      <c r="A4621" s="451" t="s">
        <v>7877</v>
      </c>
      <c r="B4621" s="451"/>
      <c r="C4621" s="451" t="s">
        <v>7878</v>
      </c>
      <c r="D4621" s="451"/>
      <c r="E4621" s="451"/>
      <c r="F4621" s="451"/>
      <c r="G4621" s="451" t="s">
        <v>22877</v>
      </c>
      <c r="H4621" s="451" t="s">
        <v>22878</v>
      </c>
      <c r="I4621" s="451" t="s">
        <v>35203</v>
      </c>
      <c r="J4621" s="451" t="s">
        <v>22997</v>
      </c>
      <c r="K4621" s="451"/>
    </row>
    <row r="4622" spans="1:11">
      <c r="A4622" s="450" t="s">
        <v>35204</v>
      </c>
      <c r="B4622" s="450"/>
      <c r="C4622" s="450" t="s">
        <v>7878</v>
      </c>
      <c r="D4622" s="450"/>
      <c r="E4622" s="450"/>
      <c r="F4622" s="450"/>
      <c r="G4622" s="450" t="s">
        <v>22877</v>
      </c>
      <c r="H4622" s="450" t="s">
        <v>22878</v>
      </c>
      <c r="I4622" s="450" t="s">
        <v>35205</v>
      </c>
      <c r="J4622" s="450" t="s">
        <v>22943</v>
      </c>
      <c r="K4622" s="450"/>
    </row>
    <row r="4623" spans="1:11">
      <c r="A4623" s="451" t="s">
        <v>7879</v>
      </c>
      <c r="B4623" s="451"/>
      <c r="C4623" s="451" t="s">
        <v>7878</v>
      </c>
      <c r="D4623" s="451"/>
      <c r="E4623" s="451"/>
      <c r="F4623" s="451"/>
      <c r="G4623" s="451" t="s">
        <v>22877</v>
      </c>
      <c r="H4623" s="451" t="s">
        <v>22878</v>
      </c>
      <c r="I4623" s="451" t="s">
        <v>35206</v>
      </c>
      <c r="J4623" s="451" t="s">
        <v>35207</v>
      </c>
      <c r="K4623" s="451"/>
    </row>
    <row r="4624" spans="1:11">
      <c r="A4624" s="450" t="s">
        <v>7880</v>
      </c>
      <c r="B4624" s="450"/>
      <c r="C4624" s="450" t="s">
        <v>7881</v>
      </c>
      <c r="D4624" s="450"/>
      <c r="E4624" s="450"/>
      <c r="F4624" s="450"/>
      <c r="G4624" s="450" t="s">
        <v>22882</v>
      </c>
      <c r="H4624" s="450" t="s">
        <v>22883</v>
      </c>
      <c r="I4624" s="450" t="s">
        <v>35208</v>
      </c>
      <c r="J4624" s="450" t="s">
        <v>22939</v>
      </c>
      <c r="K4624" s="450"/>
    </row>
    <row r="4625" spans="1:11">
      <c r="A4625" s="451" t="s">
        <v>35209</v>
      </c>
      <c r="B4625" s="451"/>
      <c r="C4625" s="451" t="s">
        <v>7881</v>
      </c>
      <c r="D4625" s="451"/>
      <c r="E4625" s="451"/>
      <c r="F4625" s="451"/>
      <c r="G4625" s="451" t="s">
        <v>22882</v>
      </c>
      <c r="H4625" s="451" t="s">
        <v>22883</v>
      </c>
      <c r="I4625" s="451" t="s">
        <v>35208</v>
      </c>
      <c r="J4625" s="451" t="s">
        <v>22943</v>
      </c>
      <c r="K4625" s="451"/>
    </row>
    <row r="4626" spans="1:11">
      <c r="A4626" s="450" t="s">
        <v>7882</v>
      </c>
      <c r="B4626" s="450"/>
      <c r="C4626" s="450" t="s">
        <v>5168</v>
      </c>
      <c r="D4626" s="450"/>
      <c r="E4626" s="450"/>
      <c r="F4626" s="450"/>
      <c r="G4626" s="450" t="s">
        <v>22882</v>
      </c>
      <c r="H4626" s="450" t="s">
        <v>22883</v>
      </c>
      <c r="I4626" s="450"/>
      <c r="J4626" s="450" t="s">
        <v>22939</v>
      </c>
      <c r="K4626" s="450"/>
    </row>
    <row r="4627" spans="1:11">
      <c r="A4627" s="451" t="s">
        <v>35210</v>
      </c>
      <c r="B4627" s="451"/>
      <c r="C4627" s="451" t="s">
        <v>7884</v>
      </c>
      <c r="D4627" s="451"/>
      <c r="E4627" s="451"/>
      <c r="F4627" s="451"/>
      <c r="G4627" s="451" t="s">
        <v>22882</v>
      </c>
      <c r="H4627" s="451" t="s">
        <v>22883</v>
      </c>
      <c r="I4627" s="451"/>
      <c r="J4627" s="451" t="s">
        <v>22943</v>
      </c>
      <c r="K4627" s="451"/>
    </row>
    <row r="4628" spans="1:11">
      <c r="A4628" s="450" t="s">
        <v>7883</v>
      </c>
      <c r="B4628" s="450"/>
      <c r="C4628" s="450" t="s">
        <v>7884</v>
      </c>
      <c r="D4628" s="450"/>
      <c r="E4628" s="450"/>
      <c r="F4628" s="450"/>
      <c r="G4628" s="450" t="s">
        <v>22882</v>
      </c>
      <c r="H4628" s="450" t="s">
        <v>22883</v>
      </c>
      <c r="I4628" s="450"/>
      <c r="J4628" s="450" t="s">
        <v>22937</v>
      </c>
      <c r="K4628" s="450"/>
    </row>
    <row r="4629" spans="1:11">
      <c r="A4629" s="451" t="s">
        <v>35211</v>
      </c>
      <c r="B4629" s="451"/>
      <c r="C4629" s="451" t="s">
        <v>7886</v>
      </c>
      <c r="D4629" s="451"/>
      <c r="E4629" s="451"/>
      <c r="F4629" s="451"/>
      <c r="G4629" s="451" t="s">
        <v>22882</v>
      </c>
      <c r="H4629" s="451" t="s">
        <v>22883</v>
      </c>
      <c r="I4629" s="451" t="s">
        <v>35212</v>
      </c>
      <c r="J4629" s="451" t="s">
        <v>23370</v>
      </c>
      <c r="K4629" s="451"/>
    </row>
    <row r="4630" spans="1:11">
      <c r="A4630" s="450" t="s">
        <v>7885</v>
      </c>
      <c r="B4630" s="450"/>
      <c r="C4630" s="450" t="s">
        <v>7886</v>
      </c>
      <c r="D4630" s="450"/>
      <c r="E4630" s="450"/>
      <c r="F4630" s="450"/>
      <c r="G4630" s="450" t="s">
        <v>22882</v>
      </c>
      <c r="H4630" s="450" t="s">
        <v>22883</v>
      </c>
      <c r="I4630" s="450" t="s">
        <v>35212</v>
      </c>
      <c r="J4630" s="450" t="s">
        <v>22943</v>
      </c>
      <c r="K4630" s="450"/>
    </row>
    <row r="4631" spans="1:11">
      <c r="A4631" s="451" t="s">
        <v>7887</v>
      </c>
      <c r="B4631" s="451"/>
      <c r="C4631" s="451" t="s">
        <v>4426</v>
      </c>
      <c r="D4631" s="451"/>
      <c r="E4631" s="451"/>
      <c r="F4631" s="451"/>
      <c r="G4631" s="451" t="s">
        <v>22882</v>
      </c>
      <c r="H4631" s="451" t="s">
        <v>22883</v>
      </c>
      <c r="I4631" s="451" t="s">
        <v>35213</v>
      </c>
      <c r="J4631" s="451" t="s">
        <v>22943</v>
      </c>
      <c r="K4631" s="451"/>
    </row>
    <row r="4632" spans="1:11">
      <c r="A4632" s="450" t="s">
        <v>7888</v>
      </c>
      <c r="B4632" s="450"/>
      <c r="C4632" s="450" t="s">
        <v>7889</v>
      </c>
      <c r="D4632" s="450"/>
      <c r="E4632" s="450"/>
      <c r="F4632" s="450"/>
      <c r="G4632" s="450" t="s">
        <v>22877</v>
      </c>
      <c r="H4632" s="450" t="s">
        <v>22878</v>
      </c>
      <c r="I4632" s="450" t="s">
        <v>35214</v>
      </c>
      <c r="J4632" s="450" t="s">
        <v>23121</v>
      </c>
      <c r="K4632" s="450"/>
    </row>
    <row r="4633" spans="1:11">
      <c r="A4633" s="451" t="s">
        <v>35215</v>
      </c>
      <c r="B4633" s="451"/>
      <c r="C4633" s="451" t="s">
        <v>7891</v>
      </c>
      <c r="D4633" s="451"/>
      <c r="E4633" s="451"/>
      <c r="F4633" s="451"/>
      <c r="G4633" s="451" t="s">
        <v>22877</v>
      </c>
      <c r="H4633" s="451" t="s">
        <v>22878</v>
      </c>
      <c r="I4633" s="451" t="s">
        <v>25387</v>
      </c>
      <c r="J4633" s="451" t="s">
        <v>22943</v>
      </c>
      <c r="K4633" s="451"/>
    </row>
    <row r="4634" spans="1:11">
      <c r="A4634" s="450" t="s">
        <v>7890</v>
      </c>
      <c r="B4634" s="450"/>
      <c r="C4634" s="450" t="s">
        <v>7891</v>
      </c>
      <c r="D4634" s="450"/>
      <c r="E4634" s="450"/>
      <c r="F4634" s="450"/>
      <c r="G4634" s="450" t="s">
        <v>22877</v>
      </c>
      <c r="H4634" s="450" t="s">
        <v>22878</v>
      </c>
      <c r="I4634" s="450" t="s">
        <v>25387</v>
      </c>
      <c r="J4634" s="450" t="s">
        <v>22937</v>
      </c>
      <c r="K4634" s="450"/>
    </row>
    <row r="4635" spans="1:11">
      <c r="A4635" s="451" t="s">
        <v>35216</v>
      </c>
      <c r="B4635" s="451" t="s">
        <v>7893</v>
      </c>
      <c r="C4635" s="451" t="s">
        <v>3162</v>
      </c>
      <c r="D4635" s="451" t="s">
        <v>7894</v>
      </c>
      <c r="E4635" s="451"/>
      <c r="F4635" s="451"/>
      <c r="G4635" s="451" t="s">
        <v>22877</v>
      </c>
      <c r="H4635" s="451" t="s">
        <v>22878</v>
      </c>
      <c r="I4635" s="451" t="s">
        <v>7894</v>
      </c>
      <c r="J4635" s="451" t="s">
        <v>35217</v>
      </c>
      <c r="K4635" s="451"/>
    </row>
    <row r="4636" spans="1:11">
      <c r="A4636" s="450" t="s">
        <v>7892</v>
      </c>
      <c r="B4636" s="450" t="s">
        <v>7893</v>
      </c>
      <c r="C4636" s="450" t="s">
        <v>3162</v>
      </c>
      <c r="D4636" s="450" t="s">
        <v>7894</v>
      </c>
      <c r="E4636" s="450" t="s">
        <v>7895</v>
      </c>
      <c r="F4636" s="450"/>
      <c r="G4636" s="450" t="s">
        <v>22877</v>
      </c>
      <c r="H4636" s="450" t="s">
        <v>22878</v>
      </c>
      <c r="I4636" s="450" t="s">
        <v>7894</v>
      </c>
      <c r="J4636" s="450" t="s">
        <v>31224</v>
      </c>
      <c r="K4636" s="450"/>
    </row>
    <row r="4637" spans="1:11">
      <c r="A4637" s="451" t="s">
        <v>25388</v>
      </c>
      <c r="B4637" s="451" t="s">
        <v>25389</v>
      </c>
      <c r="C4637" s="451" t="s">
        <v>25390</v>
      </c>
      <c r="D4637" s="451"/>
      <c r="E4637" s="451"/>
      <c r="F4637" s="451"/>
      <c r="G4637" s="451" t="s">
        <v>22877</v>
      </c>
      <c r="H4637" s="451" t="s">
        <v>22878</v>
      </c>
      <c r="I4637" s="451" t="s">
        <v>25391</v>
      </c>
      <c r="J4637" s="451" t="s">
        <v>25392</v>
      </c>
      <c r="K4637" s="451"/>
    </row>
    <row r="4638" spans="1:11">
      <c r="A4638" s="450" t="s">
        <v>7896</v>
      </c>
      <c r="B4638" s="450"/>
      <c r="C4638" s="450" t="s">
        <v>7897</v>
      </c>
      <c r="D4638" s="450"/>
      <c r="E4638" s="450"/>
      <c r="F4638" s="450"/>
      <c r="G4638" s="450" t="s">
        <v>22877</v>
      </c>
      <c r="H4638" s="450" t="s">
        <v>22878</v>
      </c>
      <c r="I4638" s="450" t="s">
        <v>35218</v>
      </c>
      <c r="J4638" s="450" t="s">
        <v>24608</v>
      </c>
      <c r="K4638" s="450"/>
    </row>
    <row r="4639" spans="1:11">
      <c r="A4639" s="451" t="s">
        <v>7898</v>
      </c>
      <c r="B4639" s="451"/>
      <c r="C4639" s="451" t="s">
        <v>3986</v>
      </c>
      <c r="D4639" s="451"/>
      <c r="E4639" s="451"/>
      <c r="F4639" s="451"/>
      <c r="G4639" s="451" t="s">
        <v>22877</v>
      </c>
      <c r="H4639" s="451" t="s">
        <v>22878</v>
      </c>
      <c r="I4639" s="451" t="s">
        <v>25394</v>
      </c>
      <c r="J4639" s="451" t="s">
        <v>22939</v>
      </c>
      <c r="K4639" s="451"/>
    </row>
    <row r="4640" spans="1:11">
      <c r="A4640" s="450" t="s">
        <v>25393</v>
      </c>
      <c r="B4640" s="450"/>
      <c r="C4640" s="450" t="s">
        <v>3986</v>
      </c>
      <c r="D4640" s="450"/>
      <c r="E4640" s="450"/>
      <c r="F4640" s="450"/>
      <c r="G4640" s="450" t="s">
        <v>22877</v>
      </c>
      <c r="H4640" s="450" t="s">
        <v>22878</v>
      </c>
      <c r="I4640" s="450" t="s">
        <v>25394</v>
      </c>
      <c r="J4640" s="450" t="s">
        <v>22943</v>
      </c>
      <c r="K4640" s="450"/>
    </row>
    <row r="4641" spans="1:11">
      <c r="A4641" s="451" t="s">
        <v>7899</v>
      </c>
      <c r="B4641" s="451" t="s">
        <v>7900</v>
      </c>
      <c r="C4641" s="451" t="s">
        <v>7901</v>
      </c>
      <c r="D4641" s="451"/>
      <c r="E4641" s="451"/>
      <c r="F4641" s="451"/>
      <c r="G4641" s="451" t="s">
        <v>22882</v>
      </c>
      <c r="H4641" s="451" t="s">
        <v>22883</v>
      </c>
      <c r="I4641" s="451" t="s">
        <v>25395</v>
      </c>
      <c r="J4641" s="451" t="s">
        <v>25396</v>
      </c>
      <c r="K4641" s="451"/>
    </row>
    <row r="4642" spans="1:11">
      <c r="A4642" s="450" t="s">
        <v>7902</v>
      </c>
      <c r="B4642" s="450" t="s">
        <v>7903</v>
      </c>
      <c r="C4642" s="450" t="s">
        <v>7904</v>
      </c>
      <c r="D4642" s="450" t="s">
        <v>7905</v>
      </c>
      <c r="E4642" s="450"/>
      <c r="F4642" s="450"/>
      <c r="G4642" s="450" t="s">
        <v>22882</v>
      </c>
      <c r="H4642" s="450" t="s">
        <v>22883</v>
      </c>
      <c r="I4642" s="450" t="s">
        <v>7905</v>
      </c>
      <c r="J4642" s="450" t="s">
        <v>25397</v>
      </c>
      <c r="K4642" s="450"/>
    </row>
    <row r="4643" spans="1:11">
      <c r="A4643" s="451" t="s">
        <v>7902</v>
      </c>
      <c r="B4643" s="451" t="s">
        <v>7903</v>
      </c>
      <c r="C4643" s="451" t="s">
        <v>7904</v>
      </c>
      <c r="D4643" s="451" t="s">
        <v>7905</v>
      </c>
      <c r="E4643" s="451" t="s">
        <v>7906</v>
      </c>
      <c r="F4643" s="451"/>
      <c r="G4643" s="451" t="s">
        <v>22882</v>
      </c>
      <c r="H4643" s="451" t="s">
        <v>22883</v>
      </c>
      <c r="I4643" s="451" t="s">
        <v>7905</v>
      </c>
      <c r="J4643" s="451" t="s">
        <v>25397</v>
      </c>
      <c r="K4643" s="451"/>
    </row>
    <row r="4644" spans="1:11">
      <c r="A4644" s="450" t="s">
        <v>21684</v>
      </c>
      <c r="B4644" s="450"/>
      <c r="C4644" s="450" t="s">
        <v>3621</v>
      </c>
      <c r="D4644" s="450"/>
      <c r="E4644" s="450"/>
      <c r="F4644" s="450"/>
      <c r="G4644" s="450" t="s">
        <v>22882</v>
      </c>
      <c r="H4644" s="450" t="s">
        <v>22883</v>
      </c>
      <c r="I4644" s="450" t="s">
        <v>35219</v>
      </c>
      <c r="J4644" s="450" t="s">
        <v>23121</v>
      </c>
      <c r="K4644" s="450"/>
    </row>
    <row r="4645" spans="1:11">
      <c r="A4645" s="451" t="s">
        <v>7907</v>
      </c>
      <c r="B4645" s="451"/>
      <c r="C4645" s="451" t="s">
        <v>7908</v>
      </c>
      <c r="D4645" s="451"/>
      <c r="E4645" s="451"/>
      <c r="F4645" s="451"/>
      <c r="G4645" s="451" t="s">
        <v>22877</v>
      </c>
      <c r="H4645" s="451" t="s">
        <v>22878</v>
      </c>
      <c r="I4645" s="451" t="s">
        <v>25398</v>
      </c>
      <c r="J4645" s="451" t="s">
        <v>23185</v>
      </c>
      <c r="K4645" s="451"/>
    </row>
    <row r="4646" spans="1:11">
      <c r="A4646" s="450" t="s">
        <v>7909</v>
      </c>
      <c r="B4646" s="450" t="s">
        <v>7910</v>
      </c>
      <c r="C4646" s="450" t="s">
        <v>7911</v>
      </c>
      <c r="D4646" s="450"/>
      <c r="E4646" s="450"/>
      <c r="F4646" s="450"/>
      <c r="G4646" s="450" t="s">
        <v>22877</v>
      </c>
      <c r="H4646" s="450" t="s">
        <v>22878</v>
      </c>
      <c r="I4646" s="450" t="s">
        <v>25399</v>
      </c>
      <c r="J4646" s="450" t="s">
        <v>25400</v>
      </c>
      <c r="K4646" s="450"/>
    </row>
    <row r="4647" spans="1:11">
      <c r="A4647" s="451" t="s">
        <v>25401</v>
      </c>
      <c r="B4647" s="451" t="s">
        <v>25402</v>
      </c>
      <c r="C4647" s="451" t="s">
        <v>25403</v>
      </c>
      <c r="D4647" s="451" t="s">
        <v>25404</v>
      </c>
      <c r="E4647" s="451"/>
      <c r="F4647" s="451"/>
      <c r="G4647" s="451" t="s">
        <v>22877</v>
      </c>
      <c r="H4647" s="451" t="s">
        <v>22878</v>
      </c>
      <c r="I4647" s="451" t="s">
        <v>25405</v>
      </c>
      <c r="J4647" s="451" t="s">
        <v>25406</v>
      </c>
      <c r="K4647" s="451"/>
    </row>
    <row r="4648" spans="1:11">
      <c r="A4648" s="450" t="s">
        <v>21685</v>
      </c>
      <c r="B4648" s="450"/>
      <c r="C4648" s="450" t="s">
        <v>7912</v>
      </c>
      <c r="D4648" s="450"/>
      <c r="E4648" s="450"/>
      <c r="F4648" s="450"/>
      <c r="G4648" s="450" t="s">
        <v>22877</v>
      </c>
      <c r="H4648" s="450" t="s">
        <v>22878</v>
      </c>
      <c r="I4648" s="450" t="s">
        <v>35220</v>
      </c>
      <c r="J4648" s="450" t="s">
        <v>23121</v>
      </c>
      <c r="K4648" s="450"/>
    </row>
    <row r="4649" spans="1:11">
      <c r="A4649" s="451" t="s">
        <v>7913</v>
      </c>
      <c r="B4649" s="451"/>
      <c r="C4649" s="451" t="s">
        <v>7914</v>
      </c>
      <c r="D4649" s="451"/>
      <c r="E4649" s="451"/>
      <c r="F4649" s="451"/>
      <c r="G4649" s="451" t="s">
        <v>22877</v>
      </c>
      <c r="H4649" s="451" t="s">
        <v>22878</v>
      </c>
      <c r="I4649" s="451" t="s">
        <v>35221</v>
      </c>
      <c r="J4649" s="451" t="s">
        <v>23185</v>
      </c>
      <c r="K4649" s="451"/>
    </row>
    <row r="4650" spans="1:11">
      <c r="A4650" s="450" t="s">
        <v>7915</v>
      </c>
      <c r="B4650" s="450"/>
      <c r="C4650" s="450" t="s">
        <v>7916</v>
      </c>
      <c r="D4650" s="450"/>
      <c r="E4650" s="450"/>
      <c r="F4650" s="450"/>
      <c r="G4650" s="450" t="s">
        <v>22882</v>
      </c>
      <c r="H4650" s="450" t="s">
        <v>22883</v>
      </c>
      <c r="I4650" s="450"/>
      <c r="J4650" s="450" t="s">
        <v>22943</v>
      </c>
      <c r="K4650" s="450"/>
    </row>
    <row r="4651" spans="1:11">
      <c r="A4651" s="451" t="s">
        <v>7917</v>
      </c>
      <c r="B4651" s="451"/>
      <c r="C4651" s="451" t="s">
        <v>7918</v>
      </c>
      <c r="D4651" s="451"/>
      <c r="E4651" s="451"/>
      <c r="F4651" s="451"/>
      <c r="G4651" s="451" t="s">
        <v>22882</v>
      </c>
      <c r="H4651" s="451" t="s">
        <v>22883</v>
      </c>
      <c r="I4651" s="451" t="s">
        <v>35222</v>
      </c>
      <c r="J4651" s="451" t="s">
        <v>22997</v>
      </c>
      <c r="K4651" s="451"/>
    </row>
    <row r="4652" spans="1:11">
      <c r="A4652" s="450" t="s">
        <v>35223</v>
      </c>
      <c r="B4652" s="450"/>
      <c r="C4652" s="450" t="s">
        <v>3793</v>
      </c>
      <c r="D4652" s="450"/>
      <c r="E4652" s="450"/>
      <c r="F4652" s="450"/>
      <c r="G4652" s="450" t="s">
        <v>22882</v>
      </c>
      <c r="H4652" s="450" t="s">
        <v>22883</v>
      </c>
      <c r="I4652" s="450"/>
      <c r="J4652" s="450" t="s">
        <v>22939</v>
      </c>
      <c r="K4652" s="450"/>
    </row>
    <row r="4653" spans="1:11">
      <c r="A4653" s="451" t="s">
        <v>7919</v>
      </c>
      <c r="B4653" s="451"/>
      <c r="C4653" s="451" t="s">
        <v>3793</v>
      </c>
      <c r="D4653" s="451"/>
      <c r="E4653" s="451"/>
      <c r="F4653" s="451"/>
      <c r="G4653" s="451" t="s">
        <v>22882</v>
      </c>
      <c r="H4653" s="451" t="s">
        <v>22883</v>
      </c>
      <c r="I4653" s="451"/>
      <c r="J4653" s="451" t="s">
        <v>22939</v>
      </c>
      <c r="K4653" s="451"/>
    </row>
    <row r="4654" spans="1:11">
      <c r="A4654" s="450" t="s">
        <v>7920</v>
      </c>
      <c r="B4654" s="450"/>
      <c r="C4654" s="450" t="s">
        <v>4551</v>
      </c>
      <c r="D4654" s="450"/>
      <c r="E4654" s="450"/>
      <c r="F4654" s="450"/>
      <c r="G4654" s="450" t="s">
        <v>22882</v>
      </c>
      <c r="H4654" s="450" t="s">
        <v>22883</v>
      </c>
      <c r="I4654" s="450" t="s">
        <v>35224</v>
      </c>
      <c r="J4654" s="450" t="s">
        <v>22997</v>
      </c>
      <c r="K4654" s="450"/>
    </row>
    <row r="4655" spans="1:11">
      <c r="A4655" s="451" t="s">
        <v>7921</v>
      </c>
      <c r="B4655" s="451"/>
      <c r="C4655" s="451" t="s">
        <v>7922</v>
      </c>
      <c r="D4655" s="451"/>
      <c r="E4655" s="451"/>
      <c r="F4655" s="451"/>
      <c r="G4655" s="451" t="s">
        <v>22882</v>
      </c>
      <c r="H4655" s="451" t="s">
        <v>22883</v>
      </c>
      <c r="I4655" s="451"/>
      <c r="J4655" s="451" t="s">
        <v>22939</v>
      </c>
      <c r="K4655" s="451"/>
    </row>
    <row r="4656" spans="1:11">
      <c r="A4656" s="450" t="s">
        <v>7923</v>
      </c>
      <c r="B4656" s="450" t="s">
        <v>7924</v>
      </c>
      <c r="C4656" s="450" t="s">
        <v>4634</v>
      </c>
      <c r="D4656" s="450"/>
      <c r="E4656" s="450"/>
      <c r="F4656" s="450"/>
      <c r="G4656" s="450" t="s">
        <v>22877</v>
      </c>
      <c r="H4656" s="450" t="s">
        <v>22878</v>
      </c>
      <c r="I4656" s="450" t="s">
        <v>25408</v>
      </c>
      <c r="J4656" s="450" t="s">
        <v>35225</v>
      </c>
      <c r="K4656" s="450"/>
    </row>
    <row r="4657" spans="1:11">
      <c r="A4657" s="451" t="s">
        <v>25407</v>
      </c>
      <c r="B4657" s="451" t="s">
        <v>7924</v>
      </c>
      <c r="C4657" s="451" t="s">
        <v>4634</v>
      </c>
      <c r="D4657" s="451"/>
      <c r="E4657" s="451"/>
      <c r="F4657" s="451"/>
      <c r="G4657" s="451" t="s">
        <v>22877</v>
      </c>
      <c r="H4657" s="451" t="s">
        <v>22878</v>
      </c>
      <c r="I4657" s="451" t="s">
        <v>25408</v>
      </c>
      <c r="J4657" s="451" t="s">
        <v>25409</v>
      </c>
      <c r="K4657" s="451"/>
    </row>
    <row r="4658" spans="1:11">
      <c r="A4658" s="450" t="s">
        <v>7925</v>
      </c>
      <c r="B4658" s="450"/>
      <c r="C4658" s="450" t="s">
        <v>7926</v>
      </c>
      <c r="D4658" s="450"/>
      <c r="E4658" s="450"/>
      <c r="F4658" s="450"/>
      <c r="G4658" s="450" t="s">
        <v>22877</v>
      </c>
      <c r="H4658" s="450" t="s">
        <v>22878</v>
      </c>
      <c r="I4658" s="450" t="s">
        <v>25410</v>
      </c>
      <c r="J4658" s="450" t="s">
        <v>23121</v>
      </c>
      <c r="K4658" s="450"/>
    </row>
    <row r="4659" spans="1:11">
      <c r="A4659" s="451" t="s">
        <v>7927</v>
      </c>
      <c r="B4659" s="451" t="s">
        <v>7928</v>
      </c>
      <c r="C4659" s="451" t="s">
        <v>7929</v>
      </c>
      <c r="D4659" s="451"/>
      <c r="E4659" s="451"/>
      <c r="F4659" s="451"/>
      <c r="G4659" s="451" t="s">
        <v>22877</v>
      </c>
      <c r="H4659" s="451" t="s">
        <v>22878</v>
      </c>
      <c r="I4659" s="451" t="s">
        <v>25411</v>
      </c>
      <c r="J4659" s="451" t="s">
        <v>35226</v>
      </c>
      <c r="K4659" s="451"/>
    </row>
    <row r="4660" spans="1:11">
      <c r="A4660" s="450" t="s">
        <v>7927</v>
      </c>
      <c r="B4660" s="450" t="s">
        <v>7939</v>
      </c>
      <c r="C4660" s="450" t="s">
        <v>4417</v>
      </c>
      <c r="D4660" s="450"/>
      <c r="E4660" s="450"/>
      <c r="F4660" s="450"/>
      <c r="G4660" s="450" t="s">
        <v>22877</v>
      </c>
      <c r="H4660" s="450" t="s">
        <v>22878</v>
      </c>
      <c r="I4660" s="450" t="s">
        <v>25411</v>
      </c>
      <c r="J4660" s="450" t="s">
        <v>25412</v>
      </c>
      <c r="K4660" s="450"/>
    </row>
    <row r="4661" spans="1:11">
      <c r="A4661" s="451" t="s">
        <v>25413</v>
      </c>
      <c r="B4661" s="451" t="s">
        <v>7931</v>
      </c>
      <c r="C4661" s="451" t="s">
        <v>7932</v>
      </c>
      <c r="D4661" s="451" t="s">
        <v>7933</v>
      </c>
      <c r="E4661" s="451"/>
      <c r="F4661" s="451"/>
      <c r="G4661" s="451" t="s">
        <v>22877</v>
      </c>
      <c r="H4661" s="451" t="s">
        <v>22878</v>
      </c>
      <c r="I4661" s="451" t="s">
        <v>25414</v>
      </c>
      <c r="J4661" s="451" t="s">
        <v>25415</v>
      </c>
      <c r="K4661" s="451"/>
    </row>
    <row r="4662" spans="1:11">
      <c r="A4662" s="450" t="s">
        <v>25416</v>
      </c>
      <c r="B4662" s="450" t="s">
        <v>7935</v>
      </c>
      <c r="C4662" s="450" t="s">
        <v>7936</v>
      </c>
      <c r="D4662" s="450" t="s">
        <v>7937</v>
      </c>
      <c r="E4662" s="450"/>
      <c r="F4662" s="450"/>
      <c r="G4662" s="450" t="s">
        <v>22877</v>
      </c>
      <c r="H4662" s="450" t="s">
        <v>22878</v>
      </c>
      <c r="I4662" s="450" t="s">
        <v>7937</v>
      </c>
      <c r="J4662" s="450" t="s">
        <v>25417</v>
      </c>
      <c r="K4662" s="450"/>
    </row>
    <row r="4663" spans="1:11">
      <c r="A4663" s="451" t="s">
        <v>7930</v>
      </c>
      <c r="B4663" s="451" t="s">
        <v>7931</v>
      </c>
      <c r="C4663" s="451" t="s">
        <v>7932</v>
      </c>
      <c r="D4663" s="451" t="s">
        <v>7933</v>
      </c>
      <c r="E4663" s="451"/>
      <c r="F4663" s="451"/>
      <c r="G4663" s="451" t="s">
        <v>22877</v>
      </c>
      <c r="H4663" s="451" t="s">
        <v>22878</v>
      </c>
      <c r="I4663" s="451" t="s">
        <v>25414</v>
      </c>
      <c r="J4663" s="451" t="s">
        <v>25415</v>
      </c>
      <c r="K4663" s="451"/>
    </row>
    <row r="4664" spans="1:11">
      <c r="A4664" s="450" t="s">
        <v>7934</v>
      </c>
      <c r="B4664" s="450" t="s">
        <v>7935</v>
      </c>
      <c r="C4664" s="450" t="s">
        <v>7936</v>
      </c>
      <c r="D4664" s="450" t="s">
        <v>7937</v>
      </c>
      <c r="E4664" s="450"/>
      <c r="F4664" s="450"/>
      <c r="G4664" s="450" t="s">
        <v>22877</v>
      </c>
      <c r="H4664" s="450" t="s">
        <v>22878</v>
      </c>
      <c r="I4664" s="450" t="s">
        <v>7937</v>
      </c>
      <c r="J4664" s="450" t="s">
        <v>25417</v>
      </c>
      <c r="K4664" s="450"/>
    </row>
    <row r="4665" spans="1:11">
      <c r="A4665" s="451" t="s">
        <v>7938</v>
      </c>
      <c r="B4665" s="451" t="s">
        <v>7939</v>
      </c>
      <c r="C4665" s="451" t="s">
        <v>4417</v>
      </c>
      <c r="D4665" s="451"/>
      <c r="E4665" s="451"/>
      <c r="F4665" s="451"/>
      <c r="G4665" s="451" t="s">
        <v>22877</v>
      </c>
      <c r="H4665" s="451" t="s">
        <v>22878</v>
      </c>
      <c r="I4665" s="451" t="s">
        <v>25411</v>
      </c>
      <c r="J4665" s="451" t="s">
        <v>31225</v>
      </c>
      <c r="K4665" s="451"/>
    </row>
    <row r="4666" spans="1:11">
      <c r="A4666" s="450" t="s">
        <v>7940</v>
      </c>
      <c r="B4666" s="450"/>
      <c r="C4666" s="450" t="s">
        <v>7941</v>
      </c>
      <c r="D4666" s="450"/>
      <c r="E4666" s="450"/>
      <c r="F4666" s="450"/>
      <c r="G4666" s="450" t="s">
        <v>22877</v>
      </c>
      <c r="H4666" s="450" t="s">
        <v>22878</v>
      </c>
      <c r="I4666" s="450" t="s">
        <v>35227</v>
      </c>
      <c r="J4666" s="450" t="s">
        <v>22939</v>
      </c>
      <c r="K4666" s="450"/>
    </row>
    <row r="4667" spans="1:11">
      <c r="A4667" s="451" t="s">
        <v>7942</v>
      </c>
      <c r="B4667" s="451"/>
      <c r="C4667" s="451" t="s">
        <v>7943</v>
      </c>
      <c r="D4667" s="451"/>
      <c r="E4667" s="451"/>
      <c r="F4667" s="451"/>
      <c r="G4667" s="451" t="s">
        <v>22882</v>
      </c>
      <c r="H4667" s="451" t="s">
        <v>22883</v>
      </c>
      <c r="I4667" s="451"/>
      <c r="J4667" s="451" t="s">
        <v>22939</v>
      </c>
      <c r="K4667" s="451"/>
    </row>
    <row r="4668" spans="1:11">
      <c r="A4668" s="450" t="s">
        <v>35228</v>
      </c>
      <c r="B4668" s="450"/>
      <c r="C4668" s="450" t="s">
        <v>7406</v>
      </c>
      <c r="D4668" s="450"/>
      <c r="E4668" s="450"/>
      <c r="F4668" s="450"/>
      <c r="G4668" s="450" t="s">
        <v>22882</v>
      </c>
      <c r="H4668" s="450" t="s">
        <v>22883</v>
      </c>
      <c r="I4668" s="450" t="s">
        <v>35229</v>
      </c>
      <c r="J4668" s="450" t="s">
        <v>22943</v>
      </c>
      <c r="K4668" s="450"/>
    </row>
    <row r="4669" spans="1:11">
      <c r="A4669" s="451" t="s">
        <v>7944</v>
      </c>
      <c r="B4669" s="451"/>
      <c r="C4669" s="451" t="s">
        <v>7406</v>
      </c>
      <c r="D4669" s="451"/>
      <c r="E4669" s="451"/>
      <c r="F4669" s="451"/>
      <c r="G4669" s="451" t="s">
        <v>22882</v>
      </c>
      <c r="H4669" s="451" t="s">
        <v>22883</v>
      </c>
      <c r="I4669" s="451" t="s">
        <v>35229</v>
      </c>
      <c r="J4669" s="451" t="s">
        <v>22939</v>
      </c>
      <c r="K4669" s="451"/>
    </row>
    <row r="4670" spans="1:11">
      <c r="A4670" s="450" t="s">
        <v>35230</v>
      </c>
      <c r="B4670" s="450"/>
      <c r="C4670" s="450" t="s">
        <v>2067</v>
      </c>
      <c r="D4670" s="450"/>
      <c r="E4670" s="450"/>
      <c r="F4670" s="450"/>
      <c r="G4670" s="450" t="s">
        <v>22882</v>
      </c>
      <c r="H4670" s="450" t="s">
        <v>22883</v>
      </c>
      <c r="I4670" s="450"/>
      <c r="J4670" s="450" t="s">
        <v>22948</v>
      </c>
      <c r="K4670" s="450"/>
    </row>
    <row r="4671" spans="1:11">
      <c r="A4671" s="451" t="s">
        <v>35231</v>
      </c>
      <c r="B4671" s="451"/>
      <c r="C4671" s="451" t="s">
        <v>2245</v>
      </c>
      <c r="D4671" s="451"/>
      <c r="E4671" s="451"/>
      <c r="F4671" s="451"/>
      <c r="G4671" s="451" t="s">
        <v>22877</v>
      </c>
      <c r="H4671" s="451" t="s">
        <v>22878</v>
      </c>
      <c r="I4671" s="451" t="s">
        <v>35232</v>
      </c>
      <c r="J4671" s="451" t="s">
        <v>22948</v>
      </c>
      <c r="K4671" s="451"/>
    </row>
    <row r="4672" spans="1:11">
      <c r="A4672" s="450" t="s">
        <v>7945</v>
      </c>
      <c r="B4672" s="450"/>
      <c r="C4672" s="450" t="s">
        <v>2576</v>
      </c>
      <c r="D4672" s="450"/>
      <c r="E4672" s="450"/>
      <c r="F4672" s="450"/>
      <c r="G4672" s="450" t="s">
        <v>22877</v>
      </c>
      <c r="H4672" s="450" t="s">
        <v>22878</v>
      </c>
      <c r="I4672" s="450" t="s">
        <v>35233</v>
      </c>
      <c r="J4672" s="450" t="s">
        <v>23121</v>
      </c>
      <c r="K4672" s="450"/>
    </row>
    <row r="4673" spans="1:11">
      <c r="A4673" s="451" t="s">
        <v>7946</v>
      </c>
      <c r="B4673" s="451"/>
      <c r="C4673" s="451" t="s">
        <v>2942</v>
      </c>
      <c r="D4673" s="451"/>
      <c r="E4673" s="451"/>
      <c r="F4673" s="451"/>
      <c r="G4673" s="451" t="s">
        <v>22877</v>
      </c>
      <c r="H4673" s="451" t="s">
        <v>22878</v>
      </c>
      <c r="I4673" s="451" t="s">
        <v>25418</v>
      </c>
      <c r="J4673" s="451" t="s">
        <v>22943</v>
      </c>
      <c r="K4673" s="451"/>
    </row>
    <row r="4674" spans="1:11">
      <c r="A4674" s="450" t="s">
        <v>21686</v>
      </c>
      <c r="B4674" s="450" t="s">
        <v>35234</v>
      </c>
      <c r="C4674" s="450" t="s">
        <v>2736</v>
      </c>
      <c r="D4674" s="450"/>
      <c r="E4674" s="450"/>
      <c r="F4674" s="450"/>
      <c r="G4674" s="450" t="s">
        <v>22877</v>
      </c>
      <c r="H4674" s="450" t="s">
        <v>22878</v>
      </c>
      <c r="I4674" s="450" t="s">
        <v>25419</v>
      </c>
      <c r="J4674" s="450" t="s">
        <v>35235</v>
      </c>
      <c r="K4674" s="450"/>
    </row>
    <row r="4675" spans="1:11">
      <c r="A4675" s="451" t="s">
        <v>21686</v>
      </c>
      <c r="B4675" s="451" t="s">
        <v>7947</v>
      </c>
      <c r="C4675" s="451" t="s">
        <v>2736</v>
      </c>
      <c r="D4675" s="451"/>
      <c r="E4675" s="451"/>
      <c r="F4675" s="451"/>
      <c r="G4675" s="451" t="s">
        <v>22877</v>
      </c>
      <c r="H4675" s="451" t="s">
        <v>22878</v>
      </c>
      <c r="I4675" s="451" t="s">
        <v>25419</v>
      </c>
      <c r="J4675" s="451" t="s">
        <v>31226</v>
      </c>
      <c r="K4675" s="451"/>
    </row>
    <row r="4676" spans="1:11">
      <c r="A4676" s="450" t="s">
        <v>7948</v>
      </c>
      <c r="B4676" s="450" t="s">
        <v>7949</v>
      </c>
      <c r="C4676" s="450" t="s">
        <v>7950</v>
      </c>
      <c r="D4676" s="450" t="s">
        <v>7951</v>
      </c>
      <c r="E4676" s="450"/>
      <c r="F4676" s="450"/>
      <c r="G4676" s="450" t="s">
        <v>22882</v>
      </c>
      <c r="H4676" s="450" t="s">
        <v>22883</v>
      </c>
      <c r="I4676" s="450" t="s">
        <v>7951</v>
      </c>
      <c r="J4676" s="450" t="s">
        <v>25420</v>
      </c>
      <c r="K4676" s="450"/>
    </row>
    <row r="4677" spans="1:11">
      <c r="A4677" s="451" t="s">
        <v>7952</v>
      </c>
      <c r="B4677" s="451"/>
      <c r="C4677" s="451" t="s">
        <v>7953</v>
      </c>
      <c r="D4677" s="451"/>
      <c r="E4677" s="451"/>
      <c r="F4677" s="451"/>
      <c r="G4677" s="451" t="s">
        <v>22877</v>
      </c>
      <c r="H4677" s="451" t="s">
        <v>22878</v>
      </c>
      <c r="I4677" s="451" t="s">
        <v>35236</v>
      </c>
      <c r="J4677" s="451" t="s">
        <v>23121</v>
      </c>
      <c r="K4677" s="451"/>
    </row>
    <row r="4678" spans="1:11">
      <c r="A4678" s="450" t="s">
        <v>7954</v>
      </c>
      <c r="B4678" s="450"/>
      <c r="C4678" s="450" t="s">
        <v>2736</v>
      </c>
      <c r="D4678" s="450"/>
      <c r="E4678" s="450"/>
      <c r="F4678" s="450"/>
      <c r="G4678" s="450" t="s">
        <v>22882</v>
      </c>
      <c r="H4678" s="450" t="s">
        <v>22883</v>
      </c>
      <c r="I4678" s="450" t="s">
        <v>25419</v>
      </c>
      <c r="J4678" s="450" t="s">
        <v>22943</v>
      </c>
      <c r="K4678" s="450"/>
    </row>
    <row r="4679" spans="1:11">
      <c r="A4679" s="451" t="s">
        <v>7955</v>
      </c>
      <c r="B4679" s="451"/>
      <c r="C4679" s="451"/>
      <c r="D4679" s="451"/>
      <c r="E4679" s="451"/>
      <c r="F4679" s="451" t="s">
        <v>7956</v>
      </c>
      <c r="G4679" s="451" t="s">
        <v>22877</v>
      </c>
      <c r="H4679" s="451" t="s">
        <v>22878</v>
      </c>
      <c r="I4679" s="451" t="s">
        <v>35237</v>
      </c>
      <c r="J4679" s="451" t="s">
        <v>35238</v>
      </c>
      <c r="K4679" s="451"/>
    </row>
    <row r="4680" spans="1:11">
      <c r="A4680" s="450" t="s">
        <v>35239</v>
      </c>
      <c r="B4680" s="450"/>
      <c r="C4680" s="450" t="s">
        <v>7957</v>
      </c>
      <c r="D4680" s="450"/>
      <c r="E4680" s="450"/>
      <c r="F4680" s="450"/>
      <c r="G4680" s="450" t="s">
        <v>22882</v>
      </c>
      <c r="H4680" s="450" t="s">
        <v>22883</v>
      </c>
      <c r="I4680" s="450" t="s">
        <v>35240</v>
      </c>
      <c r="J4680" s="450" t="s">
        <v>22939</v>
      </c>
      <c r="K4680" s="450"/>
    </row>
    <row r="4681" spans="1:11">
      <c r="A4681" s="451" t="s">
        <v>21687</v>
      </c>
      <c r="B4681" s="451"/>
      <c r="C4681" s="451" t="s">
        <v>7957</v>
      </c>
      <c r="D4681" s="451"/>
      <c r="E4681" s="451"/>
      <c r="F4681" s="451"/>
      <c r="G4681" s="451" t="s">
        <v>22882</v>
      </c>
      <c r="H4681" s="451" t="s">
        <v>22883</v>
      </c>
      <c r="I4681" s="451"/>
      <c r="J4681" s="451" t="s">
        <v>22939</v>
      </c>
      <c r="K4681" s="451"/>
    </row>
    <row r="4682" spans="1:11">
      <c r="A4682" s="450" t="s">
        <v>25421</v>
      </c>
      <c r="B4682" s="450" t="s">
        <v>25422</v>
      </c>
      <c r="C4682" s="450" t="s">
        <v>25423</v>
      </c>
      <c r="D4682" s="450" t="s">
        <v>25424</v>
      </c>
      <c r="E4682" s="450"/>
      <c r="F4682" s="450"/>
      <c r="G4682" s="450" t="s">
        <v>22877</v>
      </c>
      <c r="H4682" s="450" t="s">
        <v>22878</v>
      </c>
      <c r="I4682" s="450" t="s">
        <v>25425</v>
      </c>
      <c r="J4682" s="450" t="s">
        <v>25426</v>
      </c>
      <c r="K4682" s="450"/>
    </row>
    <row r="4683" spans="1:11">
      <c r="A4683" s="451" t="s">
        <v>35241</v>
      </c>
      <c r="B4683" s="451"/>
      <c r="C4683" s="451" t="s">
        <v>7959</v>
      </c>
      <c r="D4683" s="451"/>
      <c r="E4683" s="451"/>
      <c r="F4683" s="451"/>
      <c r="G4683" s="451" t="s">
        <v>22882</v>
      </c>
      <c r="H4683" s="451" t="s">
        <v>22883</v>
      </c>
      <c r="I4683" s="451"/>
      <c r="J4683" s="451" t="s">
        <v>23370</v>
      </c>
      <c r="K4683" s="451"/>
    </row>
    <row r="4684" spans="1:11">
      <c r="A4684" s="450" t="s">
        <v>7958</v>
      </c>
      <c r="B4684" s="450"/>
      <c r="C4684" s="450" t="s">
        <v>7959</v>
      </c>
      <c r="D4684" s="450"/>
      <c r="E4684" s="450"/>
      <c r="F4684" s="450"/>
      <c r="G4684" s="450" t="s">
        <v>22882</v>
      </c>
      <c r="H4684" s="450" t="s">
        <v>22883</v>
      </c>
      <c r="I4684" s="450" t="s">
        <v>35242</v>
      </c>
      <c r="J4684" s="450" t="s">
        <v>22942</v>
      </c>
      <c r="K4684" s="450"/>
    </row>
    <row r="4685" spans="1:11">
      <c r="A4685" s="451" t="s">
        <v>35243</v>
      </c>
      <c r="B4685" s="451"/>
      <c r="C4685" s="451" t="s">
        <v>7960</v>
      </c>
      <c r="D4685" s="451"/>
      <c r="E4685" s="451"/>
      <c r="F4685" s="451"/>
      <c r="G4685" s="451" t="s">
        <v>22882</v>
      </c>
      <c r="H4685" s="451" t="s">
        <v>22883</v>
      </c>
      <c r="I4685" s="451" t="s">
        <v>35244</v>
      </c>
      <c r="J4685" s="451" t="s">
        <v>22997</v>
      </c>
      <c r="K4685" s="451"/>
    </row>
    <row r="4686" spans="1:11">
      <c r="A4686" s="450" t="s">
        <v>21688</v>
      </c>
      <c r="B4686" s="450"/>
      <c r="C4686" s="450" t="s">
        <v>7960</v>
      </c>
      <c r="D4686" s="450"/>
      <c r="E4686" s="450"/>
      <c r="F4686" s="450"/>
      <c r="G4686" s="450" t="s">
        <v>22877</v>
      </c>
      <c r="H4686" s="450" t="s">
        <v>22878</v>
      </c>
      <c r="I4686" s="450" t="s">
        <v>35244</v>
      </c>
      <c r="J4686" s="450" t="s">
        <v>23121</v>
      </c>
      <c r="K4686" s="450"/>
    </row>
    <row r="4687" spans="1:11">
      <c r="A4687" s="451" t="s">
        <v>35245</v>
      </c>
      <c r="B4687" s="451"/>
      <c r="C4687" s="451" t="s">
        <v>4196</v>
      </c>
      <c r="D4687" s="451"/>
      <c r="E4687" s="451"/>
      <c r="F4687" s="451"/>
      <c r="G4687" s="451" t="s">
        <v>22877</v>
      </c>
      <c r="H4687" s="451" t="s">
        <v>22878</v>
      </c>
      <c r="I4687" s="451" t="s">
        <v>35246</v>
      </c>
      <c r="J4687" s="451" t="s">
        <v>35247</v>
      </c>
      <c r="K4687" s="451"/>
    </row>
    <row r="4688" spans="1:11">
      <c r="A4688" s="450" t="s">
        <v>7961</v>
      </c>
      <c r="B4688" s="450"/>
      <c r="C4688" s="450" t="s">
        <v>4196</v>
      </c>
      <c r="D4688" s="450"/>
      <c r="E4688" s="450"/>
      <c r="F4688" s="450"/>
      <c r="G4688" s="450" t="s">
        <v>22882</v>
      </c>
      <c r="H4688" s="450" t="s">
        <v>22883</v>
      </c>
      <c r="I4688" s="450"/>
      <c r="J4688" s="450" t="s">
        <v>22939</v>
      </c>
      <c r="K4688" s="450"/>
    </row>
    <row r="4689" spans="1:11">
      <c r="A4689" s="451" t="s">
        <v>35248</v>
      </c>
      <c r="B4689" s="451"/>
      <c r="C4689" s="451" t="s">
        <v>7963</v>
      </c>
      <c r="D4689" s="451"/>
      <c r="E4689" s="451"/>
      <c r="F4689" s="451"/>
      <c r="G4689" s="451" t="s">
        <v>22882</v>
      </c>
      <c r="H4689" s="451" t="s">
        <v>22883</v>
      </c>
      <c r="I4689" s="451"/>
      <c r="J4689" s="451" t="s">
        <v>22997</v>
      </c>
      <c r="K4689" s="451"/>
    </row>
    <row r="4690" spans="1:11">
      <c r="A4690" s="450" t="s">
        <v>7962</v>
      </c>
      <c r="B4690" s="450"/>
      <c r="C4690" s="450" t="s">
        <v>7963</v>
      </c>
      <c r="D4690" s="450"/>
      <c r="E4690" s="450"/>
      <c r="F4690" s="450"/>
      <c r="G4690" s="450" t="s">
        <v>22882</v>
      </c>
      <c r="H4690" s="450" t="s">
        <v>22883</v>
      </c>
      <c r="I4690" s="450" t="s">
        <v>35249</v>
      </c>
      <c r="J4690" s="450" t="s">
        <v>22939</v>
      </c>
      <c r="K4690" s="450"/>
    </row>
    <row r="4691" spans="1:11">
      <c r="A4691" s="451" t="s">
        <v>7964</v>
      </c>
      <c r="B4691" s="451"/>
      <c r="C4691" s="451" t="s">
        <v>7965</v>
      </c>
      <c r="D4691" s="451"/>
      <c r="E4691" s="451"/>
      <c r="F4691" s="451"/>
      <c r="G4691" s="451" t="s">
        <v>22882</v>
      </c>
      <c r="H4691" s="451" t="s">
        <v>22883</v>
      </c>
      <c r="I4691" s="451" t="s">
        <v>35250</v>
      </c>
      <c r="J4691" s="451" t="s">
        <v>22939</v>
      </c>
      <c r="K4691" s="451"/>
    </row>
    <row r="4692" spans="1:11">
      <c r="A4692" s="450" t="s">
        <v>35251</v>
      </c>
      <c r="B4692" s="450"/>
      <c r="C4692" s="450" t="s">
        <v>7967</v>
      </c>
      <c r="D4692" s="450"/>
      <c r="E4692" s="450"/>
      <c r="F4692" s="450"/>
      <c r="G4692" s="450" t="s">
        <v>22882</v>
      </c>
      <c r="H4692" s="450" t="s">
        <v>22883</v>
      </c>
      <c r="I4692" s="450" t="s">
        <v>35252</v>
      </c>
      <c r="J4692" s="450" t="s">
        <v>22943</v>
      </c>
      <c r="K4692" s="450"/>
    </row>
    <row r="4693" spans="1:11">
      <c r="A4693" s="451" t="s">
        <v>7966</v>
      </c>
      <c r="B4693" s="451"/>
      <c r="C4693" s="451" t="s">
        <v>7967</v>
      </c>
      <c r="D4693" s="451"/>
      <c r="E4693" s="451"/>
      <c r="F4693" s="451"/>
      <c r="G4693" s="451" t="s">
        <v>22882</v>
      </c>
      <c r="H4693" s="451" t="s">
        <v>22883</v>
      </c>
      <c r="I4693" s="451" t="s">
        <v>35253</v>
      </c>
      <c r="J4693" s="451" t="s">
        <v>22937</v>
      </c>
      <c r="K4693" s="451"/>
    </row>
    <row r="4694" spans="1:11">
      <c r="A4694" s="450" t="s">
        <v>7968</v>
      </c>
      <c r="B4694" s="450"/>
      <c r="C4694" s="450" t="s">
        <v>7969</v>
      </c>
      <c r="D4694" s="450"/>
      <c r="E4694" s="450"/>
      <c r="F4694" s="450"/>
      <c r="G4694" s="450" t="s">
        <v>22882</v>
      </c>
      <c r="H4694" s="450" t="s">
        <v>22883</v>
      </c>
      <c r="I4694" s="450"/>
      <c r="J4694" s="450" t="s">
        <v>22943</v>
      </c>
      <c r="K4694" s="450"/>
    </row>
    <row r="4695" spans="1:11">
      <c r="A4695" s="451" t="s">
        <v>7970</v>
      </c>
      <c r="B4695" s="451"/>
      <c r="C4695" s="451" t="s">
        <v>7971</v>
      </c>
      <c r="D4695" s="451"/>
      <c r="E4695" s="451"/>
      <c r="F4695" s="451"/>
      <c r="G4695" s="451" t="s">
        <v>22882</v>
      </c>
      <c r="H4695" s="451" t="s">
        <v>22883</v>
      </c>
      <c r="I4695" s="451"/>
      <c r="J4695" s="451" t="s">
        <v>22943</v>
      </c>
      <c r="K4695" s="451"/>
    </row>
    <row r="4696" spans="1:11">
      <c r="A4696" s="450" t="s">
        <v>35254</v>
      </c>
      <c r="B4696" s="450"/>
      <c r="C4696" s="450" t="s">
        <v>7973</v>
      </c>
      <c r="D4696" s="450"/>
      <c r="E4696" s="450"/>
      <c r="F4696" s="450"/>
      <c r="G4696" s="450" t="s">
        <v>22882</v>
      </c>
      <c r="H4696" s="450" t="s">
        <v>22883</v>
      </c>
      <c r="I4696" s="450" t="s">
        <v>35255</v>
      </c>
      <c r="J4696" s="450" t="s">
        <v>22997</v>
      </c>
      <c r="K4696" s="450"/>
    </row>
    <row r="4697" spans="1:11">
      <c r="A4697" s="451" t="s">
        <v>7972</v>
      </c>
      <c r="B4697" s="451"/>
      <c r="C4697" s="451" t="s">
        <v>7973</v>
      </c>
      <c r="D4697" s="451"/>
      <c r="E4697" s="451"/>
      <c r="F4697" s="451"/>
      <c r="G4697" s="451" t="s">
        <v>22882</v>
      </c>
      <c r="H4697" s="451" t="s">
        <v>22883</v>
      </c>
      <c r="I4697" s="451" t="s">
        <v>35256</v>
      </c>
      <c r="J4697" s="451" t="s">
        <v>22939</v>
      </c>
      <c r="K4697" s="451"/>
    </row>
    <row r="4698" spans="1:11">
      <c r="A4698" s="450" t="s">
        <v>21689</v>
      </c>
      <c r="B4698" s="450"/>
      <c r="C4698" s="450" t="s">
        <v>7974</v>
      </c>
      <c r="D4698" s="450"/>
      <c r="E4698" s="450"/>
      <c r="F4698" s="450"/>
      <c r="G4698" s="450" t="s">
        <v>22882</v>
      </c>
      <c r="H4698" s="450" t="s">
        <v>22883</v>
      </c>
      <c r="I4698" s="450"/>
      <c r="J4698" s="450" t="s">
        <v>23185</v>
      </c>
      <c r="K4698" s="450"/>
    </row>
    <row r="4699" spans="1:11">
      <c r="A4699" s="451" t="s">
        <v>35257</v>
      </c>
      <c r="B4699" s="451" t="s">
        <v>7976</v>
      </c>
      <c r="C4699" s="451" t="s">
        <v>7977</v>
      </c>
      <c r="D4699" s="451"/>
      <c r="E4699" s="451"/>
      <c r="F4699" s="451" t="s">
        <v>7978</v>
      </c>
      <c r="G4699" s="451" t="s">
        <v>22877</v>
      </c>
      <c r="H4699" s="451" t="s">
        <v>22878</v>
      </c>
      <c r="I4699" s="451" t="s">
        <v>35258</v>
      </c>
      <c r="J4699" s="451" t="s">
        <v>35259</v>
      </c>
      <c r="K4699" s="451"/>
    </row>
    <row r="4700" spans="1:11">
      <c r="A4700" s="450" t="s">
        <v>7975</v>
      </c>
      <c r="B4700" s="450" t="s">
        <v>7976</v>
      </c>
      <c r="C4700" s="450" t="s">
        <v>7977</v>
      </c>
      <c r="D4700" s="450"/>
      <c r="E4700" s="450"/>
      <c r="F4700" s="450" t="s">
        <v>7978</v>
      </c>
      <c r="G4700" s="450" t="s">
        <v>22877</v>
      </c>
      <c r="H4700" s="450" t="s">
        <v>22878</v>
      </c>
      <c r="I4700" s="450" t="s">
        <v>31227</v>
      </c>
      <c r="J4700" s="450" t="s">
        <v>31228</v>
      </c>
      <c r="K4700" s="450"/>
    </row>
    <row r="4701" spans="1:11">
      <c r="A4701" s="451" t="s">
        <v>35260</v>
      </c>
      <c r="B4701" s="451" t="s">
        <v>7980</v>
      </c>
      <c r="C4701" s="451" t="s">
        <v>2168</v>
      </c>
      <c r="D4701" s="451" t="s">
        <v>7981</v>
      </c>
      <c r="E4701" s="451"/>
      <c r="F4701" s="451"/>
      <c r="G4701" s="451" t="s">
        <v>22877</v>
      </c>
      <c r="H4701" s="451" t="s">
        <v>22878</v>
      </c>
      <c r="I4701" s="451" t="s">
        <v>35261</v>
      </c>
      <c r="J4701" s="451" t="s">
        <v>35262</v>
      </c>
      <c r="K4701" s="451"/>
    </row>
    <row r="4702" spans="1:11">
      <c r="A4702" s="450" t="s">
        <v>7979</v>
      </c>
      <c r="B4702" s="450" t="s">
        <v>7980</v>
      </c>
      <c r="C4702" s="450" t="s">
        <v>2168</v>
      </c>
      <c r="D4702" s="450" t="s">
        <v>7981</v>
      </c>
      <c r="E4702" s="450"/>
      <c r="F4702" s="450"/>
      <c r="G4702" s="450" t="s">
        <v>22877</v>
      </c>
      <c r="H4702" s="450" t="s">
        <v>22878</v>
      </c>
      <c r="I4702" s="450" t="s">
        <v>7981</v>
      </c>
      <c r="J4702" s="450" t="s">
        <v>31229</v>
      </c>
      <c r="K4702" s="450"/>
    </row>
    <row r="4703" spans="1:11">
      <c r="A4703" s="451" t="s">
        <v>7982</v>
      </c>
      <c r="B4703" s="451"/>
      <c r="C4703" s="451" t="s">
        <v>6852</v>
      </c>
      <c r="D4703" s="451"/>
      <c r="E4703" s="451"/>
      <c r="F4703" s="451"/>
      <c r="G4703" s="451" t="s">
        <v>22877</v>
      </c>
      <c r="H4703" s="451" t="s">
        <v>22878</v>
      </c>
      <c r="I4703" s="451" t="s">
        <v>35263</v>
      </c>
      <c r="J4703" s="451" t="s">
        <v>22939</v>
      </c>
      <c r="K4703" s="451"/>
    </row>
    <row r="4704" spans="1:11">
      <c r="A4704" s="450" t="s">
        <v>7983</v>
      </c>
      <c r="B4704" s="450"/>
      <c r="C4704" s="450" t="s">
        <v>7608</v>
      </c>
      <c r="D4704" s="450"/>
      <c r="E4704" s="450"/>
      <c r="F4704" s="450"/>
      <c r="G4704" s="450" t="s">
        <v>22877</v>
      </c>
      <c r="H4704" s="450" t="s">
        <v>22878</v>
      </c>
      <c r="I4704" s="450" t="s">
        <v>35264</v>
      </c>
      <c r="J4704" s="450" t="s">
        <v>22939</v>
      </c>
      <c r="K4704" s="450"/>
    </row>
    <row r="4705" spans="1:11">
      <c r="A4705" s="451" t="s">
        <v>7984</v>
      </c>
      <c r="B4705" s="451"/>
      <c r="C4705" s="451" t="s">
        <v>7985</v>
      </c>
      <c r="D4705" s="451"/>
      <c r="E4705" s="451"/>
      <c r="F4705" s="451"/>
      <c r="G4705" s="451" t="s">
        <v>22877</v>
      </c>
      <c r="H4705" s="451" t="s">
        <v>22878</v>
      </c>
      <c r="I4705" s="451" t="s">
        <v>35265</v>
      </c>
      <c r="J4705" s="451" t="s">
        <v>22939</v>
      </c>
      <c r="K4705" s="451"/>
    </row>
    <row r="4706" spans="1:11">
      <c r="A4706" s="450" t="s">
        <v>7986</v>
      </c>
      <c r="B4706" s="450"/>
      <c r="C4706" s="450" t="s">
        <v>2747</v>
      </c>
      <c r="D4706" s="450"/>
      <c r="E4706" s="450"/>
      <c r="F4706" s="450"/>
      <c r="G4706" s="450" t="s">
        <v>22877</v>
      </c>
      <c r="H4706" s="450" t="s">
        <v>22878</v>
      </c>
      <c r="I4706" s="450" t="s">
        <v>35266</v>
      </c>
      <c r="J4706" s="450" t="s">
        <v>22939</v>
      </c>
      <c r="K4706" s="450"/>
    </row>
    <row r="4707" spans="1:11">
      <c r="A4707" s="451" t="s">
        <v>7987</v>
      </c>
      <c r="B4707" s="451"/>
      <c r="C4707" s="451" t="s">
        <v>7988</v>
      </c>
      <c r="D4707" s="451"/>
      <c r="E4707" s="451"/>
      <c r="F4707" s="451"/>
      <c r="G4707" s="451" t="s">
        <v>22882</v>
      </c>
      <c r="H4707" s="451" t="s">
        <v>22883</v>
      </c>
      <c r="I4707" s="451" t="s">
        <v>35267</v>
      </c>
      <c r="J4707" s="451" t="s">
        <v>23185</v>
      </c>
      <c r="K4707" s="451"/>
    </row>
    <row r="4708" spans="1:11">
      <c r="A4708" s="450" t="s">
        <v>7989</v>
      </c>
      <c r="B4708" s="450"/>
      <c r="C4708" s="450" t="s">
        <v>7990</v>
      </c>
      <c r="D4708" s="450"/>
      <c r="E4708" s="450"/>
      <c r="F4708" s="450"/>
      <c r="G4708" s="450" t="s">
        <v>22877</v>
      </c>
      <c r="H4708" s="450" t="s">
        <v>22878</v>
      </c>
      <c r="I4708" s="450" t="s">
        <v>35268</v>
      </c>
      <c r="J4708" s="450" t="s">
        <v>22939</v>
      </c>
      <c r="K4708" s="450"/>
    </row>
    <row r="4709" spans="1:11">
      <c r="A4709" s="451" t="s">
        <v>25427</v>
      </c>
      <c r="B4709" s="451"/>
      <c r="C4709" s="451" t="s">
        <v>25428</v>
      </c>
      <c r="D4709" s="451"/>
      <c r="E4709" s="451"/>
      <c r="F4709" s="451"/>
      <c r="G4709" s="451" t="s">
        <v>22877</v>
      </c>
      <c r="H4709" s="451" t="s">
        <v>22878</v>
      </c>
      <c r="I4709" s="451" t="s">
        <v>25429</v>
      </c>
      <c r="J4709" s="451" t="s">
        <v>22939</v>
      </c>
      <c r="K4709" s="451"/>
    </row>
    <row r="4710" spans="1:11">
      <c r="A4710" s="450" t="s">
        <v>7991</v>
      </c>
      <c r="B4710" s="450" t="s">
        <v>7992</v>
      </c>
      <c r="C4710" s="450" t="s">
        <v>7993</v>
      </c>
      <c r="D4710" s="450" t="s">
        <v>7994</v>
      </c>
      <c r="E4710" s="450"/>
      <c r="F4710" s="450"/>
      <c r="G4710" s="450" t="s">
        <v>22877</v>
      </c>
      <c r="H4710" s="450" t="s">
        <v>22878</v>
      </c>
      <c r="I4710" s="450" t="s">
        <v>25430</v>
      </c>
      <c r="J4710" s="450" t="s">
        <v>35269</v>
      </c>
      <c r="K4710" s="450"/>
    </row>
    <row r="4711" spans="1:11">
      <c r="A4711" s="451" t="s">
        <v>7991</v>
      </c>
      <c r="B4711" s="451" t="s">
        <v>7992</v>
      </c>
      <c r="C4711" s="451" t="s">
        <v>7993</v>
      </c>
      <c r="D4711" s="451" t="s">
        <v>7994</v>
      </c>
      <c r="E4711" s="451" t="s">
        <v>7995</v>
      </c>
      <c r="F4711" s="451"/>
      <c r="G4711" s="451" t="s">
        <v>22877</v>
      </c>
      <c r="H4711" s="451" t="s">
        <v>22878</v>
      </c>
      <c r="I4711" s="451" t="s">
        <v>25430</v>
      </c>
      <c r="J4711" s="451" t="s">
        <v>31230</v>
      </c>
      <c r="K4711" s="451"/>
    </row>
    <row r="4712" spans="1:11">
      <c r="A4712" s="450" t="s">
        <v>7996</v>
      </c>
      <c r="B4712" s="450" t="s">
        <v>7997</v>
      </c>
      <c r="C4712" s="450" t="s">
        <v>7998</v>
      </c>
      <c r="D4712" s="450" t="s">
        <v>7999</v>
      </c>
      <c r="E4712" s="450" t="s">
        <v>8000</v>
      </c>
      <c r="F4712" s="450"/>
      <c r="G4712" s="450" t="s">
        <v>22877</v>
      </c>
      <c r="H4712" s="450" t="s">
        <v>22878</v>
      </c>
      <c r="I4712" s="450" t="s">
        <v>31231</v>
      </c>
      <c r="J4712" s="450" t="s">
        <v>31232</v>
      </c>
      <c r="K4712" s="450"/>
    </row>
    <row r="4713" spans="1:11">
      <c r="A4713" s="451" t="s">
        <v>8001</v>
      </c>
      <c r="B4713" s="451" t="s">
        <v>8002</v>
      </c>
      <c r="C4713" s="451" t="s">
        <v>8003</v>
      </c>
      <c r="D4713" s="451" t="s">
        <v>8004</v>
      </c>
      <c r="E4713" s="451" t="s">
        <v>8005</v>
      </c>
      <c r="F4713" s="451"/>
      <c r="G4713" s="451" t="s">
        <v>22877</v>
      </c>
      <c r="H4713" s="451" t="s">
        <v>22878</v>
      </c>
      <c r="I4713" s="451" t="s">
        <v>31233</v>
      </c>
      <c r="J4713" s="451" t="s">
        <v>25435</v>
      </c>
      <c r="K4713" s="451"/>
    </row>
    <row r="4714" spans="1:11">
      <c r="A4714" s="450" t="s">
        <v>8006</v>
      </c>
      <c r="B4714" s="450" t="s">
        <v>8007</v>
      </c>
      <c r="C4714" s="450" t="s">
        <v>8008</v>
      </c>
      <c r="D4714" s="450" t="s">
        <v>8009</v>
      </c>
      <c r="E4714" s="450" t="s">
        <v>8010</v>
      </c>
      <c r="F4714" s="450"/>
      <c r="G4714" s="450" t="s">
        <v>22877</v>
      </c>
      <c r="H4714" s="450" t="s">
        <v>22878</v>
      </c>
      <c r="I4714" s="450" t="s">
        <v>31234</v>
      </c>
      <c r="J4714" s="450" t="s">
        <v>31235</v>
      </c>
      <c r="K4714" s="450"/>
    </row>
    <row r="4715" spans="1:11">
      <c r="A4715" s="451" t="s">
        <v>8011</v>
      </c>
      <c r="B4715" s="451" t="s">
        <v>8012</v>
      </c>
      <c r="C4715" s="451" t="s">
        <v>8013</v>
      </c>
      <c r="D4715" s="451" t="s">
        <v>8014</v>
      </c>
      <c r="E4715" s="451" t="s">
        <v>8015</v>
      </c>
      <c r="F4715" s="451"/>
      <c r="G4715" s="451" t="s">
        <v>22877</v>
      </c>
      <c r="H4715" s="451" t="s">
        <v>22878</v>
      </c>
      <c r="I4715" s="451" t="s">
        <v>31236</v>
      </c>
      <c r="J4715" s="451" t="s">
        <v>31237</v>
      </c>
      <c r="K4715" s="451"/>
    </row>
    <row r="4716" spans="1:11">
      <c r="A4716" s="450" t="s">
        <v>8016</v>
      </c>
      <c r="B4716" s="450" t="s">
        <v>8017</v>
      </c>
      <c r="C4716" s="450" t="s">
        <v>8018</v>
      </c>
      <c r="D4716" s="450" t="s">
        <v>8019</v>
      </c>
      <c r="E4716" s="450" t="s">
        <v>8020</v>
      </c>
      <c r="F4716" s="450"/>
      <c r="G4716" s="450" t="s">
        <v>22877</v>
      </c>
      <c r="H4716" s="450" t="s">
        <v>22878</v>
      </c>
      <c r="I4716" s="450" t="s">
        <v>31238</v>
      </c>
      <c r="J4716" s="450" t="s">
        <v>31239</v>
      </c>
      <c r="K4716" s="450"/>
    </row>
    <row r="4717" spans="1:11">
      <c r="A4717" s="451" t="s">
        <v>25431</v>
      </c>
      <c r="B4717" s="451" t="s">
        <v>7997</v>
      </c>
      <c r="C4717" s="451" t="s">
        <v>7998</v>
      </c>
      <c r="D4717" s="451" t="s">
        <v>7999</v>
      </c>
      <c r="E4717" s="451"/>
      <c r="F4717" s="451"/>
      <c r="G4717" s="451" t="s">
        <v>22877</v>
      </c>
      <c r="H4717" s="451" t="s">
        <v>22878</v>
      </c>
      <c r="I4717" s="451" t="s">
        <v>23389</v>
      </c>
      <c r="J4717" s="451" t="s">
        <v>25432</v>
      </c>
      <c r="K4717" s="451"/>
    </row>
    <row r="4718" spans="1:11">
      <c r="A4718" s="450" t="s">
        <v>25433</v>
      </c>
      <c r="B4718" s="450" t="s">
        <v>8002</v>
      </c>
      <c r="C4718" s="450" t="s">
        <v>8003</v>
      </c>
      <c r="D4718" s="450" t="s">
        <v>8004</v>
      </c>
      <c r="E4718" s="450"/>
      <c r="F4718" s="450"/>
      <c r="G4718" s="450" t="s">
        <v>22877</v>
      </c>
      <c r="H4718" s="450" t="s">
        <v>22878</v>
      </c>
      <c r="I4718" s="450" t="s">
        <v>25434</v>
      </c>
      <c r="J4718" s="450" t="s">
        <v>25435</v>
      </c>
      <c r="K4718" s="450"/>
    </row>
    <row r="4719" spans="1:11">
      <c r="A4719" s="451" t="s">
        <v>25436</v>
      </c>
      <c r="B4719" s="451" t="s">
        <v>25437</v>
      </c>
      <c r="C4719" s="451" t="s">
        <v>8008</v>
      </c>
      <c r="D4719" s="451" t="s">
        <v>8009</v>
      </c>
      <c r="E4719" s="451"/>
      <c r="F4719" s="451"/>
      <c r="G4719" s="451" t="s">
        <v>22877</v>
      </c>
      <c r="H4719" s="451" t="s">
        <v>22878</v>
      </c>
      <c r="I4719" s="451" t="s">
        <v>25438</v>
      </c>
      <c r="J4719" s="451" t="s">
        <v>25439</v>
      </c>
      <c r="K4719" s="451"/>
    </row>
    <row r="4720" spans="1:11">
      <c r="A4720" s="450" t="s">
        <v>25440</v>
      </c>
      <c r="B4720" s="450" t="s">
        <v>8012</v>
      </c>
      <c r="C4720" s="450" t="s">
        <v>8013</v>
      </c>
      <c r="D4720" s="450" t="s">
        <v>8014</v>
      </c>
      <c r="E4720" s="450"/>
      <c r="F4720" s="450"/>
      <c r="G4720" s="450" t="s">
        <v>22877</v>
      </c>
      <c r="H4720" s="450" t="s">
        <v>22878</v>
      </c>
      <c r="I4720" s="450" t="s">
        <v>25441</v>
      </c>
      <c r="J4720" s="450" t="s">
        <v>25442</v>
      </c>
      <c r="K4720" s="450"/>
    </row>
    <row r="4721" spans="1:11">
      <c r="A4721" s="451" t="s">
        <v>25443</v>
      </c>
      <c r="B4721" s="451" t="s">
        <v>8017</v>
      </c>
      <c r="C4721" s="451" t="s">
        <v>8018</v>
      </c>
      <c r="D4721" s="451" t="s">
        <v>8019</v>
      </c>
      <c r="E4721" s="451"/>
      <c r="F4721" s="451"/>
      <c r="G4721" s="451" t="s">
        <v>22877</v>
      </c>
      <c r="H4721" s="451" t="s">
        <v>22878</v>
      </c>
      <c r="I4721" s="451" t="s">
        <v>25434</v>
      </c>
      <c r="J4721" s="451" t="s">
        <v>25444</v>
      </c>
      <c r="K4721" s="451"/>
    </row>
    <row r="4722" spans="1:11">
      <c r="A4722" s="450" t="s">
        <v>8021</v>
      </c>
      <c r="B4722" s="450"/>
      <c r="C4722" s="450" t="s">
        <v>8022</v>
      </c>
      <c r="D4722" s="450" t="s">
        <v>35270</v>
      </c>
      <c r="E4722" s="450"/>
      <c r="F4722" s="450"/>
      <c r="G4722" s="450" t="s">
        <v>22882</v>
      </c>
      <c r="H4722" s="450" t="s">
        <v>22883</v>
      </c>
      <c r="I4722" s="450"/>
      <c r="J4722" s="450" t="s">
        <v>35271</v>
      </c>
      <c r="K4722" s="450"/>
    </row>
    <row r="4723" spans="1:11">
      <c r="A4723" s="451" t="s">
        <v>8021</v>
      </c>
      <c r="B4723" s="451"/>
      <c r="C4723" s="451" t="s">
        <v>8022</v>
      </c>
      <c r="D4723" s="451" t="s">
        <v>8023</v>
      </c>
      <c r="E4723" s="451"/>
      <c r="F4723" s="451"/>
      <c r="G4723" s="451" t="s">
        <v>22877</v>
      </c>
      <c r="H4723" s="451" t="s">
        <v>22878</v>
      </c>
      <c r="I4723" s="451" t="s">
        <v>35272</v>
      </c>
      <c r="J4723" s="451" t="s">
        <v>35273</v>
      </c>
      <c r="K4723" s="451"/>
    </row>
    <row r="4724" spans="1:11">
      <c r="A4724" s="450" t="s">
        <v>8024</v>
      </c>
      <c r="B4724" s="450"/>
      <c r="C4724" s="450"/>
      <c r="D4724" s="450"/>
      <c r="E4724" s="450"/>
      <c r="F4724" s="450" t="s">
        <v>8025</v>
      </c>
      <c r="G4724" s="450" t="s">
        <v>22882</v>
      </c>
      <c r="H4724" s="450" t="s">
        <v>22883</v>
      </c>
      <c r="I4724" s="450"/>
      <c r="J4724" s="450" t="s">
        <v>23370</v>
      </c>
      <c r="K4724" s="450"/>
    </row>
    <row r="4725" spans="1:11">
      <c r="A4725" s="451" t="s">
        <v>25445</v>
      </c>
      <c r="B4725" s="451" t="s">
        <v>25446</v>
      </c>
      <c r="C4725" s="451" t="s">
        <v>25447</v>
      </c>
      <c r="D4725" s="451"/>
      <c r="E4725" s="451"/>
      <c r="F4725" s="451"/>
      <c r="G4725" s="451" t="s">
        <v>22877</v>
      </c>
      <c r="H4725" s="451" t="s">
        <v>22878</v>
      </c>
      <c r="I4725" s="451" t="s">
        <v>25448</v>
      </c>
      <c r="J4725" s="451" t="s">
        <v>25449</v>
      </c>
      <c r="K4725" s="451"/>
    </row>
    <row r="4726" spans="1:11">
      <c r="A4726" s="450" t="s">
        <v>25450</v>
      </c>
      <c r="B4726" s="450"/>
      <c r="C4726" s="450" t="s">
        <v>8032</v>
      </c>
      <c r="D4726" s="450"/>
      <c r="E4726" s="450"/>
      <c r="F4726" s="450"/>
      <c r="G4726" s="450" t="s">
        <v>22882</v>
      </c>
      <c r="H4726" s="450" t="s">
        <v>22883</v>
      </c>
      <c r="I4726" s="450" t="s">
        <v>25451</v>
      </c>
      <c r="J4726" s="450" t="s">
        <v>22943</v>
      </c>
      <c r="K4726" s="450"/>
    </row>
    <row r="4727" spans="1:11">
      <c r="A4727" s="451" t="s">
        <v>25452</v>
      </c>
      <c r="B4727" s="451" t="s">
        <v>25453</v>
      </c>
      <c r="C4727" s="451" t="s">
        <v>8028</v>
      </c>
      <c r="D4727" s="451" t="s">
        <v>8029</v>
      </c>
      <c r="E4727" s="451"/>
      <c r="F4727" s="451"/>
      <c r="G4727" s="451" t="s">
        <v>22877</v>
      </c>
      <c r="H4727" s="451" t="s">
        <v>22878</v>
      </c>
      <c r="I4727" s="451" t="s">
        <v>23389</v>
      </c>
      <c r="J4727" s="451" t="s">
        <v>25454</v>
      </c>
      <c r="K4727" s="451"/>
    </row>
    <row r="4728" spans="1:11">
      <c r="A4728" s="450" t="s">
        <v>8026</v>
      </c>
      <c r="B4728" s="450" t="s">
        <v>8027</v>
      </c>
      <c r="C4728" s="450" t="s">
        <v>8028</v>
      </c>
      <c r="D4728" s="450" t="s">
        <v>8029</v>
      </c>
      <c r="E4728" s="450" t="s">
        <v>8030</v>
      </c>
      <c r="F4728" s="450"/>
      <c r="G4728" s="450" t="s">
        <v>22877</v>
      </c>
      <c r="H4728" s="450" t="s">
        <v>22878</v>
      </c>
      <c r="I4728" s="450" t="s">
        <v>31240</v>
      </c>
      <c r="J4728" s="450" t="s">
        <v>31241</v>
      </c>
      <c r="K4728" s="450"/>
    </row>
    <row r="4729" spans="1:11">
      <c r="A4729" s="451" t="s">
        <v>8031</v>
      </c>
      <c r="B4729" s="451"/>
      <c r="C4729" s="451" t="s">
        <v>8032</v>
      </c>
      <c r="D4729" s="451"/>
      <c r="E4729" s="451"/>
      <c r="F4729" s="451"/>
      <c r="G4729" s="451" t="s">
        <v>22882</v>
      </c>
      <c r="H4729" s="451" t="s">
        <v>22883</v>
      </c>
      <c r="I4729" s="451" t="s">
        <v>35274</v>
      </c>
      <c r="J4729" s="451" t="s">
        <v>22937</v>
      </c>
      <c r="K4729" s="451"/>
    </row>
    <row r="4730" spans="1:11">
      <c r="A4730" s="450" t="s">
        <v>8033</v>
      </c>
      <c r="B4730" s="450"/>
      <c r="C4730" s="450" t="s">
        <v>8034</v>
      </c>
      <c r="D4730" s="450"/>
      <c r="E4730" s="450"/>
      <c r="F4730" s="450"/>
      <c r="G4730" s="450" t="s">
        <v>22877</v>
      </c>
      <c r="H4730" s="450" t="s">
        <v>22878</v>
      </c>
      <c r="I4730" s="450" t="s">
        <v>35275</v>
      </c>
      <c r="J4730" s="450" t="s">
        <v>22939</v>
      </c>
      <c r="K4730" s="450"/>
    </row>
    <row r="4731" spans="1:11">
      <c r="A4731" s="451" t="s">
        <v>35276</v>
      </c>
      <c r="B4731" s="451"/>
      <c r="C4731" s="451" t="s">
        <v>8036</v>
      </c>
      <c r="D4731" s="451"/>
      <c r="E4731" s="451"/>
      <c r="F4731" s="451"/>
      <c r="G4731" s="451" t="s">
        <v>22877</v>
      </c>
      <c r="H4731" s="451" t="s">
        <v>22878</v>
      </c>
      <c r="I4731" s="451" t="s">
        <v>35277</v>
      </c>
      <c r="J4731" s="451" t="s">
        <v>22939</v>
      </c>
      <c r="K4731" s="451"/>
    </row>
    <row r="4732" spans="1:11">
      <c r="A4732" s="450" t="s">
        <v>8035</v>
      </c>
      <c r="B4732" s="450"/>
      <c r="C4732" s="450" t="s">
        <v>8036</v>
      </c>
      <c r="D4732" s="450"/>
      <c r="E4732" s="450"/>
      <c r="F4732" s="450"/>
      <c r="G4732" s="450" t="s">
        <v>22882</v>
      </c>
      <c r="H4732" s="450" t="s">
        <v>22883</v>
      </c>
      <c r="I4732" s="450"/>
      <c r="J4732" s="450" t="s">
        <v>22939</v>
      </c>
      <c r="K4732" s="450"/>
    </row>
    <row r="4733" spans="1:11">
      <c r="A4733" s="451" t="s">
        <v>35278</v>
      </c>
      <c r="B4733" s="451" t="s">
        <v>8038</v>
      </c>
      <c r="C4733" s="451" t="s">
        <v>5547</v>
      </c>
      <c r="D4733" s="451" t="s">
        <v>8039</v>
      </c>
      <c r="E4733" s="451"/>
      <c r="F4733" s="451"/>
      <c r="G4733" s="451" t="s">
        <v>22877</v>
      </c>
      <c r="H4733" s="451" t="s">
        <v>22878</v>
      </c>
      <c r="I4733" s="451" t="s">
        <v>35279</v>
      </c>
      <c r="J4733" s="451" t="s">
        <v>35280</v>
      </c>
      <c r="K4733" s="451"/>
    </row>
    <row r="4734" spans="1:11">
      <c r="A4734" s="450" t="s">
        <v>8037</v>
      </c>
      <c r="B4734" s="450" t="s">
        <v>8038</v>
      </c>
      <c r="C4734" s="450" t="s">
        <v>5547</v>
      </c>
      <c r="D4734" s="450" t="s">
        <v>8039</v>
      </c>
      <c r="E4734" s="450"/>
      <c r="F4734" s="450"/>
      <c r="G4734" s="450" t="s">
        <v>22877</v>
      </c>
      <c r="H4734" s="450" t="s">
        <v>22878</v>
      </c>
      <c r="I4734" s="450" t="s">
        <v>25183</v>
      </c>
      <c r="J4734" s="450" t="s">
        <v>31242</v>
      </c>
      <c r="K4734" s="450"/>
    </row>
    <row r="4735" spans="1:11">
      <c r="A4735" s="451" t="s">
        <v>35281</v>
      </c>
      <c r="B4735" s="451" t="s">
        <v>8041</v>
      </c>
      <c r="C4735" s="451" t="s">
        <v>8042</v>
      </c>
      <c r="D4735" s="451" t="s">
        <v>8043</v>
      </c>
      <c r="E4735" s="451"/>
      <c r="F4735" s="451"/>
      <c r="G4735" s="451" t="s">
        <v>22877</v>
      </c>
      <c r="H4735" s="451" t="s">
        <v>22878</v>
      </c>
      <c r="I4735" s="451" t="s">
        <v>35282</v>
      </c>
      <c r="J4735" s="451" t="s">
        <v>35283</v>
      </c>
      <c r="K4735" s="451"/>
    </row>
    <row r="4736" spans="1:11">
      <c r="A4736" s="450" t="s">
        <v>8040</v>
      </c>
      <c r="B4736" s="450" t="s">
        <v>8041</v>
      </c>
      <c r="C4736" s="450" t="s">
        <v>8042</v>
      </c>
      <c r="D4736" s="450" t="s">
        <v>8043</v>
      </c>
      <c r="E4736" s="450"/>
      <c r="F4736" s="450"/>
      <c r="G4736" s="450" t="s">
        <v>22882</v>
      </c>
      <c r="H4736" s="450" t="s">
        <v>22883</v>
      </c>
      <c r="I4736" s="450" t="s">
        <v>31243</v>
      </c>
      <c r="J4736" s="450" t="s">
        <v>31244</v>
      </c>
      <c r="K4736" s="450"/>
    </row>
    <row r="4737" spans="1:11">
      <c r="A4737" s="451" t="s">
        <v>35284</v>
      </c>
      <c r="B4737" s="451"/>
      <c r="C4737" s="451" t="s">
        <v>7758</v>
      </c>
      <c r="D4737" s="451"/>
      <c r="E4737" s="451"/>
      <c r="F4737" s="451"/>
      <c r="G4737" s="451" t="s">
        <v>22882</v>
      </c>
      <c r="H4737" s="451" t="s">
        <v>22883</v>
      </c>
      <c r="I4737" s="451"/>
      <c r="J4737" s="451" t="s">
        <v>22943</v>
      </c>
      <c r="K4737" s="451"/>
    </row>
    <row r="4738" spans="1:11">
      <c r="A4738" s="450" t="s">
        <v>8044</v>
      </c>
      <c r="B4738" s="450"/>
      <c r="C4738" s="450" t="s">
        <v>8045</v>
      </c>
      <c r="D4738" s="450"/>
      <c r="E4738" s="450"/>
      <c r="F4738" s="450"/>
      <c r="G4738" s="450" t="s">
        <v>22882</v>
      </c>
      <c r="H4738" s="450" t="s">
        <v>22883</v>
      </c>
      <c r="I4738" s="450" t="s">
        <v>35285</v>
      </c>
      <c r="J4738" s="450" t="s">
        <v>22939</v>
      </c>
      <c r="K4738" s="450"/>
    </row>
    <row r="4739" spans="1:11">
      <c r="A4739" s="451" t="s">
        <v>35286</v>
      </c>
      <c r="B4739" s="451"/>
      <c r="C4739" s="451" t="s">
        <v>1213</v>
      </c>
      <c r="D4739" s="451"/>
      <c r="E4739" s="451"/>
      <c r="F4739" s="451"/>
      <c r="G4739" s="451" t="s">
        <v>22877</v>
      </c>
      <c r="H4739" s="451" t="s">
        <v>22878</v>
      </c>
      <c r="I4739" s="451" t="s">
        <v>35287</v>
      </c>
      <c r="J4739" s="451" t="s">
        <v>22939</v>
      </c>
      <c r="K4739" s="451"/>
    </row>
    <row r="4740" spans="1:11">
      <c r="A4740" s="450" t="s">
        <v>21690</v>
      </c>
      <c r="B4740" s="450"/>
      <c r="C4740" s="450" t="s">
        <v>1213</v>
      </c>
      <c r="D4740" s="450"/>
      <c r="E4740" s="450"/>
      <c r="F4740" s="450"/>
      <c r="G4740" s="450" t="s">
        <v>22882</v>
      </c>
      <c r="H4740" s="450" t="s">
        <v>22883</v>
      </c>
      <c r="I4740" s="450"/>
      <c r="J4740" s="450" t="s">
        <v>22939</v>
      </c>
      <c r="K4740" s="450"/>
    </row>
    <row r="4741" spans="1:11">
      <c r="A4741" s="451" t="s">
        <v>25455</v>
      </c>
      <c r="B4741" s="451" t="s">
        <v>8047</v>
      </c>
      <c r="C4741" s="451" t="s">
        <v>8048</v>
      </c>
      <c r="D4741" s="451" t="s">
        <v>8049</v>
      </c>
      <c r="E4741" s="451"/>
      <c r="F4741" s="451"/>
      <c r="G4741" s="451" t="s">
        <v>22882</v>
      </c>
      <c r="H4741" s="451" t="s">
        <v>22883</v>
      </c>
      <c r="I4741" s="451" t="s">
        <v>25456</v>
      </c>
      <c r="J4741" s="451" t="s">
        <v>25457</v>
      </c>
      <c r="K4741" s="451"/>
    </row>
    <row r="4742" spans="1:11">
      <c r="A4742" s="450" t="s">
        <v>35288</v>
      </c>
      <c r="B4742" s="450"/>
      <c r="C4742" s="450" t="s">
        <v>8051</v>
      </c>
      <c r="D4742" s="450"/>
      <c r="E4742" s="450"/>
      <c r="F4742" s="450"/>
      <c r="G4742" s="450" t="s">
        <v>22882</v>
      </c>
      <c r="H4742" s="450" t="s">
        <v>22883</v>
      </c>
      <c r="I4742" s="450" t="s">
        <v>35289</v>
      </c>
      <c r="J4742" s="450" t="s">
        <v>22997</v>
      </c>
      <c r="K4742" s="450"/>
    </row>
    <row r="4743" spans="1:11">
      <c r="A4743" s="451" t="s">
        <v>8046</v>
      </c>
      <c r="B4743" s="451" t="s">
        <v>8047</v>
      </c>
      <c r="C4743" s="451" t="s">
        <v>8048</v>
      </c>
      <c r="D4743" s="451" t="s">
        <v>8049</v>
      </c>
      <c r="E4743" s="451"/>
      <c r="F4743" s="451"/>
      <c r="G4743" s="451" t="s">
        <v>22882</v>
      </c>
      <c r="H4743" s="451" t="s">
        <v>22883</v>
      </c>
      <c r="I4743" s="451" t="s">
        <v>8049</v>
      </c>
      <c r="J4743" s="451" t="s">
        <v>35290</v>
      </c>
      <c r="K4743" s="451"/>
    </row>
    <row r="4744" spans="1:11">
      <c r="A4744" s="450" t="s">
        <v>8050</v>
      </c>
      <c r="B4744" s="450"/>
      <c r="C4744" s="450" t="s">
        <v>8051</v>
      </c>
      <c r="D4744" s="450"/>
      <c r="E4744" s="450"/>
      <c r="F4744" s="450"/>
      <c r="G4744" s="450" t="s">
        <v>22882</v>
      </c>
      <c r="H4744" s="450" t="s">
        <v>22883</v>
      </c>
      <c r="I4744" s="450" t="s">
        <v>8049</v>
      </c>
      <c r="J4744" s="450" t="s">
        <v>22939</v>
      </c>
      <c r="K4744" s="450"/>
    </row>
    <row r="4745" spans="1:11">
      <c r="A4745" s="451" t="s">
        <v>25458</v>
      </c>
      <c r="B4745" s="451"/>
      <c r="C4745" s="451" t="s">
        <v>4082</v>
      </c>
      <c r="D4745" s="451"/>
      <c r="E4745" s="451"/>
      <c r="F4745" s="451"/>
      <c r="G4745" s="451" t="s">
        <v>22882</v>
      </c>
      <c r="H4745" s="451" t="s">
        <v>22883</v>
      </c>
      <c r="I4745" s="451"/>
      <c r="J4745" s="451" t="s">
        <v>22943</v>
      </c>
      <c r="K4745" s="451"/>
    </row>
    <row r="4746" spans="1:11">
      <c r="A4746" s="450" t="s">
        <v>8052</v>
      </c>
      <c r="B4746" s="450" t="s">
        <v>8053</v>
      </c>
      <c r="C4746" s="450" t="s">
        <v>2168</v>
      </c>
      <c r="D4746" s="450" t="s">
        <v>8054</v>
      </c>
      <c r="E4746" s="450"/>
      <c r="F4746" s="450"/>
      <c r="G4746" s="450" t="s">
        <v>22877</v>
      </c>
      <c r="H4746" s="450" t="s">
        <v>22878</v>
      </c>
      <c r="I4746" s="450" t="s">
        <v>25459</v>
      </c>
      <c r="J4746" s="450" t="s">
        <v>25460</v>
      </c>
      <c r="K4746" s="450"/>
    </row>
    <row r="4747" spans="1:11">
      <c r="A4747" s="451" t="s">
        <v>8055</v>
      </c>
      <c r="B4747" s="451"/>
      <c r="C4747" s="451" t="s">
        <v>6905</v>
      </c>
      <c r="D4747" s="451"/>
      <c r="E4747" s="451"/>
      <c r="F4747" s="451"/>
      <c r="G4747" s="451" t="s">
        <v>22877</v>
      </c>
      <c r="H4747" s="451" t="s">
        <v>22878</v>
      </c>
      <c r="I4747" s="451" t="s">
        <v>35291</v>
      </c>
      <c r="J4747" s="451" t="s">
        <v>22939</v>
      </c>
      <c r="K4747" s="451"/>
    </row>
    <row r="4748" spans="1:11">
      <c r="A4748" s="450" t="s">
        <v>8056</v>
      </c>
      <c r="B4748" s="450"/>
      <c r="C4748" s="450" t="s">
        <v>7760</v>
      </c>
      <c r="D4748" s="450"/>
      <c r="E4748" s="450"/>
      <c r="F4748" s="450"/>
      <c r="G4748" s="450" t="s">
        <v>22877</v>
      </c>
      <c r="H4748" s="450" t="s">
        <v>22878</v>
      </c>
      <c r="I4748" s="450" t="s">
        <v>29554</v>
      </c>
      <c r="J4748" s="450" t="s">
        <v>22939</v>
      </c>
      <c r="K4748" s="450"/>
    </row>
    <row r="4749" spans="1:11">
      <c r="A4749" s="451" t="s">
        <v>31245</v>
      </c>
      <c r="B4749" s="451"/>
      <c r="C4749" s="451" t="s">
        <v>7760</v>
      </c>
      <c r="D4749" s="451"/>
      <c r="E4749" s="451"/>
      <c r="F4749" s="451"/>
      <c r="G4749" s="451" t="s">
        <v>22877</v>
      </c>
      <c r="H4749" s="451" t="s">
        <v>22878</v>
      </c>
      <c r="I4749" s="451" t="s">
        <v>25461</v>
      </c>
      <c r="J4749" s="451" t="s">
        <v>22997</v>
      </c>
      <c r="K4749" s="451"/>
    </row>
    <row r="4750" spans="1:11">
      <c r="A4750" s="450" t="s">
        <v>8057</v>
      </c>
      <c r="B4750" s="450" t="s">
        <v>8058</v>
      </c>
      <c r="C4750" s="450" t="s">
        <v>8059</v>
      </c>
      <c r="D4750" s="450"/>
      <c r="E4750" s="450"/>
      <c r="F4750" s="450" t="s">
        <v>25462</v>
      </c>
      <c r="G4750" s="450" t="s">
        <v>22877</v>
      </c>
      <c r="H4750" s="450" t="s">
        <v>22878</v>
      </c>
      <c r="I4750" s="450" t="s">
        <v>35292</v>
      </c>
      <c r="J4750" s="450" t="s">
        <v>25463</v>
      </c>
      <c r="K4750" s="450"/>
    </row>
    <row r="4751" spans="1:11">
      <c r="A4751" s="451" t="s">
        <v>8057</v>
      </c>
      <c r="B4751" s="451" t="s">
        <v>8058</v>
      </c>
      <c r="C4751" s="451" t="s">
        <v>8059</v>
      </c>
      <c r="D4751" s="451"/>
      <c r="E4751" s="451"/>
      <c r="F4751" s="451" t="s">
        <v>8060</v>
      </c>
      <c r="G4751" s="451" t="s">
        <v>22877</v>
      </c>
      <c r="H4751" s="451" t="s">
        <v>22878</v>
      </c>
      <c r="I4751" s="451" t="s">
        <v>31246</v>
      </c>
      <c r="J4751" s="451" t="s">
        <v>25463</v>
      </c>
      <c r="K4751" s="451"/>
    </row>
    <row r="4752" spans="1:11">
      <c r="A4752" s="450" t="s">
        <v>35293</v>
      </c>
      <c r="B4752" s="450"/>
      <c r="C4752" s="450" t="s">
        <v>8062</v>
      </c>
      <c r="D4752" s="450"/>
      <c r="E4752" s="450"/>
      <c r="F4752" s="450"/>
      <c r="G4752" s="450" t="s">
        <v>22877</v>
      </c>
      <c r="H4752" s="450" t="s">
        <v>22878</v>
      </c>
      <c r="I4752" s="450" t="s">
        <v>35294</v>
      </c>
      <c r="J4752" s="450" t="s">
        <v>22943</v>
      </c>
      <c r="K4752" s="450"/>
    </row>
    <row r="4753" spans="1:11">
      <c r="A4753" s="451" t="s">
        <v>8061</v>
      </c>
      <c r="B4753" s="451"/>
      <c r="C4753" s="451" t="s">
        <v>8062</v>
      </c>
      <c r="D4753" s="451"/>
      <c r="E4753" s="451"/>
      <c r="F4753" s="451"/>
      <c r="G4753" s="451" t="s">
        <v>22877</v>
      </c>
      <c r="H4753" s="451" t="s">
        <v>22878</v>
      </c>
      <c r="I4753" s="451" t="s">
        <v>35295</v>
      </c>
      <c r="J4753" s="451" t="s">
        <v>32727</v>
      </c>
      <c r="K4753" s="451"/>
    </row>
    <row r="4754" spans="1:11">
      <c r="A4754" s="450" t="s">
        <v>35296</v>
      </c>
      <c r="B4754" s="450"/>
      <c r="C4754" s="450" t="s">
        <v>7760</v>
      </c>
      <c r="D4754" s="450"/>
      <c r="E4754" s="450"/>
      <c r="F4754" s="450"/>
      <c r="G4754" s="450" t="s">
        <v>22877</v>
      </c>
      <c r="H4754" s="450" t="s">
        <v>22878</v>
      </c>
      <c r="I4754" s="450" t="s">
        <v>25461</v>
      </c>
      <c r="J4754" s="450" t="s">
        <v>23121</v>
      </c>
      <c r="K4754" s="450"/>
    </row>
    <row r="4755" spans="1:11">
      <c r="A4755" s="451" t="s">
        <v>8063</v>
      </c>
      <c r="B4755" s="451"/>
      <c r="C4755" s="451" t="s">
        <v>8064</v>
      </c>
      <c r="D4755" s="451"/>
      <c r="E4755" s="451"/>
      <c r="F4755" s="451"/>
      <c r="G4755" s="451" t="s">
        <v>22882</v>
      </c>
      <c r="H4755" s="451" t="s">
        <v>22883</v>
      </c>
      <c r="I4755" s="451" t="s">
        <v>35297</v>
      </c>
      <c r="J4755" s="451" t="s">
        <v>22937</v>
      </c>
      <c r="K4755" s="451"/>
    </row>
    <row r="4756" spans="1:11">
      <c r="A4756" s="450" t="s">
        <v>25464</v>
      </c>
      <c r="B4756" s="450"/>
      <c r="C4756" s="450" t="s">
        <v>8064</v>
      </c>
      <c r="D4756" s="450"/>
      <c r="E4756" s="450"/>
      <c r="F4756" s="450"/>
      <c r="G4756" s="450" t="s">
        <v>22882</v>
      </c>
      <c r="H4756" s="450" t="s">
        <v>22883</v>
      </c>
      <c r="I4756" s="450" t="s">
        <v>25465</v>
      </c>
      <c r="J4756" s="450" t="s">
        <v>22943</v>
      </c>
      <c r="K4756" s="450"/>
    </row>
    <row r="4757" spans="1:11">
      <c r="A4757" s="451" t="s">
        <v>25466</v>
      </c>
      <c r="B4757" s="451" t="s">
        <v>25467</v>
      </c>
      <c r="C4757" s="451" t="s">
        <v>8067</v>
      </c>
      <c r="D4757" s="451"/>
      <c r="E4757" s="451"/>
      <c r="F4757" s="451" t="s">
        <v>8068</v>
      </c>
      <c r="G4757" s="451" t="s">
        <v>22877</v>
      </c>
      <c r="H4757" s="451" t="s">
        <v>22878</v>
      </c>
      <c r="I4757" s="451" t="s">
        <v>25468</v>
      </c>
      <c r="J4757" s="451" t="s">
        <v>25469</v>
      </c>
      <c r="K4757" s="451"/>
    </row>
    <row r="4758" spans="1:11">
      <c r="A4758" s="450" t="s">
        <v>8065</v>
      </c>
      <c r="B4758" s="450" t="s">
        <v>8066</v>
      </c>
      <c r="C4758" s="450" t="s">
        <v>8067</v>
      </c>
      <c r="D4758" s="450"/>
      <c r="E4758" s="450"/>
      <c r="F4758" s="450" t="s">
        <v>8068</v>
      </c>
      <c r="G4758" s="450" t="s">
        <v>22877</v>
      </c>
      <c r="H4758" s="450" t="s">
        <v>22878</v>
      </c>
      <c r="I4758" s="450" t="s">
        <v>31247</v>
      </c>
      <c r="J4758" s="450" t="s">
        <v>31248</v>
      </c>
      <c r="K4758" s="450"/>
    </row>
    <row r="4759" spans="1:11">
      <c r="A4759" s="451" t="s">
        <v>8069</v>
      </c>
      <c r="B4759" s="451"/>
      <c r="C4759" s="451" t="s">
        <v>2997</v>
      </c>
      <c r="D4759" s="451"/>
      <c r="E4759" s="451"/>
      <c r="F4759" s="451"/>
      <c r="G4759" s="451" t="s">
        <v>22882</v>
      </c>
      <c r="H4759" s="451" t="s">
        <v>22883</v>
      </c>
      <c r="I4759" s="451"/>
      <c r="J4759" s="451" t="s">
        <v>22939</v>
      </c>
      <c r="K4759" s="451"/>
    </row>
    <row r="4760" spans="1:11">
      <c r="A4760" s="450" t="s">
        <v>8070</v>
      </c>
      <c r="B4760" s="450"/>
      <c r="C4760" s="450" t="s">
        <v>8071</v>
      </c>
      <c r="D4760" s="450"/>
      <c r="E4760" s="450"/>
      <c r="F4760" s="450"/>
      <c r="G4760" s="450" t="s">
        <v>22882</v>
      </c>
      <c r="H4760" s="450" t="s">
        <v>22883</v>
      </c>
      <c r="I4760" s="450" t="s">
        <v>35298</v>
      </c>
      <c r="J4760" s="450" t="s">
        <v>22997</v>
      </c>
      <c r="K4760" s="450"/>
    </row>
    <row r="4761" spans="1:11">
      <c r="A4761" s="451" t="s">
        <v>8077</v>
      </c>
      <c r="B4761" s="451"/>
      <c r="C4761" s="451" t="s">
        <v>5243</v>
      </c>
      <c r="D4761" s="451"/>
      <c r="E4761" s="451"/>
      <c r="F4761" s="451"/>
      <c r="G4761" s="451" t="s">
        <v>22877</v>
      </c>
      <c r="H4761" s="451" t="s">
        <v>22878</v>
      </c>
      <c r="I4761" s="451" t="s">
        <v>35299</v>
      </c>
      <c r="J4761" s="451" t="s">
        <v>22939</v>
      </c>
      <c r="K4761" s="451"/>
    </row>
    <row r="4762" spans="1:11">
      <c r="A4762" s="450" t="s">
        <v>25470</v>
      </c>
      <c r="B4762" s="450"/>
      <c r="C4762" s="450" t="s">
        <v>25471</v>
      </c>
      <c r="D4762" s="450"/>
      <c r="E4762" s="450"/>
      <c r="F4762" s="450"/>
      <c r="G4762" s="450" t="s">
        <v>22882</v>
      </c>
      <c r="H4762" s="450" t="s">
        <v>22883</v>
      </c>
      <c r="I4762" s="450" t="s">
        <v>25472</v>
      </c>
      <c r="J4762" s="450" t="s">
        <v>22943</v>
      </c>
      <c r="K4762" s="450"/>
    </row>
    <row r="4763" spans="1:11">
      <c r="A4763" s="451" t="s">
        <v>31249</v>
      </c>
      <c r="B4763" s="451" t="s">
        <v>25473</v>
      </c>
      <c r="C4763" s="451" t="s">
        <v>8073</v>
      </c>
      <c r="D4763" s="451" t="s">
        <v>8074</v>
      </c>
      <c r="E4763" s="451"/>
      <c r="F4763" s="451"/>
      <c r="G4763" s="451" t="s">
        <v>22877</v>
      </c>
      <c r="H4763" s="451" t="s">
        <v>22878</v>
      </c>
      <c r="I4763" s="451" t="s">
        <v>8074</v>
      </c>
      <c r="J4763" s="451" t="s">
        <v>25474</v>
      </c>
      <c r="K4763" s="451"/>
    </row>
    <row r="4764" spans="1:11">
      <c r="A4764" s="450" t="s">
        <v>31249</v>
      </c>
      <c r="B4764" s="450" t="s">
        <v>25475</v>
      </c>
      <c r="C4764" s="450" t="s">
        <v>8076</v>
      </c>
      <c r="D4764" s="450"/>
      <c r="E4764" s="450"/>
      <c r="F4764" s="450"/>
      <c r="G4764" s="450" t="s">
        <v>22877</v>
      </c>
      <c r="H4764" s="450" t="s">
        <v>22878</v>
      </c>
      <c r="I4764" s="450" t="s">
        <v>25476</v>
      </c>
      <c r="J4764" s="450" t="s">
        <v>25477</v>
      </c>
      <c r="K4764" s="450"/>
    </row>
    <row r="4765" spans="1:11">
      <c r="A4765" s="451" t="s">
        <v>21691</v>
      </c>
      <c r="B4765" s="451" t="s">
        <v>8072</v>
      </c>
      <c r="C4765" s="451" t="s">
        <v>8073</v>
      </c>
      <c r="D4765" s="451" t="s">
        <v>8074</v>
      </c>
      <c r="E4765" s="451"/>
      <c r="F4765" s="451"/>
      <c r="G4765" s="451" t="s">
        <v>22877</v>
      </c>
      <c r="H4765" s="451" t="s">
        <v>22878</v>
      </c>
      <c r="I4765" s="451" t="s">
        <v>31250</v>
      </c>
      <c r="J4765" s="451" t="s">
        <v>35300</v>
      </c>
      <c r="K4765" s="451"/>
    </row>
    <row r="4766" spans="1:11">
      <c r="A4766" s="450" t="s">
        <v>21691</v>
      </c>
      <c r="B4766" s="450" t="s">
        <v>8075</v>
      </c>
      <c r="C4766" s="450" t="s">
        <v>8076</v>
      </c>
      <c r="D4766" s="450"/>
      <c r="E4766" s="450"/>
      <c r="F4766" s="450"/>
      <c r="G4766" s="450" t="s">
        <v>22877</v>
      </c>
      <c r="H4766" s="450" t="s">
        <v>22878</v>
      </c>
      <c r="I4766" s="450" t="s">
        <v>31250</v>
      </c>
      <c r="J4766" s="450" t="s">
        <v>31251</v>
      </c>
      <c r="K4766" s="450"/>
    </row>
    <row r="4767" spans="1:11">
      <c r="A4767" s="451" t="s">
        <v>35301</v>
      </c>
      <c r="B4767" s="451"/>
      <c r="C4767" s="451" t="s">
        <v>8079</v>
      </c>
      <c r="D4767" s="451"/>
      <c r="E4767" s="451"/>
      <c r="F4767" s="451"/>
      <c r="G4767" s="451" t="s">
        <v>22877</v>
      </c>
      <c r="H4767" s="451" t="s">
        <v>22878</v>
      </c>
      <c r="I4767" s="451" t="s">
        <v>35302</v>
      </c>
      <c r="J4767" s="451" t="s">
        <v>22943</v>
      </c>
      <c r="K4767" s="451"/>
    </row>
    <row r="4768" spans="1:11">
      <c r="A4768" s="450" t="s">
        <v>8078</v>
      </c>
      <c r="B4768" s="450"/>
      <c r="C4768" s="450" t="s">
        <v>8079</v>
      </c>
      <c r="D4768" s="450"/>
      <c r="E4768" s="450"/>
      <c r="F4768" s="450"/>
      <c r="G4768" s="450" t="s">
        <v>22877</v>
      </c>
      <c r="H4768" s="450" t="s">
        <v>22878</v>
      </c>
      <c r="I4768" s="450" t="s">
        <v>35303</v>
      </c>
      <c r="J4768" s="450" t="s">
        <v>22939</v>
      </c>
      <c r="K4768" s="450"/>
    </row>
    <row r="4769" spans="1:11">
      <c r="A4769" s="451" t="s">
        <v>8080</v>
      </c>
      <c r="B4769" s="451"/>
      <c r="C4769" s="451" t="s">
        <v>8081</v>
      </c>
      <c r="D4769" s="451"/>
      <c r="E4769" s="451"/>
      <c r="F4769" s="451"/>
      <c r="G4769" s="451" t="s">
        <v>22877</v>
      </c>
      <c r="H4769" s="451" t="s">
        <v>22878</v>
      </c>
      <c r="I4769" s="451" t="s">
        <v>25478</v>
      </c>
      <c r="J4769" s="451" t="s">
        <v>22997</v>
      </c>
      <c r="K4769" s="451"/>
    </row>
    <row r="4770" spans="1:11">
      <c r="A4770" s="450" t="s">
        <v>35304</v>
      </c>
      <c r="B4770" s="450" t="s">
        <v>8083</v>
      </c>
      <c r="C4770" s="450" t="s">
        <v>2483</v>
      </c>
      <c r="D4770" s="450"/>
      <c r="E4770" s="450"/>
      <c r="F4770" s="450"/>
      <c r="G4770" s="450" t="s">
        <v>22882</v>
      </c>
      <c r="H4770" s="450" t="s">
        <v>22883</v>
      </c>
      <c r="I4770" s="450" t="s">
        <v>35305</v>
      </c>
      <c r="J4770" s="450" t="s">
        <v>35306</v>
      </c>
      <c r="K4770" s="450"/>
    </row>
    <row r="4771" spans="1:11">
      <c r="A4771" s="451" t="s">
        <v>8082</v>
      </c>
      <c r="B4771" s="451" t="s">
        <v>8083</v>
      </c>
      <c r="C4771" s="451" t="s">
        <v>2483</v>
      </c>
      <c r="D4771" s="451"/>
      <c r="E4771" s="451"/>
      <c r="F4771" s="451"/>
      <c r="G4771" s="451" t="s">
        <v>22882</v>
      </c>
      <c r="H4771" s="451" t="s">
        <v>22883</v>
      </c>
      <c r="I4771" s="451" t="s">
        <v>31252</v>
      </c>
      <c r="J4771" s="451" t="s">
        <v>31253</v>
      </c>
      <c r="K4771" s="451"/>
    </row>
    <row r="4772" spans="1:11">
      <c r="A4772" s="450" t="s">
        <v>25479</v>
      </c>
      <c r="B4772" s="450" t="s">
        <v>25480</v>
      </c>
      <c r="C4772" s="450" t="s">
        <v>4258</v>
      </c>
      <c r="D4772" s="450"/>
      <c r="E4772" s="450"/>
      <c r="F4772" s="450"/>
      <c r="G4772" s="450" t="s">
        <v>22877</v>
      </c>
      <c r="H4772" s="450" t="s">
        <v>22878</v>
      </c>
      <c r="I4772" s="450" t="s">
        <v>25481</v>
      </c>
      <c r="J4772" s="450" t="s">
        <v>25482</v>
      </c>
      <c r="K4772" s="450"/>
    </row>
    <row r="4773" spans="1:11">
      <c r="A4773" s="451" t="s">
        <v>25483</v>
      </c>
      <c r="B4773" s="451" t="s">
        <v>25484</v>
      </c>
      <c r="C4773" s="451" t="s">
        <v>25485</v>
      </c>
      <c r="D4773" s="451"/>
      <c r="E4773" s="451"/>
      <c r="F4773" s="451"/>
      <c r="G4773" s="451" t="s">
        <v>22877</v>
      </c>
      <c r="H4773" s="451" t="s">
        <v>22878</v>
      </c>
      <c r="I4773" s="451"/>
      <c r="J4773" s="451" t="s">
        <v>25486</v>
      </c>
      <c r="K4773" s="451"/>
    </row>
    <row r="4774" spans="1:11">
      <c r="A4774" s="450" t="s">
        <v>25487</v>
      </c>
      <c r="B4774" s="450" t="s">
        <v>25488</v>
      </c>
      <c r="C4774" s="450" t="s">
        <v>25489</v>
      </c>
      <c r="D4774" s="450"/>
      <c r="E4774" s="450"/>
      <c r="F4774" s="450"/>
      <c r="G4774" s="450" t="s">
        <v>22877</v>
      </c>
      <c r="H4774" s="450" t="s">
        <v>22878</v>
      </c>
      <c r="I4774" s="450" t="s">
        <v>25490</v>
      </c>
      <c r="J4774" s="450" t="s">
        <v>25491</v>
      </c>
      <c r="K4774" s="450"/>
    </row>
    <row r="4775" spans="1:11">
      <c r="A4775" s="451" t="s">
        <v>35307</v>
      </c>
      <c r="B4775" s="451" t="s">
        <v>8085</v>
      </c>
      <c r="C4775" s="451" t="s">
        <v>8086</v>
      </c>
      <c r="D4775" s="451"/>
      <c r="E4775" s="451"/>
      <c r="F4775" s="451"/>
      <c r="G4775" s="451" t="s">
        <v>22877</v>
      </c>
      <c r="H4775" s="451" t="s">
        <v>22878</v>
      </c>
      <c r="I4775" s="451" t="s">
        <v>35308</v>
      </c>
      <c r="J4775" s="451" t="s">
        <v>25492</v>
      </c>
      <c r="K4775" s="451"/>
    </row>
    <row r="4776" spans="1:11">
      <c r="A4776" s="450" t="s">
        <v>8084</v>
      </c>
      <c r="B4776" s="450" t="s">
        <v>8085</v>
      </c>
      <c r="C4776" s="450" t="s">
        <v>8086</v>
      </c>
      <c r="D4776" s="450"/>
      <c r="E4776" s="450"/>
      <c r="F4776" s="450"/>
      <c r="G4776" s="450" t="s">
        <v>22877</v>
      </c>
      <c r="H4776" s="450" t="s">
        <v>22878</v>
      </c>
      <c r="I4776" s="450" t="s">
        <v>31254</v>
      </c>
      <c r="J4776" s="450" t="s">
        <v>25492</v>
      </c>
      <c r="K4776" s="450"/>
    </row>
    <row r="4777" spans="1:11">
      <c r="A4777" s="451" t="s">
        <v>25493</v>
      </c>
      <c r="B4777" s="451" t="s">
        <v>25494</v>
      </c>
      <c r="C4777" s="451" t="s">
        <v>25495</v>
      </c>
      <c r="D4777" s="451"/>
      <c r="E4777" s="451"/>
      <c r="F4777" s="451"/>
      <c r="G4777" s="451" t="s">
        <v>22882</v>
      </c>
      <c r="H4777" s="451" t="s">
        <v>22883</v>
      </c>
      <c r="I4777" s="451" t="s">
        <v>25496</v>
      </c>
      <c r="J4777" s="451" t="s">
        <v>25497</v>
      </c>
      <c r="K4777" s="451"/>
    </row>
    <row r="4778" spans="1:11">
      <c r="A4778" s="450" t="s">
        <v>35309</v>
      </c>
      <c r="B4778" s="450"/>
      <c r="C4778" s="450" t="s">
        <v>8088</v>
      </c>
      <c r="D4778" s="450"/>
      <c r="E4778" s="450"/>
      <c r="F4778" s="450"/>
      <c r="G4778" s="450" t="s">
        <v>22877</v>
      </c>
      <c r="H4778" s="450" t="s">
        <v>22878</v>
      </c>
      <c r="I4778" s="450" t="s">
        <v>35310</v>
      </c>
      <c r="J4778" s="450" t="s">
        <v>23121</v>
      </c>
      <c r="K4778" s="450"/>
    </row>
    <row r="4779" spans="1:11">
      <c r="A4779" s="451" t="s">
        <v>8087</v>
      </c>
      <c r="B4779" s="451"/>
      <c r="C4779" s="451" t="s">
        <v>8088</v>
      </c>
      <c r="D4779" s="451"/>
      <c r="E4779" s="451"/>
      <c r="F4779" s="451"/>
      <c r="G4779" s="451" t="s">
        <v>22877</v>
      </c>
      <c r="H4779" s="451" t="s">
        <v>22878</v>
      </c>
      <c r="I4779" s="451" t="s">
        <v>35311</v>
      </c>
      <c r="J4779" s="451" t="s">
        <v>22939</v>
      </c>
      <c r="K4779" s="451"/>
    </row>
    <row r="4780" spans="1:11">
      <c r="A4780" s="450" t="s">
        <v>8089</v>
      </c>
      <c r="B4780" s="450"/>
      <c r="C4780" s="450" t="s">
        <v>6020</v>
      </c>
      <c r="D4780" s="450"/>
      <c r="E4780" s="450"/>
      <c r="F4780" s="450"/>
      <c r="G4780" s="450" t="s">
        <v>22877</v>
      </c>
      <c r="H4780" s="450" t="s">
        <v>22878</v>
      </c>
      <c r="I4780" s="450" t="s">
        <v>25498</v>
      </c>
      <c r="J4780" s="450" t="s">
        <v>24578</v>
      </c>
      <c r="K4780" s="450"/>
    </row>
    <row r="4781" spans="1:11">
      <c r="A4781" s="451" t="s">
        <v>8090</v>
      </c>
      <c r="B4781" s="451" t="s">
        <v>25499</v>
      </c>
      <c r="C4781" s="451" t="s">
        <v>1654</v>
      </c>
      <c r="D4781" s="451" t="s">
        <v>8092</v>
      </c>
      <c r="E4781" s="451"/>
      <c r="F4781" s="451"/>
      <c r="G4781" s="451" t="s">
        <v>22877</v>
      </c>
      <c r="H4781" s="451" t="s">
        <v>22878</v>
      </c>
      <c r="I4781" s="451" t="s">
        <v>25500</v>
      </c>
      <c r="J4781" s="451" t="s">
        <v>25501</v>
      </c>
      <c r="K4781" s="451"/>
    </row>
    <row r="4782" spans="1:11">
      <c r="A4782" s="450" t="s">
        <v>8090</v>
      </c>
      <c r="B4782" s="450" t="s">
        <v>8091</v>
      </c>
      <c r="C4782" s="450" t="s">
        <v>1654</v>
      </c>
      <c r="D4782" s="450" t="s">
        <v>8092</v>
      </c>
      <c r="E4782" s="450" t="s">
        <v>8093</v>
      </c>
      <c r="F4782" s="450"/>
      <c r="G4782" s="450" t="s">
        <v>22877</v>
      </c>
      <c r="H4782" s="450" t="s">
        <v>22878</v>
      </c>
      <c r="I4782" s="450" t="s">
        <v>8092</v>
      </c>
      <c r="J4782" s="450" t="s">
        <v>31255</v>
      </c>
      <c r="K4782" s="450"/>
    </row>
    <row r="4783" spans="1:11">
      <c r="A4783" s="451" t="s">
        <v>35312</v>
      </c>
      <c r="B4783" s="451"/>
      <c r="C4783" s="451"/>
      <c r="D4783" s="451"/>
      <c r="E4783" s="451"/>
      <c r="F4783" s="451"/>
      <c r="G4783" s="451" t="s">
        <v>22877</v>
      </c>
      <c r="H4783" s="451" t="s">
        <v>22878</v>
      </c>
      <c r="I4783" s="451" t="s">
        <v>35313</v>
      </c>
      <c r="J4783" s="451" t="s">
        <v>24578</v>
      </c>
      <c r="K4783" s="451"/>
    </row>
    <row r="4784" spans="1:11">
      <c r="A4784" s="450" t="s">
        <v>25502</v>
      </c>
      <c r="B4784" s="450"/>
      <c r="C4784" s="450" t="s">
        <v>25503</v>
      </c>
      <c r="D4784" s="450"/>
      <c r="E4784" s="450"/>
      <c r="F4784" s="450"/>
      <c r="G4784" s="450" t="s">
        <v>22882</v>
      </c>
      <c r="H4784" s="450" t="s">
        <v>22883</v>
      </c>
      <c r="I4784" s="450" t="s">
        <v>25504</v>
      </c>
      <c r="J4784" s="450" t="s">
        <v>23370</v>
      </c>
      <c r="K4784" s="450"/>
    </row>
    <row r="4785" spans="1:11">
      <c r="A4785" s="451" t="s">
        <v>25505</v>
      </c>
      <c r="B4785" s="451" t="s">
        <v>25506</v>
      </c>
      <c r="C4785" s="451" t="s">
        <v>25507</v>
      </c>
      <c r="D4785" s="451"/>
      <c r="E4785" s="451"/>
      <c r="F4785" s="451"/>
      <c r="G4785" s="451" t="s">
        <v>22877</v>
      </c>
      <c r="H4785" s="451" t="s">
        <v>22878</v>
      </c>
      <c r="I4785" s="451" t="s">
        <v>25508</v>
      </c>
      <c r="J4785" s="451" t="s">
        <v>25509</v>
      </c>
      <c r="K4785" s="451"/>
    </row>
    <row r="4786" spans="1:11">
      <c r="A4786" s="450" t="s">
        <v>8094</v>
      </c>
      <c r="B4786" s="450"/>
      <c r="C4786" s="450" t="s">
        <v>8095</v>
      </c>
      <c r="D4786" s="450"/>
      <c r="E4786" s="450"/>
      <c r="F4786" s="450"/>
      <c r="G4786" s="450" t="s">
        <v>22882</v>
      </c>
      <c r="H4786" s="450" t="s">
        <v>22883</v>
      </c>
      <c r="I4786" s="450"/>
      <c r="J4786" s="450" t="s">
        <v>22943</v>
      </c>
      <c r="K4786" s="450"/>
    </row>
    <row r="4787" spans="1:11">
      <c r="A4787" s="451" t="s">
        <v>8096</v>
      </c>
      <c r="B4787" s="451" t="s">
        <v>8097</v>
      </c>
      <c r="C4787" s="451" t="s">
        <v>8098</v>
      </c>
      <c r="D4787" s="451" t="s">
        <v>8099</v>
      </c>
      <c r="E4787" s="451"/>
      <c r="F4787" s="451"/>
      <c r="G4787" s="451" t="s">
        <v>22877</v>
      </c>
      <c r="H4787" s="451" t="s">
        <v>22878</v>
      </c>
      <c r="I4787" s="451" t="s">
        <v>35314</v>
      </c>
      <c r="J4787" s="451" t="s">
        <v>35315</v>
      </c>
      <c r="K4787" s="451"/>
    </row>
    <row r="4788" spans="1:11">
      <c r="A4788" s="450" t="s">
        <v>8096</v>
      </c>
      <c r="B4788" s="450" t="s">
        <v>8097</v>
      </c>
      <c r="C4788" s="450" t="s">
        <v>8098</v>
      </c>
      <c r="D4788" s="450" t="s">
        <v>8099</v>
      </c>
      <c r="E4788" s="450" t="s">
        <v>8100</v>
      </c>
      <c r="F4788" s="450"/>
      <c r="G4788" s="450" t="s">
        <v>22882</v>
      </c>
      <c r="H4788" s="450" t="s">
        <v>22883</v>
      </c>
      <c r="I4788" s="450" t="s">
        <v>8099</v>
      </c>
      <c r="J4788" s="450" t="s">
        <v>31256</v>
      </c>
      <c r="K4788" s="450"/>
    </row>
    <row r="4789" spans="1:11">
      <c r="A4789" s="451" t="s">
        <v>35316</v>
      </c>
      <c r="B4789" s="451" t="s">
        <v>8102</v>
      </c>
      <c r="C4789" s="451" t="s">
        <v>7868</v>
      </c>
      <c r="D4789" s="451" t="s">
        <v>8103</v>
      </c>
      <c r="E4789" s="451"/>
      <c r="F4789" s="451"/>
      <c r="G4789" s="451" t="s">
        <v>22877</v>
      </c>
      <c r="H4789" s="451" t="s">
        <v>22878</v>
      </c>
      <c r="I4789" s="451" t="s">
        <v>25510</v>
      </c>
      <c r="J4789" s="451" t="s">
        <v>35317</v>
      </c>
      <c r="K4789" s="451"/>
    </row>
    <row r="4790" spans="1:11">
      <c r="A4790" s="450" t="s">
        <v>8101</v>
      </c>
      <c r="B4790" s="450" t="s">
        <v>8102</v>
      </c>
      <c r="C4790" s="450" t="s">
        <v>7868</v>
      </c>
      <c r="D4790" s="450" t="s">
        <v>8103</v>
      </c>
      <c r="E4790" s="450"/>
      <c r="F4790" s="450"/>
      <c r="G4790" s="450" t="s">
        <v>22877</v>
      </c>
      <c r="H4790" s="450" t="s">
        <v>22878</v>
      </c>
      <c r="I4790" s="450" t="s">
        <v>29509</v>
      </c>
      <c r="J4790" s="450" t="s">
        <v>31257</v>
      </c>
      <c r="K4790" s="450"/>
    </row>
    <row r="4791" spans="1:11">
      <c r="A4791" s="451" t="s">
        <v>21692</v>
      </c>
      <c r="B4791" s="451" t="s">
        <v>8104</v>
      </c>
      <c r="C4791" s="451" t="s">
        <v>8105</v>
      </c>
      <c r="D4791" s="451" t="s">
        <v>8106</v>
      </c>
      <c r="E4791" s="451"/>
      <c r="F4791" s="451"/>
      <c r="G4791" s="451" t="s">
        <v>22877</v>
      </c>
      <c r="H4791" s="451" t="s">
        <v>22878</v>
      </c>
      <c r="I4791" s="451" t="s">
        <v>8106</v>
      </c>
      <c r="J4791" s="451" t="s">
        <v>35318</v>
      </c>
      <c r="K4791" s="451"/>
    </row>
    <row r="4792" spans="1:11">
      <c r="A4792" s="450" t="s">
        <v>21692</v>
      </c>
      <c r="B4792" s="450" t="s">
        <v>8104</v>
      </c>
      <c r="C4792" s="450" t="s">
        <v>8105</v>
      </c>
      <c r="D4792" s="450" t="s">
        <v>8106</v>
      </c>
      <c r="E4792" s="450" t="s">
        <v>8107</v>
      </c>
      <c r="F4792" s="450"/>
      <c r="G4792" s="450" t="s">
        <v>22877</v>
      </c>
      <c r="H4792" s="450" t="s">
        <v>22878</v>
      </c>
      <c r="I4792" s="450" t="s">
        <v>31258</v>
      </c>
      <c r="J4792" s="450" t="s">
        <v>31259</v>
      </c>
      <c r="K4792" s="450"/>
    </row>
    <row r="4793" spans="1:11">
      <c r="A4793" s="451" t="s">
        <v>35319</v>
      </c>
      <c r="B4793" s="451"/>
      <c r="C4793" s="451" t="s">
        <v>4904</v>
      </c>
      <c r="D4793" s="451"/>
      <c r="E4793" s="451"/>
      <c r="F4793" s="451"/>
      <c r="G4793" s="451" t="s">
        <v>22877</v>
      </c>
      <c r="H4793" s="451" t="s">
        <v>22878</v>
      </c>
      <c r="I4793" s="451" t="s">
        <v>35320</v>
      </c>
      <c r="J4793" s="451" t="s">
        <v>22943</v>
      </c>
      <c r="K4793" s="451"/>
    </row>
    <row r="4794" spans="1:11">
      <c r="A4794" s="450" t="s">
        <v>8108</v>
      </c>
      <c r="B4794" s="450"/>
      <c r="C4794" s="450" t="s">
        <v>4904</v>
      </c>
      <c r="D4794" s="450"/>
      <c r="E4794" s="450"/>
      <c r="F4794" s="450"/>
      <c r="G4794" s="450" t="s">
        <v>22877</v>
      </c>
      <c r="H4794" s="450" t="s">
        <v>22878</v>
      </c>
      <c r="I4794" s="450" t="s">
        <v>31260</v>
      </c>
      <c r="J4794" s="450" t="s">
        <v>22937</v>
      </c>
      <c r="K4794" s="450"/>
    </row>
    <row r="4795" spans="1:11">
      <c r="A4795" s="451" t="s">
        <v>35321</v>
      </c>
      <c r="B4795" s="451" t="s">
        <v>8110</v>
      </c>
      <c r="C4795" s="451" t="s">
        <v>8111</v>
      </c>
      <c r="D4795" s="451" t="s">
        <v>8112</v>
      </c>
      <c r="E4795" s="451"/>
      <c r="F4795" s="451"/>
      <c r="G4795" s="451" t="s">
        <v>22877</v>
      </c>
      <c r="H4795" s="451" t="s">
        <v>22878</v>
      </c>
      <c r="I4795" s="451" t="s">
        <v>23389</v>
      </c>
      <c r="J4795" s="451" t="s">
        <v>25511</v>
      </c>
      <c r="K4795" s="451"/>
    </row>
    <row r="4796" spans="1:11">
      <c r="A4796" s="450" t="s">
        <v>8109</v>
      </c>
      <c r="B4796" s="450" t="s">
        <v>8110</v>
      </c>
      <c r="C4796" s="450" t="s">
        <v>8111</v>
      </c>
      <c r="D4796" s="450" t="s">
        <v>8112</v>
      </c>
      <c r="E4796" s="450" t="s">
        <v>8113</v>
      </c>
      <c r="F4796" s="450"/>
      <c r="G4796" s="450" t="s">
        <v>22877</v>
      </c>
      <c r="H4796" s="450" t="s">
        <v>22878</v>
      </c>
      <c r="I4796" s="450" t="s">
        <v>23389</v>
      </c>
      <c r="J4796" s="450" t="s">
        <v>25511</v>
      </c>
      <c r="K4796" s="450"/>
    </row>
    <row r="4797" spans="1:11">
      <c r="A4797" s="451" t="s">
        <v>8114</v>
      </c>
      <c r="B4797" s="451"/>
      <c r="C4797" s="451" t="s">
        <v>8115</v>
      </c>
      <c r="D4797" s="451"/>
      <c r="E4797" s="451"/>
      <c r="F4797" s="451"/>
      <c r="G4797" s="451" t="s">
        <v>22877</v>
      </c>
      <c r="H4797" s="451" t="s">
        <v>22878</v>
      </c>
      <c r="I4797" s="451" t="s">
        <v>35322</v>
      </c>
      <c r="J4797" s="451" t="s">
        <v>22939</v>
      </c>
      <c r="K4797" s="451"/>
    </row>
    <row r="4798" spans="1:11">
      <c r="A4798" s="450" t="s">
        <v>35323</v>
      </c>
      <c r="B4798" s="450"/>
      <c r="C4798" s="450" t="s">
        <v>8117</v>
      </c>
      <c r="D4798" s="450"/>
      <c r="E4798" s="450"/>
      <c r="F4798" s="450"/>
      <c r="G4798" s="450" t="s">
        <v>22877</v>
      </c>
      <c r="H4798" s="450" t="s">
        <v>22878</v>
      </c>
      <c r="I4798" s="450" t="s">
        <v>35324</v>
      </c>
      <c r="J4798" s="450" t="s">
        <v>22943</v>
      </c>
      <c r="K4798" s="450"/>
    </row>
    <row r="4799" spans="1:11">
      <c r="A4799" s="451" t="s">
        <v>8116</v>
      </c>
      <c r="B4799" s="451"/>
      <c r="C4799" s="451" t="s">
        <v>8117</v>
      </c>
      <c r="D4799" s="451"/>
      <c r="E4799" s="451"/>
      <c r="F4799" s="451"/>
      <c r="G4799" s="451" t="s">
        <v>22877</v>
      </c>
      <c r="H4799" s="451" t="s">
        <v>22878</v>
      </c>
      <c r="I4799" s="451" t="s">
        <v>35325</v>
      </c>
      <c r="J4799" s="451" t="s">
        <v>23121</v>
      </c>
      <c r="K4799" s="451"/>
    </row>
    <row r="4800" spans="1:11">
      <c r="A4800" s="450" t="s">
        <v>35326</v>
      </c>
      <c r="B4800" s="450"/>
      <c r="C4800" s="450" t="s">
        <v>7755</v>
      </c>
      <c r="D4800" s="450"/>
      <c r="E4800" s="450"/>
      <c r="F4800" s="450"/>
      <c r="G4800" s="450" t="s">
        <v>22877</v>
      </c>
      <c r="H4800" s="450" t="s">
        <v>22878</v>
      </c>
      <c r="I4800" s="450" t="s">
        <v>35327</v>
      </c>
      <c r="J4800" s="450" t="s">
        <v>22943</v>
      </c>
      <c r="K4800" s="450"/>
    </row>
    <row r="4801" spans="1:11">
      <c r="A4801" s="451" t="s">
        <v>35328</v>
      </c>
      <c r="B4801" s="451"/>
      <c r="C4801" s="451" t="s">
        <v>8119</v>
      </c>
      <c r="D4801" s="451"/>
      <c r="E4801" s="451"/>
      <c r="F4801" s="451"/>
      <c r="G4801" s="451" t="s">
        <v>22877</v>
      </c>
      <c r="H4801" s="451" t="s">
        <v>22878</v>
      </c>
      <c r="I4801" s="451" t="s">
        <v>35329</v>
      </c>
      <c r="J4801" s="451" t="s">
        <v>23370</v>
      </c>
      <c r="K4801" s="451"/>
    </row>
    <row r="4802" spans="1:11">
      <c r="A4802" s="450" t="s">
        <v>8118</v>
      </c>
      <c r="B4802" s="450"/>
      <c r="C4802" s="450" t="s">
        <v>8119</v>
      </c>
      <c r="D4802" s="450"/>
      <c r="E4802" s="450"/>
      <c r="F4802" s="450"/>
      <c r="G4802" s="450" t="s">
        <v>22877</v>
      </c>
      <c r="H4802" s="450" t="s">
        <v>22878</v>
      </c>
      <c r="I4802" s="450" t="s">
        <v>31261</v>
      </c>
      <c r="J4802" s="450" t="s">
        <v>22937</v>
      </c>
      <c r="K4802" s="450"/>
    </row>
    <row r="4803" spans="1:11">
      <c r="A4803" s="451" t="s">
        <v>8120</v>
      </c>
      <c r="B4803" s="451" t="s">
        <v>8121</v>
      </c>
      <c r="C4803" s="451" t="s">
        <v>8122</v>
      </c>
      <c r="D4803" s="451" t="s">
        <v>8123</v>
      </c>
      <c r="E4803" s="451"/>
      <c r="F4803" s="451"/>
      <c r="G4803" s="451" t="s">
        <v>22882</v>
      </c>
      <c r="H4803" s="451" t="s">
        <v>22883</v>
      </c>
      <c r="I4803" s="451" t="s">
        <v>35330</v>
      </c>
      <c r="J4803" s="451" t="s">
        <v>25512</v>
      </c>
      <c r="K4803" s="451"/>
    </row>
    <row r="4804" spans="1:11">
      <c r="A4804" s="450" t="s">
        <v>8120</v>
      </c>
      <c r="B4804" s="450" t="s">
        <v>8121</v>
      </c>
      <c r="C4804" s="450" t="s">
        <v>8122</v>
      </c>
      <c r="D4804" s="450" t="s">
        <v>8123</v>
      </c>
      <c r="E4804" s="450" t="s">
        <v>8124</v>
      </c>
      <c r="F4804" s="450"/>
      <c r="G4804" s="450" t="s">
        <v>22882</v>
      </c>
      <c r="H4804" s="450" t="s">
        <v>22883</v>
      </c>
      <c r="I4804" s="450" t="s">
        <v>8123</v>
      </c>
      <c r="J4804" s="450" t="s">
        <v>25512</v>
      </c>
      <c r="K4804" s="450"/>
    </row>
    <row r="4805" spans="1:11">
      <c r="A4805" s="451" t="s">
        <v>35331</v>
      </c>
      <c r="B4805" s="451"/>
      <c r="C4805" s="451" t="s">
        <v>8126</v>
      </c>
      <c r="D4805" s="451"/>
      <c r="E4805" s="451"/>
      <c r="F4805" s="451"/>
      <c r="G4805" s="451" t="s">
        <v>22877</v>
      </c>
      <c r="H4805" s="451" t="s">
        <v>22878</v>
      </c>
      <c r="I4805" s="451" t="s">
        <v>35332</v>
      </c>
      <c r="J4805" s="451" t="s">
        <v>23370</v>
      </c>
      <c r="K4805" s="451"/>
    </row>
    <row r="4806" spans="1:11">
      <c r="A4806" s="450" t="s">
        <v>8125</v>
      </c>
      <c r="B4806" s="450"/>
      <c r="C4806" s="450" t="s">
        <v>8126</v>
      </c>
      <c r="D4806" s="450"/>
      <c r="E4806" s="450"/>
      <c r="F4806" s="450"/>
      <c r="G4806" s="450" t="s">
        <v>22877</v>
      </c>
      <c r="H4806" s="450" t="s">
        <v>22878</v>
      </c>
      <c r="I4806" s="450" t="s">
        <v>31262</v>
      </c>
      <c r="J4806" s="450" t="s">
        <v>22937</v>
      </c>
      <c r="K4806" s="450"/>
    </row>
    <row r="4807" spans="1:11">
      <c r="A4807" s="451" t="s">
        <v>25513</v>
      </c>
      <c r="B4807" s="451" t="s">
        <v>25514</v>
      </c>
      <c r="C4807" s="451" t="s">
        <v>25515</v>
      </c>
      <c r="D4807" s="451"/>
      <c r="E4807" s="451"/>
      <c r="F4807" s="451"/>
      <c r="G4807" s="451" t="s">
        <v>22877</v>
      </c>
      <c r="H4807" s="451" t="s">
        <v>22878</v>
      </c>
      <c r="I4807" s="451" t="s">
        <v>25516</v>
      </c>
      <c r="J4807" s="451" t="s">
        <v>25517</v>
      </c>
      <c r="K4807" s="451"/>
    </row>
    <row r="4808" spans="1:11">
      <c r="A4808" s="450" t="s">
        <v>8128</v>
      </c>
      <c r="B4808" s="450"/>
      <c r="C4808" s="450" t="s">
        <v>8129</v>
      </c>
      <c r="D4808" s="450"/>
      <c r="E4808" s="450"/>
      <c r="F4808" s="450"/>
      <c r="G4808" s="450" t="s">
        <v>22882</v>
      </c>
      <c r="H4808" s="450" t="s">
        <v>22883</v>
      </c>
      <c r="I4808" s="450"/>
      <c r="J4808" s="450" t="s">
        <v>22939</v>
      </c>
      <c r="K4808" s="450"/>
    </row>
    <row r="4809" spans="1:11">
      <c r="A4809" s="451" t="s">
        <v>35333</v>
      </c>
      <c r="B4809" s="451"/>
      <c r="C4809" s="451" t="s">
        <v>8129</v>
      </c>
      <c r="D4809" s="451"/>
      <c r="E4809" s="451"/>
      <c r="F4809" s="451"/>
      <c r="G4809" s="451" t="s">
        <v>22882</v>
      </c>
      <c r="H4809" s="451" t="s">
        <v>22883</v>
      </c>
      <c r="I4809" s="451"/>
      <c r="J4809" s="451" t="s">
        <v>23185</v>
      </c>
      <c r="K4809" s="451"/>
    </row>
    <row r="4810" spans="1:11">
      <c r="A4810" s="450" t="s">
        <v>21693</v>
      </c>
      <c r="B4810" s="450"/>
      <c r="C4810" s="450" t="s">
        <v>8127</v>
      </c>
      <c r="D4810" s="450"/>
      <c r="E4810" s="450"/>
      <c r="F4810" s="450"/>
      <c r="G4810" s="450" t="s">
        <v>22877</v>
      </c>
      <c r="H4810" s="450" t="s">
        <v>22878</v>
      </c>
      <c r="I4810" s="450" t="s">
        <v>35334</v>
      </c>
      <c r="J4810" s="450" t="s">
        <v>22943</v>
      </c>
      <c r="K4810" s="450"/>
    </row>
    <row r="4811" spans="1:11">
      <c r="A4811" s="451" t="s">
        <v>35335</v>
      </c>
      <c r="B4811" s="451"/>
      <c r="C4811" s="451" t="s">
        <v>8131</v>
      </c>
      <c r="D4811" s="451"/>
      <c r="E4811" s="451"/>
      <c r="F4811" s="451"/>
      <c r="G4811" s="451" t="s">
        <v>22882</v>
      </c>
      <c r="H4811" s="451" t="s">
        <v>22883</v>
      </c>
      <c r="I4811" s="451"/>
      <c r="J4811" s="451" t="s">
        <v>22997</v>
      </c>
      <c r="K4811" s="451"/>
    </row>
    <row r="4812" spans="1:11">
      <c r="A4812" s="450" t="s">
        <v>8130</v>
      </c>
      <c r="B4812" s="450"/>
      <c r="C4812" s="450" t="s">
        <v>8131</v>
      </c>
      <c r="D4812" s="450"/>
      <c r="E4812" s="450"/>
      <c r="F4812" s="450"/>
      <c r="G4812" s="450" t="s">
        <v>22882</v>
      </c>
      <c r="H4812" s="450" t="s">
        <v>22883</v>
      </c>
      <c r="I4812" s="450"/>
      <c r="J4812" s="450" t="s">
        <v>22939</v>
      </c>
      <c r="K4812" s="450"/>
    </row>
    <row r="4813" spans="1:11">
      <c r="A4813" s="451" t="s">
        <v>35336</v>
      </c>
      <c r="B4813" s="451"/>
      <c r="C4813" s="451" t="s">
        <v>4355</v>
      </c>
      <c r="D4813" s="451"/>
      <c r="E4813" s="451"/>
      <c r="F4813" s="451"/>
      <c r="G4813" s="451" t="s">
        <v>22877</v>
      </c>
      <c r="H4813" s="451" t="s">
        <v>22878</v>
      </c>
      <c r="I4813" s="451" t="s">
        <v>35337</v>
      </c>
      <c r="J4813" s="451" t="s">
        <v>22943</v>
      </c>
      <c r="K4813" s="451"/>
    </row>
    <row r="4814" spans="1:11">
      <c r="A4814" s="450" t="s">
        <v>8132</v>
      </c>
      <c r="B4814" s="450"/>
      <c r="C4814" s="450" t="s">
        <v>4355</v>
      </c>
      <c r="D4814" s="450"/>
      <c r="E4814" s="450"/>
      <c r="F4814" s="450"/>
      <c r="G4814" s="450" t="s">
        <v>22877</v>
      </c>
      <c r="H4814" s="450" t="s">
        <v>22878</v>
      </c>
      <c r="I4814" s="450" t="s">
        <v>35338</v>
      </c>
      <c r="J4814" s="450" t="s">
        <v>22937</v>
      </c>
      <c r="K4814" s="450"/>
    </row>
    <row r="4815" spans="1:11">
      <c r="A4815" s="451" t="s">
        <v>8133</v>
      </c>
      <c r="B4815" s="451"/>
      <c r="C4815" s="451" t="s">
        <v>8134</v>
      </c>
      <c r="D4815" s="451"/>
      <c r="E4815" s="451"/>
      <c r="F4815" s="451"/>
      <c r="G4815" s="451" t="s">
        <v>22877</v>
      </c>
      <c r="H4815" s="451" t="s">
        <v>22878</v>
      </c>
      <c r="I4815" s="451" t="s">
        <v>35339</v>
      </c>
      <c r="J4815" s="451" t="s">
        <v>22943</v>
      </c>
      <c r="K4815" s="451"/>
    </row>
    <row r="4816" spans="1:11">
      <c r="A4816" s="450" t="s">
        <v>8135</v>
      </c>
      <c r="B4816" s="450"/>
      <c r="C4816" s="450" t="s">
        <v>4698</v>
      </c>
      <c r="D4816" s="450"/>
      <c r="E4816" s="450"/>
      <c r="F4816" s="450"/>
      <c r="G4816" s="450" t="s">
        <v>22877</v>
      </c>
      <c r="H4816" s="450" t="s">
        <v>22878</v>
      </c>
      <c r="I4816" s="450" t="s">
        <v>35340</v>
      </c>
      <c r="J4816" s="450" t="s">
        <v>22997</v>
      </c>
      <c r="K4816" s="450"/>
    </row>
    <row r="4817" spans="1:11">
      <c r="A4817" s="451" t="s">
        <v>35341</v>
      </c>
      <c r="B4817" s="451"/>
      <c r="C4817" s="451" t="s">
        <v>8137</v>
      </c>
      <c r="D4817" s="451"/>
      <c r="E4817" s="451"/>
      <c r="F4817" s="451"/>
      <c r="G4817" s="451" t="s">
        <v>22877</v>
      </c>
      <c r="H4817" s="451" t="s">
        <v>22878</v>
      </c>
      <c r="I4817" s="451" t="s">
        <v>35342</v>
      </c>
      <c r="J4817" s="451" t="s">
        <v>22943</v>
      </c>
      <c r="K4817" s="451"/>
    </row>
    <row r="4818" spans="1:11">
      <c r="A4818" s="450" t="s">
        <v>8136</v>
      </c>
      <c r="B4818" s="450"/>
      <c r="C4818" s="450" t="s">
        <v>8137</v>
      </c>
      <c r="D4818" s="450"/>
      <c r="E4818" s="450"/>
      <c r="F4818" s="450"/>
      <c r="G4818" s="450" t="s">
        <v>22877</v>
      </c>
      <c r="H4818" s="450" t="s">
        <v>22878</v>
      </c>
      <c r="I4818" s="450" t="s">
        <v>35343</v>
      </c>
      <c r="J4818" s="450" t="s">
        <v>22937</v>
      </c>
      <c r="K4818" s="450"/>
    </row>
    <row r="4819" spans="1:11">
      <c r="A4819" s="451" t="s">
        <v>35344</v>
      </c>
      <c r="B4819" s="451"/>
      <c r="C4819" s="451" t="s">
        <v>7486</v>
      </c>
      <c r="D4819" s="451"/>
      <c r="E4819" s="451"/>
      <c r="F4819" s="451"/>
      <c r="G4819" s="451" t="s">
        <v>22877</v>
      </c>
      <c r="H4819" s="451" t="s">
        <v>22878</v>
      </c>
      <c r="I4819" s="451" t="s">
        <v>35345</v>
      </c>
      <c r="J4819" s="451" t="s">
        <v>22943</v>
      </c>
      <c r="K4819" s="451"/>
    </row>
    <row r="4820" spans="1:11">
      <c r="A4820" s="450" t="s">
        <v>8138</v>
      </c>
      <c r="B4820" s="450"/>
      <c r="C4820" s="450" t="s">
        <v>7486</v>
      </c>
      <c r="D4820" s="450"/>
      <c r="E4820" s="450"/>
      <c r="F4820" s="450"/>
      <c r="G4820" s="450" t="s">
        <v>22877</v>
      </c>
      <c r="H4820" s="450" t="s">
        <v>22878</v>
      </c>
      <c r="I4820" s="450" t="s">
        <v>35346</v>
      </c>
      <c r="J4820" s="450" t="s">
        <v>22997</v>
      </c>
      <c r="K4820" s="450"/>
    </row>
    <row r="4821" spans="1:11">
      <c r="A4821" s="451" t="s">
        <v>8139</v>
      </c>
      <c r="B4821" s="451"/>
      <c r="C4821" s="451" t="s">
        <v>3266</v>
      </c>
      <c r="D4821" s="451"/>
      <c r="E4821" s="451"/>
      <c r="F4821" s="451"/>
      <c r="G4821" s="451" t="s">
        <v>22877</v>
      </c>
      <c r="H4821" s="451" t="s">
        <v>22878</v>
      </c>
      <c r="I4821" s="451" t="s">
        <v>35347</v>
      </c>
      <c r="J4821" s="451" t="s">
        <v>22943</v>
      </c>
      <c r="K4821" s="451"/>
    </row>
    <row r="4822" spans="1:11">
      <c r="A4822" s="450" t="s">
        <v>8140</v>
      </c>
      <c r="B4822" s="450"/>
      <c r="C4822" s="450" t="s">
        <v>8141</v>
      </c>
      <c r="D4822" s="450"/>
      <c r="E4822" s="450"/>
      <c r="F4822" s="450"/>
      <c r="G4822" s="450" t="s">
        <v>22877</v>
      </c>
      <c r="H4822" s="450" t="s">
        <v>22878</v>
      </c>
      <c r="I4822" s="450" t="s">
        <v>35348</v>
      </c>
      <c r="J4822" s="450" t="s">
        <v>22939</v>
      </c>
      <c r="K4822" s="450"/>
    </row>
    <row r="4823" spans="1:11">
      <c r="A4823" s="451" t="s">
        <v>35349</v>
      </c>
      <c r="B4823" s="451"/>
      <c r="C4823" s="451" t="s">
        <v>8143</v>
      </c>
      <c r="D4823" s="451"/>
      <c r="E4823" s="451"/>
      <c r="F4823" s="451"/>
      <c r="G4823" s="451" t="s">
        <v>22877</v>
      </c>
      <c r="H4823" s="451" t="s">
        <v>22878</v>
      </c>
      <c r="I4823" s="451" t="s">
        <v>35350</v>
      </c>
      <c r="J4823" s="451" t="s">
        <v>22997</v>
      </c>
      <c r="K4823" s="451"/>
    </row>
    <row r="4824" spans="1:11">
      <c r="A4824" s="450" t="s">
        <v>8142</v>
      </c>
      <c r="B4824" s="450"/>
      <c r="C4824" s="450" t="s">
        <v>8143</v>
      </c>
      <c r="D4824" s="450"/>
      <c r="E4824" s="450"/>
      <c r="F4824" s="450"/>
      <c r="G4824" s="450" t="s">
        <v>22877</v>
      </c>
      <c r="H4824" s="450" t="s">
        <v>22878</v>
      </c>
      <c r="I4824" s="450" t="s">
        <v>31263</v>
      </c>
      <c r="J4824" s="450" t="s">
        <v>22939</v>
      </c>
      <c r="K4824" s="450"/>
    </row>
    <row r="4825" spans="1:11">
      <c r="A4825" s="451" t="s">
        <v>8144</v>
      </c>
      <c r="B4825" s="451" t="s">
        <v>8145</v>
      </c>
      <c r="C4825" s="451" t="s">
        <v>7239</v>
      </c>
      <c r="D4825" s="451" t="s">
        <v>8146</v>
      </c>
      <c r="E4825" s="451"/>
      <c r="F4825" s="451"/>
      <c r="G4825" s="451" t="s">
        <v>22882</v>
      </c>
      <c r="H4825" s="451" t="s">
        <v>22883</v>
      </c>
      <c r="I4825" s="451" t="s">
        <v>25518</v>
      </c>
      <c r="J4825" s="451" t="s">
        <v>25519</v>
      </c>
      <c r="K4825" s="451"/>
    </row>
    <row r="4826" spans="1:11">
      <c r="A4826" s="450" t="s">
        <v>21694</v>
      </c>
      <c r="B4826" s="450"/>
      <c r="C4826" s="450" t="s">
        <v>8147</v>
      </c>
      <c r="D4826" s="450"/>
      <c r="E4826" s="450"/>
      <c r="F4826" s="450"/>
      <c r="G4826" s="450" t="s">
        <v>22877</v>
      </c>
      <c r="H4826" s="450" t="s">
        <v>22878</v>
      </c>
      <c r="I4826" s="450" t="s">
        <v>25520</v>
      </c>
      <c r="J4826" s="450" t="s">
        <v>23185</v>
      </c>
      <c r="K4826" s="450"/>
    </row>
    <row r="4827" spans="1:11">
      <c r="A4827" s="451" t="s">
        <v>8148</v>
      </c>
      <c r="B4827" s="451" t="s">
        <v>8149</v>
      </c>
      <c r="C4827" s="451" t="s">
        <v>8150</v>
      </c>
      <c r="D4827" s="451" t="s">
        <v>8151</v>
      </c>
      <c r="E4827" s="451" t="s">
        <v>8152</v>
      </c>
      <c r="F4827" s="451"/>
      <c r="G4827" s="451" t="s">
        <v>22882</v>
      </c>
      <c r="H4827" s="451" t="s">
        <v>22883</v>
      </c>
      <c r="I4827" s="451" t="s">
        <v>8151</v>
      </c>
      <c r="J4827" s="451" t="s">
        <v>35351</v>
      </c>
      <c r="K4827" s="451"/>
    </row>
    <row r="4828" spans="1:11">
      <c r="A4828" s="450" t="s">
        <v>25521</v>
      </c>
      <c r="B4828" s="450" t="s">
        <v>8149</v>
      </c>
      <c r="C4828" s="450" t="s">
        <v>8150</v>
      </c>
      <c r="D4828" s="450" t="s">
        <v>8151</v>
      </c>
      <c r="E4828" s="450"/>
      <c r="F4828" s="450"/>
      <c r="G4828" s="450" t="s">
        <v>23525</v>
      </c>
      <c r="H4828" s="450" t="s">
        <v>22878</v>
      </c>
      <c r="I4828" s="450" t="s">
        <v>25522</v>
      </c>
      <c r="J4828" s="450" t="s">
        <v>8149</v>
      </c>
      <c r="K4828" s="450"/>
    </row>
    <row r="4829" spans="1:11">
      <c r="A4829" s="451" t="s">
        <v>8153</v>
      </c>
      <c r="B4829" s="451" t="s">
        <v>8154</v>
      </c>
      <c r="C4829" s="451" t="s">
        <v>8155</v>
      </c>
      <c r="D4829" s="451" t="s">
        <v>8156</v>
      </c>
      <c r="E4829" s="451" t="s">
        <v>8157</v>
      </c>
      <c r="F4829" s="451"/>
      <c r="G4829" s="451" t="s">
        <v>22882</v>
      </c>
      <c r="H4829" s="451" t="s">
        <v>22883</v>
      </c>
      <c r="I4829" s="451" t="s">
        <v>35352</v>
      </c>
      <c r="J4829" s="451" t="s">
        <v>35353</v>
      </c>
      <c r="K4829" s="451"/>
    </row>
    <row r="4830" spans="1:11">
      <c r="A4830" s="450" t="s">
        <v>25523</v>
      </c>
      <c r="B4830" s="450" t="s">
        <v>8154</v>
      </c>
      <c r="C4830" s="450" t="s">
        <v>8155</v>
      </c>
      <c r="D4830" s="450" t="s">
        <v>8156</v>
      </c>
      <c r="E4830" s="450"/>
      <c r="F4830" s="450"/>
      <c r="G4830" s="450" t="s">
        <v>22882</v>
      </c>
      <c r="H4830" s="450" t="s">
        <v>22883</v>
      </c>
      <c r="I4830" s="450" t="s">
        <v>8156</v>
      </c>
      <c r="J4830" s="450" t="s">
        <v>25524</v>
      </c>
      <c r="K4830" s="450"/>
    </row>
    <row r="4831" spans="1:11">
      <c r="A4831" s="451" t="s">
        <v>8158</v>
      </c>
      <c r="B4831" s="451"/>
      <c r="C4831" s="451" t="s">
        <v>3658</v>
      </c>
      <c r="D4831" s="451"/>
      <c r="E4831" s="451"/>
      <c r="F4831" s="451"/>
      <c r="G4831" s="451" t="s">
        <v>22877</v>
      </c>
      <c r="H4831" s="451" t="s">
        <v>22878</v>
      </c>
      <c r="I4831" s="451" t="s">
        <v>35354</v>
      </c>
      <c r="J4831" s="451" t="s">
        <v>22937</v>
      </c>
      <c r="K4831" s="451"/>
    </row>
    <row r="4832" spans="1:11">
      <c r="A4832" s="450" t="s">
        <v>25525</v>
      </c>
      <c r="B4832" s="450"/>
      <c r="C4832" s="450" t="s">
        <v>3658</v>
      </c>
      <c r="D4832" s="450"/>
      <c r="E4832" s="450"/>
      <c r="F4832" s="450"/>
      <c r="G4832" s="450" t="s">
        <v>22877</v>
      </c>
      <c r="H4832" s="450" t="s">
        <v>22878</v>
      </c>
      <c r="I4832" s="450" t="s">
        <v>25526</v>
      </c>
      <c r="J4832" s="450" t="s">
        <v>23370</v>
      </c>
      <c r="K4832" s="450"/>
    </row>
    <row r="4833" spans="1:11">
      <c r="A4833" s="451" t="s">
        <v>35355</v>
      </c>
      <c r="B4833" s="451" t="s">
        <v>35356</v>
      </c>
      <c r="C4833" s="451" t="s">
        <v>35357</v>
      </c>
      <c r="D4833" s="451"/>
      <c r="E4833" s="451"/>
      <c r="F4833" s="451"/>
      <c r="G4833" s="451" t="s">
        <v>22877</v>
      </c>
      <c r="H4833" s="451" t="s">
        <v>22878</v>
      </c>
      <c r="I4833" s="451" t="s">
        <v>25527</v>
      </c>
      <c r="J4833" s="451" t="s">
        <v>35358</v>
      </c>
      <c r="K4833" s="451"/>
    </row>
    <row r="4834" spans="1:11">
      <c r="A4834" s="450" t="s">
        <v>25528</v>
      </c>
      <c r="B4834" s="450" t="s">
        <v>25529</v>
      </c>
      <c r="C4834" s="450" t="s">
        <v>25530</v>
      </c>
      <c r="D4834" s="450"/>
      <c r="E4834" s="450"/>
      <c r="F4834" s="450"/>
      <c r="G4834" s="450" t="s">
        <v>22877</v>
      </c>
      <c r="H4834" s="450" t="s">
        <v>22878</v>
      </c>
      <c r="I4834" s="450" t="s">
        <v>25527</v>
      </c>
      <c r="J4834" s="450" t="s">
        <v>25531</v>
      </c>
      <c r="K4834" s="450"/>
    </row>
    <row r="4835" spans="1:11">
      <c r="A4835" s="451" t="s">
        <v>25532</v>
      </c>
      <c r="B4835" s="451" t="s">
        <v>25533</v>
      </c>
      <c r="C4835" s="451" t="s">
        <v>20352</v>
      </c>
      <c r="D4835" s="451" t="s">
        <v>25534</v>
      </c>
      <c r="E4835" s="451"/>
      <c r="F4835" s="451" t="s">
        <v>25535</v>
      </c>
      <c r="G4835" s="451" t="s">
        <v>22877</v>
      </c>
      <c r="H4835" s="451" t="s">
        <v>22878</v>
      </c>
      <c r="I4835" s="451" t="s">
        <v>25536</v>
      </c>
      <c r="J4835" s="451" t="s">
        <v>25537</v>
      </c>
      <c r="K4835" s="451"/>
    </row>
    <row r="4836" spans="1:11">
      <c r="A4836" s="450" t="s">
        <v>35359</v>
      </c>
      <c r="B4836" s="450"/>
      <c r="C4836" s="450" t="s">
        <v>35360</v>
      </c>
      <c r="D4836" s="450"/>
      <c r="E4836" s="450"/>
      <c r="F4836" s="450"/>
      <c r="G4836" s="450" t="s">
        <v>22877</v>
      </c>
      <c r="H4836" s="450" t="s">
        <v>22878</v>
      </c>
      <c r="I4836" s="450" t="s">
        <v>35361</v>
      </c>
      <c r="J4836" s="450" t="s">
        <v>22943</v>
      </c>
      <c r="K4836" s="450"/>
    </row>
    <row r="4837" spans="1:11">
      <c r="A4837" s="451" t="s">
        <v>8159</v>
      </c>
      <c r="B4837" s="451"/>
      <c r="C4837" s="451" t="s">
        <v>8160</v>
      </c>
      <c r="D4837" s="451"/>
      <c r="E4837" s="451"/>
      <c r="F4837" s="451"/>
      <c r="G4837" s="451" t="s">
        <v>22877</v>
      </c>
      <c r="H4837" s="451" t="s">
        <v>22878</v>
      </c>
      <c r="I4837" s="451" t="s">
        <v>31264</v>
      </c>
      <c r="J4837" s="451" t="s">
        <v>22939</v>
      </c>
      <c r="K4837" s="451"/>
    </row>
    <row r="4838" spans="1:11">
      <c r="A4838" s="450" t="s">
        <v>35362</v>
      </c>
      <c r="B4838" s="450" t="s">
        <v>8162</v>
      </c>
      <c r="C4838" s="450" t="s">
        <v>8163</v>
      </c>
      <c r="D4838" s="450"/>
      <c r="E4838" s="450"/>
      <c r="F4838" s="450" t="s">
        <v>35363</v>
      </c>
      <c r="G4838" s="450" t="s">
        <v>22877</v>
      </c>
      <c r="H4838" s="450" t="s">
        <v>22878</v>
      </c>
      <c r="I4838" s="450" t="s">
        <v>35364</v>
      </c>
      <c r="J4838" s="450" t="s">
        <v>35365</v>
      </c>
      <c r="K4838" s="450"/>
    </row>
    <row r="4839" spans="1:11">
      <c r="A4839" s="451" t="s">
        <v>8161</v>
      </c>
      <c r="B4839" s="451" t="s">
        <v>8162</v>
      </c>
      <c r="C4839" s="451" t="s">
        <v>8163</v>
      </c>
      <c r="D4839" s="451"/>
      <c r="E4839" s="451"/>
      <c r="F4839" s="451" t="s">
        <v>21695</v>
      </c>
      <c r="G4839" s="451" t="s">
        <v>22877</v>
      </c>
      <c r="H4839" s="451" t="s">
        <v>22878</v>
      </c>
      <c r="I4839" s="451" t="s">
        <v>31265</v>
      </c>
      <c r="J4839" s="451" t="s">
        <v>31266</v>
      </c>
      <c r="K4839" s="451"/>
    </row>
    <row r="4840" spans="1:11">
      <c r="A4840" s="450" t="s">
        <v>8164</v>
      </c>
      <c r="B4840" s="450"/>
      <c r="C4840" s="450" t="s">
        <v>8165</v>
      </c>
      <c r="D4840" s="450"/>
      <c r="E4840" s="450"/>
      <c r="F4840" s="450"/>
      <c r="G4840" s="450" t="s">
        <v>35366</v>
      </c>
      <c r="H4840" s="450" t="s">
        <v>22878</v>
      </c>
      <c r="I4840" s="450"/>
      <c r="J4840" s="450"/>
      <c r="K4840" s="450"/>
    </row>
    <row r="4841" spans="1:11">
      <c r="A4841" s="451" t="s">
        <v>35367</v>
      </c>
      <c r="B4841" s="451"/>
      <c r="C4841" s="451" t="s">
        <v>8167</v>
      </c>
      <c r="D4841" s="451"/>
      <c r="E4841" s="451"/>
      <c r="F4841" s="451"/>
      <c r="G4841" s="451" t="s">
        <v>22882</v>
      </c>
      <c r="H4841" s="451" t="s">
        <v>22883</v>
      </c>
      <c r="I4841" s="451"/>
      <c r="J4841" s="451" t="s">
        <v>35368</v>
      </c>
      <c r="K4841" s="451"/>
    </row>
    <row r="4842" spans="1:11">
      <c r="A4842" s="450" t="s">
        <v>8166</v>
      </c>
      <c r="B4842" s="450"/>
      <c r="C4842" s="450" t="s">
        <v>8167</v>
      </c>
      <c r="D4842" s="450"/>
      <c r="E4842" s="450"/>
      <c r="F4842" s="450"/>
      <c r="G4842" s="450" t="s">
        <v>22882</v>
      </c>
      <c r="H4842" s="450" t="s">
        <v>22883</v>
      </c>
      <c r="I4842" s="450" t="s">
        <v>35369</v>
      </c>
      <c r="J4842" s="450" t="s">
        <v>22937</v>
      </c>
      <c r="K4842" s="450"/>
    </row>
    <row r="4843" spans="1:11">
      <c r="A4843" s="451" t="s">
        <v>8168</v>
      </c>
      <c r="B4843" s="451"/>
      <c r="C4843" s="451" t="s">
        <v>8169</v>
      </c>
      <c r="D4843" s="451"/>
      <c r="E4843" s="451"/>
      <c r="F4843" s="451"/>
      <c r="G4843" s="451" t="s">
        <v>22882</v>
      </c>
      <c r="H4843" s="451" t="s">
        <v>22883</v>
      </c>
      <c r="I4843" s="451" t="s">
        <v>25538</v>
      </c>
      <c r="J4843" s="451" t="s">
        <v>23133</v>
      </c>
      <c r="K4843" s="451"/>
    </row>
    <row r="4844" spans="1:11">
      <c r="A4844" s="450" t="s">
        <v>8170</v>
      </c>
      <c r="B4844" s="450" t="s">
        <v>25539</v>
      </c>
      <c r="C4844" s="450" t="s">
        <v>1904</v>
      </c>
      <c r="D4844" s="450"/>
      <c r="E4844" s="450"/>
      <c r="F4844" s="450"/>
      <c r="G4844" s="450" t="s">
        <v>22877</v>
      </c>
      <c r="H4844" s="450" t="s">
        <v>22878</v>
      </c>
      <c r="I4844" s="450" t="s">
        <v>25540</v>
      </c>
      <c r="J4844" s="450" t="s">
        <v>25541</v>
      </c>
      <c r="K4844" s="450"/>
    </row>
    <row r="4845" spans="1:11">
      <c r="A4845" s="451" t="s">
        <v>8170</v>
      </c>
      <c r="B4845" s="451" t="s">
        <v>8171</v>
      </c>
      <c r="C4845" s="451" t="s">
        <v>1904</v>
      </c>
      <c r="D4845" s="451"/>
      <c r="E4845" s="451"/>
      <c r="F4845" s="451"/>
      <c r="G4845" s="451" t="s">
        <v>22877</v>
      </c>
      <c r="H4845" s="451" t="s">
        <v>22878</v>
      </c>
      <c r="I4845" s="451" t="s">
        <v>23129</v>
      </c>
      <c r="J4845" s="451" t="s">
        <v>31267</v>
      </c>
      <c r="K4845" s="451"/>
    </row>
    <row r="4846" spans="1:11">
      <c r="A4846" s="450" t="s">
        <v>8172</v>
      </c>
      <c r="B4846" s="450"/>
      <c r="C4846" s="450" t="s">
        <v>8173</v>
      </c>
      <c r="D4846" s="450"/>
      <c r="E4846" s="450"/>
      <c r="F4846" s="450"/>
      <c r="G4846" s="450" t="s">
        <v>22877</v>
      </c>
      <c r="H4846" s="450" t="s">
        <v>22878</v>
      </c>
      <c r="I4846" s="450" t="s">
        <v>35370</v>
      </c>
      <c r="J4846" s="450" t="s">
        <v>22939</v>
      </c>
      <c r="K4846" s="450"/>
    </row>
    <row r="4847" spans="1:11">
      <c r="A4847" s="451" t="s">
        <v>8174</v>
      </c>
      <c r="B4847" s="451"/>
      <c r="C4847" s="451" t="s">
        <v>8175</v>
      </c>
      <c r="D4847" s="451"/>
      <c r="E4847" s="451"/>
      <c r="F4847" s="451"/>
      <c r="G4847" s="451" t="s">
        <v>22882</v>
      </c>
      <c r="H4847" s="451" t="s">
        <v>22883</v>
      </c>
      <c r="I4847" s="451"/>
      <c r="J4847" s="451" t="s">
        <v>23121</v>
      </c>
      <c r="K4847" s="451"/>
    </row>
    <row r="4848" spans="1:11">
      <c r="A4848" s="450" t="s">
        <v>35371</v>
      </c>
      <c r="B4848" s="450"/>
      <c r="C4848" s="450" t="s">
        <v>8184</v>
      </c>
      <c r="D4848" s="450"/>
      <c r="E4848" s="450"/>
      <c r="F4848" s="450"/>
      <c r="G4848" s="450" t="s">
        <v>22877</v>
      </c>
      <c r="H4848" s="450" t="s">
        <v>22878</v>
      </c>
      <c r="I4848" s="450" t="s">
        <v>35372</v>
      </c>
      <c r="J4848" s="450" t="s">
        <v>23370</v>
      </c>
      <c r="K4848" s="450"/>
    </row>
    <row r="4849" spans="1:11">
      <c r="A4849" s="451" t="s">
        <v>25542</v>
      </c>
      <c r="B4849" s="451"/>
      <c r="C4849" s="451" t="s">
        <v>8186</v>
      </c>
      <c r="D4849" s="451"/>
      <c r="E4849" s="451"/>
      <c r="F4849" s="451"/>
      <c r="G4849" s="451" t="s">
        <v>22877</v>
      </c>
      <c r="H4849" s="451" t="s">
        <v>22878</v>
      </c>
      <c r="I4849" s="451" t="s">
        <v>25543</v>
      </c>
      <c r="J4849" s="451" t="s">
        <v>23370</v>
      </c>
      <c r="K4849" s="451"/>
    </row>
    <row r="4850" spans="1:11">
      <c r="A4850" s="450" t="s">
        <v>25544</v>
      </c>
      <c r="B4850" s="450">
        <v>555</v>
      </c>
      <c r="C4850" s="450" t="s">
        <v>35373</v>
      </c>
      <c r="D4850" s="450" t="s">
        <v>25545</v>
      </c>
      <c r="E4850" s="450"/>
      <c r="F4850" s="450"/>
      <c r="G4850" s="450" t="s">
        <v>22877</v>
      </c>
      <c r="H4850" s="450" t="s">
        <v>22878</v>
      </c>
      <c r="I4850" s="450" t="s">
        <v>25546</v>
      </c>
      <c r="J4850" s="450" t="s">
        <v>35374</v>
      </c>
      <c r="K4850" s="450"/>
    </row>
    <row r="4851" spans="1:11">
      <c r="A4851" s="451" t="s">
        <v>25544</v>
      </c>
      <c r="B4851" s="451" t="s">
        <v>25547</v>
      </c>
      <c r="C4851" s="451" t="s">
        <v>25545</v>
      </c>
      <c r="D4851" s="451"/>
      <c r="E4851" s="451"/>
      <c r="F4851" s="451"/>
      <c r="G4851" s="451" t="s">
        <v>22877</v>
      </c>
      <c r="H4851" s="451" t="s">
        <v>22878</v>
      </c>
      <c r="I4851" s="451" t="s">
        <v>25546</v>
      </c>
      <c r="J4851" s="451" t="s">
        <v>25548</v>
      </c>
      <c r="K4851" s="451"/>
    </row>
    <row r="4852" spans="1:11">
      <c r="A4852" s="450" t="s">
        <v>8176</v>
      </c>
      <c r="B4852" s="450" t="s">
        <v>8177</v>
      </c>
      <c r="C4852" s="450" t="s">
        <v>8178</v>
      </c>
      <c r="D4852" s="450"/>
      <c r="E4852" s="450"/>
      <c r="F4852" s="450" t="s">
        <v>35375</v>
      </c>
      <c r="G4852" s="450" t="s">
        <v>22877</v>
      </c>
      <c r="H4852" s="450" t="s">
        <v>22878</v>
      </c>
      <c r="I4852" s="450" t="s">
        <v>25549</v>
      </c>
      <c r="J4852" s="450" t="s">
        <v>35376</v>
      </c>
      <c r="K4852" s="450"/>
    </row>
    <row r="4853" spans="1:11">
      <c r="A4853" s="451" t="s">
        <v>8176</v>
      </c>
      <c r="B4853" s="451" t="s">
        <v>8177</v>
      </c>
      <c r="C4853" s="451" t="s">
        <v>8178</v>
      </c>
      <c r="D4853" s="451"/>
      <c r="E4853" s="451"/>
      <c r="F4853" s="451" t="s">
        <v>8179</v>
      </c>
      <c r="G4853" s="451" t="s">
        <v>22877</v>
      </c>
      <c r="H4853" s="451" t="s">
        <v>22878</v>
      </c>
      <c r="I4853" s="451" t="s">
        <v>25549</v>
      </c>
      <c r="J4853" s="451" t="s">
        <v>31268</v>
      </c>
      <c r="K4853" s="451"/>
    </row>
    <row r="4854" spans="1:11">
      <c r="A4854" s="450" t="s">
        <v>8180</v>
      </c>
      <c r="B4854" s="450" t="s">
        <v>25550</v>
      </c>
      <c r="C4854" s="450" t="s">
        <v>8182</v>
      </c>
      <c r="D4854" s="450"/>
      <c r="E4854" s="450"/>
      <c r="F4854" s="450"/>
      <c r="G4854" s="450" t="s">
        <v>22882</v>
      </c>
      <c r="H4854" s="450" t="s">
        <v>22883</v>
      </c>
      <c r="I4854" s="450" t="s">
        <v>25551</v>
      </c>
      <c r="J4854" s="450" t="s">
        <v>25552</v>
      </c>
      <c r="K4854" s="450"/>
    </row>
    <row r="4855" spans="1:11">
      <c r="A4855" s="451" t="s">
        <v>8180</v>
      </c>
      <c r="B4855" s="451" t="s">
        <v>8181</v>
      </c>
      <c r="C4855" s="451" t="s">
        <v>8182</v>
      </c>
      <c r="D4855" s="451"/>
      <c r="E4855" s="451"/>
      <c r="F4855" s="451"/>
      <c r="G4855" s="451" t="s">
        <v>22877</v>
      </c>
      <c r="H4855" s="451" t="s">
        <v>22878</v>
      </c>
      <c r="I4855" s="451" t="s">
        <v>31269</v>
      </c>
      <c r="J4855" s="451" t="s">
        <v>31270</v>
      </c>
      <c r="K4855" s="451"/>
    </row>
    <row r="4856" spans="1:11">
      <c r="A4856" s="450" t="s">
        <v>8183</v>
      </c>
      <c r="B4856" s="450"/>
      <c r="C4856" s="450" t="s">
        <v>8184</v>
      </c>
      <c r="D4856" s="450"/>
      <c r="E4856" s="450"/>
      <c r="F4856" s="450"/>
      <c r="G4856" s="450" t="s">
        <v>22877</v>
      </c>
      <c r="H4856" s="450" t="s">
        <v>22878</v>
      </c>
      <c r="I4856" s="450" t="s">
        <v>35372</v>
      </c>
      <c r="J4856" s="450" t="s">
        <v>22942</v>
      </c>
      <c r="K4856" s="450"/>
    </row>
    <row r="4857" spans="1:11">
      <c r="A4857" s="451" t="s">
        <v>8185</v>
      </c>
      <c r="B4857" s="451"/>
      <c r="C4857" s="451" t="s">
        <v>8186</v>
      </c>
      <c r="D4857" s="451"/>
      <c r="E4857" s="451"/>
      <c r="F4857" s="451"/>
      <c r="G4857" s="451" t="s">
        <v>22877</v>
      </c>
      <c r="H4857" s="451" t="s">
        <v>22878</v>
      </c>
      <c r="I4857" s="451" t="s">
        <v>25543</v>
      </c>
      <c r="J4857" s="451" t="s">
        <v>22937</v>
      </c>
      <c r="K4857" s="451"/>
    </row>
    <row r="4858" spans="1:11">
      <c r="A4858" s="450" t="s">
        <v>35377</v>
      </c>
      <c r="B4858" s="450" t="s">
        <v>8188</v>
      </c>
      <c r="C4858" s="450" t="s">
        <v>8189</v>
      </c>
      <c r="D4858" s="450"/>
      <c r="E4858" s="450"/>
      <c r="F4858" s="450" t="s">
        <v>35378</v>
      </c>
      <c r="G4858" s="450" t="s">
        <v>22877</v>
      </c>
      <c r="H4858" s="450" t="s">
        <v>22878</v>
      </c>
      <c r="I4858" s="450" t="s">
        <v>25553</v>
      </c>
      <c r="J4858" s="450" t="s">
        <v>35379</v>
      </c>
      <c r="K4858" s="450"/>
    </row>
    <row r="4859" spans="1:11">
      <c r="A4859" s="451" t="s">
        <v>8187</v>
      </c>
      <c r="B4859" s="451" t="s">
        <v>8188</v>
      </c>
      <c r="C4859" s="451" t="s">
        <v>8189</v>
      </c>
      <c r="D4859" s="451"/>
      <c r="E4859" s="451"/>
      <c r="F4859" s="451" t="s">
        <v>8190</v>
      </c>
      <c r="G4859" s="451" t="s">
        <v>22882</v>
      </c>
      <c r="H4859" s="451" t="s">
        <v>22883</v>
      </c>
      <c r="I4859" s="451" t="s">
        <v>25553</v>
      </c>
      <c r="J4859" s="451" t="s">
        <v>31271</v>
      </c>
      <c r="K4859" s="451"/>
    </row>
    <row r="4860" spans="1:11">
      <c r="A4860" s="450" t="s">
        <v>8191</v>
      </c>
      <c r="B4860" s="450"/>
      <c r="C4860" s="450" t="s">
        <v>8192</v>
      </c>
      <c r="D4860" s="450"/>
      <c r="E4860" s="450"/>
      <c r="F4860" s="450"/>
      <c r="G4860" s="450" t="s">
        <v>22882</v>
      </c>
      <c r="H4860" s="450" t="s">
        <v>22883</v>
      </c>
      <c r="I4860" s="450"/>
      <c r="J4860" s="450" t="s">
        <v>22943</v>
      </c>
      <c r="K4860" s="450"/>
    </row>
    <row r="4861" spans="1:11">
      <c r="A4861" s="451" t="s">
        <v>21696</v>
      </c>
      <c r="B4861" s="451" t="s">
        <v>8193</v>
      </c>
      <c r="C4861" s="451" t="s">
        <v>8194</v>
      </c>
      <c r="D4861" s="451" t="s">
        <v>8195</v>
      </c>
      <c r="E4861" s="451"/>
      <c r="F4861" s="451"/>
      <c r="G4861" s="451" t="s">
        <v>22877</v>
      </c>
      <c r="H4861" s="451" t="s">
        <v>22878</v>
      </c>
      <c r="I4861" s="451" t="s">
        <v>8195</v>
      </c>
      <c r="J4861" s="451" t="s">
        <v>25554</v>
      </c>
      <c r="K4861" s="451"/>
    </row>
    <row r="4862" spans="1:11">
      <c r="A4862" s="450" t="s">
        <v>21696</v>
      </c>
      <c r="B4862" s="450" t="s">
        <v>8193</v>
      </c>
      <c r="C4862" s="450" t="s">
        <v>8194</v>
      </c>
      <c r="D4862" s="450" t="s">
        <v>8195</v>
      </c>
      <c r="E4862" s="450" t="s">
        <v>8196</v>
      </c>
      <c r="F4862" s="450"/>
      <c r="G4862" s="450" t="s">
        <v>22877</v>
      </c>
      <c r="H4862" s="450" t="s">
        <v>22878</v>
      </c>
      <c r="I4862" s="450" t="s">
        <v>8195</v>
      </c>
      <c r="J4862" s="450" t="s">
        <v>25554</v>
      </c>
      <c r="K4862" s="450"/>
    </row>
    <row r="4863" spans="1:11">
      <c r="A4863" s="451" t="s">
        <v>8197</v>
      </c>
      <c r="B4863" s="451"/>
      <c r="C4863" s="451" t="s">
        <v>5707</v>
      </c>
      <c r="D4863" s="451"/>
      <c r="E4863" s="451"/>
      <c r="F4863" s="451"/>
      <c r="G4863" s="451" t="s">
        <v>22882</v>
      </c>
      <c r="H4863" s="451" t="s">
        <v>22883</v>
      </c>
      <c r="I4863" s="451" t="s">
        <v>35380</v>
      </c>
      <c r="J4863" s="451" t="s">
        <v>22997</v>
      </c>
      <c r="K4863" s="451"/>
    </row>
    <row r="4864" spans="1:11">
      <c r="A4864" s="450" t="s">
        <v>35381</v>
      </c>
      <c r="B4864" s="450" t="s">
        <v>35382</v>
      </c>
      <c r="C4864" s="450" t="s">
        <v>35383</v>
      </c>
      <c r="D4864" s="450"/>
      <c r="E4864" s="450"/>
      <c r="F4864" s="450"/>
      <c r="G4864" s="450" t="s">
        <v>22882</v>
      </c>
      <c r="H4864" s="450" t="s">
        <v>22883</v>
      </c>
      <c r="I4864" s="450"/>
      <c r="J4864" s="450" t="s">
        <v>35384</v>
      </c>
      <c r="K4864" s="450"/>
    </row>
    <row r="4865" spans="1:11">
      <c r="A4865" s="451" t="s">
        <v>8198</v>
      </c>
      <c r="B4865" s="451"/>
      <c r="C4865" s="451" t="s">
        <v>8199</v>
      </c>
      <c r="D4865" s="451"/>
      <c r="E4865" s="451"/>
      <c r="F4865" s="451"/>
      <c r="G4865" s="451" t="s">
        <v>22882</v>
      </c>
      <c r="H4865" s="451" t="s">
        <v>22883</v>
      </c>
      <c r="I4865" s="451"/>
      <c r="J4865" s="451" t="s">
        <v>22943</v>
      </c>
      <c r="K4865" s="451"/>
    </row>
    <row r="4866" spans="1:11">
      <c r="A4866" s="450" t="s">
        <v>8200</v>
      </c>
      <c r="B4866" s="450"/>
      <c r="C4866" s="450" t="s">
        <v>8201</v>
      </c>
      <c r="D4866" s="450"/>
      <c r="E4866" s="450"/>
      <c r="F4866" s="450"/>
      <c r="G4866" s="450" t="s">
        <v>22882</v>
      </c>
      <c r="H4866" s="450" t="s">
        <v>22883</v>
      </c>
      <c r="I4866" s="450"/>
      <c r="J4866" s="450" t="s">
        <v>22997</v>
      </c>
      <c r="K4866" s="450"/>
    </row>
    <row r="4867" spans="1:11">
      <c r="A4867" s="451" t="s">
        <v>8202</v>
      </c>
      <c r="B4867" s="451"/>
      <c r="C4867" s="451" t="s">
        <v>8203</v>
      </c>
      <c r="D4867" s="451" t="s">
        <v>8204</v>
      </c>
      <c r="E4867" s="451"/>
      <c r="F4867" s="451"/>
      <c r="G4867" s="451" t="s">
        <v>22877</v>
      </c>
      <c r="H4867" s="451" t="s">
        <v>22878</v>
      </c>
      <c r="I4867" s="451" t="s">
        <v>25555</v>
      </c>
      <c r="J4867" s="451" t="s">
        <v>25556</v>
      </c>
      <c r="K4867" s="451"/>
    </row>
    <row r="4868" spans="1:11">
      <c r="A4868" s="450" t="s">
        <v>35385</v>
      </c>
      <c r="B4868" s="450" t="s">
        <v>8206</v>
      </c>
      <c r="C4868" s="450" t="s">
        <v>8207</v>
      </c>
      <c r="D4868" s="450"/>
      <c r="E4868" s="450"/>
      <c r="F4868" s="450"/>
      <c r="G4868" s="450" t="s">
        <v>22882</v>
      </c>
      <c r="H4868" s="450" t="s">
        <v>22883</v>
      </c>
      <c r="I4868" s="450" t="s">
        <v>35386</v>
      </c>
      <c r="J4868" s="450" t="s">
        <v>35387</v>
      </c>
      <c r="K4868" s="450"/>
    </row>
    <row r="4869" spans="1:11">
      <c r="A4869" s="451" t="s">
        <v>8205</v>
      </c>
      <c r="B4869" s="451" t="s">
        <v>8206</v>
      </c>
      <c r="C4869" s="451" t="s">
        <v>8207</v>
      </c>
      <c r="D4869" s="451"/>
      <c r="E4869" s="451"/>
      <c r="F4869" s="451"/>
      <c r="G4869" s="451" t="s">
        <v>22882</v>
      </c>
      <c r="H4869" s="451" t="s">
        <v>22883</v>
      </c>
      <c r="I4869" s="451" t="s">
        <v>31272</v>
      </c>
      <c r="J4869" s="451" t="s">
        <v>31273</v>
      </c>
      <c r="K4869" s="451"/>
    </row>
    <row r="4870" spans="1:11">
      <c r="A4870" s="450" t="s">
        <v>8208</v>
      </c>
      <c r="B4870" s="450"/>
      <c r="C4870" s="450" t="s">
        <v>8209</v>
      </c>
      <c r="D4870" s="450"/>
      <c r="E4870" s="450"/>
      <c r="F4870" s="450"/>
      <c r="G4870" s="450" t="s">
        <v>22877</v>
      </c>
      <c r="H4870" s="450" t="s">
        <v>22878</v>
      </c>
      <c r="I4870" s="450" t="s">
        <v>35388</v>
      </c>
      <c r="J4870" s="450" t="s">
        <v>22997</v>
      </c>
      <c r="K4870" s="450"/>
    </row>
    <row r="4871" spans="1:11">
      <c r="A4871" s="451" t="s">
        <v>8210</v>
      </c>
      <c r="B4871" s="451"/>
      <c r="C4871" s="451"/>
      <c r="D4871" s="451" t="s">
        <v>8211</v>
      </c>
      <c r="E4871" s="451"/>
      <c r="F4871" s="451"/>
      <c r="G4871" s="451" t="s">
        <v>22877</v>
      </c>
      <c r="H4871" s="451" t="s">
        <v>22878</v>
      </c>
      <c r="I4871" s="451" t="s">
        <v>16464</v>
      </c>
      <c r="J4871" s="451" t="s">
        <v>35389</v>
      </c>
      <c r="K4871" s="451"/>
    </row>
    <row r="4872" spans="1:11">
      <c r="A4872" s="450" t="s">
        <v>8210</v>
      </c>
      <c r="B4872" s="450"/>
      <c r="C4872" s="450"/>
      <c r="D4872" s="450" t="s">
        <v>8211</v>
      </c>
      <c r="E4872" s="450" t="s">
        <v>8212</v>
      </c>
      <c r="F4872" s="450"/>
      <c r="G4872" s="450" t="s">
        <v>22877</v>
      </c>
      <c r="H4872" s="450" t="s">
        <v>22878</v>
      </c>
      <c r="I4872" s="450" t="s">
        <v>16464</v>
      </c>
      <c r="J4872" s="450" t="s">
        <v>35390</v>
      </c>
      <c r="K4872" s="450"/>
    </row>
    <row r="4873" spans="1:11">
      <c r="A4873" s="451" t="s">
        <v>8213</v>
      </c>
      <c r="B4873" s="451"/>
      <c r="C4873" s="451"/>
      <c r="D4873" s="451" t="s">
        <v>8214</v>
      </c>
      <c r="E4873" s="451" t="s">
        <v>8215</v>
      </c>
      <c r="F4873" s="451"/>
      <c r="G4873" s="451" t="s">
        <v>22877</v>
      </c>
      <c r="H4873" s="451" t="s">
        <v>22878</v>
      </c>
      <c r="I4873" s="451" t="s">
        <v>35391</v>
      </c>
      <c r="J4873" s="451" t="s">
        <v>35392</v>
      </c>
      <c r="K4873" s="451"/>
    </row>
    <row r="4874" spans="1:11">
      <c r="A4874" s="450" t="s">
        <v>35393</v>
      </c>
      <c r="B4874" s="450"/>
      <c r="C4874" s="450" t="s">
        <v>6748</v>
      </c>
      <c r="D4874" s="450"/>
      <c r="E4874" s="450"/>
      <c r="F4874" s="450"/>
      <c r="G4874" s="450" t="s">
        <v>22877</v>
      </c>
      <c r="H4874" s="450" t="s">
        <v>22878</v>
      </c>
      <c r="I4874" s="450" t="s">
        <v>25557</v>
      </c>
      <c r="J4874" s="450" t="s">
        <v>22943</v>
      </c>
      <c r="K4874" s="450"/>
    </row>
    <row r="4875" spans="1:11">
      <c r="A4875" s="451" t="s">
        <v>21697</v>
      </c>
      <c r="B4875" s="451"/>
      <c r="C4875" s="451" t="s">
        <v>6748</v>
      </c>
      <c r="D4875" s="451"/>
      <c r="E4875" s="451"/>
      <c r="F4875" s="451"/>
      <c r="G4875" s="451" t="s">
        <v>22877</v>
      </c>
      <c r="H4875" s="451" t="s">
        <v>22878</v>
      </c>
      <c r="I4875" s="451" t="s">
        <v>25557</v>
      </c>
      <c r="J4875" s="451" t="s">
        <v>22939</v>
      </c>
      <c r="K4875" s="451"/>
    </row>
    <row r="4876" spans="1:11">
      <c r="A4876" s="450" t="s">
        <v>25558</v>
      </c>
      <c r="B4876" s="450" t="s">
        <v>25559</v>
      </c>
      <c r="C4876" s="450" t="s">
        <v>25560</v>
      </c>
      <c r="D4876" s="450"/>
      <c r="E4876" s="450"/>
      <c r="F4876" s="450"/>
      <c r="G4876" s="450" t="s">
        <v>22877</v>
      </c>
      <c r="H4876" s="450" t="s">
        <v>22878</v>
      </c>
      <c r="I4876" s="450" t="s">
        <v>25561</v>
      </c>
      <c r="J4876" s="450" t="s">
        <v>25562</v>
      </c>
      <c r="K4876" s="450"/>
    </row>
    <row r="4877" spans="1:11">
      <c r="A4877" s="451" t="s">
        <v>8216</v>
      </c>
      <c r="B4877" s="451"/>
      <c r="C4877" s="451" t="s">
        <v>8217</v>
      </c>
      <c r="D4877" s="451"/>
      <c r="E4877" s="451"/>
      <c r="F4877" s="451"/>
      <c r="G4877" s="451" t="s">
        <v>22877</v>
      </c>
      <c r="H4877" s="451" t="s">
        <v>22878</v>
      </c>
      <c r="I4877" s="451" t="s">
        <v>35394</v>
      </c>
      <c r="J4877" s="451" t="s">
        <v>22939</v>
      </c>
      <c r="K4877" s="451"/>
    </row>
    <row r="4878" spans="1:11">
      <c r="A4878" s="450" t="s">
        <v>8218</v>
      </c>
      <c r="B4878" s="450"/>
      <c r="C4878" s="450" t="s">
        <v>8219</v>
      </c>
      <c r="D4878" s="450"/>
      <c r="E4878" s="450"/>
      <c r="F4878" s="450"/>
      <c r="G4878" s="450" t="s">
        <v>22882</v>
      </c>
      <c r="H4878" s="450" t="s">
        <v>22883</v>
      </c>
      <c r="I4878" s="450"/>
      <c r="J4878" s="450" t="s">
        <v>22939</v>
      </c>
      <c r="K4878" s="450"/>
    </row>
    <row r="4879" spans="1:11">
      <c r="A4879" s="451" t="s">
        <v>35395</v>
      </c>
      <c r="B4879" s="451"/>
      <c r="C4879" s="451" t="s">
        <v>8219</v>
      </c>
      <c r="D4879" s="451"/>
      <c r="E4879" s="451"/>
      <c r="F4879" s="451"/>
      <c r="G4879" s="451" t="s">
        <v>22882</v>
      </c>
      <c r="H4879" s="451" t="s">
        <v>22883</v>
      </c>
      <c r="I4879" s="451"/>
      <c r="J4879" s="451" t="s">
        <v>22939</v>
      </c>
      <c r="K4879" s="451"/>
    </row>
    <row r="4880" spans="1:11">
      <c r="A4880" s="450" t="s">
        <v>8220</v>
      </c>
      <c r="B4880" s="450"/>
      <c r="C4880" s="450" t="s">
        <v>6708</v>
      </c>
      <c r="D4880" s="450"/>
      <c r="E4880" s="450"/>
      <c r="F4880" s="450"/>
      <c r="G4880" s="450" t="s">
        <v>22877</v>
      </c>
      <c r="H4880" s="450" t="s">
        <v>22878</v>
      </c>
      <c r="I4880" s="450" t="s">
        <v>35396</v>
      </c>
      <c r="J4880" s="450" t="s">
        <v>22939</v>
      </c>
      <c r="K4880" s="450"/>
    </row>
    <row r="4881" spans="1:11">
      <c r="A4881" s="451" t="s">
        <v>8221</v>
      </c>
      <c r="B4881" s="451"/>
      <c r="C4881" s="451" t="s">
        <v>8222</v>
      </c>
      <c r="D4881" s="451"/>
      <c r="E4881" s="451"/>
      <c r="F4881" s="451"/>
      <c r="G4881" s="451" t="s">
        <v>22882</v>
      </c>
      <c r="H4881" s="451" t="s">
        <v>22883</v>
      </c>
      <c r="I4881" s="451"/>
      <c r="J4881" s="451" t="s">
        <v>22997</v>
      </c>
      <c r="K4881" s="451"/>
    </row>
    <row r="4882" spans="1:11">
      <c r="A4882" s="450" t="s">
        <v>25563</v>
      </c>
      <c r="B4882" s="450" t="s">
        <v>25564</v>
      </c>
      <c r="C4882" s="450" t="s">
        <v>22112</v>
      </c>
      <c r="D4882" s="450" t="s">
        <v>25565</v>
      </c>
      <c r="E4882" s="450"/>
      <c r="F4882" s="450"/>
      <c r="G4882" s="450" t="s">
        <v>22877</v>
      </c>
      <c r="H4882" s="450" t="s">
        <v>22878</v>
      </c>
      <c r="I4882" s="450" t="s">
        <v>25565</v>
      </c>
      <c r="J4882" s="450" t="s">
        <v>25566</v>
      </c>
      <c r="K4882" s="450"/>
    </row>
    <row r="4883" spans="1:11">
      <c r="A4883" s="451" t="s">
        <v>22110</v>
      </c>
      <c r="B4883" s="451" t="s">
        <v>22111</v>
      </c>
      <c r="C4883" s="451" t="s">
        <v>22112</v>
      </c>
      <c r="D4883" s="451"/>
      <c r="E4883" s="451"/>
      <c r="F4883" s="451"/>
      <c r="G4883" s="451" t="s">
        <v>22877</v>
      </c>
      <c r="H4883" s="451" t="s">
        <v>22878</v>
      </c>
      <c r="I4883" s="451" t="s">
        <v>31274</v>
      </c>
      <c r="J4883" s="451" t="s">
        <v>31275</v>
      </c>
      <c r="K4883" s="451"/>
    </row>
    <row r="4884" spans="1:11">
      <c r="A4884" s="450" t="s">
        <v>8223</v>
      </c>
      <c r="B4884" s="450" t="s">
        <v>35397</v>
      </c>
      <c r="C4884" s="450" t="s">
        <v>8225</v>
      </c>
      <c r="D4884" s="450">
        <v>7136757400</v>
      </c>
      <c r="E4884" s="450"/>
      <c r="F4884" s="450" t="s">
        <v>8228</v>
      </c>
      <c r="G4884" s="450" t="s">
        <v>22877</v>
      </c>
      <c r="H4884" s="450" t="s">
        <v>22878</v>
      </c>
      <c r="I4884" s="450" t="s">
        <v>25567</v>
      </c>
      <c r="J4884" s="450" t="s">
        <v>35398</v>
      </c>
      <c r="K4884" s="450"/>
    </row>
    <row r="4885" spans="1:11">
      <c r="A4885" s="451" t="s">
        <v>8223</v>
      </c>
      <c r="B4885" s="451" t="s">
        <v>8224</v>
      </c>
      <c r="C4885" s="451" t="s">
        <v>8225</v>
      </c>
      <c r="D4885" s="451" t="s">
        <v>8226</v>
      </c>
      <c r="E4885" s="451" t="s">
        <v>8227</v>
      </c>
      <c r="F4885" s="451" t="s">
        <v>8228</v>
      </c>
      <c r="G4885" s="451" t="s">
        <v>22877</v>
      </c>
      <c r="H4885" s="451" t="s">
        <v>22878</v>
      </c>
      <c r="I4885" s="451" t="s">
        <v>25567</v>
      </c>
      <c r="J4885" s="451" t="s">
        <v>31276</v>
      </c>
      <c r="K4885" s="451"/>
    </row>
    <row r="4886" spans="1:11">
      <c r="A4886" s="450" t="s">
        <v>8229</v>
      </c>
      <c r="B4886" s="450"/>
      <c r="C4886" s="450" t="s">
        <v>3598</v>
      </c>
      <c r="D4886" s="450"/>
      <c r="E4886" s="450"/>
      <c r="F4886" s="450"/>
      <c r="G4886" s="450" t="s">
        <v>22877</v>
      </c>
      <c r="H4886" s="450" t="s">
        <v>22878</v>
      </c>
      <c r="I4886" s="450" t="s">
        <v>35399</v>
      </c>
      <c r="J4886" s="450" t="s">
        <v>23121</v>
      </c>
      <c r="K4886" s="450"/>
    </row>
    <row r="4887" spans="1:11">
      <c r="A4887" s="451" t="s">
        <v>35400</v>
      </c>
      <c r="B4887" s="451"/>
      <c r="C4887" s="451" t="s">
        <v>8231</v>
      </c>
      <c r="D4887" s="451"/>
      <c r="E4887" s="451"/>
      <c r="F4887" s="451"/>
      <c r="G4887" s="451" t="s">
        <v>22882</v>
      </c>
      <c r="H4887" s="451" t="s">
        <v>22883</v>
      </c>
      <c r="I4887" s="451" t="s">
        <v>35401</v>
      </c>
      <c r="J4887" s="451" t="s">
        <v>23121</v>
      </c>
      <c r="K4887" s="451"/>
    </row>
    <row r="4888" spans="1:11">
      <c r="A4888" s="450" t="s">
        <v>8230</v>
      </c>
      <c r="B4888" s="450"/>
      <c r="C4888" s="450" t="s">
        <v>8231</v>
      </c>
      <c r="D4888" s="450"/>
      <c r="E4888" s="450"/>
      <c r="F4888" s="450"/>
      <c r="G4888" s="450" t="s">
        <v>22877</v>
      </c>
      <c r="H4888" s="450" t="s">
        <v>22878</v>
      </c>
      <c r="I4888" s="450" t="s">
        <v>35401</v>
      </c>
      <c r="J4888" s="450" t="s">
        <v>22939</v>
      </c>
      <c r="K4888" s="450"/>
    </row>
    <row r="4889" spans="1:11">
      <c r="A4889" s="451" t="s">
        <v>8232</v>
      </c>
      <c r="B4889" s="451"/>
      <c r="C4889" s="451" t="s">
        <v>8233</v>
      </c>
      <c r="D4889" s="451"/>
      <c r="E4889" s="451"/>
      <c r="F4889" s="451"/>
      <c r="G4889" s="451" t="s">
        <v>22877</v>
      </c>
      <c r="H4889" s="451" t="s">
        <v>22878</v>
      </c>
      <c r="I4889" s="451" t="s">
        <v>25568</v>
      </c>
      <c r="J4889" s="451" t="s">
        <v>22997</v>
      </c>
      <c r="K4889" s="451"/>
    </row>
    <row r="4890" spans="1:11">
      <c r="A4890" s="450" t="s">
        <v>25569</v>
      </c>
      <c r="B4890" s="450" t="s">
        <v>25570</v>
      </c>
      <c r="C4890" s="450" t="s">
        <v>25571</v>
      </c>
      <c r="D4890" s="450"/>
      <c r="E4890" s="450"/>
      <c r="F4890" s="450"/>
      <c r="G4890" s="450" t="s">
        <v>22877</v>
      </c>
      <c r="H4890" s="450" t="s">
        <v>22878</v>
      </c>
      <c r="I4890" s="450" t="s">
        <v>25572</v>
      </c>
      <c r="J4890" s="450" t="s">
        <v>25573</v>
      </c>
      <c r="K4890" s="450"/>
    </row>
    <row r="4891" spans="1:11">
      <c r="A4891" s="451" t="s">
        <v>8234</v>
      </c>
      <c r="B4891" s="451"/>
      <c r="C4891" s="451" t="s">
        <v>5562</v>
      </c>
      <c r="D4891" s="451"/>
      <c r="E4891" s="451"/>
      <c r="F4891" s="451"/>
      <c r="G4891" s="451" t="s">
        <v>22877</v>
      </c>
      <c r="H4891" s="451" t="s">
        <v>22878</v>
      </c>
      <c r="I4891" s="451" t="s">
        <v>35402</v>
      </c>
      <c r="J4891" s="451" t="s">
        <v>22939</v>
      </c>
      <c r="K4891" s="451"/>
    </row>
    <row r="4892" spans="1:11">
      <c r="A4892" s="450" t="s">
        <v>35403</v>
      </c>
      <c r="B4892" s="450"/>
      <c r="C4892" s="450" t="s">
        <v>4729</v>
      </c>
      <c r="D4892" s="450"/>
      <c r="E4892" s="450"/>
      <c r="F4892" s="450"/>
      <c r="G4892" s="450" t="s">
        <v>22877</v>
      </c>
      <c r="H4892" s="450" t="s">
        <v>22878</v>
      </c>
      <c r="I4892" s="450" t="s">
        <v>35166</v>
      </c>
      <c r="J4892" s="450" t="s">
        <v>22997</v>
      </c>
      <c r="K4892" s="450"/>
    </row>
    <row r="4893" spans="1:11">
      <c r="A4893" s="451" t="s">
        <v>8235</v>
      </c>
      <c r="B4893" s="451"/>
      <c r="C4893" s="451" t="s">
        <v>4729</v>
      </c>
      <c r="D4893" s="451"/>
      <c r="E4893" s="451"/>
      <c r="F4893" s="451"/>
      <c r="G4893" s="451" t="s">
        <v>22877</v>
      </c>
      <c r="H4893" s="451" t="s">
        <v>22878</v>
      </c>
      <c r="I4893" s="451" t="s">
        <v>31277</v>
      </c>
      <c r="J4893" s="451" t="s">
        <v>22939</v>
      </c>
      <c r="K4893" s="451"/>
    </row>
    <row r="4894" spans="1:11">
      <c r="A4894" s="450" t="s">
        <v>35404</v>
      </c>
      <c r="B4894" s="450" t="s">
        <v>8237</v>
      </c>
      <c r="C4894" s="450" t="s">
        <v>7763</v>
      </c>
      <c r="D4894" s="450" t="s">
        <v>7764</v>
      </c>
      <c r="E4894" s="450"/>
      <c r="F4894" s="450"/>
      <c r="G4894" s="450" t="s">
        <v>22877</v>
      </c>
      <c r="H4894" s="450" t="s">
        <v>22878</v>
      </c>
      <c r="I4894" s="450" t="s">
        <v>7764</v>
      </c>
      <c r="J4894" s="450" t="s">
        <v>35405</v>
      </c>
      <c r="K4894" s="450"/>
    </row>
    <row r="4895" spans="1:11">
      <c r="A4895" s="451" t="s">
        <v>8236</v>
      </c>
      <c r="B4895" s="451" t="s">
        <v>8237</v>
      </c>
      <c r="C4895" s="451" t="s">
        <v>7763</v>
      </c>
      <c r="D4895" s="451" t="s">
        <v>7764</v>
      </c>
      <c r="E4895" s="451"/>
      <c r="F4895" s="451"/>
      <c r="G4895" s="451" t="s">
        <v>22877</v>
      </c>
      <c r="H4895" s="451" t="s">
        <v>22878</v>
      </c>
      <c r="I4895" s="451" t="s">
        <v>24182</v>
      </c>
      <c r="J4895" s="451" t="s">
        <v>31278</v>
      </c>
      <c r="K4895" s="451"/>
    </row>
    <row r="4896" spans="1:11">
      <c r="A4896" s="450" t="s">
        <v>8238</v>
      </c>
      <c r="B4896" s="450" t="s">
        <v>35406</v>
      </c>
      <c r="C4896" s="450" t="s">
        <v>8240</v>
      </c>
      <c r="D4896" s="450" t="s">
        <v>8241</v>
      </c>
      <c r="E4896" s="450"/>
      <c r="F4896" s="450"/>
      <c r="G4896" s="450" t="s">
        <v>22877</v>
      </c>
      <c r="H4896" s="450" t="s">
        <v>22878</v>
      </c>
      <c r="I4896" s="450" t="s">
        <v>8241</v>
      </c>
      <c r="J4896" s="450" t="s">
        <v>35407</v>
      </c>
      <c r="K4896" s="450"/>
    </row>
    <row r="4897" spans="1:11">
      <c r="A4897" s="451" t="s">
        <v>8238</v>
      </c>
      <c r="B4897" s="451" t="s">
        <v>8239</v>
      </c>
      <c r="C4897" s="451" t="s">
        <v>8240</v>
      </c>
      <c r="D4897" s="451" t="s">
        <v>8241</v>
      </c>
      <c r="E4897" s="451"/>
      <c r="F4897" s="451"/>
      <c r="G4897" s="451" t="s">
        <v>22877</v>
      </c>
      <c r="H4897" s="451" t="s">
        <v>22878</v>
      </c>
      <c r="I4897" s="451" t="s">
        <v>8241</v>
      </c>
      <c r="J4897" s="451" t="s">
        <v>31279</v>
      </c>
      <c r="K4897" s="451"/>
    </row>
    <row r="4898" spans="1:11">
      <c r="A4898" s="450" t="s">
        <v>25574</v>
      </c>
      <c r="B4898" s="450" t="s">
        <v>7762</v>
      </c>
      <c r="C4898" s="450" t="s">
        <v>7763</v>
      </c>
      <c r="D4898" s="450" t="s">
        <v>7764</v>
      </c>
      <c r="E4898" s="450"/>
      <c r="F4898" s="450"/>
      <c r="G4898" s="450" t="s">
        <v>22877</v>
      </c>
      <c r="H4898" s="450" t="s">
        <v>22878</v>
      </c>
      <c r="I4898" s="450" t="s">
        <v>7764</v>
      </c>
      <c r="J4898" s="450" t="s">
        <v>25575</v>
      </c>
      <c r="K4898" s="450"/>
    </row>
    <row r="4899" spans="1:11">
      <c r="A4899" s="451" t="s">
        <v>8242</v>
      </c>
      <c r="B4899" s="451"/>
      <c r="C4899" s="451" t="s">
        <v>8243</v>
      </c>
      <c r="D4899" s="451"/>
      <c r="E4899" s="451"/>
      <c r="F4899" s="451"/>
      <c r="G4899" s="451" t="s">
        <v>22882</v>
      </c>
      <c r="H4899" s="451" t="s">
        <v>22883</v>
      </c>
      <c r="I4899" s="451" t="s">
        <v>35408</v>
      </c>
      <c r="J4899" s="451" t="s">
        <v>22942</v>
      </c>
      <c r="K4899" s="451"/>
    </row>
    <row r="4900" spans="1:11">
      <c r="A4900" s="450" t="s">
        <v>35409</v>
      </c>
      <c r="B4900" s="450"/>
      <c r="C4900" s="450" t="s">
        <v>8243</v>
      </c>
      <c r="D4900" s="450"/>
      <c r="E4900" s="450"/>
      <c r="F4900" s="450"/>
      <c r="G4900" s="450" t="s">
        <v>22877</v>
      </c>
      <c r="H4900" s="450" t="s">
        <v>22878</v>
      </c>
      <c r="I4900" s="450" t="s">
        <v>25572</v>
      </c>
      <c r="J4900" s="450" t="s">
        <v>22943</v>
      </c>
      <c r="K4900" s="450"/>
    </row>
    <row r="4901" spans="1:11">
      <c r="A4901" s="451" t="s">
        <v>35410</v>
      </c>
      <c r="B4901" s="451"/>
      <c r="C4901" s="451" t="s">
        <v>8245</v>
      </c>
      <c r="D4901" s="451"/>
      <c r="E4901" s="451"/>
      <c r="F4901" s="451"/>
      <c r="G4901" s="451" t="s">
        <v>22877</v>
      </c>
      <c r="H4901" s="451" t="s">
        <v>22878</v>
      </c>
      <c r="I4901" s="451" t="s">
        <v>25576</v>
      </c>
      <c r="J4901" s="451" t="s">
        <v>22948</v>
      </c>
      <c r="K4901" s="451"/>
    </row>
    <row r="4902" spans="1:11">
      <c r="A4902" s="450" t="s">
        <v>8244</v>
      </c>
      <c r="B4902" s="450"/>
      <c r="C4902" s="450" t="s">
        <v>8245</v>
      </c>
      <c r="D4902" s="450"/>
      <c r="E4902" s="450"/>
      <c r="F4902" s="450"/>
      <c r="G4902" s="450" t="s">
        <v>22877</v>
      </c>
      <c r="H4902" s="450" t="s">
        <v>22878</v>
      </c>
      <c r="I4902" s="450" t="s">
        <v>25576</v>
      </c>
      <c r="J4902" s="450" t="s">
        <v>22937</v>
      </c>
      <c r="K4902" s="450"/>
    </row>
    <row r="4903" spans="1:11">
      <c r="A4903" s="451" t="s">
        <v>8246</v>
      </c>
      <c r="B4903" s="451" t="s">
        <v>7435</v>
      </c>
      <c r="C4903" s="451" t="s">
        <v>8247</v>
      </c>
      <c r="D4903" s="451" t="s">
        <v>8248</v>
      </c>
      <c r="E4903" s="451"/>
      <c r="F4903" s="451"/>
      <c r="G4903" s="451" t="s">
        <v>22877</v>
      </c>
      <c r="H4903" s="451" t="s">
        <v>22878</v>
      </c>
      <c r="I4903" s="451" t="s">
        <v>8248</v>
      </c>
      <c r="J4903" s="451" t="s">
        <v>35411</v>
      </c>
      <c r="K4903" s="451"/>
    </row>
    <row r="4904" spans="1:11">
      <c r="A4904" s="450" t="s">
        <v>8246</v>
      </c>
      <c r="B4904" s="450" t="s">
        <v>7435</v>
      </c>
      <c r="C4904" s="450" t="s">
        <v>8247</v>
      </c>
      <c r="D4904" s="450" t="s">
        <v>8248</v>
      </c>
      <c r="E4904" s="450" t="s">
        <v>8249</v>
      </c>
      <c r="F4904" s="450"/>
      <c r="G4904" s="450" t="s">
        <v>22877</v>
      </c>
      <c r="H4904" s="450" t="s">
        <v>22878</v>
      </c>
      <c r="I4904" s="450" t="s">
        <v>8248</v>
      </c>
      <c r="J4904" s="450" t="s">
        <v>31280</v>
      </c>
      <c r="K4904" s="450"/>
    </row>
    <row r="4905" spans="1:11">
      <c r="A4905" s="451" t="s">
        <v>20136</v>
      </c>
      <c r="B4905" s="451" t="s">
        <v>20137</v>
      </c>
      <c r="C4905" s="451" t="s">
        <v>20138</v>
      </c>
      <c r="D4905" s="451"/>
      <c r="E4905" s="451"/>
      <c r="F4905" s="451" t="s">
        <v>20139</v>
      </c>
      <c r="G4905" s="451" t="s">
        <v>22877</v>
      </c>
      <c r="H4905" s="451" t="s">
        <v>22878</v>
      </c>
      <c r="I4905" s="451" t="s">
        <v>25577</v>
      </c>
      <c r="J4905" s="451" t="s">
        <v>25578</v>
      </c>
      <c r="K4905" s="451"/>
    </row>
    <row r="4906" spans="1:11">
      <c r="A4906" s="450" t="s">
        <v>8250</v>
      </c>
      <c r="B4906" s="450"/>
      <c r="C4906" s="450" t="s">
        <v>8251</v>
      </c>
      <c r="D4906" s="450"/>
      <c r="E4906" s="450"/>
      <c r="F4906" s="450"/>
      <c r="G4906" s="450" t="s">
        <v>22882</v>
      </c>
      <c r="H4906" s="450" t="s">
        <v>22883</v>
      </c>
      <c r="I4906" s="450" t="s">
        <v>35412</v>
      </c>
      <c r="J4906" s="450" t="s">
        <v>22943</v>
      </c>
      <c r="K4906" s="450"/>
    </row>
    <row r="4907" spans="1:11">
      <c r="A4907" s="451" t="s">
        <v>35413</v>
      </c>
      <c r="B4907" s="451"/>
      <c r="C4907" s="451" t="s">
        <v>8253</v>
      </c>
      <c r="D4907" s="451"/>
      <c r="E4907" s="451"/>
      <c r="F4907" s="451"/>
      <c r="G4907" s="451" t="s">
        <v>22882</v>
      </c>
      <c r="H4907" s="451" t="s">
        <v>22883</v>
      </c>
      <c r="I4907" s="451"/>
      <c r="J4907" s="451" t="s">
        <v>22943</v>
      </c>
      <c r="K4907" s="451"/>
    </row>
    <row r="4908" spans="1:11">
      <c r="A4908" s="450" t="s">
        <v>8252</v>
      </c>
      <c r="B4908" s="450"/>
      <c r="C4908" s="450" t="s">
        <v>8253</v>
      </c>
      <c r="D4908" s="450"/>
      <c r="E4908" s="450"/>
      <c r="F4908" s="450"/>
      <c r="G4908" s="450" t="s">
        <v>31281</v>
      </c>
      <c r="H4908" s="450" t="s">
        <v>22878</v>
      </c>
      <c r="I4908" s="450"/>
      <c r="J4908" s="450"/>
      <c r="K4908" s="450"/>
    </row>
    <row r="4909" spans="1:11">
      <c r="A4909" s="451" t="s">
        <v>35414</v>
      </c>
      <c r="B4909" s="451" t="s">
        <v>8255</v>
      </c>
      <c r="C4909" s="451" t="s">
        <v>8256</v>
      </c>
      <c r="D4909" s="451"/>
      <c r="E4909" s="451"/>
      <c r="F4909" s="451"/>
      <c r="G4909" s="451" t="s">
        <v>22877</v>
      </c>
      <c r="H4909" s="451" t="s">
        <v>22878</v>
      </c>
      <c r="I4909" s="451" t="s">
        <v>25579</v>
      </c>
      <c r="J4909" s="451" t="s">
        <v>35415</v>
      </c>
      <c r="K4909" s="451"/>
    </row>
    <row r="4910" spans="1:11">
      <c r="A4910" s="450" t="s">
        <v>8254</v>
      </c>
      <c r="B4910" s="450" t="s">
        <v>8255</v>
      </c>
      <c r="C4910" s="450" t="s">
        <v>8256</v>
      </c>
      <c r="D4910" s="450"/>
      <c r="E4910" s="450"/>
      <c r="F4910" s="450"/>
      <c r="G4910" s="450" t="s">
        <v>22877</v>
      </c>
      <c r="H4910" s="450" t="s">
        <v>22878</v>
      </c>
      <c r="I4910" s="450" t="s">
        <v>25579</v>
      </c>
      <c r="J4910" s="450" t="s">
        <v>31282</v>
      </c>
      <c r="K4910" s="450"/>
    </row>
    <row r="4911" spans="1:11">
      <c r="A4911" s="451" t="s">
        <v>25580</v>
      </c>
      <c r="B4911" s="451" t="s">
        <v>25581</v>
      </c>
      <c r="C4911" s="451" t="s">
        <v>25582</v>
      </c>
      <c r="D4911" s="451"/>
      <c r="E4911" s="451"/>
      <c r="F4911" s="451"/>
      <c r="G4911" s="451" t="s">
        <v>22877</v>
      </c>
      <c r="H4911" s="451" t="s">
        <v>22878</v>
      </c>
      <c r="I4911" s="451" t="s">
        <v>25583</v>
      </c>
      <c r="J4911" s="451" t="s">
        <v>25584</v>
      </c>
      <c r="K4911" s="451"/>
    </row>
    <row r="4912" spans="1:11">
      <c r="A4912" s="450" t="s">
        <v>8257</v>
      </c>
      <c r="B4912" s="450"/>
      <c r="C4912" s="450" t="s">
        <v>2793</v>
      </c>
      <c r="D4912" s="450"/>
      <c r="E4912" s="450"/>
      <c r="F4912" s="450"/>
      <c r="G4912" s="450" t="s">
        <v>22877</v>
      </c>
      <c r="H4912" s="450" t="s">
        <v>22878</v>
      </c>
      <c r="I4912" s="450" t="s">
        <v>35416</v>
      </c>
      <c r="J4912" s="450" t="s">
        <v>22997</v>
      </c>
      <c r="K4912" s="450"/>
    </row>
    <row r="4913" spans="1:11">
      <c r="A4913" s="451" t="s">
        <v>25585</v>
      </c>
      <c r="B4913" s="451"/>
      <c r="C4913" s="451" t="s">
        <v>2727</v>
      </c>
      <c r="D4913" s="451"/>
      <c r="E4913" s="451"/>
      <c r="F4913" s="451"/>
      <c r="G4913" s="451" t="s">
        <v>22877</v>
      </c>
      <c r="H4913" s="451" t="s">
        <v>22878</v>
      </c>
      <c r="I4913" s="451" t="s">
        <v>25586</v>
      </c>
      <c r="J4913" s="451" t="s">
        <v>23370</v>
      </c>
      <c r="K4913" s="451"/>
    </row>
    <row r="4914" spans="1:11">
      <c r="A4914" s="450" t="s">
        <v>25587</v>
      </c>
      <c r="B4914" s="450" t="s">
        <v>25588</v>
      </c>
      <c r="C4914" s="450" t="s">
        <v>25589</v>
      </c>
      <c r="D4914" s="450"/>
      <c r="E4914" s="450"/>
      <c r="F4914" s="450"/>
      <c r="G4914" s="450" t="s">
        <v>22877</v>
      </c>
      <c r="H4914" s="450" t="s">
        <v>22878</v>
      </c>
      <c r="I4914" s="450" t="s">
        <v>25590</v>
      </c>
      <c r="J4914" s="450" t="s">
        <v>25591</v>
      </c>
      <c r="K4914" s="450"/>
    </row>
    <row r="4915" spans="1:11">
      <c r="A4915" s="451" t="s">
        <v>8258</v>
      </c>
      <c r="B4915" s="451"/>
      <c r="C4915" s="451" t="s">
        <v>2727</v>
      </c>
      <c r="D4915" s="451"/>
      <c r="E4915" s="451"/>
      <c r="F4915" s="451"/>
      <c r="G4915" s="451" t="s">
        <v>22882</v>
      </c>
      <c r="H4915" s="451" t="s">
        <v>22883</v>
      </c>
      <c r="I4915" s="451" t="s">
        <v>31283</v>
      </c>
      <c r="J4915" s="451" t="s">
        <v>22937</v>
      </c>
      <c r="K4915" s="451"/>
    </row>
    <row r="4916" spans="1:11">
      <c r="A4916" s="450" t="s">
        <v>35417</v>
      </c>
      <c r="B4916" s="450" t="s">
        <v>8260</v>
      </c>
      <c r="C4916" s="450" t="s">
        <v>8261</v>
      </c>
      <c r="D4916" s="450" t="s">
        <v>8262</v>
      </c>
      <c r="E4916" s="450"/>
      <c r="F4916" s="450"/>
      <c r="G4916" s="450" t="s">
        <v>22882</v>
      </c>
      <c r="H4916" s="450" t="s">
        <v>22883</v>
      </c>
      <c r="I4916" s="450" t="s">
        <v>35418</v>
      </c>
      <c r="J4916" s="450" t="s">
        <v>35419</v>
      </c>
      <c r="K4916" s="450"/>
    </row>
    <row r="4917" spans="1:11">
      <c r="A4917" s="451" t="s">
        <v>8259</v>
      </c>
      <c r="B4917" s="451" t="s">
        <v>8260</v>
      </c>
      <c r="C4917" s="451" t="s">
        <v>8261</v>
      </c>
      <c r="D4917" s="451" t="s">
        <v>8262</v>
      </c>
      <c r="E4917" s="451" t="s">
        <v>8263</v>
      </c>
      <c r="F4917" s="451"/>
      <c r="G4917" s="451" t="s">
        <v>22882</v>
      </c>
      <c r="H4917" s="451" t="s">
        <v>22883</v>
      </c>
      <c r="I4917" s="451" t="s">
        <v>8262</v>
      </c>
      <c r="J4917" s="451" t="s">
        <v>31284</v>
      </c>
      <c r="K4917" s="451"/>
    </row>
    <row r="4918" spans="1:11">
      <c r="A4918" s="450" t="s">
        <v>8264</v>
      </c>
      <c r="B4918" s="450" t="s">
        <v>8265</v>
      </c>
      <c r="C4918" s="450" t="s">
        <v>8266</v>
      </c>
      <c r="D4918" s="450" t="s">
        <v>8267</v>
      </c>
      <c r="E4918" s="450"/>
      <c r="F4918" s="450"/>
      <c r="G4918" s="450" t="s">
        <v>22877</v>
      </c>
      <c r="H4918" s="450" t="s">
        <v>22878</v>
      </c>
      <c r="I4918" s="450" t="s">
        <v>35420</v>
      </c>
      <c r="J4918" s="450" t="s">
        <v>35421</v>
      </c>
      <c r="K4918" s="450"/>
    </row>
    <row r="4919" spans="1:11">
      <c r="A4919" s="451" t="s">
        <v>8264</v>
      </c>
      <c r="B4919" s="451" t="s">
        <v>8265</v>
      </c>
      <c r="C4919" s="451" t="s">
        <v>8266</v>
      </c>
      <c r="D4919" s="451" t="s">
        <v>8267</v>
      </c>
      <c r="E4919" s="451" t="s">
        <v>8268</v>
      </c>
      <c r="F4919" s="451"/>
      <c r="G4919" s="451" t="s">
        <v>22877</v>
      </c>
      <c r="H4919" s="451" t="s">
        <v>22878</v>
      </c>
      <c r="I4919" s="451" t="s">
        <v>8267</v>
      </c>
      <c r="J4919" s="451" t="s">
        <v>31285</v>
      </c>
      <c r="K4919" s="451"/>
    </row>
    <row r="4920" spans="1:11">
      <c r="A4920" s="450" t="s">
        <v>8269</v>
      </c>
      <c r="B4920" s="450"/>
      <c r="C4920" s="450" t="s">
        <v>8270</v>
      </c>
      <c r="D4920" s="450"/>
      <c r="E4920" s="450"/>
      <c r="F4920" s="450"/>
      <c r="G4920" s="450" t="s">
        <v>22877</v>
      </c>
      <c r="H4920" s="450" t="s">
        <v>22878</v>
      </c>
      <c r="I4920" s="450" t="s">
        <v>35422</v>
      </c>
      <c r="J4920" s="450" t="s">
        <v>23121</v>
      </c>
      <c r="K4920" s="450"/>
    </row>
    <row r="4921" spans="1:11">
      <c r="A4921" s="451" t="s">
        <v>35423</v>
      </c>
      <c r="B4921" s="451"/>
      <c r="C4921" s="451" t="s">
        <v>1187</v>
      </c>
      <c r="D4921" s="451"/>
      <c r="E4921" s="451"/>
      <c r="F4921" s="451"/>
      <c r="G4921" s="451" t="s">
        <v>22882</v>
      </c>
      <c r="H4921" s="451" t="s">
        <v>22883</v>
      </c>
      <c r="I4921" s="451"/>
      <c r="J4921" s="451" t="s">
        <v>22943</v>
      </c>
      <c r="K4921" s="451"/>
    </row>
    <row r="4922" spans="1:11">
      <c r="A4922" s="450" t="s">
        <v>8271</v>
      </c>
      <c r="B4922" s="450"/>
      <c r="C4922" s="450" t="s">
        <v>1187</v>
      </c>
      <c r="D4922" s="450"/>
      <c r="E4922" s="450"/>
      <c r="F4922" s="450"/>
      <c r="G4922" s="450" t="s">
        <v>22882</v>
      </c>
      <c r="H4922" s="450" t="s">
        <v>22883</v>
      </c>
      <c r="I4922" s="450"/>
      <c r="J4922" s="450" t="s">
        <v>22937</v>
      </c>
      <c r="K4922" s="450"/>
    </row>
    <row r="4923" spans="1:11">
      <c r="A4923" s="451" t="s">
        <v>35424</v>
      </c>
      <c r="B4923" s="451"/>
      <c r="C4923" s="451" t="s">
        <v>8273</v>
      </c>
      <c r="D4923" s="451"/>
      <c r="E4923" s="451"/>
      <c r="F4923" s="451"/>
      <c r="G4923" s="451" t="s">
        <v>22877</v>
      </c>
      <c r="H4923" s="451" t="s">
        <v>22878</v>
      </c>
      <c r="I4923" s="451" t="s">
        <v>35425</v>
      </c>
      <c r="J4923" s="451" t="s">
        <v>22943</v>
      </c>
      <c r="K4923" s="451"/>
    </row>
    <row r="4924" spans="1:11">
      <c r="A4924" s="450" t="s">
        <v>8272</v>
      </c>
      <c r="B4924" s="450"/>
      <c r="C4924" s="450" t="s">
        <v>8273</v>
      </c>
      <c r="D4924" s="450"/>
      <c r="E4924" s="450"/>
      <c r="F4924" s="450"/>
      <c r="G4924" s="450" t="s">
        <v>22877</v>
      </c>
      <c r="H4924" s="450" t="s">
        <v>22878</v>
      </c>
      <c r="I4924" s="450" t="s">
        <v>35426</v>
      </c>
      <c r="J4924" s="450" t="s">
        <v>22942</v>
      </c>
      <c r="K4924" s="450"/>
    </row>
    <row r="4925" spans="1:11">
      <c r="A4925" s="451" t="s">
        <v>8274</v>
      </c>
      <c r="B4925" s="451"/>
      <c r="C4925" s="451" t="s">
        <v>1378</v>
      </c>
      <c r="D4925" s="451"/>
      <c r="E4925" s="451"/>
      <c r="F4925" s="451"/>
      <c r="G4925" s="451" t="s">
        <v>22877</v>
      </c>
      <c r="H4925" s="451" t="s">
        <v>22878</v>
      </c>
      <c r="I4925" s="451" t="s">
        <v>35427</v>
      </c>
      <c r="J4925" s="451" t="s">
        <v>23121</v>
      </c>
      <c r="K4925" s="451"/>
    </row>
    <row r="4926" spans="1:11">
      <c r="A4926" s="450" t="s">
        <v>8275</v>
      </c>
      <c r="B4926" s="450"/>
      <c r="C4926" s="450" t="s">
        <v>7840</v>
      </c>
      <c r="D4926" s="450"/>
      <c r="E4926" s="450"/>
      <c r="F4926" s="450"/>
      <c r="G4926" s="450" t="s">
        <v>22882</v>
      </c>
      <c r="H4926" s="450" t="s">
        <v>22883</v>
      </c>
      <c r="I4926" s="450"/>
      <c r="J4926" s="450" t="s">
        <v>23121</v>
      </c>
      <c r="K4926" s="450"/>
    </row>
    <row r="4927" spans="1:11">
      <c r="A4927" s="451" t="s">
        <v>8276</v>
      </c>
      <c r="B4927" s="451"/>
      <c r="C4927" s="451" t="s">
        <v>2313</v>
      </c>
      <c r="D4927" s="451"/>
      <c r="E4927" s="451"/>
      <c r="F4927" s="451"/>
      <c r="G4927" s="451" t="s">
        <v>22882</v>
      </c>
      <c r="H4927" s="451" t="s">
        <v>22883</v>
      </c>
      <c r="I4927" s="451"/>
      <c r="J4927" s="451" t="s">
        <v>22937</v>
      </c>
      <c r="K4927" s="451"/>
    </row>
    <row r="4928" spans="1:11">
      <c r="A4928" s="450" t="s">
        <v>25592</v>
      </c>
      <c r="B4928" s="450"/>
      <c r="C4928" s="450" t="s">
        <v>2313</v>
      </c>
      <c r="D4928" s="450"/>
      <c r="E4928" s="450"/>
      <c r="F4928" s="450"/>
      <c r="G4928" s="450" t="s">
        <v>22882</v>
      </c>
      <c r="H4928" s="450" t="s">
        <v>22883</v>
      </c>
      <c r="I4928" s="450"/>
      <c r="J4928" s="450" t="s">
        <v>22943</v>
      </c>
      <c r="K4928" s="450"/>
    </row>
    <row r="4929" spans="1:11">
      <c r="A4929" s="451" t="s">
        <v>8277</v>
      </c>
      <c r="B4929" s="451" t="s">
        <v>8278</v>
      </c>
      <c r="C4929" s="451" t="s">
        <v>35428</v>
      </c>
      <c r="D4929" s="451"/>
      <c r="E4929" s="451"/>
      <c r="F4929" s="451"/>
      <c r="G4929" s="451" t="s">
        <v>22882</v>
      </c>
      <c r="H4929" s="451" t="s">
        <v>22883</v>
      </c>
      <c r="I4929" s="451" t="s">
        <v>25593</v>
      </c>
      <c r="J4929" s="451" t="s">
        <v>25594</v>
      </c>
      <c r="K4929" s="451"/>
    </row>
    <row r="4930" spans="1:11">
      <c r="A4930" s="450" t="s">
        <v>8277</v>
      </c>
      <c r="B4930" s="450" t="s">
        <v>8278</v>
      </c>
      <c r="C4930" s="450" t="s">
        <v>8279</v>
      </c>
      <c r="D4930" s="450"/>
      <c r="E4930" s="450"/>
      <c r="F4930" s="450"/>
      <c r="G4930" s="450" t="s">
        <v>22882</v>
      </c>
      <c r="H4930" s="450" t="s">
        <v>22883</v>
      </c>
      <c r="I4930" s="450" t="s">
        <v>31286</v>
      </c>
      <c r="J4930" s="450" t="s">
        <v>25594</v>
      </c>
      <c r="K4930" s="450"/>
    </row>
    <row r="4931" spans="1:11">
      <c r="A4931" s="451" t="s">
        <v>8280</v>
      </c>
      <c r="B4931" s="451"/>
      <c r="C4931" s="451" t="s">
        <v>8281</v>
      </c>
      <c r="D4931" s="451"/>
      <c r="E4931" s="451"/>
      <c r="F4931" s="451"/>
      <c r="G4931" s="451" t="s">
        <v>22882</v>
      </c>
      <c r="H4931" s="451" t="s">
        <v>22883</v>
      </c>
      <c r="I4931" s="451"/>
      <c r="J4931" s="451" t="s">
        <v>22943</v>
      </c>
      <c r="K4931" s="451"/>
    </row>
    <row r="4932" spans="1:11">
      <c r="A4932" s="450" t="s">
        <v>8282</v>
      </c>
      <c r="B4932" s="450" t="s">
        <v>8283</v>
      </c>
      <c r="C4932" s="450" t="s">
        <v>8284</v>
      </c>
      <c r="D4932" s="450"/>
      <c r="E4932" s="450"/>
      <c r="F4932" s="450"/>
      <c r="G4932" s="450" t="s">
        <v>22882</v>
      </c>
      <c r="H4932" s="450" t="s">
        <v>22883</v>
      </c>
      <c r="I4932" s="450" t="s">
        <v>25593</v>
      </c>
      <c r="J4932" s="450" t="s">
        <v>25595</v>
      </c>
      <c r="K4932" s="450"/>
    </row>
    <row r="4933" spans="1:11">
      <c r="A4933" s="451" t="s">
        <v>8285</v>
      </c>
      <c r="B4933" s="451" t="s">
        <v>25596</v>
      </c>
      <c r="C4933" s="451" t="s">
        <v>8287</v>
      </c>
      <c r="D4933" s="451"/>
      <c r="E4933" s="451"/>
      <c r="F4933" s="451"/>
      <c r="G4933" s="451" t="s">
        <v>22877</v>
      </c>
      <c r="H4933" s="451" t="s">
        <v>22878</v>
      </c>
      <c r="I4933" s="451" t="s">
        <v>25597</v>
      </c>
      <c r="J4933" s="451" t="s">
        <v>25598</v>
      </c>
      <c r="K4933" s="451"/>
    </row>
    <row r="4934" spans="1:11">
      <c r="A4934" s="450" t="s">
        <v>8285</v>
      </c>
      <c r="B4934" s="450" t="s">
        <v>8286</v>
      </c>
      <c r="C4934" s="450" t="s">
        <v>8287</v>
      </c>
      <c r="D4934" s="450"/>
      <c r="E4934" s="450"/>
      <c r="F4934" s="450"/>
      <c r="G4934" s="450" t="s">
        <v>22877</v>
      </c>
      <c r="H4934" s="450" t="s">
        <v>22878</v>
      </c>
      <c r="I4934" s="450" t="s">
        <v>31287</v>
      </c>
      <c r="J4934" s="450" t="s">
        <v>31288</v>
      </c>
      <c r="K4934" s="450"/>
    </row>
    <row r="4935" spans="1:11">
      <c r="A4935" s="451" t="s">
        <v>8288</v>
      </c>
      <c r="B4935" s="451"/>
      <c r="C4935" s="451" t="s">
        <v>8289</v>
      </c>
      <c r="D4935" s="451"/>
      <c r="E4935" s="451"/>
      <c r="F4935" s="451"/>
      <c r="G4935" s="451" t="s">
        <v>22882</v>
      </c>
      <c r="H4935" s="451" t="s">
        <v>22883</v>
      </c>
      <c r="I4935" s="451"/>
      <c r="J4935" s="451" t="s">
        <v>22943</v>
      </c>
      <c r="K4935" s="451"/>
    </row>
    <row r="4936" spans="1:11">
      <c r="A4936" s="450" t="s">
        <v>8290</v>
      </c>
      <c r="B4936" s="450" t="s">
        <v>25599</v>
      </c>
      <c r="C4936" s="450" t="s">
        <v>8292</v>
      </c>
      <c r="D4936" s="450"/>
      <c r="E4936" s="450"/>
      <c r="F4936" s="450" t="s">
        <v>8293</v>
      </c>
      <c r="G4936" s="450" t="s">
        <v>22877</v>
      </c>
      <c r="H4936" s="450" t="s">
        <v>22878</v>
      </c>
      <c r="I4936" s="450" t="s">
        <v>25600</v>
      </c>
      <c r="J4936" s="450" t="s">
        <v>25601</v>
      </c>
      <c r="K4936" s="450"/>
    </row>
    <row r="4937" spans="1:11">
      <c r="A4937" s="451" t="s">
        <v>8290</v>
      </c>
      <c r="B4937" s="451" t="s">
        <v>8291</v>
      </c>
      <c r="C4937" s="451" t="s">
        <v>8292</v>
      </c>
      <c r="D4937" s="451"/>
      <c r="E4937" s="451"/>
      <c r="F4937" s="451" t="s">
        <v>8293</v>
      </c>
      <c r="G4937" s="451" t="s">
        <v>22877</v>
      </c>
      <c r="H4937" s="451" t="s">
        <v>22878</v>
      </c>
      <c r="I4937" s="451" t="s">
        <v>31289</v>
      </c>
      <c r="J4937" s="451" t="s">
        <v>31290</v>
      </c>
      <c r="K4937" s="451"/>
    </row>
    <row r="4938" spans="1:11">
      <c r="A4938" s="450" t="s">
        <v>25602</v>
      </c>
      <c r="B4938" s="450" t="s">
        <v>25603</v>
      </c>
      <c r="C4938" s="450" t="s">
        <v>25604</v>
      </c>
      <c r="D4938" s="450"/>
      <c r="E4938" s="450"/>
      <c r="F4938" s="450"/>
      <c r="G4938" s="450" t="s">
        <v>22882</v>
      </c>
      <c r="H4938" s="450" t="s">
        <v>22883</v>
      </c>
      <c r="I4938" s="450"/>
      <c r="J4938" s="450" t="s">
        <v>25605</v>
      </c>
      <c r="K4938" s="450"/>
    </row>
    <row r="4939" spans="1:11">
      <c r="A4939" s="451" t="s">
        <v>21698</v>
      </c>
      <c r="B4939" s="451" t="s">
        <v>8294</v>
      </c>
      <c r="C4939" s="451" t="s">
        <v>8295</v>
      </c>
      <c r="D4939" s="451" t="s">
        <v>8296</v>
      </c>
      <c r="E4939" s="451"/>
      <c r="F4939" s="451"/>
      <c r="G4939" s="451" t="s">
        <v>22877</v>
      </c>
      <c r="H4939" s="451" t="s">
        <v>22878</v>
      </c>
      <c r="I4939" s="451" t="s">
        <v>8296</v>
      </c>
      <c r="J4939" s="451" t="s">
        <v>25606</v>
      </c>
      <c r="K4939" s="451"/>
    </row>
    <row r="4940" spans="1:11">
      <c r="A4940" s="450" t="s">
        <v>21698</v>
      </c>
      <c r="B4940" s="450" t="s">
        <v>8294</v>
      </c>
      <c r="C4940" s="450" t="s">
        <v>8295</v>
      </c>
      <c r="D4940" s="450" t="s">
        <v>8296</v>
      </c>
      <c r="E4940" s="450" t="s">
        <v>8297</v>
      </c>
      <c r="F4940" s="450"/>
      <c r="G4940" s="450" t="s">
        <v>22877</v>
      </c>
      <c r="H4940" s="450" t="s">
        <v>22878</v>
      </c>
      <c r="I4940" s="450" t="s">
        <v>8296</v>
      </c>
      <c r="J4940" s="450" t="s">
        <v>25606</v>
      </c>
      <c r="K4940" s="450"/>
    </row>
    <row r="4941" spans="1:11">
      <c r="A4941" s="451" t="s">
        <v>21699</v>
      </c>
      <c r="B4941" s="451" t="s">
        <v>8298</v>
      </c>
      <c r="C4941" s="451" t="s">
        <v>8299</v>
      </c>
      <c r="D4941" s="451" t="s">
        <v>8300</v>
      </c>
      <c r="E4941" s="451"/>
      <c r="F4941" s="451"/>
      <c r="G4941" s="451" t="s">
        <v>22877</v>
      </c>
      <c r="H4941" s="451" t="s">
        <v>22878</v>
      </c>
      <c r="I4941" s="451" t="s">
        <v>8300</v>
      </c>
      <c r="J4941" s="451" t="s">
        <v>25607</v>
      </c>
      <c r="K4941" s="451"/>
    </row>
    <row r="4942" spans="1:11">
      <c r="A4942" s="450" t="s">
        <v>21699</v>
      </c>
      <c r="B4942" s="450" t="s">
        <v>8298</v>
      </c>
      <c r="C4942" s="450" t="s">
        <v>8299</v>
      </c>
      <c r="D4942" s="450" t="s">
        <v>8300</v>
      </c>
      <c r="E4942" s="450" t="s">
        <v>8301</v>
      </c>
      <c r="F4942" s="450"/>
      <c r="G4942" s="450" t="s">
        <v>22877</v>
      </c>
      <c r="H4942" s="450" t="s">
        <v>22878</v>
      </c>
      <c r="I4942" s="450" t="s">
        <v>8300</v>
      </c>
      <c r="J4942" s="450" t="s">
        <v>25607</v>
      </c>
      <c r="K4942" s="450"/>
    </row>
    <row r="4943" spans="1:11">
      <c r="A4943" s="451" t="s">
        <v>8302</v>
      </c>
      <c r="B4943" s="451"/>
      <c r="C4943" s="451" t="s">
        <v>2147</v>
      </c>
      <c r="D4943" s="451"/>
      <c r="E4943" s="451"/>
      <c r="F4943" s="451"/>
      <c r="G4943" s="451" t="s">
        <v>22877</v>
      </c>
      <c r="H4943" s="451" t="s">
        <v>22878</v>
      </c>
      <c r="I4943" s="451" t="s">
        <v>35429</v>
      </c>
      <c r="J4943" s="451" t="s">
        <v>22939</v>
      </c>
      <c r="K4943" s="451"/>
    </row>
    <row r="4944" spans="1:11">
      <c r="A4944" s="450" t="s">
        <v>35430</v>
      </c>
      <c r="B4944" s="450"/>
      <c r="C4944" s="450" t="s">
        <v>2147</v>
      </c>
      <c r="D4944" s="450"/>
      <c r="E4944" s="450"/>
      <c r="F4944" s="450"/>
      <c r="G4944" s="450" t="s">
        <v>22877</v>
      </c>
      <c r="H4944" s="450" t="s">
        <v>22878</v>
      </c>
      <c r="I4944" s="450" t="s">
        <v>34371</v>
      </c>
      <c r="J4944" s="450" t="s">
        <v>22939</v>
      </c>
      <c r="K4944" s="450"/>
    </row>
    <row r="4945" spans="1:11">
      <c r="A4945" s="451" t="s">
        <v>35431</v>
      </c>
      <c r="B4945" s="451"/>
      <c r="C4945" s="451" t="s">
        <v>1249</v>
      </c>
      <c r="D4945" s="451"/>
      <c r="E4945" s="451"/>
      <c r="F4945" s="451"/>
      <c r="G4945" s="451" t="s">
        <v>22882</v>
      </c>
      <c r="H4945" s="451" t="s">
        <v>22883</v>
      </c>
      <c r="I4945" s="451" t="s">
        <v>35432</v>
      </c>
      <c r="J4945" s="451" t="s">
        <v>23121</v>
      </c>
      <c r="K4945" s="451"/>
    </row>
    <row r="4946" spans="1:11">
      <c r="A4946" s="450" t="s">
        <v>8303</v>
      </c>
      <c r="B4946" s="450"/>
      <c r="C4946" s="450" t="s">
        <v>7629</v>
      </c>
      <c r="D4946" s="450"/>
      <c r="E4946" s="450"/>
      <c r="F4946" s="450"/>
      <c r="G4946" s="450" t="s">
        <v>22877</v>
      </c>
      <c r="H4946" s="450" t="s">
        <v>22878</v>
      </c>
      <c r="I4946" s="450" t="s">
        <v>25608</v>
      </c>
      <c r="J4946" s="450" t="s">
        <v>22943</v>
      </c>
      <c r="K4946" s="450"/>
    </row>
    <row r="4947" spans="1:11">
      <c r="A4947" s="451" t="s">
        <v>25609</v>
      </c>
      <c r="B4947" s="451" t="s">
        <v>8305</v>
      </c>
      <c r="C4947" s="451" t="s">
        <v>8306</v>
      </c>
      <c r="D4947" s="451" t="s">
        <v>8307</v>
      </c>
      <c r="E4947" s="451"/>
      <c r="F4947" s="451"/>
      <c r="G4947" s="451" t="s">
        <v>22877</v>
      </c>
      <c r="H4947" s="451" t="s">
        <v>22878</v>
      </c>
      <c r="I4947" s="451" t="s">
        <v>25610</v>
      </c>
      <c r="J4947" s="451" t="s">
        <v>25611</v>
      </c>
      <c r="K4947" s="451"/>
    </row>
    <row r="4948" spans="1:11">
      <c r="A4948" s="450" t="s">
        <v>8304</v>
      </c>
      <c r="B4948" s="450" t="s">
        <v>8305</v>
      </c>
      <c r="C4948" s="450" t="s">
        <v>8306</v>
      </c>
      <c r="D4948" s="450" t="s">
        <v>8307</v>
      </c>
      <c r="E4948" s="450"/>
      <c r="F4948" s="450"/>
      <c r="G4948" s="450" t="s">
        <v>22882</v>
      </c>
      <c r="H4948" s="450" t="s">
        <v>22883</v>
      </c>
      <c r="I4948" s="450"/>
      <c r="J4948" s="450" t="s">
        <v>35433</v>
      </c>
      <c r="K4948" s="450"/>
    </row>
    <row r="4949" spans="1:11">
      <c r="A4949" s="451" t="s">
        <v>21294</v>
      </c>
      <c r="B4949" s="451" t="s">
        <v>21296</v>
      </c>
      <c r="C4949" s="451" t="s">
        <v>12798</v>
      </c>
      <c r="D4949" s="451" t="s">
        <v>21295</v>
      </c>
      <c r="E4949" s="451"/>
      <c r="F4949" s="451"/>
      <c r="G4949" s="451" t="s">
        <v>22882</v>
      </c>
      <c r="H4949" s="451" t="s">
        <v>22883</v>
      </c>
      <c r="I4949" s="451"/>
      <c r="J4949" s="451" t="s">
        <v>31291</v>
      </c>
      <c r="K4949" s="451"/>
    </row>
    <row r="4950" spans="1:11">
      <c r="A4950" s="450" t="s">
        <v>35434</v>
      </c>
      <c r="B4950" s="450" t="s">
        <v>8309</v>
      </c>
      <c r="C4950" s="450" t="s">
        <v>8310</v>
      </c>
      <c r="D4950" s="450" t="s">
        <v>8311</v>
      </c>
      <c r="E4950" s="450"/>
      <c r="F4950" s="450"/>
      <c r="G4950" s="450" t="s">
        <v>22877</v>
      </c>
      <c r="H4950" s="450" t="s">
        <v>22878</v>
      </c>
      <c r="I4950" s="450" t="s">
        <v>35435</v>
      </c>
      <c r="J4950" s="450" t="s">
        <v>35436</v>
      </c>
      <c r="K4950" s="450"/>
    </row>
    <row r="4951" spans="1:11">
      <c r="A4951" s="451" t="s">
        <v>8308</v>
      </c>
      <c r="B4951" s="451" t="s">
        <v>8309</v>
      </c>
      <c r="C4951" s="451" t="s">
        <v>8310</v>
      </c>
      <c r="D4951" s="451" t="s">
        <v>8311</v>
      </c>
      <c r="E4951" s="451" t="s">
        <v>8312</v>
      </c>
      <c r="F4951" s="451"/>
      <c r="G4951" s="451" t="s">
        <v>22882</v>
      </c>
      <c r="H4951" s="451" t="s">
        <v>22883</v>
      </c>
      <c r="I4951" s="451" t="s">
        <v>8311</v>
      </c>
      <c r="J4951" s="451" t="s">
        <v>31292</v>
      </c>
      <c r="K4951" s="451"/>
    </row>
    <row r="4952" spans="1:11">
      <c r="A4952" s="450" t="s">
        <v>8313</v>
      </c>
      <c r="B4952" s="450" t="s">
        <v>8314</v>
      </c>
      <c r="C4952" s="450" t="s">
        <v>8315</v>
      </c>
      <c r="D4952" s="450"/>
      <c r="E4952" s="450"/>
      <c r="F4952" s="450" t="s">
        <v>8316</v>
      </c>
      <c r="G4952" s="450" t="s">
        <v>22877</v>
      </c>
      <c r="H4952" s="450" t="s">
        <v>22878</v>
      </c>
      <c r="I4952" s="450" t="s">
        <v>25612</v>
      </c>
      <c r="J4952" s="450" t="s">
        <v>25613</v>
      </c>
      <c r="K4952" s="450"/>
    </row>
    <row r="4953" spans="1:11">
      <c r="A4953" s="451" t="s">
        <v>8317</v>
      </c>
      <c r="B4953" s="451"/>
      <c r="C4953" s="451" t="s">
        <v>5077</v>
      </c>
      <c r="D4953" s="451"/>
      <c r="E4953" s="451"/>
      <c r="F4953" s="451"/>
      <c r="G4953" s="451" t="s">
        <v>22877</v>
      </c>
      <c r="H4953" s="451" t="s">
        <v>22878</v>
      </c>
      <c r="I4953" s="451" t="s">
        <v>35437</v>
      </c>
      <c r="J4953" s="451" t="s">
        <v>22943</v>
      </c>
      <c r="K4953" s="451"/>
    </row>
    <row r="4954" spans="1:11">
      <c r="A4954" s="450" t="s">
        <v>8318</v>
      </c>
      <c r="B4954" s="450"/>
      <c r="C4954" s="450" t="s">
        <v>8319</v>
      </c>
      <c r="D4954" s="450"/>
      <c r="E4954" s="450"/>
      <c r="F4954" s="450"/>
      <c r="G4954" s="450" t="s">
        <v>22877</v>
      </c>
      <c r="H4954" s="450" t="s">
        <v>22878</v>
      </c>
      <c r="I4954" s="450" t="s">
        <v>25614</v>
      </c>
      <c r="J4954" s="450" t="s">
        <v>22939</v>
      </c>
      <c r="K4954" s="450"/>
    </row>
    <row r="4955" spans="1:11">
      <c r="A4955" s="451" t="s">
        <v>8320</v>
      </c>
      <c r="B4955" s="451"/>
      <c r="C4955" s="451" t="s">
        <v>8321</v>
      </c>
      <c r="D4955" s="451"/>
      <c r="E4955" s="451"/>
      <c r="F4955" s="451"/>
      <c r="G4955" s="451" t="s">
        <v>22877</v>
      </c>
      <c r="H4955" s="451" t="s">
        <v>22878</v>
      </c>
      <c r="I4955" s="451" t="s">
        <v>25614</v>
      </c>
      <c r="J4955" s="451" t="s">
        <v>23121</v>
      </c>
      <c r="K4955" s="451"/>
    </row>
    <row r="4956" spans="1:11">
      <c r="A4956" s="450" t="s">
        <v>8322</v>
      </c>
      <c r="B4956" s="450" t="s">
        <v>8323</v>
      </c>
      <c r="C4956" s="450" t="s">
        <v>8324</v>
      </c>
      <c r="D4956" s="450"/>
      <c r="E4956" s="450"/>
      <c r="F4956" s="450" t="s">
        <v>35438</v>
      </c>
      <c r="G4956" s="450" t="s">
        <v>22877</v>
      </c>
      <c r="H4956" s="450" t="s">
        <v>22878</v>
      </c>
      <c r="I4956" s="450" t="s">
        <v>35439</v>
      </c>
      <c r="J4956" s="450" t="s">
        <v>25615</v>
      </c>
      <c r="K4956" s="450"/>
    </row>
    <row r="4957" spans="1:11">
      <c r="A4957" s="451" t="s">
        <v>8322</v>
      </c>
      <c r="B4957" s="451" t="s">
        <v>8323</v>
      </c>
      <c r="C4957" s="451" t="s">
        <v>8324</v>
      </c>
      <c r="D4957" s="451"/>
      <c r="E4957" s="451"/>
      <c r="F4957" s="451" t="s">
        <v>8325</v>
      </c>
      <c r="G4957" s="451" t="s">
        <v>22882</v>
      </c>
      <c r="H4957" s="451" t="s">
        <v>22883</v>
      </c>
      <c r="I4957" s="451" t="s">
        <v>31293</v>
      </c>
      <c r="J4957" s="451" t="s">
        <v>25615</v>
      </c>
      <c r="K4957" s="451"/>
    </row>
    <row r="4958" spans="1:11">
      <c r="A4958" s="450" t="s">
        <v>25616</v>
      </c>
      <c r="B4958" s="450" t="s">
        <v>25617</v>
      </c>
      <c r="C4958" s="450" t="s">
        <v>25618</v>
      </c>
      <c r="D4958" s="450"/>
      <c r="E4958" s="450"/>
      <c r="F4958" s="450"/>
      <c r="G4958" s="450" t="s">
        <v>23109</v>
      </c>
      <c r="H4958" s="450" t="s">
        <v>22878</v>
      </c>
      <c r="I4958" s="450" t="s">
        <v>25619</v>
      </c>
      <c r="J4958" s="450" t="s">
        <v>25617</v>
      </c>
      <c r="K4958" s="450"/>
    </row>
    <row r="4959" spans="1:11">
      <c r="A4959" s="451" t="s">
        <v>8326</v>
      </c>
      <c r="B4959" s="451"/>
      <c r="C4959" s="451" t="s">
        <v>1195</v>
      </c>
      <c r="D4959" s="451" t="s">
        <v>8327</v>
      </c>
      <c r="E4959" s="451"/>
      <c r="F4959" s="451"/>
      <c r="G4959" s="451" t="s">
        <v>22877</v>
      </c>
      <c r="H4959" s="451" t="s">
        <v>22878</v>
      </c>
      <c r="I4959" s="451" t="s">
        <v>8327</v>
      </c>
      <c r="J4959" s="451" t="s">
        <v>35440</v>
      </c>
      <c r="K4959" s="451"/>
    </row>
    <row r="4960" spans="1:11">
      <c r="A4960" s="450" t="s">
        <v>35441</v>
      </c>
      <c r="B4960" s="450"/>
      <c r="C4960" s="450" t="s">
        <v>1195</v>
      </c>
      <c r="D4960" s="450" t="s">
        <v>8327</v>
      </c>
      <c r="E4960" s="450"/>
      <c r="F4960" s="450"/>
      <c r="G4960" s="450" t="s">
        <v>22877</v>
      </c>
      <c r="H4960" s="450" t="s">
        <v>22878</v>
      </c>
      <c r="I4960" s="450" t="s">
        <v>8327</v>
      </c>
      <c r="J4960" s="450" t="s">
        <v>35442</v>
      </c>
      <c r="K4960" s="450"/>
    </row>
    <row r="4961" spans="1:11">
      <c r="A4961" s="451" t="s">
        <v>8328</v>
      </c>
      <c r="B4961" s="451"/>
      <c r="C4961" s="451" t="s">
        <v>4537</v>
      </c>
      <c r="D4961" s="451"/>
      <c r="E4961" s="451"/>
      <c r="F4961" s="451"/>
      <c r="G4961" s="451" t="s">
        <v>22882</v>
      </c>
      <c r="H4961" s="451" t="s">
        <v>22883</v>
      </c>
      <c r="I4961" s="451"/>
      <c r="J4961" s="451" t="s">
        <v>22997</v>
      </c>
      <c r="K4961" s="451"/>
    </row>
    <row r="4962" spans="1:11">
      <c r="A4962" s="450" t="s">
        <v>25620</v>
      </c>
      <c r="B4962" s="450" t="s">
        <v>25621</v>
      </c>
      <c r="C4962" s="450" t="s">
        <v>25622</v>
      </c>
      <c r="D4962" s="450"/>
      <c r="E4962" s="450"/>
      <c r="F4962" s="450"/>
      <c r="G4962" s="450" t="s">
        <v>22877</v>
      </c>
      <c r="H4962" s="450" t="s">
        <v>22878</v>
      </c>
      <c r="I4962" s="450" t="s">
        <v>25623</v>
      </c>
      <c r="J4962" s="450" t="s">
        <v>25624</v>
      </c>
      <c r="K4962" s="450"/>
    </row>
    <row r="4963" spans="1:11">
      <c r="A4963" s="451" t="s">
        <v>25625</v>
      </c>
      <c r="B4963" s="451" t="s">
        <v>8329</v>
      </c>
      <c r="C4963" s="451" t="s">
        <v>25626</v>
      </c>
      <c r="D4963" s="451" t="s">
        <v>8330</v>
      </c>
      <c r="E4963" s="451"/>
      <c r="F4963" s="451"/>
      <c r="G4963" s="451" t="s">
        <v>22877</v>
      </c>
      <c r="H4963" s="451" t="s">
        <v>22878</v>
      </c>
      <c r="I4963" s="451" t="s">
        <v>25627</v>
      </c>
      <c r="J4963" s="451" t="s">
        <v>25628</v>
      </c>
      <c r="K4963" s="451"/>
    </row>
    <row r="4964" spans="1:11">
      <c r="A4964" s="450" t="s">
        <v>25629</v>
      </c>
      <c r="B4964" s="450"/>
      <c r="C4964" s="450" t="s">
        <v>8677</v>
      </c>
      <c r="D4964" s="450"/>
      <c r="E4964" s="450"/>
      <c r="F4964" s="450"/>
      <c r="G4964" s="450" t="s">
        <v>22882</v>
      </c>
      <c r="H4964" s="450" t="s">
        <v>22883</v>
      </c>
      <c r="I4964" s="450" t="s">
        <v>25630</v>
      </c>
      <c r="J4964" s="450" t="s">
        <v>22939</v>
      </c>
      <c r="K4964" s="450"/>
    </row>
    <row r="4965" spans="1:11">
      <c r="A4965" s="451" t="s">
        <v>25631</v>
      </c>
      <c r="B4965" s="451" t="s">
        <v>25632</v>
      </c>
      <c r="C4965" s="451" t="s">
        <v>1692</v>
      </c>
      <c r="D4965" s="451" t="s">
        <v>8680</v>
      </c>
      <c r="E4965" s="451"/>
      <c r="F4965" s="451"/>
      <c r="G4965" s="451" t="s">
        <v>22877</v>
      </c>
      <c r="H4965" s="451" t="s">
        <v>22878</v>
      </c>
      <c r="I4965" s="451" t="s">
        <v>25633</v>
      </c>
      <c r="J4965" s="451" t="s">
        <v>25634</v>
      </c>
      <c r="K4965" s="451"/>
    </row>
    <row r="4966" spans="1:11">
      <c r="A4966" s="450" t="s">
        <v>35443</v>
      </c>
      <c r="B4966" s="450"/>
      <c r="C4966" s="450" t="s">
        <v>8683</v>
      </c>
      <c r="D4966" s="450"/>
      <c r="E4966" s="450"/>
      <c r="F4966" s="450"/>
      <c r="G4966" s="450" t="s">
        <v>22877</v>
      </c>
      <c r="H4966" s="450" t="s">
        <v>22878</v>
      </c>
      <c r="I4966" s="450" t="s">
        <v>35444</v>
      </c>
      <c r="J4966" s="450" t="s">
        <v>22943</v>
      </c>
      <c r="K4966" s="450"/>
    </row>
    <row r="4967" spans="1:11">
      <c r="A4967" s="451" t="s">
        <v>35445</v>
      </c>
      <c r="B4967" s="451"/>
      <c r="C4967" s="451" t="s">
        <v>8676</v>
      </c>
      <c r="D4967" s="451"/>
      <c r="E4967" s="451"/>
      <c r="F4967" s="451"/>
      <c r="G4967" s="451" t="s">
        <v>22877</v>
      </c>
      <c r="H4967" s="451" t="s">
        <v>22878</v>
      </c>
      <c r="I4967" s="451" t="s">
        <v>35446</v>
      </c>
      <c r="J4967" s="451" t="s">
        <v>22943</v>
      </c>
      <c r="K4967" s="451"/>
    </row>
    <row r="4968" spans="1:11">
      <c r="A4968" s="450" t="s">
        <v>8336</v>
      </c>
      <c r="B4968" s="450"/>
      <c r="C4968" s="450" t="s">
        <v>8337</v>
      </c>
      <c r="D4968" s="450" t="s">
        <v>8338</v>
      </c>
      <c r="E4968" s="450"/>
      <c r="F4968" s="450"/>
      <c r="G4968" s="450" t="s">
        <v>22877</v>
      </c>
      <c r="H4968" s="450" t="s">
        <v>22878</v>
      </c>
      <c r="I4968" s="450" t="s">
        <v>8441</v>
      </c>
      <c r="J4968" s="450" t="s">
        <v>35447</v>
      </c>
      <c r="K4968" s="450"/>
    </row>
    <row r="4969" spans="1:11">
      <c r="A4969" s="451" t="s">
        <v>8336</v>
      </c>
      <c r="B4969" s="451"/>
      <c r="C4969" s="451" t="s">
        <v>8337</v>
      </c>
      <c r="D4969" s="451" t="s">
        <v>8338</v>
      </c>
      <c r="E4969" s="451" t="s">
        <v>8339</v>
      </c>
      <c r="F4969" s="451"/>
      <c r="G4969" s="451" t="s">
        <v>22877</v>
      </c>
      <c r="H4969" s="451" t="s">
        <v>22878</v>
      </c>
      <c r="I4969" s="451" t="s">
        <v>8338</v>
      </c>
      <c r="J4969" s="451" t="s">
        <v>31294</v>
      </c>
      <c r="K4969" s="451"/>
    </row>
    <row r="4970" spans="1:11">
      <c r="A4970" s="450" t="s">
        <v>8340</v>
      </c>
      <c r="B4970" s="450" t="s">
        <v>8341</v>
      </c>
      <c r="C4970" s="450" t="s">
        <v>8342</v>
      </c>
      <c r="D4970" s="450" t="s">
        <v>8343</v>
      </c>
      <c r="E4970" s="450"/>
      <c r="F4970" s="450"/>
      <c r="G4970" s="450" t="s">
        <v>22877</v>
      </c>
      <c r="H4970" s="450" t="s">
        <v>22878</v>
      </c>
      <c r="I4970" s="450" t="s">
        <v>35448</v>
      </c>
      <c r="J4970" s="450" t="s">
        <v>35449</v>
      </c>
      <c r="K4970" s="450"/>
    </row>
    <row r="4971" spans="1:11">
      <c r="A4971" s="451" t="s">
        <v>8340</v>
      </c>
      <c r="B4971" s="451" t="s">
        <v>8341</v>
      </c>
      <c r="C4971" s="451" t="s">
        <v>8342</v>
      </c>
      <c r="D4971" s="451" t="s">
        <v>8343</v>
      </c>
      <c r="E4971" s="451" t="s">
        <v>8344</v>
      </c>
      <c r="F4971" s="451"/>
      <c r="G4971" s="451" t="s">
        <v>22877</v>
      </c>
      <c r="H4971" s="451" t="s">
        <v>22878</v>
      </c>
      <c r="I4971" s="451" t="s">
        <v>8343</v>
      </c>
      <c r="J4971" s="451" t="s">
        <v>31295</v>
      </c>
      <c r="K4971" s="451"/>
    </row>
    <row r="4972" spans="1:11">
      <c r="A4972" s="450" t="s">
        <v>25635</v>
      </c>
      <c r="B4972" s="450" t="s">
        <v>8346</v>
      </c>
      <c r="C4972" s="450" t="s">
        <v>8347</v>
      </c>
      <c r="D4972" s="450" t="s">
        <v>8348</v>
      </c>
      <c r="E4972" s="450"/>
      <c r="F4972" s="450"/>
      <c r="G4972" s="450" t="s">
        <v>22877</v>
      </c>
      <c r="H4972" s="450" t="s">
        <v>22878</v>
      </c>
      <c r="I4972" s="450" t="s">
        <v>8348</v>
      </c>
      <c r="J4972" s="450" t="s">
        <v>25636</v>
      </c>
      <c r="K4972" s="450"/>
    </row>
    <row r="4973" spans="1:11">
      <c r="A4973" s="451" t="s">
        <v>25637</v>
      </c>
      <c r="B4973" s="451" t="s">
        <v>8329</v>
      </c>
      <c r="C4973" s="451" t="s">
        <v>25626</v>
      </c>
      <c r="D4973" s="451" t="s">
        <v>8330</v>
      </c>
      <c r="E4973" s="451"/>
      <c r="F4973" s="451" t="s">
        <v>8352</v>
      </c>
      <c r="G4973" s="451" t="s">
        <v>22877</v>
      </c>
      <c r="H4973" s="451" t="s">
        <v>22878</v>
      </c>
      <c r="I4973" s="451" t="s">
        <v>25638</v>
      </c>
      <c r="J4973" s="451" t="s">
        <v>25639</v>
      </c>
      <c r="K4973" s="451"/>
    </row>
    <row r="4974" spans="1:11">
      <c r="A4974" s="450" t="s">
        <v>25640</v>
      </c>
      <c r="B4974" s="450" t="s">
        <v>25641</v>
      </c>
      <c r="C4974" s="450" t="s">
        <v>8355</v>
      </c>
      <c r="D4974" s="450" t="s">
        <v>8356</v>
      </c>
      <c r="E4974" s="450"/>
      <c r="F4974" s="450"/>
      <c r="G4974" s="450" t="s">
        <v>22877</v>
      </c>
      <c r="H4974" s="450" t="s">
        <v>22878</v>
      </c>
      <c r="I4974" s="450" t="s">
        <v>25642</v>
      </c>
      <c r="J4974" s="450" t="s">
        <v>25643</v>
      </c>
      <c r="K4974" s="450"/>
    </row>
    <row r="4975" spans="1:11">
      <c r="A4975" s="451" t="s">
        <v>30013</v>
      </c>
      <c r="B4975" s="451" t="s">
        <v>30014</v>
      </c>
      <c r="C4975" s="451" t="s">
        <v>30015</v>
      </c>
      <c r="D4975" s="451"/>
      <c r="E4975" s="451"/>
      <c r="F4975" s="451"/>
      <c r="G4975" s="451"/>
      <c r="H4975" s="451"/>
      <c r="I4975" s="451"/>
      <c r="J4975" s="451"/>
      <c r="K4975" s="451"/>
    </row>
    <row r="4976" spans="1:11">
      <c r="A4976" s="450" t="s">
        <v>25644</v>
      </c>
      <c r="B4976" s="450" t="s">
        <v>25645</v>
      </c>
      <c r="C4976" s="450" t="s">
        <v>19250</v>
      </c>
      <c r="D4976" s="450" t="s">
        <v>8334</v>
      </c>
      <c r="E4976" s="450"/>
      <c r="F4976" s="450"/>
      <c r="G4976" s="450" t="s">
        <v>22877</v>
      </c>
      <c r="H4976" s="450" t="s">
        <v>22878</v>
      </c>
      <c r="I4976" s="450" t="s">
        <v>25646</v>
      </c>
      <c r="J4976" s="450" t="s">
        <v>25647</v>
      </c>
      <c r="K4976" s="450"/>
    </row>
    <row r="4977" spans="1:11">
      <c r="A4977" s="451" t="s">
        <v>25648</v>
      </c>
      <c r="B4977" s="451" t="s">
        <v>25649</v>
      </c>
      <c r="C4977" s="451" t="s">
        <v>25650</v>
      </c>
      <c r="D4977" s="451"/>
      <c r="E4977" s="451"/>
      <c r="F4977" s="451"/>
      <c r="G4977" s="451" t="s">
        <v>22877</v>
      </c>
      <c r="H4977" s="451" t="s">
        <v>22878</v>
      </c>
      <c r="I4977" s="451" t="s">
        <v>7157</v>
      </c>
      <c r="J4977" s="451" t="s">
        <v>25651</v>
      </c>
      <c r="K4977" s="451"/>
    </row>
    <row r="4978" spans="1:11">
      <c r="A4978" s="450" t="s">
        <v>25652</v>
      </c>
      <c r="B4978" s="450" t="s">
        <v>8359</v>
      </c>
      <c r="C4978" s="450" t="s">
        <v>5685</v>
      </c>
      <c r="D4978" s="450" t="s">
        <v>8360</v>
      </c>
      <c r="E4978" s="450"/>
      <c r="F4978" s="450"/>
      <c r="G4978" s="450" t="s">
        <v>22877</v>
      </c>
      <c r="H4978" s="450" t="s">
        <v>22878</v>
      </c>
      <c r="I4978" s="450" t="s">
        <v>25653</v>
      </c>
      <c r="J4978" s="450" t="s">
        <v>25654</v>
      </c>
      <c r="K4978" s="450"/>
    </row>
    <row r="4979" spans="1:11">
      <c r="A4979" s="451" t="s">
        <v>25655</v>
      </c>
      <c r="B4979" s="451" t="s">
        <v>25656</v>
      </c>
      <c r="C4979" s="451" t="s">
        <v>21058</v>
      </c>
      <c r="D4979" s="451" t="s">
        <v>25657</v>
      </c>
      <c r="E4979" s="451"/>
      <c r="F4979" s="451"/>
      <c r="G4979" s="451" t="s">
        <v>22882</v>
      </c>
      <c r="H4979" s="451" t="s">
        <v>22883</v>
      </c>
      <c r="I4979" s="451" t="s">
        <v>24594</v>
      </c>
      <c r="J4979" s="451" t="s">
        <v>25658</v>
      </c>
      <c r="K4979" s="451"/>
    </row>
    <row r="4980" spans="1:11">
      <c r="A4980" s="450" t="s">
        <v>25659</v>
      </c>
      <c r="B4980" s="450" t="s">
        <v>25660</v>
      </c>
      <c r="C4980" s="450" t="s">
        <v>25661</v>
      </c>
      <c r="D4980" s="450" t="s">
        <v>25662</v>
      </c>
      <c r="E4980" s="450"/>
      <c r="F4980" s="450"/>
      <c r="G4980" s="450" t="s">
        <v>22877</v>
      </c>
      <c r="H4980" s="450" t="s">
        <v>22878</v>
      </c>
      <c r="I4980" s="450" t="s">
        <v>25662</v>
      </c>
      <c r="J4980" s="450" t="s">
        <v>25663</v>
      </c>
      <c r="K4980" s="450"/>
    </row>
    <row r="4981" spans="1:11">
      <c r="A4981" s="451" t="s">
        <v>25664</v>
      </c>
      <c r="B4981" s="451" t="s">
        <v>25665</v>
      </c>
      <c r="C4981" s="451" t="s">
        <v>25666</v>
      </c>
      <c r="D4981" s="451"/>
      <c r="E4981" s="451"/>
      <c r="F4981" s="451"/>
      <c r="G4981" s="451" t="s">
        <v>22877</v>
      </c>
      <c r="H4981" s="451" t="s">
        <v>22878</v>
      </c>
      <c r="I4981" s="451" t="s">
        <v>25667</v>
      </c>
      <c r="J4981" s="451" t="s">
        <v>25668</v>
      </c>
      <c r="K4981" s="451"/>
    </row>
    <row r="4982" spans="1:11">
      <c r="A4982" s="450" t="s">
        <v>25669</v>
      </c>
      <c r="B4982" s="450" t="s">
        <v>25670</v>
      </c>
      <c r="C4982" s="450" t="s">
        <v>25671</v>
      </c>
      <c r="D4982" s="450" t="s">
        <v>8412</v>
      </c>
      <c r="E4982" s="450"/>
      <c r="F4982" s="450"/>
      <c r="G4982" s="450" t="s">
        <v>22877</v>
      </c>
      <c r="H4982" s="450" t="s">
        <v>22878</v>
      </c>
      <c r="I4982" s="450" t="s">
        <v>25672</v>
      </c>
      <c r="J4982" s="450" t="s">
        <v>25673</v>
      </c>
      <c r="K4982" s="450"/>
    </row>
    <row r="4983" spans="1:11">
      <c r="A4983" s="451" t="s">
        <v>25674</v>
      </c>
      <c r="B4983" s="451" t="s">
        <v>6654</v>
      </c>
      <c r="C4983" s="451" t="s">
        <v>6655</v>
      </c>
      <c r="D4983" s="451" t="s">
        <v>6656</v>
      </c>
      <c r="E4983" s="451"/>
      <c r="F4983" s="451"/>
      <c r="G4983" s="451" t="s">
        <v>22877</v>
      </c>
      <c r="H4983" s="451" t="s">
        <v>22878</v>
      </c>
      <c r="I4983" s="451" t="s">
        <v>6656</v>
      </c>
      <c r="J4983" s="451" t="s">
        <v>24859</v>
      </c>
      <c r="K4983" s="451"/>
    </row>
    <row r="4984" spans="1:11">
      <c r="A4984" s="450" t="s">
        <v>25675</v>
      </c>
      <c r="B4984" s="450" t="s">
        <v>8364</v>
      </c>
      <c r="C4984" s="450" t="s">
        <v>8365</v>
      </c>
      <c r="D4984" s="450" t="s">
        <v>8366</v>
      </c>
      <c r="E4984" s="450"/>
      <c r="F4984" s="450"/>
      <c r="G4984" s="450" t="s">
        <v>22877</v>
      </c>
      <c r="H4984" s="450" t="s">
        <v>22878</v>
      </c>
      <c r="I4984" s="450" t="s">
        <v>25676</v>
      </c>
      <c r="J4984" s="450" t="s">
        <v>25677</v>
      </c>
      <c r="K4984" s="450"/>
    </row>
    <row r="4985" spans="1:11">
      <c r="A4985" s="451" t="s">
        <v>25678</v>
      </c>
      <c r="B4985" s="451" t="s">
        <v>8369</v>
      </c>
      <c r="C4985" s="451" t="s">
        <v>8370</v>
      </c>
      <c r="D4985" s="451" t="s">
        <v>8371</v>
      </c>
      <c r="E4985" s="451"/>
      <c r="F4985" s="451"/>
      <c r="G4985" s="451" t="s">
        <v>22877</v>
      </c>
      <c r="H4985" s="451" t="s">
        <v>22878</v>
      </c>
      <c r="I4985" s="451" t="s">
        <v>8371</v>
      </c>
      <c r="J4985" s="451" t="s">
        <v>25679</v>
      </c>
      <c r="K4985" s="451"/>
    </row>
    <row r="4986" spans="1:11">
      <c r="A4986" s="450" t="s">
        <v>25680</v>
      </c>
      <c r="B4986" s="450" t="s">
        <v>8374</v>
      </c>
      <c r="C4986" s="450" t="s">
        <v>8375</v>
      </c>
      <c r="D4986" s="450" t="s">
        <v>8376</v>
      </c>
      <c r="E4986" s="450"/>
      <c r="F4986" s="450"/>
      <c r="G4986" s="450" t="s">
        <v>22877</v>
      </c>
      <c r="H4986" s="450" t="s">
        <v>22878</v>
      </c>
      <c r="I4986" s="450" t="s">
        <v>8376</v>
      </c>
      <c r="J4986" s="450" t="s">
        <v>25681</v>
      </c>
      <c r="K4986" s="450"/>
    </row>
    <row r="4987" spans="1:11">
      <c r="A4987" s="451" t="s">
        <v>25682</v>
      </c>
      <c r="B4987" s="451" t="s">
        <v>25683</v>
      </c>
      <c r="C4987" s="451" t="s">
        <v>25684</v>
      </c>
      <c r="D4987" s="451" t="s">
        <v>25685</v>
      </c>
      <c r="E4987" s="451"/>
      <c r="F4987" s="451"/>
      <c r="G4987" s="451" t="s">
        <v>22877</v>
      </c>
      <c r="H4987" s="451" t="s">
        <v>22878</v>
      </c>
      <c r="I4987" s="451" t="s">
        <v>25686</v>
      </c>
      <c r="J4987" s="451" t="s">
        <v>25687</v>
      </c>
      <c r="K4987" s="451"/>
    </row>
    <row r="4988" spans="1:11">
      <c r="A4988" s="450" t="s">
        <v>25688</v>
      </c>
      <c r="B4988" s="450" t="s">
        <v>8379</v>
      </c>
      <c r="C4988" s="450" t="s">
        <v>1563</v>
      </c>
      <c r="D4988" s="450" t="s">
        <v>8380</v>
      </c>
      <c r="E4988" s="450"/>
      <c r="F4988" s="450"/>
      <c r="G4988" s="450" t="s">
        <v>22877</v>
      </c>
      <c r="H4988" s="450" t="s">
        <v>22878</v>
      </c>
      <c r="I4988" s="450" t="s">
        <v>25689</v>
      </c>
      <c r="J4988" s="450" t="s">
        <v>25690</v>
      </c>
      <c r="K4988" s="450"/>
    </row>
    <row r="4989" spans="1:11">
      <c r="A4989" s="451" t="s">
        <v>25691</v>
      </c>
      <c r="B4989" s="451" t="s">
        <v>8383</v>
      </c>
      <c r="C4989" s="451" t="s">
        <v>8384</v>
      </c>
      <c r="D4989" s="451" t="s">
        <v>8385</v>
      </c>
      <c r="E4989" s="451"/>
      <c r="F4989" s="451"/>
      <c r="G4989" s="451" t="s">
        <v>22877</v>
      </c>
      <c r="H4989" s="451" t="s">
        <v>22878</v>
      </c>
      <c r="I4989" s="451" t="s">
        <v>25692</v>
      </c>
      <c r="J4989" s="451" t="s">
        <v>25693</v>
      </c>
      <c r="K4989" s="451"/>
    </row>
    <row r="4990" spans="1:11">
      <c r="A4990" s="450" t="s">
        <v>25694</v>
      </c>
      <c r="B4990" s="450" t="s">
        <v>25695</v>
      </c>
      <c r="C4990" s="450" t="s">
        <v>25696</v>
      </c>
      <c r="D4990" s="450" t="s">
        <v>25697</v>
      </c>
      <c r="E4990" s="450"/>
      <c r="F4990" s="450"/>
      <c r="G4990" s="450" t="s">
        <v>22877</v>
      </c>
      <c r="H4990" s="450" t="s">
        <v>22878</v>
      </c>
      <c r="I4990" s="450" t="s">
        <v>25698</v>
      </c>
      <c r="J4990" s="450" t="s">
        <v>25699</v>
      </c>
      <c r="K4990" s="450"/>
    </row>
    <row r="4991" spans="1:11">
      <c r="A4991" s="451" t="s">
        <v>25700</v>
      </c>
      <c r="B4991" s="451" t="s">
        <v>8388</v>
      </c>
      <c r="C4991" s="451" t="s">
        <v>5421</v>
      </c>
      <c r="D4991" s="451" t="s">
        <v>8389</v>
      </c>
      <c r="E4991" s="451"/>
      <c r="F4991" s="451"/>
      <c r="G4991" s="451" t="s">
        <v>22877</v>
      </c>
      <c r="H4991" s="451" t="s">
        <v>22878</v>
      </c>
      <c r="I4991" s="451" t="s">
        <v>8389</v>
      </c>
      <c r="J4991" s="451" t="s">
        <v>25701</v>
      </c>
      <c r="K4991" s="451"/>
    </row>
    <row r="4992" spans="1:11">
      <c r="A4992" s="450" t="s">
        <v>25702</v>
      </c>
      <c r="B4992" s="450" t="s">
        <v>25703</v>
      </c>
      <c r="C4992" s="450" t="s">
        <v>25704</v>
      </c>
      <c r="D4992" s="450" t="s">
        <v>25705</v>
      </c>
      <c r="E4992" s="450"/>
      <c r="F4992" s="450"/>
      <c r="G4992" s="450" t="s">
        <v>22877</v>
      </c>
      <c r="H4992" s="450" t="s">
        <v>22878</v>
      </c>
      <c r="I4992" s="450" t="s">
        <v>8580</v>
      </c>
      <c r="J4992" s="450" t="s">
        <v>25706</v>
      </c>
      <c r="K4992" s="450"/>
    </row>
    <row r="4993" spans="1:11">
      <c r="A4993" s="451" t="s">
        <v>25707</v>
      </c>
      <c r="B4993" s="451" t="s">
        <v>8392</v>
      </c>
      <c r="C4993" s="451" t="s">
        <v>8393</v>
      </c>
      <c r="D4993" s="451" t="s">
        <v>8394</v>
      </c>
      <c r="E4993" s="451"/>
      <c r="F4993" s="451"/>
      <c r="G4993" s="451" t="s">
        <v>22877</v>
      </c>
      <c r="H4993" s="451" t="s">
        <v>22878</v>
      </c>
      <c r="I4993" s="451" t="s">
        <v>25708</v>
      </c>
      <c r="J4993" s="451" t="s">
        <v>25709</v>
      </c>
      <c r="K4993" s="451"/>
    </row>
    <row r="4994" spans="1:11">
      <c r="A4994" s="450" t="s">
        <v>25710</v>
      </c>
      <c r="B4994" s="450" t="s">
        <v>8397</v>
      </c>
      <c r="C4994" s="450" t="s">
        <v>1263</v>
      </c>
      <c r="D4994" s="450" t="s">
        <v>8398</v>
      </c>
      <c r="E4994" s="450"/>
      <c r="F4994" s="450"/>
      <c r="G4994" s="450" t="s">
        <v>22877</v>
      </c>
      <c r="H4994" s="450" t="s">
        <v>22878</v>
      </c>
      <c r="I4994" s="450" t="s">
        <v>25711</v>
      </c>
      <c r="J4994" s="450" t="s">
        <v>25712</v>
      </c>
      <c r="K4994" s="450"/>
    </row>
    <row r="4995" spans="1:11">
      <c r="A4995" s="451" t="s">
        <v>25713</v>
      </c>
      <c r="B4995" s="451" t="s">
        <v>8401</v>
      </c>
      <c r="C4995" s="451" t="s">
        <v>1334</v>
      </c>
      <c r="D4995" s="451" t="s">
        <v>8402</v>
      </c>
      <c r="E4995" s="451"/>
      <c r="F4995" s="451"/>
      <c r="G4995" s="451" t="s">
        <v>22877</v>
      </c>
      <c r="H4995" s="451" t="s">
        <v>22878</v>
      </c>
      <c r="I4995" s="451" t="s">
        <v>25714</v>
      </c>
      <c r="J4995" s="451" t="s">
        <v>25715</v>
      </c>
      <c r="K4995" s="451"/>
    </row>
    <row r="4996" spans="1:11">
      <c r="A4996" s="450" t="s">
        <v>25716</v>
      </c>
      <c r="B4996" s="450" t="s">
        <v>8405</v>
      </c>
      <c r="C4996" s="450" t="s">
        <v>2626</v>
      </c>
      <c r="D4996" s="450" t="s">
        <v>8406</v>
      </c>
      <c r="E4996" s="450"/>
      <c r="F4996" s="450"/>
      <c r="G4996" s="450" t="s">
        <v>22877</v>
      </c>
      <c r="H4996" s="450" t="s">
        <v>22878</v>
      </c>
      <c r="I4996" s="450" t="s">
        <v>25717</v>
      </c>
      <c r="J4996" s="450" t="s">
        <v>25718</v>
      </c>
      <c r="K4996" s="450"/>
    </row>
    <row r="4997" spans="1:11">
      <c r="A4997" s="451" t="s">
        <v>25719</v>
      </c>
      <c r="B4997" s="451" t="s">
        <v>25720</v>
      </c>
      <c r="C4997" s="451" t="s">
        <v>5120</v>
      </c>
      <c r="D4997" s="451" t="s">
        <v>25721</v>
      </c>
      <c r="E4997" s="451"/>
      <c r="F4997" s="451"/>
      <c r="G4997" s="451" t="s">
        <v>22877</v>
      </c>
      <c r="H4997" s="451" t="s">
        <v>22878</v>
      </c>
      <c r="I4997" s="451" t="s">
        <v>25721</v>
      </c>
      <c r="J4997" s="451" t="s">
        <v>25722</v>
      </c>
      <c r="K4997" s="451"/>
    </row>
    <row r="4998" spans="1:11">
      <c r="A4998" s="450" t="s">
        <v>8345</v>
      </c>
      <c r="B4998" s="450" t="s">
        <v>8346</v>
      </c>
      <c r="C4998" s="450" t="s">
        <v>8347</v>
      </c>
      <c r="D4998" s="450" t="s">
        <v>8348</v>
      </c>
      <c r="E4998" s="450" t="s">
        <v>8349</v>
      </c>
      <c r="F4998" s="450"/>
      <c r="G4998" s="450" t="s">
        <v>22882</v>
      </c>
      <c r="H4998" s="450" t="s">
        <v>22883</v>
      </c>
      <c r="I4998" s="450" t="s">
        <v>8348</v>
      </c>
      <c r="J4998" s="450" t="s">
        <v>31296</v>
      </c>
      <c r="K4998" s="450"/>
    </row>
    <row r="4999" spans="1:11">
      <c r="A4999" s="451" t="s">
        <v>8350</v>
      </c>
      <c r="B4999" s="451" t="s">
        <v>8329</v>
      </c>
      <c r="C4999" s="451" t="s">
        <v>8351</v>
      </c>
      <c r="D4999" s="451" t="s">
        <v>8330</v>
      </c>
      <c r="E4999" s="451" t="s">
        <v>8331</v>
      </c>
      <c r="F4999" s="451" t="s">
        <v>8352</v>
      </c>
      <c r="G4999" s="451" t="s">
        <v>22877</v>
      </c>
      <c r="H4999" s="451" t="s">
        <v>22878</v>
      </c>
      <c r="I4999" s="451" t="s">
        <v>26319</v>
      </c>
      <c r="J4999" s="451" t="s">
        <v>31297</v>
      </c>
      <c r="K4999" s="451"/>
    </row>
    <row r="5000" spans="1:11">
      <c r="A5000" s="450" t="s">
        <v>8353</v>
      </c>
      <c r="B5000" s="450" t="s">
        <v>8354</v>
      </c>
      <c r="C5000" s="450" t="s">
        <v>8355</v>
      </c>
      <c r="D5000" s="450" t="s">
        <v>8356</v>
      </c>
      <c r="E5000" s="450" t="s">
        <v>8357</v>
      </c>
      <c r="F5000" s="450"/>
      <c r="G5000" s="450" t="s">
        <v>22882</v>
      </c>
      <c r="H5000" s="450" t="s">
        <v>22883</v>
      </c>
      <c r="I5000" s="450" t="s">
        <v>8356</v>
      </c>
      <c r="J5000" s="450" t="s">
        <v>31298</v>
      </c>
      <c r="K5000" s="450"/>
    </row>
    <row r="5001" spans="1:11">
      <c r="A5001" s="451" t="s">
        <v>20465</v>
      </c>
      <c r="B5001" s="451" t="s">
        <v>8332</v>
      </c>
      <c r="C5001" s="451" t="s">
        <v>8333</v>
      </c>
      <c r="D5001" s="451" t="s">
        <v>8334</v>
      </c>
      <c r="E5001" s="451" t="s">
        <v>8335</v>
      </c>
      <c r="F5001" s="451"/>
      <c r="G5001" s="451" t="s">
        <v>22882</v>
      </c>
      <c r="H5001" s="451" t="s">
        <v>22883</v>
      </c>
      <c r="I5001" s="451" t="s">
        <v>8334</v>
      </c>
      <c r="J5001" s="451" t="s">
        <v>31299</v>
      </c>
      <c r="K5001" s="451"/>
    </row>
    <row r="5002" spans="1:11">
      <c r="A5002" s="450" t="s">
        <v>8358</v>
      </c>
      <c r="B5002" s="450" t="s">
        <v>8359</v>
      </c>
      <c r="C5002" s="450" t="s">
        <v>5685</v>
      </c>
      <c r="D5002" s="450" t="s">
        <v>8360</v>
      </c>
      <c r="E5002" s="450" t="s">
        <v>8361</v>
      </c>
      <c r="F5002" s="450"/>
      <c r="G5002" s="450" t="s">
        <v>22882</v>
      </c>
      <c r="H5002" s="450" t="s">
        <v>22883</v>
      </c>
      <c r="I5002" s="450" t="s">
        <v>8360</v>
      </c>
      <c r="J5002" s="450" t="s">
        <v>31300</v>
      </c>
      <c r="K5002" s="450"/>
    </row>
    <row r="5003" spans="1:11">
      <c r="A5003" s="451" t="s">
        <v>20464</v>
      </c>
      <c r="B5003" s="451" t="s">
        <v>8410</v>
      </c>
      <c r="C5003" s="451" t="s">
        <v>8411</v>
      </c>
      <c r="D5003" s="451" t="s">
        <v>8412</v>
      </c>
      <c r="E5003" s="451" t="s">
        <v>8362</v>
      </c>
      <c r="F5003" s="451"/>
      <c r="G5003" s="451" t="s">
        <v>22882</v>
      </c>
      <c r="H5003" s="451" t="s">
        <v>22883</v>
      </c>
      <c r="I5003" s="451" t="s">
        <v>8412</v>
      </c>
      <c r="J5003" s="451" t="s">
        <v>31301</v>
      </c>
      <c r="K5003" s="451"/>
    </row>
    <row r="5004" spans="1:11">
      <c r="A5004" s="450" t="s">
        <v>21126</v>
      </c>
      <c r="B5004" s="450" t="s">
        <v>6654</v>
      </c>
      <c r="C5004" s="450" t="s">
        <v>6655</v>
      </c>
      <c r="D5004" s="450" t="s">
        <v>6656</v>
      </c>
      <c r="E5004" s="450" t="s">
        <v>6657</v>
      </c>
      <c r="F5004" s="450"/>
      <c r="G5004" s="450" t="s">
        <v>22877</v>
      </c>
      <c r="H5004" s="450" t="s">
        <v>22878</v>
      </c>
      <c r="I5004" s="450" t="s">
        <v>6656</v>
      </c>
      <c r="J5004" s="450" t="s">
        <v>31302</v>
      </c>
      <c r="K5004" s="450"/>
    </row>
    <row r="5005" spans="1:11">
      <c r="A5005" s="451" t="s">
        <v>8363</v>
      </c>
      <c r="B5005" s="451" t="s">
        <v>8364</v>
      </c>
      <c r="C5005" s="451" t="s">
        <v>8365</v>
      </c>
      <c r="D5005" s="451" t="s">
        <v>8366</v>
      </c>
      <c r="E5005" s="451" t="s">
        <v>8367</v>
      </c>
      <c r="F5005" s="451"/>
      <c r="G5005" s="451" t="s">
        <v>22877</v>
      </c>
      <c r="H5005" s="451" t="s">
        <v>22878</v>
      </c>
      <c r="I5005" s="451" t="s">
        <v>8366</v>
      </c>
      <c r="J5005" s="451" t="s">
        <v>31303</v>
      </c>
      <c r="K5005" s="451"/>
    </row>
    <row r="5006" spans="1:11">
      <c r="A5006" s="450" t="s">
        <v>8368</v>
      </c>
      <c r="B5006" s="450" t="s">
        <v>8369</v>
      </c>
      <c r="C5006" s="450" t="s">
        <v>8370</v>
      </c>
      <c r="D5006" s="450" t="s">
        <v>8371</v>
      </c>
      <c r="E5006" s="450" t="s">
        <v>8372</v>
      </c>
      <c r="F5006" s="450"/>
      <c r="G5006" s="450" t="s">
        <v>22877</v>
      </c>
      <c r="H5006" s="450" t="s">
        <v>22878</v>
      </c>
      <c r="I5006" s="450" t="s">
        <v>8371</v>
      </c>
      <c r="J5006" s="450" t="s">
        <v>31304</v>
      </c>
      <c r="K5006" s="450"/>
    </row>
    <row r="5007" spans="1:11">
      <c r="A5007" s="451" t="s">
        <v>8373</v>
      </c>
      <c r="B5007" s="451" t="s">
        <v>8374</v>
      </c>
      <c r="C5007" s="451" t="s">
        <v>8375</v>
      </c>
      <c r="D5007" s="451" t="s">
        <v>8376</v>
      </c>
      <c r="E5007" s="451" t="s">
        <v>8377</v>
      </c>
      <c r="F5007" s="451"/>
      <c r="G5007" s="451" t="s">
        <v>22882</v>
      </c>
      <c r="H5007" s="451" t="s">
        <v>22883</v>
      </c>
      <c r="I5007" s="451" t="s">
        <v>8376</v>
      </c>
      <c r="J5007" s="451" t="s">
        <v>31305</v>
      </c>
      <c r="K5007" s="451"/>
    </row>
    <row r="5008" spans="1:11">
      <c r="A5008" s="450" t="s">
        <v>8378</v>
      </c>
      <c r="B5008" s="450" t="s">
        <v>8379</v>
      </c>
      <c r="C5008" s="450" t="s">
        <v>1563</v>
      </c>
      <c r="D5008" s="450" t="s">
        <v>8380</v>
      </c>
      <c r="E5008" s="450" t="s">
        <v>8381</v>
      </c>
      <c r="F5008" s="450"/>
      <c r="G5008" s="450" t="s">
        <v>22877</v>
      </c>
      <c r="H5008" s="450" t="s">
        <v>22878</v>
      </c>
      <c r="I5008" s="450" t="s">
        <v>8380</v>
      </c>
      <c r="J5008" s="450" t="s">
        <v>31306</v>
      </c>
      <c r="K5008" s="450"/>
    </row>
    <row r="5009" spans="1:11">
      <c r="A5009" s="451" t="s">
        <v>8382</v>
      </c>
      <c r="B5009" s="451" t="s">
        <v>8383</v>
      </c>
      <c r="C5009" s="451" t="s">
        <v>8384</v>
      </c>
      <c r="D5009" s="451" t="s">
        <v>8385</v>
      </c>
      <c r="E5009" s="451" t="s">
        <v>8386</v>
      </c>
      <c r="F5009" s="451"/>
      <c r="G5009" s="451" t="s">
        <v>22882</v>
      </c>
      <c r="H5009" s="451" t="s">
        <v>22883</v>
      </c>
      <c r="I5009" s="451" t="s">
        <v>8385</v>
      </c>
      <c r="J5009" s="451" t="s">
        <v>31307</v>
      </c>
      <c r="K5009" s="451"/>
    </row>
    <row r="5010" spans="1:11">
      <c r="A5010" s="450" t="s">
        <v>21033</v>
      </c>
      <c r="B5010" s="450" t="s">
        <v>21034</v>
      </c>
      <c r="C5010" s="450" t="s">
        <v>21035</v>
      </c>
      <c r="D5010" s="450" t="s">
        <v>21036</v>
      </c>
      <c r="E5010" s="450"/>
      <c r="F5010" s="450"/>
      <c r="G5010" s="450" t="s">
        <v>22877</v>
      </c>
      <c r="H5010" s="450" t="s">
        <v>22878</v>
      </c>
      <c r="I5010" s="450" t="s">
        <v>31308</v>
      </c>
      <c r="J5010" s="450" t="s">
        <v>31309</v>
      </c>
      <c r="K5010" s="450"/>
    </row>
    <row r="5011" spans="1:11">
      <c r="A5011" s="451" t="s">
        <v>8387</v>
      </c>
      <c r="B5011" s="451" t="s">
        <v>8388</v>
      </c>
      <c r="C5011" s="451" t="s">
        <v>5421</v>
      </c>
      <c r="D5011" s="451" t="s">
        <v>8389</v>
      </c>
      <c r="E5011" s="451" t="s">
        <v>8390</v>
      </c>
      <c r="F5011" s="451"/>
      <c r="G5011" s="451" t="s">
        <v>22882</v>
      </c>
      <c r="H5011" s="451" t="s">
        <v>22883</v>
      </c>
      <c r="I5011" s="451" t="s">
        <v>8389</v>
      </c>
      <c r="J5011" s="451" t="s">
        <v>31310</v>
      </c>
      <c r="K5011" s="451"/>
    </row>
    <row r="5012" spans="1:11">
      <c r="A5012" s="450" t="s">
        <v>8391</v>
      </c>
      <c r="B5012" s="450" t="s">
        <v>8392</v>
      </c>
      <c r="C5012" s="450" t="s">
        <v>8393</v>
      </c>
      <c r="D5012" s="450" t="s">
        <v>8394</v>
      </c>
      <c r="E5012" s="450" t="s">
        <v>8395</v>
      </c>
      <c r="F5012" s="450"/>
      <c r="G5012" s="450" t="s">
        <v>22882</v>
      </c>
      <c r="H5012" s="450" t="s">
        <v>22883</v>
      </c>
      <c r="I5012" s="450"/>
      <c r="J5012" s="450" t="s">
        <v>31311</v>
      </c>
      <c r="K5012" s="450"/>
    </row>
    <row r="5013" spans="1:11">
      <c r="A5013" s="451" t="s">
        <v>22037</v>
      </c>
      <c r="B5013" s="451" t="s">
        <v>22039</v>
      </c>
      <c r="C5013" s="451" t="s">
        <v>22038</v>
      </c>
      <c r="D5013" s="451" t="s">
        <v>22040</v>
      </c>
      <c r="E5013" s="451"/>
      <c r="F5013" s="451"/>
      <c r="G5013" s="451" t="s">
        <v>22877</v>
      </c>
      <c r="H5013" s="451" t="s">
        <v>22878</v>
      </c>
      <c r="I5013" s="451" t="s">
        <v>22040</v>
      </c>
      <c r="J5013" s="451" t="s">
        <v>31312</v>
      </c>
      <c r="K5013" s="451"/>
    </row>
    <row r="5014" spans="1:11">
      <c r="A5014" s="450" t="s">
        <v>8396</v>
      </c>
      <c r="B5014" s="450" t="s">
        <v>8397</v>
      </c>
      <c r="C5014" s="450" t="s">
        <v>1263</v>
      </c>
      <c r="D5014" s="450" t="s">
        <v>8398</v>
      </c>
      <c r="E5014" s="450" t="s">
        <v>8399</v>
      </c>
      <c r="F5014" s="450"/>
      <c r="G5014" s="450" t="s">
        <v>22877</v>
      </c>
      <c r="H5014" s="450" t="s">
        <v>22878</v>
      </c>
      <c r="I5014" s="450" t="s">
        <v>8398</v>
      </c>
      <c r="J5014" s="450" t="s">
        <v>31313</v>
      </c>
      <c r="K5014" s="450"/>
    </row>
    <row r="5015" spans="1:11">
      <c r="A5015" s="451" t="s">
        <v>8400</v>
      </c>
      <c r="B5015" s="451" t="s">
        <v>8401</v>
      </c>
      <c r="C5015" s="451" t="s">
        <v>1334</v>
      </c>
      <c r="D5015" s="451" t="s">
        <v>8402</v>
      </c>
      <c r="E5015" s="451" t="s">
        <v>8403</v>
      </c>
      <c r="F5015" s="451"/>
      <c r="G5015" s="451" t="s">
        <v>22882</v>
      </c>
      <c r="H5015" s="451" t="s">
        <v>22883</v>
      </c>
      <c r="I5015" s="451" t="s">
        <v>8402</v>
      </c>
      <c r="J5015" s="451" t="s">
        <v>31314</v>
      </c>
      <c r="K5015" s="451"/>
    </row>
    <row r="5016" spans="1:11">
      <c r="A5016" s="450" t="s">
        <v>8404</v>
      </c>
      <c r="B5016" s="450" t="s">
        <v>8405</v>
      </c>
      <c r="C5016" s="450" t="s">
        <v>2626</v>
      </c>
      <c r="D5016" s="450" t="s">
        <v>8406</v>
      </c>
      <c r="E5016" s="450" t="s">
        <v>8407</v>
      </c>
      <c r="F5016" s="450"/>
      <c r="G5016" s="450" t="s">
        <v>22882</v>
      </c>
      <c r="H5016" s="450" t="s">
        <v>22883</v>
      </c>
      <c r="I5016" s="450" t="s">
        <v>8406</v>
      </c>
      <c r="J5016" s="450" t="s">
        <v>31315</v>
      </c>
      <c r="K5016" s="450"/>
    </row>
    <row r="5017" spans="1:11">
      <c r="A5017" s="451" t="s">
        <v>8408</v>
      </c>
      <c r="B5017" s="451" t="s">
        <v>8409</v>
      </c>
      <c r="C5017" s="451" t="s">
        <v>5120</v>
      </c>
      <c r="D5017" s="451"/>
      <c r="E5017" s="451"/>
      <c r="F5017" s="451"/>
      <c r="G5017" s="451" t="s">
        <v>22882</v>
      </c>
      <c r="H5017" s="451" t="s">
        <v>22883</v>
      </c>
      <c r="I5017" s="451" t="s">
        <v>25721</v>
      </c>
      <c r="J5017" s="451" t="s">
        <v>31316</v>
      </c>
      <c r="K5017" s="451"/>
    </row>
    <row r="5018" spans="1:11">
      <c r="A5018" s="450" t="s">
        <v>35450</v>
      </c>
      <c r="B5018" s="450" t="s">
        <v>20279</v>
      </c>
      <c r="C5018" s="450" t="s">
        <v>20280</v>
      </c>
      <c r="D5018" s="450" t="s">
        <v>20281</v>
      </c>
      <c r="E5018" s="450"/>
      <c r="F5018" s="450" t="s">
        <v>20283</v>
      </c>
      <c r="G5018" s="450" t="s">
        <v>22877</v>
      </c>
      <c r="H5018" s="450" t="s">
        <v>22878</v>
      </c>
      <c r="I5018" s="450" t="s">
        <v>20281</v>
      </c>
      <c r="J5018" s="450" t="s">
        <v>35451</v>
      </c>
      <c r="K5018" s="450"/>
    </row>
    <row r="5019" spans="1:11">
      <c r="A5019" s="451" t="s">
        <v>20278</v>
      </c>
      <c r="B5019" s="451" t="s">
        <v>20279</v>
      </c>
      <c r="C5019" s="451" t="s">
        <v>20280</v>
      </c>
      <c r="D5019" s="451" t="s">
        <v>20281</v>
      </c>
      <c r="E5019" s="451" t="s">
        <v>20282</v>
      </c>
      <c r="F5019" s="451" t="s">
        <v>20283</v>
      </c>
      <c r="G5019" s="451" t="s">
        <v>22877</v>
      </c>
      <c r="H5019" s="451" t="s">
        <v>22878</v>
      </c>
      <c r="I5019" s="451" t="s">
        <v>20281</v>
      </c>
      <c r="J5019" s="451" t="s">
        <v>31317</v>
      </c>
      <c r="K5019" s="451"/>
    </row>
    <row r="5020" spans="1:11">
      <c r="A5020" s="450" t="s">
        <v>8413</v>
      </c>
      <c r="B5020" s="450" t="s">
        <v>8414</v>
      </c>
      <c r="C5020" s="450" t="s">
        <v>3085</v>
      </c>
      <c r="D5020" s="450" t="s">
        <v>8415</v>
      </c>
      <c r="E5020" s="450"/>
      <c r="F5020" s="450"/>
      <c r="G5020" s="450" t="s">
        <v>22882</v>
      </c>
      <c r="H5020" s="450" t="s">
        <v>22883</v>
      </c>
      <c r="I5020" s="450" t="s">
        <v>8415</v>
      </c>
      <c r="J5020" s="450" t="s">
        <v>35452</v>
      </c>
      <c r="K5020" s="450"/>
    </row>
    <row r="5021" spans="1:11">
      <c r="A5021" s="451" t="s">
        <v>8413</v>
      </c>
      <c r="B5021" s="451" t="s">
        <v>8414</v>
      </c>
      <c r="C5021" s="451" t="s">
        <v>3085</v>
      </c>
      <c r="D5021" s="451" t="s">
        <v>8415</v>
      </c>
      <c r="E5021" s="451" t="s">
        <v>8416</v>
      </c>
      <c r="F5021" s="451"/>
      <c r="G5021" s="451" t="s">
        <v>22882</v>
      </c>
      <c r="H5021" s="451" t="s">
        <v>22883</v>
      </c>
      <c r="I5021" s="451" t="s">
        <v>8415</v>
      </c>
      <c r="J5021" s="451" t="s">
        <v>31318</v>
      </c>
      <c r="K5021" s="451"/>
    </row>
    <row r="5022" spans="1:11">
      <c r="A5022" s="450" t="s">
        <v>8417</v>
      </c>
      <c r="B5022" s="450"/>
      <c r="C5022" s="450" t="s">
        <v>8418</v>
      </c>
      <c r="D5022" s="450"/>
      <c r="E5022" s="450"/>
      <c r="F5022" s="450"/>
      <c r="G5022" s="450" t="s">
        <v>22877</v>
      </c>
      <c r="H5022" s="450" t="s">
        <v>22878</v>
      </c>
      <c r="I5022" s="450" t="s">
        <v>31319</v>
      </c>
      <c r="J5022" s="450" t="s">
        <v>22943</v>
      </c>
      <c r="K5022" s="450"/>
    </row>
    <row r="5023" spans="1:11">
      <c r="A5023" s="451" t="s">
        <v>35453</v>
      </c>
      <c r="B5023" s="451" t="s">
        <v>8420</v>
      </c>
      <c r="C5023" s="451" t="s">
        <v>35454</v>
      </c>
      <c r="D5023" s="451"/>
      <c r="E5023" s="451"/>
      <c r="F5023" s="451" t="s">
        <v>5778</v>
      </c>
      <c r="G5023" s="451" t="s">
        <v>22882</v>
      </c>
      <c r="H5023" s="451" t="s">
        <v>22883</v>
      </c>
      <c r="I5023" s="451"/>
      <c r="J5023" s="451" t="s">
        <v>35455</v>
      </c>
      <c r="K5023" s="451"/>
    </row>
    <row r="5024" spans="1:11">
      <c r="A5024" s="450" t="s">
        <v>8419</v>
      </c>
      <c r="B5024" s="450" t="s">
        <v>8420</v>
      </c>
      <c r="C5024" s="450" t="s">
        <v>8421</v>
      </c>
      <c r="D5024" s="450"/>
      <c r="E5024" s="450"/>
      <c r="F5024" s="450" t="s">
        <v>5778</v>
      </c>
      <c r="G5024" s="450" t="s">
        <v>23109</v>
      </c>
      <c r="H5024" s="450" t="s">
        <v>22878</v>
      </c>
      <c r="I5024" s="450"/>
      <c r="J5024" s="450" t="s">
        <v>8420</v>
      </c>
      <c r="K5024" s="450"/>
    </row>
    <row r="5025" spans="1:11">
      <c r="A5025" s="451" t="s">
        <v>35456</v>
      </c>
      <c r="B5025" s="451" t="s">
        <v>8423</v>
      </c>
      <c r="C5025" s="451" t="s">
        <v>8424</v>
      </c>
      <c r="D5025" s="451" t="s">
        <v>8425</v>
      </c>
      <c r="E5025" s="451"/>
      <c r="F5025" s="451"/>
      <c r="G5025" s="451" t="s">
        <v>22877</v>
      </c>
      <c r="H5025" s="451" t="s">
        <v>22878</v>
      </c>
      <c r="I5025" s="451" t="s">
        <v>8425</v>
      </c>
      <c r="J5025" s="451" t="s">
        <v>35457</v>
      </c>
      <c r="K5025" s="451"/>
    </row>
    <row r="5026" spans="1:11">
      <c r="A5026" s="450" t="s">
        <v>8422</v>
      </c>
      <c r="B5026" s="450" t="s">
        <v>8423</v>
      </c>
      <c r="C5026" s="450" t="s">
        <v>8424</v>
      </c>
      <c r="D5026" s="450" t="s">
        <v>8425</v>
      </c>
      <c r="E5026" s="450" t="s">
        <v>8426</v>
      </c>
      <c r="F5026" s="450"/>
      <c r="G5026" s="450" t="s">
        <v>31320</v>
      </c>
      <c r="H5026" s="450" t="s">
        <v>22878</v>
      </c>
      <c r="I5026" s="450"/>
      <c r="J5026" s="450" t="s">
        <v>8423</v>
      </c>
      <c r="K5026" s="450"/>
    </row>
    <row r="5027" spans="1:11">
      <c r="A5027" s="451" t="s">
        <v>8427</v>
      </c>
      <c r="B5027" s="451" t="s">
        <v>8428</v>
      </c>
      <c r="C5027" s="451" t="s">
        <v>8429</v>
      </c>
      <c r="D5027" s="451" t="s">
        <v>8430</v>
      </c>
      <c r="E5027" s="451"/>
      <c r="F5027" s="451"/>
      <c r="G5027" s="451" t="s">
        <v>22877</v>
      </c>
      <c r="H5027" s="451" t="s">
        <v>22878</v>
      </c>
      <c r="I5027" s="451" t="s">
        <v>8430</v>
      </c>
      <c r="J5027" s="451" t="s">
        <v>35458</v>
      </c>
      <c r="K5027" s="451"/>
    </row>
    <row r="5028" spans="1:11">
      <c r="A5028" s="450" t="s">
        <v>8427</v>
      </c>
      <c r="B5028" s="450" t="s">
        <v>8428</v>
      </c>
      <c r="C5028" s="450" t="s">
        <v>8429</v>
      </c>
      <c r="D5028" s="450" t="s">
        <v>8430</v>
      </c>
      <c r="E5028" s="450" t="s">
        <v>8431</v>
      </c>
      <c r="F5028" s="450"/>
      <c r="G5028" s="450" t="s">
        <v>31321</v>
      </c>
      <c r="H5028" s="450" t="s">
        <v>22878</v>
      </c>
      <c r="I5028" s="450" t="s">
        <v>31322</v>
      </c>
      <c r="J5028" s="450" t="s">
        <v>8428</v>
      </c>
      <c r="K5028" s="450"/>
    </row>
    <row r="5029" spans="1:11">
      <c r="A5029" s="451" t="s">
        <v>8432</v>
      </c>
      <c r="B5029" s="451" t="s">
        <v>8433</v>
      </c>
      <c r="C5029" s="451" t="s">
        <v>8434</v>
      </c>
      <c r="D5029" s="451" t="s">
        <v>8435</v>
      </c>
      <c r="E5029" s="451"/>
      <c r="F5029" s="451"/>
      <c r="G5029" s="451" t="s">
        <v>22877</v>
      </c>
      <c r="H5029" s="451" t="s">
        <v>22878</v>
      </c>
      <c r="I5029" s="451" t="s">
        <v>35459</v>
      </c>
      <c r="J5029" s="451" t="s">
        <v>35460</v>
      </c>
      <c r="K5029" s="451"/>
    </row>
    <row r="5030" spans="1:11">
      <c r="A5030" s="450" t="s">
        <v>8432</v>
      </c>
      <c r="B5030" s="450" t="s">
        <v>8433</v>
      </c>
      <c r="C5030" s="450" t="s">
        <v>8434</v>
      </c>
      <c r="D5030" s="450" t="s">
        <v>8435</v>
      </c>
      <c r="E5030" s="450" t="s">
        <v>8436</v>
      </c>
      <c r="F5030" s="450"/>
      <c r="G5030" s="450" t="s">
        <v>31323</v>
      </c>
      <c r="H5030" s="450" t="s">
        <v>22878</v>
      </c>
      <c r="I5030" s="450" t="s">
        <v>24</v>
      </c>
      <c r="J5030" s="450" t="s">
        <v>8433</v>
      </c>
      <c r="K5030" s="450"/>
    </row>
    <row r="5031" spans="1:11">
      <c r="A5031" s="451" t="s">
        <v>8437</v>
      </c>
      <c r="B5031" s="451"/>
      <c r="C5031" s="451" t="s">
        <v>6827</v>
      </c>
      <c r="D5031" s="451"/>
      <c r="E5031" s="451"/>
      <c r="F5031" s="451"/>
      <c r="G5031" s="451" t="s">
        <v>22882</v>
      </c>
      <c r="H5031" s="451" t="s">
        <v>22883</v>
      </c>
      <c r="I5031" s="451"/>
      <c r="J5031" s="451" t="s">
        <v>22939</v>
      </c>
      <c r="K5031" s="451"/>
    </row>
    <row r="5032" spans="1:11">
      <c r="A5032" s="450" t="s">
        <v>8438</v>
      </c>
      <c r="B5032" s="450" t="s">
        <v>8439</v>
      </c>
      <c r="C5032" s="450" t="s">
        <v>8440</v>
      </c>
      <c r="D5032" s="450" t="s">
        <v>8441</v>
      </c>
      <c r="E5032" s="450"/>
      <c r="F5032" s="450"/>
      <c r="G5032" s="450" t="s">
        <v>22877</v>
      </c>
      <c r="H5032" s="450" t="s">
        <v>22878</v>
      </c>
      <c r="I5032" s="450" t="s">
        <v>8441</v>
      </c>
      <c r="J5032" s="450" t="s">
        <v>35461</v>
      </c>
      <c r="K5032" s="450"/>
    </row>
    <row r="5033" spans="1:11">
      <c r="A5033" s="451" t="s">
        <v>8442</v>
      </c>
      <c r="B5033" s="451" t="s">
        <v>8443</v>
      </c>
      <c r="C5033" s="451" t="s">
        <v>8444</v>
      </c>
      <c r="D5033" s="451" t="s">
        <v>8441</v>
      </c>
      <c r="E5033" s="451"/>
      <c r="F5033" s="451"/>
      <c r="G5033" s="451" t="s">
        <v>22877</v>
      </c>
      <c r="H5033" s="451" t="s">
        <v>22878</v>
      </c>
      <c r="I5033" s="451" t="s">
        <v>8441</v>
      </c>
      <c r="J5033" s="451" t="s">
        <v>25723</v>
      </c>
      <c r="K5033" s="451"/>
    </row>
    <row r="5034" spans="1:11">
      <c r="A5034" s="450" t="s">
        <v>8445</v>
      </c>
      <c r="B5034" s="450" t="s">
        <v>8446</v>
      </c>
      <c r="C5034" s="450" t="s">
        <v>8447</v>
      </c>
      <c r="D5034" s="450" t="s">
        <v>8448</v>
      </c>
      <c r="E5034" s="450"/>
      <c r="F5034" s="450"/>
      <c r="G5034" s="450" t="s">
        <v>22877</v>
      </c>
      <c r="H5034" s="450" t="s">
        <v>22878</v>
      </c>
      <c r="I5034" s="450" t="s">
        <v>35462</v>
      </c>
      <c r="J5034" s="450" t="s">
        <v>35463</v>
      </c>
      <c r="K5034" s="450"/>
    </row>
    <row r="5035" spans="1:11">
      <c r="A5035" s="451" t="s">
        <v>8445</v>
      </c>
      <c r="B5035" s="451" t="s">
        <v>8446</v>
      </c>
      <c r="C5035" s="451" t="s">
        <v>8447</v>
      </c>
      <c r="D5035" s="451" t="s">
        <v>8448</v>
      </c>
      <c r="E5035" s="451" t="s">
        <v>8449</v>
      </c>
      <c r="F5035" s="451"/>
      <c r="G5035" s="451" t="s">
        <v>31324</v>
      </c>
      <c r="H5035" s="451" t="s">
        <v>22878</v>
      </c>
      <c r="I5035" s="451" t="s">
        <v>31325</v>
      </c>
      <c r="J5035" s="451" t="s">
        <v>8446</v>
      </c>
      <c r="K5035" s="451"/>
    </row>
    <row r="5036" spans="1:11">
      <c r="A5036" s="450" t="s">
        <v>25724</v>
      </c>
      <c r="B5036" s="450" t="s">
        <v>25725</v>
      </c>
      <c r="C5036" s="450" t="s">
        <v>25726</v>
      </c>
      <c r="D5036" s="450" t="s">
        <v>8453</v>
      </c>
      <c r="E5036" s="450"/>
      <c r="F5036" s="450"/>
      <c r="G5036" s="450" t="s">
        <v>22877</v>
      </c>
      <c r="H5036" s="450" t="s">
        <v>22878</v>
      </c>
      <c r="I5036" s="450" t="s">
        <v>25727</v>
      </c>
      <c r="J5036" s="450" t="s">
        <v>25728</v>
      </c>
      <c r="K5036" s="450"/>
    </row>
    <row r="5037" spans="1:11">
      <c r="A5037" s="451" t="s">
        <v>8450</v>
      </c>
      <c r="B5037" s="451" t="s">
        <v>8451</v>
      </c>
      <c r="C5037" s="451" t="s">
        <v>8452</v>
      </c>
      <c r="D5037" s="451" t="s">
        <v>8453</v>
      </c>
      <c r="E5037" s="451"/>
      <c r="F5037" s="451"/>
      <c r="G5037" s="451" t="s">
        <v>31326</v>
      </c>
      <c r="H5037" s="451" t="s">
        <v>22878</v>
      </c>
      <c r="I5037" s="451"/>
      <c r="J5037" s="451" t="s">
        <v>31327</v>
      </c>
      <c r="K5037" s="451"/>
    </row>
    <row r="5038" spans="1:11">
      <c r="A5038" s="450" t="s">
        <v>8454</v>
      </c>
      <c r="B5038" s="450" t="s">
        <v>25729</v>
      </c>
      <c r="C5038" s="450" t="s">
        <v>3205</v>
      </c>
      <c r="D5038" s="450" t="s">
        <v>8456</v>
      </c>
      <c r="E5038" s="450"/>
      <c r="F5038" s="450"/>
      <c r="G5038" s="450" t="s">
        <v>22877</v>
      </c>
      <c r="H5038" s="450" t="s">
        <v>22878</v>
      </c>
      <c r="I5038" s="450" t="s">
        <v>8456</v>
      </c>
      <c r="J5038" s="450" t="s">
        <v>25730</v>
      </c>
      <c r="K5038" s="450"/>
    </row>
    <row r="5039" spans="1:11">
      <c r="A5039" s="451" t="s">
        <v>8454</v>
      </c>
      <c r="B5039" s="451" t="s">
        <v>8455</v>
      </c>
      <c r="C5039" s="451" t="s">
        <v>3886</v>
      </c>
      <c r="D5039" s="451" t="s">
        <v>8456</v>
      </c>
      <c r="E5039" s="451" t="s">
        <v>8457</v>
      </c>
      <c r="F5039" s="451"/>
      <c r="G5039" s="451" t="s">
        <v>31328</v>
      </c>
      <c r="H5039" s="451" t="s">
        <v>22878</v>
      </c>
      <c r="I5039" s="451" t="s">
        <v>31329</v>
      </c>
      <c r="J5039" s="451" t="s">
        <v>8455</v>
      </c>
      <c r="K5039" s="451"/>
    </row>
    <row r="5040" spans="1:11">
      <c r="A5040" s="450" t="s">
        <v>8458</v>
      </c>
      <c r="B5040" s="450" t="s">
        <v>8459</v>
      </c>
      <c r="C5040" s="450" t="s">
        <v>8460</v>
      </c>
      <c r="D5040" s="450" t="s">
        <v>8461</v>
      </c>
      <c r="E5040" s="450"/>
      <c r="F5040" s="450"/>
      <c r="G5040" s="450" t="s">
        <v>22877</v>
      </c>
      <c r="H5040" s="450" t="s">
        <v>22878</v>
      </c>
      <c r="I5040" s="450" t="s">
        <v>8461</v>
      </c>
      <c r="J5040" s="450" t="s">
        <v>35464</v>
      </c>
      <c r="K5040" s="450"/>
    </row>
    <row r="5041" spans="1:11">
      <c r="A5041" s="451" t="s">
        <v>8458</v>
      </c>
      <c r="B5041" s="451" t="s">
        <v>8459</v>
      </c>
      <c r="C5041" s="451" t="s">
        <v>8460</v>
      </c>
      <c r="D5041" s="451" t="s">
        <v>8461</v>
      </c>
      <c r="E5041" s="451" t="s">
        <v>8462</v>
      </c>
      <c r="F5041" s="451"/>
      <c r="G5041" s="451" t="s">
        <v>23084</v>
      </c>
      <c r="H5041" s="451" t="s">
        <v>22878</v>
      </c>
      <c r="I5041" s="451" t="s">
        <v>31330</v>
      </c>
      <c r="J5041" s="451" t="s">
        <v>8459</v>
      </c>
      <c r="K5041" s="451"/>
    </row>
    <row r="5042" spans="1:11">
      <c r="A5042" s="450" t="s">
        <v>8463</v>
      </c>
      <c r="B5042" s="450" t="s">
        <v>8464</v>
      </c>
      <c r="C5042" s="450" t="s">
        <v>8465</v>
      </c>
      <c r="D5042" s="450" t="s">
        <v>8466</v>
      </c>
      <c r="E5042" s="450"/>
      <c r="F5042" s="450"/>
      <c r="G5042" s="450" t="s">
        <v>22882</v>
      </c>
      <c r="H5042" s="450" t="s">
        <v>22883</v>
      </c>
      <c r="I5042" s="450"/>
      <c r="J5042" s="450" t="s">
        <v>35465</v>
      </c>
      <c r="K5042" s="450"/>
    </row>
    <row r="5043" spans="1:11">
      <c r="A5043" s="451" t="s">
        <v>8463</v>
      </c>
      <c r="B5043" s="451" t="s">
        <v>8464</v>
      </c>
      <c r="C5043" s="451" t="s">
        <v>8465</v>
      </c>
      <c r="D5043" s="451" t="s">
        <v>8466</v>
      </c>
      <c r="E5043" s="451" t="s">
        <v>8467</v>
      </c>
      <c r="F5043" s="451"/>
      <c r="G5043" s="451" t="s">
        <v>31331</v>
      </c>
      <c r="H5043" s="451" t="s">
        <v>22878</v>
      </c>
      <c r="I5043" s="451" t="s">
        <v>24</v>
      </c>
      <c r="J5043" s="451" t="s">
        <v>8464</v>
      </c>
      <c r="K5043" s="451"/>
    </row>
    <row r="5044" spans="1:11">
      <c r="A5044" s="450" t="s">
        <v>8468</v>
      </c>
      <c r="B5044" s="450" t="s">
        <v>8469</v>
      </c>
      <c r="C5044" s="450" t="s">
        <v>8470</v>
      </c>
      <c r="D5044" s="450" t="s">
        <v>8471</v>
      </c>
      <c r="E5044" s="450"/>
      <c r="F5044" s="450"/>
      <c r="G5044" s="450" t="s">
        <v>22882</v>
      </c>
      <c r="H5044" s="450" t="s">
        <v>22883</v>
      </c>
      <c r="I5044" s="450" t="s">
        <v>35466</v>
      </c>
      <c r="J5044" s="450" t="s">
        <v>35467</v>
      </c>
      <c r="K5044" s="450"/>
    </row>
    <row r="5045" spans="1:11">
      <c r="A5045" s="451" t="s">
        <v>8468</v>
      </c>
      <c r="B5045" s="451" t="s">
        <v>8469</v>
      </c>
      <c r="C5045" s="451" t="s">
        <v>8470</v>
      </c>
      <c r="D5045" s="451" t="s">
        <v>8471</v>
      </c>
      <c r="E5045" s="451" t="s">
        <v>8472</v>
      </c>
      <c r="F5045" s="451"/>
      <c r="G5045" s="451" t="s">
        <v>23525</v>
      </c>
      <c r="H5045" s="451" t="s">
        <v>22878</v>
      </c>
      <c r="I5045" s="451" t="s">
        <v>31332</v>
      </c>
      <c r="J5045" s="451" t="s">
        <v>8469</v>
      </c>
      <c r="K5045" s="451"/>
    </row>
    <row r="5046" spans="1:11">
      <c r="A5046" s="450" t="s">
        <v>21071</v>
      </c>
      <c r="B5046" s="450" t="s">
        <v>25731</v>
      </c>
      <c r="C5046" s="450" t="s">
        <v>25732</v>
      </c>
      <c r="D5046" s="450" t="s">
        <v>25733</v>
      </c>
      <c r="E5046" s="450"/>
      <c r="F5046" s="450"/>
      <c r="G5046" s="450" t="s">
        <v>22877</v>
      </c>
      <c r="H5046" s="450" t="s">
        <v>22878</v>
      </c>
      <c r="I5046" s="450" t="s">
        <v>23021</v>
      </c>
      <c r="J5046" s="450" t="s">
        <v>25734</v>
      </c>
      <c r="K5046" s="450"/>
    </row>
    <row r="5047" spans="1:11">
      <c r="A5047" s="451" t="s">
        <v>21071</v>
      </c>
      <c r="B5047" s="451" t="s">
        <v>21072</v>
      </c>
      <c r="C5047" s="451" t="s">
        <v>13233</v>
      </c>
      <c r="D5047" s="451"/>
      <c r="E5047" s="451"/>
      <c r="F5047" s="451"/>
      <c r="G5047" s="451" t="s">
        <v>31333</v>
      </c>
      <c r="H5047" s="451" t="s">
        <v>22878</v>
      </c>
      <c r="I5047" s="451"/>
      <c r="J5047" s="451" t="s">
        <v>31334</v>
      </c>
      <c r="K5047" s="451"/>
    </row>
    <row r="5048" spans="1:11">
      <c r="A5048" s="450" t="s">
        <v>35468</v>
      </c>
      <c r="B5048" s="450" t="s">
        <v>8474</v>
      </c>
      <c r="C5048" s="450" t="s">
        <v>8475</v>
      </c>
      <c r="D5048" s="450" t="s">
        <v>8476</v>
      </c>
      <c r="E5048" s="450"/>
      <c r="F5048" s="450"/>
      <c r="G5048" s="450" t="s">
        <v>22882</v>
      </c>
      <c r="H5048" s="450" t="s">
        <v>22883</v>
      </c>
      <c r="I5048" s="450" t="s">
        <v>8476</v>
      </c>
      <c r="J5048" s="450" t="s">
        <v>35469</v>
      </c>
      <c r="K5048" s="450"/>
    </row>
    <row r="5049" spans="1:11">
      <c r="A5049" s="451" t="s">
        <v>8473</v>
      </c>
      <c r="B5049" s="451" t="s">
        <v>8474</v>
      </c>
      <c r="C5049" s="451" t="s">
        <v>8475</v>
      </c>
      <c r="D5049" s="451" t="s">
        <v>8476</v>
      </c>
      <c r="E5049" s="451" t="s">
        <v>8477</v>
      </c>
      <c r="F5049" s="451"/>
      <c r="G5049" s="451" t="s">
        <v>23052</v>
      </c>
      <c r="H5049" s="451" t="s">
        <v>22878</v>
      </c>
      <c r="I5049" s="451" t="s">
        <v>31335</v>
      </c>
      <c r="J5049" s="451" t="s">
        <v>8474</v>
      </c>
      <c r="K5049" s="451"/>
    </row>
    <row r="5050" spans="1:11">
      <c r="A5050" s="450" t="s">
        <v>8478</v>
      </c>
      <c r="B5050" s="450"/>
      <c r="C5050" s="450" t="s">
        <v>8479</v>
      </c>
      <c r="D5050" s="450"/>
      <c r="E5050" s="450"/>
      <c r="F5050" s="450"/>
      <c r="G5050" s="450" t="s">
        <v>22877</v>
      </c>
      <c r="H5050" s="450" t="s">
        <v>22878</v>
      </c>
      <c r="I5050" s="450" t="s">
        <v>25735</v>
      </c>
      <c r="J5050" s="450" t="s">
        <v>22939</v>
      </c>
      <c r="K5050" s="450"/>
    </row>
    <row r="5051" spans="1:11">
      <c r="A5051" s="451" t="s">
        <v>25736</v>
      </c>
      <c r="B5051" s="451" t="s">
        <v>8480</v>
      </c>
      <c r="C5051" s="451" t="s">
        <v>4716</v>
      </c>
      <c r="D5051" s="451" t="s">
        <v>8481</v>
      </c>
      <c r="E5051" s="451"/>
      <c r="F5051" s="451"/>
      <c r="G5051" s="451" t="s">
        <v>22882</v>
      </c>
      <c r="H5051" s="451" t="s">
        <v>22883</v>
      </c>
      <c r="I5051" s="451" t="s">
        <v>8481</v>
      </c>
      <c r="J5051" s="451" t="s">
        <v>25737</v>
      </c>
      <c r="K5051" s="451"/>
    </row>
    <row r="5052" spans="1:11">
      <c r="A5052" s="450" t="s">
        <v>25738</v>
      </c>
      <c r="B5052" s="450" t="s">
        <v>8483</v>
      </c>
      <c r="C5052" s="450" t="s">
        <v>5060</v>
      </c>
      <c r="D5052" s="450" t="s">
        <v>8484</v>
      </c>
      <c r="E5052" s="450"/>
      <c r="F5052" s="450"/>
      <c r="G5052" s="450" t="s">
        <v>22877</v>
      </c>
      <c r="H5052" s="450" t="s">
        <v>22878</v>
      </c>
      <c r="I5052" s="450" t="s">
        <v>8484</v>
      </c>
      <c r="J5052" s="450" t="s">
        <v>25739</v>
      </c>
      <c r="K5052" s="450"/>
    </row>
    <row r="5053" spans="1:11">
      <c r="A5053" s="451" t="s">
        <v>25740</v>
      </c>
      <c r="B5053" s="451" t="s">
        <v>8492</v>
      </c>
      <c r="C5053" s="451" t="s">
        <v>25351</v>
      </c>
      <c r="D5053" s="451"/>
      <c r="E5053" s="451"/>
      <c r="F5053" s="451"/>
      <c r="G5053" s="451" t="s">
        <v>22882</v>
      </c>
      <c r="H5053" s="451" t="s">
        <v>22883</v>
      </c>
      <c r="I5053" s="451"/>
      <c r="J5053" s="451" t="s">
        <v>25741</v>
      </c>
      <c r="K5053" s="451"/>
    </row>
    <row r="5054" spans="1:11">
      <c r="A5054" s="450" t="s">
        <v>8495</v>
      </c>
      <c r="B5054" s="450" t="s">
        <v>8496</v>
      </c>
      <c r="C5054" s="450" t="s">
        <v>8497</v>
      </c>
      <c r="D5054" s="450" t="s">
        <v>8498</v>
      </c>
      <c r="E5054" s="450" t="s">
        <v>8499</v>
      </c>
      <c r="F5054" s="450"/>
      <c r="G5054" s="450" t="s">
        <v>31336</v>
      </c>
      <c r="H5054" s="450" t="s">
        <v>22878</v>
      </c>
      <c r="I5054" s="450" t="s">
        <v>31337</v>
      </c>
      <c r="J5054" s="450" t="s">
        <v>31338</v>
      </c>
      <c r="K5054" s="450"/>
    </row>
    <row r="5055" spans="1:11">
      <c r="A5055" s="451" t="s">
        <v>8500</v>
      </c>
      <c r="B5055" s="451" t="s">
        <v>25742</v>
      </c>
      <c r="C5055" s="451" t="s">
        <v>4037</v>
      </c>
      <c r="D5055" s="451" t="s">
        <v>8502</v>
      </c>
      <c r="E5055" s="451"/>
      <c r="F5055" s="451"/>
      <c r="G5055" s="451" t="s">
        <v>22877</v>
      </c>
      <c r="H5055" s="451" t="s">
        <v>22878</v>
      </c>
      <c r="I5055" s="451" t="s">
        <v>8484</v>
      </c>
      <c r="J5055" s="451" t="s">
        <v>25743</v>
      </c>
      <c r="K5055" s="451"/>
    </row>
    <row r="5056" spans="1:11">
      <c r="A5056" s="450" t="s">
        <v>8500</v>
      </c>
      <c r="B5056" s="450" t="s">
        <v>8501</v>
      </c>
      <c r="C5056" s="450" t="s">
        <v>4037</v>
      </c>
      <c r="D5056" s="450" t="s">
        <v>8502</v>
      </c>
      <c r="E5056" s="450" t="s">
        <v>8503</v>
      </c>
      <c r="F5056" s="450"/>
      <c r="G5056" s="450" t="s">
        <v>31339</v>
      </c>
      <c r="H5056" s="450" t="s">
        <v>22878</v>
      </c>
      <c r="I5056" s="450"/>
      <c r="J5056" s="450" t="s">
        <v>8501</v>
      </c>
      <c r="K5056" s="450"/>
    </row>
    <row r="5057" spans="1:11">
      <c r="A5057" s="451" t="s">
        <v>8504</v>
      </c>
      <c r="B5057" s="451" t="s">
        <v>8505</v>
      </c>
      <c r="C5057" s="451" t="s">
        <v>5075</v>
      </c>
      <c r="D5057" s="451" t="s">
        <v>8506</v>
      </c>
      <c r="E5057" s="451"/>
      <c r="F5057" s="451" t="s">
        <v>8508</v>
      </c>
      <c r="G5057" s="451" t="s">
        <v>22877</v>
      </c>
      <c r="H5057" s="451" t="s">
        <v>22878</v>
      </c>
      <c r="I5057" s="451" t="s">
        <v>8506</v>
      </c>
      <c r="J5057" s="451" t="s">
        <v>35470</v>
      </c>
      <c r="K5057" s="451"/>
    </row>
    <row r="5058" spans="1:11">
      <c r="A5058" s="450" t="s">
        <v>8504</v>
      </c>
      <c r="B5058" s="450" t="s">
        <v>8505</v>
      </c>
      <c r="C5058" s="450" t="s">
        <v>5075</v>
      </c>
      <c r="D5058" s="450" t="s">
        <v>8506</v>
      </c>
      <c r="E5058" s="450" t="s">
        <v>8507</v>
      </c>
      <c r="F5058" s="450" t="s">
        <v>8508</v>
      </c>
      <c r="G5058" s="450" t="s">
        <v>31340</v>
      </c>
      <c r="H5058" s="450" t="s">
        <v>22878</v>
      </c>
      <c r="I5058" s="450"/>
      <c r="J5058" s="450" t="s">
        <v>31341</v>
      </c>
      <c r="K5058" s="450"/>
    </row>
    <row r="5059" spans="1:11">
      <c r="A5059" s="451" t="s">
        <v>8509</v>
      </c>
      <c r="B5059" s="451" t="s">
        <v>25744</v>
      </c>
      <c r="C5059" s="451" t="s">
        <v>8511</v>
      </c>
      <c r="D5059" s="451" t="s">
        <v>8512</v>
      </c>
      <c r="E5059" s="451"/>
      <c r="F5059" s="451"/>
      <c r="G5059" s="451" t="s">
        <v>22877</v>
      </c>
      <c r="H5059" s="451" t="s">
        <v>22878</v>
      </c>
      <c r="I5059" s="451" t="s">
        <v>8512</v>
      </c>
      <c r="J5059" s="451" t="s">
        <v>25745</v>
      </c>
      <c r="K5059" s="451"/>
    </row>
    <row r="5060" spans="1:11">
      <c r="A5060" s="450" t="s">
        <v>8509</v>
      </c>
      <c r="B5060" s="450" t="s">
        <v>8510</v>
      </c>
      <c r="C5060" s="450" t="s">
        <v>8511</v>
      </c>
      <c r="D5060" s="450" t="s">
        <v>8512</v>
      </c>
      <c r="E5060" s="450" t="s">
        <v>8513</v>
      </c>
      <c r="F5060" s="450"/>
      <c r="G5060" s="450" t="s">
        <v>31342</v>
      </c>
      <c r="H5060" s="450" t="s">
        <v>22878</v>
      </c>
      <c r="I5060" s="450"/>
      <c r="J5060" s="450" t="s">
        <v>31343</v>
      </c>
      <c r="K5060" s="450"/>
    </row>
    <row r="5061" spans="1:11">
      <c r="A5061" s="451" t="s">
        <v>8514</v>
      </c>
      <c r="B5061" s="451" t="s">
        <v>8515</v>
      </c>
      <c r="C5061" s="451" t="s">
        <v>8516</v>
      </c>
      <c r="D5061" s="451" t="s">
        <v>8517</v>
      </c>
      <c r="E5061" s="451"/>
      <c r="F5061" s="451"/>
      <c r="G5061" s="451" t="s">
        <v>22877</v>
      </c>
      <c r="H5061" s="451" t="s">
        <v>22878</v>
      </c>
      <c r="I5061" s="451" t="s">
        <v>35471</v>
      </c>
      <c r="J5061" s="451" t="s">
        <v>35472</v>
      </c>
      <c r="K5061" s="451"/>
    </row>
    <row r="5062" spans="1:11">
      <c r="A5062" s="450" t="s">
        <v>8514</v>
      </c>
      <c r="B5062" s="450" t="s">
        <v>8515</v>
      </c>
      <c r="C5062" s="450" t="s">
        <v>8516</v>
      </c>
      <c r="D5062" s="450" t="s">
        <v>8517</v>
      </c>
      <c r="E5062" s="450" t="s">
        <v>8518</v>
      </c>
      <c r="F5062" s="450"/>
      <c r="G5062" s="450" t="s">
        <v>31344</v>
      </c>
      <c r="H5062" s="450" t="s">
        <v>22878</v>
      </c>
      <c r="I5062" s="450"/>
      <c r="J5062" s="450" t="s">
        <v>31345</v>
      </c>
      <c r="K5062" s="450"/>
    </row>
    <row r="5063" spans="1:11">
      <c r="A5063" s="451" t="s">
        <v>8519</v>
      </c>
      <c r="B5063" s="451"/>
      <c r="C5063" s="451" t="s">
        <v>8520</v>
      </c>
      <c r="D5063" s="451"/>
      <c r="E5063" s="451"/>
      <c r="F5063" s="451"/>
      <c r="G5063" s="451" t="s">
        <v>22877</v>
      </c>
      <c r="H5063" s="451" t="s">
        <v>22878</v>
      </c>
      <c r="I5063" s="451" t="s">
        <v>25746</v>
      </c>
      <c r="J5063" s="451" t="s">
        <v>22939</v>
      </c>
      <c r="K5063" s="451"/>
    </row>
    <row r="5064" spans="1:11">
      <c r="A5064" s="450" t="s">
        <v>8521</v>
      </c>
      <c r="B5064" s="450" t="s">
        <v>8522</v>
      </c>
      <c r="C5064" s="450" t="s">
        <v>8523</v>
      </c>
      <c r="D5064" s="450" t="s">
        <v>8524</v>
      </c>
      <c r="E5064" s="450"/>
      <c r="F5064" s="450"/>
      <c r="G5064" s="450" t="s">
        <v>22882</v>
      </c>
      <c r="H5064" s="450" t="s">
        <v>22883</v>
      </c>
      <c r="I5064" s="450" t="s">
        <v>25747</v>
      </c>
      <c r="J5064" s="450" t="s">
        <v>25748</v>
      </c>
      <c r="K5064" s="450"/>
    </row>
    <row r="5065" spans="1:11">
      <c r="A5065" s="451" t="s">
        <v>25749</v>
      </c>
      <c r="B5065" s="451" t="s">
        <v>8532</v>
      </c>
      <c r="C5065" s="451" t="s">
        <v>2896</v>
      </c>
      <c r="D5065" s="451" t="s">
        <v>8533</v>
      </c>
      <c r="E5065" s="451"/>
      <c r="F5065" s="451"/>
      <c r="G5065" s="451" t="s">
        <v>22877</v>
      </c>
      <c r="H5065" s="451" t="s">
        <v>22878</v>
      </c>
      <c r="I5065" s="451" t="s">
        <v>25750</v>
      </c>
      <c r="J5065" s="451" t="s">
        <v>25751</v>
      </c>
      <c r="K5065" s="451"/>
    </row>
    <row r="5066" spans="1:11">
      <c r="A5066" s="450" t="s">
        <v>8525</v>
      </c>
      <c r="B5066" s="450" t="s">
        <v>8544</v>
      </c>
      <c r="C5066" s="450" t="s">
        <v>8545</v>
      </c>
      <c r="D5066" s="450" t="s">
        <v>8526</v>
      </c>
      <c r="E5066" s="450"/>
      <c r="F5066" s="450" t="s">
        <v>25752</v>
      </c>
      <c r="G5066" s="450" t="s">
        <v>22877</v>
      </c>
      <c r="H5066" s="450" t="s">
        <v>22878</v>
      </c>
      <c r="I5066" s="450" t="s">
        <v>25753</v>
      </c>
      <c r="J5066" s="450" t="s">
        <v>25754</v>
      </c>
      <c r="K5066" s="450"/>
    </row>
    <row r="5067" spans="1:11">
      <c r="A5067" s="451" t="s">
        <v>8525</v>
      </c>
      <c r="B5067" s="451"/>
      <c r="C5067" s="451"/>
      <c r="D5067" s="451" t="s">
        <v>8526</v>
      </c>
      <c r="E5067" s="451" t="s">
        <v>8527</v>
      </c>
      <c r="F5067" s="451"/>
      <c r="G5067" s="451" t="s">
        <v>31346</v>
      </c>
      <c r="H5067" s="451" t="s">
        <v>22878</v>
      </c>
      <c r="I5067" s="451" t="s">
        <v>8526</v>
      </c>
      <c r="J5067" s="451"/>
      <c r="K5067" s="451"/>
    </row>
    <row r="5068" spans="1:11">
      <c r="A5068" s="450" t="s">
        <v>8528</v>
      </c>
      <c r="B5068" s="450" t="s">
        <v>8529</v>
      </c>
      <c r="C5068" s="450" t="s">
        <v>8530</v>
      </c>
      <c r="D5068" s="450"/>
      <c r="E5068" s="450"/>
      <c r="F5068" s="450"/>
      <c r="G5068" s="450" t="s">
        <v>22877</v>
      </c>
      <c r="H5068" s="450" t="s">
        <v>22878</v>
      </c>
      <c r="I5068" s="450" t="s">
        <v>25755</v>
      </c>
      <c r="J5068" s="450" t="s">
        <v>25756</v>
      </c>
      <c r="K5068" s="450"/>
    </row>
    <row r="5069" spans="1:11">
      <c r="A5069" s="451" t="s">
        <v>25757</v>
      </c>
      <c r="B5069" s="451" t="s">
        <v>25758</v>
      </c>
      <c r="C5069" s="451" t="s">
        <v>8548</v>
      </c>
      <c r="D5069" s="451" t="s">
        <v>8549</v>
      </c>
      <c r="E5069" s="451"/>
      <c r="F5069" s="451"/>
      <c r="G5069" s="451" t="s">
        <v>22877</v>
      </c>
      <c r="H5069" s="451" t="s">
        <v>22878</v>
      </c>
      <c r="I5069" s="451" t="s">
        <v>25750</v>
      </c>
      <c r="J5069" s="451" t="s">
        <v>25759</v>
      </c>
      <c r="K5069" s="451"/>
    </row>
    <row r="5070" spans="1:11">
      <c r="A5070" s="450" t="s">
        <v>35473</v>
      </c>
      <c r="B5070" s="450" t="s">
        <v>8536</v>
      </c>
      <c r="C5070" s="450" t="s">
        <v>8537</v>
      </c>
      <c r="D5070" s="450" t="s">
        <v>8538</v>
      </c>
      <c r="E5070" s="450"/>
      <c r="F5070" s="450"/>
      <c r="G5070" s="450" t="s">
        <v>22877</v>
      </c>
      <c r="H5070" s="450" t="s">
        <v>22878</v>
      </c>
      <c r="I5070" s="450" t="s">
        <v>35474</v>
      </c>
      <c r="J5070" s="450" t="s">
        <v>35475</v>
      </c>
      <c r="K5070" s="450"/>
    </row>
    <row r="5071" spans="1:11">
      <c r="A5071" s="451" t="s">
        <v>8531</v>
      </c>
      <c r="B5071" s="451" t="s">
        <v>8532</v>
      </c>
      <c r="C5071" s="451" t="s">
        <v>2896</v>
      </c>
      <c r="D5071" s="451" t="s">
        <v>8533</v>
      </c>
      <c r="E5071" s="451" t="s">
        <v>8534</v>
      </c>
      <c r="F5071" s="451"/>
      <c r="G5071" s="451" t="s">
        <v>31347</v>
      </c>
      <c r="H5071" s="451" t="s">
        <v>22878</v>
      </c>
      <c r="I5071" s="451" t="s">
        <v>24</v>
      </c>
      <c r="J5071" s="451" t="s">
        <v>35476</v>
      </c>
      <c r="K5071" s="451"/>
    </row>
    <row r="5072" spans="1:11">
      <c r="A5072" s="450" t="s">
        <v>8535</v>
      </c>
      <c r="B5072" s="450" t="s">
        <v>8536</v>
      </c>
      <c r="C5072" s="450" t="s">
        <v>8537</v>
      </c>
      <c r="D5072" s="450" t="s">
        <v>8538</v>
      </c>
      <c r="E5072" s="450" t="s">
        <v>8538</v>
      </c>
      <c r="F5072" s="450"/>
      <c r="G5072" s="450" t="s">
        <v>31347</v>
      </c>
      <c r="H5072" s="450" t="s">
        <v>22878</v>
      </c>
      <c r="I5072" s="450" t="s">
        <v>24</v>
      </c>
      <c r="J5072" s="450" t="s">
        <v>8536</v>
      </c>
      <c r="K5072" s="450"/>
    </row>
    <row r="5073" spans="1:11">
      <c r="A5073" s="451" t="s">
        <v>8539</v>
      </c>
      <c r="B5073" s="451" t="s">
        <v>8540</v>
      </c>
      <c r="C5073" s="451" t="s">
        <v>8541</v>
      </c>
      <c r="D5073" s="451"/>
      <c r="E5073" s="451" t="s">
        <v>8542</v>
      </c>
      <c r="F5073" s="451"/>
      <c r="G5073" s="451" t="s">
        <v>23108</v>
      </c>
      <c r="H5073" s="451" t="s">
        <v>22878</v>
      </c>
      <c r="I5073" s="451"/>
      <c r="J5073" s="451" t="s">
        <v>8540</v>
      </c>
      <c r="K5073" s="451" t="s">
        <v>23726</v>
      </c>
    </row>
    <row r="5074" spans="1:11">
      <c r="A5074" s="450" t="s">
        <v>25760</v>
      </c>
      <c r="B5074" s="450" t="s">
        <v>8540</v>
      </c>
      <c r="C5074" s="450" t="s">
        <v>8541</v>
      </c>
      <c r="D5074" s="450"/>
      <c r="E5074" s="450"/>
      <c r="F5074" s="450"/>
      <c r="G5074" s="450" t="s">
        <v>22877</v>
      </c>
      <c r="H5074" s="450" t="s">
        <v>22878</v>
      </c>
      <c r="I5074" s="450" t="s">
        <v>25761</v>
      </c>
      <c r="J5074" s="450" t="s">
        <v>25762</v>
      </c>
      <c r="K5074" s="450"/>
    </row>
    <row r="5075" spans="1:11">
      <c r="A5075" s="451" t="s">
        <v>8543</v>
      </c>
      <c r="B5075" s="451" t="s">
        <v>8544</v>
      </c>
      <c r="C5075" s="451" t="s">
        <v>8545</v>
      </c>
      <c r="D5075" s="451" t="s">
        <v>8526</v>
      </c>
      <c r="E5075" s="451" t="s">
        <v>8527</v>
      </c>
      <c r="F5075" s="451" t="s">
        <v>8546</v>
      </c>
      <c r="G5075" s="451" t="s">
        <v>23525</v>
      </c>
      <c r="H5075" s="451" t="s">
        <v>22878</v>
      </c>
      <c r="I5075" s="451" t="s">
        <v>31348</v>
      </c>
      <c r="J5075" s="451" t="s">
        <v>31349</v>
      </c>
      <c r="K5075" s="451"/>
    </row>
    <row r="5076" spans="1:11">
      <c r="A5076" s="450" t="s">
        <v>8543</v>
      </c>
      <c r="B5076" s="450" t="s">
        <v>8547</v>
      </c>
      <c r="C5076" s="450" t="s">
        <v>8548</v>
      </c>
      <c r="D5076" s="450" t="s">
        <v>8549</v>
      </c>
      <c r="E5076" s="450" t="s">
        <v>8550</v>
      </c>
      <c r="F5076" s="450"/>
      <c r="G5076" s="450" t="s">
        <v>31350</v>
      </c>
      <c r="H5076" s="450" t="s">
        <v>22878</v>
      </c>
      <c r="I5076" s="450" t="s">
        <v>31351</v>
      </c>
      <c r="J5076" s="450" t="s">
        <v>31352</v>
      </c>
      <c r="K5076" s="450"/>
    </row>
    <row r="5077" spans="1:11">
      <c r="A5077" s="451" t="s">
        <v>35477</v>
      </c>
      <c r="B5077" s="451" t="s">
        <v>25763</v>
      </c>
      <c r="C5077" s="451" t="s">
        <v>25764</v>
      </c>
      <c r="D5077" s="451"/>
      <c r="E5077" s="451"/>
      <c r="F5077" s="451"/>
      <c r="G5077" s="451" t="s">
        <v>22877</v>
      </c>
      <c r="H5077" s="451" t="s">
        <v>22878</v>
      </c>
      <c r="I5077" s="451" t="s">
        <v>35478</v>
      </c>
      <c r="J5077" s="451" t="s">
        <v>35479</v>
      </c>
      <c r="K5077" s="451"/>
    </row>
    <row r="5078" spans="1:11">
      <c r="A5078" s="450" t="s">
        <v>30016</v>
      </c>
      <c r="B5078" s="450" t="s">
        <v>25763</v>
      </c>
      <c r="C5078" s="450" t="s">
        <v>25764</v>
      </c>
      <c r="D5078" s="450"/>
      <c r="E5078" s="450"/>
      <c r="F5078" s="450"/>
      <c r="G5078" s="450"/>
      <c r="H5078" s="450"/>
      <c r="I5078" s="450"/>
      <c r="J5078" s="450"/>
      <c r="K5078" s="450"/>
    </row>
    <row r="5079" spans="1:11">
      <c r="A5079" s="451" t="s">
        <v>25765</v>
      </c>
      <c r="B5079" s="451" t="s">
        <v>25766</v>
      </c>
      <c r="C5079" s="451" t="s">
        <v>25767</v>
      </c>
      <c r="D5079" s="451" t="s">
        <v>8553</v>
      </c>
      <c r="E5079" s="451"/>
      <c r="F5079" s="451" t="s">
        <v>25768</v>
      </c>
      <c r="G5079" s="451" t="s">
        <v>22877</v>
      </c>
      <c r="H5079" s="451" t="s">
        <v>22878</v>
      </c>
      <c r="I5079" s="451" t="s">
        <v>8553</v>
      </c>
      <c r="J5079" s="451" t="s">
        <v>25769</v>
      </c>
      <c r="K5079" s="451"/>
    </row>
    <row r="5080" spans="1:11">
      <c r="A5080" s="450" t="s">
        <v>8551</v>
      </c>
      <c r="B5080" s="450" t="s">
        <v>8552</v>
      </c>
      <c r="C5080" s="450" t="s">
        <v>2638</v>
      </c>
      <c r="D5080" s="450" t="s">
        <v>8553</v>
      </c>
      <c r="E5080" s="450" t="s">
        <v>8554</v>
      </c>
      <c r="F5080" s="450"/>
      <c r="G5080" s="450" t="s">
        <v>31353</v>
      </c>
      <c r="H5080" s="450" t="s">
        <v>22878</v>
      </c>
      <c r="I5080" s="450"/>
      <c r="J5080" s="450" t="s">
        <v>8552</v>
      </c>
      <c r="K5080" s="450"/>
    </row>
    <row r="5081" spans="1:11">
      <c r="A5081" s="451" t="s">
        <v>8555</v>
      </c>
      <c r="B5081" s="451" t="s">
        <v>8556</v>
      </c>
      <c r="C5081" s="451" t="s">
        <v>8557</v>
      </c>
      <c r="D5081" s="451" t="s">
        <v>8558</v>
      </c>
      <c r="E5081" s="451"/>
      <c r="F5081" s="451"/>
      <c r="G5081" s="451" t="s">
        <v>22877</v>
      </c>
      <c r="H5081" s="451" t="s">
        <v>22878</v>
      </c>
      <c r="I5081" s="451" t="s">
        <v>8558</v>
      </c>
      <c r="J5081" s="451" t="s">
        <v>25770</v>
      </c>
      <c r="K5081" s="451"/>
    </row>
    <row r="5082" spans="1:11">
      <c r="A5082" s="450" t="s">
        <v>8555</v>
      </c>
      <c r="B5082" s="450" t="s">
        <v>8556</v>
      </c>
      <c r="C5082" s="450" t="s">
        <v>8557</v>
      </c>
      <c r="D5082" s="450" t="s">
        <v>8558</v>
      </c>
      <c r="E5082" s="450" t="s">
        <v>8559</v>
      </c>
      <c r="F5082" s="450"/>
      <c r="G5082" s="450" t="s">
        <v>35480</v>
      </c>
      <c r="H5082" s="450" t="s">
        <v>22878</v>
      </c>
      <c r="I5082" s="450"/>
      <c r="J5082" s="450" t="s">
        <v>8556</v>
      </c>
      <c r="K5082" s="450"/>
    </row>
    <row r="5083" spans="1:11">
      <c r="A5083" s="451" t="s">
        <v>8560</v>
      </c>
      <c r="B5083" s="451" t="s">
        <v>8561</v>
      </c>
      <c r="C5083" s="451" t="s">
        <v>8562</v>
      </c>
      <c r="D5083" s="451" t="s">
        <v>8563</v>
      </c>
      <c r="E5083" s="451"/>
      <c r="F5083" s="451"/>
      <c r="G5083" s="451" t="s">
        <v>22882</v>
      </c>
      <c r="H5083" s="451" t="s">
        <v>22883</v>
      </c>
      <c r="I5083" s="451"/>
      <c r="J5083" s="451" t="s">
        <v>25771</v>
      </c>
      <c r="K5083" s="451"/>
    </row>
    <row r="5084" spans="1:11">
      <c r="A5084" s="450" t="s">
        <v>21707</v>
      </c>
      <c r="B5084" s="450" t="s">
        <v>25772</v>
      </c>
      <c r="C5084" s="450" t="s">
        <v>25773</v>
      </c>
      <c r="D5084" s="450" t="s">
        <v>21104</v>
      </c>
      <c r="E5084" s="450"/>
      <c r="F5084" s="450"/>
      <c r="G5084" s="450" t="s">
        <v>22877</v>
      </c>
      <c r="H5084" s="450" t="s">
        <v>22878</v>
      </c>
      <c r="I5084" s="450" t="s">
        <v>25774</v>
      </c>
      <c r="J5084" s="450" t="s">
        <v>25775</v>
      </c>
      <c r="K5084" s="450"/>
    </row>
    <row r="5085" spans="1:11">
      <c r="A5085" s="451" t="s">
        <v>21707</v>
      </c>
      <c r="B5085" s="451" t="s">
        <v>21102</v>
      </c>
      <c r="C5085" s="451" t="s">
        <v>21103</v>
      </c>
      <c r="D5085" s="451" t="s">
        <v>21104</v>
      </c>
      <c r="E5085" s="451"/>
      <c r="F5085" s="451"/>
      <c r="G5085" s="451" t="s">
        <v>31354</v>
      </c>
      <c r="H5085" s="451" t="s">
        <v>22878</v>
      </c>
      <c r="I5085" s="451"/>
      <c r="J5085" s="451" t="s">
        <v>24</v>
      </c>
      <c r="K5085" s="451"/>
    </row>
    <row r="5086" spans="1:11">
      <c r="A5086" s="450" t="s">
        <v>8564</v>
      </c>
      <c r="B5086" s="450"/>
      <c r="C5086" s="450" t="s">
        <v>998</v>
      </c>
      <c r="D5086" s="450"/>
      <c r="E5086" s="450"/>
      <c r="F5086" s="450"/>
      <c r="G5086" s="450" t="s">
        <v>22877</v>
      </c>
      <c r="H5086" s="450" t="s">
        <v>22878</v>
      </c>
      <c r="I5086" s="450" t="s">
        <v>25776</v>
      </c>
      <c r="J5086" s="450" t="s">
        <v>22939</v>
      </c>
      <c r="K5086" s="450"/>
    </row>
    <row r="5087" spans="1:11">
      <c r="A5087" s="451" t="s">
        <v>8565</v>
      </c>
      <c r="B5087" s="451" t="s">
        <v>8566</v>
      </c>
      <c r="C5087" s="451" t="s">
        <v>3171</v>
      </c>
      <c r="D5087" s="451" t="s">
        <v>8567</v>
      </c>
      <c r="E5087" s="451"/>
      <c r="F5087" s="451"/>
      <c r="G5087" s="451" t="s">
        <v>22882</v>
      </c>
      <c r="H5087" s="451" t="s">
        <v>22883</v>
      </c>
      <c r="I5087" s="451"/>
      <c r="J5087" s="451" t="s">
        <v>35481</v>
      </c>
      <c r="K5087" s="451"/>
    </row>
    <row r="5088" spans="1:11">
      <c r="A5088" s="450" t="s">
        <v>8565</v>
      </c>
      <c r="B5088" s="450" t="s">
        <v>8566</v>
      </c>
      <c r="C5088" s="450" t="s">
        <v>3171</v>
      </c>
      <c r="D5088" s="450" t="s">
        <v>8567</v>
      </c>
      <c r="E5088" s="450" t="s">
        <v>8568</v>
      </c>
      <c r="F5088" s="450"/>
      <c r="G5088" s="450" t="s">
        <v>31355</v>
      </c>
      <c r="H5088" s="450" t="s">
        <v>22878</v>
      </c>
      <c r="I5088" s="450" t="s">
        <v>24</v>
      </c>
      <c r="J5088" s="450" t="s">
        <v>8566</v>
      </c>
      <c r="K5088" s="450"/>
    </row>
    <row r="5089" spans="1:11">
      <c r="A5089" s="451" t="s">
        <v>35482</v>
      </c>
      <c r="B5089" s="451"/>
      <c r="C5089" s="451" t="s">
        <v>2311</v>
      </c>
      <c r="D5089" s="451"/>
      <c r="E5089" s="451"/>
      <c r="F5089" s="451"/>
      <c r="G5089" s="451" t="s">
        <v>22877</v>
      </c>
      <c r="H5089" s="451" t="s">
        <v>22878</v>
      </c>
      <c r="I5089" s="451" t="s">
        <v>35483</v>
      </c>
      <c r="J5089" s="451" t="s">
        <v>22997</v>
      </c>
      <c r="K5089" s="451"/>
    </row>
    <row r="5090" spans="1:11">
      <c r="A5090" s="450" t="s">
        <v>8569</v>
      </c>
      <c r="B5090" s="450"/>
      <c r="C5090" s="450" t="s">
        <v>2311</v>
      </c>
      <c r="D5090" s="450"/>
      <c r="E5090" s="450"/>
      <c r="F5090" s="450"/>
      <c r="G5090" s="450" t="s">
        <v>35484</v>
      </c>
      <c r="H5090" s="450" t="s">
        <v>22878</v>
      </c>
      <c r="I5090" s="450"/>
      <c r="J5090" s="450"/>
      <c r="K5090" s="450"/>
    </row>
    <row r="5091" spans="1:11">
      <c r="A5091" s="451" t="s">
        <v>8570</v>
      </c>
      <c r="B5091" s="451"/>
      <c r="C5091" s="451" t="s">
        <v>8571</v>
      </c>
      <c r="D5091" s="451"/>
      <c r="E5091" s="451"/>
      <c r="F5091" s="451"/>
      <c r="G5091" s="451" t="s">
        <v>22877</v>
      </c>
      <c r="H5091" s="451" t="s">
        <v>22878</v>
      </c>
      <c r="I5091" s="451" t="s">
        <v>25777</v>
      </c>
      <c r="J5091" s="451" t="s">
        <v>23121</v>
      </c>
      <c r="K5091" s="451"/>
    </row>
    <row r="5092" spans="1:11">
      <c r="A5092" s="450" t="s">
        <v>35485</v>
      </c>
      <c r="B5092" s="450" t="s">
        <v>8573</v>
      </c>
      <c r="C5092" s="450" t="s">
        <v>8574</v>
      </c>
      <c r="D5092" s="450" t="s">
        <v>8575</v>
      </c>
      <c r="E5092" s="450"/>
      <c r="F5092" s="450"/>
      <c r="G5092" s="450" t="s">
        <v>22877</v>
      </c>
      <c r="H5092" s="450" t="s">
        <v>22878</v>
      </c>
      <c r="I5092" s="450" t="s">
        <v>8575</v>
      </c>
      <c r="J5092" s="450" t="s">
        <v>35486</v>
      </c>
      <c r="K5092" s="450"/>
    </row>
    <row r="5093" spans="1:11">
      <c r="A5093" s="451" t="s">
        <v>8572</v>
      </c>
      <c r="B5093" s="451" t="s">
        <v>8573</v>
      </c>
      <c r="C5093" s="451" t="s">
        <v>8574</v>
      </c>
      <c r="D5093" s="451" t="s">
        <v>8575</v>
      </c>
      <c r="E5093" s="451" t="s">
        <v>8576</v>
      </c>
      <c r="F5093" s="451"/>
      <c r="G5093" s="451" t="s">
        <v>31356</v>
      </c>
      <c r="H5093" s="451" t="s">
        <v>22878</v>
      </c>
      <c r="I5093" s="451"/>
      <c r="J5093" s="451" t="s">
        <v>8573</v>
      </c>
      <c r="K5093" s="451"/>
    </row>
    <row r="5094" spans="1:11">
      <c r="A5094" s="450" t="s">
        <v>8577</v>
      </c>
      <c r="B5094" s="450" t="s">
        <v>8578</v>
      </c>
      <c r="C5094" s="450" t="s">
        <v>8579</v>
      </c>
      <c r="D5094" s="450" t="s">
        <v>8580</v>
      </c>
      <c r="E5094" s="450"/>
      <c r="F5094" s="450"/>
      <c r="G5094" s="450" t="s">
        <v>22882</v>
      </c>
      <c r="H5094" s="450" t="s">
        <v>22883</v>
      </c>
      <c r="I5094" s="450" t="s">
        <v>22890</v>
      </c>
      <c r="J5094" s="450" t="s">
        <v>25778</v>
      </c>
      <c r="K5094" s="450"/>
    </row>
    <row r="5095" spans="1:11">
      <c r="A5095" s="451" t="s">
        <v>35487</v>
      </c>
      <c r="B5095" s="451" t="s">
        <v>8581</v>
      </c>
      <c r="C5095" s="451" t="s">
        <v>8582</v>
      </c>
      <c r="D5095" s="451" t="s">
        <v>8583</v>
      </c>
      <c r="E5095" s="451"/>
      <c r="F5095" s="451"/>
      <c r="G5095" s="451" t="s">
        <v>22877</v>
      </c>
      <c r="H5095" s="451" t="s">
        <v>22878</v>
      </c>
      <c r="I5095" s="451" t="s">
        <v>35488</v>
      </c>
      <c r="J5095" s="451" t="s">
        <v>35489</v>
      </c>
      <c r="K5095" s="451"/>
    </row>
    <row r="5096" spans="1:11">
      <c r="A5096" s="450" t="s">
        <v>21708</v>
      </c>
      <c r="B5096" s="450" t="s">
        <v>8581</v>
      </c>
      <c r="C5096" s="450" t="s">
        <v>8582</v>
      </c>
      <c r="D5096" s="450" t="s">
        <v>8583</v>
      </c>
      <c r="E5096" s="450" t="s">
        <v>8584</v>
      </c>
      <c r="F5096" s="450"/>
      <c r="G5096" s="450" t="s">
        <v>31357</v>
      </c>
      <c r="H5096" s="450" t="s">
        <v>22878</v>
      </c>
      <c r="I5096" s="450"/>
      <c r="J5096" s="450" t="s">
        <v>8581</v>
      </c>
      <c r="K5096" s="450"/>
    </row>
    <row r="5097" spans="1:11">
      <c r="A5097" s="451" t="s">
        <v>8585</v>
      </c>
      <c r="B5097" s="451"/>
      <c r="C5097" s="451" t="s">
        <v>8586</v>
      </c>
      <c r="D5097" s="451"/>
      <c r="E5097" s="451"/>
      <c r="F5097" s="451"/>
      <c r="G5097" s="451" t="s">
        <v>22877</v>
      </c>
      <c r="H5097" s="451" t="s">
        <v>22878</v>
      </c>
      <c r="I5097" s="451" t="s">
        <v>25779</v>
      </c>
      <c r="J5097" s="451" t="s">
        <v>23185</v>
      </c>
      <c r="K5097" s="451"/>
    </row>
    <row r="5098" spans="1:11">
      <c r="A5098" s="450" t="s">
        <v>35490</v>
      </c>
      <c r="B5098" s="450" t="s">
        <v>7435</v>
      </c>
      <c r="C5098" s="450" t="s">
        <v>35491</v>
      </c>
      <c r="D5098" s="450" t="s">
        <v>7437</v>
      </c>
      <c r="E5098" s="450"/>
      <c r="F5098" s="450"/>
      <c r="G5098" s="450" t="s">
        <v>22877</v>
      </c>
      <c r="H5098" s="450" t="s">
        <v>22878</v>
      </c>
      <c r="I5098" s="450" t="s">
        <v>7437</v>
      </c>
      <c r="J5098" s="450" t="s">
        <v>35002</v>
      </c>
      <c r="K5098" s="450"/>
    </row>
    <row r="5099" spans="1:11">
      <c r="A5099" s="451" t="s">
        <v>8587</v>
      </c>
      <c r="B5099" s="451" t="s">
        <v>7435</v>
      </c>
      <c r="C5099" s="451" t="s">
        <v>8588</v>
      </c>
      <c r="D5099" s="451" t="s">
        <v>7437</v>
      </c>
      <c r="E5099" s="451" t="s">
        <v>7438</v>
      </c>
      <c r="F5099" s="451"/>
      <c r="G5099" s="451" t="s">
        <v>23525</v>
      </c>
      <c r="H5099" s="451" t="s">
        <v>22878</v>
      </c>
      <c r="I5099" s="451" t="s">
        <v>31358</v>
      </c>
      <c r="J5099" s="451" t="s">
        <v>7435</v>
      </c>
      <c r="K5099" s="451"/>
    </row>
    <row r="5100" spans="1:11">
      <c r="A5100" s="450" t="s">
        <v>8596</v>
      </c>
      <c r="B5100" s="450" t="s">
        <v>8597</v>
      </c>
      <c r="C5100" s="450" t="s">
        <v>8598</v>
      </c>
      <c r="D5100" s="450" t="s">
        <v>8599</v>
      </c>
      <c r="E5100" s="450"/>
      <c r="F5100" s="450"/>
      <c r="G5100" s="450" t="s">
        <v>31359</v>
      </c>
      <c r="H5100" s="450" t="s">
        <v>22878</v>
      </c>
      <c r="I5100" s="450"/>
      <c r="J5100" s="450" t="s">
        <v>31360</v>
      </c>
      <c r="K5100" s="450"/>
    </row>
    <row r="5101" spans="1:11">
      <c r="A5101" s="451" t="s">
        <v>21709</v>
      </c>
      <c r="B5101" s="451"/>
      <c r="C5101" s="451" t="s">
        <v>1427</v>
      </c>
      <c r="D5101" s="451"/>
      <c r="E5101" s="451"/>
      <c r="F5101" s="451"/>
      <c r="G5101" s="451" t="s">
        <v>22877</v>
      </c>
      <c r="H5101" s="451" t="s">
        <v>22878</v>
      </c>
      <c r="I5101" s="451" t="s">
        <v>25780</v>
      </c>
      <c r="J5101" s="451" t="s">
        <v>22943</v>
      </c>
      <c r="K5101" s="451"/>
    </row>
    <row r="5102" spans="1:11">
      <c r="A5102" s="450" t="s">
        <v>21710</v>
      </c>
      <c r="B5102" s="450" t="s">
        <v>8589</v>
      </c>
      <c r="C5102" s="450" t="s">
        <v>8590</v>
      </c>
      <c r="D5102" s="450" t="s">
        <v>8591</v>
      </c>
      <c r="E5102" s="450"/>
      <c r="F5102" s="450"/>
      <c r="G5102" s="450" t="s">
        <v>22877</v>
      </c>
      <c r="H5102" s="450" t="s">
        <v>22878</v>
      </c>
      <c r="I5102" s="450" t="s">
        <v>35492</v>
      </c>
      <c r="J5102" s="450" t="s">
        <v>35493</v>
      </c>
      <c r="K5102" s="450"/>
    </row>
    <row r="5103" spans="1:11">
      <c r="A5103" s="451" t="s">
        <v>21710</v>
      </c>
      <c r="B5103" s="451" t="s">
        <v>8589</v>
      </c>
      <c r="C5103" s="451" t="s">
        <v>8590</v>
      </c>
      <c r="D5103" s="451" t="s">
        <v>8591</v>
      </c>
      <c r="E5103" s="451" t="s">
        <v>8592</v>
      </c>
      <c r="F5103" s="451"/>
      <c r="G5103" s="451" t="s">
        <v>31361</v>
      </c>
      <c r="H5103" s="451" t="s">
        <v>22878</v>
      </c>
      <c r="I5103" s="451" t="s">
        <v>31362</v>
      </c>
      <c r="J5103" s="451" t="s">
        <v>8589</v>
      </c>
      <c r="K5103" s="451"/>
    </row>
    <row r="5104" spans="1:11">
      <c r="A5104" s="450" t="s">
        <v>21711</v>
      </c>
      <c r="B5104" s="450" t="s">
        <v>8593</v>
      </c>
      <c r="C5104" s="450" t="s">
        <v>6563</v>
      </c>
      <c r="D5104" s="450" t="s">
        <v>8594</v>
      </c>
      <c r="E5104" s="450"/>
      <c r="F5104" s="450"/>
      <c r="G5104" s="450" t="s">
        <v>22877</v>
      </c>
      <c r="H5104" s="450" t="s">
        <v>22878</v>
      </c>
      <c r="I5104" s="450" t="s">
        <v>8594</v>
      </c>
      <c r="J5104" s="450" t="s">
        <v>35494</v>
      </c>
      <c r="K5104" s="450"/>
    </row>
    <row r="5105" spans="1:11">
      <c r="A5105" s="451" t="s">
        <v>21711</v>
      </c>
      <c r="B5105" s="451" t="s">
        <v>8593</v>
      </c>
      <c r="C5105" s="451" t="s">
        <v>6563</v>
      </c>
      <c r="D5105" s="451" t="s">
        <v>8594</v>
      </c>
      <c r="E5105" s="451" t="s">
        <v>8595</v>
      </c>
      <c r="F5105" s="451"/>
      <c r="G5105" s="451" t="s">
        <v>31363</v>
      </c>
      <c r="H5105" s="451" t="s">
        <v>22878</v>
      </c>
      <c r="I5105" s="451"/>
      <c r="J5105" s="451" t="s">
        <v>31364</v>
      </c>
      <c r="K5105" s="451"/>
    </row>
    <row r="5106" spans="1:11">
      <c r="A5106" s="450" t="s">
        <v>25781</v>
      </c>
      <c r="B5106" s="450" t="s">
        <v>8597</v>
      </c>
      <c r="C5106" s="450" t="s">
        <v>8598</v>
      </c>
      <c r="D5106" s="450" t="s">
        <v>8599</v>
      </c>
      <c r="E5106" s="450"/>
      <c r="F5106" s="450"/>
      <c r="G5106" s="450" t="s">
        <v>22877</v>
      </c>
      <c r="H5106" s="450" t="s">
        <v>22878</v>
      </c>
      <c r="I5106" s="450" t="s">
        <v>25782</v>
      </c>
      <c r="J5106" s="450" t="s">
        <v>25783</v>
      </c>
      <c r="K5106" s="450"/>
    </row>
    <row r="5107" spans="1:11">
      <c r="A5107" s="451" t="s">
        <v>35495</v>
      </c>
      <c r="B5107" s="451"/>
      <c r="C5107" s="451" t="s">
        <v>8601</v>
      </c>
      <c r="D5107" s="451"/>
      <c r="E5107" s="451"/>
      <c r="F5107" s="451"/>
      <c r="G5107" s="451" t="s">
        <v>22877</v>
      </c>
      <c r="H5107" s="451" t="s">
        <v>22878</v>
      </c>
      <c r="I5107" s="451" t="s">
        <v>35496</v>
      </c>
      <c r="J5107" s="451" t="s">
        <v>22943</v>
      </c>
      <c r="K5107" s="451"/>
    </row>
    <row r="5108" spans="1:11">
      <c r="A5108" s="450" t="s">
        <v>8600</v>
      </c>
      <c r="B5108" s="450"/>
      <c r="C5108" s="450" t="s">
        <v>8601</v>
      </c>
      <c r="D5108" s="450"/>
      <c r="E5108" s="450"/>
      <c r="F5108" s="450"/>
      <c r="G5108" s="450" t="s">
        <v>30164</v>
      </c>
      <c r="H5108" s="450" t="s">
        <v>22878</v>
      </c>
      <c r="I5108" s="450" t="s">
        <v>31365</v>
      </c>
      <c r="J5108" s="450"/>
      <c r="K5108" s="450"/>
    </row>
    <row r="5109" spans="1:11">
      <c r="A5109" s="451" t="s">
        <v>21712</v>
      </c>
      <c r="B5109" s="451" t="s">
        <v>8602</v>
      </c>
      <c r="C5109" s="451" t="s">
        <v>1856</v>
      </c>
      <c r="D5109" s="451" t="s">
        <v>8603</v>
      </c>
      <c r="E5109" s="451"/>
      <c r="F5109" s="451"/>
      <c r="G5109" s="451" t="s">
        <v>22877</v>
      </c>
      <c r="H5109" s="451" t="s">
        <v>22878</v>
      </c>
      <c r="I5109" s="451" t="s">
        <v>8603</v>
      </c>
      <c r="J5109" s="451" t="s">
        <v>35497</v>
      </c>
      <c r="K5109" s="451"/>
    </row>
    <row r="5110" spans="1:11">
      <c r="A5110" s="450" t="s">
        <v>21712</v>
      </c>
      <c r="B5110" s="450" t="s">
        <v>8602</v>
      </c>
      <c r="C5110" s="450" t="s">
        <v>1856</v>
      </c>
      <c r="D5110" s="450" t="s">
        <v>8603</v>
      </c>
      <c r="E5110" s="450" t="s">
        <v>8604</v>
      </c>
      <c r="F5110" s="450"/>
      <c r="G5110" s="450" t="s">
        <v>31366</v>
      </c>
      <c r="H5110" s="450" t="s">
        <v>22878</v>
      </c>
      <c r="I5110" s="450" t="s">
        <v>31367</v>
      </c>
      <c r="J5110" s="450" t="s">
        <v>8602</v>
      </c>
      <c r="K5110" s="450"/>
    </row>
    <row r="5111" spans="1:11">
      <c r="A5111" s="451" t="s">
        <v>21713</v>
      </c>
      <c r="B5111" s="451" t="s">
        <v>25784</v>
      </c>
      <c r="C5111" s="451" t="s">
        <v>1900</v>
      </c>
      <c r="D5111" s="451"/>
      <c r="E5111" s="451"/>
      <c r="F5111" s="451"/>
      <c r="G5111" s="451" t="s">
        <v>22877</v>
      </c>
      <c r="H5111" s="451" t="s">
        <v>22878</v>
      </c>
      <c r="I5111" s="451" t="s">
        <v>25785</v>
      </c>
      <c r="J5111" s="451" t="s">
        <v>25786</v>
      </c>
      <c r="K5111" s="451"/>
    </row>
    <row r="5112" spans="1:11">
      <c r="A5112" s="450" t="s">
        <v>21713</v>
      </c>
      <c r="B5112" s="450" t="s">
        <v>8605</v>
      </c>
      <c r="C5112" s="450" t="s">
        <v>1900</v>
      </c>
      <c r="D5112" s="450"/>
      <c r="E5112" s="450"/>
      <c r="F5112" s="450"/>
      <c r="G5112" s="450" t="s">
        <v>23108</v>
      </c>
      <c r="H5112" s="450" t="s">
        <v>22878</v>
      </c>
      <c r="I5112" s="450"/>
      <c r="J5112" s="450" t="s">
        <v>25786</v>
      </c>
      <c r="K5112" s="450" t="s">
        <v>23726</v>
      </c>
    </row>
    <row r="5113" spans="1:11">
      <c r="A5113" s="451" t="s">
        <v>25787</v>
      </c>
      <c r="B5113" s="451" t="s">
        <v>8615</v>
      </c>
      <c r="C5113" s="451" t="s">
        <v>8616</v>
      </c>
      <c r="D5113" s="451" t="s">
        <v>8617</v>
      </c>
      <c r="E5113" s="451"/>
      <c r="F5113" s="451"/>
      <c r="G5113" s="451" t="s">
        <v>22882</v>
      </c>
      <c r="H5113" s="451" t="s">
        <v>22883</v>
      </c>
      <c r="I5113" s="451"/>
      <c r="J5113" s="451" t="s">
        <v>25788</v>
      </c>
      <c r="K5113" s="451"/>
    </row>
    <row r="5114" spans="1:11">
      <c r="A5114" s="450" t="s">
        <v>25789</v>
      </c>
      <c r="B5114" s="450" t="s">
        <v>8619</v>
      </c>
      <c r="C5114" s="450" t="s">
        <v>8620</v>
      </c>
      <c r="D5114" s="450" t="s">
        <v>8621</v>
      </c>
      <c r="E5114" s="450"/>
      <c r="F5114" s="450"/>
      <c r="G5114" s="450" t="s">
        <v>22877</v>
      </c>
      <c r="H5114" s="450" t="s">
        <v>22878</v>
      </c>
      <c r="I5114" s="450" t="s">
        <v>25790</v>
      </c>
      <c r="J5114" s="450" t="s">
        <v>25791</v>
      </c>
      <c r="K5114" s="450"/>
    </row>
    <row r="5115" spans="1:11">
      <c r="A5115" s="451" t="s">
        <v>8614</v>
      </c>
      <c r="B5115" s="451" t="s">
        <v>8615</v>
      </c>
      <c r="C5115" s="451" t="s">
        <v>8616</v>
      </c>
      <c r="D5115" s="451" t="s">
        <v>8617</v>
      </c>
      <c r="E5115" s="451"/>
      <c r="F5115" s="451"/>
      <c r="G5115" s="451" t="s">
        <v>31368</v>
      </c>
      <c r="H5115" s="451" t="s">
        <v>22878</v>
      </c>
      <c r="I5115" s="451"/>
      <c r="J5115" s="451" t="s">
        <v>31369</v>
      </c>
      <c r="K5115" s="451"/>
    </row>
    <row r="5116" spans="1:11">
      <c r="A5116" s="450" t="s">
        <v>8618</v>
      </c>
      <c r="B5116" s="450" t="s">
        <v>8619</v>
      </c>
      <c r="C5116" s="450" t="s">
        <v>8620</v>
      </c>
      <c r="D5116" s="450" t="s">
        <v>8621</v>
      </c>
      <c r="E5116" s="450"/>
      <c r="F5116" s="450"/>
      <c r="G5116" s="450" t="s">
        <v>23824</v>
      </c>
      <c r="H5116" s="450" t="s">
        <v>22878</v>
      </c>
      <c r="I5116" s="450" t="s">
        <v>31370</v>
      </c>
      <c r="J5116" s="450" t="s">
        <v>8619</v>
      </c>
      <c r="K5116" s="450"/>
    </row>
    <row r="5117" spans="1:11">
      <c r="A5117" s="451" t="s">
        <v>25792</v>
      </c>
      <c r="B5117" s="451" t="s">
        <v>20270</v>
      </c>
      <c r="C5117" s="451" t="s">
        <v>20271</v>
      </c>
      <c r="D5117" s="451" t="s">
        <v>25793</v>
      </c>
      <c r="E5117" s="451"/>
      <c r="F5117" s="451" t="s">
        <v>25794</v>
      </c>
      <c r="G5117" s="451" t="s">
        <v>22877</v>
      </c>
      <c r="H5117" s="451" t="s">
        <v>22878</v>
      </c>
      <c r="I5117" s="451" t="s">
        <v>25795</v>
      </c>
      <c r="J5117" s="451" t="s">
        <v>25796</v>
      </c>
      <c r="K5117" s="451"/>
    </row>
    <row r="5118" spans="1:11">
      <c r="A5118" s="450" t="s">
        <v>20272</v>
      </c>
      <c r="B5118" s="450" t="s">
        <v>20270</v>
      </c>
      <c r="C5118" s="450" t="s">
        <v>20271</v>
      </c>
      <c r="D5118" s="450" t="s">
        <v>20273</v>
      </c>
      <c r="E5118" s="450"/>
      <c r="F5118" s="450"/>
      <c r="G5118" s="450" t="s">
        <v>35498</v>
      </c>
      <c r="H5118" s="450" t="s">
        <v>22878</v>
      </c>
      <c r="I5118" s="450"/>
      <c r="J5118" s="450" t="s">
        <v>35499</v>
      </c>
      <c r="K5118" s="450"/>
    </row>
    <row r="5119" spans="1:11">
      <c r="A5119" s="451" t="s">
        <v>21714</v>
      </c>
      <c r="B5119" s="451" t="s">
        <v>8606</v>
      </c>
      <c r="C5119" s="451" t="s">
        <v>8607</v>
      </c>
      <c r="D5119" s="451" t="s">
        <v>8608</v>
      </c>
      <c r="E5119" s="451"/>
      <c r="F5119" s="451"/>
      <c r="G5119" s="451" t="s">
        <v>22882</v>
      </c>
      <c r="H5119" s="451" t="s">
        <v>22883</v>
      </c>
      <c r="I5119" s="451"/>
      <c r="J5119" s="451" t="s">
        <v>35500</v>
      </c>
      <c r="K5119" s="451"/>
    </row>
    <row r="5120" spans="1:11">
      <c r="A5120" s="450" t="s">
        <v>21714</v>
      </c>
      <c r="B5120" s="450" t="s">
        <v>8606</v>
      </c>
      <c r="C5120" s="450" t="s">
        <v>8607</v>
      </c>
      <c r="D5120" s="450" t="s">
        <v>8608</v>
      </c>
      <c r="E5120" s="450" t="s">
        <v>8609</v>
      </c>
      <c r="F5120" s="450"/>
      <c r="G5120" s="450" t="s">
        <v>31371</v>
      </c>
      <c r="H5120" s="450" t="s">
        <v>22878</v>
      </c>
      <c r="I5120" s="450" t="s">
        <v>31372</v>
      </c>
      <c r="J5120" s="450" t="s">
        <v>31373</v>
      </c>
      <c r="K5120" s="450"/>
    </row>
    <row r="5121" spans="1:11">
      <c r="A5121" s="451" t="s">
        <v>21715</v>
      </c>
      <c r="B5121" s="451" t="s">
        <v>8610</v>
      </c>
      <c r="C5121" s="451" t="s">
        <v>8611</v>
      </c>
      <c r="D5121" s="451" t="s">
        <v>8612</v>
      </c>
      <c r="E5121" s="451"/>
      <c r="F5121" s="451"/>
      <c r="G5121" s="451" t="s">
        <v>22877</v>
      </c>
      <c r="H5121" s="451" t="s">
        <v>22878</v>
      </c>
      <c r="I5121" s="451" t="s">
        <v>8612</v>
      </c>
      <c r="J5121" s="451" t="s">
        <v>35501</v>
      </c>
      <c r="K5121" s="451"/>
    </row>
    <row r="5122" spans="1:11">
      <c r="A5122" s="450" t="s">
        <v>21715</v>
      </c>
      <c r="B5122" s="450" t="s">
        <v>8610</v>
      </c>
      <c r="C5122" s="450" t="s">
        <v>8611</v>
      </c>
      <c r="D5122" s="450" t="s">
        <v>8612</v>
      </c>
      <c r="E5122" s="450" t="s">
        <v>8613</v>
      </c>
      <c r="F5122" s="450"/>
      <c r="G5122" s="450" t="s">
        <v>31374</v>
      </c>
      <c r="H5122" s="450" t="s">
        <v>22878</v>
      </c>
      <c r="I5122" s="450"/>
      <c r="J5122" s="450" t="s">
        <v>8610</v>
      </c>
      <c r="K5122" s="450"/>
    </row>
    <row r="5123" spans="1:11">
      <c r="A5123" s="451" t="s">
        <v>25797</v>
      </c>
      <c r="B5123" s="451"/>
      <c r="C5123" s="451" t="s">
        <v>25798</v>
      </c>
      <c r="D5123" s="451"/>
      <c r="E5123" s="451"/>
      <c r="F5123" s="451"/>
      <c r="G5123" s="451" t="s">
        <v>22882</v>
      </c>
      <c r="H5123" s="451" t="s">
        <v>22883</v>
      </c>
      <c r="I5123" s="451" t="s">
        <v>25799</v>
      </c>
      <c r="J5123" s="451" t="s">
        <v>23121</v>
      </c>
      <c r="K5123" s="451"/>
    </row>
    <row r="5124" spans="1:11">
      <c r="A5124" s="450" t="s">
        <v>25800</v>
      </c>
      <c r="B5124" s="450" t="s">
        <v>8627</v>
      </c>
      <c r="C5124" s="450" t="s">
        <v>8628</v>
      </c>
      <c r="D5124" s="450" t="s">
        <v>8629</v>
      </c>
      <c r="E5124" s="450"/>
      <c r="F5124" s="450"/>
      <c r="G5124" s="450" t="s">
        <v>22877</v>
      </c>
      <c r="H5124" s="450" t="s">
        <v>22878</v>
      </c>
      <c r="I5124" s="450" t="s">
        <v>8629</v>
      </c>
      <c r="J5124" s="450" t="s">
        <v>25801</v>
      </c>
      <c r="K5124" s="450"/>
    </row>
    <row r="5125" spans="1:11">
      <c r="A5125" s="451" t="s">
        <v>8622</v>
      </c>
      <c r="B5125" s="451" t="s">
        <v>8623</v>
      </c>
      <c r="C5125" s="451" t="s">
        <v>4880</v>
      </c>
      <c r="D5125" s="451" t="s">
        <v>8624</v>
      </c>
      <c r="E5125" s="451"/>
      <c r="F5125" s="451"/>
      <c r="G5125" s="451" t="s">
        <v>22877</v>
      </c>
      <c r="H5125" s="451" t="s">
        <v>22878</v>
      </c>
      <c r="I5125" s="451" t="s">
        <v>35502</v>
      </c>
      <c r="J5125" s="451" t="s">
        <v>35503</v>
      </c>
      <c r="K5125" s="451"/>
    </row>
    <row r="5126" spans="1:11">
      <c r="A5126" s="450" t="s">
        <v>8622</v>
      </c>
      <c r="B5126" s="450" t="s">
        <v>8623</v>
      </c>
      <c r="C5126" s="450" t="s">
        <v>4880</v>
      </c>
      <c r="D5126" s="450" t="s">
        <v>8624</v>
      </c>
      <c r="E5126" s="450" t="s">
        <v>8625</v>
      </c>
      <c r="F5126" s="450"/>
      <c r="G5126" s="450" t="s">
        <v>8622</v>
      </c>
      <c r="H5126" s="450" t="s">
        <v>22878</v>
      </c>
      <c r="I5126" s="450" t="s">
        <v>31375</v>
      </c>
      <c r="J5126" s="450" t="s">
        <v>8623</v>
      </c>
      <c r="K5126" s="450"/>
    </row>
    <row r="5127" spans="1:11">
      <c r="A5127" s="451" t="s">
        <v>8626</v>
      </c>
      <c r="B5127" s="451" t="s">
        <v>8627</v>
      </c>
      <c r="C5127" s="451" t="s">
        <v>8628</v>
      </c>
      <c r="D5127" s="451" t="s">
        <v>8629</v>
      </c>
      <c r="E5127" s="451" t="s">
        <v>8630</v>
      </c>
      <c r="F5127" s="451"/>
      <c r="G5127" s="451" t="s">
        <v>31376</v>
      </c>
      <c r="H5127" s="451" t="s">
        <v>22878</v>
      </c>
      <c r="I5127" s="451" t="s">
        <v>31377</v>
      </c>
      <c r="J5127" s="451" t="s">
        <v>8627</v>
      </c>
      <c r="K5127" s="451"/>
    </row>
    <row r="5128" spans="1:11">
      <c r="A5128" s="450" t="s">
        <v>35504</v>
      </c>
      <c r="B5128" s="450"/>
      <c r="C5128" s="450" t="s">
        <v>1378</v>
      </c>
      <c r="D5128" s="450"/>
      <c r="E5128" s="450"/>
      <c r="F5128" s="450"/>
      <c r="G5128" s="450" t="s">
        <v>22882</v>
      </c>
      <c r="H5128" s="450" t="s">
        <v>22883</v>
      </c>
      <c r="I5128" s="450"/>
      <c r="J5128" s="450" t="s">
        <v>22939</v>
      </c>
      <c r="K5128" s="450"/>
    </row>
    <row r="5129" spans="1:11">
      <c r="A5129" s="451" t="s">
        <v>35505</v>
      </c>
      <c r="B5129" s="451"/>
      <c r="C5129" s="451" t="s">
        <v>1190</v>
      </c>
      <c r="D5129" s="451"/>
      <c r="E5129" s="451"/>
      <c r="F5129" s="451"/>
      <c r="G5129" s="451" t="s">
        <v>22882</v>
      </c>
      <c r="H5129" s="451" t="s">
        <v>22883</v>
      </c>
      <c r="I5129" s="451"/>
      <c r="J5129" s="451" t="s">
        <v>23133</v>
      </c>
      <c r="K5129" s="451"/>
    </row>
    <row r="5130" spans="1:11">
      <c r="A5130" s="450" t="s">
        <v>8631</v>
      </c>
      <c r="B5130" s="450"/>
      <c r="C5130" s="450" t="s">
        <v>8632</v>
      </c>
      <c r="D5130" s="450"/>
      <c r="E5130" s="450"/>
      <c r="F5130" s="450"/>
      <c r="G5130" s="450" t="s">
        <v>22877</v>
      </c>
      <c r="H5130" s="450" t="s">
        <v>22878</v>
      </c>
      <c r="I5130" s="450" t="s">
        <v>25802</v>
      </c>
      <c r="J5130" s="450" t="s">
        <v>23121</v>
      </c>
      <c r="K5130" s="450"/>
    </row>
    <row r="5131" spans="1:11">
      <c r="A5131" s="451" t="s">
        <v>35506</v>
      </c>
      <c r="B5131" s="451" t="s">
        <v>8634</v>
      </c>
      <c r="C5131" s="451" t="s">
        <v>1463</v>
      </c>
      <c r="D5131" s="451" t="s">
        <v>8635</v>
      </c>
      <c r="E5131" s="451"/>
      <c r="F5131" s="451"/>
      <c r="G5131" s="451" t="s">
        <v>22877</v>
      </c>
      <c r="H5131" s="451" t="s">
        <v>22878</v>
      </c>
      <c r="I5131" s="451" t="s">
        <v>35507</v>
      </c>
      <c r="J5131" s="451" t="s">
        <v>35508</v>
      </c>
      <c r="K5131" s="451"/>
    </row>
    <row r="5132" spans="1:11">
      <c r="A5132" s="450" t="s">
        <v>8633</v>
      </c>
      <c r="B5132" s="450" t="s">
        <v>8634</v>
      </c>
      <c r="C5132" s="450" t="s">
        <v>1463</v>
      </c>
      <c r="D5132" s="450" t="s">
        <v>8635</v>
      </c>
      <c r="E5132" s="450" t="s">
        <v>8636</v>
      </c>
      <c r="F5132" s="450"/>
      <c r="G5132" s="450" t="s">
        <v>31378</v>
      </c>
      <c r="H5132" s="450" t="s">
        <v>22878</v>
      </c>
      <c r="I5132" s="450" t="s">
        <v>24</v>
      </c>
      <c r="J5132" s="450" t="s">
        <v>8634</v>
      </c>
      <c r="K5132" s="450"/>
    </row>
    <row r="5133" spans="1:11">
      <c r="A5133" s="451" t="s">
        <v>8637</v>
      </c>
      <c r="B5133" s="451" t="s">
        <v>8638</v>
      </c>
      <c r="C5133" s="451" t="s">
        <v>1242</v>
      </c>
      <c r="D5133" s="451" t="s">
        <v>8639</v>
      </c>
      <c r="E5133" s="451"/>
      <c r="F5133" s="451"/>
      <c r="G5133" s="451" t="s">
        <v>22877</v>
      </c>
      <c r="H5133" s="451" t="s">
        <v>22878</v>
      </c>
      <c r="I5133" s="451" t="s">
        <v>35509</v>
      </c>
      <c r="J5133" s="451" t="s">
        <v>35510</v>
      </c>
      <c r="K5133" s="451"/>
    </row>
    <row r="5134" spans="1:11">
      <c r="A5134" s="450" t="s">
        <v>8637</v>
      </c>
      <c r="B5134" s="450" t="s">
        <v>8638</v>
      </c>
      <c r="C5134" s="450" t="s">
        <v>1242</v>
      </c>
      <c r="D5134" s="450" t="s">
        <v>8639</v>
      </c>
      <c r="E5134" s="450" t="s">
        <v>8640</v>
      </c>
      <c r="F5134" s="450"/>
      <c r="G5134" s="450" t="s">
        <v>31379</v>
      </c>
      <c r="H5134" s="450" t="s">
        <v>22878</v>
      </c>
      <c r="I5134" s="450" t="s">
        <v>24</v>
      </c>
      <c r="J5134" s="450" t="s">
        <v>8638</v>
      </c>
      <c r="K5134" s="450"/>
    </row>
    <row r="5135" spans="1:11">
      <c r="A5135" s="451" t="s">
        <v>8641</v>
      </c>
      <c r="B5135" s="451" t="s">
        <v>8642</v>
      </c>
      <c r="C5135" s="451" t="s">
        <v>8643</v>
      </c>
      <c r="D5135" s="451" t="s">
        <v>8644</v>
      </c>
      <c r="E5135" s="451"/>
      <c r="F5135" s="451"/>
      <c r="G5135" s="451" t="s">
        <v>22877</v>
      </c>
      <c r="H5135" s="451" t="s">
        <v>22878</v>
      </c>
      <c r="I5135" s="451" t="s">
        <v>35511</v>
      </c>
      <c r="J5135" s="451" t="s">
        <v>35512</v>
      </c>
      <c r="K5135" s="451"/>
    </row>
    <row r="5136" spans="1:11">
      <c r="A5136" s="450" t="s">
        <v>8641</v>
      </c>
      <c r="B5136" s="450" t="s">
        <v>8642</v>
      </c>
      <c r="C5136" s="450" t="s">
        <v>8643</v>
      </c>
      <c r="D5136" s="450" t="s">
        <v>8644</v>
      </c>
      <c r="E5136" s="450" t="s">
        <v>8645</v>
      </c>
      <c r="F5136" s="450"/>
      <c r="G5136" s="450" t="s">
        <v>31380</v>
      </c>
      <c r="H5136" s="450" t="s">
        <v>22878</v>
      </c>
      <c r="I5136" s="450" t="s">
        <v>23389</v>
      </c>
      <c r="J5136" s="450" t="s">
        <v>8642</v>
      </c>
      <c r="K5136" s="450"/>
    </row>
    <row r="5137" spans="1:11">
      <c r="A5137" s="451" t="s">
        <v>25803</v>
      </c>
      <c r="B5137" s="451"/>
      <c r="C5137" s="451" t="s">
        <v>8384</v>
      </c>
      <c r="D5137" s="451" t="s">
        <v>8662</v>
      </c>
      <c r="E5137" s="451"/>
      <c r="F5137" s="451"/>
      <c r="G5137" s="451" t="s">
        <v>22877</v>
      </c>
      <c r="H5137" s="451" t="s">
        <v>22878</v>
      </c>
      <c r="I5137" s="451" t="s">
        <v>25804</v>
      </c>
      <c r="J5137" s="451" t="s">
        <v>25805</v>
      </c>
      <c r="K5137" s="451"/>
    </row>
    <row r="5138" spans="1:11">
      <c r="A5138" s="450" t="s">
        <v>8646</v>
      </c>
      <c r="B5138" s="450" t="s">
        <v>8647</v>
      </c>
      <c r="C5138" s="450" t="s">
        <v>8648</v>
      </c>
      <c r="D5138" s="450" t="s">
        <v>8649</v>
      </c>
      <c r="E5138" s="450"/>
      <c r="F5138" s="450"/>
      <c r="G5138" s="450" t="s">
        <v>22877</v>
      </c>
      <c r="H5138" s="450" t="s">
        <v>22878</v>
      </c>
      <c r="I5138" s="450" t="s">
        <v>8649</v>
      </c>
      <c r="J5138" s="450" t="s">
        <v>35513</v>
      </c>
      <c r="K5138" s="450"/>
    </row>
    <row r="5139" spans="1:11">
      <c r="A5139" s="451" t="s">
        <v>8646</v>
      </c>
      <c r="B5139" s="451" t="s">
        <v>8647</v>
      </c>
      <c r="C5139" s="451" t="s">
        <v>8648</v>
      </c>
      <c r="D5139" s="451" t="s">
        <v>8649</v>
      </c>
      <c r="E5139" s="451" t="s">
        <v>8650</v>
      </c>
      <c r="F5139" s="451"/>
      <c r="G5139" s="451" t="s">
        <v>8646</v>
      </c>
      <c r="H5139" s="451" t="s">
        <v>22878</v>
      </c>
      <c r="I5139" s="451"/>
      <c r="J5139" s="451" t="s">
        <v>8647</v>
      </c>
      <c r="K5139" s="451"/>
    </row>
    <row r="5140" spans="1:11">
      <c r="A5140" s="450" t="s">
        <v>8651</v>
      </c>
      <c r="B5140" s="450"/>
      <c r="C5140" s="450" t="s">
        <v>8652</v>
      </c>
      <c r="D5140" s="450"/>
      <c r="E5140" s="450"/>
      <c r="F5140" s="450"/>
      <c r="G5140" s="450" t="s">
        <v>22877</v>
      </c>
      <c r="H5140" s="450" t="s">
        <v>22878</v>
      </c>
      <c r="I5140" s="450" t="s">
        <v>25806</v>
      </c>
      <c r="J5140" s="450" t="s">
        <v>22939</v>
      </c>
      <c r="K5140" s="450"/>
    </row>
    <row r="5141" spans="1:11">
      <c r="A5141" s="451" t="s">
        <v>8653</v>
      </c>
      <c r="B5141" s="451" t="s">
        <v>8654</v>
      </c>
      <c r="C5141" s="451" t="s">
        <v>8655</v>
      </c>
      <c r="D5141" s="451"/>
      <c r="E5141" s="451"/>
      <c r="F5141" s="451"/>
      <c r="G5141" s="451" t="s">
        <v>22877</v>
      </c>
      <c r="H5141" s="451" t="s">
        <v>22878</v>
      </c>
      <c r="I5141" s="451" t="s">
        <v>25807</v>
      </c>
      <c r="J5141" s="451" t="s">
        <v>25808</v>
      </c>
      <c r="K5141" s="451"/>
    </row>
    <row r="5142" spans="1:11">
      <c r="A5142" s="450" t="s">
        <v>8656</v>
      </c>
      <c r="B5142" s="450" t="s">
        <v>8657</v>
      </c>
      <c r="C5142" s="450" t="s">
        <v>8658</v>
      </c>
      <c r="D5142" s="450" t="s">
        <v>8659</v>
      </c>
      <c r="E5142" s="450"/>
      <c r="F5142" s="450"/>
      <c r="G5142" s="450" t="s">
        <v>22877</v>
      </c>
      <c r="H5142" s="450" t="s">
        <v>22878</v>
      </c>
      <c r="I5142" s="450" t="s">
        <v>35514</v>
      </c>
      <c r="J5142" s="450" t="s">
        <v>35515</v>
      </c>
      <c r="K5142" s="450"/>
    </row>
    <row r="5143" spans="1:11">
      <c r="A5143" s="451" t="s">
        <v>8656</v>
      </c>
      <c r="B5143" s="451" t="s">
        <v>8657</v>
      </c>
      <c r="C5143" s="451" t="s">
        <v>8658</v>
      </c>
      <c r="D5143" s="451" t="s">
        <v>8659</v>
      </c>
      <c r="E5143" s="451" t="s">
        <v>8660</v>
      </c>
      <c r="F5143" s="451"/>
      <c r="G5143" s="451" t="s">
        <v>31381</v>
      </c>
      <c r="H5143" s="451" t="s">
        <v>22878</v>
      </c>
      <c r="I5143" s="451" t="s">
        <v>31382</v>
      </c>
      <c r="J5143" s="451" t="s">
        <v>31383</v>
      </c>
      <c r="K5143" s="451"/>
    </row>
    <row r="5144" spans="1:11">
      <c r="A5144" s="450" t="s">
        <v>8661</v>
      </c>
      <c r="B5144" s="450"/>
      <c r="C5144" s="450" t="s">
        <v>8384</v>
      </c>
      <c r="D5144" s="450" t="s">
        <v>8662</v>
      </c>
      <c r="E5144" s="450" t="s">
        <v>8663</v>
      </c>
      <c r="F5144" s="450"/>
      <c r="G5144" s="450" t="s">
        <v>31384</v>
      </c>
      <c r="H5144" s="450" t="s">
        <v>22878</v>
      </c>
      <c r="I5144" s="450" t="s">
        <v>8662</v>
      </c>
      <c r="J5144" s="450"/>
      <c r="K5144" s="450"/>
    </row>
    <row r="5145" spans="1:11">
      <c r="A5145" s="451" t="s">
        <v>8664</v>
      </c>
      <c r="B5145" s="451" t="s">
        <v>8665</v>
      </c>
      <c r="C5145" s="451" t="s">
        <v>4073</v>
      </c>
      <c r="D5145" s="451" t="s">
        <v>8666</v>
      </c>
      <c r="E5145" s="451" t="s">
        <v>8667</v>
      </c>
      <c r="F5145" s="451"/>
      <c r="G5145" s="451" t="s">
        <v>31385</v>
      </c>
      <c r="H5145" s="451" t="s">
        <v>22878</v>
      </c>
      <c r="I5145" s="451" t="s">
        <v>31377</v>
      </c>
      <c r="J5145" s="451" t="s">
        <v>8665</v>
      </c>
      <c r="K5145" s="451"/>
    </row>
    <row r="5146" spans="1:11">
      <c r="A5146" s="450" t="s">
        <v>31386</v>
      </c>
      <c r="B5146" s="450" t="s">
        <v>25809</v>
      </c>
      <c r="C5146" s="450" t="s">
        <v>25810</v>
      </c>
      <c r="D5146" s="450" t="s">
        <v>25811</v>
      </c>
      <c r="E5146" s="450"/>
      <c r="F5146" s="450" t="s">
        <v>25812</v>
      </c>
      <c r="G5146" s="450" t="s">
        <v>22877</v>
      </c>
      <c r="H5146" s="450" t="s">
        <v>22878</v>
      </c>
      <c r="I5146" s="450" t="s">
        <v>25811</v>
      </c>
      <c r="J5146" s="450" t="s">
        <v>25813</v>
      </c>
      <c r="K5146" s="450"/>
    </row>
    <row r="5147" spans="1:11">
      <c r="A5147" s="451" t="s">
        <v>8668</v>
      </c>
      <c r="B5147" s="451"/>
      <c r="C5147" s="451" t="s">
        <v>1642</v>
      </c>
      <c r="D5147" s="451"/>
      <c r="E5147" s="451"/>
      <c r="F5147" s="451"/>
      <c r="G5147" s="451" t="s">
        <v>22877</v>
      </c>
      <c r="H5147" s="451" t="s">
        <v>22878</v>
      </c>
      <c r="I5147" s="451" t="s">
        <v>35516</v>
      </c>
      <c r="J5147" s="451" t="s">
        <v>23121</v>
      </c>
      <c r="K5147" s="451"/>
    </row>
    <row r="5148" spans="1:11">
      <c r="A5148" s="450" t="s">
        <v>8669</v>
      </c>
      <c r="B5148" s="450" t="s">
        <v>35517</v>
      </c>
      <c r="C5148" s="450" t="s">
        <v>8671</v>
      </c>
      <c r="D5148" s="450" t="s">
        <v>8672</v>
      </c>
      <c r="E5148" s="450"/>
      <c r="F5148" s="450"/>
      <c r="G5148" s="450" t="s">
        <v>22882</v>
      </c>
      <c r="H5148" s="450" t="s">
        <v>22883</v>
      </c>
      <c r="I5148" s="450"/>
      <c r="J5148" s="450" t="s">
        <v>35518</v>
      </c>
      <c r="K5148" s="450"/>
    </row>
    <row r="5149" spans="1:11">
      <c r="A5149" s="451" t="s">
        <v>8669</v>
      </c>
      <c r="B5149" s="451" t="s">
        <v>8670</v>
      </c>
      <c r="C5149" s="451" t="s">
        <v>8671</v>
      </c>
      <c r="D5149" s="451" t="s">
        <v>8672</v>
      </c>
      <c r="E5149" s="451" t="s">
        <v>8673</v>
      </c>
      <c r="F5149" s="451"/>
      <c r="G5149" s="451" t="s">
        <v>35519</v>
      </c>
      <c r="H5149" s="451" t="s">
        <v>22878</v>
      </c>
      <c r="I5149" s="451"/>
      <c r="J5149" s="451" t="s">
        <v>35517</v>
      </c>
      <c r="K5149" s="451"/>
    </row>
    <row r="5150" spans="1:11">
      <c r="A5150" s="450" t="s">
        <v>8674</v>
      </c>
      <c r="B5150" s="450"/>
      <c r="C5150" s="450" t="s">
        <v>8675</v>
      </c>
      <c r="D5150" s="450"/>
      <c r="E5150" s="450"/>
      <c r="F5150" s="450"/>
      <c r="G5150" s="450" t="s">
        <v>22882</v>
      </c>
      <c r="H5150" s="450" t="s">
        <v>22883</v>
      </c>
      <c r="I5150" s="450"/>
      <c r="J5150" s="450" t="s">
        <v>23121</v>
      </c>
      <c r="K5150" s="450"/>
    </row>
    <row r="5151" spans="1:11">
      <c r="A5151" s="451" t="s">
        <v>21700</v>
      </c>
      <c r="B5151" s="451" t="s">
        <v>8480</v>
      </c>
      <c r="C5151" s="451" t="s">
        <v>4716</v>
      </c>
      <c r="D5151" s="451" t="s">
        <v>8481</v>
      </c>
      <c r="E5151" s="451" t="s">
        <v>8482</v>
      </c>
      <c r="F5151" s="451"/>
      <c r="G5151" s="451" t="s">
        <v>31387</v>
      </c>
      <c r="H5151" s="451" t="s">
        <v>22878</v>
      </c>
      <c r="I5151" s="451" t="s">
        <v>24</v>
      </c>
      <c r="J5151" s="451" t="s">
        <v>8480</v>
      </c>
      <c r="K5151" s="451"/>
    </row>
    <row r="5152" spans="1:11">
      <c r="A5152" s="450" t="s">
        <v>21701</v>
      </c>
      <c r="B5152" s="450" t="s">
        <v>8483</v>
      </c>
      <c r="C5152" s="450" t="s">
        <v>5060</v>
      </c>
      <c r="D5152" s="450" t="s">
        <v>8484</v>
      </c>
      <c r="E5152" s="450" t="s">
        <v>8485</v>
      </c>
      <c r="F5152" s="450"/>
      <c r="G5152" s="450"/>
      <c r="H5152" s="450" t="s">
        <v>22878</v>
      </c>
      <c r="I5152" s="450"/>
      <c r="J5152" s="450" t="s">
        <v>31388</v>
      </c>
      <c r="K5152" s="450"/>
    </row>
    <row r="5153" spans="1:11">
      <c r="A5153" s="451" t="s">
        <v>21702</v>
      </c>
      <c r="B5153" s="451"/>
      <c r="C5153" s="451" t="s">
        <v>8486</v>
      </c>
      <c r="D5153" s="451"/>
      <c r="E5153" s="451"/>
      <c r="F5153" s="451"/>
      <c r="G5153" s="451" t="s">
        <v>22877</v>
      </c>
      <c r="H5153" s="451" t="s">
        <v>22878</v>
      </c>
      <c r="I5153" s="451" t="s">
        <v>35520</v>
      </c>
      <c r="J5153" s="451" t="s">
        <v>23121</v>
      </c>
      <c r="K5153" s="451"/>
    </row>
    <row r="5154" spans="1:11">
      <c r="A5154" s="450" t="s">
        <v>35521</v>
      </c>
      <c r="B5154" s="450"/>
      <c r="C5154" s="450" t="s">
        <v>8487</v>
      </c>
      <c r="D5154" s="450"/>
      <c r="E5154" s="450"/>
      <c r="F5154" s="450"/>
      <c r="G5154" s="450" t="s">
        <v>22882</v>
      </c>
      <c r="H5154" s="450" t="s">
        <v>22883</v>
      </c>
      <c r="I5154" s="450"/>
      <c r="J5154" s="450" t="s">
        <v>23185</v>
      </c>
      <c r="K5154" s="450"/>
    </row>
    <row r="5155" spans="1:11">
      <c r="A5155" s="451" t="s">
        <v>21703</v>
      </c>
      <c r="B5155" s="451"/>
      <c r="C5155" s="451" t="s">
        <v>8487</v>
      </c>
      <c r="D5155" s="451"/>
      <c r="E5155" s="451"/>
      <c r="F5155" s="451"/>
      <c r="G5155" s="451" t="s">
        <v>35522</v>
      </c>
      <c r="H5155" s="451" t="s">
        <v>22878</v>
      </c>
      <c r="I5155" s="451"/>
      <c r="J5155" s="451" t="s">
        <v>23074</v>
      </c>
      <c r="K5155" s="451"/>
    </row>
    <row r="5156" spans="1:11">
      <c r="A5156" s="450" t="s">
        <v>21704</v>
      </c>
      <c r="B5156" s="450"/>
      <c r="C5156" s="450" t="s">
        <v>7835</v>
      </c>
      <c r="D5156" s="450"/>
      <c r="E5156" s="450"/>
      <c r="F5156" s="450"/>
      <c r="G5156" s="450" t="s">
        <v>22877</v>
      </c>
      <c r="H5156" s="450" t="s">
        <v>22878</v>
      </c>
      <c r="I5156" s="450" t="s">
        <v>25814</v>
      </c>
      <c r="J5156" s="450" t="s">
        <v>23121</v>
      </c>
      <c r="K5156" s="450"/>
    </row>
    <row r="5157" spans="1:11">
      <c r="A5157" s="451" t="s">
        <v>31389</v>
      </c>
      <c r="B5157" s="451" t="s">
        <v>8496</v>
      </c>
      <c r="C5157" s="451" t="s">
        <v>8497</v>
      </c>
      <c r="D5157" s="451" t="s">
        <v>8498</v>
      </c>
      <c r="E5157" s="451"/>
      <c r="F5157" s="451"/>
      <c r="G5157" s="451" t="s">
        <v>22877</v>
      </c>
      <c r="H5157" s="451" t="s">
        <v>22878</v>
      </c>
      <c r="I5157" s="451" t="s">
        <v>8498</v>
      </c>
      <c r="J5157" s="451" t="s">
        <v>25815</v>
      </c>
      <c r="K5157" s="451"/>
    </row>
    <row r="5158" spans="1:11">
      <c r="A5158" s="450" t="s">
        <v>21705</v>
      </c>
      <c r="B5158" s="450" t="s">
        <v>25816</v>
      </c>
      <c r="C5158" s="450" t="s">
        <v>8491</v>
      </c>
      <c r="D5158" s="450"/>
      <c r="E5158" s="450"/>
      <c r="F5158" s="450"/>
      <c r="G5158" s="450" t="s">
        <v>21705</v>
      </c>
      <c r="H5158" s="450" t="s">
        <v>22878</v>
      </c>
      <c r="I5158" s="450"/>
      <c r="J5158" s="450" t="s">
        <v>25816</v>
      </c>
      <c r="K5158" s="450"/>
    </row>
    <row r="5159" spans="1:11">
      <c r="A5159" s="451" t="s">
        <v>21705</v>
      </c>
      <c r="B5159" s="451" t="s">
        <v>8488</v>
      </c>
      <c r="C5159" s="451" t="s">
        <v>8489</v>
      </c>
      <c r="D5159" s="451"/>
      <c r="E5159" s="451"/>
      <c r="F5159" s="451"/>
      <c r="G5159" s="451" t="s">
        <v>31390</v>
      </c>
      <c r="H5159" s="451" t="s">
        <v>22878</v>
      </c>
      <c r="I5159" s="451" t="s">
        <v>24</v>
      </c>
      <c r="J5159" s="451" t="s">
        <v>8488</v>
      </c>
      <c r="K5159" s="451"/>
    </row>
    <row r="5160" spans="1:11">
      <c r="A5160" s="450" t="s">
        <v>21705</v>
      </c>
      <c r="B5160" s="450" t="s">
        <v>8490</v>
      </c>
      <c r="C5160" s="450" t="s">
        <v>8491</v>
      </c>
      <c r="D5160" s="450"/>
      <c r="E5160" s="450"/>
      <c r="F5160" s="450"/>
      <c r="G5160" s="450" t="s">
        <v>31391</v>
      </c>
      <c r="H5160" s="450" t="s">
        <v>22878</v>
      </c>
      <c r="I5160" s="450" t="s">
        <v>27148</v>
      </c>
      <c r="J5160" s="450" t="s">
        <v>25816</v>
      </c>
      <c r="K5160" s="450"/>
    </row>
    <row r="5161" spans="1:11">
      <c r="A5161" s="451" t="s">
        <v>21706</v>
      </c>
      <c r="B5161" s="451" t="s">
        <v>8492</v>
      </c>
      <c r="C5161" s="451" t="s">
        <v>8493</v>
      </c>
      <c r="D5161" s="451"/>
      <c r="E5161" s="451"/>
      <c r="F5161" s="451" t="s">
        <v>8494</v>
      </c>
      <c r="G5161" s="451" t="s">
        <v>22882</v>
      </c>
      <c r="H5161" s="451" t="s">
        <v>22883</v>
      </c>
      <c r="I5161" s="451"/>
      <c r="J5161" s="451" t="s">
        <v>25817</v>
      </c>
      <c r="K5161" s="451"/>
    </row>
    <row r="5162" spans="1:11">
      <c r="A5162" s="450" t="s">
        <v>8678</v>
      </c>
      <c r="B5162" s="450" t="s">
        <v>8679</v>
      </c>
      <c r="C5162" s="450" t="s">
        <v>1692</v>
      </c>
      <c r="D5162" s="450" t="s">
        <v>8680</v>
      </c>
      <c r="E5162" s="450" t="s">
        <v>8681</v>
      </c>
      <c r="F5162" s="450"/>
      <c r="G5162" s="450" t="s">
        <v>31392</v>
      </c>
      <c r="H5162" s="450" t="s">
        <v>22878</v>
      </c>
      <c r="I5162" s="450" t="s">
        <v>31393</v>
      </c>
      <c r="J5162" s="450" t="s">
        <v>25632</v>
      </c>
      <c r="K5162" s="450"/>
    </row>
    <row r="5163" spans="1:11">
      <c r="A5163" s="451" t="s">
        <v>8682</v>
      </c>
      <c r="B5163" s="451"/>
      <c r="C5163" s="451" t="s">
        <v>8683</v>
      </c>
      <c r="D5163" s="451"/>
      <c r="E5163" s="451"/>
      <c r="F5163" s="451"/>
      <c r="G5163" s="451" t="s">
        <v>35523</v>
      </c>
      <c r="H5163" s="451" t="s">
        <v>22878</v>
      </c>
      <c r="I5163" s="451"/>
      <c r="J5163" s="451" t="s">
        <v>35524</v>
      </c>
      <c r="K5163" s="451"/>
    </row>
    <row r="5164" spans="1:11">
      <c r="A5164" s="450" t="s">
        <v>21716</v>
      </c>
      <c r="B5164" s="450"/>
      <c r="C5164" s="450" t="s">
        <v>8676</v>
      </c>
      <c r="D5164" s="450"/>
      <c r="E5164" s="450"/>
      <c r="F5164" s="450"/>
      <c r="G5164" s="450" t="s">
        <v>22877</v>
      </c>
      <c r="H5164" s="450" t="s">
        <v>22878</v>
      </c>
      <c r="I5164" s="450" t="s">
        <v>35446</v>
      </c>
      <c r="J5164" s="450" t="s">
        <v>35525</v>
      </c>
      <c r="K5164" s="450"/>
    </row>
    <row r="5165" spans="1:11">
      <c r="A5165" s="451" t="s">
        <v>21717</v>
      </c>
      <c r="B5165" s="451"/>
      <c r="C5165" s="451" t="s">
        <v>8677</v>
      </c>
      <c r="D5165" s="451"/>
      <c r="E5165" s="451"/>
      <c r="F5165" s="451"/>
      <c r="G5165" s="451" t="s">
        <v>22882</v>
      </c>
      <c r="H5165" s="451" t="s">
        <v>22883</v>
      </c>
      <c r="I5165" s="451" t="s">
        <v>25630</v>
      </c>
      <c r="J5165" s="451" t="s">
        <v>22939</v>
      </c>
      <c r="K5165" s="451"/>
    </row>
    <row r="5166" spans="1:11">
      <c r="A5166" s="450" t="s">
        <v>35526</v>
      </c>
      <c r="B5166" s="450"/>
      <c r="C5166" s="450" t="s">
        <v>8685</v>
      </c>
      <c r="D5166" s="450"/>
      <c r="E5166" s="450"/>
      <c r="F5166" s="450"/>
      <c r="G5166" s="450" t="s">
        <v>22877</v>
      </c>
      <c r="H5166" s="450" t="s">
        <v>22878</v>
      </c>
      <c r="I5166" s="450" t="s">
        <v>35527</v>
      </c>
      <c r="J5166" s="450" t="s">
        <v>22943</v>
      </c>
      <c r="K5166" s="450"/>
    </row>
    <row r="5167" spans="1:11">
      <c r="A5167" s="451" t="s">
        <v>8684</v>
      </c>
      <c r="B5167" s="451"/>
      <c r="C5167" s="451" t="s">
        <v>8685</v>
      </c>
      <c r="D5167" s="451"/>
      <c r="E5167" s="451"/>
      <c r="F5167" s="451"/>
      <c r="G5167" s="451" t="s">
        <v>22877</v>
      </c>
      <c r="H5167" s="451" t="s">
        <v>22878</v>
      </c>
      <c r="I5167" s="451" t="s">
        <v>27109</v>
      </c>
      <c r="J5167" s="451" t="s">
        <v>22937</v>
      </c>
      <c r="K5167" s="451"/>
    </row>
    <row r="5168" spans="1:11">
      <c r="A5168" s="450" t="s">
        <v>8686</v>
      </c>
      <c r="B5168" s="450"/>
      <c r="C5168" s="450" t="s">
        <v>1404</v>
      </c>
      <c r="D5168" s="450"/>
      <c r="E5168" s="450"/>
      <c r="F5168" s="450"/>
      <c r="G5168" s="450" t="s">
        <v>22882</v>
      </c>
      <c r="H5168" s="450" t="s">
        <v>22883</v>
      </c>
      <c r="I5168" s="450" t="s">
        <v>35528</v>
      </c>
      <c r="J5168" s="450" t="s">
        <v>23121</v>
      </c>
      <c r="K5168" s="450"/>
    </row>
    <row r="5169" spans="1:11">
      <c r="A5169" s="451" t="s">
        <v>35529</v>
      </c>
      <c r="B5169" s="451"/>
      <c r="C5169" s="451" t="s">
        <v>1404</v>
      </c>
      <c r="D5169" s="451"/>
      <c r="E5169" s="451"/>
      <c r="F5169" s="451"/>
      <c r="G5169" s="451" t="s">
        <v>22877</v>
      </c>
      <c r="H5169" s="451" t="s">
        <v>22878</v>
      </c>
      <c r="I5169" s="451" t="s">
        <v>35530</v>
      </c>
      <c r="J5169" s="451" t="s">
        <v>22943</v>
      </c>
      <c r="K5169" s="451"/>
    </row>
    <row r="5170" spans="1:11">
      <c r="A5170" s="450" t="s">
        <v>8687</v>
      </c>
      <c r="B5170" s="450" t="s">
        <v>8688</v>
      </c>
      <c r="C5170" s="450" t="s">
        <v>8689</v>
      </c>
      <c r="D5170" s="450"/>
      <c r="E5170" s="450"/>
      <c r="F5170" s="450" t="s">
        <v>8690</v>
      </c>
      <c r="G5170" s="450" t="s">
        <v>22882</v>
      </c>
      <c r="H5170" s="450" t="s">
        <v>22883</v>
      </c>
      <c r="I5170" s="450"/>
      <c r="J5170" s="450" t="s">
        <v>35531</v>
      </c>
      <c r="K5170" s="450"/>
    </row>
    <row r="5171" spans="1:11">
      <c r="A5171" s="451" t="s">
        <v>8691</v>
      </c>
      <c r="B5171" s="451"/>
      <c r="C5171" s="451" t="s">
        <v>8692</v>
      </c>
      <c r="D5171" s="451"/>
      <c r="E5171" s="451"/>
      <c r="F5171" s="451"/>
      <c r="G5171" s="451" t="s">
        <v>22882</v>
      </c>
      <c r="H5171" s="451" t="s">
        <v>22883</v>
      </c>
      <c r="I5171" s="451"/>
      <c r="J5171" s="451" t="s">
        <v>24146</v>
      </c>
      <c r="K5171" s="451"/>
    </row>
    <row r="5172" spans="1:11">
      <c r="A5172" s="450" t="s">
        <v>8693</v>
      </c>
      <c r="B5172" s="450"/>
      <c r="C5172" s="450" t="s">
        <v>8694</v>
      </c>
      <c r="D5172" s="450"/>
      <c r="E5172" s="450"/>
      <c r="F5172" s="450"/>
      <c r="G5172" s="450" t="s">
        <v>22882</v>
      </c>
      <c r="H5172" s="450" t="s">
        <v>22883</v>
      </c>
      <c r="I5172" s="450"/>
      <c r="J5172" s="450" t="s">
        <v>23133</v>
      </c>
      <c r="K5172" s="450"/>
    </row>
    <row r="5173" spans="1:11">
      <c r="A5173" s="451" t="s">
        <v>8695</v>
      </c>
      <c r="B5173" s="451" t="s">
        <v>8696</v>
      </c>
      <c r="C5173" s="451" t="s">
        <v>1765</v>
      </c>
      <c r="D5173" s="451" t="s">
        <v>8697</v>
      </c>
      <c r="E5173" s="451" t="s">
        <v>8698</v>
      </c>
      <c r="F5173" s="451"/>
      <c r="G5173" s="451" t="s">
        <v>22882</v>
      </c>
      <c r="H5173" s="451" t="s">
        <v>22883</v>
      </c>
      <c r="I5173" s="451" t="s">
        <v>31394</v>
      </c>
      <c r="J5173" s="451" t="s">
        <v>31395</v>
      </c>
      <c r="K5173" s="451"/>
    </row>
    <row r="5174" spans="1:11">
      <c r="A5174" s="450" t="s">
        <v>8699</v>
      </c>
      <c r="B5174" s="450" t="s">
        <v>8700</v>
      </c>
      <c r="C5174" s="450" t="s">
        <v>8701</v>
      </c>
      <c r="D5174" s="450" t="s">
        <v>8702</v>
      </c>
      <c r="E5174" s="450"/>
      <c r="F5174" s="450"/>
      <c r="G5174" s="450" t="s">
        <v>22877</v>
      </c>
      <c r="H5174" s="450" t="s">
        <v>22878</v>
      </c>
      <c r="I5174" s="450" t="s">
        <v>8702</v>
      </c>
      <c r="J5174" s="450" t="s">
        <v>25818</v>
      </c>
      <c r="K5174" s="450"/>
    </row>
    <row r="5175" spans="1:11">
      <c r="A5175" s="451" t="s">
        <v>8703</v>
      </c>
      <c r="B5175" s="451" t="s">
        <v>8704</v>
      </c>
      <c r="C5175" s="451" t="s">
        <v>8705</v>
      </c>
      <c r="D5175" s="451" t="s">
        <v>8706</v>
      </c>
      <c r="E5175" s="451"/>
      <c r="F5175" s="451"/>
      <c r="G5175" s="451" t="s">
        <v>22877</v>
      </c>
      <c r="H5175" s="451" t="s">
        <v>22878</v>
      </c>
      <c r="I5175" s="451" t="s">
        <v>8706</v>
      </c>
      <c r="J5175" s="451" t="s">
        <v>25819</v>
      </c>
      <c r="K5175" s="451"/>
    </row>
    <row r="5176" spans="1:11">
      <c r="A5176" s="450" t="s">
        <v>25820</v>
      </c>
      <c r="B5176" s="450" t="s">
        <v>8708</v>
      </c>
      <c r="C5176" s="450" t="s">
        <v>8709</v>
      </c>
      <c r="D5176" s="450" t="s">
        <v>8710</v>
      </c>
      <c r="E5176" s="450"/>
      <c r="F5176" s="450"/>
      <c r="G5176" s="450" t="s">
        <v>22877</v>
      </c>
      <c r="H5176" s="450" t="s">
        <v>22878</v>
      </c>
      <c r="I5176" s="450" t="s">
        <v>8710</v>
      </c>
      <c r="J5176" s="450" t="s">
        <v>25821</v>
      </c>
      <c r="K5176" s="450"/>
    </row>
    <row r="5177" spans="1:11">
      <c r="A5177" s="451" t="s">
        <v>8707</v>
      </c>
      <c r="B5177" s="451" t="s">
        <v>8708</v>
      </c>
      <c r="C5177" s="451" t="s">
        <v>8709</v>
      </c>
      <c r="D5177" s="451" t="s">
        <v>8710</v>
      </c>
      <c r="E5177" s="451" t="s">
        <v>8711</v>
      </c>
      <c r="F5177" s="451"/>
      <c r="G5177" s="451" t="s">
        <v>22877</v>
      </c>
      <c r="H5177" s="451" t="s">
        <v>22878</v>
      </c>
      <c r="I5177" s="451" t="s">
        <v>8714</v>
      </c>
      <c r="J5177" s="451" t="s">
        <v>35532</v>
      </c>
      <c r="K5177" s="451"/>
    </row>
    <row r="5178" spans="1:11">
      <c r="A5178" s="450" t="s">
        <v>8712</v>
      </c>
      <c r="B5178" s="450" t="s">
        <v>8713</v>
      </c>
      <c r="C5178" s="450" t="s">
        <v>3339</v>
      </c>
      <c r="D5178" s="450" t="s">
        <v>8714</v>
      </c>
      <c r="E5178" s="450" t="s">
        <v>8715</v>
      </c>
      <c r="F5178" s="450"/>
      <c r="G5178" s="450" t="s">
        <v>22877</v>
      </c>
      <c r="H5178" s="450" t="s">
        <v>22878</v>
      </c>
      <c r="I5178" s="450" t="s">
        <v>8714</v>
      </c>
      <c r="J5178" s="450" t="s">
        <v>35533</v>
      </c>
      <c r="K5178" s="450"/>
    </row>
    <row r="5179" spans="1:11">
      <c r="A5179" s="451" t="s">
        <v>25822</v>
      </c>
      <c r="B5179" s="451" t="s">
        <v>8713</v>
      </c>
      <c r="C5179" s="451" t="s">
        <v>3339</v>
      </c>
      <c r="D5179" s="451" t="s">
        <v>8714</v>
      </c>
      <c r="E5179" s="451"/>
      <c r="F5179" s="451"/>
      <c r="G5179" s="451" t="s">
        <v>22877</v>
      </c>
      <c r="H5179" s="451" t="s">
        <v>22878</v>
      </c>
      <c r="I5179" s="451" t="s">
        <v>8714</v>
      </c>
      <c r="J5179" s="451" t="s">
        <v>25823</v>
      </c>
      <c r="K5179" s="451"/>
    </row>
    <row r="5180" spans="1:11">
      <c r="A5180" s="450" t="s">
        <v>25824</v>
      </c>
      <c r="B5180" s="450" t="s">
        <v>25825</v>
      </c>
      <c r="C5180" s="450" t="s">
        <v>25826</v>
      </c>
      <c r="D5180" s="450"/>
      <c r="E5180" s="450"/>
      <c r="F5180" s="450"/>
      <c r="G5180" s="450" t="s">
        <v>22877</v>
      </c>
      <c r="H5180" s="450" t="s">
        <v>22878</v>
      </c>
      <c r="I5180" s="450" t="s">
        <v>25827</v>
      </c>
      <c r="J5180" s="450" t="s">
        <v>25828</v>
      </c>
      <c r="K5180" s="450"/>
    </row>
    <row r="5181" spans="1:11">
      <c r="A5181" s="451" t="s">
        <v>8716</v>
      </c>
      <c r="B5181" s="451"/>
      <c r="C5181" s="451" t="s">
        <v>8717</v>
      </c>
      <c r="D5181" s="451"/>
      <c r="E5181" s="451"/>
      <c r="F5181" s="451"/>
      <c r="G5181" s="451" t="s">
        <v>22877</v>
      </c>
      <c r="H5181" s="451" t="s">
        <v>22878</v>
      </c>
      <c r="I5181" s="451" t="s">
        <v>35534</v>
      </c>
      <c r="J5181" s="451" t="s">
        <v>22942</v>
      </c>
      <c r="K5181" s="451"/>
    </row>
    <row r="5182" spans="1:11">
      <c r="A5182" s="450" t="s">
        <v>35535</v>
      </c>
      <c r="B5182" s="450"/>
      <c r="C5182" s="450" t="s">
        <v>35536</v>
      </c>
      <c r="D5182" s="450"/>
      <c r="E5182" s="450"/>
      <c r="F5182" s="450"/>
      <c r="G5182" s="450" t="s">
        <v>22877</v>
      </c>
      <c r="H5182" s="450" t="s">
        <v>22878</v>
      </c>
      <c r="I5182" s="450" t="s">
        <v>35534</v>
      </c>
      <c r="J5182" s="450" t="s">
        <v>22943</v>
      </c>
      <c r="K5182" s="450"/>
    </row>
    <row r="5183" spans="1:11">
      <c r="A5183" s="451" t="s">
        <v>8718</v>
      </c>
      <c r="B5183" s="451"/>
      <c r="C5183" s="451" t="s">
        <v>2237</v>
      </c>
      <c r="D5183" s="451"/>
      <c r="E5183" s="451"/>
      <c r="F5183" s="451"/>
      <c r="G5183" s="451" t="s">
        <v>22882</v>
      </c>
      <c r="H5183" s="451" t="s">
        <v>22883</v>
      </c>
      <c r="I5183" s="451" t="s">
        <v>35537</v>
      </c>
      <c r="J5183" s="451" t="s">
        <v>22939</v>
      </c>
      <c r="K5183" s="451"/>
    </row>
    <row r="5184" spans="1:11">
      <c r="A5184" s="450" t="s">
        <v>35538</v>
      </c>
      <c r="B5184" s="450"/>
      <c r="C5184" s="450" t="s">
        <v>8720</v>
      </c>
      <c r="D5184" s="450"/>
      <c r="E5184" s="450"/>
      <c r="F5184" s="450"/>
      <c r="G5184" s="450" t="s">
        <v>22882</v>
      </c>
      <c r="H5184" s="450" t="s">
        <v>22883</v>
      </c>
      <c r="I5184" s="450"/>
      <c r="J5184" s="450" t="s">
        <v>22948</v>
      </c>
      <c r="K5184" s="450"/>
    </row>
    <row r="5185" spans="1:11">
      <c r="A5185" s="451" t="s">
        <v>8719</v>
      </c>
      <c r="B5185" s="451"/>
      <c r="C5185" s="451" t="s">
        <v>8720</v>
      </c>
      <c r="D5185" s="451"/>
      <c r="E5185" s="451"/>
      <c r="F5185" s="451"/>
      <c r="G5185" s="451" t="s">
        <v>22877</v>
      </c>
      <c r="H5185" s="451" t="s">
        <v>22878</v>
      </c>
      <c r="I5185" s="451" t="s">
        <v>35539</v>
      </c>
      <c r="J5185" s="451" t="s">
        <v>22958</v>
      </c>
      <c r="K5185" s="451"/>
    </row>
    <row r="5186" spans="1:11">
      <c r="A5186" s="450" t="s">
        <v>8721</v>
      </c>
      <c r="B5186" s="450"/>
      <c r="C5186" s="450" t="s">
        <v>5958</v>
      </c>
      <c r="D5186" s="450"/>
      <c r="E5186" s="450"/>
      <c r="F5186" s="450"/>
      <c r="G5186" s="450" t="s">
        <v>22877</v>
      </c>
      <c r="H5186" s="450" t="s">
        <v>22878</v>
      </c>
      <c r="I5186" s="450" t="s">
        <v>25829</v>
      </c>
      <c r="J5186" s="450" t="s">
        <v>22943</v>
      </c>
      <c r="K5186" s="450"/>
    </row>
    <row r="5187" spans="1:11">
      <c r="A5187" s="451" t="s">
        <v>8722</v>
      </c>
      <c r="B5187" s="451" t="s">
        <v>35540</v>
      </c>
      <c r="C5187" s="451" t="s">
        <v>8724</v>
      </c>
      <c r="D5187" s="451"/>
      <c r="E5187" s="451"/>
      <c r="F5187" s="451"/>
      <c r="G5187" s="451" t="s">
        <v>22877</v>
      </c>
      <c r="H5187" s="451" t="s">
        <v>22878</v>
      </c>
      <c r="I5187" s="451" t="s">
        <v>25830</v>
      </c>
      <c r="J5187" s="451" t="s">
        <v>35541</v>
      </c>
      <c r="K5187" s="451"/>
    </row>
    <row r="5188" spans="1:11">
      <c r="A5188" s="450" t="s">
        <v>8722</v>
      </c>
      <c r="B5188" s="450" t="s">
        <v>8723</v>
      </c>
      <c r="C5188" s="450" t="s">
        <v>8724</v>
      </c>
      <c r="D5188" s="450"/>
      <c r="E5188" s="450"/>
      <c r="F5188" s="450"/>
      <c r="G5188" s="450" t="s">
        <v>22882</v>
      </c>
      <c r="H5188" s="450" t="s">
        <v>22883</v>
      </c>
      <c r="I5188" s="450" t="s">
        <v>25830</v>
      </c>
      <c r="J5188" s="450" t="s">
        <v>31396</v>
      </c>
      <c r="K5188" s="450"/>
    </row>
    <row r="5189" spans="1:11">
      <c r="A5189" s="451" t="s">
        <v>8725</v>
      </c>
      <c r="B5189" s="451"/>
      <c r="C5189" s="451" t="s">
        <v>1242</v>
      </c>
      <c r="D5189" s="451"/>
      <c r="E5189" s="451"/>
      <c r="F5189" s="451"/>
      <c r="G5189" s="451" t="s">
        <v>22877</v>
      </c>
      <c r="H5189" s="451" t="s">
        <v>22878</v>
      </c>
      <c r="I5189" s="451" t="s">
        <v>35509</v>
      </c>
      <c r="J5189" s="451" t="s">
        <v>22939</v>
      </c>
      <c r="K5189" s="451"/>
    </row>
    <row r="5190" spans="1:11">
      <c r="A5190" s="450" t="s">
        <v>8726</v>
      </c>
      <c r="B5190" s="450"/>
      <c r="C5190" s="450" t="s">
        <v>8727</v>
      </c>
      <c r="D5190" s="450"/>
      <c r="E5190" s="450"/>
      <c r="F5190" s="450"/>
      <c r="G5190" s="450" t="s">
        <v>22877</v>
      </c>
      <c r="H5190" s="450" t="s">
        <v>22878</v>
      </c>
      <c r="I5190" s="450" t="s">
        <v>35542</v>
      </c>
      <c r="J5190" s="450" t="s">
        <v>22939</v>
      </c>
      <c r="K5190" s="450"/>
    </row>
    <row r="5191" spans="1:11">
      <c r="A5191" s="451" t="s">
        <v>35543</v>
      </c>
      <c r="B5191" s="451"/>
      <c r="C5191" s="451" t="s">
        <v>8729</v>
      </c>
      <c r="D5191" s="451"/>
      <c r="E5191" s="451"/>
      <c r="F5191" s="451"/>
      <c r="G5191" s="451" t="s">
        <v>22877</v>
      </c>
      <c r="H5191" s="451" t="s">
        <v>22878</v>
      </c>
      <c r="I5191" s="451" t="s">
        <v>35544</v>
      </c>
      <c r="J5191" s="451" t="s">
        <v>23370</v>
      </c>
      <c r="K5191" s="451"/>
    </row>
    <row r="5192" spans="1:11">
      <c r="A5192" s="450" t="s">
        <v>8728</v>
      </c>
      <c r="B5192" s="450"/>
      <c r="C5192" s="450" t="s">
        <v>8729</v>
      </c>
      <c r="D5192" s="450"/>
      <c r="E5192" s="450"/>
      <c r="F5192" s="450"/>
      <c r="G5192" s="450" t="s">
        <v>22877</v>
      </c>
      <c r="H5192" s="450" t="s">
        <v>22878</v>
      </c>
      <c r="I5192" s="450" t="s">
        <v>35544</v>
      </c>
      <c r="J5192" s="450" t="s">
        <v>22943</v>
      </c>
      <c r="K5192" s="450"/>
    </row>
    <row r="5193" spans="1:11">
      <c r="A5193" s="451" t="s">
        <v>8730</v>
      </c>
      <c r="B5193" s="451"/>
      <c r="C5193" s="451" t="s">
        <v>1215</v>
      </c>
      <c r="D5193" s="451"/>
      <c r="E5193" s="451"/>
      <c r="F5193" s="451"/>
      <c r="G5193" s="451" t="s">
        <v>22882</v>
      </c>
      <c r="H5193" s="451" t="s">
        <v>22883</v>
      </c>
      <c r="I5193" s="451"/>
      <c r="J5193" s="451" t="s">
        <v>22997</v>
      </c>
      <c r="K5193" s="451"/>
    </row>
    <row r="5194" spans="1:11">
      <c r="A5194" s="450" t="s">
        <v>35545</v>
      </c>
      <c r="B5194" s="450"/>
      <c r="C5194" s="450" t="s">
        <v>1215</v>
      </c>
      <c r="D5194" s="450"/>
      <c r="E5194" s="450"/>
      <c r="F5194" s="450"/>
      <c r="G5194" s="450" t="s">
        <v>22882</v>
      </c>
      <c r="H5194" s="450" t="s">
        <v>22883</v>
      </c>
      <c r="I5194" s="450"/>
      <c r="J5194" s="450" t="s">
        <v>22943</v>
      </c>
      <c r="K5194" s="450"/>
    </row>
    <row r="5195" spans="1:11">
      <c r="A5195" s="451" t="s">
        <v>8731</v>
      </c>
      <c r="B5195" s="451"/>
      <c r="C5195" s="451" t="s">
        <v>7540</v>
      </c>
      <c r="D5195" s="451"/>
      <c r="E5195" s="451"/>
      <c r="F5195" s="451"/>
      <c r="G5195" s="451" t="s">
        <v>22877</v>
      </c>
      <c r="H5195" s="451" t="s">
        <v>22878</v>
      </c>
      <c r="I5195" s="451" t="s">
        <v>25831</v>
      </c>
      <c r="J5195" s="451" t="s">
        <v>22939</v>
      </c>
      <c r="K5195" s="451"/>
    </row>
    <row r="5196" spans="1:11">
      <c r="A5196" s="450" t="s">
        <v>8732</v>
      </c>
      <c r="B5196" s="450" t="s">
        <v>8733</v>
      </c>
      <c r="C5196" s="450" t="s">
        <v>4601</v>
      </c>
      <c r="D5196" s="450" t="s">
        <v>8734</v>
      </c>
      <c r="E5196" s="450"/>
      <c r="F5196" s="450"/>
      <c r="G5196" s="450" t="s">
        <v>22877</v>
      </c>
      <c r="H5196" s="450" t="s">
        <v>22878</v>
      </c>
      <c r="I5196" s="450" t="s">
        <v>8734</v>
      </c>
      <c r="J5196" s="450" t="s">
        <v>35546</v>
      </c>
      <c r="K5196" s="450"/>
    </row>
    <row r="5197" spans="1:11">
      <c r="A5197" s="451" t="s">
        <v>8732</v>
      </c>
      <c r="B5197" s="451" t="s">
        <v>8733</v>
      </c>
      <c r="C5197" s="451" t="s">
        <v>4601</v>
      </c>
      <c r="D5197" s="451" t="s">
        <v>8734</v>
      </c>
      <c r="E5197" s="451" t="s">
        <v>8735</v>
      </c>
      <c r="F5197" s="451"/>
      <c r="G5197" s="451" t="s">
        <v>22882</v>
      </c>
      <c r="H5197" s="451" t="s">
        <v>22883</v>
      </c>
      <c r="I5197" s="451" t="s">
        <v>8734</v>
      </c>
      <c r="J5197" s="451" t="s">
        <v>31397</v>
      </c>
      <c r="K5197" s="451"/>
    </row>
    <row r="5198" spans="1:11">
      <c r="A5198" s="450" t="s">
        <v>8736</v>
      </c>
      <c r="B5198" s="450" t="s">
        <v>25832</v>
      </c>
      <c r="C5198" s="450" t="s">
        <v>3414</v>
      </c>
      <c r="D5198" s="450" t="s">
        <v>8738</v>
      </c>
      <c r="E5198" s="450"/>
      <c r="F5198" s="450"/>
      <c r="G5198" s="450" t="s">
        <v>22877</v>
      </c>
      <c r="H5198" s="450" t="s">
        <v>22878</v>
      </c>
      <c r="I5198" s="450" t="s">
        <v>25833</v>
      </c>
      <c r="J5198" s="450" t="s">
        <v>25834</v>
      </c>
      <c r="K5198" s="450"/>
    </row>
    <row r="5199" spans="1:11">
      <c r="A5199" s="451" t="s">
        <v>8736</v>
      </c>
      <c r="B5199" s="451" t="s">
        <v>8737</v>
      </c>
      <c r="C5199" s="451" t="s">
        <v>3414</v>
      </c>
      <c r="D5199" s="451" t="s">
        <v>8738</v>
      </c>
      <c r="E5199" s="451" t="s">
        <v>8739</v>
      </c>
      <c r="F5199" s="451"/>
      <c r="G5199" s="451" t="s">
        <v>22882</v>
      </c>
      <c r="H5199" s="451" t="s">
        <v>22883</v>
      </c>
      <c r="I5199" s="451" t="s">
        <v>31398</v>
      </c>
      <c r="J5199" s="451" t="s">
        <v>31399</v>
      </c>
      <c r="K5199" s="451"/>
    </row>
    <row r="5200" spans="1:11">
      <c r="A5200" s="450" t="s">
        <v>8740</v>
      </c>
      <c r="B5200" s="450" t="s">
        <v>35547</v>
      </c>
      <c r="C5200" s="450" t="s">
        <v>8742</v>
      </c>
      <c r="D5200" s="450" t="s">
        <v>8743</v>
      </c>
      <c r="E5200" s="450"/>
      <c r="F5200" s="450"/>
      <c r="G5200" s="450" t="s">
        <v>22877</v>
      </c>
      <c r="H5200" s="450" t="s">
        <v>22878</v>
      </c>
      <c r="I5200" s="450" t="s">
        <v>8743</v>
      </c>
      <c r="J5200" s="450" t="s">
        <v>35548</v>
      </c>
      <c r="K5200" s="450"/>
    </row>
    <row r="5201" spans="1:11">
      <c r="A5201" s="451" t="s">
        <v>8740</v>
      </c>
      <c r="B5201" s="451" t="s">
        <v>8741</v>
      </c>
      <c r="C5201" s="451" t="s">
        <v>8742</v>
      </c>
      <c r="D5201" s="451" t="s">
        <v>8743</v>
      </c>
      <c r="E5201" s="451" t="s">
        <v>8744</v>
      </c>
      <c r="F5201" s="451"/>
      <c r="G5201" s="451" t="s">
        <v>22882</v>
      </c>
      <c r="H5201" s="451" t="s">
        <v>22883</v>
      </c>
      <c r="I5201" s="451" t="s">
        <v>8743</v>
      </c>
      <c r="J5201" s="451" t="s">
        <v>31400</v>
      </c>
      <c r="K5201" s="451"/>
    </row>
    <row r="5202" spans="1:11">
      <c r="A5202" s="450" t="s">
        <v>8745</v>
      </c>
      <c r="B5202" s="450"/>
      <c r="C5202" s="450" t="s">
        <v>3686</v>
      </c>
      <c r="D5202" s="450"/>
      <c r="E5202" s="450"/>
      <c r="F5202" s="450"/>
      <c r="G5202" s="450" t="s">
        <v>22877</v>
      </c>
      <c r="H5202" s="450" t="s">
        <v>22878</v>
      </c>
      <c r="I5202" s="450" t="s">
        <v>35549</v>
      </c>
      <c r="J5202" s="450" t="s">
        <v>22937</v>
      </c>
      <c r="K5202" s="450"/>
    </row>
    <row r="5203" spans="1:11">
      <c r="A5203" s="451" t="s">
        <v>8746</v>
      </c>
      <c r="B5203" s="451"/>
      <c r="C5203" s="451" t="s">
        <v>8747</v>
      </c>
      <c r="D5203" s="451"/>
      <c r="E5203" s="451"/>
      <c r="F5203" s="451"/>
      <c r="G5203" s="451" t="s">
        <v>22882</v>
      </c>
      <c r="H5203" s="451" t="s">
        <v>22883</v>
      </c>
      <c r="I5203" s="451"/>
      <c r="J5203" s="451" t="s">
        <v>22948</v>
      </c>
      <c r="K5203" s="451"/>
    </row>
    <row r="5204" spans="1:11">
      <c r="A5204" s="450" t="s">
        <v>35550</v>
      </c>
      <c r="B5204" s="450"/>
      <c r="C5204" s="450" t="s">
        <v>8749</v>
      </c>
      <c r="D5204" s="450"/>
      <c r="E5204" s="450"/>
      <c r="F5204" s="450"/>
      <c r="G5204" s="450" t="s">
        <v>22882</v>
      </c>
      <c r="H5204" s="450" t="s">
        <v>22883</v>
      </c>
      <c r="I5204" s="450"/>
      <c r="J5204" s="450" t="s">
        <v>22943</v>
      </c>
      <c r="K5204" s="450"/>
    </row>
    <row r="5205" spans="1:11">
      <c r="A5205" s="451" t="s">
        <v>8748</v>
      </c>
      <c r="B5205" s="451"/>
      <c r="C5205" s="451" t="s">
        <v>8749</v>
      </c>
      <c r="D5205" s="451"/>
      <c r="E5205" s="451"/>
      <c r="F5205" s="451"/>
      <c r="G5205" s="451" t="s">
        <v>22877</v>
      </c>
      <c r="H5205" s="451" t="s">
        <v>22878</v>
      </c>
      <c r="I5205" s="451" t="s">
        <v>35551</v>
      </c>
      <c r="J5205" s="451" t="s">
        <v>22997</v>
      </c>
      <c r="K5205" s="451"/>
    </row>
    <row r="5206" spans="1:11">
      <c r="A5206" s="450" t="s">
        <v>8750</v>
      </c>
      <c r="B5206" s="450"/>
      <c r="C5206" s="450" t="s">
        <v>8751</v>
      </c>
      <c r="D5206" s="450"/>
      <c r="E5206" s="450"/>
      <c r="F5206" s="450"/>
      <c r="G5206" s="450" t="s">
        <v>22877</v>
      </c>
      <c r="H5206" s="450" t="s">
        <v>22878</v>
      </c>
      <c r="I5206" s="450" t="s">
        <v>35552</v>
      </c>
      <c r="J5206" s="450" t="s">
        <v>22939</v>
      </c>
      <c r="K5206" s="450"/>
    </row>
    <row r="5207" spans="1:11">
      <c r="A5207" s="451" t="s">
        <v>35553</v>
      </c>
      <c r="B5207" s="451"/>
      <c r="C5207" s="451" t="s">
        <v>8751</v>
      </c>
      <c r="D5207" s="451"/>
      <c r="E5207" s="451"/>
      <c r="F5207" s="451"/>
      <c r="G5207" s="451" t="s">
        <v>22877</v>
      </c>
      <c r="H5207" s="451" t="s">
        <v>22878</v>
      </c>
      <c r="I5207" s="451" t="s">
        <v>35552</v>
      </c>
      <c r="J5207" s="451" t="s">
        <v>22997</v>
      </c>
      <c r="K5207" s="451"/>
    </row>
    <row r="5208" spans="1:11">
      <c r="A5208" s="450" t="s">
        <v>8752</v>
      </c>
      <c r="B5208" s="450"/>
      <c r="C5208" s="450" t="s">
        <v>8753</v>
      </c>
      <c r="D5208" s="450"/>
      <c r="E5208" s="450"/>
      <c r="F5208" s="450"/>
      <c r="G5208" s="450" t="s">
        <v>22882</v>
      </c>
      <c r="H5208" s="450" t="s">
        <v>22883</v>
      </c>
      <c r="I5208" s="450" t="s">
        <v>35554</v>
      </c>
      <c r="J5208" s="450" t="s">
        <v>22943</v>
      </c>
      <c r="K5208" s="450"/>
    </row>
    <row r="5209" spans="1:11">
      <c r="A5209" s="451" t="s">
        <v>8754</v>
      </c>
      <c r="B5209" s="451"/>
      <c r="C5209" s="451" t="s">
        <v>8755</v>
      </c>
      <c r="D5209" s="451"/>
      <c r="E5209" s="451"/>
      <c r="F5209" s="451"/>
      <c r="G5209" s="451" t="s">
        <v>22882</v>
      </c>
      <c r="H5209" s="451" t="s">
        <v>22883</v>
      </c>
      <c r="I5209" s="451" t="s">
        <v>35555</v>
      </c>
      <c r="J5209" s="451" t="s">
        <v>22943</v>
      </c>
      <c r="K5209" s="451"/>
    </row>
    <row r="5210" spans="1:11">
      <c r="A5210" s="450" t="s">
        <v>8756</v>
      </c>
      <c r="B5210" s="450"/>
      <c r="C5210" s="450" t="s">
        <v>3584</v>
      </c>
      <c r="D5210" s="450"/>
      <c r="E5210" s="450"/>
      <c r="F5210" s="450"/>
      <c r="G5210" s="450" t="s">
        <v>22882</v>
      </c>
      <c r="H5210" s="450" t="s">
        <v>22883</v>
      </c>
      <c r="I5210" s="450"/>
      <c r="J5210" s="450" t="s">
        <v>22939</v>
      </c>
      <c r="K5210" s="450"/>
    </row>
    <row r="5211" spans="1:11">
      <c r="A5211" s="451" t="s">
        <v>8757</v>
      </c>
      <c r="B5211" s="451"/>
      <c r="C5211" s="451" t="s">
        <v>2813</v>
      </c>
      <c r="D5211" s="451"/>
      <c r="E5211" s="451"/>
      <c r="F5211" s="451"/>
      <c r="G5211" s="451" t="s">
        <v>22877</v>
      </c>
      <c r="H5211" s="451" t="s">
        <v>22878</v>
      </c>
      <c r="I5211" s="451" t="s">
        <v>35556</v>
      </c>
      <c r="J5211" s="451" t="s">
        <v>22958</v>
      </c>
      <c r="K5211" s="451"/>
    </row>
    <row r="5212" spans="1:11">
      <c r="A5212" s="450" t="s">
        <v>8758</v>
      </c>
      <c r="B5212" s="450"/>
      <c r="C5212" s="450" t="s">
        <v>7055</v>
      </c>
      <c r="D5212" s="450"/>
      <c r="E5212" s="450"/>
      <c r="F5212" s="450"/>
      <c r="G5212" s="450" t="s">
        <v>22877</v>
      </c>
      <c r="H5212" s="450" t="s">
        <v>22878</v>
      </c>
      <c r="I5212" s="450" t="s">
        <v>35557</v>
      </c>
      <c r="J5212" s="450" t="s">
        <v>22958</v>
      </c>
      <c r="K5212" s="450"/>
    </row>
    <row r="5213" spans="1:11">
      <c r="A5213" s="451" t="s">
        <v>8759</v>
      </c>
      <c r="B5213" s="451"/>
      <c r="C5213" s="451" t="s">
        <v>8760</v>
      </c>
      <c r="D5213" s="451"/>
      <c r="E5213" s="451"/>
      <c r="F5213" s="451"/>
      <c r="G5213" s="451" t="s">
        <v>22877</v>
      </c>
      <c r="H5213" s="451" t="s">
        <v>22878</v>
      </c>
      <c r="I5213" s="451" t="s">
        <v>35558</v>
      </c>
      <c r="J5213" s="451" t="s">
        <v>22942</v>
      </c>
      <c r="K5213" s="451"/>
    </row>
    <row r="5214" spans="1:11">
      <c r="A5214" s="450" t="s">
        <v>8761</v>
      </c>
      <c r="B5214" s="450"/>
      <c r="C5214" s="450" t="s">
        <v>8762</v>
      </c>
      <c r="D5214" s="450"/>
      <c r="E5214" s="450"/>
      <c r="F5214" s="450"/>
      <c r="G5214" s="450" t="s">
        <v>22877</v>
      </c>
      <c r="H5214" s="450" t="s">
        <v>22878</v>
      </c>
      <c r="I5214" s="450" t="s">
        <v>25911</v>
      </c>
      <c r="J5214" s="450" t="s">
        <v>22942</v>
      </c>
      <c r="K5214" s="450"/>
    </row>
    <row r="5215" spans="1:11">
      <c r="A5215" s="451" t="s">
        <v>8763</v>
      </c>
      <c r="B5215" s="451"/>
      <c r="C5215" s="451" t="s">
        <v>3201</v>
      </c>
      <c r="D5215" s="451"/>
      <c r="E5215" s="451"/>
      <c r="F5215" s="451"/>
      <c r="G5215" s="451" t="s">
        <v>22882</v>
      </c>
      <c r="H5215" s="451" t="s">
        <v>22883</v>
      </c>
      <c r="I5215" s="451"/>
      <c r="J5215" s="451" t="s">
        <v>22939</v>
      </c>
      <c r="K5215" s="451"/>
    </row>
    <row r="5216" spans="1:11">
      <c r="A5216" s="450" t="s">
        <v>25835</v>
      </c>
      <c r="B5216" s="450" t="s">
        <v>25836</v>
      </c>
      <c r="C5216" s="450" t="s">
        <v>25837</v>
      </c>
      <c r="D5216" s="450"/>
      <c r="E5216" s="450"/>
      <c r="F5216" s="450"/>
      <c r="G5216" s="450" t="s">
        <v>22877</v>
      </c>
      <c r="H5216" s="450" t="s">
        <v>22878</v>
      </c>
      <c r="I5216" s="450"/>
      <c r="J5216" s="450" t="s">
        <v>25838</v>
      </c>
      <c r="K5216" s="450"/>
    </row>
    <row r="5217" spans="1:11">
      <c r="A5217" s="451" t="s">
        <v>8764</v>
      </c>
      <c r="B5217" s="451"/>
      <c r="C5217" s="451" t="s">
        <v>8765</v>
      </c>
      <c r="D5217" s="451"/>
      <c r="E5217" s="451"/>
      <c r="F5217" s="451"/>
      <c r="G5217" s="451" t="s">
        <v>22877</v>
      </c>
      <c r="H5217" s="451" t="s">
        <v>22878</v>
      </c>
      <c r="I5217" s="451" t="s">
        <v>35559</v>
      </c>
      <c r="J5217" s="451" t="s">
        <v>23370</v>
      </c>
      <c r="K5217" s="451"/>
    </row>
    <row r="5218" spans="1:11">
      <c r="A5218" s="450" t="s">
        <v>8766</v>
      </c>
      <c r="B5218" s="450"/>
      <c r="C5218" s="450" t="s">
        <v>6137</v>
      </c>
      <c r="D5218" s="450" t="s">
        <v>8767</v>
      </c>
      <c r="E5218" s="450"/>
      <c r="F5218" s="450"/>
      <c r="G5218" s="450" t="s">
        <v>22882</v>
      </c>
      <c r="H5218" s="450" t="s">
        <v>22883</v>
      </c>
      <c r="I5218" s="450" t="s">
        <v>35560</v>
      </c>
      <c r="J5218" s="450" t="s">
        <v>35561</v>
      </c>
      <c r="K5218" s="450"/>
    </row>
    <row r="5219" spans="1:11">
      <c r="A5219" s="451" t="s">
        <v>8768</v>
      </c>
      <c r="B5219" s="451"/>
      <c r="C5219" s="451" t="s">
        <v>8769</v>
      </c>
      <c r="D5219" s="451"/>
      <c r="E5219" s="451"/>
      <c r="F5219" s="451"/>
      <c r="G5219" s="451" t="s">
        <v>22877</v>
      </c>
      <c r="H5219" s="451" t="s">
        <v>22878</v>
      </c>
      <c r="I5219" s="451" t="s">
        <v>25839</v>
      </c>
      <c r="J5219" s="451" t="s">
        <v>23370</v>
      </c>
      <c r="K5219" s="451"/>
    </row>
    <row r="5220" spans="1:11">
      <c r="A5220" s="450" t="s">
        <v>8770</v>
      </c>
      <c r="B5220" s="450" t="s">
        <v>8771</v>
      </c>
      <c r="C5220" s="450" t="s">
        <v>8772</v>
      </c>
      <c r="D5220" s="450" t="s">
        <v>8773</v>
      </c>
      <c r="E5220" s="450"/>
      <c r="F5220" s="450"/>
      <c r="G5220" s="450" t="s">
        <v>22877</v>
      </c>
      <c r="H5220" s="450" t="s">
        <v>22878</v>
      </c>
      <c r="I5220" s="450" t="s">
        <v>8773</v>
      </c>
      <c r="J5220" s="450" t="s">
        <v>25840</v>
      </c>
      <c r="K5220" s="450"/>
    </row>
    <row r="5221" spans="1:11">
      <c r="A5221" s="451" t="s">
        <v>8770</v>
      </c>
      <c r="B5221" s="451" t="s">
        <v>8771</v>
      </c>
      <c r="C5221" s="451" t="s">
        <v>8772</v>
      </c>
      <c r="D5221" s="451" t="s">
        <v>8773</v>
      </c>
      <c r="E5221" s="451" t="s">
        <v>8774</v>
      </c>
      <c r="F5221" s="451"/>
      <c r="G5221" s="451" t="s">
        <v>22877</v>
      </c>
      <c r="H5221" s="451" t="s">
        <v>22878</v>
      </c>
      <c r="I5221" s="451" t="s">
        <v>31401</v>
      </c>
      <c r="J5221" s="451" t="s">
        <v>25840</v>
      </c>
      <c r="K5221" s="451"/>
    </row>
    <row r="5222" spans="1:11">
      <c r="A5222" s="450" t="s">
        <v>8775</v>
      </c>
      <c r="B5222" s="450" t="s">
        <v>8776</v>
      </c>
      <c r="C5222" s="450" t="s">
        <v>2554</v>
      </c>
      <c r="D5222" s="450" t="s">
        <v>8777</v>
      </c>
      <c r="E5222" s="450"/>
      <c r="F5222" s="450"/>
      <c r="G5222" s="450" t="s">
        <v>22877</v>
      </c>
      <c r="H5222" s="450" t="s">
        <v>22878</v>
      </c>
      <c r="I5222" s="450" t="s">
        <v>8777</v>
      </c>
      <c r="J5222" s="450" t="s">
        <v>25841</v>
      </c>
      <c r="K5222" s="450"/>
    </row>
    <row r="5223" spans="1:11">
      <c r="A5223" s="451" t="s">
        <v>8775</v>
      </c>
      <c r="B5223" s="451" t="s">
        <v>8776</v>
      </c>
      <c r="C5223" s="451" t="s">
        <v>2554</v>
      </c>
      <c r="D5223" s="451" t="s">
        <v>8777</v>
      </c>
      <c r="E5223" s="451" t="s">
        <v>8778</v>
      </c>
      <c r="F5223" s="451"/>
      <c r="G5223" s="451" t="s">
        <v>22877</v>
      </c>
      <c r="H5223" s="451" t="s">
        <v>22878</v>
      </c>
      <c r="I5223" s="451" t="s">
        <v>8777</v>
      </c>
      <c r="J5223" s="451" t="s">
        <v>25841</v>
      </c>
      <c r="K5223" s="451"/>
    </row>
    <row r="5224" spans="1:11">
      <c r="A5224" s="450" t="s">
        <v>8779</v>
      </c>
      <c r="B5224" s="450" t="s">
        <v>35562</v>
      </c>
      <c r="C5224" s="450" t="s">
        <v>2088</v>
      </c>
      <c r="D5224" s="450" t="s">
        <v>8781</v>
      </c>
      <c r="E5224" s="450"/>
      <c r="F5224" s="450"/>
      <c r="G5224" s="450" t="s">
        <v>22877</v>
      </c>
      <c r="H5224" s="450" t="s">
        <v>22878</v>
      </c>
      <c r="I5224" s="450" t="s">
        <v>25842</v>
      </c>
      <c r="J5224" s="450" t="s">
        <v>35563</v>
      </c>
      <c r="K5224" s="450"/>
    </row>
    <row r="5225" spans="1:11">
      <c r="A5225" s="451" t="s">
        <v>8779</v>
      </c>
      <c r="B5225" s="451" t="s">
        <v>8780</v>
      </c>
      <c r="C5225" s="451" t="s">
        <v>2088</v>
      </c>
      <c r="D5225" s="451" t="s">
        <v>8781</v>
      </c>
      <c r="E5225" s="451" t="s">
        <v>8782</v>
      </c>
      <c r="F5225" s="451"/>
      <c r="G5225" s="451" t="s">
        <v>22877</v>
      </c>
      <c r="H5225" s="451" t="s">
        <v>22878</v>
      </c>
      <c r="I5225" s="451" t="s">
        <v>25842</v>
      </c>
      <c r="J5225" s="451" t="s">
        <v>31402</v>
      </c>
      <c r="K5225" s="451"/>
    </row>
    <row r="5226" spans="1:11">
      <c r="A5226" s="450" t="s">
        <v>25843</v>
      </c>
      <c r="B5226" s="450" t="s">
        <v>25844</v>
      </c>
      <c r="C5226" s="450" t="s">
        <v>25845</v>
      </c>
      <c r="D5226" s="450"/>
      <c r="E5226" s="450"/>
      <c r="F5226" s="450"/>
      <c r="G5226" s="450" t="s">
        <v>22877</v>
      </c>
      <c r="H5226" s="450" t="s">
        <v>22878</v>
      </c>
      <c r="I5226" s="450" t="s">
        <v>25846</v>
      </c>
      <c r="J5226" s="450" t="s">
        <v>25847</v>
      </c>
      <c r="K5226" s="450"/>
    </row>
    <row r="5227" spans="1:11">
      <c r="A5227" s="451" t="s">
        <v>8783</v>
      </c>
      <c r="B5227" s="451" t="s">
        <v>8784</v>
      </c>
      <c r="C5227" s="451" t="s">
        <v>8785</v>
      </c>
      <c r="D5227" s="451" t="s">
        <v>8786</v>
      </c>
      <c r="E5227" s="451"/>
      <c r="F5227" s="451"/>
      <c r="G5227" s="451" t="s">
        <v>22877</v>
      </c>
      <c r="H5227" s="451" t="s">
        <v>22878</v>
      </c>
      <c r="I5227" s="451" t="s">
        <v>8786</v>
      </c>
      <c r="J5227" s="451" t="s">
        <v>25848</v>
      </c>
      <c r="K5227" s="451"/>
    </row>
    <row r="5228" spans="1:11">
      <c r="A5228" s="450" t="s">
        <v>8787</v>
      </c>
      <c r="B5228" s="450" t="s">
        <v>8788</v>
      </c>
      <c r="C5228" s="450" t="s">
        <v>8789</v>
      </c>
      <c r="D5228" s="450" t="s">
        <v>2462</v>
      </c>
      <c r="E5228" s="450"/>
      <c r="F5228" s="450"/>
      <c r="G5228" s="450" t="s">
        <v>22877</v>
      </c>
      <c r="H5228" s="450" t="s">
        <v>22878</v>
      </c>
      <c r="I5228" s="450" t="s">
        <v>2462</v>
      </c>
      <c r="J5228" s="450" t="s">
        <v>25849</v>
      </c>
      <c r="K5228" s="450"/>
    </row>
    <row r="5229" spans="1:11">
      <c r="A5229" s="451" t="s">
        <v>8787</v>
      </c>
      <c r="B5229" s="451" t="s">
        <v>8788</v>
      </c>
      <c r="C5229" s="451" t="s">
        <v>8789</v>
      </c>
      <c r="D5229" s="451" t="s">
        <v>2462</v>
      </c>
      <c r="E5229" s="451" t="s">
        <v>2463</v>
      </c>
      <c r="F5229" s="451"/>
      <c r="G5229" s="451" t="s">
        <v>22877</v>
      </c>
      <c r="H5229" s="451" t="s">
        <v>22878</v>
      </c>
      <c r="I5229" s="451" t="s">
        <v>2462</v>
      </c>
      <c r="J5229" s="451" t="s">
        <v>25849</v>
      </c>
      <c r="K5229" s="451"/>
    </row>
    <row r="5230" spans="1:11">
      <c r="A5230" s="450" t="s">
        <v>8790</v>
      </c>
      <c r="B5230" s="450" t="s">
        <v>35564</v>
      </c>
      <c r="C5230" s="450" t="s">
        <v>7780</v>
      </c>
      <c r="D5230" s="450" t="s">
        <v>8792</v>
      </c>
      <c r="E5230" s="450"/>
      <c r="F5230" s="450"/>
      <c r="G5230" s="450" t="s">
        <v>22877</v>
      </c>
      <c r="H5230" s="450" t="s">
        <v>22878</v>
      </c>
      <c r="I5230" s="450" t="s">
        <v>25850</v>
      </c>
      <c r="J5230" s="450" t="s">
        <v>35565</v>
      </c>
      <c r="K5230" s="450"/>
    </row>
    <row r="5231" spans="1:11">
      <c r="A5231" s="451" t="s">
        <v>8790</v>
      </c>
      <c r="B5231" s="451" t="s">
        <v>8791</v>
      </c>
      <c r="C5231" s="451" t="s">
        <v>7780</v>
      </c>
      <c r="D5231" s="451" t="s">
        <v>8792</v>
      </c>
      <c r="E5231" s="451" t="s">
        <v>8793</v>
      </c>
      <c r="F5231" s="451"/>
      <c r="G5231" s="451" t="s">
        <v>22877</v>
      </c>
      <c r="H5231" s="451" t="s">
        <v>22878</v>
      </c>
      <c r="I5231" s="451" t="s">
        <v>25850</v>
      </c>
      <c r="J5231" s="451" t="s">
        <v>31403</v>
      </c>
      <c r="K5231" s="451"/>
    </row>
    <row r="5232" spans="1:11">
      <c r="A5232" s="450" t="s">
        <v>8794</v>
      </c>
      <c r="B5232" s="450" t="s">
        <v>8795</v>
      </c>
      <c r="C5232" s="450" t="s">
        <v>8796</v>
      </c>
      <c r="D5232" s="450" t="s">
        <v>8797</v>
      </c>
      <c r="E5232" s="450"/>
      <c r="F5232" s="450"/>
      <c r="G5232" s="450" t="s">
        <v>22877</v>
      </c>
      <c r="H5232" s="450" t="s">
        <v>22878</v>
      </c>
      <c r="I5232" s="450" t="s">
        <v>8797</v>
      </c>
      <c r="J5232" s="450" t="s">
        <v>35566</v>
      </c>
      <c r="K5232" s="450"/>
    </row>
    <row r="5233" spans="1:11">
      <c r="A5233" s="451" t="s">
        <v>8794</v>
      </c>
      <c r="B5233" s="451" t="s">
        <v>8795</v>
      </c>
      <c r="C5233" s="451" t="s">
        <v>8796</v>
      </c>
      <c r="D5233" s="451" t="s">
        <v>8797</v>
      </c>
      <c r="E5233" s="451" t="s">
        <v>8798</v>
      </c>
      <c r="F5233" s="451"/>
      <c r="G5233" s="451" t="s">
        <v>22882</v>
      </c>
      <c r="H5233" s="451" t="s">
        <v>22883</v>
      </c>
      <c r="I5233" s="451" t="s">
        <v>8797</v>
      </c>
      <c r="J5233" s="451" t="s">
        <v>31404</v>
      </c>
      <c r="K5233" s="451"/>
    </row>
    <row r="5234" spans="1:11">
      <c r="A5234" s="450" t="s">
        <v>8799</v>
      </c>
      <c r="B5234" s="450" t="s">
        <v>8800</v>
      </c>
      <c r="C5234" s="450" t="s">
        <v>5213</v>
      </c>
      <c r="D5234" s="450" t="s">
        <v>8801</v>
      </c>
      <c r="E5234" s="450"/>
      <c r="F5234" s="450"/>
      <c r="G5234" s="450" t="s">
        <v>22877</v>
      </c>
      <c r="H5234" s="450" t="s">
        <v>22878</v>
      </c>
      <c r="I5234" s="450" t="s">
        <v>25851</v>
      </c>
      <c r="J5234" s="450" t="s">
        <v>35567</v>
      </c>
      <c r="K5234" s="450"/>
    </row>
    <row r="5235" spans="1:11">
      <c r="A5235" s="451" t="s">
        <v>8799</v>
      </c>
      <c r="B5235" s="451" t="s">
        <v>8800</v>
      </c>
      <c r="C5235" s="451" t="s">
        <v>5213</v>
      </c>
      <c r="D5235" s="451" t="s">
        <v>8801</v>
      </c>
      <c r="E5235" s="451" t="s">
        <v>8802</v>
      </c>
      <c r="F5235" s="451"/>
      <c r="G5235" s="451" t="s">
        <v>22877</v>
      </c>
      <c r="H5235" s="451" t="s">
        <v>22878</v>
      </c>
      <c r="I5235" s="451" t="s">
        <v>25851</v>
      </c>
      <c r="J5235" s="451" t="s">
        <v>31405</v>
      </c>
      <c r="K5235" s="451"/>
    </row>
    <row r="5236" spans="1:11">
      <c r="A5236" s="450" t="s">
        <v>8803</v>
      </c>
      <c r="B5236" s="450" t="s">
        <v>25852</v>
      </c>
      <c r="C5236" s="450" t="s">
        <v>2307</v>
      </c>
      <c r="D5236" s="450" t="s">
        <v>8805</v>
      </c>
      <c r="E5236" s="450"/>
      <c r="F5236" s="450"/>
      <c r="G5236" s="450" t="s">
        <v>22877</v>
      </c>
      <c r="H5236" s="450" t="s">
        <v>22878</v>
      </c>
      <c r="I5236" s="450" t="s">
        <v>8805</v>
      </c>
      <c r="J5236" s="450" t="s">
        <v>25853</v>
      </c>
      <c r="K5236" s="450"/>
    </row>
    <row r="5237" spans="1:11">
      <c r="A5237" s="451" t="s">
        <v>8803</v>
      </c>
      <c r="B5237" s="451" t="s">
        <v>8804</v>
      </c>
      <c r="C5237" s="451" t="s">
        <v>2307</v>
      </c>
      <c r="D5237" s="451" t="s">
        <v>8805</v>
      </c>
      <c r="E5237" s="451" t="s">
        <v>8806</v>
      </c>
      <c r="F5237" s="451"/>
      <c r="G5237" s="451" t="s">
        <v>22877</v>
      </c>
      <c r="H5237" s="451" t="s">
        <v>22878</v>
      </c>
      <c r="I5237" s="451" t="s">
        <v>31406</v>
      </c>
      <c r="J5237" s="451" t="s">
        <v>31407</v>
      </c>
      <c r="K5237" s="451"/>
    </row>
    <row r="5238" spans="1:11">
      <c r="A5238" s="450" t="s">
        <v>8807</v>
      </c>
      <c r="B5238" s="450" t="s">
        <v>8808</v>
      </c>
      <c r="C5238" s="450" t="s">
        <v>8809</v>
      </c>
      <c r="D5238" s="450" t="s">
        <v>8810</v>
      </c>
      <c r="E5238" s="450"/>
      <c r="F5238" s="450"/>
      <c r="G5238" s="450" t="s">
        <v>22877</v>
      </c>
      <c r="H5238" s="450" t="s">
        <v>22878</v>
      </c>
      <c r="I5238" s="450" t="s">
        <v>35568</v>
      </c>
      <c r="J5238" s="450" t="s">
        <v>35569</v>
      </c>
      <c r="K5238" s="450"/>
    </row>
    <row r="5239" spans="1:11">
      <c r="A5239" s="451" t="s">
        <v>8807</v>
      </c>
      <c r="B5239" s="451" t="s">
        <v>8808</v>
      </c>
      <c r="C5239" s="451" t="s">
        <v>8809</v>
      </c>
      <c r="D5239" s="451" t="s">
        <v>8810</v>
      </c>
      <c r="E5239" s="451" t="s">
        <v>8811</v>
      </c>
      <c r="F5239" s="451"/>
      <c r="G5239" s="451" t="s">
        <v>22877</v>
      </c>
      <c r="H5239" s="451" t="s">
        <v>22878</v>
      </c>
      <c r="I5239" s="451"/>
      <c r="J5239" s="451" t="s">
        <v>31408</v>
      </c>
      <c r="K5239" s="451"/>
    </row>
    <row r="5240" spans="1:11">
      <c r="A5240" s="450" t="s">
        <v>8812</v>
      </c>
      <c r="B5240" s="450" t="s">
        <v>8813</v>
      </c>
      <c r="C5240" s="450" t="s">
        <v>8814</v>
      </c>
      <c r="D5240" s="450" t="s">
        <v>8815</v>
      </c>
      <c r="E5240" s="450"/>
      <c r="F5240" s="450"/>
      <c r="G5240" s="450" t="s">
        <v>22877</v>
      </c>
      <c r="H5240" s="450" t="s">
        <v>22878</v>
      </c>
      <c r="I5240" s="450" t="s">
        <v>8815</v>
      </c>
      <c r="J5240" s="450" t="s">
        <v>25854</v>
      </c>
      <c r="K5240" s="450"/>
    </row>
    <row r="5241" spans="1:11">
      <c r="A5241" s="451" t="s">
        <v>8812</v>
      </c>
      <c r="B5241" s="451" t="s">
        <v>8813</v>
      </c>
      <c r="C5241" s="451" t="s">
        <v>8814</v>
      </c>
      <c r="D5241" s="451" t="s">
        <v>8815</v>
      </c>
      <c r="E5241" s="451" t="s">
        <v>8816</v>
      </c>
      <c r="F5241" s="451"/>
      <c r="G5241" s="451" t="s">
        <v>22877</v>
      </c>
      <c r="H5241" s="451" t="s">
        <v>22878</v>
      </c>
      <c r="I5241" s="451" t="s">
        <v>8815</v>
      </c>
      <c r="J5241" s="451" t="s">
        <v>25854</v>
      </c>
      <c r="K5241" s="451"/>
    </row>
    <row r="5242" spans="1:11">
      <c r="A5242" s="450" t="s">
        <v>8817</v>
      </c>
      <c r="B5242" s="450" t="s">
        <v>8818</v>
      </c>
      <c r="C5242" s="450" t="s">
        <v>8819</v>
      </c>
      <c r="D5242" s="450" t="s">
        <v>8820</v>
      </c>
      <c r="E5242" s="450"/>
      <c r="F5242" s="450"/>
      <c r="G5242" s="450" t="s">
        <v>22877</v>
      </c>
      <c r="H5242" s="450" t="s">
        <v>22878</v>
      </c>
      <c r="I5242" s="450" t="s">
        <v>25855</v>
      </c>
      <c r="J5242" s="450" t="s">
        <v>25856</v>
      </c>
      <c r="K5242" s="450"/>
    </row>
    <row r="5243" spans="1:11">
      <c r="A5243" s="451" t="s">
        <v>8817</v>
      </c>
      <c r="B5243" s="451" t="s">
        <v>8818</v>
      </c>
      <c r="C5243" s="451" t="s">
        <v>8819</v>
      </c>
      <c r="D5243" s="451" t="s">
        <v>8820</v>
      </c>
      <c r="E5243" s="451" t="s">
        <v>8821</v>
      </c>
      <c r="F5243" s="451"/>
      <c r="G5243" s="451" t="s">
        <v>22877</v>
      </c>
      <c r="H5243" s="451" t="s">
        <v>22878</v>
      </c>
      <c r="I5243" s="451" t="s">
        <v>25855</v>
      </c>
      <c r="J5243" s="451" t="s">
        <v>25856</v>
      </c>
      <c r="K5243" s="451"/>
    </row>
    <row r="5244" spans="1:11">
      <c r="A5244" s="450" t="s">
        <v>8822</v>
      </c>
      <c r="B5244" s="450" t="s">
        <v>8823</v>
      </c>
      <c r="C5244" s="450" t="s">
        <v>12891</v>
      </c>
      <c r="D5244" s="450" t="s">
        <v>8825</v>
      </c>
      <c r="E5244" s="450"/>
      <c r="F5244" s="450"/>
      <c r="G5244" s="450" t="s">
        <v>22877</v>
      </c>
      <c r="H5244" s="450" t="s">
        <v>22878</v>
      </c>
      <c r="I5244" s="450" t="s">
        <v>8825</v>
      </c>
      <c r="J5244" s="450" t="s">
        <v>25857</v>
      </c>
      <c r="K5244" s="450"/>
    </row>
    <row r="5245" spans="1:11">
      <c r="A5245" s="451" t="s">
        <v>8822</v>
      </c>
      <c r="B5245" s="451" t="s">
        <v>8823</v>
      </c>
      <c r="C5245" s="451" t="s">
        <v>8824</v>
      </c>
      <c r="D5245" s="451" t="s">
        <v>8825</v>
      </c>
      <c r="E5245" s="451" t="s">
        <v>8826</v>
      </c>
      <c r="F5245" s="451"/>
      <c r="G5245" s="451" t="s">
        <v>22877</v>
      </c>
      <c r="H5245" s="451" t="s">
        <v>22878</v>
      </c>
      <c r="I5245" s="451" t="s">
        <v>31409</v>
      </c>
      <c r="J5245" s="451" t="s">
        <v>25857</v>
      </c>
      <c r="K5245" s="451"/>
    </row>
    <row r="5246" spans="1:11">
      <c r="A5246" s="450" t="s">
        <v>8827</v>
      </c>
      <c r="B5246" s="450" t="s">
        <v>8828</v>
      </c>
      <c r="C5246" s="450" t="s">
        <v>8829</v>
      </c>
      <c r="D5246" s="450" t="s">
        <v>8830</v>
      </c>
      <c r="E5246" s="450"/>
      <c r="F5246" s="450"/>
      <c r="G5246" s="450" t="s">
        <v>22882</v>
      </c>
      <c r="H5246" s="450" t="s">
        <v>22883</v>
      </c>
      <c r="I5246" s="450"/>
      <c r="J5246" s="450" t="s">
        <v>35570</v>
      </c>
      <c r="K5246" s="450"/>
    </row>
    <row r="5247" spans="1:11">
      <c r="A5247" s="451" t="s">
        <v>8827</v>
      </c>
      <c r="B5247" s="451" t="s">
        <v>8828</v>
      </c>
      <c r="C5247" s="451" t="s">
        <v>8829</v>
      </c>
      <c r="D5247" s="451" t="s">
        <v>8830</v>
      </c>
      <c r="E5247" s="451" t="s">
        <v>8831</v>
      </c>
      <c r="F5247" s="451"/>
      <c r="G5247" s="451" t="s">
        <v>22882</v>
      </c>
      <c r="H5247" s="451" t="s">
        <v>22883</v>
      </c>
      <c r="I5247" s="451" t="s">
        <v>31410</v>
      </c>
      <c r="J5247" s="451" t="s">
        <v>31411</v>
      </c>
      <c r="K5247" s="451"/>
    </row>
    <row r="5248" spans="1:11">
      <c r="A5248" s="450" t="s">
        <v>8832</v>
      </c>
      <c r="B5248" s="450" t="s">
        <v>25858</v>
      </c>
      <c r="C5248" s="450" t="s">
        <v>8834</v>
      </c>
      <c r="D5248" s="450" t="s">
        <v>8835</v>
      </c>
      <c r="E5248" s="450"/>
      <c r="F5248" s="450"/>
      <c r="G5248" s="450" t="s">
        <v>22877</v>
      </c>
      <c r="H5248" s="450" t="s">
        <v>22878</v>
      </c>
      <c r="I5248" s="450" t="s">
        <v>25859</v>
      </c>
      <c r="J5248" s="450" t="s">
        <v>25860</v>
      </c>
      <c r="K5248" s="450"/>
    </row>
    <row r="5249" spans="1:11">
      <c r="A5249" s="451" t="s">
        <v>8832</v>
      </c>
      <c r="B5249" s="451" t="s">
        <v>8833</v>
      </c>
      <c r="C5249" s="451" t="s">
        <v>8834</v>
      </c>
      <c r="D5249" s="451" t="s">
        <v>8835</v>
      </c>
      <c r="E5249" s="451" t="s">
        <v>8836</v>
      </c>
      <c r="F5249" s="451"/>
      <c r="G5249" s="451" t="s">
        <v>22877</v>
      </c>
      <c r="H5249" s="451" t="s">
        <v>22878</v>
      </c>
      <c r="I5249" s="451" t="s">
        <v>8835</v>
      </c>
      <c r="J5249" s="451" t="s">
        <v>31412</v>
      </c>
      <c r="K5249" s="451"/>
    </row>
    <row r="5250" spans="1:11">
      <c r="A5250" s="450" t="s">
        <v>8837</v>
      </c>
      <c r="B5250" s="450" t="s">
        <v>8838</v>
      </c>
      <c r="C5250" s="450" t="s">
        <v>8839</v>
      </c>
      <c r="D5250" s="450" t="s">
        <v>8840</v>
      </c>
      <c r="E5250" s="450"/>
      <c r="F5250" s="450"/>
      <c r="G5250" s="450" t="s">
        <v>22877</v>
      </c>
      <c r="H5250" s="450" t="s">
        <v>22878</v>
      </c>
      <c r="I5250" s="450" t="s">
        <v>8840</v>
      </c>
      <c r="J5250" s="450" t="s">
        <v>25861</v>
      </c>
      <c r="K5250" s="450"/>
    </row>
    <row r="5251" spans="1:11">
      <c r="A5251" s="451" t="s">
        <v>8837</v>
      </c>
      <c r="B5251" s="451" t="s">
        <v>8838</v>
      </c>
      <c r="C5251" s="451" t="s">
        <v>8839</v>
      </c>
      <c r="D5251" s="451" t="s">
        <v>8840</v>
      </c>
      <c r="E5251" s="451" t="s">
        <v>8841</v>
      </c>
      <c r="F5251" s="451"/>
      <c r="G5251" s="451" t="s">
        <v>22877</v>
      </c>
      <c r="H5251" s="451" t="s">
        <v>22878</v>
      </c>
      <c r="I5251" s="451" t="s">
        <v>8840</v>
      </c>
      <c r="J5251" s="451" t="s">
        <v>25861</v>
      </c>
      <c r="K5251" s="451"/>
    </row>
    <row r="5252" spans="1:11">
      <c r="A5252" s="450" t="s">
        <v>8842</v>
      </c>
      <c r="B5252" s="450" t="s">
        <v>8843</v>
      </c>
      <c r="C5252" s="450" t="s">
        <v>8844</v>
      </c>
      <c r="D5252" s="450" t="s">
        <v>8845</v>
      </c>
      <c r="E5252" s="450"/>
      <c r="F5252" s="450"/>
      <c r="G5252" s="450" t="s">
        <v>22882</v>
      </c>
      <c r="H5252" s="450" t="s">
        <v>22883</v>
      </c>
      <c r="I5252" s="450"/>
      <c r="J5252" s="450" t="s">
        <v>35571</v>
      </c>
      <c r="K5252" s="450"/>
    </row>
    <row r="5253" spans="1:11">
      <c r="A5253" s="451" t="s">
        <v>8846</v>
      </c>
      <c r="B5253" s="451" t="s">
        <v>8847</v>
      </c>
      <c r="C5253" s="451" t="s">
        <v>4601</v>
      </c>
      <c r="D5253" s="451" t="s">
        <v>8848</v>
      </c>
      <c r="E5253" s="451"/>
      <c r="F5253" s="451"/>
      <c r="G5253" s="451" t="s">
        <v>22882</v>
      </c>
      <c r="H5253" s="451" t="s">
        <v>22883</v>
      </c>
      <c r="I5253" s="451"/>
      <c r="J5253" s="451" t="s">
        <v>25862</v>
      </c>
      <c r="K5253" s="451"/>
    </row>
    <row r="5254" spans="1:11">
      <c r="A5254" s="450" t="s">
        <v>8846</v>
      </c>
      <c r="B5254" s="450" t="s">
        <v>8847</v>
      </c>
      <c r="C5254" s="450" t="s">
        <v>4601</v>
      </c>
      <c r="D5254" s="450" t="s">
        <v>8848</v>
      </c>
      <c r="E5254" s="450" t="s">
        <v>8849</v>
      </c>
      <c r="F5254" s="450"/>
      <c r="G5254" s="450" t="s">
        <v>22882</v>
      </c>
      <c r="H5254" s="450" t="s">
        <v>22883</v>
      </c>
      <c r="I5254" s="450" t="s">
        <v>8848</v>
      </c>
      <c r="J5254" s="450" t="s">
        <v>25862</v>
      </c>
      <c r="K5254" s="450"/>
    </row>
    <row r="5255" spans="1:11">
      <c r="A5255" s="451" t="s">
        <v>8850</v>
      </c>
      <c r="B5255" s="451" t="s">
        <v>8851</v>
      </c>
      <c r="C5255" s="451" t="s">
        <v>8852</v>
      </c>
      <c r="D5255" s="451" t="s">
        <v>8853</v>
      </c>
      <c r="E5255" s="451"/>
      <c r="F5255" s="451"/>
      <c r="G5255" s="451" t="s">
        <v>22877</v>
      </c>
      <c r="H5255" s="451" t="s">
        <v>22878</v>
      </c>
      <c r="I5255" s="451" t="s">
        <v>35572</v>
      </c>
      <c r="J5255" s="451" t="s">
        <v>35573</v>
      </c>
      <c r="K5255" s="451"/>
    </row>
    <row r="5256" spans="1:11">
      <c r="A5256" s="450" t="s">
        <v>8850</v>
      </c>
      <c r="B5256" s="450" t="s">
        <v>8851</v>
      </c>
      <c r="C5256" s="450" t="s">
        <v>8852</v>
      </c>
      <c r="D5256" s="450" t="s">
        <v>8853</v>
      </c>
      <c r="E5256" s="450" t="s">
        <v>8854</v>
      </c>
      <c r="F5256" s="450"/>
      <c r="G5256" s="450" t="s">
        <v>22882</v>
      </c>
      <c r="H5256" s="450" t="s">
        <v>22883</v>
      </c>
      <c r="I5256" s="450" t="s">
        <v>31413</v>
      </c>
      <c r="J5256" s="450" t="s">
        <v>31414</v>
      </c>
      <c r="K5256" s="450"/>
    </row>
    <row r="5257" spans="1:11">
      <c r="A5257" s="451" t="s">
        <v>8855</v>
      </c>
      <c r="B5257" s="451" t="s">
        <v>8856</v>
      </c>
      <c r="C5257" s="451" t="s">
        <v>8857</v>
      </c>
      <c r="D5257" s="451" t="s">
        <v>8858</v>
      </c>
      <c r="E5257" s="451"/>
      <c r="F5257" s="451"/>
      <c r="G5257" s="451" t="s">
        <v>22877</v>
      </c>
      <c r="H5257" s="451" t="s">
        <v>22878</v>
      </c>
      <c r="I5257" s="451" t="s">
        <v>8858</v>
      </c>
      <c r="J5257" s="451" t="s">
        <v>25863</v>
      </c>
      <c r="K5257" s="451"/>
    </row>
    <row r="5258" spans="1:11">
      <c r="A5258" s="450" t="s">
        <v>8855</v>
      </c>
      <c r="B5258" s="450" t="s">
        <v>8856</v>
      </c>
      <c r="C5258" s="450" t="s">
        <v>8857</v>
      </c>
      <c r="D5258" s="450" t="s">
        <v>8858</v>
      </c>
      <c r="E5258" s="450" t="s">
        <v>8859</v>
      </c>
      <c r="F5258" s="450"/>
      <c r="G5258" s="450" t="s">
        <v>22877</v>
      </c>
      <c r="H5258" s="450" t="s">
        <v>22878</v>
      </c>
      <c r="I5258" s="450" t="s">
        <v>31415</v>
      </c>
      <c r="J5258" s="450" t="s">
        <v>25863</v>
      </c>
      <c r="K5258" s="450"/>
    </row>
    <row r="5259" spans="1:11">
      <c r="A5259" s="451" t="s">
        <v>8860</v>
      </c>
      <c r="B5259" s="451" t="s">
        <v>8861</v>
      </c>
      <c r="C5259" s="451" t="s">
        <v>1563</v>
      </c>
      <c r="D5259" s="451" t="s">
        <v>8862</v>
      </c>
      <c r="E5259" s="451"/>
      <c r="F5259" s="451"/>
      <c r="G5259" s="451" t="s">
        <v>22882</v>
      </c>
      <c r="H5259" s="451" t="s">
        <v>22883</v>
      </c>
      <c r="I5259" s="451" t="s">
        <v>8862</v>
      </c>
      <c r="J5259" s="451" t="s">
        <v>25864</v>
      </c>
      <c r="K5259" s="451"/>
    </row>
    <row r="5260" spans="1:11">
      <c r="A5260" s="450" t="s">
        <v>8860</v>
      </c>
      <c r="B5260" s="450" t="s">
        <v>8861</v>
      </c>
      <c r="C5260" s="450" t="s">
        <v>1563</v>
      </c>
      <c r="D5260" s="450" t="s">
        <v>8862</v>
      </c>
      <c r="E5260" s="450" t="s">
        <v>8863</v>
      </c>
      <c r="F5260" s="450"/>
      <c r="G5260" s="450" t="s">
        <v>22882</v>
      </c>
      <c r="H5260" s="450" t="s">
        <v>22883</v>
      </c>
      <c r="I5260" s="450" t="s">
        <v>8862</v>
      </c>
      <c r="J5260" s="450" t="s">
        <v>25864</v>
      </c>
      <c r="K5260" s="450"/>
    </row>
    <row r="5261" spans="1:11">
      <c r="A5261" s="451" t="s">
        <v>8864</v>
      </c>
      <c r="B5261" s="451" t="s">
        <v>8865</v>
      </c>
      <c r="C5261" s="451" t="s">
        <v>8866</v>
      </c>
      <c r="D5261" s="451" t="s">
        <v>8867</v>
      </c>
      <c r="E5261" s="451"/>
      <c r="F5261" s="451"/>
      <c r="G5261" s="451" t="s">
        <v>22877</v>
      </c>
      <c r="H5261" s="451" t="s">
        <v>22878</v>
      </c>
      <c r="I5261" s="451" t="s">
        <v>8867</v>
      </c>
      <c r="J5261" s="451" t="s">
        <v>25865</v>
      </c>
      <c r="K5261" s="451"/>
    </row>
    <row r="5262" spans="1:11">
      <c r="A5262" s="450" t="s">
        <v>8864</v>
      </c>
      <c r="B5262" s="450" t="s">
        <v>8865</v>
      </c>
      <c r="C5262" s="450" t="s">
        <v>8866</v>
      </c>
      <c r="D5262" s="450" t="s">
        <v>8867</v>
      </c>
      <c r="E5262" s="450" t="s">
        <v>8868</v>
      </c>
      <c r="F5262" s="450"/>
      <c r="G5262" s="450" t="s">
        <v>22882</v>
      </c>
      <c r="H5262" s="450" t="s">
        <v>22883</v>
      </c>
      <c r="I5262" s="450" t="s">
        <v>31416</v>
      </c>
      <c r="J5262" s="450" t="s">
        <v>25865</v>
      </c>
      <c r="K5262" s="450"/>
    </row>
    <row r="5263" spans="1:11">
      <c r="A5263" s="451" t="s">
        <v>8869</v>
      </c>
      <c r="B5263" s="451" t="s">
        <v>25866</v>
      </c>
      <c r="C5263" s="451" t="s">
        <v>8871</v>
      </c>
      <c r="D5263" s="451" t="s">
        <v>8872</v>
      </c>
      <c r="E5263" s="451"/>
      <c r="F5263" s="451"/>
      <c r="G5263" s="451" t="s">
        <v>22877</v>
      </c>
      <c r="H5263" s="451" t="s">
        <v>22878</v>
      </c>
      <c r="I5263" s="451" t="s">
        <v>25867</v>
      </c>
      <c r="J5263" s="451" t="s">
        <v>25868</v>
      </c>
      <c r="K5263" s="451"/>
    </row>
    <row r="5264" spans="1:11">
      <c r="A5264" s="450" t="s">
        <v>8869</v>
      </c>
      <c r="B5264" s="450" t="s">
        <v>8870</v>
      </c>
      <c r="C5264" s="450" t="s">
        <v>8871</v>
      </c>
      <c r="D5264" s="450" t="s">
        <v>8872</v>
      </c>
      <c r="E5264" s="450" t="s">
        <v>8873</v>
      </c>
      <c r="F5264" s="450"/>
      <c r="G5264" s="450" t="s">
        <v>22877</v>
      </c>
      <c r="H5264" s="450" t="s">
        <v>22878</v>
      </c>
      <c r="I5264" s="450" t="s">
        <v>8872</v>
      </c>
      <c r="J5264" s="450" t="s">
        <v>31417</v>
      </c>
      <c r="K5264" s="450"/>
    </row>
    <row r="5265" spans="1:11">
      <c r="A5265" s="451" t="s">
        <v>8874</v>
      </c>
      <c r="B5265" s="451" t="s">
        <v>5190</v>
      </c>
      <c r="C5265" s="451" t="s">
        <v>7990</v>
      </c>
      <c r="D5265" s="451" t="s">
        <v>8875</v>
      </c>
      <c r="E5265" s="451" t="s">
        <v>8876</v>
      </c>
      <c r="F5265" s="451"/>
      <c r="G5265" s="451" t="s">
        <v>22877</v>
      </c>
      <c r="H5265" s="451" t="s">
        <v>22878</v>
      </c>
      <c r="I5265" s="451" t="s">
        <v>24211</v>
      </c>
      <c r="J5265" s="451" t="s">
        <v>35574</v>
      </c>
      <c r="K5265" s="451"/>
    </row>
    <row r="5266" spans="1:11">
      <c r="A5266" s="450" t="s">
        <v>25869</v>
      </c>
      <c r="B5266" s="450" t="s">
        <v>5190</v>
      </c>
      <c r="C5266" s="450" t="s">
        <v>25428</v>
      </c>
      <c r="D5266" s="450" t="s">
        <v>8875</v>
      </c>
      <c r="E5266" s="450"/>
      <c r="F5266" s="450"/>
      <c r="G5266" s="450" t="s">
        <v>22877</v>
      </c>
      <c r="H5266" s="450" t="s">
        <v>22878</v>
      </c>
      <c r="I5266" s="450" t="s">
        <v>8875</v>
      </c>
      <c r="J5266" s="450" t="s">
        <v>25870</v>
      </c>
      <c r="K5266" s="450"/>
    </row>
    <row r="5267" spans="1:11">
      <c r="A5267" s="451" t="s">
        <v>8877</v>
      </c>
      <c r="B5267" s="451" t="s">
        <v>8878</v>
      </c>
      <c r="C5267" s="451" t="s">
        <v>8879</v>
      </c>
      <c r="D5267" s="451" t="s">
        <v>8880</v>
      </c>
      <c r="E5267" s="451"/>
      <c r="F5267" s="451"/>
      <c r="G5267" s="451" t="s">
        <v>22877</v>
      </c>
      <c r="H5267" s="451" t="s">
        <v>22878</v>
      </c>
      <c r="I5267" s="451" t="s">
        <v>8880</v>
      </c>
      <c r="J5267" s="451" t="s">
        <v>25871</v>
      </c>
      <c r="K5267" s="451"/>
    </row>
    <row r="5268" spans="1:11">
      <c r="A5268" s="450" t="s">
        <v>8881</v>
      </c>
      <c r="B5268" s="450" t="s">
        <v>8882</v>
      </c>
      <c r="C5268" s="450" t="s">
        <v>8883</v>
      </c>
      <c r="D5268" s="450"/>
      <c r="E5268" s="450"/>
      <c r="F5268" s="450"/>
      <c r="G5268" s="450" t="s">
        <v>22877</v>
      </c>
      <c r="H5268" s="450" t="s">
        <v>22878</v>
      </c>
      <c r="I5268" s="450" t="s">
        <v>25872</v>
      </c>
      <c r="J5268" s="450" t="s">
        <v>25873</v>
      </c>
      <c r="K5268" s="450"/>
    </row>
    <row r="5269" spans="1:11">
      <c r="A5269" s="451" t="s">
        <v>8884</v>
      </c>
      <c r="B5269" s="451" t="s">
        <v>35575</v>
      </c>
      <c r="C5269" s="451" t="s">
        <v>35576</v>
      </c>
      <c r="D5269" s="451" t="s">
        <v>8887</v>
      </c>
      <c r="E5269" s="451"/>
      <c r="F5269" s="451"/>
      <c r="G5269" s="451" t="s">
        <v>22877</v>
      </c>
      <c r="H5269" s="451" t="s">
        <v>22878</v>
      </c>
      <c r="I5269" s="451" t="s">
        <v>25874</v>
      </c>
      <c r="J5269" s="451" t="s">
        <v>35577</v>
      </c>
      <c r="K5269" s="451"/>
    </row>
    <row r="5270" spans="1:11">
      <c r="A5270" s="450" t="s">
        <v>8884</v>
      </c>
      <c r="B5270" s="450" t="s">
        <v>8885</v>
      </c>
      <c r="C5270" s="450" t="s">
        <v>8886</v>
      </c>
      <c r="D5270" s="450" t="s">
        <v>8887</v>
      </c>
      <c r="E5270" s="450" t="s">
        <v>8888</v>
      </c>
      <c r="F5270" s="450"/>
      <c r="G5270" s="450" t="s">
        <v>22882</v>
      </c>
      <c r="H5270" s="450" t="s">
        <v>22883</v>
      </c>
      <c r="I5270" s="450" t="s">
        <v>25874</v>
      </c>
      <c r="J5270" s="450" t="s">
        <v>31418</v>
      </c>
      <c r="K5270" s="450"/>
    </row>
    <row r="5271" spans="1:11">
      <c r="A5271" s="451" t="s">
        <v>8889</v>
      </c>
      <c r="B5271" s="451" t="s">
        <v>8890</v>
      </c>
      <c r="C5271" s="451" t="s">
        <v>1582</v>
      </c>
      <c r="D5271" s="451" t="s">
        <v>8892</v>
      </c>
      <c r="E5271" s="451"/>
      <c r="F5271" s="451"/>
      <c r="G5271" s="451" t="s">
        <v>22877</v>
      </c>
      <c r="H5271" s="451" t="s">
        <v>22878</v>
      </c>
      <c r="I5271" s="451" t="s">
        <v>8892</v>
      </c>
      <c r="J5271" s="451" t="s">
        <v>35578</v>
      </c>
      <c r="K5271" s="451"/>
    </row>
    <row r="5272" spans="1:11">
      <c r="A5272" s="450" t="s">
        <v>8889</v>
      </c>
      <c r="B5272" s="450" t="s">
        <v>8890</v>
      </c>
      <c r="C5272" s="450" t="s">
        <v>8891</v>
      </c>
      <c r="D5272" s="450" t="s">
        <v>8892</v>
      </c>
      <c r="E5272" s="450" t="s">
        <v>8893</v>
      </c>
      <c r="F5272" s="450"/>
      <c r="G5272" s="450" t="s">
        <v>22877</v>
      </c>
      <c r="H5272" s="450" t="s">
        <v>22878</v>
      </c>
      <c r="I5272" s="450" t="s">
        <v>8892</v>
      </c>
      <c r="J5272" s="450" t="s">
        <v>31419</v>
      </c>
      <c r="K5272" s="450"/>
    </row>
    <row r="5273" spans="1:11">
      <c r="A5273" s="451" t="s">
        <v>8894</v>
      </c>
      <c r="B5273" s="451" t="s">
        <v>8895</v>
      </c>
      <c r="C5273" s="451" t="s">
        <v>8896</v>
      </c>
      <c r="D5273" s="451" t="s">
        <v>8897</v>
      </c>
      <c r="E5273" s="451"/>
      <c r="F5273" s="451"/>
      <c r="G5273" s="451" t="s">
        <v>22877</v>
      </c>
      <c r="H5273" s="451" t="s">
        <v>22878</v>
      </c>
      <c r="I5273" s="451" t="s">
        <v>35579</v>
      </c>
      <c r="J5273" s="451" t="s">
        <v>35580</v>
      </c>
      <c r="K5273" s="451"/>
    </row>
    <row r="5274" spans="1:11">
      <c r="A5274" s="450" t="s">
        <v>8894</v>
      </c>
      <c r="B5274" s="450" t="s">
        <v>8895</v>
      </c>
      <c r="C5274" s="450" t="s">
        <v>8896</v>
      </c>
      <c r="D5274" s="450" t="s">
        <v>8897</v>
      </c>
      <c r="E5274" s="450" t="s">
        <v>8898</v>
      </c>
      <c r="F5274" s="450"/>
      <c r="G5274" s="450" t="s">
        <v>22877</v>
      </c>
      <c r="H5274" s="450" t="s">
        <v>22878</v>
      </c>
      <c r="I5274" s="450" t="s">
        <v>31420</v>
      </c>
      <c r="J5274" s="450" t="s">
        <v>31421</v>
      </c>
      <c r="K5274" s="450"/>
    </row>
    <row r="5275" spans="1:11">
      <c r="A5275" s="451" t="s">
        <v>8899</v>
      </c>
      <c r="B5275" s="451" t="s">
        <v>8900</v>
      </c>
      <c r="C5275" s="451" t="s">
        <v>8901</v>
      </c>
      <c r="D5275" s="451" t="s">
        <v>8902</v>
      </c>
      <c r="E5275" s="451"/>
      <c r="F5275" s="451"/>
      <c r="G5275" s="451" t="s">
        <v>22882</v>
      </c>
      <c r="H5275" s="451" t="s">
        <v>22883</v>
      </c>
      <c r="I5275" s="451" t="s">
        <v>8902</v>
      </c>
      <c r="J5275" s="451" t="s">
        <v>35581</v>
      </c>
      <c r="K5275" s="451"/>
    </row>
    <row r="5276" spans="1:11">
      <c r="A5276" s="450" t="s">
        <v>8899</v>
      </c>
      <c r="B5276" s="450" t="s">
        <v>8900</v>
      </c>
      <c r="C5276" s="450" t="s">
        <v>8901</v>
      </c>
      <c r="D5276" s="450" t="s">
        <v>8902</v>
      </c>
      <c r="E5276" s="450" t="s">
        <v>8903</v>
      </c>
      <c r="F5276" s="450"/>
      <c r="G5276" s="450" t="s">
        <v>22882</v>
      </c>
      <c r="H5276" s="450" t="s">
        <v>22883</v>
      </c>
      <c r="I5276" s="450" t="s">
        <v>8902</v>
      </c>
      <c r="J5276" s="450" t="s">
        <v>31422</v>
      </c>
      <c r="K5276" s="450"/>
    </row>
    <row r="5277" spans="1:11">
      <c r="A5277" s="451" t="s">
        <v>8904</v>
      </c>
      <c r="B5277" s="451" t="s">
        <v>8905</v>
      </c>
      <c r="C5277" s="451" t="s">
        <v>4470</v>
      </c>
      <c r="D5277" s="451"/>
      <c r="E5277" s="451"/>
      <c r="F5277" s="451"/>
      <c r="G5277" s="451" t="s">
        <v>22877</v>
      </c>
      <c r="H5277" s="451" t="s">
        <v>22878</v>
      </c>
      <c r="I5277" s="451" t="s">
        <v>25875</v>
      </c>
      <c r="J5277" s="451" t="s">
        <v>25876</v>
      </c>
      <c r="K5277" s="451"/>
    </row>
    <row r="5278" spans="1:11">
      <c r="A5278" s="450" t="s">
        <v>8906</v>
      </c>
      <c r="B5278" s="450" t="s">
        <v>8907</v>
      </c>
      <c r="C5278" s="450" t="s">
        <v>8908</v>
      </c>
      <c r="D5278" s="450" t="s">
        <v>8909</v>
      </c>
      <c r="E5278" s="450"/>
      <c r="F5278" s="450"/>
      <c r="G5278" s="450" t="s">
        <v>22877</v>
      </c>
      <c r="H5278" s="450" t="s">
        <v>22878</v>
      </c>
      <c r="I5278" s="450" t="s">
        <v>25877</v>
      </c>
      <c r="J5278" s="450" t="s">
        <v>25878</v>
      </c>
      <c r="K5278" s="450"/>
    </row>
    <row r="5279" spans="1:11">
      <c r="A5279" s="451" t="s">
        <v>8906</v>
      </c>
      <c r="B5279" s="451" t="s">
        <v>8907</v>
      </c>
      <c r="C5279" s="451" t="s">
        <v>8908</v>
      </c>
      <c r="D5279" s="451" t="s">
        <v>8909</v>
      </c>
      <c r="E5279" s="451" t="s">
        <v>8910</v>
      </c>
      <c r="F5279" s="451"/>
      <c r="G5279" s="451" t="s">
        <v>22882</v>
      </c>
      <c r="H5279" s="451" t="s">
        <v>22883</v>
      </c>
      <c r="I5279" s="451" t="s">
        <v>25877</v>
      </c>
      <c r="J5279" s="451" t="s">
        <v>25878</v>
      </c>
      <c r="K5279" s="451"/>
    </row>
    <row r="5280" spans="1:11">
      <c r="A5280" s="450" t="s">
        <v>8911</v>
      </c>
      <c r="B5280" s="450" t="s">
        <v>25879</v>
      </c>
      <c r="C5280" s="450" t="s">
        <v>8913</v>
      </c>
      <c r="D5280" s="450" t="s">
        <v>8914</v>
      </c>
      <c r="E5280" s="450"/>
      <c r="F5280" s="450"/>
      <c r="G5280" s="450" t="s">
        <v>22877</v>
      </c>
      <c r="H5280" s="450" t="s">
        <v>22878</v>
      </c>
      <c r="I5280" s="450" t="s">
        <v>25880</v>
      </c>
      <c r="J5280" s="450" t="s">
        <v>25881</v>
      </c>
      <c r="K5280" s="450"/>
    </row>
    <row r="5281" spans="1:11">
      <c r="A5281" s="451" t="s">
        <v>8911</v>
      </c>
      <c r="B5281" s="451" t="s">
        <v>8912</v>
      </c>
      <c r="C5281" s="451" t="s">
        <v>8913</v>
      </c>
      <c r="D5281" s="451" t="s">
        <v>8914</v>
      </c>
      <c r="E5281" s="451" t="s">
        <v>8915</v>
      </c>
      <c r="F5281" s="451"/>
      <c r="G5281" s="451" t="s">
        <v>22877</v>
      </c>
      <c r="H5281" s="451" t="s">
        <v>22878</v>
      </c>
      <c r="I5281" s="451" t="s">
        <v>31423</v>
      </c>
      <c r="J5281" s="451" t="s">
        <v>31424</v>
      </c>
      <c r="K5281" s="451"/>
    </row>
    <row r="5282" spans="1:11">
      <c r="A5282" s="450" t="s">
        <v>8916</v>
      </c>
      <c r="B5282" s="450" t="s">
        <v>35582</v>
      </c>
      <c r="C5282" s="450" t="s">
        <v>8918</v>
      </c>
      <c r="D5282" s="450" t="s">
        <v>8919</v>
      </c>
      <c r="E5282" s="450"/>
      <c r="F5282" s="450"/>
      <c r="G5282" s="450" t="s">
        <v>22877</v>
      </c>
      <c r="H5282" s="450" t="s">
        <v>22878</v>
      </c>
      <c r="I5282" s="450" t="s">
        <v>8919</v>
      </c>
      <c r="J5282" s="450" t="s">
        <v>35583</v>
      </c>
      <c r="K5282" s="450"/>
    </row>
    <row r="5283" spans="1:11">
      <c r="A5283" s="451" t="s">
        <v>8916</v>
      </c>
      <c r="B5283" s="451" t="s">
        <v>8917</v>
      </c>
      <c r="C5283" s="451" t="s">
        <v>8918</v>
      </c>
      <c r="D5283" s="451" t="s">
        <v>8919</v>
      </c>
      <c r="E5283" s="451" t="s">
        <v>8920</v>
      </c>
      <c r="F5283" s="451"/>
      <c r="G5283" s="451" t="s">
        <v>22877</v>
      </c>
      <c r="H5283" s="451" t="s">
        <v>22878</v>
      </c>
      <c r="I5283" s="451" t="s">
        <v>8919</v>
      </c>
      <c r="J5283" s="451" t="s">
        <v>31425</v>
      </c>
      <c r="K5283" s="451"/>
    </row>
    <row r="5284" spans="1:11">
      <c r="A5284" s="450" t="s">
        <v>8921</v>
      </c>
      <c r="B5284" s="450" t="s">
        <v>8870</v>
      </c>
      <c r="C5284" s="450" t="s">
        <v>8922</v>
      </c>
      <c r="D5284" s="450" t="s">
        <v>8923</v>
      </c>
      <c r="E5284" s="450"/>
      <c r="F5284" s="450"/>
      <c r="G5284" s="450" t="s">
        <v>22877</v>
      </c>
      <c r="H5284" s="450" t="s">
        <v>22878</v>
      </c>
      <c r="I5284" s="450" t="s">
        <v>8923</v>
      </c>
      <c r="J5284" s="450" t="s">
        <v>25882</v>
      </c>
      <c r="K5284" s="450"/>
    </row>
    <row r="5285" spans="1:11">
      <c r="A5285" s="451" t="s">
        <v>8921</v>
      </c>
      <c r="B5285" s="451" t="s">
        <v>8870</v>
      </c>
      <c r="C5285" s="451" t="s">
        <v>8922</v>
      </c>
      <c r="D5285" s="451" t="s">
        <v>8923</v>
      </c>
      <c r="E5285" s="451" t="s">
        <v>8924</v>
      </c>
      <c r="F5285" s="451"/>
      <c r="G5285" s="451" t="s">
        <v>22877</v>
      </c>
      <c r="H5285" s="451" t="s">
        <v>22878</v>
      </c>
      <c r="I5285" s="451" t="s">
        <v>8923</v>
      </c>
      <c r="J5285" s="451" t="s">
        <v>25882</v>
      </c>
      <c r="K5285" s="451"/>
    </row>
    <row r="5286" spans="1:11">
      <c r="A5286" s="450" t="s">
        <v>8925</v>
      </c>
      <c r="B5286" s="450" t="s">
        <v>25883</v>
      </c>
      <c r="C5286" s="450" t="s">
        <v>7351</v>
      </c>
      <c r="D5286" s="450" t="s">
        <v>8927</v>
      </c>
      <c r="E5286" s="450"/>
      <c r="F5286" s="450"/>
      <c r="G5286" s="450"/>
      <c r="H5286" s="450" t="s">
        <v>22878</v>
      </c>
      <c r="I5286" s="450" t="s">
        <v>8927</v>
      </c>
      <c r="J5286" s="450" t="s">
        <v>25883</v>
      </c>
      <c r="K5286" s="450"/>
    </row>
    <row r="5287" spans="1:11">
      <c r="A5287" s="451" t="s">
        <v>8925</v>
      </c>
      <c r="B5287" s="451" t="s">
        <v>8926</v>
      </c>
      <c r="C5287" s="451" t="s">
        <v>7351</v>
      </c>
      <c r="D5287" s="451" t="s">
        <v>8927</v>
      </c>
      <c r="E5287" s="451" t="s">
        <v>8928</v>
      </c>
      <c r="F5287" s="451"/>
      <c r="G5287" s="451" t="s">
        <v>22882</v>
      </c>
      <c r="H5287" s="451" t="s">
        <v>22883</v>
      </c>
      <c r="I5287" s="451" t="s">
        <v>31426</v>
      </c>
      <c r="J5287" s="451" t="s">
        <v>31427</v>
      </c>
      <c r="K5287" s="451"/>
    </row>
    <row r="5288" spans="1:11">
      <c r="A5288" s="450" t="s">
        <v>8929</v>
      </c>
      <c r="B5288" s="450" t="s">
        <v>35584</v>
      </c>
      <c r="C5288" s="450" t="s">
        <v>8931</v>
      </c>
      <c r="D5288" s="450"/>
      <c r="E5288" s="450"/>
      <c r="F5288" s="450"/>
      <c r="G5288" s="450" t="s">
        <v>22877</v>
      </c>
      <c r="H5288" s="450" t="s">
        <v>22878</v>
      </c>
      <c r="I5288" s="450" t="s">
        <v>25884</v>
      </c>
      <c r="J5288" s="450" t="s">
        <v>35585</v>
      </c>
      <c r="K5288" s="450"/>
    </row>
    <row r="5289" spans="1:11">
      <c r="A5289" s="451" t="s">
        <v>8929</v>
      </c>
      <c r="B5289" s="451" t="s">
        <v>8930</v>
      </c>
      <c r="C5289" s="451" t="s">
        <v>8931</v>
      </c>
      <c r="D5289" s="451"/>
      <c r="E5289" s="451"/>
      <c r="F5289" s="451"/>
      <c r="G5289" s="451" t="s">
        <v>22877</v>
      </c>
      <c r="H5289" s="451" t="s">
        <v>22878</v>
      </c>
      <c r="I5289" s="451" t="s">
        <v>25884</v>
      </c>
      <c r="J5289" s="451" t="s">
        <v>31428</v>
      </c>
      <c r="K5289" s="451"/>
    </row>
    <row r="5290" spans="1:11">
      <c r="A5290" s="450" t="s">
        <v>25885</v>
      </c>
      <c r="B5290" s="450" t="s">
        <v>8938</v>
      </c>
      <c r="C5290" s="450" t="s">
        <v>8939</v>
      </c>
      <c r="D5290" s="450" t="s">
        <v>8940</v>
      </c>
      <c r="E5290" s="450"/>
      <c r="F5290" s="450"/>
      <c r="G5290" s="450" t="s">
        <v>22882</v>
      </c>
      <c r="H5290" s="450" t="s">
        <v>22883</v>
      </c>
      <c r="I5290" s="450"/>
      <c r="J5290" s="450" t="s">
        <v>25886</v>
      </c>
      <c r="K5290" s="450"/>
    </row>
    <row r="5291" spans="1:11">
      <c r="A5291" s="451" t="s">
        <v>8932</v>
      </c>
      <c r="B5291" s="451" t="s">
        <v>8933</v>
      </c>
      <c r="C5291" s="451" t="s">
        <v>8934</v>
      </c>
      <c r="D5291" s="451" t="s">
        <v>8935</v>
      </c>
      <c r="E5291" s="451" t="s">
        <v>8936</v>
      </c>
      <c r="F5291" s="451"/>
      <c r="G5291" s="451" t="s">
        <v>22882</v>
      </c>
      <c r="H5291" s="451" t="s">
        <v>22883</v>
      </c>
      <c r="I5291" s="451" t="s">
        <v>8935</v>
      </c>
      <c r="J5291" s="451" t="s">
        <v>31429</v>
      </c>
      <c r="K5291" s="451"/>
    </row>
    <row r="5292" spans="1:11">
      <c r="A5292" s="450" t="s">
        <v>8937</v>
      </c>
      <c r="B5292" s="450" t="s">
        <v>8938</v>
      </c>
      <c r="C5292" s="450" t="s">
        <v>8939</v>
      </c>
      <c r="D5292" s="450" t="s">
        <v>8940</v>
      </c>
      <c r="E5292" s="450" t="s">
        <v>8941</v>
      </c>
      <c r="F5292" s="450"/>
      <c r="G5292" s="450" t="s">
        <v>22882</v>
      </c>
      <c r="H5292" s="450" t="s">
        <v>22883</v>
      </c>
      <c r="I5292" s="450" t="s">
        <v>31430</v>
      </c>
      <c r="J5292" s="450" t="s">
        <v>31431</v>
      </c>
      <c r="K5292" s="450"/>
    </row>
    <row r="5293" spans="1:11">
      <c r="A5293" s="451" t="s">
        <v>25887</v>
      </c>
      <c r="B5293" s="451" t="s">
        <v>8933</v>
      </c>
      <c r="C5293" s="451" t="s">
        <v>25888</v>
      </c>
      <c r="D5293" s="451" t="s">
        <v>8935</v>
      </c>
      <c r="E5293" s="451"/>
      <c r="F5293" s="451"/>
      <c r="G5293" s="451" t="s">
        <v>22877</v>
      </c>
      <c r="H5293" s="451" t="s">
        <v>22878</v>
      </c>
      <c r="I5293" s="451" t="s">
        <v>8935</v>
      </c>
      <c r="J5293" s="451" t="s">
        <v>25889</v>
      </c>
      <c r="K5293" s="451"/>
    </row>
    <row r="5294" spans="1:11">
      <c r="A5294" s="450" t="s">
        <v>20463</v>
      </c>
      <c r="B5294" s="450" t="s">
        <v>8952</v>
      </c>
      <c r="C5294" s="450" t="s">
        <v>8953</v>
      </c>
      <c r="D5294" s="450" t="s">
        <v>8954</v>
      </c>
      <c r="E5294" s="450"/>
      <c r="F5294" s="450"/>
      <c r="G5294" s="450" t="s">
        <v>22877</v>
      </c>
      <c r="H5294" s="450" t="s">
        <v>22878</v>
      </c>
      <c r="I5294" s="450" t="s">
        <v>25890</v>
      </c>
      <c r="J5294" s="450" t="s">
        <v>35586</v>
      </c>
      <c r="K5294" s="450"/>
    </row>
    <row r="5295" spans="1:11">
      <c r="A5295" s="451" t="s">
        <v>20463</v>
      </c>
      <c r="B5295" s="451" t="s">
        <v>8952</v>
      </c>
      <c r="C5295" s="451" t="s">
        <v>8953</v>
      </c>
      <c r="D5295" s="451" t="s">
        <v>8954</v>
      </c>
      <c r="E5295" s="451" t="s">
        <v>8955</v>
      </c>
      <c r="F5295" s="451"/>
      <c r="G5295" s="451" t="s">
        <v>22877</v>
      </c>
      <c r="H5295" s="451" t="s">
        <v>22878</v>
      </c>
      <c r="I5295" s="451" t="s">
        <v>25890</v>
      </c>
      <c r="J5295" s="451" t="s">
        <v>31432</v>
      </c>
      <c r="K5295" s="451"/>
    </row>
    <row r="5296" spans="1:11">
      <c r="A5296" s="450" t="s">
        <v>8942</v>
      </c>
      <c r="B5296" s="450" t="s">
        <v>8943</v>
      </c>
      <c r="C5296" s="450" t="s">
        <v>1112</v>
      </c>
      <c r="D5296" s="450" t="s">
        <v>8944</v>
      </c>
      <c r="E5296" s="450"/>
      <c r="F5296" s="450"/>
      <c r="G5296" s="450" t="s">
        <v>22877</v>
      </c>
      <c r="H5296" s="450" t="s">
        <v>22878</v>
      </c>
      <c r="I5296" s="450" t="s">
        <v>8944</v>
      </c>
      <c r="J5296" s="450" t="s">
        <v>35587</v>
      </c>
      <c r="K5296" s="450"/>
    </row>
    <row r="5297" spans="1:11">
      <c r="A5297" s="451" t="s">
        <v>8942</v>
      </c>
      <c r="B5297" s="451" t="s">
        <v>8943</v>
      </c>
      <c r="C5297" s="451" t="s">
        <v>1112</v>
      </c>
      <c r="D5297" s="451" t="s">
        <v>8944</v>
      </c>
      <c r="E5297" s="451" t="s">
        <v>8945</v>
      </c>
      <c r="F5297" s="451"/>
      <c r="G5297" s="451" t="s">
        <v>22877</v>
      </c>
      <c r="H5297" s="451" t="s">
        <v>22878</v>
      </c>
      <c r="I5297" s="451" t="s">
        <v>31433</v>
      </c>
      <c r="J5297" s="451" t="s">
        <v>31434</v>
      </c>
      <c r="K5297" s="451"/>
    </row>
    <row r="5298" spans="1:11">
      <c r="A5298" s="450" t="s">
        <v>8946</v>
      </c>
      <c r="B5298" s="450" t="s">
        <v>8947</v>
      </c>
      <c r="C5298" s="450" t="s">
        <v>8948</v>
      </c>
      <c r="D5298" s="450" t="s">
        <v>8949</v>
      </c>
      <c r="E5298" s="450"/>
      <c r="F5298" s="450"/>
      <c r="G5298" s="450" t="s">
        <v>22877</v>
      </c>
      <c r="H5298" s="450" t="s">
        <v>22878</v>
      </c>
      <c r="I5298" s="450" t="s">
        <v>8949</v>
      </c>
      <c r="J5298" s="450" t="s">
        <v>25891</v>
      </c>
      <c r="K5298" s="450"/>
    </row>
    <row r="5299" spans="1:11">
      <c r="A5299" s="451" t="s">
        <v>8946</v>
      </c>
      <c r="B5299" s="451" t="s">
        <v>8947</v>
      </c>
      <c r="C5299" s="451" t="s">
        <v>8948</v>
      </c>
      <c r="D5299" s="451" t="s">
        <v>8949</v>
      </c>
      <c r="E5299" s="451" t="s">
        <v>8950</v>
      </c>
      <c r="F5299" s="451"/>
      <c r="G5299" s="451" t="s">
        <v>22877</v>
      </c>
      <c r="H5299" s="451" t="s">
        <v>22878</v>
      </c>
      <c r="I5299" s="451" t="s">
        <v>8949</v>
      </c>
      <c r="J5299" s="451" t="s">
        <v>25891</v>
      </c>
      <c r="K5299" s="451"/>
    </row>
    <row r="5300" spans="1:11">
      <c r="A5300" s="450" t="s">
        <v>20462</v>
      </c>
      <c r="B5300" s="450" t="s">
        <v>8951</v>
      </c>
      <c r="C5300" s="450" t="s">
        <v>8939</v>
      </c>
      <c r="D5300" s="450" t="s">
        <v>8940</v>
      </c>
      <c r="E5300" s="450" t="s">
        <v>8941</v>
      </c>
      <c r="F5300" s="450"/>
      <c r="G5300" s="450" t="s">
        <v>22882</v>
      </c>
      <c r="H5300" s="450" t="s">
        <v>22883</v>
      </c>
      <c r="I5300" s="450" t="s">
        <v>31430</v>
      </c>
      <c r="J5300" s="450" t="s">
        <v>31435</v>
      </c>
      <c r="K5300" s="450"/>
    </row>
    <row r="5301" spans="1:11">
      <c r="A5301" s="451" t="s">
        <v>35588</v>
      </c>
      <c r="B5301" s="451" t="s">
        <v>8957</v>
      </c>
      <c r="C5301" s="451" t="s">
        <v>8958</v>
      </c>
      <c r="D5301" s="451" t="s">
        <v>8959</v>
      </c>
      <c r="E5301" s="451"/>
      <c r="F5301" s="451"/>
      <c r="G5301" s="451" t="s">
        <v>22882</v>
      </c>
      <c r="H5301" s="451" t="s">
        <v>22883</v>
      </c>
      <c r="I5301" s="451"/>
      <c r="J5301" s="451" t="s">
        <v>35589</v>
      </c>
      <c r="K5301" s="451"/>
    </row>
    <row r="5302" spans="1:11">
      <c r="A5302" s="450" t="s">
        <v>8956</v>
      </c>
      <c r="B5302" s="450" t="s">
        <v>8957</v>
      </c>
      <c r="C5302" s="450" t="s">
        <v>8958</v>
      </c>
      <c r="D5302" s="450" t="s">
        <v>8959</v>
      </c>
      <c r="E5302" s="450"/>
      <c r="F5302" s="450"/>
      <c r="G5302" s="450" t="s">
        <v>22882</v>
      </c>
      <c r="H5302" s="450" t="s">
        <v>22883</v>
      </c>
      <c r="I5302" s="450" t="s">
        <v>8959</v>
      </c>
      <c r="J5302" s="450" t="s">
        <v>31436</v>
      </c>
      <c r="K5302" s="450"/>
    </row>
    <row r="5303" spans="1:11">
      <c r="A5303" s="451" t="s">
        <v>8960</v>
      </c>
      <c r="B5303" s="451"/>
      <c r="C5303" s="451" t="s">
        <v>8753</v>
      </c>
      <c r="D5303" s="451"/>
      <c r="E5303" s="451"/>
      <c r="F5303" s="451"/>
      <c r="G5303" s="451" t="s">
        <v>22882</v>
      </c>
      <c r="H5303" s="451" t="s">
        <v>22883</v>
      </c>
      <c r="I5303" s="451" t="s">
        <v>35554</v>
      </c>
      <c r="J5303" s="451" t="s">
        <v>22942</v>
      </c>
      <c r="K5303" s="451"/>
    </row>
    <row r="5304" spans="1:11">
      <c r="A5304" s="450" t="s">
        <v>8961</v>
      </c>
      <c r="B5304" s="450"/>
      <c r="C5304" s="450" t="s">
        <v>5335</v>
      </c>
      <c r="D5304" s="450"/>
      <c r="E5304" s="450"/>
      <c r="F5304" s="450"/>
      <c r="G5304" s="450" t="s">
        <v>22877</v>
      </c>
      <c r="H5304" s="450" t="s">
        <v>22878</v>
      </c>
      <c r="I5304" s="450" t="s">
        <v>35590</v>
      </c>
      <c r="J5304" s="450" t="s">
        <v>23185</v>
      </c>
      <c r="K5304" s="450"/>
    </row>
    <row r="5305" spans="1:11">
      <c r="A5305" s="451" t="s">
        <v>35591</v>
      </c>
      <c r="B5305" s="451"/>
      <c r="C5305" s="451" t="s">
        <v>7501</v>
      </c>
      <c r="D5305" s="451"/>
      <c r="E5305" s="451"/>
      <c r="F5305" s="451"/>
      <c r="G5305" s="451" t="s">
        <v>22877</v>
      </c>
      <c r="H5305" s="451" t="s">
        <v>22878</v>
      </c>
      <c r="I5305" s="451" t="s">
        <v>25892</v>
      </c>
      <c r="J5305" s="451" t="s">
        <v>22948</v>
      </c>
      <c r="K5305" s="451"/>
    </row>
    <row r="5306" spans="1:11">
      <c r="A5306" s="450" t="s">
        <v>8962</v>
      </c>
      <c r="B5306" s="450"/>
      <c r="C5306" s="450" t="s">
        <v>7501</v>
      </c>
      <c r="D5306" s="450"/>
      <c r="E5306" s="450"/>
      <c r="F5306" s="450"/>
      <c r="G5306" s="450" t="s">
        <v>22877</v>
      </c>
      <c r="H5306" s="450" t="s">
        <v>22878</v>
      </c>
      <c r="I5306" s="450" t="s">
        <v>25892</v>
      </c>
      <c r="J5306" s="450" t="s">
        <v>22942</v>
      </c>
      <c r="K5306" s="450"/>
    </row>
    <row r="5307" spans="1:11">
      <c r="A5307" s="451" t="s">
        <v>35592</v>
      </c>
      <c r="B5307" s="451" t="s">
        <v>35593</v>
      </c>
      <c r="C5307" s="451" t="s">
        <v>35594</v>
      </c>
      <c r="D5307" s="451"/>
      <c r="E5307" s="451"/>
      <c r="F5307" s="451"/>
      <c r="G5307" s="451" t="s">
        <v>22882</v>
      </c>
      <c r="H5307" s="451" t="s">
        <v>22883</v>
      </c>
      <c r="I5307" s="451" t="s">
        <v>25893</v>
      </c>
      <c r="J5307" s="451" t="s">
        <v>35595</v>
      </c>
      <c r="K5307" s="451"/>
    </row>
    <row r="5308" spans="1:11">
      <c r="A5308" s="450" t="s">
        <v>8963</v>
      </c>
      <c r="B5308" s="450" t="s">
        <v>8964</v>
      </c>
      <c r="C5308" s="450" t="s">
        <v>35596</v>
      </c>
      <c r="D5308" s="450"/>
      <c r="E5308" s="450"/>
      <c r="F5308" s="450"/>
      <c r="G5308" s="450" t="s">
        <v>22882</v>
      </c>
      <c r="H5308" s="450" t="s">
        <v>22883</v>
      </c>
      <c r="I5308" s="450" t="s">
        <v>25893</v>
      </c>
      <c r="J5308" s="450" t="s">
        <v>25894</v>
      </c>
      <c r="K5308" s="450"/>
    </row>
    <row r="5309" spans="1:11">
      <c r="A5309" s="451" t="s">
        <v>8963</v>
      </c>
      <c r="B5309" s="451" t="s">
        <v>8964</v>
      </c>
      <c r="C5309" s="451" t="s">
        <v>8965</v>
      </c>
      <c r="D5309" s="451"/>
      <c r="E5309" s="451"/>
      <c r="F5309" s="451"/>
      <c r="G5309" s="451" t="s">
        <v>22877</v>
      </c>
      <c r="H5309" s="451" t="s">
        <v>22878</v>
      </c>
      <c r="I5309" s="451" t="s">
        <v>25893</v>
      </c>
      <c r="J5309" s="451" t="s">
        <v>25894</v>
      </c>
      <c r="K5309" s="451"/>
    </row>
    <row r="5310" spans="1:11">
      <c r="A5310" s="450" t="s">
        <v>8966</v>
      </c>
      <c r="B5310" s="450"/>
      <c r="C5310" s="450" t="s">
        <v>7281</v>
      </c>
      <c r="D5310" s="450"/>
      <c r="E5310" s="450"/>
      <c r="F5310" s="450"/>
      <c r="G5310" s="450" t="s">
        <v>22877</v>
      </c>
      <c r="H5310" s="450" t="s">
        <v>22878</v>
      </c>
      <c r="I5310" s="450" t="s">
        <v>35597</v>
      </c>
      <c r="J5310" s="450" t="s">
        <v>22942</v>
      </c>
      <c r="K5310" s="450"/>
    </row>
    <row r="5311" spans="1:11">
      <c r="A5311" s="451" t="s">
        <v>21718</v>
      </c>
      <c r="B5311" s="451"/>
      <c r="C5311" s="451" t="s">
        <v>8967</v>
      </c>
      <c r="D5311" s="451"/>
      <c r="E5311" s="451"/>
      <c r="F5311" s="451"/>
      <c r="G5311" s="451" t="s">
        <v>22882</v>
      </c>
      <c r="H5311" s="451" t="s">
        <v>22883</v>
      </c>
      <c r="I5311" s="451"/>
      <c r="J5311" s="451" t="s">
        <v>23185</v>
      </c>
      <c r="K5311" s="451"/>
    </row>
    <row r="5312" spans="1:11">
      <c r="A5312" s="450" t="s">
        <v>35598</v>
      </c>
      <c r="B5312" s="450"/>
      <c r="C5312" s="450" t="s">
        <v>8969</v>
      </c>
      <c r="D5312" s="450"/>
      <c r="E5312" s="450"/>
      <c r="F5312" s="450"/>
      <c r="G5312" s="450" t="s">
        <v>22877</v>
      </c>
      <c r="H5312" s="450" t="s">
        <v>22878</v>
      </c>
      <c r="I5312" s="450" t="s">
        <v>35599</v>
      </c>
      <c r="J5312" s="450" t="s">
        <v>22942</v>
      </c>
      <c r="K5312" s="450"/>
    </row>
    <row r="5313" spans="1:11">
      <c r="A5313" s="451" t="s">
        <v>8968</v>
      </c>
      <c r="B5313" s="451"/>
      <c r="C5313" s="451" t="s">
        <v>8969</v>
      </c>
      <c r="D5313" s="451"/>
      <c r="E5313" s="451"/>
      <c r="F5313" s="451"/>
      <c r="G5313" s="451" t="s">
        <v>22877</v>
      </c>
      <c r="H5313" s="451" t="s">
        <v>22878</v>
      </c>
      <c r="I5313" s="451" t="s">
        <v>35600</v>
      </c>
      <c r="J5313" s="451" t="s">
        <v>22997</v>
      </c>
      <c r="K5313" s="451"/>
    </row>
    <row r="5314" spans="1:11">
      <c r="A5314" s="450" t="s">
        <v>8970</v>
      </c>
      <c r="B5314" s="450"/>
      <c r="C5314" s="450" t="s">
        <v>5168</v>
      </c>
      <c r="D5314" s="450"/>
      <c r="E5314" s="450"/>
      <c r="F5314" s="450"/>
      <c r="G5314" s="450" t="s">
        <v>22882</v>
      </c>
      <c r="H5314" s="450" t="s">
        <v>22883</v>
      </c>
      <c r="I5314" s="450"/>
      <c r="J5314" s="450" t="s">
        <v>22939</v>
      </c>
      <c r="K5314" s="450"/>
    </row>
    <row r="5315" spans="1:11">
      <c r="A5315" s="451" t="s">
        <v>20396</v>
      </c>
      <c r="B5315" s="451" t="s">
        <v>20397</v>
      </c>
      <c r="C5315" s="451" t="s">
        <v>20398</v>
      </c>
      <c r="D5315" s="451" t="s">
        <v>20400</v>
      </c>
      <c r="E5315" s="451"/>
      <c r="F5315" s="451" t="s">
        <v>20399</v>
      </c>
      <c r="G5315" s="451" t="s">
        <v>22877</v>
      </c>
      <c r="H5315" s="451" t="s">
        <v>22878</v>
      </c>
      <c r="I5315" s="451" t="s">
        <v>20400</v>
      </c>
      <c r="J5315" s="451" t="s">
        <v>35601</v>
      </c>
      <c r="K5315" s="451"/>
    </row>
    <row r="5316" spans="1:11">
      <c r="A5316" s="450" t="s">
        <v>35602</v>
      </c>
      <c r="B5316" s="450"/>
      <c r="C5316" s="450" t="s">
        <v>35603</v>
      </c>
      <c r="D5316" s="450"/>
      <c r="E5316" s="450"/>
      <c r="F5316" s="450"/>
      <c r="G5316" s="450" t="s">
        <v>22877</v>
      </c>
      <c r="H5316" s="450" t="s">
        <v>22878</v>
      </c>
      <c r="I5316" s="450" t="s">
        <v>20400</v>
      </c>
      <c r="J5316" s="450" t="s">
        <v>22942</v>
      </c>
      <c r="K5316" s="450"/>
    </row>
    <row r="5317" spans="1:11">
      <c r="A5317" s="451" t="s">
        <v>35604</v>
      </c>
      <c r="B5317" s="451"/>
      <c r="C5317" s="451" t="s">
        <v>8972</v>
      </c>
      <c r="D5317" s="451"/>
      <c r="E5317" s="451"/>
      <c r="F5317" s="451"/>
      <c r="G5317" s="451" t="s">
        <v>22882</v>
      </c>
      <c r="H5317" s="451" t="s">
        <v>22883</v>
      </c>
      <c r="I5317" s="451"/>
      <c r="J5317" s="451" t="s">
        <v>22942</v>
      </c>
      <c r="K5317" s="451"/>
    </row>
    <row r="5318" spans="1:11">
      <c r="A5318" s="450" t="s">
        <v>8971</v>
      </c>
      <c r="B5318" s="450"/>
      <c r="C5318" s="450" t="s">
        <v>8972</v>
      </c>
      <c r="D5318" s="450"/>
      <c r="E5318" s="450"/>
      <c r="F5318" s="450"/>
      <c r="G5318" s="450" t="s">
        <v>22882</v>
      </c>
      <c r="H5318" s="450" t="s">
        <v>22883</v>
      </c>
      <c r="I5318" s="450" t="s">
        <v>31365</v>
      </c>
      <c r="J5318" s="450" t="s">
        <v>22937</v>
      </c>
      <c r="K5318" s="450"/>
    </row>
    <row r="5319" spans="1:11">
      <c r="A5319" s="451" t="s">
        <v>35605</v>
      </c>
      <c r="B5319" s="451"/>
      <c r="C5319" s="451" t="s">
        <v>8978</v>
      </c>
      <c r="D5319" s="451"/>
      <c r="E5319" s="451"/>
      <c r="F5319" s="451"/>
      <c r="G5319" s="451" t="s">
        <v>22877</v>
      </c>
      <c r="H5319" s="451" t="s">
        <v>22878</v>
      </c>
      <c r="I5319" s="451" t="s">
        <v>25895</v>
      </c>
      <c r="J5319" s="451" t="s">
        <v>22948</v>
      </c>
      <c r="K5319" s="451"/>
    </row>
    <row r="5320" spans="1:11">
      <c r="A5320" s="450" t="s">
        <v>8973</v>
      </c>
      <c r="B5320" s="450"/>
      <c r="C5320" s="450" t="s">
        <v>8974</v>
      </c>
      <c r="D5320" s="450"/>
      <c r="E5320" s="450"/>
      <c r="F5320" s="450"/>
      <c r="G5320" s="450" t="s">
        <v>22882</v>
      </c>
      <c r="H5320" s="450" t="s">
        <v>22883</v>
      </c>
      <c r="I5320" s="450" t="s">
        <v>35606</v>
      </c>
      <c r="J5320" s="450" t="s">
        <v>22939</v>
      </c>
      <c r="K5320" s="450"/>
    </row>
    <row r="5321" spans="1:11">
      <c r="A5321" s="451" t="s">
        <v>35607</v>
      </c>
      <c r="B5321" s="451"/>
      <c r="C5321" s="451" t="s">
        <v>8974</v>
      </c>
      <c r="D5321" s="451"/>
      <c r="E5321" s="451"/>
      <c r="F5321" s="451"/>
      <c r="G5321" s="451" t="s">
        <v>22877</v>
      </c>
      <c r="H5321" s="451" t="s">
        <v>22878</v>
      </c>
      <c r="I5321" s="451" t="s">
        <v>35606</v>
      </c>
      <c r="J5321" s="451" t="s">
        <v>23185</v>
      </c>
      <c r="K5321" s="451"/>
    </row>
    <row r="5322" spans="1:11">
      <c r="A5322" s="450" t="s">
        <v>35608</v>
      </c>
      <c r="B5322" s="450"/>
      <c r="C5322" s="450" t="s">
        <v>35609</v>
      </c>
      <c r="D5322" s="450"/>
      <c r="E5322" s="450"/>
      <c r="F5322" s="450"/>
      <c r="G5322" s="450" t="s">
        <v>22882</v>
      </c>
      <c r="H5322" s="450" t="s">
        <v>22883</v>
      </c>
      <c r="I5322" s="450"/>
      <c r="J5322" s="450" t="s">
        <v>22942</v>
      </c>
      <c r="K5322" s="450"/>
    </row>
    <row r="5323" spans="1:11">
      <c r="A5323" s="451" t="s">
        <v>8975</v>
      </c>
      <c r="B5323" s="451"/>
      <c r="C5323" s="451" t="s">
        <v>8976</v>
      </c>
      <c r="D5323" s="451"/>
      <c r="E5323" s="451"/>
      <c r="F5323" s="451"/>
      <c r="G5323" s="451" t="s">
        <v>22882</v>
      </c>
      <c r="H5323" s="451" t="s">
        <v>22883</v>
      </c>
      <c r="I5323" s="451"/>
      <c r="J5323" s="451" t="s">
        <v>22937</v>
      </c>
      <c r="K5323" s="451"/>
    </row>
    <row r="5324" spans="1:11">
      <c r="A5324" s="450" t="s">
        <v>8977</v>
      </c>
      <c r="B5324" s="450"/>
      <c r="C5324" s="450" t="s">
        <v>8978</v>
      </c>
      <c r="D5324" s="450"/>
      <c r="E5324" s="450"/>
      <c r="F5324" s="450"/>
      <c r="G5324" s="450" t="s">
        <v>22877</v>
      </c>
      <c r="H5324" s="450" t="s">
        <v>22878</v>
      </c>
      <c r="I5324" s="450" t="s">
        <v>25895</v>
      </c>
      <c r="J5324" s="450" t="s">
        <v>22942</v>
      </c>
      <c r="K5324" s="450"/>
    </row>
    <row r="5325" spans="1:11">
      <c r="A5325" s="451" t="s">
        <v>35610</v>
      </c>
      <c r="B5325" s="451" t="s">
        <v>8980</v>
      </c>
      <c r="C5325" s="451" t="s">
        <v>8981</v>
      </c>
      <c r="D5325" s="451" t="s">
        <v>8982</v>
      </c>
      <c r="E5325" s="451"/>
      <c r="F5325" s="451"/>
      <c r="G5325" s="451" t="s">
        <v>22877</v>
      </c>
      <c r="H5325" s="451" t="s">
        <v>22878</v>
      </c>
      <c r="I5325" s="451" t="s">
        <v>8982</v>
      </c>
      <c r="J5325" s="451" t="s">
        <v>25896</v>
      </c>
      <c r="K5325" s="451"/>
    </row>
    <row r="5326" spans="1:11">
      <c r="A5326" s="450" t="s">
        <v>8979</v>
      </c>
      <c r="B5326" s="450" t="s">
        <v>8980</v>
      </c>
      <c r="C5326" s="450" t="s">
        <v>8981</v>
      </c>
      <c r="D5326" s="450" t="s">
        <v>8982</v>
      </c>
      <c r="E5326" s="450" t="s">
        <v>8983</v>
      </c>
      <c r="F5326" s="450"/>
      <c r="G5326" s="450" t="s">
        <v>22882</v>
      </c>
      <c r="H5326" s="450" t="s">
        <v>22883</v>
      </c>
      <c r="I5326" s="450" t="s">
        <v>8982</v>
      </c>
      <c r="J5326" s="450" t="s">
        <v>25896</v>
      </c>
      <c r="K5326" s="450"/>
    </row>
    <row r="5327" spans="1:11">
      <c r="A5327" s="451" t="s">
        <v>8984</v>
      </c>
      <c r="B5327" s="451"/>
      <c r="C5327" s="451" t="s">
        <v>8985</v>
      </c>
      <c r="D5327" s="451"/>
      <c r="E5327" s="451"/>
      <c r="F5327" s="451"/>
      <c r="G5327" s="451" t="s">
        <v>22882</v>
      </c>
      <c r="H5327" s="451" t="s">
        <v>22883</v>
      </c>
      <c r="I5327" s="451"/>
      <c r="J5327" s="451" t="s">
        <v>22942</v>
      </c>
      <c r="K5327" s="451"/>
    </row>
    <row r="5328" spans="1:11">
      <c r="A5328" s="450" t="s">
        <v>8986</v>
      </c>
      <c r="B5328" s="450"/>
      <c r="C5328" s="450" t="s">
        <v>8987</v>
      </c>
      <c r="D5328" s="450"/>
      <c r="E5328" s="450"/>
      <c r="F5328" s="450"/>
      <c r="G5328" s="450" t="s">
        <v>22882</v>
      </c>
      <c r="H5328" s="450" t="s">
        <v>22883</v>
      </c>
      <c r="I5328" s="450"/>
      <c r="J5328" s="450" t="s">
        <v>22942</v>
      </c>
      <c r="K5328" s="450"/>
    </row>
    <row r="5329" spans="1:11">
      <c r="A5329" s="451" t="s">
        <v>25897</v>
      </c>
      <c r="B5329" s="451"/>
      <c r="C5329" s="451" t="s">
        <v>2813</v>
      </c>
      <c r="D5329" s="451"/>
      <c r="E5329" s="451"/>
      <c r="F5329" s="451"/>
      <c r="G5329" s="451" t="s">
        <v>22877</v>
      </c>
      <c r="H5329" s="451" t="s">
        <v>22878</v>
      </c>
      <c r="I5329" s="451" t="s">
        <v>25898</v>
      </c>
      <c r="J5329" s="451" t="s">
        <v>22948</v>
      </c>
      <c r="K5329" s="451"/>
    </row>
    <row r="5330" spans="1:11">
      <c r="A5330" s="450" t="s">
        <v>22066</v>
      </c>
      <c r="B5330" s="450" t="s">
        <v>9335</v>
      </c>
      <c r="C5330" s="450" t="s">
        <v>4138</v>
      </c>
      <c r="D5330" s="450" t="s">
        <v>9336</v>
      </c>
      <c r="E5330" s="450" t="s">
        <v>9337</v>
      </c>
      <c r="F5330" s="450"/>
      <c r="G5330" s="450" t="s">
        <v>22877</v>
      </c>
      <c r="H5330" s="450" t="s">
        <v>22878</v>
      </c>
      <c r="I5330" s="450" t="s">
        <v>25905</v>
      </c>
      <c r="J5330" s="450" t="s">
        <v>31437</v>
      </c>
      <c r="K5330" s="450"/>
    </row>
    <row r="5331" spans="1:11">
      <c r="A5331" s="451" t="s">
        <v>22067</v>
      </c>
      <c r="B5331" s="451" t="s">
        <v>9338</v>
      </c>
      <c r="C5331" s="451" t="s">
        <v>9339</v>
      </c>
      <c r="D5331" s="451" t="s">
        <v>9340</v>
      </c>
      <c r="E5331" s="451" t="s">
        <v>9341</v>
      </c>
      <c r="F5331" s="451"/>
      <c r="G5331" s="451" t="s">
        <v>22882</v>
      </c>
      <c r="H5331" s="451" t="s">
        <v>22883</v>
      </c>
      <c r="I5331" s="451" t="s">
        <v>9340</v>
      </c>
      <c r="J5331" s="451" t="s">
        <v>31438</v>
      </c>
      <c r="K5331" s="451"/>
    </row>
    <row r="5332" spans="1:11">
      <c r="A5332" s="450" t="s">
        <v>22068</v>
      </c>
      <c r="B5332" s="450" t="s">
        <v>22069</v>
      </c>
      <c r="C5332" s="450" t="s">
        <v>22070</v>
      </c>
      <c r="D5332" s="450" t="s">
        <v>22071</v>
      </c>
      <c r="E5332" s="450"/>
      <c r="F5332" s="450"/>
      <c r="G5332" s="450" t="s">
        <v>22877</v>
      </c>
      <c r="H5332" s="450" t="s">
        <v>22878</v>
      </c>
      <c r="I5332" s="450" t="s">
        <v>25909</v>
      </c>
      <c r="J5332" s="450" t="s">
        <v>31439</v>
      </c>
      <c r="K5332" s="450"/>
    </row>
    <row r="5333" spans="1:11">
      <c r="A5333" s="451" t="s">
        <v>25899</v>
      </c>
      <c r="B5333" s="451" t="s">
        <v>25900</v>
      </c>
      <c r="C5333" s="451" t="s">
        <v>25901</v>
      </c>
      <c r="D5333" s="451" t="s">
        <v>25902</v>
      </c>
      <c r="E5333" s="451"/>
      <c r="F5333" s="451"/>
      <c r="G5333" s="451" t="s">
        <v>22877</v>
      </c>
      <c r="H5333" s="451" t="s">
        <v>22878</v>
      </c>
      <c r="I5333" s="451" t="s">
        <v>25902</v>
      </c>
      <c r="J5333" s="451" t="s">
        <v>25903</v>
      </c>
      <c r="K5333" s="451"/>
    </row>
    <row r="5334" spans="1:11">
      <c r="A5334" s="450" t="s">
        <v>20991</v>
      </c>
      <c r="B5334" s="450" t="s">
        <v>20992</v>
      </c>
      <c r="C5334" s="450" t="s">
        <v>20993</v>
      </c>
      <c r="D5334" s="450" t="s">
        <v>20994</v>
      </c>
      <c r="E5334" s="450"/>
      <c r="F5334" s="450"/>
      <c r="G5334" s="450" t="s">
        <v>22877</v>
      </c>
      <c r="H5334" s="450" t="s">
        <v>22878</v>
      </c>
      <c r="I5334" s="450" t="s">
        <v>20994</v>
      </c>
      <c r="J5334" s="450" t="s">
        <v>31440</v>
      </c>
      <c r="K5334" s="450"/>
    </row>
    <row r="5335" spans="1:11">
      <c r="A5335" s="451" t="s">
        <v>25904</v>
      </c>
      <c r="B5335" s="451" t="s">
        <v>9335</v>
      </c>
      <c r="C5335" s="451" t="s">
        <v>4138</v>
      </c>
      <c r="D5335" s="451" t="s">
        <v>9336</v>
      </c>
      <c r="E5335" s="451"/>
      <c r="F5335" s="451"/>
      <c r="G5335" s="451" t="s">
        <v>22877</v>
      </c>
      <c r="H5335" s="451" t="s">
        <v>22878</v>
      </c>
      <c r="I5335" s="451" t="s">
        <v>25905</v>
      </c>
      <c r="J5335" s="451" t="s">
        <v>25906</v>
      </c>
      <c r="K5335" s="451"/>
    </row>
    <row r="5336" spans="1:11">
      <c r="A5336" s="450" t="s">
        <v>25907</v>
      </c>
      <c r="B5336" s="450" t="s">
        <v>25908</v>
      </c>
      <c r="C5336" s="450" t="s">
        <v>22070</v>
      </c>
      <c r="D5336" s="450"/>
      <c r="E5336" s="450"/>
      <c r="F5336" s="450"/>
      <c r="G5336" s="450" t="s">
        <v>22877</v>
      </c>
      <c r="H5336" s="450" t="s">
        <v>22878</v>
      </c>
      <c r="I5336" s="450" t="s">
        <v>25909</v>
      </c>
      <c r="J5336" s="450" t="s">
        <v>25910</v>
      </c>
      <c r="K5336" s="450"/>
    </row>
    <row r="5337" spans="1:11">
      <c r="A5337" s="451" t="s">
        <v>8988</v>
      </c>
      <c r="B5337" s="451" t="s">
        <v>8989</v>
      </c>
      <c r="C5337" s="451" t="s">
        <v>35611</v>
      </c>
      <c r="D5337" s="451"/>
      <c r="E5337" s="451"/>
      <c r="F5337" s="451"/>
      <c r="G5337" s="451" t="s">
        <v>22882</v>
      </c>
      <c r="H5337" s="451" t="s">
        <v>22883</v>
      </c>
      <c r="I5337" s="451"/>
      <c r="J5337" s="451" t="s">
        <v>35612</v>
      </c>
      <c r="K5337" s="451"/>
    </row>
    <row r="5338" spans="1:11">
      <c r="A5338" s="450" t="s">
        <v>8988</v>
      </c>
      <c r="B5338" s="450" t="s">
        <v>8989</v>
      </c>
      <c r="C5338" s="450" t="s">
        <v>8990</v>
      </c>
      <c r="D5338" s="450"/>
      <c r="E5338" s="450"/>
      <c r="F5338" s="450"/>
      <c r="G5338" s="450" t="s">
        <v>22882</v>
      </c>
      <c r="H5338" s="450" t="s">
        <v>22883</v>
      </c>
      <c r="I5338" s="450"/>
      <c r="J5338" s="450" t="s">
        <v>35613</v>
      </c>
      <c r="K5338" s="450"/>
    </row>
    <row r="5339" spans="1:11">
      <c r="A5339" s="451" t="s">
        <v>35614</v>
      </c>
      <c r="B5339" s="451"/>
      <c r="C5339" s="451" t="s">
        <v>7055</v>
      </c>
      <c r="D5339" s="451"/>
      <c r="E5339" s="451"/>
      <c r="F5339" s="451"/>
      <c r="G5339" s="451" t="s">
        <v>32634</v>
      </c>
      <c r="H5339" s="451" t="s">
        <v>22878</v>
      </c>
      <c r="I5339" s="451"/>
      <c r="J5339" s="451"/>
      <c r="K5339" s="451"/>
    </row>
    <row r="5340" spans="1:11">
      <c r="A5340" s="450" t="s">
        <v>35615</v>
      </c>
      <c r="B5340" s="450"/>
      <c r="C5340" s="450" t="s">
        <v>8760</v>
      </c>
      <c r="D5340" s="450"/>
      <c r="E5340" s="450"/>
      <c r="F5340" s="450"/>
      <c r="G5340" s="450" t="s">
        <v>22877</v>
      </c>
      <c r="H5340" s="450" t="s">
        <v>22878</v>
      </c>
      <c r="I5340" s="450" t="s">
        <v>35558</v>
      </c>
      <c r="J5340" s="450" t="s">
        <v>22942</v>
      </c>
      <c r="K5340" s="450"/>
    </row>
    <row r="5341" spans="1:11">
      <c r="A5341" s="451" t="s">
        <v>35616</v>
      </c>
      <c r="B5341" s="451"/>
      <c r="C5341" s="451" t="s">
        <v>8992</v>
      </c>
      <c r="D5341" s="451"/>
      <c r="E5341" s="451"/>
      <c r="F5341" s="451"/>
      <c r="G5341" s="451" t="s">
        <v>22882</v>
      </c>
      <c r="H5341" s="451" t="s">
        <v>22883</v>
      </c>
      <c r="I5341" s="451" t="s">
        <v>35617</v>
      </c>
      <c r="J5341" s="451" t="s">
        <v>22997</v>
      </c>
      <c r="K5341" s="451"/>
    </row>
    <row r="5342" spans="1:11">
      <c r="A5342" s="450" t="s">
        <v>8991</v>
      </c>
      <c r="B5342" s="450"/>
      <c r="C5342" s="450" t="s">
        <v>8992</v>
      </c>
      <c r="D5342" s="450"/>
      <c r="E5342" s="450"/>
      <c r="F5342" s="450"/>
      <c r="G5342" s="450" t="s">
        <v>22882</v>
      </c>
      <c r="H5342" s="450" t="s">
        <v>22883</v>
      </c>
      <c r="I5342" s="450" t="s">
        <v>35617</v>
      </c>
      <c r="J5342" s="450" t="s">
        <v>22939</v>
      </c>
      <c r="K5342" s="450"/>
    </row>
    <row r="5343" spans="1:11">
      <c r="A5343" s="451" t="s">
        <v>35618</v>
      </c>
      <c r="B5343" s="451"/>
      <c r="C5343" s="451" t="s">
        <v>8762</v>
      </c>
      <c r="D5343" s="451"/>
      <c r="E5343" s="451"/>
      <c r="F5343" s="451"/>
      <c r="G5343" s="451" t="s">
        <v>22877</v>
      </c>
      <c r="H5343" s="451" t="s">
        <v>22878</v>
      </c>
      <c r="I5343" s="451" t="s">
        <v>25911</v>
      </c>
      <c r="J5343" s="451" t="s">
        <v>22942</v>
      </c>
      <c r="K5343" s="451"/>
    </row>
    <row r="5344" spans="1:11">
      <c r="A5344" s="450" t="s">
        <v>21719</v>
      </c>
      <c r="B5344" s="450"/>
      <c r="C5344" s="450" t="s">
        <v>6568</v>
      </c>
      <c r="D5344" s="450"/>
      <c r="E5344" s="450"/>
      <c r="F5344" s="450"/>
      <c r="G5344" s="450" t="s">
        <v>22882</v>
      </c>
      <c r="H5344" s="450" t="s">
        <v>22883</v>
      </c>
      <c r="I5344" s="450" t="s">
        <v>25912</v>
      </c>
      <c r="J5344" s="450" t="s">
        <v>35619</v>
      </c>
      <c r="K5344" s="450"/>
    </row>
    <row r="5345" spans="1:11">
      <c r="A5345" s="451" t="s">
        <v>8993</v>
      </c>
      <c r="B5345" s="451"/>
      <c r="C5345" s="451" t="s">
        <v>8994</v>
      </c>
      <c r="D5345" s="451"/>
      <c r="E5345" s="451"/>
      <c r="F5345" s="451"/>
      <c r="G5345" s="451" t="s">
        <v>22882</v>
      </c>
      <c r="H5345" s="451" t="s">
        <v>22883</v>
      </c>
      <c r="I5345" s="451" t="s">
        <v>25912</v>
      </c>
      <c r="J5345" s="451" t="s">
        <v>22943</v>
      </c>
      <c r="K5345" s="451"/>
    </row>
    <row r="5346" spans="1:11">
      <c r="A5346" s="450" t="s">
        <v>35620</v>
      </c>
      <c r="B5346" s="450" t="s">
        <v>8996</v>
      </c>
      <c r="C5346" s="450" t="s">
        <v>8997</v>
      </c>
      <c r="D5346" s="450" t="s">
        <v>8998</v>
      </c>
      <c r="E5346" s="450"/>
      <c r="F5346" s="450"/>
      <c r="G5346" s="450" t="s">
        <v>22877</v>
      </c>
      <c r="H5346" s="450" t="s">
        <v>22878</v>
      </c>
      <c r="I5346" s="450" t="s">
        <v>8998</v>
      </c>
      <c r="J5346" s="450" t="s">
        <v>35621</v>
      </c>
      <c r="K5346" s="450"/>
    </row>
    <row r="5347" spans="1:11">
      <c r="A5347" s="451" t="s">
        <v>8995</v>
      </c>
      <c r="B5347" s="451" t="s">
        <v>8996</v>
      </c>
      <c r="C5347" s="451" t="s">
        <v>8997</v>
      </c>
      <c r="D5347" s="451" t="s">
        <v>8998</v>
      </c>
      <c r="E5347" s="451" t="s">
        <v>8999</v>
      </c>
      <c r="F5347" s="451"/>
      <c r="G5347" s="451" t="s">
        <v>22877</v>
      </c>
      <c r="H5347" s="451" t="s">
        <v>22878</v>
      </c>
      <c r="I5347" s="451" t="s">
        <v>31441</v>
      </c>
      <c r="J5347" s="451" t="s">
        <v>31442</v>
      </c>
      <c r="K5347" s="451"/>
    </row>
    <row r="5348" spans="1:11">
      <c r="A5348" s="450" t="s">
        <v>9000</v>
      </c>
      <c r="B5348" s="450"/>
      <c r="C5348" s="450" t="s">
        <v>8755</v>
      </c>
      <c r="D5348" s="450"/>
      <c r="E5348" s="450"/>
      <c r="F5348" s="450"/>
      <c r="G5348" s="450" t="s">
        <v>22882</v>
      </c>
      <c r="H5348" s="450" t="s">
        <v>22883</v>
      </c>
      <c r="I5348" s="450"/>
      <c r="J5348" s="450" t="s">
        <v>22943</v>
      </c>
      <c r="K5348" s="450"/>
    </row>
    <row r="5349" spans="1:11">
      <c r="A5349" s="451" t="s">
        <v>9001</v>
      </c>
      <c r="B5349" s="451"/>
      <c r="C5349" s="451" t="s">
        <v>9002</v>
      </c>
      <c r="D5349" s="451"/>
      <c r="E5349" s="451"/>
      <c r="F5349" s="451"/>
      <c r="G5349" s="451" t="s">
        <v>22882</v>
      </c>
      <c r="H5349" s="451" t="s">
        <v>22883</v>
      </c>
      <c r="I5349" s="451"/>
      <c r="J5349" s="451" t="s">
        <v>22939</v>
      </c>
      <c r="K5349" s="451"/>
    </row>
    <row r="5350" spans="1:11">
      <c r="A5350" s="450" t="s">
        <v>25913</v>
      </c>
      <c r="B5350" s="450" t="s">
        <v>25914</v>
      </c>
      <c r="C5350" s="450" t="s">
        <v>25915</v>
      </c>
      <c r="D5350" s="450" t="s">
        <v>25916</v>
      </c>
      <c r="E5350" s="450"/>
      <c r="F5350" s="450"/>
      <c r="G5350" s="450" t="s">
        <v>22882</v>
      </c>
      <c r="H5350" s="450" t="s">
        <v>22883</v>
      </c>
      <c r="I5350" s="450" t="s">
        <v>24418</v>
      </c>
      <c r="J5350" s="450" t="s">
        <v>25917</v>
      </c>
      <c r="K5350" s="450"/>
    </row>
    <row r="5351" spans="1:11">
      <c r="A5351" s="451" t="s">
        <v>9003</v>
      </c>
      <c r="B5351" s="451"/>
      <c r="C5351" s="451" t="s">
        <v>9004</v>
      </c>
      <c r="D5351" s="451"/>
      <c r="E5351" s="451"/>
      <c r="F5351" s="451"/>
      <c r="G5351" s="451" t="s">
        <v>22877</v>
      </c>
      <c r="H5351" s="451" t="s">
        <v>22878</v>
      </c>
      <c r="I5351" s="451" t="s">
        <v>35622</v>
      </c>
      <c r="J5351" s="451" t="s">
        <v>23133</v>
      </c>
      <c r="K5351" s="451"/>
    </row>
    <row r="5352" spans="1:11">
      <c r="A5352" s="450" t="s">
        <v>9005</v>
      </c>
      <c r="B5352" s="450"/>
      <c r="C5352" s="450" t="s">
        <v>9006</v>
      </c>
      <c r="D5352" s="450"/>
      <c r="E5352" s="450"/>
      <c r="F5352" s="450"/>
      <c r="G5352" s="450" t="s">
        <v>22882</v>
      </c>
      <c r="H5352" s="450" t="s">
        <v>22883</v>
      </c>
      <c r="I5352" s="450" t="s">
        <v>25918</v>
      </c>
      <c r="J5352" s="450" t="s">
        <v>22939</v>
      </c>
      <c r="K5352" s="450"/>
    </row>
    <row r="5353" spans="1:11">
      <c r="A5353" s="451" t="s">
        <v>35623</v>
      </c>
      <c r="B5353" s="451"/>
      <c r="C5353" s="451" t="s">
        <v>9008</v>
      </c>
      <c r="D5353" s="451"/>
      <c r="E5353" s="451"/>
      <c r="F5353" s="451"/>
      <c r="G5353" s="451" t="s">
        <v>22882</v>
      </c>
      <c r="H5353" s="451" t="s">
        <v>22883</v>
      </c>
      <c r="I5353" s="451"/>
      <c r="J5353" s="451" t="s">
        <v>23370</v>
      </c>
      <c r="K5353" s="451"/>
    </row>
    <row r="5354" spans="1:11">
      <c r="A5354" s="450" t="s">
        <v>9007</v>
      </c>
      <c r="B5354" s="450"/>
      <c r="C5354" s="450" t="s">
        <v>9008</v>
      </c>
      <c r="D5354" s="450"/>
      <c r="E5354" s="450"/>
      <c r="F5354" s="450"/>
      <c r="G5354" s="450" t="s">
        <v>22882</v>
      </c>
      <c r="H5354" s="450" t="s">
        <v>22883</v>
      </c>
      <c r="I5354" s="450"/>
      <c r="J5354" s="450" t="s">
        <v>22942</v>
      </c>
      <c r="K5354" s="450"/>
    </row>
    <row r="5355" spans="1:11">
      <c r="A5355" s="451" t="s">
        <v>9009</v>
      </c>
      <c r="B5355" s="451" t="s">
        <v>9010</v>
      </c>
      <c r="C5355" s="451" t="s">
        <v>35624</v>
      </c>
      <c r="D5355" s="451"/>
      <c r="E5355" s="451"/>
      <c r="F5355" s="451" t="s">
        <v>6000</v>
      </c>
      <c r="G5355" s="451" t="s">
        <v>23102</v>
      </c>
      <c r="H5355" s="451" t="s">
        <v>22878</v>
      </c>
      <c r="I5355" s="451"/>
      <c r="J5355" s="451" t="s">
        <v>9010</v>
      </c>
      <c r="K5355" s="451"/>
    </row>
    <row r="5356" spans="1:11">
      <c r="A5356" s="450" t="s">
        <v>9009</v>
      </c>
      <c r="B5356" s="450" t="s">
        <v>9010</v>
      </c>
      <c r="C5356" s="450" t="s">
        <v>9011</v>
      </c>
      <c r="D5356" s="450"/>
      <c r="E5356" s="450"/>
      <c r="F5356" s="450" t="s">
        <v>6000</v>
      </c>
      <c r="G5356" s="450" t="s">
        <v>22882</v>
      </c>
      <c r="H5356" s="450" t="s">
        <v>22883</v>
      </c>
      <c r="I5356" s="450" t="s">
        <v>31443</v>
      </c>
      <c r="J5356" s="450" t="s">
        <v>31444</v>
      </c>
      <c r="K5356" s="450"/>
    </row>
    <row r="5357" spans="1:11">
      <c r="A5357" s="451" t="s">
        <v>9012</v>
      </c>
      <c r="B5357" s="451"/>
      <c r="C5357" s="451" t="s">
        <v>3814</v>
      </c>
      <c r="D5357" s="451"/>
      <c r="E5357" s="451"/>
      <c r="F5357" s="451"/>
      <c r="G5357" s="451" t="s">
        <v>22882</v>
      </c>
      <c r="H5357" s="451" t="s">
        <v>22883</v>
      </c>
      <c r="I5357" s="451"/>
      <c r="J5357" s="451" t="s">
        <v>22942</v>
      </c>
      <c r="K5357" s="451"/>
    </row>
    <row r="5358" spans="1:11">
      <c r="A5358" s="450" t="s">
        <v>9013</v>
      </c>
      <c r="B5358" s="450" t="s">
        <v>9014</v>
      </c>
      <c r="C5358" s="450" t="s">
        <v>9015</v>
      </c>
      <c r="D5358" s="450" t="s">
        <v>9016</v>
      </c>
      <c r="E5358" s="450"/>
      <c r="F5358" s="450"/>
      <c r="G5358" s="450" t="s">
        <v>22877</v>
      </c>
      <c r="H5358" s="450" t="s">
        <v>22878</v>
      </c>
      <c r="I5358" s="450" t="s">
        <v>25919</v>
      </c>
      <c r="J5358" s="450" t="s">
        <v>25920</v>
      </c>
      <c r="K5358" s="450"/>
    </row>
    <row r="5359" spans="1:11">
      <c r="A5359" s="451" t="s">
        <v>9013</v>
      </c>
      <c r="B5359" s="451" t="s">
        <v>9014</v>
      </c>
      <c r="C5359" s="451" t="s">
        <v>9015</v>
      </c>
      <c r="D5359" s="451" t="s">
        <v>9016</v>
      </c>
      <c r="E5359" s="451" t="s">
        <v>9017</v>
      </c>
      <c r="F5359" s="451"/>
      <c r="G5359" s="451" t="s">
        <v>22877</v>
      </c>
      <c r="H5359" s="451" t="s">
        <v>22878</v>
      </c>
      <c r="I5359" s="451" t="s">
        <v>25919</v>
      </c>
      <c r="J5359" s="451" t="s">
        <v>25920</v>
      </c>
      <c r="K5359" s="451"/>
    </row>
    <row r="5360" spans="1:11">
      <c r="A5360" s="450" t="s">
        <v>25921</v>
      </c>
      <c r="B5360" s="450" t="s">
        <v>25922</v>
      </c>
      <c r="C5360" s="450" t="s">
        <v>25923</v>
      </c>
      <c r="D5360" s="450" t="s">
        <v>25924</v>
      </c>
      <c r="E5360" s="450"/>
      <c r="F5360" s="450"/>
      <c r="G5360" s="450" t="s">
        <v>22882</v>
      </c>
      <c r="H5360" s="450" t="s">
        <v>22883</v>
      </c>
      <c r="I5360" s="450" t="s">
        <v>25925</v>
      </c>
      <c r="J5360" s="450" t="s">
        <v>25926</v>
      </c>
      <c r="K5360" s="450"/>
    </row>
    <row r="5361" spans="1:11">
      <c r="A5361" s="451" t="s">
        <v>9018</v>
      </c>
      <c r="B5361" s="451"/>
      <c r="C5361" s="451" t="s">
        <v>9019</v>
      </c>
      <c r="D5361" s="451"/>
      <c r="E5361" s="451"/>
      <c r="F5361" s="451"/>
      <c r="G5361" s="451" t="s">
        <v>22882</v>
      </c>
      <c r="H5361" s="451" t="s">
        <v>22883</v>
      </c>
      <c r="I5361" s="451"/>
      <c r="J5361" s="451" t="s">
        <v>23182</v>
      </c>
      <c r="K5361" s="451"/>
    </row>
    <row r="5362" spans="1:11">
      <c r="A5362" s="450" t="s">
        <v>9020</v>
      </c>
      <c r="B5362" s="450" t="s">
        <v>25927</v>
      </c>
      <c r="C5362" s="450" t="s">
        <v>3055</v>
      </c>
      <c r="D5362" s="450" t="s">
        <v>25928</v>
      </c>
      <c r="E5362" s="450"/>
      <c r="F5362" s="450" t="s">
        <v>25929</v>
      </c>
      <c r="G5362" s="450" t="s">
        <v>22882</v>
      </c>
      <c r="H5362" s="450" t="s">
        <v>22883</v>
      </c>
      <c r="I5362" s="450" t="s">
        <v>25930</v>
      </c>
      <c r="J5362" s="450" t="s">
        <v>25931</v>
      </c>
      <c r="K5362" s="450"/>
    </row>
    <row r="5363" spans="1:11">
      <c r="A5363" s="451" t="s">
        <v>9020</v>
      </c>
      <c r="B5363" s="451"/>
      <c r="C5363" s="451" t="s">
        <v>3055</v>
      </c>
      <c r="D5363" s="451"/>
      <c r="E5363" s="451"/>
      <c r="F5363" s="451"/>
      <c r="G5363" s="451" t="s">
        <v>22882</v>
      </c>
      <c r="H5363" s="451" t="s">
        <v>22883</v>
      </c>
      <c r="I5363" s="451"/>
      <c r="J5363" s="451" t="s">
        <v>22937</v>
      </c>
      <c r="K5363" s="451"/>
    </row>
    <row r="5364" spans="1:11">
      <c r="A5364" s="450" t="s">
        <v>9021</v>
      </c>
      <c r="B5364" s="450"/>
      <c r="C5364" s="450" t="s">
        <v>9022</v>
      </c>
      <c r="D5364" s="450"/>
      <c r="E5364" s="450"/>
      <c r="F5364" s="450"/>
      <c r="G5364" s="450" t="s">
        <v>22877</v>
      </c>
      <c r="H5364" s="450" t="s">
        <v>22878</v>
      </c>
      <c r="I5364" s="450" t="s">
        <v>25932</v>
      </c>
      <c r="J5364" s="450" t="s">
        <v>22997</v>
      </c>
      <c r="K5364" s="450"/>
    </row>
    <row r="5365" spans="1:11">
      <c r="A5365" s="451" t="s">
        <v>35625</v>
      </c>
      <c r="B5365" s="451" t="s">
        <v>9023</v>
      </c>
      <c r="C5365" s="451" t="s">
        <v>9024</v>
      </c>
      <c r="D5365" s="451" t="s">
        <v>9025</v>
      </c>
      <c r="E5365" s="451"/>
      <c r="F5365" s="451"/>
      <c r="G5365" s="451" t="s">
        <v>22882</v>
      </c>
      <c r="H5365" s="451" t="s">
        <v>22883</v>
      </c>
      <c r="I5365" s="451" t="s">
        <v>35626</v>
      </c>
      <c r="J5365" s="451" t="s">
        <v>35627</v>
      </c>
      <c r="K5365" s="451"/>
    </row>
    <row r="5366" spans="1:11">
      <c r="A5366" s="450" t="s">
        <v>21720</v>
      </c>
      <c r="B5366" s="450" t="s">
        <v>9023</v>
      </c>
      <c r="C5366" s="450" t="s">
        <v>9024</v>
      </c>
      <c r="D5366" s="450" t="s">
        <v>9025</v>
      </c>
      <c r="E5366" s="450"/>
      <c r="F5366" s="450"/>
      <c r="G5366" s="450" t="s">
        <v>22882</v>
      </c>
      <c r="H5366" s="450" t="s">
        <v>22883</v>
      </c>
      <c r="I5366" s="450" t="s">
        <v>9025</v>
      </c>
      <c r="J5366" s="450" t="s">
        <v>31445</v>
      </c>
      <c r="K5366" s="450"/>
    </row>
    <row r="5367" spans="1:11">
      <c r="A5367" s="451" t="s">
        <v>9026</v>
      </c>
      <c r="B5367" s="451" t="s">
        <v>9027</v>
      </c>
      <c r="C5367" s="451" t="s">
        <v>9028</v>
      </c>
      <c r="D5367" s="451"/>
      <c r="E5367" s="451"/>
      <c r="F5367" s="451"/>
      <c r="G5367" s="451" t="s">
        <v>22877</v>
      </c>
      <c r="H5367" s="451" t="s">
        <v>22878</v>
      </c>
      <c r="I5367" s="451" t="s">
        <v>25933</v>
      </c>
      <c r="J5367" s="451" t="s">
        <v>25934</v>
      </c>
      <c r="K5367" s="451"/>
    </row>
    <row r="5368" spans="1:11">
      <c r="A5368" s="450" t="s">
        <v>35628</v>
      </c>
      <c r="B5368" s="450"/>
      <c r="C5368" s="450" t="s">
        <v>9030</v>
      </c>
      <c r="D5368" s="450"/>
      <c r="E5368" s="450"/>
      <c r="F5368" s="450"/>
      <c r="G5368" s="450" t="s">
        <v>22877</v>
      </c>
      <c r="H5368" s="450" t="s">
        <v>22878</v>
      </c>
      <c r="I5368" s="450" t="s">
        <v>35629</v>
      </c>
      <c r="J5368" s="450" t="s">
        <v>22943</v>
      </c>
      <c r="K5368" s="450"/>
    </row>
    <row r="5369" spans="1:11">
      <c r="A5369" s="451" t="s">
        <v>9029</v>
      </c>
      <c r="B5369" s="451"/>
      <c r="C5369" s="451" t="s">
        <v>9030</v>
      </c>
      <c r="D5369" s="451"/>
      <c r="E5369" s="451"/>
      <c r="F5369" s="451"/>
      <c r="G5369" s="451" t="s">
        <v>22877</v>
      </c>
      <c r="H5369" s="451" t="s">
        <v>22878</v>
      </c>
      <c r="I5369" s="451" t="s">
        <v>35629</v>
      </c>
      <c r="J5369" s="451" t="s">
        <v>22997</v>
      </c>
      <c r="K5369" s="451"/>
    </row>
    <row r="5370" spans="1:11">
      <c r="A5370" s="450" t="s">
        <v>9031</v>
      </c>
      <c r="B5370" s="450"/>
      <c r="C5370" s="450" t="s">
        <v>9032</v>
      </c>
      <c r="D5370" s="450"/>
      <c r="E5370" s="450"/>
      <c r="F5370" s="450"/>
      <c r="G5370" s="450" t="s">
        <v>22877</v>
      </c>
      <c r="H5370" s="450" t="s">
        <v>22878</v>
      </c>
      <c r="I5370" s="450" t="s">
        <v>35630</v>
      </c>
      <c r="J5370" s="450" t="s">
        <v>22943</v>
      </c>
      <c r="K5370" s="450"/>
    </row>
    <row r="5371" spans="1:11">
      <c r="A5371" s="451" t="s">
        <v>9033</v>
      </c>
      <c r="B5371" s="451"/>
      <c r="C5371" s="451" t="s">
        <v>9034</v>
      </c>
      <c r="D5371" s="451"/>
      <c r="E5371" s="451"/>
      <c r="F5371" s="451"/>
      <c r="G5371" s="451" t="s">
        <v>22877</v>
      </c>
      <c r="H5371" s="451" t="s">
        <v>22878</v>
      </c>
      <c r="I5371" s="451" t="s">
        <v>35631</v>
      </c>
      <c r="J5371" s="451" t="s">
        <v>22943</v>
      </c>
      <c r="K5371" s="451"/>
    </row>
    <row r="5372" spans="1:11">
      <c r="A5372" s="450" t="s">
        <v>9035</v>
      </c>
      <c r="B5372" s="450"/>
      <c r="C5372" s="450" t="s">
        <v>1692</v>
      </c>
      <c r="D5372" s="450"/>
      <c r="E5372" s="450"/>
      <c r="F5372" s="450"/>
      <c r="G5372" s="450" t="s">
        <v>22877</v>
      </c>
      <c r="H5372" s="450" t="s">
        <v>22878</v>
      </c>
      <c r="I5372" s="450" t="s">
        <v>25935</v>
      </c>
      <c r="J5372" s="450" t="s">
        <v>22997</v>
      </c>
      <c r="K5372" s="450"/>
    </row>
    <row r="5373" spans="1:11">
      <c r="A5373" s="451" t="s">
        <v>31446</v>
      </c>
      <c r="B5373" s="451" t="s">
        <v>25936</v>
      </c>
      <c r="C5373" s="451" t="s">
        <v>23769</v>
      </c>
      <c r="D5373" s="451" t="s">
        <v>25937</v>
      </c>
      <c r="E5373" s="451"/>
      <c r="F5373" s="451"/>
      <c r="G5373" s="451" t="s">
        <v>22877</v>
      </c>
      <c r="H5373" s="451" t="s">
        <v>22878</v>
      </c>
      <c r="I5373" s="451" t="s">
        <v>25937</v>
      </c>
      <c r="J5373" s="451" t="s">
        <v>23768</v>
      </c>
      <c r="K5373" s="451"/>
    </row>
    <row r="5374" spans="1:11">
      <c r="A5374" s="450" t="s">
        <v>35632</v>
      </c>
      <c r="B5374" s="450"/>
      <c r="C5374" s="450" t="s">
        <v>2295</v>
      </c>
      <c r="D5374" s="450"/>
      <c r="E5374" s="450"/>
      <c r="F5374" s="450"/>
      <c r="G5374" s="450" t="s">
        <v>22882</v>
      </c>
      <c r="H5374" s="450" t="s">
        <v>22883</v>
      </c>
      <c r="I5374" s="450"/>
      <c r="J5374" s="450" t="s">
        <v>22943</v>
      </c>
      <c r="K5374" s="450"/>
    </row>
    <row r="5375" spans="1:11">
      <c r="A5375" s="451" t="s">
        <v>9036</v>
      </c>
      <c r="B5375" s="451"/>
      <c r="C5375" s="451" t="s">
        <v>9037</v>
      </c>
      <c r="D5375" s="451"/>
      <c r="E5375" s="451"/>
      <c r="F5375" s="451"/>
      <c r="G5375" s="451" t="s">
        <v>22882</v>
      </c>
      <c r="H5375" s="451" t="s">
        <v>22883</v>
      </c>
      <c r="I5375" s="451"/>
      <c r="J5375" s="451" t="s">
        <v>22939</v>
      </c>
      <c r="K5375" s="451"/>
    </row>
    <row r="5376" spans="1:11">
      <c r="A5376" s="450" t="s">
        <v>9038</v>
      </c>
      <c r="B5376" s="450"/>
      <c r="C5376" s="450" t="s">
        <v>9039</v>
      </c>
      <c r="D5376" s="450"/>
      <c r="E5376" s="450"/>
      <c r="F5376" s="450"/>
      <c r="G5376" s="450" t="s">
        <v>22877</v>
      </c>
      <c r="H5376" s="450" t="s">
        <v>22878</v>
      </c>
      <c r="I5376" s="450" t="s">
        <v>35633</v>
      </c>
      <c r="J5376" s="450" t="s">
        <v>22997</v>
      </c>
      <c r="K5376" s="450"/>
    </row>
    <row r="5377" spans="1:11">
      <c r="A5377" s="451" t="s">
        <v>9040</v>
      </c>
      <c r="B5377" s="451"/>
      <c r="C5377" s="451" t="s">
        <v>3089</v>
      </c>
      <c r="D5377" s="451"/>
      <c r="E5377" s="451"/>
      <c r="F5377" s="451"/>
      <c r="G5377" s="451" t="s">
        <v>22882</v>
      </c>
      <c r="H5377" s="451" t="s">
        <v>22883</v>
      </c>
      <c r="I5377" s="451"/>
      <c r="J5377" s="451" t="s">
        <v>22939</v>
      </c>
      <c r="K5377" s="451"/>
    </row>
    <row r="5378" spans="1:11">
      <c r="A5378" s="450" t="s">
        <v>9041</v>
      </c>
      <c r="B5378" s="450" t="s">
        <v>9042</v>
      </c>
      <c r="C5378" s="450" t="s">
        <v>9043</v>
      </c>
      <c r="D5378" s="450" t="s">
        <v>9044</v>
      </c>
      <c r="E5378" s="450"/>
      <c r="F5378" s="450" t="s">
        <v>35634</v>
      </c>
      <c r="G5378" s="450" t="s">
        <v>22877</v>
      </c>
      <c r="H5378" s="450" t="s">
        <v>22878</v>
      </c>
      <c r="I5378" s="450" t="s">
        <v>35635</v>
      </c>
      <c r="J5378" s="450" t="s">
        <v>35636</v>
      </c>
      <c r="K5378" s="450"/>
    </row>
    <row r="5379" spans="1:11">
      <c r="A5379" s="451" t="s">
        <v>9041</v>
      </c>
      <c r="B5379" s="451" t="s">
        <v>9042</v>
      </c>
      <c r="C5379" s="451" t="s">
        <v>9043</v>
      </c>
      <c r="D5379" s="451" t="s">
        <v>9044</v>
      </c>
      <c r="E5379" s="451" t="s">
        <v>9045</v>
      </c>
      <c r="F5379" s="451" t="s">
        <v>9046</v>
      </c>
      <c r="G5379" s="451" t="s">
        <v>22877</v>
      </c>
      <c r="H5379" s="451" t="s">
        <v>22878</v>
      </c>
      <c r="I5379" s="451" t="s">
        <v>31447</v>
      </c>
      <c r="J5379" s="451" t="s">
        <v>31448</v>
      </c>
      <c r="K5379" s="451"/>
    </row>
    <row r="5380" spans="1:11">
      <c r="A5380" s="450" t="s">
        <v>9047</v>
      </c>
      <c r="B5380" s="450"/>
      <c r="C5380" s="450" t="s">
        <v>5917</v>
      </c>
      <c r="D5380" s="450"/>
      <c r="E5380" s="450"/>
      <c r="F5380" s="450"/>
      <c r="G5380" s="450" t="s">
        <v>22877</v>
      </c>
      <c r="H5380" s="450" t="s">
        <v>22878</v>
      </c>
      <c r="I5380" s="450" t="s">
        <v>35637</v>
      </c>
      <c r="J5380" s="450" t="s">
        <v>22939</v>
      </c>
      <c r="K5380" s="450"/>
    </row>
    <row r="5381" spans="1:11">
      <c r="A5381" s="451" t="s">
        <v>21721</v>
      </c>
      <c r="B5381" s="451"/>
      <c r="C5381" s="451" t="s">
        <v>9048</v>
      </c>
      <c r="D5381" s="451"/>
      <c r="E5381" s="451"/>
      <c r="F5381" s="451"/>
      <c r="G5381" s="451" t="s">
        <v>22882</v>
      </c>
      <c r="H5381" s="451" t="s">
        <v>22883</v>
      </c>
      <c r="I5381" s="451" t="s">
        <v>25938</v>
      </c>
      <c r="J5381" s="451" t="s">
        <v>23121</v>
      </c>
      <c r="K5381" s="451"/>
    </row>
    <row r="5382" spans="1:11">
      <c r="A5382" s="450" t="s">
        <v>21722</v>
      </c>
      <c r="B5382" s="450" t="s">
        <v>9049</v>
      </c>
      <c r="C5382" s="450" t="s">
        <v>9050</v>
      </c>
      <c r="D5382" s="450" t="s">
        <v>9051</v>
      </c>
      <c r="E5382" s="450"/>
      <c r="F5382" s="450"/>
      <c r="G5382" s="450" t="s">
        <v>22877</v>
      </c>
      <c r="H5382" s="450" t="s">
        <v>22878</v>
      </c>
      <c r="I5382" s="450" t="s">
        <v>35638</v>
      </c>
      <c r="J5382" s="450" t="s">
        <v>35639</v>
      </c>
      <c r="K5382" s="450"/>
    </row>
    <row r="5383" spans="1:11">
      <c r="A5383" s="451" t="s">
        <v>21722</v>
      </c>
      <c r="B5383" s="451" t="s">
        <v>9049</v>
      </c>
      <c r="C5383" s="451" t="s">
        <v>9050</v>
      </c>
      <c r="D5383" s="451" t="s">
        <v>9051</v>
      </c>
      <c r="E5383" s="451" t="s">
        <v>9052</v>
      </c>
      <c r="F5383" s="451"/>
      <c r="G5383" s="451" t="s">
        <v>22877</v>
      </c>
      <c r="H5383" s="451" t="s">
        <v>22878</v>
      </c>
      <c r="I5383" s="451" t="s">
        <v>31449</v>
      </c>
      <c r="J5383" s="451" t="s">
        <v>31450</v>
      </c>
      <c r="K5383" s="451"/>
    </row>
    <row r="5384" spans="1:11">
      <c r="A5384" s="450" t="s">
        <v>21723</v>
      </c>
      <c r="B5384" s="450"/>
      <c r="C5384" s="450" t="s">
        <v>9053</v>
      </c>
      <c r="D5384" s="450"/>
      <c r="E5384" s="450"/>
      <c r="F5384" s="450"/>
      <c r="G5384" s="450" t="s">
        <v>22882</v>
      </c>
      <c r="H5384" s="450" t="s">
        <v>22883</v>
      </c>
      <c r="I5384" s="450"/>
      <c r="J5384" s="450" t="s">
        <v>22939</v>
      </c>
      <c r="K5384" s="450"/>
    </row>
    <row r="5385" spans="1:11">
      <c r="A5385" s="451" t="s">
        <v>21724</v>
      </c>
      <c r="B5385" s="451" t="s">
        <v>9054</v>
      </c>
      <c r="C5385" s="451" t="s">
        <v>9055</v>
      </c>
      <c r="D5385" s="451"/>
      <c r="E5385" s="451"/>
      <c r="F5385" s="451"/>
      <c r="G5385" s="451" t="s">
        <v>22882</v>
      </c>
      <c r="H5385" s="451" t="s">
        <v>22883</v>
      </c>
      <c r="I5385" s="451" t="s">
        <v>25939</v>
      </c>
      <c r="J5385" s="451" t="s">
        <v>25940</v>
      </c>
      <c r="K5385" s="451"/>
    </row>
    <row r="5386" spans="1:11">
      <c r="A5386" s="450" t="s">
        <v>21725</v>
      </c>
      <c r="B5386" s="450"/>
      <c r="C5386" s="450" t="s">
        <v>9056</v>
      </c>
      <c r="D5386" s="450"/>
      <c r="E5386" s="450"/>
      <c r="F5386" s="450"/>
      <c r="G5386" s="450" t="s">
        <v>22877</v>
      </c>
      <c r="H5386" s="450" t="s">
        <v>22878</v>
      </c>
      <c r="I5386" s="450" t="s">
        <v>25941</v>
      </c>
      <c r="J5386" s="450" t="s">
        <v>22997</v>
      </c>
      <c r="K5386" s="450"/>
    </row>
    <row r="5387" spans="1:11">
      <c r="A5387" s="451" t="s">
        <v>21726</v>
      </c>
      <c r="B5387" s="451" t="s">
        <v>9057</v>
      </c>
      <c r="C5387" s="451" t="s">
        <v>9058</v>
      </c>
      <c r="D5387" s="451" t="s">
        <v>9059</v>
      </c>
      <c r="E5387" s="451"/>
      <c r="F5387" s="451"/>
      <c r="G5387" s="451" t="s">
        <v>22877</v>
      </c>
      <c r="H5387" s="451" t="s">
        <v>22878</v>
      </c>
      <c r="I5387" s="451" t="s">
        <v>9059</v>
      </c>
      <c r="J5387" s="451" t="s">
        <v>35640</v>
      </c>
      <c r="K5387" s="451"/>
    </row>
    <row r="5388" spans="1:11">
      <c r="A5388" s="450" t="s">
        <v>21726</v>
      </c>
      <c r="B5388" s="450" t="s">
        <v>9057</v>
      </c>
      <c r="C5388" s="450" t="s">
        <v>9058</v>
      </c>
      <c r="D5388" s="450" t="s">
        <v>9059</v>
      </c>
      <c r="E5388" s="450" t="s">
        <v>9060</v>
      </c>
      <c r="F5388" s="450"/>
      <c r="G5388" s="450" t="s">
        <v>22877</v>
      </c>
      <c r="H5388" s="450" t="s">
        <v>22878</v>
      </c>
      <c r="I5388" s="450" t="s">
        <v>31451</v>
      </c>
      <c r="J5388" s="450" t="s">
        <v>31452</v>
      </c>
      <c r="K5388" s="450"/>
    </row>
    <row r="5389" spans="1:11">
      <c r="A5389" s="451" t="s">
        <v>25942</v>
      </c>
      <c r="B5389" s="451" t="s">
        <v>9071</v>
      </c>
      <c r="C5389" s="451" t="s">
        <v>9072</v>
      </c>
      <c r="D5389" s="451" t="s">
        <v>9073</v>
      </c>
      <c r="E5389" s="451"/>
      <c r="F5389" s="451"/>
      <c r="G5389" s="451" t="s">
        <v>22877</v>
      </c>
      <c r="H5389" s="451" t="s">
        <v>22878</v>
      </c>
      <c r="I5389" s="451" t="s">
        <v>23389</v>
      </c>
      <c r="J5389" s="451" t="s">
        <v>25943</v>
      </c>
      <c r="K5389" s="451"/>
    </row>
    <row r="5390" spans="1:11">
      <c r="A5390" s="450" t="s">
        <v>9061</v>
      </c>
      <c r="B5390" s="450"/>
      <c r="C5390" s="450" t="s">
        <v>9062</v>
      </c>
      <c r="D5390" s="450"/>
      <c r="E5390" s="450"/>
      <c r="F5390" s="450"/>
      <c r="G5390" s="450" t="s">
        <v>22882</v>
      </c>
      <c r="H5390" s="450" t="s">
        <v>22883</v>
      </c>
      <c r="I5390" s="450"/>
      <c r="J5390" s="450" t="s">
        <v>22939</v>
      </c>
      <c r="K5390" s="450"/>
    </row>
    <row r="5391" spans="1:11">
      <c r="A5391" s="451" t="s">
        <v>9063</v>
      </c>
      <c r="B5391" s="451"/>
      <c r="C5391" s="451" t="s">
        <v>9064</v>
      </c>
      <c r="D5391" s="451"/>
      <c r="E5391" s="451"/>
      <c r="F5391" s="451"/>
      <c r="G5391" s="451" t="s">
        <v>22877</v>
      </c>
      <c r="H5391" s="451" t="s">
        <v>22878</v>
      </c>
      <c r="I5391" s="451" t="s">
        <v>25944</v>
      </c>
      <c r="J5391" s="451" t="s">
        <v>24608</v>
      </c>
      <c r="K5391" s="451"/>
    </row>
    <row r="5392" spans="1:11">
      <c r="A5392" s="450" t="s">
        <v>9065</v>
      </c>
      <c r="B5392" s="450" t="s">
        <v>25945</v>
      </c>
      <c r="C5392" s="450" t="s">
        <v>25946</v>
      </c>
      <c r="D5392" s="450" t="s">
        <v>9068</v>
      </c>
      <c r="E5392" s="450"/>
      <c r="F5392" s="450"/>
      <c r="G5392" s="450" t="s">
        <v>22882</v>
      </c>
      <c r="H5392" s="450" t="s">
        <v>22883</v>
      </c>
      <c r="I5392" s="450" t="s">
        <v>9068</v>
      </c>
      <c r="J5392" s="450" t="s">
        <v>25947</v>
      </c>
      <c r="K5392" s="450"/>
    </row>
    <row r="5393" spans="1:11">
      <c r="A5393" s="451" t="s">
        <v>9065</v>
      </c>
      <c r="B5393" s="451" t="s">
        <v>9066</v>
      </c>
      <c r="C5393" s="451" t="s">
        <v>9067</v>
      </c>
      <c r="D5393" s="451" t="s">
        <v>9068</v>
      </c>
      <c r="E5393" s="451" t="s">
        <v>9069</v>
      </c>
      <c r="F5393" s="451"/>
      <c r="G5393" s="451" t="s">
        <v>22882</v>
      </c>
      <c r="H5393" s="451" t="s">
        <v>22883</v>
      </c>
      <c r="I5393" s="451" t="s">
        <v>31453</v>
      </c>
      <c r="J5393" s="451" t="s">
        <v>31454</v>
      </c>
      <c r="K5393" s="451"/>
    </row>
    <row r="5394" spans="1:11">
      <c r="A5394" s="450" t="s">
        <v>9070</v>
      </c>
      <c r="B5394" s="450" t="s">
        <v>9071</v>
      </c>
      <c r="C5394" s="450" t="s">
        <v>9072</v>
      </c>
      <c r="D5394" s="450" t="s">
        <v>9073</v>
      </c>
      <c r="E5394" s="450" t="s">
        <v>9074</v>
      </c>
      <c r="F5394" s="450"/>
      <c r="G5394" s="450" t="s">
        <v>22877</v>
      </c>
      <c r="H5394" s="450" t="s">
        <v>22878</v>
      </c>
      <c r="I5394" s="450" t="s">
        <v>9073</v>
      </c>
      <c r="J5394" s="450" t="s">
        <v>31455</v>
      </c>
      <c r="K5394" s="450"/>
    </row>
    <row r="5395" spans="1:11">
      <c r="A5395" s="451" t="s">
        <v>9075</v>
      </c>
      <c r="B5395" s="451"/>
      <c r="C5395" s="451" t="s">
        <v>2295</v>
      </c>
      <c r="D5395" s="451"/>
      <c r="E5395" s="451"/>
      <c r="F5395" s="451"/>
      <c r="G5395" s="451" t="s">
        <v>22882</v>
      </c>
      <c r="H5395" s="451" t="s">
        <v>22883</v>
      </c>
      <c r="I5395" s="451"/>
      <c r="J5395" s="451" t="s">
        <v>22937</v>
      </c>
      <c r="K5395" s="451"/>
    </row>
    <row r="5396" spans="1:11">
      <c r="A5396" s="450" t="s">
        <v>25948</v>
      </c>
      <c r="B5396" s="450" t="s">
        <v>25949</v>
      </c>
      <c r="C5396" s="450" t="s">
        <v>25950</v>
      </c>
      <c r="D5396" s="450"/>
      <c r="E5396" s="450"/>
      <c r="F5396" s="450"/>
      <c r="G5396" s="450" t="s">
        <v>22877</v>
      </c>
      <c r="H5396" s="450" t="s">
        <v>22878</v>
      </c>
      <c r="I5396" s="450" t="s">
        <v>25951</v>
      </c>
      <c r="J5396" s="450" t="s">
        <v>25952</v>
      </c>
      <c r="K5396" s="450"/>
    </row>
    <row r="5397" spans="1:11">
      <c r="A5397" s="451" t="s">
        <v>21727</v>
      </c>
      <c r="B5397" s="451"/>
      <c r="C5397" s="451" t="s">
        <v>3884</v>
      </c>
      <c r="D5397" s="451"/>
      <c r="E5397" s="451"/>
      <c r="F5397" s="451"/>
      <c r="G5397" s="451" t="s">
        <v>22882</v>
      </c>
      <c r="H5397" s="451" t="s">
        <v>22883</v>
      </c>
      <c r="I5397" s="451"/>
      <c r="J5397" s="451" t="s">
        <v>23121</v>
      </c>
      <c r="K5397" s="451"/>
    </row>
    <row r="5398" spans="1:11">
      <c r="A5398" s="450" t="s">
        <v>21728</v>
      </c>
      <c r="B5398" s="450"/>
      <c r="C5398" s="450" t="s">
        <v>9076</v>
      </c>
      <c r="D5398" s="450" t="s">
        <v>9077</v>
      </c>
      <c r="E5398" s="450"/>
      <c r="F5398" s="450"/>
      <c r="G5398" s="450" t="s">
        <v>22877</v>
      </c>
      <c r="H5398" s="450" t="s">
        <v>22878</v>
      </c>
      <c r="I5398" s="450" t="s">
        <v>9077</v>
      </c>
      <c r="J5398" s="450" t="s">
        <v>35641</v>
      </c>
      <c r="K5398" s="450"/>
    </row>
    <row r="5399" spans="1:11">
      <c r="A5399" s="451" t="s">
        <v>21728</v>
      </c>
      <c r="B5399" s="451"/>
      <c r="C5399" s="451" t="s">
        <v>9076</v>
      </c>
      <c r="D5399" s="451" t="s">
        <v>9077</v>
      </c>
      <c r="E5399" s="451" t="s">
        <v>9078</v>
      </c>
      <c r="F5399" s="451"/>
      <c r="G5399" s="451" t="s">
        <v>22877</v>
      </c>
      <c r="H5399" s="451" t="s">
        <v>22878</v>
      </c>
      <c r="I5399" s="451" t="s">
        <v>35642</v>
      </c>
      <c r="J5399" s="451" t="s">
        <v>35643</v>
      </c>
      <c r="K5399" s="451"/>
    </row>
    <row r="5400" spans="1:11">
      <c r="A5400" s="450" t="s">
        <v>9079</v>
      </c>
      <c r="B5400" s="450"/>
      <c r="C5400" s="450" t="s">
        <v>9080</v>
      </c>
      <c r="D5400" s="450"/>
      <c r="E5400" s="450"/>
      <c r="F5400" s="450"/>
      <c r="G5400" s="450" t="s">
        <v>22877</v>
      </c>
      <c r="H5400" s="450" t="s">
        <v>22878</v>
      </c>
      <c r="I5400" s="450" t="s">
        <v>35644</v>
      </c>
      <c r="J5400" s="450" t="s">
        <v>23133</v>
      </c>
      <c r="K5400" s="450"/>
    </row>
    <row r="5401" spans="1:11">
      <c r="A5401" s="451" t="s">
        <v>9081</v>
      </c>
      <c r="B5401" s="451"/>
      <c r="C5401" s="451" t="s">
        <v>9082</v>
      </c>
      <c r="D5401" s="451"/>
      <c r="E5401" s="451"/>
      <c r="F5401" s="451"/>
      <c r="G5401" s="451" t="s">
        <v>22882</v>
      </c>
      <c r="H5401" s="451" t="s">
        <v>22883</v>
      </c>
      <c r="I5401" s="451" t="s">
        <v>35645</v>
      </c>
      <c r="J5401" s="451" t="s">
        <v>35646</v>
      </c>
      <c r="K5401" s="451"/>
    </row>
    <row r="5402" spans="1:11">
      <c r="A5402" s="450" t="s">
        <v>35647</v>
      </c>
      <c r="B5402" s="450"/>
      <c r="C5402" s="450" t="s">
        <v>35648</v>
      </c>
      <c r="D5402" s="450"/>
      <c r="E5402" s="450"/>
      <c r="F5402" s="450"/>
      <c r="G5402" s="450" t="s">
        <v>22877</v>
      </c>
      <c r="H5402" s="450" t="s">
        <v>22878</v>
      </c>
      <c r="I5402" s="450" t="s">
        <v>35645</v>
      </c>
      <c r="J5402" s="450" t="s">
        <v>23133</v>
      </c>
      <c r="K5402" s="450"/>
    </row>
    <row r="5403" spans="1:11">
      <c r="A5403" s="451" t="s">
        <v>9083</v>
      </c>
      <c r="B5403" s="451"/>
      <c r="C5403" s="451" t="s">
        <v>9084</v>
      </c>
      <c r="D5403" s="451"/>
      <c r="E5403" s="451"/>
      <c r="F5403" s="451"/>
      <c r="G5403" s="451" t="s">
        <v>22877</v>
      </c>
      <c r="H5403" s="451" t="s">
        <v>22878</v>
      </c>
      <c r="I5403" s="451" t="s">
        <v>25953</v>
      </c>
      <c r="J5403" s="451" t="s">
        <v>23133</v>
      </c>
      <c r="K5403" s="451"/>
    </row>
    <row r="5404" spans="1:11">
      <c r="A5404" s="450" t="s">
        <v>9085</v>
      </c>
      <c r="B5404" s="450" t="s">
        <v>25954</v>
      </c>
      <c r="C5404" s="450" t="s">
        <v>9087</v>
      </c>
      <c r="D5404" s="450" t="s">
        <v>9088</v>
      </c>
      <c r="E5404" s="450"/>
      <c r="F5404" s="450"/>
      <c r="G5404" s="450" t="s">
        <v>22882</v>
      </c>
      <c r="H5404" s="450" t="s">
        <v>22883</v>
      </c>
      <c r="I5404" s="450" t="s">
        <v>9088</v>
      </c>
      <c r="J5404" s="450" t="s">
        <v>25955</v>
      </c>
      <c r="K5404" s="450"/>
    </row>
    <row r="5405" spans="1:11">
      <c r="A5405" s="451" t="s">
        <v>9085</v>
      </c>
      <c r="B5405" s="451" t="s">
        <v>9086</v>
      </c>
      <c r="C5405" s="451" t="s">
        <v>9087</v>
      </c>
      <c r="D5405" s="451" t="s">
        <v>9088</v>
      </c>
      <c r="E5405" s="451" t="s">
        <v>9089</v>
      </c>
      <c r="F5405" s="451"/>
      <c r="G5405" s="451" t="s">
        <v>22882</v>
      </c>
      <c r="H5405" s="451" t="s">
        <v>22883</v>
      </c>
      <c r="I5405" s="451" t="s">
        <v>31456</v>
      </c>
      <c r="J5405" s="451" t="s">
        <v>31457</v>
      </c>
      <c r="K5405" s="451"/>
    </row>
    <row r="5406" spans="1:11">
      <c r="A5406" s="450" t="s">
        <v>25956</v>
      </c>
      <c r="B5406" s="450"/>
      <c r="C5406" s="450" t="s">
        <v>9091</v>
      </c>
      <c r="D5406" s="450"/>
      <c r="E5406" s="450"/>
      <c r="F5406" s="450"/>
      <c r="G5406" s="450" t="s">
        <v>22877</v>
      </c>
      <c r="H5406" s="450" t="s">
        <v>22878</v>
      </c>
      <c r="I5406" s="450" t="s">
        <v>25957</v>
      </c>
      <c r="J5406" s="450" t="s">
        <v>22997</v>
      </c>
      <c r="K5406" s="450"/>
    </row>
    <row r="5407" spans="1:11">
      <c r="A5407" s="451" t="s">
        <v>25958</v>
      </c>
      <c r="B5407" s="451" t="s">
        <v>9097</v>
      </c>
      <c r="C5407" s="451" t="s">
        <v>9098</v>
      </c>
      <c r="D5407" s="451" t="s">
        <v>9099</v>
      </c>
      <c r="E5407" s="451"/>
      <c r="F5407" s="451" t="s">
        <v>9101</v>
      </c>
      <c r="G5407" s="451" t="s">
        <v>22877</v>
      </c>
      <c r="H5407" s="451" t="s">
        <v>22878</v>
      </c>
      <c r="I5407" s="451" t="s">
        <v>9099</v>
      </c>
      <c r="J5407" s="451" t="s">
        <v>25959</v>
      </c>
      <c r="K5407" s="451"/>
    </row>
    <row r="5408" spans="1:11">
      <c r="A5408" s="450" t="s">
        <v>25960</v>
      </c>
      <c r="B5408" s="450" t="s">
        <v>9093</v>
      </c>
      <c r="C5408" s="450" t="s">
        <v>3310</v>
      </c>
      <c r="D5408" s="450" t="s">
        <v>9094</v>
      </c>
      <c r="E5408" s="450"/>
      <c r="F5408" s="450"/>
      <c r="G5408" s="450" t="s">
        <v>22877</v>
      </c>
      <c r="H5408" s="450" t="s">
        <v>22878</v>
      </c>
      <c r="I5408" s="450" t="s">
        <v>9094</v>
      </c>
      <c r="J5408" s="450" t="s">
        <v>25961</v>
      </c>
      <c r="K5408" s="450"/>
    </row>
    <row r="5409" spans="1:11">
      <c r="A5409" s="451" t="s">
        <v>9090</v>
      </c>
      <c r="B5409" s="451"/>
      <c r="C5409" s="451" t="s">
        <v>9091</v>
      </c>
      <c r="D5409" s="451"/>
      <c r="E5409" s="451"/>
      <c r="F5409" s="451"/>
      <c r="G5409" s="451" t="s">
        <v>22877</v>
      </c>
      <c r="H5409" s="451" t="s">
        <v>22878</v>
      </c>
      <c r="I5409" s="451" t="s">
        <v>25957</v>
      </c>
      <c r="J5409" s="451" t="s">
        <v>22939</v>
      </c>
      <c r="K5409" s="451"/>
    </row>
    <row r="5410" spans="1:11">
      <c r="A5410" s="450" t="s">
        <v>9092</v>
      </c>
      <c r="B5410" s="450" t="s">
        <v>9093</v>
      </c>
      <c r="C5410" s="450" t="s">
        <v>3310</v>
      </c>
      <c r="D5410" s="450" t="s">
        <v>9094</v>
      </c>
      <c r="E5410" s="450" t="s">
        <v>9095</v>
      </c>
      <c r="F5410" s="450"/>
      <c r="G5410" s="450" t="s">
        <v>22877</v>
      </c>
      <c r="H5410" s="450" t="s">
        <v>22878</v>
      </c>
      <c r="I5410" s="450" t="s">
        <v>31458</v>
      </c>
      <c r="J5410" s="450" t="s">
        <v>31459</v>
      </c>
      <c r="K5410" s="450"/>
    </row>
    <row r="5411" spans="1:11">
      <c r="A5411" s="451" t="s">
        <v>9096</v>
      </c>
      <c r="B5411" s="451" t="s">
        <v>9097</v>
      </c>
      <c r="C5411" s="451" t="s">
        <v>9098</v>
      </c>
      <c r="D5411" s="451" t="s">
        <v>9099</v>
      </c>
      <c r="E5411" s="451" t="s">
        <v>9100</v>
      </c>
      <c r="F5411" s="451" t="s">
        <v>9101</v>
      </c>
      <c r="G5411" s="451" t="s">
        <v>22877</v>
      </c>
      <c r="H5411" s="451" t="s">
        <v>22878</v>
      </c>
      <c r="I5411" s="451" t="s">
        <v>25957</v>
      </c>
      <c r="J5411" s="451" t="s">
        <v>31460</v>
      </c>
      <c r="K5411" s="451"/>
    </row>
    <row r="5412" spans="1:11">
      <c r="A5412" s="450" t="s">
        <v>9102</v>
      </c>
      <c r="B5412" s="450"/>
      <c r="C5412" s="450" t="s">
        <v>9103</v>
      </c>
      <c r="D5412" s="450"/>
      <c r="E5412" s="450"/>
      <c r="F5412" s="450"/>
      <c r="G5412" s="450" t="s">
        <v>22882</v>
      </c>
      <c r="H5412" s="450" t="s">
        <v>22883</v>
      </c>
      <c r="I5412" s="450" t="s">
        <v>35649</v>
      </c>
      <c r="J5412" s="450" t="s">
        <v>22939</v>
      </c>
      <c r="K5412" s="450"/>
    </row>
    <row r="5413" spans="1:11">
      <c r="A5413" s="451" t="s">
        <v>21729</v>
      </c>
      <c r="B5413" s="451"/>
      <c r="C5413" s="451" t="s">
        <v>9104</v>
      </c>
      <c r="D5413" s="451"/>
      <c r="E5413" s="451"/>
      <c r="F5413" s="451"/>
      <c r="G5413" s="451" t="s">
        <v>22877</v>
      </c>
      <c r="H5413" s="451" t="s">
        <v>22878</v>
      </c>
      <c r="I5413" s="451" t="s">
        <v>25962</v>
      </c>
      <c r="J5413" s="451" t="s">
        <v>22943</v>
      </c>
      <c r="K5413" s="451"/>
    </row>
    <row r="5414" spans="1:11">
      <c r="A5414" s="450" t="s">
        <v>9105</v>
      </c>
      <c r="B5414" s="450" t="s">
        <v>35650</v>
      </c>
      <c r="C5414" s="450" t="s">
        <v>9107</v>
      </c>
      <c r="D5414" s="450"/>
      <c r="E5414" s="450"/>
      <c r="F5414" s="450"/>
      <c r="G5414" s="450" t="s">
        <v>22882</v>
      </c>
      <c r="H5414" s="450" t="s">
        <v>22883</v>
      </c>
      <c r="I5414" s="450" t="s">
        <v>25963</v>
      </c>
      <c r="J5414" s="450" t="s">
        <v>35651</v>
      </c>
      <c r="K5414" s="450"/>
    </row>
    <row r="5415" spans="1:11">
      <c r="A5415" s="451" t="s">
        <v>9105</v>
      </c>
      <c r="B5415" s="451" t="s">
        <v>9106</v>
      </c>
      <c r="C5415" s="451" t="s">
        <v>9107</v>
      </c>
      <c r="D5415" s="451"/>
      <c r="E5415" s="451"/>
      <c r="F5415" s="451"/>
      <c r="G5415" s="451" t="s">
        <v>22877</v>
      </c>
      <c r="H5415" s="451" t="s">
        <v>22878</v>
      </c>
      <c r="I5415" s="451" t="s">
        <v>25963</v>
      </c>
      <c r="J5415" s="451" t="s">
        <v>31461</v>
      </c>
      <c r="K5415" s="451"/>
    </row>
    <row r="5416" spans="1:11">
      <c r="A5416" s="450" t="s">
        <v>31462</v>
      </c>
      <c r="B5416" s="450" t="s">
        <v>25964</v>
      </c>
      <c r="C5416" s="450" t="s">
        <v>25965</v>
      </c>
      <c r="D5416" s="450" t="s">
        <v>25966</v>
      </c>
      <c r="E5416" s="450"/>
      <c r="F5416" s="450"/>
      <c r="G5416" s="450" t="s">
        <v>22877</v>
      </c>
      <c r="H5416" s="450" t="s">
        <v>22878</v>
      </c>
      <c r="I5416" s="450" t="s">
        <v>25966</v>
      </c>
      <c r="J5416" s="450" t="s">
        <v>25967</v>
      </c>
      <c r="K5416" s="450"/>
    </row>
    <row r="5417" spans="1:11">
      <c r="A5417" s="451" t="s">
        <v>25968</v>
      </c>
      <c r="B5417" s="451" t="s">
        <v>19236</v>
      </c>
      <c r="C5417" s="451" t="s">
        <v>25969</v>
      </c>
      <c r="D5417" s="451" t="s">
        <v>25970</v>
      </c>
      <c r="E5417" s="451"/>
      <c r="F5417" s="451"/>
      <c r="G5417" s="451" t="s">
        <v>22877</v>
      </c>
      <c r="H5417" s="451" t="s">
        <v>22878</v>
      </c>
      <c r="I5417" s="451" t="s">
        <v>25971</v>
      </c>
      <c r="J5417" s="451" t="s">
        <v>25972</v>
      </c>
      <c r="K5417" s="451"/>
    </row>
    <row r="5418" spans="1:11">
      <c r="A5418" s="450" t="s">
        <v>9108</v>
      </c>
      <c r="B5418" s="450"/>
      <c r="C5418" s="450" t="s">
        <v>9109</v>
      </c>
      <c r="D5418" s="450"/>
      <c r="E5418" s="450"/>
      <c r="F5418" s="450"/>
      <c r="G5418" s="450" t="s">
        <v>22877</v>
      </c>
      <c r="H5418" s="450" t="s">
        <v>22878</v>
      </c>
      <c r="I5418" s="450" t="s">
        <v>25973</v>
      </c>
      <c r="J5418" s="450" t="s">
        <v>22997</v>
      </c>
      <c r="K5418" s="450"/>
    </row>
    <row r="5419" spans="1:11">
      <c r="A5419" s="451" t="s">
        <v>9110</v>
      </c>
      <c r="B5419" s="451"/>
      <c r="C5419" s="451" t="s">
        <v>2942</v>
      </c>
      <c r="D5419" s="451"/>
      <c r="E5419" s="451"/>
      <c r="F5419" s="451"/>
      <c r="G5419" s="451" t="s">
        <v>22882</v>
      </c>
      <c r="H5419" s="451" t="s">
        <v>22883</v>
      </c>
      <c r="I5419" s="451"/>
      <c r="J5419" s="451" t="s">
        <v>23121</v>
      </c>
      <c r="K5419" s="451"/>
    </row>
    <row r="5420" spans="1:11">
      <c r="A5420" s="450" t="s">
        <v>9111</v>
      </c>
      <c r="B5420" s="450" t="s">
        <v>9112</v>
      </c>
      <c r="C5420" s="450" t="s">
        <v>9113</v>
      </c>
      <c r="D5420" s="450" t="s">
        <v>9114</v>
      </c>
      <c r="E5420" s="450"/>
      <c r="F5420" s="450"/>
      <c r="G5420" s="450" t="s">
        <v>22882</v>
      </c>
      <c r="H5420" s="450" t="s">
        <v>22883</v>
      </c>
      <c r="I5420" s="450"/>
      <c r="J5420" s="450" t="s">
        <v>35652</v>
      </c>
      <c r="K5420" s="450"/>
    </row>
    <row r="5421" spans="1:11">
      <c r="A5421" s="451" t="s">
        <v>9111</v>
      </c>
      <c r="B5421" s="451" t="s">
        <v>9112</v>
      </c>
      <c r="C5421" s="451" t="s">
        <v>9113</v>
      </c>
      <c r="D5421" s="451" t="s">
        <v>9114</v>
      </c>
      <c r="E5421" s="451" t="s">
        <v>9115</v>
      </c>
      <c r="F5421" s="451"/>
      <c r="G5421" s="451" t="s">
        <v>22882</v>
      </c>
      <c r="H5421" s="451" t="s">
        <v>22883</v>
      </c>
      <c r="I5421" s="451" t="s">
        <v>9114</v>
      </c>
      <c r="J5421" s="451" t="s">
        <v>31463</v>
      </c>
      <c r="K5421" s="451"/>
    </row>
    <row r="5422" spans="1:11">
      <c r="A5422" s="450" t="s">
        <v>25974</v>
      </c>
      <c r="B5422" s="450" t="s">
        <v>25975</v>
      </c>
      <c r="C5422" s="450" t="s">
        <v>9119</v>
      </c>
      <c r="D5422" s="450"/>
      <c r="E5422" s="450"/>
      <c r="F5422" s="450"/>
      <c r="G5422" s="450" t="s">
        <v>22882</v>
      </c>
      <c r="H5422" s="450" t="s">
        <v>22883</v>
      </c>
      <c r="I5422" s="450" t="s">
        <v>25976</v>
      </c>
      <c r="J5422" s="450" t="s">
        <v>25977</v>
      </c>
      <c r="K5422" s="450"/>
    </row>
    <row r="5423" spans="1:11">
      <c r="A5423" s="451" t="s">
        <v>35653</v>
      </c>
      <c r="B5423" s="451"/>
      <c r="C5423" s="451" t="s">
        <v>9121</v>
      </c>
      <c r="D5423" s="451"/>
      <c r="E5423" s="451"/>
      <c r="F5423" s="451"/>
      <c r="G5423" s="451" t="s">
        <v>22877</v>
      </c>
      <c r="H5423" s="451" t="s">
        <v>22878</v>
      </c>
      <c r="I5423" s="451" t="s">
        <v>35654</v>
      </c>
      <c r="J5423" s="451" t="s">
        <v>23121</v>
      </c>
      <c r="K5423" s="451"/>
    </row>
    <row r="5424" spans="1:11">
      <c r="A5424" s="450" t="s">
        <v>35655</v>
      </c>
      <c r="B5424" s="450"/>
      <c r="C5424" s="450" t="s">
        <v>6230</v>
      </c>
      <c r="D5424" s="450"/>
      <c r="E5424" s="450"/>
      <c r="F5424" s="450"/>
      <c r="G5424" s="450" t="s">
        <v>22882</v>
      </c>
      <c r="H5424" s="450" t="s">
        <v>22883</v>
      </c>
      <c r="I5424" s="450" t="s">
        <v>25978</v>
      </c>
      <c r="J5424" s="450" t="s">
        <v>22943</v>
      </c>
      <c r="K5424" s="450"/>
    </row>
    <row r="5425" spans="1:11">
      <c r="A5425" s="451" t="s">
        <v>9116</v>
      </c>
      <c r="B5425" s="451"/>
      <c r="C5425" s="451" t="s">
        <v>6230</v>
      </c>
      <c r="D5425" s="451"/>
      <c r="E5425" s="451"/>
      <c r="F5425" s="451"/>
      <c r="G5425" s="451" t="s">
        <v>22877</v>
      </c>
      <c r="H5425" s="451" t="s">
        <v>22878</v>
      </c>
      <c r="I5425" s="451" t="s">
        <v>25978</v>
      </c>
      <c r="J5425" s="451" t="s">
        <v>23185</v>
      </c>
      <c r="K5425" s="451"/>
    </row>
    <row r="5426" spans="1:11">
      <c r="A5426" s="450" t="s">
        <v>9117</v>
      </c>
      <c r="B5426" s="450" t="s">
        <v>9118</v>
      </c>
      <c r="C5426" s="450" t="s">
        <v>9119</v>
      </c>
      <c r="D5426" s="450"/>
      <c r="E5426" s="450"/>
      <c r="F5426" s="450"/>
      <c r="G5426" s="450" t="s">
        <v>22882</v>
      </c>
      <c r="H5426" s="450" t="s">
        <v>22883</v>
      </c>
      <c r="I5426" s="450" t="s">
        <v>25976</v>
      </c>
      <c r="J5426" s="450" t="s">
        <v>31464</v>
      </c>
      <c r="K5426" s="450"/>
    </row>
    <row r="5427" spans="1:11">
      <c r="A5427" s="451" t="s">
        <v>9120</v>
      </c>
      <c r="B5427" s="451"/>
      <c r="C5427" s="451" t="s">
        <v>9121</v>
      </c>
      <c r="D5427" s="451"/>
      <c r="E5427" s="451"/>
      <c r="F5427" s="451"/>
      <c r="G5427" s="451" t="s">
        <v>22877</v>
      </c>
      <c r="H5427" s="451" t="s">
        <v>22878</v>
      </c>
      <c r="I5427" s="451" t="s">
        <v>35654</v>
      </c>
      <c r="J5427" s="451" t="s">
        <v>23185</v>
      </c>
      <c r="K5427" s="451"/>
    </row>
    <row r="5428" spans="1:11">
      <c r="A5428" s="450" t="s">
        <v>9122</v>
      </c>
      <c r="B5428" s="450"/>
      <c r="C5428" s="450" t="s">
        <v>5685</v>
      </c>
      <c r="D5428" s="450"/>
      <c r="E5428" s="450"/>
      <c r="F5428" s="450"/>
      <c r="G5428" s="450" t="s">
        <v>22882</v>
      </c>
      <c r="H5428" s="450" t="s">
        <v>22883</v>
      </c>
      <c r="I5428" s="450" t="s">
        <v>25979</v>
      </c>
      <c r="J5428" s="450" t="s">
        <v>22939</v>
      </c>
      <c r="K5428" s="450"/>
    </row>
    <row r="5429" spans="1:11">
      <c r="A5429" s="451" t="s">
        <v>9123</v>
      </c>
      <c r="B5429" s="451"/>
      <c r="C5429" s="451" t="s">
        <v>9124</v>
      </c>
      <c r="D5429" s="451"/>
      <c r="E5429" s="451"/>
      <c r="F5429" s="451"/>
      <c r="G5429" s="451" t="s">
        <v>22882</v>
      </c>
      <c r="H5429" s="451" t="s">
        <v>22883</v>
      </c>
      <c r="I5429" s="451"/>
      <c r="J5429" s="451" t="s">
        <v>22939</v>
      </c>
      <c r="K5429" s="451"/>
    </row>
    <row r="5430" spans="1:11">
      <c r="A5430" s="450" t="s">
        <v>9125</v>
      </c>
      <c r="B5430" s="450" t="s">
        <v>9126</v>
      </c>
      <c r="C5430" s="450" t="s">
        <v>9127</v>
      </c>
      <c r="D5430" s="450"/>
      <c r="E5430" s="450"/>
      <c r="F5430" s="450" t="s">
        <v>6000</v>
      </c>
      <c r="G5430" s="450" t="s">
        <v>22877</v>
      </c>
      <c r="H5430" s="450" t="s">
        <v>22878</v>
      </c>
      <c r="I5430" s="450" t="s">
        <v>25983</v>
      </c>
      <c r="J5430" s="450" t="s">
        <v>35656</v>
      </c>
      <c r="K5430" s="450"/>
    </row>
    <row r="5431" spans="1:11">
      <c r="A5431" s="451" t="s">
        <v>25980</v>
      </c>
      <c r="B5431" s="451" t="s">
        <v>25981</v>
      </c>
      <c r="C5431" s="451" t="s">
        <v>25982</v>
      </c>
      <c r="D5431" s="451"/>
      <c r="E5431" s="451"/>
      <c r="F5431" s="451" t="s">
        <v>6000</v>
      </c>
      <c r="G5431" s="451" t="s">
        <v>22877</v>
      </c>
      <c r="H5431" s="451" t="s">
        <v>22878</v>
      </c>
      <c r="I5431" s="451" t="s">
        <v>25983</v>
      </c>
      <c r="J5431" s="451" t="s">
        <v>25984</v>
      </c>
      <c r="K5431" s="451"/>
    </row>
    <row r="5432" spans="1:11">
      <c r="A5432" s="450" t="s">
        <v>35657</v>
      </c>
      <c r="B5432" s="450"/>
      <c r="C5432" s="450" t="s">
        <v>2194</v>
      </c>
      <c r="D5432" s="450"/>
      <c r="E5432" s="450"/>
      <c r="F5432" s="450"/>
      <c r="G5432" s="450" t="s">
        <v>22882</v>
      </c>
      <c r="H5432" s="450" t="s">
        <v>22883</v>
      </c>
      <c r="I5432" s="450"/>
      <c r="J5432" s="450" t="s">
        <v>22997</v>
      </c>
      <c r="K5432" s="450"/>
    </row>
    <row r="5433" spans="1:11">
      <c r="A5433" s="451" t="s">
        <v>9128</v>
      </c>
      <c r="B5433" s="451"/>
      <c r="C5433" s="451" t="s">
        <v>2194</v>
      </c>
      <c r="D5433" s="451"/>
      <c r="E5433" s="451"/>
      <c r="F5433" s="451"/>
      <c r="G5433" s="451" t="s">
        <v>22882</v>
      </c>
      <c r="H5433" s="451" t="s">
        <v>22883</v>
      </c>
      <c r="I5433" s="451"/>
      <c r="J5433" s="451" t="s">
        <v>23185</v>
      </c>
      <c r="K5433" s="451"/>
    </row>
    <row r="5434" spans="1:11">
      <c r="A5434" s="450" t="s">
        <v>9129</v>
      </c>
      <c r="B5434" s="450"/>
      <c r="C5434" s="450" t="s">
        <v>2702</v>
      </c>
      <c r="D5434" s="450"/>
      <c r="E5434" s="450"/>
      <c r="F5434" s="450"/>
      <c r="G5434" s="450" t="s">
        <v>22882</v>
      </c>
      <c r="H5434" s="450" t="s">
        <v>22883</v>
      </c>
      <c r="I5434" s="450"/>
      <c r="J5434" s="450" t="s">
        <v>23121</v>
      </c>
      <c r="K5434" s="450"/>
    </row>
    <row r="5435" spans="1:11">
      <c r="A5435" s="451" t="s">
        <v>9130</v>
      </c>
      <c r="B5435" s="451"/>
      <c r="C5435" s="451" t="s">
        <v>9131</v>
      </c>
      <c r="D5435" s="451"/>
      <c r="E5435" s="451"/>
      <c r="F5435" s="451"/>
      <c r="G5435" s="451" t="s">
        <v>22877</v>
      </c>
      <c r="H5435" s="451" t="s">
        <v>22878</v>
      </c>
      <c r="I5435" s="451" t="s">
        <v>35658</v>
      </c>
      <c r="J5435" s="451" t="s">
        <v>22939</v>
      </c>
      <c r="K5435" s="451"/>
    </row>
    <row r="5436" spans="1:11">
      <c r="A5436" s="450" t="s">
        <v>9132</v>
      </c>
      <c r="B5436" s="450"/>
      <c r="C5436" s="450" t="s">
        <v>9133</v>
      </c>
      <c r="D5436" s="450"/>
      <c r="E5436" s="450"/>
      <c r="F5436" s="450"/>
      <c r="G5436" s="450" t="s">
        <v>22877</v>
      </c>
      <c r="H5436" s="450" t="s">
        <v>22878</v>
      </c>
      <c r="I5436" s="450" t="s">
        <v>35659</v>
      </c>
      <c r="J5436" s="450" t="s">
        <v>22939</v>
      </c>
      <c r="K5436" s="450"/>
    </row>
    <row r="5437" spans="1:11">
      <c r="A5437" s="451" t="s">
        <v>9134</v>
      </c>
      <c r="B5437" s="451"/>
      <c r="C5437" s="451" t="s">
        <v>9135</v>
      </c>
      <c r="D5437" s="451"/>
      <c r="E5437" s="451"/>
      <c r="F5437" s="451"/>
      <c r="G5437" s="451" t="s">
        <v>22877</v>
      </c>
      <c r="H5437" s="451" t="s">
        <v>22878</v>
      </c>
      <c r="I5437" s="451" t="s">
        <v>25985</v>
      </c>
      <c r="J5437" s="451" t="s">
        <v>22997</v>
      </c>
      <c r="K5437" s="451"/>
    </row>
    <row r="5438" spans="1:11">
      <c r="A5438" s="450" t="s">
        <v>9136</v>
      </c>
      <c r="B5438" s="450" t="s">
        <v>9137</v>
      </c>
      <c r="C5438" s="450" t="s">
        <v>9138</v>
      </c>
      <c r="D5438" s="450"/>
      <c r="E5438" s="450"/>
      <c r="F5438" s="450" t="s">
        <v>9139</v>
      </c>
      <c r="G5438" s="450" t="s">
        <v>22877</v>
      </c>
      <c r="H5438" s="450" t="s">
        <v>22878</v>
      </c>
      <c r="I5438" s="450" t="s">
        <v>25986</v>
      </c>
      <c r="J5438" s="450" t="s">
        <v>25987</v>
      </c>
      <c r="K5438" s="450"/>
    </row>
    <row r="5439" spans="1:11">
      <c r="A5439" s="451" t="s">
        <v>9140</v>
      </c>
      <c r="B5439" s="451"/>
      <c r="C5439" s="451" t="s">
        <v>2110</v>
      </c>
      <c r="D5439" s="451"/>
      <c r="E5439" s="451"/>
      <c r="F5439" s="451"/>
      <c r="G5439" s="451" t="s">
        <v>25988</v>
      </c>
      <c r="H5439" s="451" t="s">
        <v>22878</v>
      </c>
      <c r="I5439" s="451"/>
      <c r="J5439" s="451"/>
      <c r="K5439" s="451"/>
    </row>
    <row r="5440" spans="1:11">
      <c r="A5440" s="450" t="s">
        <v>9141</v>
      </c>
      <c r="B5440" s="450" t="s">
        <v>9142</v>
      </c>
      <c r="C5440" s="450" t="s">
        <v>9143</v>
      </c>
      <c r="D5440" s="450"/>
      <c r="E5440" s="450"/>
      <c r="F5440" s="450"/>
      <c r="G5440" s="450" t="s">
        <v>22877</v>
      </c>
      <c r="H5440" s="450" t="s">
        <v>22878</v>
      </c>
      <c r="I5440" s="450" t="s">
        <v>25989</v>
      </c>
      <c r="J5440" s="450" t="s">
        <v>25990</v>
      </c>
      <c r="K5440" s="450"/>
    </row>
    <row r="5441" spans="1:11">
      <c r="A5441" s="451" t="s">
        <v>9144</v>
      </c>
      <c r="B5441" s="451"/>
      <c r="C5441" s="451" t="s">
        <v>2936</v>
      </c>
      <c r="D5441" s="451"/>
      <c r="E5441" s="451"/>
      <c r="F5441" s="451"/>
      <c r="G5441" s="451" t="s">
        <v>22882</v>
      </c>
      <c r="H5441" s="451" t="s">
        <v>22883</v>
      </c>
      <c r="I5441" s="451" t="s">
        <v>25991</v>
      </c>
      <c r="J5441" s="451" t="s">
        <v>22939</v>
      </c>
      <c r="K5441" s="451"/>
    </row>
    <row r="5442" spans="1:11">
      <c r="A5442" s="450" t="s">
        <v>9145</v>
      </c>
      <c r="B5442" s="450" t="s">
        <v>9146</v>
      </c>
      <c r="C5442" s="450" t="s">
        <v>4073</v>
      </c>
      <c r="D5442" s="450" t="s">
        <v>9147</v>
      </c>
      <c r="E5442" s="450"/>
      <c r="F5442" s="450"/>
      <c r="G5442" s="450" t="s">
        <v>22877</v>
      </c>
      <c r="H5442" s="450" t="s">
        <v>22878</v>
      </c>
      <c r="I5442" s="450" t="s">
        <v>9147</v>
      </c>
      <c r="J5442" s="450" t="s">
        <v>25992</v>
      </c>
      <c r="K5442" s="450"/>
    </row>
    <row r="5443" spans="1:11">
      <c r="A5443" s="451" t="s">
        <v>9148</v>
      </c>
      <c r="B5443" s="451"/>
      <c r="C5443" s="451" t="s">
        <v>1421</v>
      </c>
      <c r="D5443" s="451"/>
      <c r="E5443" s="451"/>
      <c r="F5443" s="451"/>
      <c r="G5443" s="451" t="s">
        <v>22877</v>
      </c>
      <c r="H5443" s="451" t="s">
        <v>22878</v>
      </c>
      <c r="I5443" s="451" t="s">
        <v>35660</v>
      </c>
      <c r="J5443" s="451" t="s">
        <v>23133</v>
      </c>
      <c r="K5443" s="451"/>
    </row>
    <row r="5444" spans="1:11">
      <c r="A5444" s="450" t="s">
        <v>9149</v>
      </c>
      <c r="B5444" s="450"/>
      <c r="C5444" s="450" t="s">
        <v>1190</v>
      </c>
      <c r="D5444" s="450"/>
      <c r="E5444" s="450"/>
      <c r="F5444" s="450"/>
      <c r="G5444" s="450" t="s">
        <v>22877</v>
      </c>
      <c r="H5444" s="450" t="s">
        <v>22878</v>
      </c>
      <c r="I5444" s="450" t="s">
        <v>35661</v>
      </c>
      <c r="J5444" s="450" t="s">
        <v>23133</v>
      </c>
      <c r="K5444" s="450"/>
    </row>
    <row r="5445" spans="1:11">
      <c r="A5445" s="451" t="s">
        <v>9150</v>
      </c>
      <c r="B5445" s="451"/>
      <c r="C5445" s="451" t="s">
        <v>1081</v>
      </c>
      <c r="D5445" s="451"/>
      <c r="E5445" s="451"/>
      <c r="F5445" s="451"/>
      <c r="G5445" s="451" t="s">
        <v>22877</v>
      </c>
      <c r="H5445" s="451" t="s">
        <v>22878</v>
      </c>
      <c r="I5445" s="451" t="s">
        <v>25993</v>
      </c>
      <c r="J5445" s="451" t="s">
        <v>22997</v>
      </c>
      <c r="K5445" s="451"/>
    </row>
    <row r="5446" spans="1:11">
      <c r="A5446" s="450" t="s">
        <v>25994</v>
      </c>
      <c r="B5446" s="450" t="s">
        <v>9152</v>
      </c>
      <c r="C5446" s="450" t="s">
        <v>4713</v>
      </c>
      <c r="D5446" s="450" t="s">
        <v>9153</v>
      </c>
      <c r="E5446" s="450"/>
      <c r="F5446" s="450"/>
      <c r="G5446" s="450" t="s">
        <v>22882</v>
      </c>
      <c r="H5446" s="450" t="s">
        <v>22883</v>
      </c>
      <c r="I5446" s="450" t="s">
        <v>9153</v>
      </c>
      <c r="J5446" s="450" t="s">
        <v>25995</v>
      </c>
      <c r="K5446" s="450"/>
    </row>
    <row r="5447" spans="1:11">
      <c r="A5447" s="451" t="s">
        <v>21730</v>
      </c>
      <c r="B5447" s="451"/>
      <c r="C5447" s="451" t="s">
        <v>9151</v>
      </c>
      <c r="D5447" s="451"/>
      <c r="E5447" s="451"/>
      <c r="F5447" s="451"/>
      <c r="G5447" s="451" t="s">
        <v>22882</v>
      </c>
      <c r="H5447" s="451" t="s">
        <v>22883</v>
      </c>
      <c r="I5447" s="451" t="s">
        <v>25996</v>
      </c>
      <c r="J5447" s="451" t="s">
        <v>22997</v>
      </c>
      <c r="K5447" s="451"/>
    </row>
    <row r="5448" spans="1:11">
      <c r="A5448" s="450" t="s">
        <v>21731</v>
      </c>
      <c r="B5448" s="450" t="s">
        <v>9152</v>
      </c>
      <c r="C5448" s="450" t="s">
        <v>4713</v>
      </c>
      <c r="D5448" s="450" t="s">
        <v>9153</v>
      </c>
      <c r="E5448" s="450" t="s">
        <v>9154</v>
      </c>
      <c r="F5448" s="450"/>
      <c r="G5448" s="450" t="s">
        <v>22877</v>
      </c>
      <c r="H5448" s="450" t="s">
        <v>22878</v>
      </c>
      <c r="I5448" s="450" t="s">
        <v>31465</v>
      </c>
      <c r="J5448" s="450" t="s">
        <v>25995</v>
      </c>
      <c r="K5448" s="450"/>
    </row>
    <row r="5449" spans="1:11">
      <c r="A5449" s="451" t="s">
        <v>9155</v>
      </c>
      <c r="B5449" s="451" t="s">
        <v>9156</v>
      </c>
      <c r="C5449" s="451" t="s">
        <v>9157</v>
      </c>
      <c r="D5449" s="451" t="s">
        <v>9158</v>
      </c>
      <c r="E5449" s="451"/>
      <c r="F5449" s="451"/>
      <c r="G5449" s="451" t="s">
        <v>22877</v>
      </c>
      <c r="H5449" s="451" t="s">
        <v>22878</v>
      </c>
      <c r="I5449" s="451" t="s">
        <v>35662</v>
      </c>
      <c r="J5449" s="451" t="s">
        <v>35663</v>
      </c>
      <c r="K5449" s="451"/>
    </row>
    <row r="5450" spans="1:11">
      <c r="A5450" s="450" t="s">
        <v>9155</v>
      </c>
      <c r="B5450" s="450" t="s">
        <v>9156</v>
      </c>
      <c r="C5450" s="450" t="s">
        <v>9157</v>
      </c>
      <c r="D5450" s="450" t="s">
        <v>9158</v>
      </c>
      <c r="E5450" s="450" t="s">
        <v>9159</v>
      </c>
      <c r="F5450" s="450"/>
      <c r="G5450" s="450" t="s">
        <v>22877</v>
      </c>
      <c r="H5450" s="450" t="s">
        <v>22878</v>
      </c>
      <c r="I5450" s="450" t="s">
        <v>31466</v>
      </c>
      <c r="J5450" s="450" t="s">
        <v>31467</v>
      </c>
      <c r="K5450" s="450"/>
    </row>
    <row r="5451" spans="1:11">
      <c r="A5451" s="451" t="s">
        <v>9160</v>
      </c>
      <c r="B5451" s="451"/>
      <c r="C5451" s="451" t="s">
        <v>9161</v>
      </c>
      <c r="D5451" s="451"/>
      <c r="E5451" s="451"/>
      <c r="F5451" s="451"/>
      <c r="G5451" s="451" t="s">
        <v>22882</v>
      </c>
      <c r="H5451" s="451" t="s">
        <v>22883</v>
      </c>
      <c r="I5451" s="451"/>
      <c r="J5451" s="451" t="s">
        <v>22939</v>
      </c>
      <c r="K5451" s="451"/>
    </row>
    <row r="5452" spans="1:11">
      <c r="A5452" s="450" t="s">
        <v>9162</v>
      </c>
      <c r="B5452" s="450"/>
      <c r="C5452" s="450" t="s">
        <v>9163</v>
      </c>
      <c r="D5452" s="450"/>
      <c r="E5452" s="450"/>
      <c r="F5452" s="450"/>
      <c r="G5452" s="450" t="s">
        <v>22882</v>
      </c>
      <c r="H5452" s="450" t="s">
        <v>22883</v>
      </c>
      <c r="I5452" s="450" t="s">
        <v>35664</v>
      </c>
      <c r="J5452" s="450" t="s">
        <v>23370</v>
      </c>
      <c r="K5452" s="450"/>
    </row>
    <row r="5453" spans="1:11">
      <c r="A5453" s="451" t="s">
        <v>9164</v>
      </c>
      <c r="B5453" s="451"/>
      <c r="C5453" s="451" t="s">
        <v>9165</v>
      </c>
      <c r="D5453" s="451"/>
      <c r="E5453" s="451"/>
      <c r="F5453" s="451"/>
      <c r="G5453" s="451" t="s">
        <v>22877</v>
      </c>
      <c r="H5453" s="451" t="s">
        <v>22878</v>
      </c>
      <c r="I5453" s="451" t="s">
        <v>25997</v>
      </c>
      <c r="J5453" s="451" t="s">
        <v>23185</v>
      </c>
      <c r="K5453" s="451"/>
    </row>
    <row r="5454" spans="1:11">
      <c r="A5454" s="450" t="s">
        <v>9166</v>
      </c>
      <c r="B5454" s="450" t="s">
        <v>9167</v>
      </c>
      <c r="C5454" s="450" t="s">
        <v>8753</v>
      </c>
      <c r="D5454" s="450"/>
      <c r="E5454" s="450"/>
      <c r="F5454" s="450"/>
      <c r="G5454" s="450" t="s">
        <v>22877</v>
      </c>
      <c r="H5454" s="450" t="s">
        <v>22878</v>
      </c>
      <c r="I5454" s="450" t="s">
        <v>25998</v>
      </c>
      <c r="J5454" s="450" t="s">
        <v>25999</v>
      </c>
      <c r="K5454" s="450"/>
    </row>
    <row r="5455" spans="1:11">
      <c r="A5455" s="451" t="s">
        <v>9168</v>
      </c>
      <c r="B5455" s="451" t="s">
        <v>9169</v>
      </c>
      <c r="C5455" s="451" t="s">
        <v>5108</v>
      </c>
      <c r="D5455" s="451" t="s">
        <v>9170</v>
      </c>
      <c r="E5455" s="451">
        <v>3208644869</v>
      </c>
      <c r="F5455" s="451"/>
      <c r="G5455" s="451" t="s">
        <v>22882</v>
      </c>
      <c r="H5455" s="451" t="s">
        <v>22883</v>
      </c>
      <c r="I5455" s="451" t="s">
        <v>31468</v>
      </c>
      <c r="J5455" s="451" t="s">
        <v>31469</v>
      </c>
      <c r="K5455" s="451"/>
    </row>
    <row r="5456" spans="1:11">
      <c r="A5456" s="450" t="s">
        <v>9168</v>
      </c>
      <c r="B5456" s="450"/>
      <c r="C5456" s="450" t="s">
        <v>9171</v>
      </c>
      <c r="D5456" s="450" t="s">
        <v>9172</v>
      </c>
      <c r="E5456" s="450" t="s">
        <v>9173</v>
      </c>
      <c r="F5456" s="450"/>
      <c r="G5456" s="450" t="s">
        <v>22877</v>
      </c>
      <c r="H5456" s="450" t="s">
        <v>22878</v>
      </c>
      <c r="I5456" s="450" t="s">
        <v>31470</v>
      </c>
      <c r="J5456" s="450" t="s">
        <v>31471</v>
      </c>
      <c r="K5456" s="450"/>
    </row>
    <row r="5457" spans="1:11">
      <c r="A5457" s="451" t="s">
        <v>26000</v>
      </c>
      <c r="B5457" s="451" t="s">
        <v>9175</v>
      </c>
      <c r="C5457" s="451" t="s">
        <v>9176</v>
      </c>
      <c r="D5457" s="451" t="s">
        <v>9177</v>
      </c>
      <c r="E5457" s="451"/>
      <c r="F5457" s="451"/>
      <c r="G5457" s="451" t="s">
        <v>22877</v>
      </c>
      <c r="H5457" s="451" t="s">
        <v>22878</v>
      </c>
      <c r="I5457" s="451" t="s">
        <v>26001</v>
      </c>
      <c r="J5457" s="451" t="s">
        <v>25906</v>
      </c>
      <c r="K5457" s="451"/>
    </row>
    <row r="5458" spans="1:11">
      <c r="A5458" s="450" t="s">
        <v>26002</v>
      </c>
      <c r="B5458" s="450"/>
      <c r="C5458" s="450" t="s">
        <v>9171</v>
      </c>
      <c r="D5458" s="450" t="s">
        <v>9172</v>
      </c>
      <c r="E5458" s="450"/>
      <c r="F5458" s="450"/>
      <c r="G5458" s="450" t="s">
        <v>22877</v>
      </c>
      <c r="H5458" s="450" t="s">
        <v>22878</v>
      </c>
      <c r="I5458" s="450" t="s">
        <v>9172</v>
      </c>
      <c r="J5458" s="450" t="s">
        <v>26003</v>
      </c>
      <c r="K5458" s="450"/>
    </row>
    <row r="5459" spans="1:11">
      <c r="A5459" s="451" t="s">
        <v>9174</v>
      </c>
      <c r="B5459" s="451" t="s">
        <v>9175</v>
      </c>
      <c r="C5459" s="451" t="s">
        <v>9176</v>
      </c>
      <c r="D5459" s="451" t="s">
        <v>9177</v>
      </c>
      <c r="E5459" s="451" t="s">
        <v>9178</v>
      </c>
      <c r="F5459" s="451"/>
      <c r="G5459" s="451" t="s">
        <v>22877</v>
      </c>
      <c r="H5459" s="451" t="s">
        <v>22878</v>
      </c>
      <c r="I5459" s="451" t="s">
        <v>31472</v>
      </c>
      <c r="J5459" s="451" t="s">
        <v>31473</v>
      </c>
      <c r="K5459" s="451"/>
    </row>
    <row r="5460" spans="1:11">
      <c r="A5460" s="450" t="s">
        <v>26004</v>
      </c>
      <c r="B5460" s="450" t="s">
        <v>9169</v>
      </c>
      <c r="C5460" s="450" t="s">
        <v>5108</v>
      </c>
      <c r="D5460" s="450" t="s">
        <v>9170</v>
      </c>
      <c r="E5460" s="450"/>
      <c r="F5460" s="450"/>
      <c r="G5460" s="450" t="s">
        <v>22882</v>
      </c>
      <c r="H5460" s="450" t="s">
        <v>22883</v>
      </c>
      <c r="I5460" s="450"/>
      <c r="J5460" s="450" t="s">
        <v>26005</v>
      </c>
      <c r="K5460" s="450"/>
    </row>
    <row r="5461" spans="1:11">
      <c r="A5461" s="451" t="s">
        <v>9179</v>
      </c>
      <c r="B5461" s="451" t="s">
        <v>26006</v>
      </c>
      <c r="C5461" s="451" t="s">
        <v>9181</v>
      </c>
      <c r="D5461" s="451" t="s">
        <v>9172</v>
      </c>
      <c r="E5461" s="451"/>
      <c r="F5461" s="451"/>
      <c r="G5461" s="451" t="s">
        <v>22877</v>
      </c>
      <c r="H5461" s="451" t="s">
        <v>22878</v>
      </c>
      <c r="I5461" s="451" t="s">
        <v>9172</v>
      </c>
      <c r="J5461" s="451" t="s">
        <v>26007</v>
      </c>
      <c r="K5461" s="451"/>
    </row>
    <row r="5462" spans="1:11">
      <c r="A5462" s="450" t="s">
        <v>9179</v>
      </c>
      <c r="B5462" s="450" t="s">
        <v>9180</v>
      </c>
      <c r="C5462" s="450" t="s">
        <v>9181</v>
      </c>
      <c r="D5462" s="450" t="s">
        <v>9172</v>
      </c>
      <c r="E5462" s="450"/>
      <c r="F5462" s="450"/>
      <c r="G5462" s="450" t="s">
        <v>22877</v>
      </c>
      <c r="H5462" s="450" t="s">
        <v>22878</v>
      </c>
      <c r="I5462" s="450" t="s">
        <v>31470</v>
      </c>
      <c r="J5462" s="450" t="s">
        <v>31474</v>
      </c>
      <c r="K5462" s="450"/>
    </row>
    <row r="5463" spans="1:11">
      <c r="A5463" s="451" t="s">
        <v>9182</v>
      </c>
      <c r="B5463" s="451"/>
      <c r="C5463" s="451" t="s">
        <v>9183</v>
      </c>
      <c r="D5463" s="451"/>
      <c r="E5463" s="451"/>
      <c r="F5463" s="451"/>
      <c r="G5463" s="451" t="s">
        <v>22877</v>
      </c>
      <c r="H5463" s="451" t="s">
        <v>22878</v>
      </c>
      <c r="I5463" s="451" t="s">
        <v>35665</v>
      </c>
      <c r="J5463" s="451" t="s">
        <v>23185</v>
      </c>
      <c r="K5463" s="451"/>
    </row>
    <row r="5464" spans="1:11">
      <c r="A5464" s="450" t="s">
        <v>9184</v>
      </c>
      <c r="B5464" s="450"/>
      <c r="C5464" s="450" t="s">
        <v>6536</v>
      </c>
      <c r="D5464" s="450"/>
      <c r="E5464" s="450"/>
      <c r="F5464" s="450"/>
      <c r="G5464" s="450" t="s">
        <v>22882</v>
      </c>
      <c r="H5464" s="450" t="s">
        <v>22883</v>
      </c>
      <c r="I5464" s="450" t="s">
        <v>26008</v>
      </c>
      <c r="J5464" s="450" t="s">
        <v>23121</v>
      </c>
      <c r="K5464" s="450"/>
    </row>
    <row r="5465" spans="1:11">
      <c r="A5465" s="451" t="s">
        <v>26009</v>
      </c>
      <c r="B5465" s="451" t="s">
        <v>9188</v>
      </c>
      <c r="C5465" s="451" t="s">
        <v>9189</v>
      </c>
      <c r="D5465" s="451" t="s">
        <v>9190</v>
      </c>
      <c r="E5465" s="451"/>
      <c r="F5465" s="451"/>
      <c r="G5465" s="451" t="s">
        <v>22877</v>
      </c>
      <c r="H5465" s="451" t="s">
        <v>22878</v>
      </c>
      <c r="I5465" s="451" t="s">
        <v>9190</v>
      </c>
      <c r="J5465" s="451" t="s">
        <v>26010</v>
      </c>
      <c r="K5465" s="451"/>
    </row>
    <row r="5466" spans="1:11">
      <c r="A5466" s="450" t="s">
        <v>9185</v>
      </c>
      <c r="B5466" s="450"/>
      <c r="C5466" s="450" t="s">
        <v>9186</v>
      </c>
      <c r="D5466" s="450"/>
      <c r="E5466" s="450"/>
      <c r="F5466" s="450"/>
      <c r="G5466" s="450" t="s">
        <v>22877</v>
      </c>
      <c r="H5466" s="450" t="s">
        <v>22878</v>
      </c>
      <c r="I5466" s="450" t="s">
        <v>26011</v>
      </c>
      <c r="J5466" s="450" t="s">
        <v>22997</v>
      </c>
      <c r="K5466" s="450"/>
    </row>
    <row r="5467" spans="1:11">
      <c r="A5467" s="451" t="s">
        <v>9187</v>
      </c>
      <c r="B5467" s="451" t="s">
        <v>9188</v>
      </c>
      <c r="C5467" s="451" t="s">
        <v>9189</v>
      </c>
      <c r="D5467" s="451" t="s">
        <v>9190</v>
      </c>
      <c r="E5467" s="451" t="s">
        <v>9191</v>
      </c>
      <c r="F5467" s="451"/>
      <c r="G5467" s="451" t="s">
        <v>22877</v>
      </c>
      <c r="H5467" s="451" t="s">
        <v>22878</v>
      </c>
      <c r="I5467" s="451" t="s">
        <v>31475</v>
      </c>
      <c r="J5467" s="451" t="s">
        <v>31476</v>
      </c>
      <c r="K5467" s="451"/>
    </row>
    <row r="5468" spans="1:11">
      <c r="A5468" s="450" t="s">
        <v>9192</v>
      </c>
      <c r="B5468" s="450"/>
      <c r="C5468" s="450" t="s">
        <v>6536</v>
      </c>
      <c r="D5468" s="450"/>
      <c r="E5468" s="450"/>
      <c r="F5468" s="450"/>
      <c r="G5468" s="450" t="s">
        <v>22882</v>
      </c>
      <c r="H5468" s="450" t="s">
        <v>22883</v>
      </c>
      <c r="I5468" s="450" t="s">
        <v>26008</v>
      </c>
      <c r="J5468" s="450" t="s">
        <v>23121</v>
      </c>
      <c r="K5468" s="450"/>
    </row>
    <row r="5469" spans="1:11">
      <c r="A5469" s="451" t="s">
        <v>9193</v>
      </c>
      <c r="B5469" s="451"/>
      <c r="C5469" s="451" t="s">
        <v>9194</v>
      </c>
      <c r="D5469" s="451"/>
      <c r="E5469" s="451"/>
      <c r="F5469" s="451"/>
      <c r="G5469" s="451" t="s">
        <v>22882</v>
      </c>
      <c r="H5469" s="451" t="s">
        <v>22883</v>
      </c>
      <c r="I5469" s="451" t="s">
        <v>35666</v>
      </c>
      <c r="J5469" s="451" t="s">
        <v>22943</v>
      </c>
      <c r="K5469" s="451"/>
    </row>
    <row r="5470" spans="1:11">
      <c r="A5470" s="450" t="s">
        <v>35667</v>
      </c>
      <c r="B5470" s="450"/>
      <c r="C5470" s="450" t="s">
        <v>9196</v>
      </c>
      <c r="D5470" s="450"/>
      <c r="E5470" s="450"/>
      <c r="F5470" s="450"/>
      <c r="G5470" s="450" t="s">
        <v>22882</v>
      </c>
      <c r="H5470" s="450" t="s">
        <v>22883</v>
      </c>
      <c r="I5470" s="450" t="s">
        <v>35668</v>
      </c>
      <c r="J5470" s="450" t="s">
        <v>22943</v>
      </c>
      <c r="K5470" s="450"/>
    </row>
    <row r="5471" spans="1:11">
      <c r="A5471" s="451" t="s">
        <v>9195</v>
      </c>
      <c r="B5471" s="451"/>
      <c r="C5471" s="451" t="s">
        <v>9196</v>
      </c>
      <c r="D5471" s="451"/>
      <c r="E5471" s="451"/>
      <c r="F5471" s="451"/>
      <c r="G5471" s="451" t="s">
        <v>22882</v>
      </c>
      <c r="H5471" s="451" t="s">
        <v>22883</v>
      </c>
      <c r="I5471" s="451" t="s">
        <v>35669</v>
      </c>
      <c r="J5471" s="451" t="s">
        <v>22997</v>
      </c>
      <c r="K5471" s="451"/>
    </row>
    <row r="5472" spans="1:11">
      <c r="A5472" s="450" t="s">
        <v>9197</v>
      </c>
      <c r="B5472" s="450"/>
      <c r="C5472" s="450" t="s">
        <v>9198</v>
      </c>
      <c r="D5472" s="450"/>
      <c r="E5472" s="450"/>
      <c r="F5472" s="450"/>
      <c r="G5472" s="450" t="s">
        <v>22877</v>
      </c>
      <c r="H5472" s="450" t="s">
        <v>22878</v>
      </c>
      <c r="I5472" s="450" t="s">
        <v>35670</v>
      </c>
      <c r="J5472" s="450" t="s">
        <v>22997</v>
      </c>
      <c r="K5472" s="450"/>
    </row>
    <row r="5473" spans="1:11">
      <c r="A5473" s="451" t="s">
        <v>9199</v>
      </c>
      <c r="B5473" s="451"/>
      <c r="C5473" s="451" t="s">
        <v>9200</v>
      </c>
      <c r="D5473" s="451"/>
      <c r="E5473" s="451"/>
      <c r="F5473" s="451"/>
      <c r="G5473" s="451" t="s">
        <v>22877</v>
      </c>
      <c r="H5473" s="451" t="s">
        <v>22878</v>
      </c>
      <c r="I5473" s="451" t="s">
        <v>26012</v>
      </c>
      <c r="J5473" s="451" t="s">
        <v>22997</v>
      </c>
      <c r="K5473" s="451"/>
    </row>
    <row r="5474" spans="1:11">
      <c r="A5474" s="450" t="s">
        <v>9201</v>
      </c>
      <c r="B5474" s="450" t="s">
        <v>9202</v>
      </c>
      <c r="C5474" s="450" t="s">
        <v>9203</v>
      </c>
      <c r="D5474" s="450"/>
      <c r="E5474" s="450"/>
      <c r="F5474" s="450"/>
      <c r="G5474" s="450" t="s">
        <v>22877</v>
      </c>
      <c r="H5474" s="450" t="s">
        <v>22878</v>
      </c>
      <c r="I5474" s="450" t="s">
        <v>26013</v>
      </c>
      <c r="J5474" s="450" t="s">
        <v>26014</v>
      </c>
      <c r="K5474" s="450"/>
    </row>
    <row r="5475" spans="1:11">
      <c r="A5475" s="451" t="s">
        <v>9204</v>
      </c>
      <c r="B5475" s="451" t="s">
        <v>9205</v>
      </c>
      <c r="C5475" s="451" t="s">
        <v>9206</v>
      </c>
      <c r="D5475" s="451"/>
      <c r="E5475" s="451"/>
      <c r="F5475" s="451"/>
      <c r="G5475" s="451" t="s">
        <v>22877</v>
      </c>
      <c r="H5475" s="451" t="s">
        <v>22878</v>
      </c>
      <c r="I5475" s="451" t="s">
        <v>35671</v>
      </c>
      <c r="J5475" s="451" t="s">
        <v>35672</v>
      </c>
      <c r="K5475" s="451"/>
    </row>
    <row r="5476" spans="1:11">
      <c r="A5476" s="450" t="s">
        <v>31477</v>
      </c>
      <c r="B5476" s="450" t="s">
        <v>9205</v>
      </c>
      <c r="C5476" s="450" t="s">
        <v>9206</v>
      </c>
      <c r="D5476" s="450"/>
      <c r="E5476" s="450"/>
      <c r="F5476" s="450"/>
      <c r="G5476" s="450" t="s">
        <v>22877</v>
      </c>
      <c r="H5476" s="450" t="s">
        <v>22878</v>
      </c>
      <c r="I5476" s="450" t="s">
        <v>26015</v>
      </c>
      <c r="J5476" s="450" t="s">
        <v>26016</v>
      </c>
      <c r="K5476" s="450"/>
    </row>
    <row r="5477" spans="1:11">
      <c r="A5477" s="451" t="s">
        <v>35673</v>
      </c>
      <c r="B5477" s="451"/>
      <c r="C5477" s="451" t="s">
        <v>9208</v>
      </c>
      <c r="D5477" s="451"/>
      <c r="E5477" s="451"/>
      <c r="F5477" s="451"/>
      <c r="G5477" s="451" t="s">
        <v>22877</v>
      </c>
      <c r="H5477" s="451" t="s">
        <v>22878</v>
      </c>
      <c r="I5477" s="451" t="s">
        <v>35674</v>
      </c>
      <c r="J5477" s="451" t="s">
        <v>22943</v>
      </c>
      <c r="K5477" s="451"/>
    </row>
    <row r="5478" spans="1:11">
      <c r="A5478" s="450" t="s">
        <v>9207</v>
      </c>
      <c r="B5478" s="450"/>
      <c r="C5478" s="450" t="s">
        <v>9208</v>
      </c>
      <c r="D5478" s="450"/>
      <c r="E5478" s="450"/>
      <c r="F5478" s="450"/>
      <c r="G5478" s="450" t="s">
        <v>22877</v>
      </c>
      <c r="H5478" s="450" t="s">
        <v>22878</v>
      </c>
      <c r="I5478" s="450" t="s">
        <v>35674</v>
      </c>
      <c r="J5478" s="450" t="s">
        <v>22997</v>
      </c>
      <c r="K5478" s="450"/>
    </row>
    <row r="5479" spans="1:11">
      <c r="A5479" s="451" t="s">
        <v>9209</v>
      </c>
      <c r="B5479" s="451"/>
      <c r="C5479" s="451" t="s">
        <v>9210</v>
      </c>
      <c r="D5479" s="451"/>
      <c r="E5479" s="451"/>
      <c r="F5479" s="451"/>
      <c r="G5479" s="451" t="s">
        <v>22882</v>
      </c>
      <c r="H5479" s="451" t="s">
        <v>22883</v>
      </c>
      <c r="I5479" s="451" t="s">
        <v>35675</v>
      </c>
      <c r="J5479" s="451" t="s">
        <v>22997</v>
      </c>
      <c r="K5479" s="451"/>
    </row>
    <row r="5480" spans="1:11">
      <c r="A5480" s="450" t="s">
        <v>9211</v>
      </c>
      <c r="B5480" s="450"/>
      <c r="C5480" s="450" t="s">
        <v>9212</v>
      </c>
      <c r="D5480" s="450"/>
      <c r="E5480" s="450"/>
      <c r="F5480" s="450"/>
      <c r="G5480" s="450" t="s">
        <v>22882</v>
      </c>
      <c r="H5480" s="450" t="s">
        <v>22883</v>
      </c>
      <c r="I5480" s="450"/>
      <c r="J5480" s="450" t="s">
        <v>23121</v>
      </c>
      <c r="K5480" s="450"/>
    </row>
    <row r="5481" spans="1:11">
      <c r="A5481" s="451" t="s">
        <v>26017</v>
      </c>
      <c r="B5481" s="451" t="s">
        <v>20961</v>
      </c>
      <c r="C5481" s="451" t="s">
        <v>26018</v>
      </c>
      <c r="D5481" s="451" t="s">
        <v>14501</v>
      </c>
      <c r="E5481" s="451"/>
      <c r="F5481" s="451"/>
      <c r="G5481" s="451" t="s">
        <v>22877</v>
      </c>
      <c r="H5481" s="451" t="s">
        <v>22878</v>
      </c>
      <c r="I5481" s="451" t="s">
        <v>14501</v>
      </c>
      <c r="J5481" s="451" t="s">
        <v>26019</v>
      </c>
      <c r="K5481" s="451"/>
    </row>
    <row r="5482" spans="1:11">
      <c r="A5482" s="450" t="s">
        <v>20975</v>
      </c>
      <c r="B5482" s="450" t="s">
        <v>26020</v>
      </c>
      <c r="C5482" s="450" t="s">
        <v>26021</v>
      </c>
      <c r="D5482" s="450" t="s">
        <v>14501</v>
      </c>
      <c r="E5482" s="450"/>
      <c r="F5482" s="450"/>
      <c r="G5482" s="450" t="s">
        <v>22877</v>
      </c>
      <c r="H5482" s="450" t="s">
        <v>22878</v>
      </c>
      <c r="I5482" s="450" t="s">
        <v>26022</v>
      </c>
      <c r="J5482" s="450" t="s">
        <v>26023</v>
      </c>
      <c r="K5482" s="450"/>
    </row>
    <row r="5483" spans="1:11">
      <c r="A5483" s="451" t="s">
        <v>20975</v>
      </c>
      <c r="B5483" s="451" t="s">
        <v>20961</v>
      </c>
      <c r="C5483" s="451" t="s">
        <v>20962</v>
      </c>
      <c r="D5483" s="451" t="s">
        <v>20302</v>
      </c>
      <c r="E5483" s="451"/>
      <c r="F5483" s="451"/>
      <c r="G5483" s="451" t="s">
        <v>22877</v>
      </c>
      <c r="H5483" s="451" t="s">
        <v>22878</v>
      </c>
      <c r="I5483" s="451" t="s">
        <v>31478</v>
      </c>
      <c r="J5483" s="451" t="s">
        <v>31479</v>
      </c>
      <c r="K5483" s="451"/>
    </row>
    <row r="5484" spans="1:11">
      <c r="A5484" s="450" t="s">
        <v>9213</v>
      </c>
      <c r="B5484" s="450"/>
      <c r="C5484" s="450" t="s">
        <v>9214</v>
      </c>
      <c r="D5484" s="450"/>
      <c r="E5484" s="450"/>
      <c r="F5484" s="450"/>
      <c r="G5484" s="450" t="s">
        <v>22882</v>
      </c>
      <c r="H5484" s="450" t="s">
        <v>22883</v>
      </c>
      <c r="I5484" s="450"/>
      <c r="J5484" s="450" t="s">
        <v>23121</v>
      </c>
      <c r="K5484" s="450"/>
    </row>
    <row r="5485" spans="1:11">
      <c r="A5485" s="451" t="s">
        <v>9215</v>
      </c>
      <c r="B5485" s="451"/>
      <c r="C5485" s="451" t="s">
        <v>7858</v>
      </c>
      <c r="D5485" s="451"/>
      <c r="E5485" s="451"/>
      <c r="F5485" s="451"/>
      <c r="G5485" s="451" t="s">
        <v>22882</v>
      </c>
      <c r="H5485" s="451" t="s">
        <v>22883</v>
      </c>
      <c r="I5485" s="451"/>
      <c r="J5485" s="451" t="s">
        <v>22997</v>
      </c>
      <c r="K5485" s="451"/>
    </row>
    <row r="5486" spans="1:11">
      <c r="A5486" s="450" t="s">
        <v>35676</v>
      </c>
      <c r="B5486" s="450"/>
      <c r="C5486" s="450" t="s">
        <v>9217</v>
      </c>
      <c r="D5486" s="450"/>
      <c r="E5486" s="450"/>
      <c r="F5486" s="450"/>
      <c r="G5486" s="450" t="s">
        <v>22882</v>
      </c>
      <c r="H5486" s="450" t="s">
        <v>22883</v>
      </c>
      <c r="I5486" s="450"/>
      <c r="J5486" s="450" t="s">
        <v>23121</v>
      </c>
      <c r="K5486" s="450"/>
    </row>
    <row r="5487" spans="1:11">
      <c r="A5487" s="451" t="s">
        <v>9216</v>
      </c>
      <c r="B5487" s="451"/>
      <c r="C5487" s="451" t="s">
        <v>9217</v>
      </c>
      <c r="D5487" s="451"/>
      <c r="E5487" s="451"/>
      <c r="F5487" s="451"/>
      <c r="G5487" s="451" t="s">
        <v>22877</v>
      </c>
      <c r="H5487" s="451" t="s">
        <v>22878</v>
      </c>
      <c r="I5487" s="451" t="s">
        <v>35677</v>
      </c>
      <c r="J5487" s="451" t="s">
        <v>23185</v>
      </c>
      <c r="K5487" s="451"/>
    </row>
    <row r="5488" spans="1:11">
      <c r="A5488" s="450" t="s">
        <v>9218</v>
      </c>
      <c r="B5488" s="450"/>
      <c r="C5488" s="450" t="s">
        <v>9219</v>
      </c>
      <c r="D5488" s="450"/>
      <c r="E5488" s="450"/>
      <c r="F5488" s="450"/>
      <c r="G5488" s="450" t="s">
        <v>22882</v>
      </c>
      <c r="H5488" s="450" t="s">
        <v>22883</v>
      </c>
      <c r="I5488" s="450"/>
      <c r="J5488" s="450" t="s">
        <v>22939</v>
      </c>
      <c r="K5488" s="450"/>
    </row>
    <row r="5489" spans="1:11">
      <c r="A5489" s="451" t="s">
        <v>9220</v>
      </c>
      <c r="B5489" s="451"/>
      <c r="C5489" s="451" t="s">
        <v>4680</v>
      </c>
      <c r="D5489" s="451"/>
      <c r="E5489" s="451"/>
      <c r="F5489" s="451"/>
      <c r="G5489" s="451" t="s">
        <v>22882</v>
      </c>
      <c r="H5489" s="451" t="s">
        <v>22883</v>
      </c>
      <c r="I5489" s="451" t="s">
        <v>35678</v>
      </c>
      <c r="J5489" s="451" t="s">
        <v>22943</v>
      </c>
      <c r="K5489" s="451"/>
    </row>
    <row r="5490" spans="1:11">
      <c r="A5490" s="450" t="s">
        <v>9221</v>
      </c>
      <c r="B5490" s="450"/>
      <c r="C5490" s="450" t="s">
        <v>7471</v>
      </c>
      <c r="D5490" s="450"/>
      <c r="E5490" s="450"/>
      <c r="F5490" s="450"/>
      <c r="G5490" s="450" t="s">
        <v>22882</v>
      </c>
      <c r="H5490" s="450" t="s">
        <v>22883</v>
      </c>
      <c r="I5490" s="450"/>
      <c r="J5490" s="450" t="s">
        <v>22997</v>
      </c>
      <c r="K5490" s="450"/>
    </row>
    <row r="5491" spans="1:11">
      <c r="A5491" s="451" t="s">
        <v>26024</v>
      </c>
      <c r="B5491" s="451" t="s">
        <v>26025</v>
      </c>
      <c r="C5491" s="451" t="s">
        <v>26026</v>
      </c>
      <c r="D5491" s="451"/>
      <c r="E5491" s="451"/>
      <c r="F5491" s="451"/>
      <c r="G5491" s="451" t="s">
        <v>22877</v>
      </c>
      <c r="H5491" s="451" t="s">
        <v>22878</v>
      </c>
      <c r="I5491" s="451" t="s">
        <v>26027</v>
      </c>
      <c r="J5491" s="451" t="s">
        <v>26028</v>
      </c>
      <c r="K5491" s="451"/>
    </row>
    <row r="5492" spans="1:11">
      <c r="A5492" s="450" t="s">
        <v>9222</v>
      </c>
      <c r="B5492" s="450"/>
      <c r="C5492" s="450" t="s">
        <v>9223</v>
      </c>
      <c r="D5492" s="450"/>
      <c r="E5492" s="450"/>
      <c r="F5492" s="450"/>
      <c r="G5492" s="450" t="s">
        <v>22877</v>
      </c>
      <c r="H5492" s="450" t="s">
        <v>22878</v>
      </c>
      <c r="I5492" s="450" t="s">
        <v>35679</v>
      </c>
      <c r="J5492" s="450" t="s">
        <v>22943</v>
      </c>
      <c r="K5492" s="450"/>
    </row>
    <row r="5493" spans="1:11">
      <c r="A5493" s="451" t="s">
        <v>9224</v>
      </c>
      <c r="B5493" s="451"/>
      <c r="C5493" s="451" t="s">
        <v>9225</v>
      </c>
      <c r="D5493" s="451"/>
      <c r="E5493" s="451"/>
      <c r="F5493" s="451"/>
      <c r="G5493" s="451" t="s">
        <v>22882</v>
      </c>
      <c r="H5493" s="451" t="s">
        <v>22883</v>
      </c>
      <c r="I5493" s="451"/>
      <c r="J5493" s="451" t="s">
        <v>22939</v>
      </c>
      <c r="K5493" s="451"/>
    </row>
    <row r="5494" spans="1:11">
      <c r="A5494" s="450" t="s">
        <v>35680</v>
      </c>
      <c r="B5494" s="450"/>
      <c r="C5494" s="450" t="s">
        <v>9214</v>
      </c>
      <c r="D5494" s="450"/>
      <c r="E5494" s="450"/>
      <c r="F5494" s="450"/>
      <c r="G5494" s="450" t="s">
        <v>22882</v>
      </c>
      <c r="H5494" s="450" t="s">
        <v>22883</v>
      </c>
      <c r="I5494" s="450"/>
      <c r="J5494" s="450" t="s">
        <v>22997</v>
      </c>
      <c r="K5494" s="450"/>
    </row>
    <row r="5495" spans="1:11">
      <c r="A5495" s="451" t="s">
        <v>9226</v>
      </c>
      <c r="B5495" s="451"/>
      <c r="C5495" s="451" t="s">
        <v>9214</v>
      </c>
      <c r="D5495" s="451"/>
      <c r="E5495" s="451"/>
      <c r="F5495" s="451"/>
      <c r="G5495" s="451" t="s">
        <v>22882</v>
      </c>
      <c r="H5495" s="451" t="s">
        <v>22883</v>
      </c>
      <c r="I5495" s="451" t="s">
        <v>35681</v>
      </c>
      <c r="J5495" s="451" t="s">
        <v>22997</v>
      </c>
      <c r="K5495" s="451"/>
    </row>
    <row r="5496" spans="1:11">
      <c r="A5496" s="450" t="s">
        <v>9227</v>
      </c>
      <c r="B5496" s="450"/>
      <c r="C5496" s="450" t="s">
        <v>9228</v>
      </c>
      <c r="D5496" s="450"/>
      <c r="E5496" s="450"/>
      <c r="F5496" s="450"/>
      <c r="G5496" s="450" t="s">
        <v>32601</v>
      </c>
      <c r="H5496" s="450" t="s">
        <v>22878</v>
      </c>
      <c r="I5496" s="450"/>
      <c r="J5496" s="450"/>
      <c r="K5496" s="450"/>
    </row>
    <row r="5497" spans="1:11">
      <c r="A5497" s="451" t="s">
        <v>9229</v>
      </c>
      <c r="B5497" s="451"/>
      <c r="C5497" s="451" t="s">
        <v>9230</v>
      </c>
      <c r="D5497" s="451"/>
      <c r="E5497" s="451"/>
      <c r="F5497" s="451"/>
      <c r="G5497" s="451" t="s">
        <v>22882</v>
      </c>
      <c r="H5497" s="451" t="s">
        <v>22883</v>
      </c>
      <c r="I5497" s="451"/>
      <c r="J5497" s="451" t="s">
        <v>22997</v>
      </c>
      <c r="K5497" s="451"/>
    </row>
    <row r="5498" spans="1:11">
      <c r="A5498" s="450" t="s">
        <v>9231</v>
      </c>
      <c r="B5498" s="450"/>
      <c r="C5498" s="450" t="s">
        <v>9232</v>
      </c>
      <c r="D5498" s="450"/>
      <c r="E5498" s="450"/>
      <c r="F5498" s="450"/>
      <c r="G5498" s="450" t="s">
        <v>22882</v>
      </c>
      <c r="H5498" s="450" t="s">
        <v>22883</v>
      </c>
      <c r="I5498" s="450"/>
      <c r="J5498" s="450" t="s">
        <v>22943</v>
      </c>
      <c r="K5498" s="450"/>
    </row>
    <row r="5499" spans="1:11">
      <c r="A5499" s="451" t="s">
        <v>9233</v>
      </c>
      <c r="B5499" s="451" t="s">
        <v>26029</v>
      </c>
      <c r="C5499" s="451" t="s">
        <v>26030</v>
      </c>
      <c r="D5499" s="451"/>
      <c r="E5499" s="451"/>
      <c r="F5499" s="451" t="s">
        <v>9236</v>
      </c>
      <c r="G5499" s="451" t="s">
        <v>22877</v>
      </c>
      <c r="H5499" s="451" t="s">
        <v>22878</v>
      </c>
      <c r="I5499" s="451" t="s">
        <v>26031</v>
      </c>
      <c r="J5499" s="451" t="s">
        <v>26032</v>
      </c>
      <c r="K5499" s="451"/>
    </row>
    <row r="5500" spans="1:11">
      <c r="A5500" s="450" t="s">
        <v>9233</v>
      </c>
      <c r="B5500" s="450" t="s">
        <v>9234</v>
      </c>
      <c r="C5500" s="450" t="s">
        <v>9235</v>
      </c>
      <c r="D5500" s="450"/>
      <c r="E5500" s="450"/>
      <c r="F5500" s="450" t="s">
        <v>9236</v>
      </c>
      <c r="G5500" s="450" t="s">
        <v>22877</v>
      </c>
      <c r="H5500" s="450" t="s">
        <v>22878</v>
      </c>
      <c r="I5500" s="450" t="s">
        <v>31480</v>
      </c>
      <c r="J5500" s="450" t="s">
        <v>31481</v>
      </c>
      <c r="K5500" s="450"/>
    </row>
    <row r="5501" spans="1:11">
      <c r="A5501" s="451" t="s">
        <v>9237</v>
      </c>
      <c r="B5501" s="451"/>
      <c r="C5501" s="451" t="s">
        <v>9238</v>
      </c>
      <c r="D5501" s="451"/>
      <c r="E5501" s="451"/>
      <c r="F5501" s="451"/>
      <c r="G5501" s="451" t="s">
        <v>22882</v>
      </c>
      <c r="H5501" s="451" t="s">
        <v>22883</v>
      </c>
      <c r="I5501" s="451"/>
      <c r="J5501" s="451" t="s">
        <v>23133</v>
      </c>
      <c r="K5501" s="451"/>
    </row>
    <row r="5502" spans="1:11">
      <c r="A5502" s="450" t="s">
        <v>9239</v>
      </c>
      <c r="B5502" s="450"/>
      <c r="C5502" s="450" t="s">
        <v>9240</v>
      </c>
      <c r="D5502" s="450"/>
      <c r="E5502" s="450"/>
      <c r="F5502" s="450"/>
      <c r="G5502" s="450" t="s">
        <v>22882</v>
      </c>
      <c r="H5502" s="450" t="s">
        <v>22883</v>
      </c>
      <c r="I5502" s="450"/>
      <c r="J5502" s="450" t="s">
        <v>22997</v>
      </c>
      <c r="K5502" s="450"/>
    </row>
    <row r="5503" spans="1:11">
      <c r="A5503" s="451" t="s">
        <v>9241</v>
      </c>
      <c r="B5503" s="451"/>
      <c r="C5503" s="451" t="s">
        <v>9242</v>
      </c>
      <c r="D5503" s="451"/>
      <c r="E5503" s="451"/>
      <c r="F5503" s="451"/>
      <c r="G5503" s="451" t="s">
        <v>22877</v>
      </c>
      <c r="H5503" s="451" t="s">
        <v>22878</v>
      </c>
      <c r="I5503" s="451" t="s">
        <v>26033</v>
      </c>
      <c r="J5503" s="451" t="s">
        <v>23133</v>
      </c>
      <c r="K5503" s="451"/>
    </row>
    <row r="5504" spans="1:11">
      <c r="A5504" s="450" t="s">
        <v>26034</v>
      </c>
      <c r="B5504" s="450" t="s">
        <v>25836</v>
      </c>
      <c r="C5504" s="450" t="s">
        <v>25837</v>
      </c>
      <c r="D5504" s="450"/>
      <c r="E5504" s="450"/>
      <c r="F5504" s="450"/>
      <c r="G5504" s="450" t="s">
        <v>22877</v>
      </c>
      <c r="H5504" s="450" t="s">
        <v>22878</v>
      </c>
      <c r="I5504" s="450" t="s">
        <v>26035</v>
      </c>
      <c r="J5504" s="450" t="s">
        <v>26036</v>
      </c>
      <c r="K5504" s="450"/>
    </row>
    <row r="5505" spans="1:11">
      <c r="A5505" s="451" t="s">
        <v>9243</v>
      </c>
      <c r="B5505" s="451"/>
      <c r="C5505" s="451" t="s">
        <v>1104</v>
      </c>
      <c r="D5505" s="451"/>
      <c r="E5505" s="451"/>
      <c r="F5505" s="451"/>
      <c r="G5505" s="451" t="s">
        <v>22877</v>
      </c>
      <c r="H5505" s="451" t="s">
        <v>22878</v>
      </c>
      <c r="I5505" s="451" t="s">
        <v>35682</v>
      </c>
      <c r="J5505" s="451" t="s">
        <v>22939</v>
      </c>
      <c r="K5505" s="451"/>
    </row>
    <row r="5506" spans="1:11">
      <c r="A5506" s="450" t="s">
        <v>9244</v>
      </c>
      <c r="B5506" s="450"/>
      <c r="C5506" s="450" t="s">
        <v>9245</v>
      </c>
      <c r="D5506" s="450"/>
      <c r="E5506" s="450"/>
      <c r="F5506" s="450"/>
      <c r="G5506" s="450" t="s">
        <v>22877</v>
      </c>
      <c r="H5506" s="450" t="s">
        <v>22878</v>
      </c>
      <c r="I5506" s="450" t="s">
        <v>35683</v>
      </c>
      <c r="J5506" s="450" t="s">
        <v>22939</v>
      </c>
      <c r="K5506" s="450"/>
    </row>
    <row r="5507" spans="1:11">
      <c r="A5507" s="451" t="s">
        <v>9246</v>
      </c>
      <c r="B5507" s="451"/>
      <c r="C5507" s="451" t="s">
        <v>9247</v>
      </c>
      <c r="D5507" s="451"/>
      <c r="E5507" s="451"/>
      <c r="F5507" s="451"/>
      <c r="G5507" s="451" t="s">
        <v>22882</v>
      </c>
      <c r="H5507" s="451" t="s">
        <v>22883</v>
      </c>
      <c r="I5507" s="451"/>
      <c r="J5507" s="451" t="s">
        <v>22997</v>
      </c>
      <c r="K5507" s="451"/>
    </row>
    <row r="5508" spans="1:11">
      <c r="A5508" s="450" t="s">
        <v>9248</v>
      </c>
      <c r="B5508" s="450"/>
      <c r="C5508" s="450" t="s">
        <v>9249</v>
      </c>
      <c r="D5508" s="450"/>
      <c r="E5508" s="450"/>
      <c r="F5508" s="450"/>
      <c r="G5508" s="450" t="s">
        <v>22882</v>
      </c>
      <c r="H5508" s="450" t="s">
        <v>22883</v>
      </c>
      <c r="I5508" s="450"/>
      <c r="J5508" s="450" t="s">
        <v>23121</v>
      </c>
      <c r="K5508" s="450"/>
    </row>
    <row r="5509" spans="1:11">
      <c r="A5509" s="451" t="s">
        <v>9250</v>
      </c>
      <c r="B5509" s="451"/>
      <c r="C5509" s="451" t="s">
        <v>9251</v>
      </c>
      <c r="D5509" s="451"/>
      <c r="E5509" s="451"/>
      <c r="F5509" s="451"/>
      <c r="G5509" s="451" t="s">
        <v>22882</v>
      </c>
      <c r="H5509" s="451" t="s">
        <v>22883</v>
      </c>
      <c r="I5509" s="451"/>
      <c r="J5509" s="451" t="s">
        <v>22997</v>
      </c>
      <c r="K5509" s="451"/>
    </row>
    <row r="5510" spans="1:11">
      <c r="A5510" s="450" t="s">
        <v>9252</v>
      </c>
      <c r="B5510" s="450"/>
      <c r="C5510" s="450" t="s">
        <v>9253</v>
      </c>
      <c r="D5510" s="450"/>
      <c r="E5510" s="450"/>
      <c r="F5510" s="450"/>
      <c r="G5510" s="450" t="s">
        <v>22882</v>
      </c>
      <c r="H5510" s="450" t="s">
        <v>22883</v>
      </c>
      <c r="I5510" s="450"/>
      <c r="J5510" s="450" t="s">
        <v>22997</v>
      </c>
      <c r="K5510" s="450"/>
    </row>
    <row r="5511" spans="1:11">
      <c r="A5511" s="451" t="s">
        <v>9254</v>
      </c>
      <c r="B5511" s="451"/>
      <c r="C5511" s="451" t="s">
        <v>9255</v>
      </c>
      <c r="D5511" s="451"/>
      <c r="E5511" s="451"/>
      <c r="F5511" s="451"/>
      <c r="G5511" s="451" t="s">
        <v>22882</v>
      </c>
      <c r="H5511" s="451" t="s">
        <v>22883</v>
      </c>
      <c r="I5511" s="451"/>
      <c r="J5511" s="451" t="s">
        <v>23133</v>
      </c>
      <c r="K5511" s="451"/>
    </row>
    <row r="5512" spans="1:11">
      <c r="A5512" s="450" t="s">
        <v>9256</v>
      </c>
      <c r="B5512" s="450"/>
      <c r="C5512" s="450" t="s">
        <v>7055</v>
      </c>
      <c r="D5512" s="450"/>
      <c r="E5512" s="450"/>
      <c r="F5512" s="450"/>
      <c r="G5512" s="450" t="s">
        <v>22877</v>
      </c>
      <c r="H5512" s="450" t="s">
        <v>22878</v>
      </c>
      <c r="I5512" s="450" t="s">
        <v>26037</v>
      </c>
      <c r="J5512" s="450" t="s">
        <v>22939</v>
      </c>
      <c r="K5512" s="450"/>
    </row>
    <row r="5513" spans="1:11">
      <c r="A5513" s="451" t="s">
        <v>9257</v>
      </c>
      <c r="B5513" s="451" t="s">
        <v>9258</v>
      </c>
      <c r="C5513" s="451" t="s">
        <v>9259</v>
      </c>
      <c r="D5513" s="451"/>
      <c r="E5513" s="451"/>
      <c r="F5513" s="451"/>
      <c r="G5513" s="451" t="s">
        <v>22882</v>
      </c>
      <c r="H5513" s="451" t="s">
        <v>22883</v>
      </c>
      <c r="I5513" s="451" t="s">
        <v>26038</v>
      </c>
      <c r="J5513" s="451" t="s">
        <v>26039</v>
      </c>
      <c r="K5513" s="451"/>
    </row>
    <row r="5514" spans="1:11">
      <c r="A5514" s="450" t="s">
        <v>9257</v>
      </c>
      <c r="B5514" s="450" t="s">
        <v>7250</v>
      </c>
      <c r="C5514" s="450" t="s">
        <v>4292</v>
      </c>
      <c r="D5514" s="450"/>
      <c r="E5514" s="450"/>
      <c r="F5514" s="450"/>
      <c r="G5514" s="450" t="s">
        <v>22882</v>
      </c>
      <c r="H5514" s="450" t="s">
        <v>22883</v>
      </c>
      <c r="I5514" s="450"/>
      <c r="J5514" s="450" t="s">
        <v>25102</v>
      </c>
      <c r="K5514" s="450"/>
    </row>
    <row r="5515" spans="1:11">
      <c r="A5515" s="451" t="s">
        <v>9257</v>
      </c>
      <c r="B5515" s="451" t="s">
        <v>26040</v>
      </c>
      <c r="C5515" s="451" t="s">
        <v>9291</v>
      </c>
      <c r="D5515" s="451"/>
      <c r="E5515" s="451"/>
      <c r="F5515" s="451"/>
      <c r="G5515" s="451" t="s">
        <v>22877</v>
      </c>
      <c r="H5515" s="451" t="s">
        <v>22878</v>
      </c>
      <c r="I5515" s="451" t="s">
        <v>26041</v>
      </c>
      <c r="J5515" s="451" t="s">
        <v>26042</v>
      </c>
      <c r="K5515" s="451"/>
    </row>
    <row r="5516" spans="1:11">
      <c r="A5516" s="450" t="s">
        <v>9260</v>
      </c>
      <c r="B5516" s="450" t="s">
        <v>9261</v>
      </c>
      <c r="C5516" s="450" t="s">
        <v>9262</v>
      </c>
      <c r="D5516" s="450" t="s">
        <v>9263</v>
      </c>
      <c r="E5516" s="450"/>
      <c r="F5516" s="450" t="s">
        <v>35684</v>
      </c>
      <c r="G5516" s="450" t="s">
        <v>22882</v>
      </c>
      <c r="H5516" s="450" t="s">
        <v>22883</v>
      </c>
      <c r="I5516" s="450"/>
      <c r="J5516" s="450" t="s">
        <v>26043</v>
      </c>
      <c r="K5516" s="450"/>
    </row>
    <row r="5517" spans="1:11">
      <c r="A5517" s="451" t="s">
        <v>9260</v>
      </c>
      <c r="B5517" s="451" t="s">
        <v>9261</v>
      </c>
      <c r="C5517" s="451" t="s">
        <v>9262</v>
      </c>
      <c r="D5517" s="451" t="s">
        <v>9263</v>
      </c>
      <c r="E5517" s="451" t="s">
        <v>9264</v>
      </c>
      <c r="F5517" s="451" t="s">
        <v>9265</v>
      </c>
      <c r="G5517" s="451" t="s">
        <v>22882</v>
      </c>
      <c r="H5517" s="451" t="s">
        <v>22883</v>
      </c>
      <c r="I5517" s="451" t="s">
        <v>9263</v>
      </c>
      <c r="J5517" s="451" t="s">
        <v>26043</v>
      </c>
      <c r="K5517" s="451"/>
    </row>
    <row r="5518" spans="1:11">
      <c r="A5518" s="450" t="s">
        <v>26044</v>
      </c>
      <c r="B5518" s="450" t="s">
        <v>26045</v>
      </c>
      <c r="C5518" s="450" t="s">
        <v>9288</v>
      </c>
      <c r="D5518" s="450"/>
      <c r="E5518" s="450"/>
      <c r="F5518" s="450"/>
      <c r="G5518" s="450" t="s">
        <v>22877</v>
      </c>
      <c r="H5518" s="450" t="s">
        <v>22878</v>
      </c>
      <c r="I5518" s="450" t="s">
        <v>26041</v>
      </c>
      <c r="J5518" s="450" t="s">
        <v>26046</v>
      </c>
      <c r="K5518" s="450"/>
    </row>
    <row r="5519" spans="1:11">
      <c r="A5519" s="451" t="s">
        <v>9266</v>
      </c>
      <c r="B5519" s="451" t="s">
        <v>9267</v>
      </c>
      <c r="C5519" s="451" t="s">
        <v>9268</v>
      </c>
      <c r="D5519" s="451"/>
      <c r="E5519" s="451"/>
      <c r="F5519" s="451" t="s">
        <v>7275</v>
      </c>
      <c r="G5519" s="451" t="s">
        <v>22882</v>
      </c>
      <c r="H5519" s="451" t="s">
        <v>22883</v>
      </c>
      <c r="I5519" s="451"/>
      <c r="J5519" s="451" t="s">
        <v>26047</v>
      </c>
      <c r="K5519" s="451"/>
    </row>
    <row r="5520" spans="1:11">
      <c r="A5520" s="450" t="s">
        <v>26048</v>
      </c>
      <c r="B5520" s="450" t="s">
        <v>26049</v>
      </c>
      <c r="C5520" s="450" t="s">
        <v>26050</v>
      </c>
      <c r="D5520" s="450"/>
      <c r="E5520" s="450"/>
      <c r="F5520" s="450"/>
      <c r="G5520" s="450" t="s">
        <v>22877</v>
      </c>
      <c r="H5520" s="450" t="s">
        <v>22878</v>
      </c>
      <c r="I5520" s="450" t="s">
        <v>26051</v>
      </c>
      <c r="J5520" s="450" t="s">
        <v>26052</v>
      </c>
      <c r="K5520" s="450"/>
    </row>
    <row r="5521" spans="1:11">
      <c r="A5521" s="451" t="s">
        <v>9269</v>
      </c>
      <c r="B5521" s="451"/>
      <c r="C5521" s="451" t="s">
        <v>9270</v>
      </c>
      <c r="D5521" s="451"/>
      <c r="E5521" s="451"/>
      <c r="F5521" s="451"/>
      <c r="G5521" s="451" t="s">
        <v>22877</v>
      </c>
      <c r="H5521" s="451" t="s">
        <v>22878</v>
      </c>
      <c r="I5521" s="451" t="s">
        <v>35685</v>
      </c>
      <c r="J5521" s="451" t="s">
        <v>22939</v>
      </c>
      <c r="K5521" s="451"/>
    </row>
    <row r="5522" spans="1:11">
      <c r="A5522" s="450" t="s">
        <v>9271</v>
      </c>
      <c r="B5522" s="450"/>
      <c r="C5522" s="450" t="s">
        <v>9272</v>
      </c>
      <c r="D5522" s="450"/>
      <c r="E5522" s="450"/>
      <c r="F5522" s="450"/>
      <c r="G5522" s="450" t="s">
        <v>22882</v>
      </c>
      <c r="H5522" s="450" t="s">
        <v>22883</v>
      </c>
      <c r="I5522" s="450"/>
      <c r="J5522" s="450" t="s">
        <v>22939</v>
      </c>
      <c r="K5522" s="450"/>
    </row>
    <row r="5523" spans="1:11">
      <c r="A5523" s="451" t="s">
        <v>26053</v>
      </c>
      <c r="B5523" s="451" t="s">
        <v>26054</v>
      </c>
      <c r="C5523" s="451" t="s">
        <v>26055</v>
      </c>
      <c r="D5523" s="451"/>
      <c r="E5523" s="451"/>
      <c r="F5523" s="451"/>
      <c r="G5523" s="451" t="s">
        <v>22877</v>
      </c>
      <c r="H5523" s="451" t="s">
        <v>22878</v>
      </c>
      <c r="I5523" s="451" t="s">
        <v>26056</v>
      </c>
      <c r="J5523" s="451" t="s">
        <v>26057</v>
      </c>
      <c r="K5523" s="451"/>
    </row>
    <row r="5524" spans="1:11">
      <c r="A5524" s="450" t="s">
        <v>30017</v>
      </c>
      <c r="B5524" s="450" t="s">
        <v>30018</v>
      </c>
      <c r="C5524" s="450" t="s">
        <v>30019</v>
      </c>
      <c r="D5524" s="450"/>
      <c r="E5524" s="450"/>
      <c r="F5524" s="450"/>
      <c r="G5524" s="450"/>
      <c r="H5524" s="450"/>
      <c r="I5524" s="450"/>
      <c r="J5524" s="450"/>
      <c r="K5524" s="450"/>
    </row>
    <row r="5525" spans="1:11">
      <c r="A5525" s="451" t="s">
        <v>9273</v>
      </c>
      <c r="B5525" s="451" t="s">
        <v>9274</v>
      </c>
      <c r="C5525" s="451" t="s">
        <v>9275</v>
      </c>
      <c r="D5525" s="451"/>
      <c r="E5525" s="451"/>
      <c r="F5525" s="451" t="s">
        <v>9276</v>
      </c>
      <c r="G5525" s="451" t="s">
        <v>22877</v>
      </c>
      <c r="H5525" s="451" t="s">
        <v>22878</v>
      </c>
      <c r="I5525" s="451" t="s">
        <v>26058</v>
      </c>
      <c r="J5525" s="451" t="s">
        <v>26059</v>
      </c>
      <c r="K5525" s="451"/>
    </row>
    <row r="5526" spans="1:11">
      <c r="A5526" s="450" t="s">
        <v>9277</v>
      </c>
      <c r="B5526" s="450"/>
      <c r="C5526" s="450" t="s">
        <v>9278</v>
      </c>
      <c r="D5526" s="450"/>
      <c r="E5526" s="450"/>
      <c r="F5526" s="450"/>
      <c r="G5526" s="450" t="s">
        <v>22877</v>
      </c>
      <c r="H5526" s="450" t="s">
        <v>22878</v>
      </c>
      <c r="I5526" s="450" t="s">
        <v>26060</v>
      </c>
      <c r="J5526" s="450" t="s">
        <v>22939</v>
      </c>
      <c r="K5526" s="450"/>
    </row>
    <row r="5527" spans="1:11">
      <c r="A5527" s="451" t="s">
        <v>9279</v>
      </c>
      <c r="B5527" s="451" t="s">
        <v>9280</v>
      </c>
      <c r="C5527" s="451" t="s">
        <v>9281</v>
      </c>
      <c r="D5527" s="451" t="s">
        <v>9282</v>
      </c>
      <c r="E5527" s="451"/>
      <c r="F5527" s="451"/>
      <c r="G5527" s="451" t="s">
        <v>22877</v>
      </c>
      <c r="H5527" s="451" t="s">
        <v>22878</v>
      </c>
      <c r="I5527" s="451" t="s">
        <v>9282</v>
      </c>
      <c r="J5527" s="451" t="s">
        <v>26061</v>
      </c>
      <c r="K5527" s="451"/>
    </row>
    <row r="5528" spans="1:11">
      <c r="A5528" s="450" t="s">
        <v>26062</v>
      </c>
      <c r="B5528" s="450" t="s">
        <v>26063</v>
      </c>
      <c r="C5528" s="450" t="s">
        <v>26064</v>
      </c>
      <c r="D5528" s="450"/>
      <c r="E5528" s="450"/>
      <c r="F5528" s="450"/>
      <c r="G5528" s="450" t="s">
        <v>22877</v>
      </c>
      <c r="H5528" s="450" t="s">
        <v>22878</v>
      </c>
      <c r="I5528" s="450" t="s">
        <v>26065</v>
      </c>
      <c r="J5528" s="450" t="s">
        <v>26066</v>
      </c>
      <c r="K5528" s="450"/>
    </row>
    <row r="5529" spans="1:11">
      <c r="A5529" s="451" t="s">
        <v>9283</v>
      </c>
      <c r="B5529" s="451" t="s">
        <v>9284</v>
      </c>
      <c r="C5529" s="451" t="s">
        <v>9285</v>
      </c>
      <c r="D5529" s="451"/>
      <c r="E5529" s="451"/>
      <c r="F5529" s="451"/>
      <c r="G5529" s="451" t="s">
        <v>22882</v>
      </c>
      <c r="H5529" s="451" t="s">
        <v>22883</v>
      </c>
      <c r="I5529" s="451" t="s">
        <v>26067</v>
      </c>
      <c r="J5529" s="451" t="s">
        <v>26068</v>
      </c>
      <c r="K5529" s="451"/>
    </row>
    <row r="5530" spans="1:11">
      <c r="A5530" s="450" t="s">
        <v>9286</v>
      </c>
      <c r="B5530" s="450" t="s">
        <v>9287</v>
      </c>
      <c r="C5530" s="450" t="s">
        <v>9288</v>
      </c>
      <c r="D5530" s="450"/>
      <c r="E5530" s="450"/>
      <c r="F5530" s="450"/>
      <c r="G5530" s="450" t="s">
        <v>22877</v>
      </c>
      <c r="H5530" s="450" t="s">
        <v>22878</v>
      </c>
      <c r="I5530" s="450" t="s">
        <v>25126</v>
      </c>
      <c r="J5530" s="450" t="s">
        <v>35686</v>
      </c>
      <c r="K5530" s="450"/>
    </row>
    <row r="5531" spans="1:11">
      <c r="A5531" s="451" t="s">
        <v>9289</v>
      </c>
      <c r="B5531" s="451" t="s">
        <v>9290</v>
      </c>
      <c r="C5531" s="451" t="s">
        <v>9291</v>
      </c>
      <c r="D5531" s="451"/>
      <c r="E5531" s="451"/>
      <c r="F5531" s="451"/>
      <c r="G5531" s="451" t="s">
        <v>22877</v>
      </c>
      <c r="H5531" s="451" t="s">
        <v>22878</v>
      </c>
      <c r="I5531" s="451" t="s">
        <v>25126</v>
      </c>
      <c r="J5531" s="451" t="s">
        <v>31482</v>
      </c>
      <c r="K5531" s="451"/>
    </row>
    <row r="5532" spans="1:11">
      <c r="A5532" s="450" t="s">
        <v>9292</v>
      </c>
      <c r="B5532" s="450" t="s">
        <v>26069</v>
      </c>
      <c r="C5532" s="450" t="s">
        <v>9294</v>
      </c>
      <c r="D5532" s="450"/>
      <c r="E5532" s="450"/>
      <c r="F5532" s="450"/>
      <c r="G5532" s="450" t="s">
        <v>22877</v>
      </c>
      <c r="H5532" s="450" t="s">
        <v>22878</v>
      </c>
      <c r="I5532" s="450" t="s">
        <v>26070</v>
      </c>
      <c r="J5532" s="450" t="s">
        <v>26071</v>
      </c>
      <c r="K5532" s="450"/>
    </row>
    <row r="5533" spans="1:11">
      <c r="A5533" s="451" t="s">
        <v>9292</v>
      </c>
      <c r="B5533" s="451" t="s">
        <v>9293</v>
      </c>
      <c r="C5533" s="451" t="s">
        <v>9294</v>
      </c>
      <c r="D5533" s="451"/>
      <c r="E5533" s="451"/>
      <c r="F5533" s="451"/>
      <c r="G5533" s="451" t="s">
        <v>22877</v>
      </c>
      <c r="H5533" s="451" t="s">
        <v>22878</v>
      </c>
      <c r="I5533" s="451" t="s">
        <v>31483</v>
      </c>
      <c r="J5533" s="451" t="s">
        <v>31484</v>
      </c>
      <c r="K5533" s="451"/>
    </row>
    <row r="5534" spans="1:11">
      <c r="A5534" s="450" t="s">
        <v>9295</v>
      </c>
      <c r="B5534" s="450" t="s">
        <v>9296</v>
      </c>
      <c r="C5534" s="450" t="s">
        <v>9297</v>
      </c>
      <c r="D5534" s="450"/>
      <c r="E5534" s="450"/>
      <c r="F5534" s="450"/>
      <c r="G5534" s="450" t="s">
        <v>22877</v>
      </c>
      <c r="H5534" s="450" t="s">
        <v>22878</v>
      </c>
      <c r="I5534" s="450" t="s">
        <v>26072</v>
      </c>
      <c r="J5534" s="450" t="s">
        <v>26073</v>
      </c>
      <c r="K5534" s="450"/>
    </row>
    <row r="5535" spans="1:11">
      <c r="A5535" s="451" t="s">
        <v>9298</v>
      </c>
      <c r="B5535" s="451"/>
      <c r="C5535" s="451" t="s">
        <v>4789</v>
      </c>
      <c r="D5535" s="451"/>
      <c r="E5535" s="451"/>
      <c r="F5535" s="451"/>
      <c r="G5535" s="451" t="s">
        <v>22877</v>
      </c>
      <c r="H5535" s="451" t="s">
        <v>22878</v>
      </c>
      <c r="I5535" s="451" t="s">
        <v>35687</v>
      </c>
      <c r="J5535" s="451" t="s">
        <v>22997</v>
      </c>
      <c r="K5535" s="451"/>
    </row>
    <row r="5536" spans="1:11">
      <c r="A5536" s="450" t="s">
        <v>21732</v>
      </c>
      <c r="B5536" s="450" t="s">
        <v>9299</v>
      </c>
      <c r="C5536" s="450" t="s">
        <v>7868</v>
      </c>
      <c r="D5536" s="450"/>
      <c r="E5536" s="450"/>
      <c r="F5536" s="450"/>
      <c r="G5536" s="450" t="s">
        <v>22882</v>
      </c>
      <c r="H5536" s="450" t="s">
        <v>22883</v>
      </c>
      <c r="I5536" s="450"/>
      <c r="J5536" s="450" t="s">
        <v>35688</v>
      </c>
      <c r="K5536" s="450"/>
    </row>
    <row r="5537" spans="1:11">
      <c r="A5537" s="451" t="s">
        <v>9300</v>
      </c>
      <c r="B5537" s="451"/>
      <c r="C5537" s="451" t="s">
        <v>9301</v>
      </c>
      <c r="D5537" s="451"/>
      <c r="E5537" s="451"/>
      <c r="F5537" s="451"/>
      <c r="G5537" s="451" t="s">
        <v>22882</v>
      </c>
      <c r="H5537" s="451" t="s">
        <v>22883</v>
      </c>
      <c r="I5537" s="451"/>
      <c r="J5537" s="451" t="s">
        <v>22939</v>
      </c>
      <c r="K5537" s="451"/>
    </row>
    <row r="5538" spans="1:11">
      <c r="A5538" s="450" t="s">
        <v>9302</v>
      </c>
      <c r="B5538" s="450"/>
      <c r="C5538" s="450" t="s">
        <v>8717</v>
      </c>
      <c r="D5538" s="450"/>
      <c r="E5538" s="450"/>
      <c r="F5538" s="450"/>
      <c r="G5538" s="450" t="s">
        <v>22877</v>
      </c>
      <c r="H5538" s="450" t="s">
        <v>22878</v>
      </c>
      <c r="I5538" s="450" t="s">
        <v>35689</v>
      </c>
      <c r="J5538" s="450" t="s">
        <v>23185</v>
      </c>
      <c r="K5538" s="450"/>
    </row>
    <row r="5539" spans="1:11">
      <c r="A5539" s="451" t="s">
        <v>35690</v>
      </c>
      <c r="B5539" s="451"/>
      <c r="C5539" s="451" t="s">
        <v>35536</v>
      </c>
      <c r="D5539" s="451"/>
      <c r="E5539" s="451"/>
      <c r="F5539" s="451"/>
      <c r="G5539" s="451" t="s">
        <v>22877</v>
      </c>
      <c r="H5539" s="451" t="s">
        <v>22878</v>
      </c>
      <c r="I5539" s="451" t="s">
        <v>35691</v>
      </c>
      <c r="J5539" s="451" t="s">
        <v>22939</v>
      </c>
      <c r="K5539" s="451"/>
    </row>
    <row r="5540" spans="1:11">
      <c r="A5540" s="450" t="s">
        <v>9303</v>
      </c>
      <c r="B5540" s="450"/>
      <c r="C5540" s="450" t="s">
        <v>9304</v>
      </c>
      <c r="D5540" s="450"/>
      <c r="E5540" s="450"/>
      <c r="F5540" s="450"/>
      <c r="G5540" s="450" t="s">
        <v>22877</v>
      </c>
      <c r="H5540" s="450" t="s">
        <v>22878</v>
      </c>
      <c r="I5540" s="450" t="s">
        <v>35692</v>
      </c>
      <c r="J5540" s="450" t="s">
        <v>22939</v>
      </c>
      <c r="K5540" s="450"/>
    </row>
    <row r="5541" spans="1:11">
      <c r="A5541" s="451" t="s">
        <v>35693</v>
      </c>
      <c r="B5541" s="451"/>
      <c r="C5541" s="451" t="s">
        <v>9306</v>
      </c>
      <c r="D5541" s="451"/>
      <c r="E5541" s="451"/>
      <c r="F5541" s="451"/>
      <c r="G5541" s="451" t="s">
        <v>22882</v>
      </c>
      <c r="H5541" s="451" t="s">
        <v>22883</v>
      </c>
      <c r="I5541" s="451"/>
      <c r="J5541" s="451" t="s">
        <v>22939</v>
      </c>
      <c r="K5541" s="451"/>
    </row>
    <row r="5542" spans="1:11">
      <c r="A5542" s="450" t="s">
        <v>9305</v>
      </c>
      <c r="B5542" s="450"/>
      <c r="C5542" s="450" t="s">
        <v>9306</v>
      </c>
      <c r="D5542" s="450"/>
      <c r="E5542" s="450"/>
      <c r="F5542" s="450"/>
      <c r="G5542" s="450" t="s">
        <v>22877</v>
      </c>
      <c r="H5542" s="450" t="s">
        <v>22878</v>
      </c>
      <c r="I5542" s="450" t="s">
        <v>35694</v>
      </c>
      <c r="J5542" s="450" t="s">
        <v>23185</v>
      </c>
      <c r="K5542" s="450"/>
    </row>
    <row r="5543" spans="1:11">
      <c r="A5543" s="451" t="s">
        <v>35695</v>
      </c>
      <c r="B5543" s="451"/>
      <c r="C5543" s="451" t="s">
        <v>9308</v>
      </c>
      <c r="D5543" s="451"/>
      <c r="E5543" s="451"/>
      <c r="F5543" s="451"/>
      <c r="G5543" s="451" t="s">
        <v>22882</v>
      </c>
      <c r="H5543" s="451" t="s">
        <v>22883</v>
      </c>
      <c r="I5543" s="451"/>
      <c r="J5543" s="451" t="s">
        <v>22943</v>
      </c>
      <c r="K5543" s="451"/>
    </row>
    <row r="5544" spans="1:11">
      <c r="A5544" s="450" t="s">
        <v>9307</v>
      </c>
      <c r="B5544" s="450"/>
      <c r="C5544" s="450" t="s">
        <v>9308</v>
      </c>
      <c r="D5544" s="450"/>
      <c r="E5544" s="450"/>
      <c r="F5544" s="450"/>
      <c r="G5544" s="450" t="s">
        <v>22877</v>
      </c>
      <c r="H5544" s="450" t="s">
        <v>22878</v>
      </c>
      <c r="I5544" s="450" t="s">
        <v>35696</v>
      </c>
      <c r="J5544" s="450" t="s">
        <v>35697</v>
      </c>
      <c r="K5544" s="450"/>
    </row>
    <row r="5545" spans="1:11">
      <c r="A5545" s="451" t="s">
        <v>35698</v>
      </c>
      <c r="B5545" s="451"/>
      <c r="C5545" s="451" t="s">
        <v>9310</v>
      </c>
      <c r="D5545" s="451"/>
      <c r="E5545" s="451"/>
      <c r="F5545" s="451"/>
      <c r="G5545" s="451" t="s">
        <v>22877</v>
      </c>
      <c r="H5545" s="451" t="s">
        <v>22878</v>
      </c>
      <c r="I5545" s="451" t="s">
        <v>35699</v>
      </c>
      <c r="J5545" s="451" t="s">
        <v>22939</v>
      </c>
      <c r="K5545" s="451"/>
    </row>
    <row r="5546" spans="1:11">
      <c r="A5546" s="450" t="s">
        <v>9309</v>
      </c>
      <c r="B5546" s="450"/>
      <c r="C5546" s="450" t="s">
        <v>9310</v>
      </c>
      <c r="D5546" s="450"/>
      <c r="E5546" s="450"/>
      <c r="F5546" s="450"/>
      <c r="G5546" s="450" t="s">
        <v>22877</v>
      </c>
      <c r="H5546" s="450" t="s">
        <v>22878</v>
      </c>
      <c r="I5546" s="450" t="s">
        <v>35700</v>
      </c>
      <c r="J5546" s="450" t="s">
        <v>23185</v>
      </c>
      <c r="K5546" s="450"/>
    </row>
    <row r="5547" spans="1:11">
      <c r="A5547" s="451" t="s">
        <v>9311</v>
      </c>
      <c r="B5547" s="451"/>
      <c r="C5547" s="451" t="s">
        <v>9312</v>
      </c>
      <c r="D5547" s="451"/>
      <c r="E5547" s="451"/>
      <c r="F5547" s="451"/>
      <c r="G5547" s="451" t="s">
        <v>22882</v>
      </c>
      <c r="H5547" s="451" t="s">
        <v>22883</v>
      </c>
      <c r="I5547" s="451"/>
      <c r="J5547" s="451" t="s">
        <v>22997</v>
      </c>
      <c r="K5547" s="451"/>
    </row>
    <row r="5548" spans="1:11">
      <c r="A5548" s="450" t="s">
        <v>9313</v>
      </c>
      <c r="B5548" s="450"/>
      <c r="C5548" s="450" t="s">
        <v>9314</v>
      </c>
      <c r="D5548" s="450"/>
      <c r="E5548" s="450"/>
      <c r="F5548" s="450"/>
      <c r="G5548" s="450" t="s">
        <v>22882</v>
      </c>
      <c r="H5548" s="450" t="s">
        <v>22883</v>
      </c>
      <c r="I5548" s="450"/>
      <c r="J5548" s="450" t="s">
        <v>22997</v>
      </c>
      <c r="K5548" s="450"/>
    </row>
    <row r="5549" spans="1:11">
      <c r="A5549" s="451" t="s">
        <v>35701</v>
      </c>
      <c r="B5549" s="451"/>
      <c r="C5549" s="451" t="s">
        <v>9316</v>
      </c>
      <c r="D5549" s="451"/>
      <c r="E5549" s="451"/>
      <c r="F5549" s="451"/>
      <c r="G5549" s="451" t="s">
        <v>22882</v>
      </c>
      <c r="H5549" s="451" t="s">
        <v>22883</v>
      </c>
      <c r="I5549" s="451"/>
      <c r="J5549" s="451" t="s">
        <v>23133</v>
      </c>
      <c r="K5549" s="451"/>
    </row>
    <row r="5550" spans="1:11">
      <c r="A5550" s="450" t="s">
        <v>9315</v>
      </c>
      <c r="B5550" s="450"/>
      <c r="C5550" s="450" t="s">
        <v>9316</v>
      </c>
      <c r="D5550" s="450"/>
      <c r="E5550" s="450"/>
      <c r="F5550" s="450"/>
      <c r="G5550" s="450" t="s">
        <v>22882</v>
      </c>
      <c r="H5550" s="450" t="s">
        <v>22883</v>
      </c>
      <c r="I5550" s="450" t="s">
        <v>31485</v>
      </c>
      <c r="J5550" s="450" t="s">
        <v>23185</v>
      </c>
      <c r="K5550" s="450"/>
    </row>
    <row r="5551" spans="1:11">
      <c r="A5551" s="451" t="s">
        <v>9317</v>
      </c>
      <c r="B5551" s="451"/>
      <c r="C5551" s="451" t="s">
        <v>9318</v>
      </c>
      <c r="D5551" s="451"/>
      <c r="E5551" s="451"/>
      <c r="F5551" s="451"/>
      <c r="G5551" s="451" t="s">
        <v>22882</v>
      </c>
      <c r="H5551" s="451" t="s">
        <v>22883</v>
      </c>
      <c r="I5551" s="451"/>
      <c r="J5551" s="451" t="s">
        <v>22939</v>
      </c>
      <c r="K5551" s="451"/>
    </row>
    <row r="5552" spans="1:11">
      <c r="A5552" s="450" t="s">
        <v>35702</v>
      </c>
      <c r="B5552" s="450" t="s">
        <v>9320</v>
      </c>
      <c r="C5552" s="450" t="s">
        <v>9321</v>
      </c>
      <c r="D5552" s="450"/>
      <c r="E5552" s="450"/>
      <c r="F5552" s="450"/>
      <c r="G5552" s="450" t="s">
        <v>22882</v>
      </c>
      <c r="H5552" s="450" t="s">
        <v>22883</v>
      </c>
      <c r="I5552" s="450"/>
      <c r="J5552" s="450" t="s">
        <v>35703</v>
      </c>
      <c r="K5552" s="450"/>
    </row>
    <row r="5553" spans="1:11">
      <c r="A5553" s="451" t="s">
        <v>9319</v>
      </c>
      <c r="B5553" s="451" t="s">
        <v>9320</v>
      </c>
      <c r="C5553" s="451" t="s">
        <v>9321</v>
      </c>
      <c r="D5553" s="451"/>
      <c r="E5553" s="451"/>
      <c r="F5553" s="451"/>
      <c r="G5553" s="451" t="s">
        <v>22877</v>
      </c>
      <c r="H5553" s="451" t="s">
        <v>22878</v>
      </c>
      <c r="I5553" s="451" t="s">
        <v>31486</v>
      </c>
      <c r="J5553" s="451" t="s">
        <v>31487</v>
      </c>
      <c r="K5553" s="451"/>
    </row>
    <row r="5554" spans="1:11">
      <c r="A5554" s="450" t="s">
        <v>9322</v>
      </c>
      <c r="B5554" s="450"/>
      <c r="C5554" s="450" t="s">
        <v>4789</v>
      </c>
      <c r="D5554" s="450"/>
      <c r="E5554" s="450"/>
      <c r="F5554" s="450"/>
      <c r="G5554" s="450" t="s">
        <v>22877</v>
      </c>
      <c r="H5554" s="450" t="s">
        <v>22878</v>
      </c>
      <c r="I5554" s="450" t="s">
        <v>35687</v>
      </c>
      <c r="J5554" s="450" t="s">
        <v>22939</v>
      </c>
      <c r="K5554" s="450"/>
    </row>
    <row r="5555" spans="1:11">
      <c r="A5555" s="451" t="s">
        <v>9323</v>
      </c>
      <c r="B5555" s="451"/>
      <c r="C5555" s="451" t="s">
        <v>9324</v>
      </c>
      <c r="D5555" s="451"/>
      <c r="E5555" s="451"/>
      <c r="F5555" s="451"/>
      <c r="G5555" s="451" t="s">
        <v>22882</v>
      </c>
      <c r="H5555" s="451" t="s">
        <v>22883</v>
      </c>
      <c r="I5555" s="451" t="s">
        <v>35704</v>
      </c>
      <c r="J5555" s="451" t="s">
        <v>22939</v>
      </c>
      <c r="K5555" s="451"/>
    </row>
    <row r="5556" spans="1:11">
      <c r="A5556" s="450" t="s">
        <v>21733</v>
      </c>
      <c r="B5556" s="450"/>
      <c r="C5556" s="450" t="s">
        <v>9325</v>
      </c>
      <c r="D5556" s="450"/>
      <c r="E5556" s="450"/>
      <c r="F5556" s="450"/>
      <c r="G5556" s="450" t="s">
        <v>22877</v>
      </c>
      <c r="H5556" s="450" t="s">
        <v>22878</v>
      </c>
      <c r="I5556" s="450" t="s">
        <v>35705</v>
      </c>
      <c r="J5556" s="450" t="s">
        <v>22997</v>
      </c>
      <c r="K5556" s="450"/>
    </row>
    <row r="5557" spans="1:11">
      <c r="A5557" s="451" t="s">
        <v>9326</v>
      </c>
      <c r="B5557" s="451"/>
      <c r="C5557" s="451" t="s">
        <v>1945</v>
      </c>
      <c r="D5557" s="451"/>
      <c r="E5557" s="451"/>
      <c r="F5557" s="451"/>
      <c r="G5557" s="451" t="s">
        <v>22882</v>
      </c>
      <c r="H5557" s="451" t="s">
        <v>22883</v>
      </c>
      <c r="I5557" s="451" t="s">
        <v>35706</v>
      </c>
      <c r="J5557" s="451" t="s">
        <v>22939</v>
      </c>
      <c r="K5557" s="451"/>
    </row>
    <row r="5558" spans="1:11">
      <c r="A5558" s="450" t="s">
        <v>9327</v>
      </c>
      <c r="B5558" s="450"/>
      <c r="C5558" s="450" t="s">
        <v>3684</v>
      </c>
      <c r="D5558" s="450"/>
      <c r="E5558" s="450"/>
      <c r="F5558" s="450"/>
      <c r="G5558" s="450" t="s">
        <v>22882</v>
      </c>
      <c r="H5558" s="450" t="s">
        <v>22883</v>
      </c>
      <c r="I5558" s="450" t="s">
        <v>35707</v>
      </c>
      <c r="J5558" s="450" t="s">
        <v>22943</v>
      </c>
      <c r="K5558" s="450"/>
    </row>
    <row r="5559" spans="1:11">
      <c r="A5559" s="451" t="s">
        <v>9328</v>
      </c>
      <c r="B5559" s="451"/>
      <c r="C5559" s="451" t="s">
        <v>9329</v>
      </c>
      <c r="D5559" s="451"/>
      <c r="E5559" s="451"/>
      <c r="F5559" s="451"/>
      <c r="G5559" s="451" t="s">
        <v>22882</v>
      </c>
      <c r="H5559" s="451" t="s">
        <v>22883</v>
      </c>
      <c r="I5559" s="451" t="s">
        <v>35708</v>
      </c>
      <c r="J5559" s="451" t="s">
        <v>22939</v>
      </c>
      <c r="K5559" s="451"/>
    </row>
    <row r="5560" spans="1:11">
      <c r="A5560" s="450" t="s">
        <v>9330</v>
      </c>
      <c r="B5560" s="450"/>
      <c r="C5560" s="450" t="s">
        <v>8753</v>
      </c>
      <c r="D5560" s="450"/>
      <c r="E5560" s="450"/>
      <c r="F5560" s="450"/>
      <c r="G5560" s="450" t="s">
        <v>22882</v>
      </c>
      <c r="H5560" s="450" t="s">
        <v>22883</v>
      </c>
      <c r="I5560" s="450"/>
      <c r="J5560" s="450" t="s">
        <v>22939</v>
      </c>
      <c r="K5560" s="450"/>
    </row>
    <row r="5561" spans="1:11">
      <c r="A5561" s="451" t="s">
        <v>9331</v>
      </c>
      <c r="B5561" s="451" t="s">
        <v>9332</v>
      </c>
      <c r="C5561" s="451" t="s">
        <v>9333</v>
      </c>
      <c r="D5561" s="451"/>
      <c r="E5561" s="451"/>
      <c r="F5561" s="451" t="s">
        <v>9334</v>
      </c>
      <c r="G5561" s="451" t="s">
        <v>22877</v>
      </c>
      <c r="H5561" s="451" t="s">
        <v>22878</v>
      </c>
      <c r="I5561" s="451" t="s">
        <v>35709</v>
      </c>
      <c r="J5561" s="451" t="s">
        <v>35710</v>
      </c>
      <c r="K5561" s="451"/>
    </row>
    <row r="5562" spans="1:11">
      <c r="A5562" s="450" t="s">
        <v>26074</v>
      </c>
      <c r="B5562" s="450" t="s">
        <v>9332</v>
      </c>
      <c r="C5562" s="450" t="s">
        <v>9333</v>
      </c>
      <c r="D5562" s="450"/>
      <c r="E5562" s="450"/>
      <c r="F5562" s="450" t="s">
        <v>9334</v>
      </c>
      <c r="G5562" s="450" t="s">
        <v>22877</v>
      </c>
      <c r="H5562" s="450" t="s">
        <v>22878</v>
      </c>
      <c r="I5562" s="450" t="s">
        <v>26075</v>
      </c>
      <c r="J5562" s="450" t="s">
        <v>26076</v>
      </c>
      <c r="K5562" s="450"/>
    </row>
    <row r="5563" spans="1:11">
      <c r="A5563" s="451" t="s">
        <v>26077</v>
      </c>
      <c r="B5563" s="451" t="s">
        <v>9338</v>
      </c>
      <c r="C5563" s="451" t="s">
        <v>9339</v>
      </c>
      <c r="D5563" s="451" t="s">
        <v>9340</v>
      </c>
      <c r="E5563" s="451"/>
      <c r="F5563" s="451"/>
      <c r="G5563" s="451" t="s">
        <v>22877</v>
      </c>
      <c r="H5563" s="451" t="s">
        <v>22878</v>
      </c>
      <c r="I5563" s="451" t="s">
        <v>9340</v>
      </c>
      <c r="J5563" s="451" t="s">
        <v>26078</v>
      </c>
      <c r="K5563" s="451"/>
    </row>
    <row r="5564" spans="1:11">
      <c r="A5564" s="450" t="s">
        <v>26079</v>
      </c>
      <c r="B5564" s="450" t="s">
        <v>35711</v>
      </c>
      <c r="C5564" s="450" t="s">
        <v>26080</v>
      </c>
      <c r="D5564" s="450"/>
      <c r="E5564" s="450"/>
      <c r="F5564" s="450"/>
      <c r="G5564" s="450" t="s">
        <v>22877</v>
      </c>
      <c r="H5564" s="450" t="s">
        <v>22878</v>
      </c>
      <c r="I5564" s="450" t="s">
        <v>26081</v>
      </c>
      <c r="J5564" s="450" t="s">
        <v>35712</v>
      </c>
      <c r="K5564" s="450"/>
    </row>
    <row r="5565" spans="1:11">
      <c r="A5565" s="451" t="s">
        <v>26079</v>
      </c>
      <c r="B5565" s="451" t="s">
        <v>26082</v>
      </c>
      <c r="C5565" s="451" t="s">
        <v>26080</v>
      </c>
      <c r="D5565" s="451"/>
      <c r="E5565" s="451"/>
      <c r="F5565" s="451"/>
      <c r="G5565" s="451" t="s">
        <v>22877</v>
      </c>
      <c r="H5565" s="451" t="s">
        <v>22878</v>
      </c>
      <c r="I5565" s="451" t="s">
        <v>26081</v>
      </c>
      <c r="J5565" s="451" t="s">
        <v>26083</v>
      </c>
      <c r="K5565" s="451"/>
    </row>
    <row r="5566" spans="1:11">
      <c r="A5566" s="450" t="s">
        <v>9342</v>
      </c>
      <c r="B5566" s="450" t="s">
        <v>9343</v>
      </c>
      <c r="C5566" s="450" t="s">
        <v>9344</v>
      </c>
      <c r="D5566" s="450"/>
      <c r="E5566" s="450"/>
      <c r="F5566" s="450"/>
      <c r="G5566" s="450" t="s">
        <v>22877</v>
      </c>
      <c r="H5566" s="450" t="s">
        <v>22878</v>
      </c>
      <c r="I5566" s="450" t="s">
        <v>26084</v>
      </c>
      <c r="J5566" s="450" t="s">
        <v>26085</v>
      </c>
      <c r="K5566" s="450"/>
    </row>
    <row r="5567" spans="1:11">
      <c r="A5567" s="451" t="s">
        <v>9345</v>
      </c>
      <c r="B5567" s="451"/>
      <c r="C5567" s="451" t="s">
        <v>9346</v>
      </c>
      <c r="D5567" s="451"/>
      <c r="E5567" s="451"/>
      <c r="F5567" s="451"/>
      <c r="G5567" s="451" t="s">
        <v>22877</v>
      </c>
      <c r="H5567" s="451" t="s">
        <v>22878</v>
      </c>
      <c r="I5567" s="451" t="s">
        <v>35713</v>
      </c>
      <c r="J5567" s="451" t="s">
        <v>22997</v>
      </c>
      <c r="K5567" s="451"/>
    </row>
    <row r="5568" spans="1:11">
      <c r="A5568" s="450" t="s">
        <v>35714</v>
      </c>
      <c r="B5568" s="450"/>
      <c r="C5568" s="450" t="s">
        <v>9346</v>
      </c>
      <c r="D5568" s="450"/>
      <c r="E5568" s="450"/>
      <c r="F5568" s="450"/>
      <c r="G5568" s="450" t="s">
        <v>22877</v>
      </c>
      <c r="H5568" s="450" t="s">
        <v>22878</v>
      </c>
      <c r="I5568" s="450" t="s">
        <v>35715</v>
      </c>
      <c r="J5568" s="450" t="s">
        <v>22943</v>
      </c>
      <c r="K5568" s="450"/>
    </row>
    <row r="5569" spans="1:11">
      <c r="A5569" s="451" t="s">
        <v>9347</v>
      </c>
      <c r="B5569" s="451"/>
      <c r="C5569" s="451" t="s">
        <v>1650</v>
      </c>
      <c r="D5569" s="451"/>
      <c r="E5569" s="451"/>
      <c r="F5569" s="451"/>
      <c r="G5569" s="451" t="s">
        <v>22882</v>
      </c>
      <c r="H5569" s="451" t="s">
        <v>22883</v>
      </c>
      <c r="I5569" s="451" t="s">
        <v>35716</v>
      </c>
      <c r="J5569" s="451" t="s">
        <v>23370</v>
      </c>
      <c r="K5569" s="451"/>
    </row>
    <row r="5570" spans="1:11">
      <c r="A5570" s="450" t="s">
        <v>9348</v>
      </c>
      <c r="B5570" s="450"/>
      <c r="C5570" s="450" t="s">
        <v>9349</v>
      </c>
      <c r="D5570" s="450"/>
      <c r="E5570" s="450"/>
      <c r="F5570" s="450"/>
      <c r="G5570" s="450" t="s">
        <v>22882</v>
      </c>
      <c r="H5570" s="450" t="s">
        <v>22883</v>
      </c>
      <c r="I5570" s="450"/>
      <c r="J5570" s="450" t="s">
        <v>22943</v>
      </c>
      <c r="K5570" s="450"/>
    </row>
    <row r="5571" spans="1:11">
      <c r="A5571" s="451" t="s">
        <v>9350</v>
      </c>
      <c r="B5571" s="451"/>
      <c r="C5571" s="451" t="s">
        <v>9351</v>
      </c>
      <c r="D5571" s="451"/>
      <c r="E5571" s="451"/>
      <c r="F5571" s="451"/>
      <c r="G5571" s="451" t="s">
        <v>22877</v>
      </c>
      <c r="H5571" s="451" t="s">
        <v>22878</v>
      </c>
      <c r="I5571" s="451" t="s">
        <v>26086</v>
      </c>
      <c r="J5571" s="451" t="s">
        <v>23370</v>
      </c>
      <c r="K5571" s="451"/>
    </row>
    <row r="5572" spans="1:11">
      <c r="A5572" s="450" t="s">
        <v>9352</v>
      </c>
      <c r="B5572" s="450"/>
      <c r="C5572" s="450" t="s">
        <v>3584</v>
      </c>
      <c r="D5572" s="450"/>
      <c r="E5572" s="450"/>
      <c r="F5572" s="450"/>
      <c r="G5572" s="450" t="s">
        <v>22882</v>
      </c>
      <c r="H5572" s="450" t="s">
        <v>22883</v>
      </c>
      <c r="I5572" s="450"/>
      <c r="J5572" s="450" t="s">
        <v>22943</v>
      </c>
      <c r="K5572" s="450"/>
    </row>
    <row r="5573" spans="1:11">
      <c r="A5573" s="451" t="s">
        <v>9353</v>
      </c>
      <c r="B5573" s="451"/>
      <c r="C5573" s="451" t="s">
        <v>2692</v>
      </c>
      <c r="D5573" s="451"/>
      <c r="E5573" s="451"/>
      <c r="F5573" s="451"/>
      <c r="G5573" s="451" t="s">
        <v>22882</v>
      </c>
      <c r="H5573" s="451" t="s">
        <v>22883</v>
      </c>
      <c r="I5573" s="451"/>
      <c r="J5573" s="451" t="s">
        <v>23121</v>
      </c>
      <c r="K5573" s="451"/>
    </row>
    <row r="5574" spans="1:11">
      <c r="A5574" s="450" t="s">
        <v>9354</v>
      </c>
      <c r="B5574" s="450" t="s">
        <v>9355</v>
      </c>
      <c r="C5574" s="450" t="s">
        <v>9356</v>
      </c>
      <c r="D5574" s="450" t="s">
        <v>9088</v>
      </c>
      <c r="E5574" s="450"/>
      <c r="F5574" s="450"/>
      <c r="G5574" s="450" t="s">
        <v>22882</v>
      </c>
      <c r="H5574" s="450" t="s">
        <v>22883</v>
      </c>
      <c r="I5574" s="450"/>
      <c r="J5574" s="450" t="s">
        <v>26087</v>
      </c>
      <c r="K5574" s="450"/>
    </row>
    <row r="5575" spans="1:11">
      <c r="A5575" s="451" t="s">
        <v>9354</v>
      </c>
      <c r="B5575" s="451" t="s">
        <v>9355</v>
      </c>
      <c r="C5575" s="451" t="s">
        <v>9356</v>
      </c>
      <c r="D5575" s="451" t="s">
        <v>9088</v>
      </c>
      <c r="E5575" s="451" t="s">
        <v>9089</v>
      </c>
      <c r="F5575" s="451"/>
      <c r="G5575" s="451" t="s">
        <v>22882</v>
      </c>
      <c r="H5575" s="451" t="s">
        <v>22883</v>
      </c>
      <c r="I5575" s="451" t="s">
        <v>31456</v>
      </c>
      <c r="J5575" s="451" t="s">
        <v>26087</v>
      </c>
      <c r="K5575" s="451"/>
    </row>
    <row r="5576" spans="1:11">
      <c r="A5576" s="450" t="s">
        <v>35717</v>
      </c>
      <c r="B5576" s="450" t="s">
        <v>9358</v>
      </c>
      <c r="C5576" s="450" t="s">
        <v>9359</v>
      </c>
      <c r="D5576" s="450" t="s">
        <v>9360</v>
      </c>
      <c r="E5576" s="450"/>
      <c r="F5576" s="450"/>
      <c r="G5576" s="450" t="s">
        <v>22877</v>
      </c>
      <c r="H5576" s="450" t="s">
        <v>22878</v>
      </c>
      <c r="I5576" s="450" t="s">
        <v>9360</v>
      </c>
      <c r="J5576" s="450" t="s">
        <v>35718</v>
      </c>
      <c r="K5576" s="450"/>
    </row>
    <row r="5577" spans="1:11">
      <c r="A5577" s="451" t="s">
        <v>9357</v>
      </c>
      <c r="B5577" s="451" t="s">
        <v>9358</v>
      </c>
      <c r="C5577" s="451" t="s">
        <v>9359</v>
      </c>
      <c r="D5577" s="451" t="s">
        <v>9360</v>
      </c>
      <c r="E5577" s="451" t="s">
        <v>9361</v>
      </c>
      <c r="F5577" s="451"/>
      <c r="G5577" s="451" t="s">
        <v>22877</v>
      </c>
      <c r="H5577" s="451" t="s">
        <v>22878</v>
      </c>
      <c r="I5577" s="451" t="s">
        <v>31488</v>
      </c>
      <c r="J5577" s="451" t="s">
        <v>31489</v>
      </c>
      <c r="K5577" s="451"/>
    </row>
    <row r="5578" spans="1:11">
      <c r="A5578" s="450" t="s">
        <v>9362</v>
      </c>
      <c r="B5578" s="450"/>
      <c r="C5578" s="450" t="s">
        <v>9363</v>
      </c>
      <c r="D5578" s="450"/>
      <c r="E5578" s="450"/>
      <c r="F5578" s="450"/>
      <c r="G5578" s="450" t="s">
        <v>22882</v>
      </c>
      <c r="H5578" s="450" t="s">
        <v>22883</v>
      </c>
      <c r="I5578" s="450"/>
      <c r="J5578" s="450" t="s">
        <v>23121</v>
      </c>
      <c r="K5578" s="450"/>
    </row>
    <row r="5579" spans="1:11">
      <c r="A5579" s="451" t="s">
        <v>9364</v>
      </c>
      <c r="B5579" s="451"/>
      <c r="C5579" s="451" t="s">
        <v>9365</v>
      </c>
      <c r="D5579" s="451"/>
      <c r="E5579" s="451"/>
      <c r="F5579" s="451"/>
      <c r="G5579" s="451" t="s">
        <v>22877</v>
      </c>
      <c r="H5579" s="451" t="s">
        <v>22878</v>
      </c>
      <c r="I5579" s="451" t="s">
        <v>35719</v>
      </c>
      <c r="J5579" s="451" t="s">
        <v>22939</v>
      </c>
      <c r="K5579" s="451"/>
    </row>
    <row r="5580" spans="1:11">
      <c r="A5580" s="450" t="s">
        <v>35720</v>
      </c>
      <c r="B5580" s="450"/>
      <c r="C5580" s="450" t="s">
        <v>9367</v>
      </c>
      <c r="D5580" s="450"/>
      <c r="E5580" s="450"/>
      <c r="F5580" s="450"/>
      <c r="G5580" s="450" t="s">
        <v>22882</v>
      </c>
      <c r="H5580" s="450" t="s">
        <v>22883</v>
      </c>
      <c r="I5580" s="450"/>
      <c r="J5580" s="450" t="s">
        <v>24578</v>
      </c>
      <c r="K5580" s="450"/>
    </row>
    <row r="5581" spans="1:11">
      <c r="A5581" s="451" t="s">
        <v>9366</v>
      </c>
      <c r="B5581" s="451"/>
      <c r="C5581" s="451" t="s">
        <v>9367</v>
      </c>
      <c r="D5581" s="451"/>
      <c r="E5581" s="451"/>
      <c r="F5581" s="451"/>
      <c r="G5581" s="451" t="s">
        <v>22882</v>
      </c>
      <c r="H5581" s="451" t="s">
        <v>22883</v>
      </c>
      <c r="I5581" s="451" t="s">
        <v>31490</v>
      </c>
      <c r="J5581" s="451" t="s">
        <v>31491</v>
      </c>
      <c r="K5581" s="451"/>
    </row>
    <row r="5582" spans="1:11">
      <c r="A5582" s="450" t="s">
        <v>9368</v>
      </c>
      <c r="B5582" s="450" t="s">
        <v>26088</v>
      </c>
      <c r="C5582" s="450" t="s">
        <v>9370</v>
      </c>
      <c r="D5582" s="450"/>
      <c r="E5582" s="450"/>
      <c r="F5582" s="450"/>
      <c r="G5582" s="450" t="s">
        <v>22877</v>
      </c>
      <c r="H5582" s="450" t="s">
        <v>22878</v>
      </c>
      <c r="I5582" s="450" t="s">
        <v>26089</v>
      </c>
      <c r="J5582" s="450" t="s">
        <v>26090</v>
      </c>
      <c r="K5582" s="450"/>
    </row>
    <row r="5583" spans="1:11">
      <c r="A5583" s="451" t="s">
        <v>9368</v>
      </c>
      <c r="B5583" s="451" t="s">
        <v>9369</v>
      </c>
      <c r="C5583" s="451" t="s">
        <v>9370</v>
      </c>
      <c r="D5583" s="451"/>
      <c r="E5583" s="451"/>
      <c r="F5583" s="451"/>
      <c r="G5583" s="451" t="s">
        <v>22877</v>
      </c>
      <c r="H5583" s="451" t="s">
        <v>22878</v>
      </c>
      <c r="I5583" s="451" t="s">
        <v>31492</v>
      </c>
      <c r="J5583" s="451" t="s">
        <v>31493</v>
      </c>
      <c r="K5583" s="451"/>
    </row>
    <row r="5584" spans="1:11">
      <c r="A5584" s="450" t="s">
        <v>35721</v>
      </c>
      <c r="B5584" s="450"/>
      <c r="C5584" s="450" t="s">
        <v>2139</v>
      </c>
      <c r="D5584" s="450"/>
      <c r="E5584" s="450"/>
      <c r="F5584" s="450"/>
      <c r="G5584" s="450" t="s">
        <v>22882</v>
      </c>
      <c r="H5584" s="450" t="s">
        <v>22883</v>
      </c>
      <c r="I5584" s="450"/>
      <c r="J5584" s="450" t="s">
        <v>22997</v>
      </c>
      <c r="K5584" s="450"/>
    </row>
    <row r="5585" spans="1:11">
      <c r="A5585" s="451" t="s">
        <v>9371</v>
      </c>
      <c r="B5585" s="451"/>
      <c r="C5585" s="451" t="s">
        <v>9372</v>
      </c>
      <c r="D5585" s="451"/>
      <c r="E5585" s="451"/>
      <c r="F5585" s="451"/>
      <c r="G5585" s="451" t="s">
        <v>22882</v>
      </c>
      <c r="H5585" s="451" t="s">
        <v>22883</v>
      </c>
      <c r="I5585" s="451"/>
      <c r="J5585" s="451" t="s">
        <v>22943</v>
      </c>
      <c r="K5585" s="451"/>
    </row>
    <row r="5586" spans="1:11">
      <c r="A5586" s="450" t="s">
        <v>9373</v>
      </c>
      <c r="B5586" s="450"/>
      <c r="C5586" s="450" t="s">
        <v>2139</v>
      </c>
      <c r="D5586" s="450"/>
      <c r="E5586" s="450"/>
      <c r="F5586" s="450"/>
      <c r="G5586" s="450" t="s">
        <v>22882</v>
      </c>
      <c r="H5586" s="450" t="s">
        <v>22883</v>
      </c>
      <c r="I5586" s="450" t="s">
        <v>35722</v>
      </c>
      <c r="J5586" s="450" t="s">
        <v>23185</v>
      </c>
      <c r="K5586" s="450"/>
    </row>
    <row r="5587" spans="1:11">
      <c r="A5587" s="451" t="s">
        <v>9374</v>
      </c>
      <c r="B5587" s="451"/>
      <c r="C5587" s="451" t="s">
        <v>9375</v>
      </c>
      <c r="D5587" s="451"/>
      <c r="E5587" s="451"/>
      <c r="F5587" s="451"/>
      <c r="G5587" s="451" t="s">
        <v>22882</v>
      </c>
      <c r="H5587" s="451" t="s">
        <v>22883</v>
      </c>
      <c r="I5587" s="451"/>
      <c r="J5587" s="451" t="s">
        <v>22943</v>
      </c>
      <c r="K5587" s="451"/>
    </row>
    <row r="5588" spans="1:11">
      <c r="A5588" s="450" t="s">
        <v>9376</v>
      </c>
      <c r="B5588" s="450"/>
      <c r="C5588" s="450" t="s">
        <v>9377</v>
      </c>
      <c r="D5588" s="450"/>
      <c r="E5588" s="450"/>
      <c r="F5588" s="450"/>
      <c r="G5588" s="450" t="s">
        <v>22877</v>
      </c>
      <c r="H5588" s="450" t="s">
        <v>22878</v>
      </c>
      <c r="I5588" s="450" t="s">
        <v>35723</v>
      </c>
      <c r="J5588" s="450" t="s">
        <v>23133</v>
      </c>
      <c r="K5588" s="450"/>
    </row>
    <row r="5589" spans="1:11">
      <c r="A5589" s="451" t="s">
        <v>9378</v>
      </c>
      <c r="B5589" s="451"/>
      <c r="C5589" s="451" t="s">
        <v>9379</v>
      </c>
      <c r="D5589" s="451"/>
      <c r="E5589" s="451"/>
      <c r="F5589" s="451"/>
      <c r="G5589" s="451" t="s">
        <v>22882</v>
      </c>
      <c r="H5589" s="451" t="s">
        <v>22883</v>
      </c>
      <c r="I5589" s="451"/>
      <c r="J5589" s="451" t="s">
        <v>22943</v>
      </c>
      <c r="K5589" s="451"/>
    </row>
    <row r="5590" spans="1:11">
      <c r="A5590" s="450" t="s">
        <v>9380</v>
      </c>
      <c r="B5590" s="450" t="s">
        <v>9381</v>
      </c>
      <c r="C5590" s="450" t="s">
        <v>9382</v>
      </c>
      <c r="D5590" s="450"/>
      <c r="E5590" s="450"/>
      <c r="F5590" s="450"/>
      <c r="G5590" s="450" t="s">
        <v>22877</v>
      </c>
      <c r="H5590" s="450" t="s">
        <v>22878</v>
      </c>
      <c r="I5590" s="450" t="s">
        <v>26091</v>
      </c>
      <c r="J5590" s="450" t="s">
        <v>26092</v>
      </c>
      <c r="K5590" s="450"/>
    </row>
    <row r="5591" spans="1:11">
      <c r="A5591" s="451" t="s">
        <v>35724</v>
      </c>
      <c r="B5591" s="451"/>
      <c r="C5591" s="451" t="s">
        <v>9384</v>
      </c>
      <c r="D5591" s="451"/>
      <c r="E5591" s="451"/>
      <c r="F5591" s="451"/>
      <c r="G5591" s="451" t="s">
        <v>22877</v>
      </c>
      <c r="H5591" s="451" t="s">
        <v>22878</v>
      </c>
      <c r="I5591" s="451" t="s">
        <v>35725</v>
      </c>
      <c r="J5591" s="451" t="s">
        <v>22997</v>
      </c>
      <c r="K5591" s="451"/>
    </row>
    <row r="5592" spans="1:11">
      <c r="A5592" s="450" t="s">
        <v>9383</v>
      </c>
      <c r="B5592" s="450"/>
      <c r="C5592" s="450" t="s">
        <v>9384</v>
      </c>
      <c r="D5592" s="450"/>
      <c r="E5592" s="450"/>
      <c r="F5592" s="450"/>
      <c r="G5592" s="450" t="s">
        <v>22877</v>
      </c>
      <c r="H5592" s="450" t="s">
        <v>22878</v>
      </c>
      <c r="I5592" s="450" t="s">
        <v>35726</v>
      </c>
      <c r="J5592" s="450" t="s">
        <v>23185</v>
      </c>
      <c r="K5592" s="450"/>
    </row>
    <row r="5593" spans="1:11">
      <c r="A5593" s="451" t="s">
        <v>9385</v>
      </c>
      <c r="B5593" s="451"/>
      <c r="C5593" s="451" t="s">
        <v>3867</v>
      </c>
      <c r="D5593" s="451"/>
      <c r="E5593" s="451"/>
      <c r="F5593" s="451"/>
      <c r="G5593" s="451" t="s">
        <v>22882</v>
      </c>
      <c r="H5593" s="451" t="s">
        <v>22883</v>
      </c>
      <c r="I5593" s="451"/>
      <c r="J5593" s="451" t="s">
        <v>22997</v>
      </c>
      <c r="K5593" s="451"/>
    </row>
    <row r="5594" spans="1:11">
      <c r="A5594" s="450" t="s">
        <v>21734</v>
      </c>
      <c r="B5594" s="450"/>
      <c r="C5594" s="450" t="s">
        <v>5364</v>
      </c>
      <c r="D5594" s="450"/>
      <c r="E5594" s="450"/>
      <c r="F5594" s="450"/>
      <c r="G5594" s="450" t="s">
        <v>22882</v>
      </c>
      <c r="H5594" s="450" t="s">
        <v>22883</v>
      </c>
      <c r="I5594" s="450"/>
      <c r="J5594" s="450" t="s">
        <v>23133</v>
      </c>
      <c r="K5594" s="450"/>
    </row>
    <row r="5595" spans="1:11">
      <c r="A5595" s="451" t="s">
        <v>35727</v>
      </c>
      <c r="B5595" s="451"/>
      <c r="C5595" s="451" t="s">
        <v>4174</v>
      </c>
      <c r="D5595" s="451"/>
      <c r="E5595" s="451"/>
      <c r="F5595" s="451"/>
      <c r="G5595" s="451" t="s">
        <v>22882</v>
      </c>
      <c r="H5595" s="451" t="s">
        <v>22883</v>
      </c>
      <c r="I5595" s="451" t="s">
        <v>35728</v>
      </c>
      <c r="J5595" s="451" t="s">
        <v>22948</v>
      </c>
      <c r="K5595" s="451"/>
    </row>
    <row r="5596" spans="1:11">
      <c r="A5596" s="450" t="s">
        <v>9386</v>
      </c>
      <c r="B5596" s="450"/>
      <c r="C5596" s="450" t="s">
        <v>4174</v>
      </c>
      <c r="D5596" s="450"/>
      <c r="E5596" s="450"/>
      <c r="F5596" s="450"/>
      <c r="G5596" s="450" t="s">
        <v>22877</v>
      </c>
      <c r="H5596" s="450" t="s">
        <v>22878</v>
      </c>
      <c r="I5596" s="450" t="s">
        <v>31494</v>
      </c>
      <c r="J5596" s="450" t="s">
        <v>31495</v>
      </c>
      <c r="K5596" s="450"/>
    </row>
    <row r="5597" spans="1:11">
      <c r="A5597" s="451" t="s">
        <v>20987</v>
      </c>
      <c r="B5597" s="451" t="s">
        <v>20986</v>
      </c>
      <c r="C5597" s="451" t="s">
        <v>5750</v>
      </c>
      <c r="D5597" s="451" t="s">
        <v>20988</v>
      </c>
      <c r="E5597" s="451" t="s">
        <v>20989</v>
      </c>
      <c r="F5597" s="451" t="s">
        <v>20990</v>
      </c>
      <c r="G5597" s="451" t="s">
        <v>22877</v>
      </c>
      <c r="H5597" s="451" t="s">
        <v>22878</v>
      </c>
      <c r="I5597" s="451" t="s">
        <v>20988</v>
      </c>
      <c r="J5597" s="451" t="s">
        <v>31496</v>
      </c>
      <c r="K5597" s="451"/>
    </row>
    <row r="5598" spans="1:11">
      <c r="A5598" s="450" t="s">
        <v>9387</v>
      </c>
      <c r="B5598" s="450"/>
      <c r="C5598" s="450" t="s">
        <v>9388</v>
      </c>
      <c r="D5598" s="450"/>
      <c r="E5598" s="450"/>
      <c r="F5598" s="450"/>
      <c r="G5598" s="450" t="s">
        <v>22882</v>
      </c>
      <c r="H5598" s="450" t="s">
        <v>22883</v>
      </c>
      <c r="I5598" s="450"/>
      <c r="J5598" s="450" t="s">
        <v>22943</v>
      </c>
      <c r="K5598" s="450"/>
    </row>
    <row r="5599" spans="1:11">
      <c r="A5599" s="451" t="s">
        <v>9389</v>
      </c>
      <c r="B5599" s="451" t="s">
        <v>9390</v>
      </c>
      <c r="C5599" s="451" t="s">
        <v>9391</v>
      </c>
      <c r="D5599" s="451" t="s">
        <v>9392</v>
      </c>
      <c r="E5599" s="451"/>
      <c r="F5599" s="451"/>
      <c r="G5599" s="451" t="s">
        <v>22877</v>
      </c>
      <c r="H5599" s="451" t="s">
        <v>22878</v>
      </c>
      <c r="I5599" s="451" t="s">
        <v>9392</v>
      </c>
      <c r="J5599" s="451" t="s">
        <v>35729</v>
      </c>
      <c r="K5599" s="451"/>
    </row>
    <row r="5600" spans="1:11">
      <c r="A5600" s="450" t="s">
        <v>9389</v>
      </c>
      <c r="B5600" s="450" t="s">
        <v>9390</v>
      </c>
      <c r="C5600" s="450" t="s">
        <v>9391</v>
      </c>
      <c r="D5600" s="450" t="s">
        <v>9392</v>
      </c>
      <c r="E5600" s="450" t="s">
        <v>9393</v>
      </c>
      <c r="F5600" s="450"/>
      <c r="G5600" s="450" t="s">
        <v>22877</v>
      </c>
      <c r="H5600" s="450" t="s">
        <v>22878</v>
      </c>
      <c r="I5600" s="450" t="s">
        <v>31497</v>
      </c>
      <c r="J5600" s="450" t="s">
        <v>31498</v>
      </c>
      <c r="K5600" s="450"/>
    </row>
    <row r="5601" spans="1:11">
      <c r="A5601" s="451" t="s">
        <v>26093</v>
      </c>
      <c r="B5601" s="451" t="s">
        <v>26094</v>
      </c>
      <c r="C5601" s="451" t="s">
        <v>26095</v>
      </c>
      <c r="D5601" s="451" t="s">
        <v>26096</v>
      </c>
      <c r="E5601" s="451"/>
      <c r="F5601" s="451"/>
      <c r="G5601" s="451" t="s">
        <v>22877</v>
      </c>
      <c r="H5601" s="451" t="s">
        <v>22878</v>
      </c>
      <c r="I5601" s="451" t="s">
        <v>26097</v>
      </c>
      <c r="J5601" s="451" t="s">
        <v>26098</v>
      </c>
      <c r="K5601" s="451"/>
    </row>
    <row r="5602" spans="1:11">
      <c r="A5602" s="450" t="s">
        <v>9394</v>
      </c>
      <c r="B5602" s="450"/>
      <c r="C5602" s="450" t="s">
        <v>1902</v>
      </c>
      <c r="D5602" s="450"/>
      <c r="E5602" s="450"/>
      <c r="F5602" s="450"/>
      <c r="G5602" s="450" t="s">
        <v>22882</v>
      </c>
      <c r="H5602" s="450" t="s">
        <v>22883</v>
      </c>
      <c r="I5602" s="450"/>
      <c r="J5602" s="450" t="s">
        <v>22939</v>
      </c>
      <c r="K5602" s="450"/>
    </row>
    <row r="5603" spans="1:11">
      <c r="A5603" s="451" t="s">
        <v>9395</v>
      </c>
      <c r="B5603" s="451"/>
      <c r="C5603" s="451" t="s">
        <v>9396</v>
      </c>
      <c r="D5603" s="451"/>
      <c r="E5603" s="451"/>
      <c r="F5603" s="451"/>
      <c r="G5603" s="451" t="s">
        <v>22877</v>
      </c>
      <c r="H5603" s="451" t="s">
        <v>22878</v>
      </c>
      <c r="I5603" s="451" t="s">
        <v>26099</v>
      </c>
      <c r="J5603" s="451" t="s">
        <v>23370</v>
      </c>
      <c r="K5603" s="451"/>
    </row>
    <row r="5604" spans="1:11">
      <c r="A5604" s="450" t="s">
        <v>9397</v>
      </c>
      <c r="B5604" s="450" t="s">
        <v>9398</v>
      </c>
      <c r="C5604" s="450" t="s">
        <v>9399</v>
      </c>
      <c r="D5604" s="450"/>
      <c r="E5604" s="450"/>
      <c r="F5604" s="450"/>
      <c r="G5604" s="450" t="s">
        <v>22877</v>
      </c>
      <c r="H5604" s="450" t="s">
        <v>22878</v>
      </c>
      <c r="I5604" s="450" t="s">
        <v>26100</v>
      </c>
      <c r="J5604" s="450" t="s">
        <v>26101</v>
      </c>
      <c r="K5604" s="450"/>
    </row>
    <row r="5605" spans="1:11">
      <c r="A5605" s="451" t="s">
        <v>35730</v>
      </c>
      <c r="B5605" s="451"/>
      <c r="C5605" s="451" t="s">
        <v>9401</v>
      </c>
      <c r="D5605" s="451"/>
      <c r="E5605" s="451"/>
      <c r="F5605" s="451"/>
      <c r="G5605" s="451" t="s">
        <v>22877</v>
      </c>
      <c r="H5605" s="451" t="s">
        <v>22878</v>
      </c>
      <c r="I5605" s="451" t="s">
        <v>35731</v>
      </c>
      <c r="J5605" s="451" t="s">
        <v>22943</v>
      </c>
      <c r="K5605" s="451"/>
    </row>
    <row r="5606" spans="1:11">
      <c r="A5606" s="450" t="s">
        <v>9400</v>
      </c>
      <c r="B5606" s="450"/>
      <c r="C5606" s="450" t="s">
        <v>9401</v>
      </c>
      <c r="D5606" s="450"/>
      <c r="E5606" s="450"/>
      <c r="F5606" s="450"/>
      <c r="G5606" s="450" t="s">
        <v>22877</v>
      </c>
      <c r="H5606" s="450" t="s">
        <v>22878</v>
      </c>
      <c r="I5606" s="450" t="s">
        <v>31499</v>
      </c>
      <c r="J5606" s="450" t="s">
        <v>23185</v>
      </c>
      <c r="K5606" s="450"/>
    </row>
    <row r="5607" spans="1:11">
      <c r="A5607" s="451" t="s">
        <v>26102</v>
      </c>
      <c r="B5607" s="451" t="s">
        <v>26103</v>
      </c>
      <c r="C5607" s="451" t="s">
        <v>8178</v>
      </c>
      <c r="D5607" s="451" t="s">
        <v>26104</v>
      </c>
      <c r="E5607" s="451"/>
      <c r="F5607" s="451"/>
      <c r="G5607" s="451" t="s">
        <v>22877</v>
      </c>
      <c r="H5607" s="451" t="s">
        <v>22878</v>
      </c>
      <c r="I5607" s="451" t="s">
        <v>26104</v>
      </c>
      <c r="J5607" s="451" t="s">
        <v>26105</v>
      </c>
      <c r="K5607" s="451"/>
    </row>
    <row r="5608" spans="1:11">
      <c r="A5608" s="450" t="s">
        <v>9402</v>
      </c>
      <c r="B5608" s="450"/>
      <c r="C5608" s="450" t="s">
        <v>9403</v>
      </c>
      <c r="D5608" s="450"/>
      <c r="E5608" s="450"/>
      <c r="F5608" s="450"/>
      <c r="G5608" s="450" t="s">
        <v>22877</v>
      </c>
      <c r="H5608" s="450" t="s">
        <v>22878</v>
      </c>
      <c r="I5608" s="450" t="s">
        <v>35732</v>
      </c>
      <c r="J5608" s="450" t="s">
        <v>23185</v>
      </c>
      <c r="K5608" s="450"/>
    </row>
    <row r="5609" spans="1:11">
      <c r="A5609" s="451" t="s">
        <v>35733</v>
      </c>
      <c r="B5609" s="451"/>
      <c r="C5609" s="451" t="s">
        <v>9403</v>
      </c>
      <c r="D5609" s="451"/>
      <c r="E5609" s="451"/>
      <c r="F5609" s="451"/>
      <c r="G5609" s="451" t="s">
        <v>22877</v>
      </c>
      <c r="H5609" s="451" t="s">
        <v>22878</v>
      </c>
      <c r="I5609" s="451" t="s">
        <v>35734</v>
      </c>
      <c r="J5609" s="451" t="s">
        <v>23133</v>
      </c>
      <c r="K5609" s="451"/>
    </row>
    <row r="5610" spans="1:11">
      <c r="A5610" s="450" t="s">
        <v>35735</v>
      </c>
      <c r="B5610" s="450"/>
      <c r="C5610" s="450" t="s">
        <v>3201</v>
      </c>
      <c r="D5610" s="450"/>
      <c r="E5610" s="450"/>
      <c r="F5610" s="450"/>
      <c r="G5610" s="450" t="s">
        <v>22882</v>
      </c>
      <c r="H5610" s="450" t="s">
        <v>22883</v>
      </c>
      <c r="I5610" s="450" t="s">
        <v>35736</v>
      </c>
      <c r="J5610" s="450" t="s">
        <v>22943</v>
      </c>
      <c r="K5610" s="450"/>
    </row>
    <row r="5611" spans="1:11">
      <c r="A5611" s="451" t="s">
        <v>9404</v>
      </c>
      <c r="B5611" s="451"/>
      <c r="C5611" s="451" t="s">
        <v>7868</v>
      </c>
      <c r="D5611" s="451"/>
      <c r="E5611" s="451"/>
      <c r="F5611" s="451"/>
      <c r="G5611" s="451" t="s">
        <v>22877</v>
      </c>
      <c r="H5611" s="451" t="s">
        <v>22878</v>
      </c>
      <c r="I5611" s="451" t="s">
        <v>26106</v>
      </c>
      <c r="J5611" s="451" t="s">
        <v>23370</v>
      </c>
      <c r="K5611" s="451"/>
    </row>
    <row r="5612" spans="1:11">
      <c r="A5612" s="450" t="s">
        <v>9405</v>
      </c>
      <c r="B5612" s="450" t="s">
        <v>9406</v>
      </c>
      <c r="C5612" s="450" t="s">
        <v>1218</v>
      </c>
      <c r="D5612" s="450" t="s">
        <v>9407</v>
      </c>
      <c r="E5612" s="450"/>
      <c r="F5612" s="450"/>
      <c r="G5612" s="450" t="s">
        <v>22877</v>
      </c>
      <c r="H5612" s="450" t="s">
        <v>22878</v>
      </c>
      <c r="I5612" s="450" t="s">
        <v>35737</v>
      </c>
      <c r="J5612" s="450" t="s">
        <v>35738</v>
      </c>
      <c r="K5612" s="450"/>
    </row>
    <row r="5613" spans="1:11">
      <c r="A5613" s="451" t="s">
        <v>9405</v>
      </c>
      <c r="B5613" s="451" t="s">
        <v>9406</v>
      </c>
      <c r="C5613" s="451" t="s">
        <v>1218</v>
      </c>
      <c r="D5613" s="451" t="s">
        <v>9407</v>
      </c>
      <c r="E5613" s="451" t="s">
        <v>9408</v>
      </c>
      <c r="F5613" s="451"/>
      <c r="G5613" s="451" t="s">
        <v>22877</v>
      </c>
      <c r="H5613" s="451" t="s">
        <v>22878</v>
      </c>
      <c r="I5613" s="451" t="s">
        <v>27473</v>
      </c>
      <c r="J5613" s="451" t="s">
        <v>31500</v>
      </c>
      <c r="K5613" s="451"/>
    </row>
    <row r="5614" spans="1:11">
      <c r="A5614" s="450" t="s">
        <v>9409</v>
      </c>
      <c r="B5614" s="450"/>
      <c r="C5614" s="450" t="s">
        <v>9410</v>
      </c>
      <c r="D5614" s="450"/>
      <c r="E5614" s="450"/>
      <c r="F5614" s="450"/>
      <c r="G5614" s="450" t="s">
        <v>22877</v>
      </c>
      <c r="H5614" s="450" t="s">
        <v>22878</v>
      </c>
      <c r="I5614" s="450" t="s">
        <v>35739</v>
      </c>
      <c r="J5614" s="450" t="s">
        <v>22997</v>
      </c>
      <c r="K5614" s="450"/>
    </row>
    <row r="5615" spans="1:11">
      <c r="A5615" s="451" t="s">
        <v>26107</v>
      </c>
      <c r="B5615" s="451"/>
      <c r="C5615" s="451" t="s">
        <v>9410</v>
      </c>
      <c r="D5615" s="451"/>
      <c r="E5615" s="451"/>
      <c r="F5615" s="451"/>
      <c r="G5615" s="451" t="s">
        <v>22877</v>
      </c>
      <c r="H5615" s="451" t="s">
        <v>22878</v>
      </c>
      <c r="I5615" s="451" t="s">
        <v>26108</v>
      </c>
      <c r="J5615" s="451" t="s">
        <v>22943</v>
      </c>
      <c r="K5615" s="451"/>
    </row>
    <row r="5616" spans="1:11">
      <c r="A5616" s="450" t="s">
        <v>9411</v>
      </c>
      <c r="B5616" s="450" t="s">
        <v>9412</v>
      </c>
      <c r="C5616" s="450" t="s">
        <v>9413</v>
      </c>
      <c r="D5616" s="450" t="s">
        <v>9414</v>
      </c>
      <c r="E5616" s="450"/>
      <c r="F5616" s="450"/>
      <c r="G5616" s="450" t="s">
        <v>22877</v>
      </c>
      <c r="H5616" s="450" t="s">
        <v>22878</v>
      </c>
      <c r="I5616" s="450" t="s">
        <v>9414</v>
      </c>
      <c r="J5616" s="450" t="s">
        <v>35740</v>
      </c>
      <c r="K5616" s="450"/>
    </row>
    <row r="5617" spans="1:11">
      <c r="A5617" s="451" t="s">
        <v>9411</v>
      </c>
      <c r="B5617" s="451" t="s">
        <v>9412</v>
      </c>
      <c r="C5617" s="451" t="s">
        <v>9413</v>
      </c>
      <c r="D5617" s="451" t="s">
        <v>9414</v>
      </c>
      <c r="E5617" s="451" t="s">
        <v>9415</v>
      </c>
      <c r="F5617" s="451"/>
      <c r="G5617" s="451" t="s">
        <v>22877</v>
      </c>
      <c r="H5617" s="451" t="s">
        <v>22878</v>
      </c>
      <c r="I5617" s="451" t="s">
        <v>31501</v>
      </c>
      <c r="J5617" s="451" t="s">
        <v>31502</v>
      </c>
      <c r="K5617" s="451"/>
    </row>
    <row r="5618" spans="1:11">
      <c r="A5618" s="450" t="s">
        <v>9416</v>
      </c>
      <c r="B5618" s="450"/>
      <c r="C5618" s="450" t="s">
        <v>9417</v>
      </c>
      <c r="D5618" s="450"/>
      <c r="E5618" s="450"/>
      <c r="F5618" s="450"/>
      <c r="G5618" s="450" t="s">
        <v>22877</v>
      </c>
      <c r="H5618" s="450" t="s">
        <v>22878</v>
      </c>
      <c r="I5618" s="450" t="s">
        <v>26109</v>
      </c>
      <c r="J5618" s="450" t="s">
        <v>22943</v>
      </c>
      <c r="K5618" s="450"/>
    </row>
    <row r="5619" spans="1:11">
      <c r="A5619" s="451" t="s">
        <v>9418</v>
      </c>
      <c r="B5619" s="451" t="s">
        <v>9419</v>
      </c>
      <c r="C5619" s="451" t="s">
        <v>1395</v>
      </c>
      <c r="D5619" s="451" t="s">
        <v>9420</v>
      </c>
      <c r="E5619" s="451"/>
      <c r="F5619" s="451"/>
      <c r="G5619" s="451" t="s">
        <v>22877</v>
      </c>
      <c r="H5619" s="451" t="s">
        <v>22878</v>
      </c>
      <c r="I5619" s="451" t="s">
        <v>9420</v>
      </c>
      <c r="J5619" s="451" t="s">
        <v>26110</v>
      </c>
      <c r="K5619" s="451"/>
    </row>
    <row r="5620" spans="1:11">
      <c r="A5620" s="450" t="s">
        <v>9418</v>
      </c>
      <c r="B5620" s="450" t="s">
        <v>9419</v>
      </c>
      <c r="C5620" s="450" t="s">
        <v>1395</v>
      </c>
      <c r="D5620" s="450" t="s">
        <v>9420</v>
      </c>
      <c r="E5620" s="450" t="s">
        <v>9421</v>
      </c>
      <c r="F5620" s="450"/>
      <c r="G5620" s="450" t="s">
        <v>22877</v>
      </c>
      <c r="H5620" s="450" t="s">
        <v>22878</v>
      </c>
      <c r="I5620" s="450" t="s">
        <v>16610</v>
      </c>
      <c r="J5620" s="450" t="s">
        <v>26110</v>
      </c>
      <c r="K5620" s="450"/>
    </row>
    <row r="5621" spans="1:11">
      <c r="A5621" s="451" t="s">
        <v>9422</v>
      </c>
      <c r="B5621" s="451"/>
      <c r="C5621" s="451" t="s">
        <v>9423</v>
      </c>
      <c r="D5621" s="451"/>
      <c r="E5621" s="451"/>
      <c r="F5621" s="451"/>
      <c r="G5621" s="451" t="s">
        <v>22877</v>
      </c>
      <c r="H5621" s="451" t="s">
        <v>22878</v>
      </c>
      <c r="I5621" s="451" t="s">
        <v>35741</v>
      </c>
      <c r="J5621" s="451" t="s">
        <v>35742</v>
      </c>
      <c r="K5621" s="451"/>
    </row>
    <row r="5622" spans="1:11">
      <c r="A5622" s="450" t="s">
        <v>9424</v>
      </c>
      <c r="B5622" s="450"/>
      <c r="C5622" s="450" t="s">
        <v>5942</v>
      </c>
      <c r="D5622" s="450"/>
      <c r="E5622" s="450"/>
      <c r="F5622" s="450"/>
      <c r="G5622" s="450" t="s">
        <v>22882</v>
      </c>
      <c r="H5622" s="450" t="s">
        <v>22883</v>
      </c>
      <c r="I5622" s="450" t="s">
        <v>35743</v>
      </c>
      <c r="J5622" s="450" t="s">
        <v>31495</v>
      </c>
      <c r="K5622" s="450"/>
    </row>
    <row r="5623" spans="1:11">
      <c r="A5623" s="451" t="s">
        <v>9425</v>
      </c>
      <c r="B5623" s="451"/>
      <c r="C5623" s="451" t="s">
        <v>9426</v>
      </c>
      <c r="D5623" s="451"/>
      <c r="E5623" s="451"/>
      <c r="F5623" s="451"/>
      <c r="G5623" s="451" t="s">
        <v>22882</v>
      </c>
      <c r="H5623" s="451" t="s">
        <v>22883</v>
      </c>
      <c r="I5623" s="451" t="s">
        <v>35744</v>
      </c>
      <c r="J5623" s="451" t="s">
        <v>23185</v>
      </c>
      <c r="K5623" s="451"/>
    </row>
    <row r="5624" spans="1:11">
      <c r="A5624" s="450" t="s">
        <v>35745</v>
      </c>
      <c r="B5624" s="450"/>
      <c r="C5624" s="450" t="s">
        <v>5942</v>
      </c>
      <c r="D5624" s="450"/>
      <c r="E5624" s="450"/>
      <c r="F5624" s="450"/>
      <c r="G5624" s="450" t="s">
        <v>22877</v>
      </c>
      <c r="H5624" s="450" t="s">
        <v>22878</v>
      </c>
      <c r="I5624" s="450" t="s">
        <v>35746</v>
      </c>
      <c r="J5624" s="450" t="s">
        <v>24578</v>
      </c>
      <c r="K5624" s="450"/>
    </row>
    <row r="5625" spans="1:11">
      <c r="A5625" s="451" t="s">
        <v>35747</v>
      </c>
      <c r="B5625" s="451"/>
      <c r="C5625" s="451" t="s">
        <v>9426</v>
      </c>
      <c r="D5625" s="451"/>
      <c r="E5625" s="451"/>
      <c r="F5625" s="451"/>
      <c r="G5625" s="451" t="s">
        <v>22882</v>
      </c>
      <c r="H5625" s="451" t="s">
        <v>22883</v>
      </c>
      <c r="I5625" s="451" t="s">
        <v>35748</v>
      </c>
      <c r="J5625" s="451" t="s">
        <v>22943</v>
      </c>
      <c r="K5625" s="451"/>
    </row>
    <row r="5626" spans="1:11">
      <c r="A5626" s="450" t="s">
        <v>21735</v>
      </c>
      <c r="B5626" s="450"/>
      <c r="C5626" s="450" t="s">
        <v>2237</v>
      </c>
      <c r="D5626" s="450"/>
      <c r="E5626" s="450"/>
      <c r="F5626" s="450"/>
      <c r="G5626" s="450" t="s">
        <v>22877</v>
      </c>
      <c r="H5626" s="450" t="s">
        <v>22878</v>
      </c>
      <c r="I5626" s="450" t="s">
        <v>26111</v>
      </c>
      <c r="J5626" s="450" t="s">
        <v>22997</v>
      </c>
      <c r="K5626" s="450"/>
    </row>
    <row r="5627" spans="1:11">
      <c r="A5627" s="451" t="s">
        <v>26112</v>
      </c>
      <c r="B5627" s="451" t="s">
        <v>26113</v>
      </c>
      <c r="C5627" s="451" t="s">
        <v>26114</v>
      </c>
      <c r="D5627" s="451"/>
      <c r="E5627" s="451"/>
      <c r="F5627" s="451"/>
      <c r="G5627" s="451" t="s">
        <v>22877</v>
      </c>
      <c r="H5627" s="451" t="s">
        <v>22878</v>
      </c>
      <c r="I5627" s="451" t="s">
        <v>26115</v>
      </c>
      <c r="J5627" s="451" t="s">
        <v>26116</v>
      </c>
      <c r="K5627" s="451"/>
    </row>
    <row r="5628" spans="1:11">
      <c r="A5628" s="450" t="s">
        <v>9441</v>
      </c>
      <c r="B5628" s="450" t="s">
        <v>9442</v>
      </c>
      <c r="C5628" s="450" t="s">
        <v>9443</v>
      </c>
      <c r="D5628" s="450" t="s">
        <v>9444</v>
      </c>
      <c r="E5628" s="450"/>
      <c r="F5628" s="450"/>
      <c r="G5628" s="450" t="s">
        <v>22877</v>
      </c>
      <c r="H5628" s="450" t="s">
        <v>22878</v>
      </c>
      <c r="I5628" s="450" t="s">
        <v>9444</v>
      </c>
      <c r="J5628" s="450" t="s">
        <v>26117</v>
      </c>
      <c r="K5628" s="450"/>
    </row>
    <row r="5629" spans="1:11">
      <c r="A5629" s="451" t="s">
        <v>9441</v>
      </c>
      <c r="B5629" s="451" t="s">
        <v>9442</v>
      </c>
      <c r="C5629" s="451" t="s">
        <v>9443</v>
      </c>
      <c r="D5629" s="451" t="s">
        <v>9444</v>
      </c>
      <c r="E5629" s="451" t="s">
        <v>9445</v>
      </c>
      <c r="F5629" s="451"/>
      <c r="G5629" s="451" t="s">
        <v>22877</v>
      </c>
      <c r="H5629" s="451" t="s">
        <v>22878</v>
      </c>
      <c r="I5629" s="451" t="s">
        <v>9444</v>
      </c>
      <c r="J5629" s="451" t="s">
        <v>26117</v>
      </c>
      <c r="K5629" s="451"/>
    </row>
    <row r="5630" spans="1:11">
      <c r="A5630" s="450" t="s">
        <v>9446</v>
      </c>
      <c r="B5630" s="450"/>
      <c r="C5630" s="450" t="s">
        <v>9447</v>
      </c>
      <c r="D5630" s="450"/>
      <c r="E5630" s="450"/>
      <c r="F5630" s="450"/>
      <c r="G5630" s="450" t="s">
        <v>22882</v>
      </c>
      <c r="H5630" s="450" t="s">
        <v>22883</v>
      </c>
      <c r="I5630" s="450"/>
      <c r="J5630" s="450" t="s">
        <v>22943</v>
      </c>
      <c r="K5630" s="450"/>
    </row>
    <row r="5631" spans="1:11">
      <c r="A5631" s="451" t="s">
        <v>35749</v>
      </c>
      <c r="B5631" s="451" t="s">
        <v>9449</v>
      </c>
      <c r="C5631" s="451" t="s">
        <v>3980</v>
      </c>
      <c r="D5631" s="451" t="s">
        <v>9450</v>
      </c>
      <c r="E5631" s="451"/>
      <c r="F5631" s="451"/>
      <c r="G5631" s="451" t="s">
        <v>22882</v>
      </c>
      <c r="H5631" s="451" t="s">
        <v>22883</v>
      </c>
      <c r="I5631" s="451" t="s">
        <v>9450</v>
      </c>
      <c r="J5631" s="451" t="s">
        <v>35750</v>
      </c>
      <c r="K5631" s="451"/>
    </row>
    <row r="5632" spans="1:11">
      <c r="A5632" s="450" t="s">
        <v>9448</v>
      </c>
      <c r="B5632" s="450" t="s">
        <v>9449</v>
      </c>
      <c r="C5632" s="450" t="s">
        <v>3980</v>
      </c>
      <c r="D5632" s="450" t="s">
        <v>9450</v>
      </c>
      <c r="E5632" s="450" t="s">
        <v>9451</v>
      </c>
      <c r="F5632" s="450"/>
      <c r="G5632" s="450" t="s">
        <v>22877</v>
      </c>
      <c r="H5632" s="450" t="s">
        <v>22878</v>
      </c>
      <c r="I5632" s="450" t="s">
        <v>31503</v>
      </c>
      <c r="J5632" s="450" t="s">
        <v>31504</v>
      </c>
      <c r="K5632" s="450"/>
    </row>
    <row r="5633" spans="1:11">
      <c r="A5633" s="451" t="s">
        <v>9452</v>
      </c>
      <c r="B5633" s="451"/>
      <c r="C5633" s="451" t="s">
        <v>9453</v>
      </c>
      <c r="D5633" s="451"/>
      <c r="E5633" s="451"/>
      <c r="F5633" s="451"/>
      <c r="G5633" s="451" t="s">
        <v>22882</v>
      </c>
      <c r="H5633" s="451" t="s">
        <v>22883</v>
      </c>
      <c r="I5633" s="451"/>
      <c r="J5633" s="451" t="s">
        <v>22939</v>
      </c>
      <c r="K5633" s="451"/>
    </row>
    <row r="5634" spans="1:11">
      <c r="A5634" s="450" t="s">
        <v>35751</v>
      </c>
      <c r="B5634" s="450"/>
      <c r="C5634" s="450" t="s">
        <v>35752</v>
      </c>
      <c r="D5634" s="450"/>
      <c r="E5634" s="450"/>
      <c r="F5634" s="450"/>
      <c r="G5634" s="450" t="s">
        <v>22877</v>
      </c>
      <c r="H5634" s="450" t="s">
        <v>22878</v>
      </c>
      <c r="I5634" s="450" t="s">
        <v>35753</v>
      </c>
      <c r="J5634" s="450" t="s">
        <v>22943</v>
      </c>
      <c r="K5634" s="450"/>
    </row>
    <row r="5635" spans="1:11">
      <c r="A5635" s="451" t="s">
        <v>9454</v>
      </c>
      <c r="B5635" s="451"/>
      <c r="C5635" s="451" t="s">
        <v>9455</v>
      </c>
      <c r="D5635" s="451"/>
      <c r="E5635" s="451"/>
      <c r="F5635" s="451"/>
      <c r="G5635" s="451" t="s">
        <v>22877</v>
      </c>
      <c r="H5635" s="451" t="s">
        <v>22878</v>
      </c>
      <c r="I5635" s="451" t="s">
        <v>35754</v>
      </c>
      <c r="J5635" s="451" t="s">
        <v>23185</v>
      </c>
      <c r="K5635" s="451"/>
    </row>
    <row r="5636" spans="1:11">
      <c r="A5636" s="450" t="s">
        <v>9456</v>
      </c>
      <c r="B5636" s="450"/>
      <c r="C5636" s="450" t="s">
        <v>9457</v>
      </c>
      <c r="D5636" s="450"/>
      <c r="E5636" s="450"/>
      <c r="F5636" s="450"/>
      <c r="G5636" s="450" t="s">
        <v>22877</v>
      </c>
      <c r="H5636" s="450" t="s">
        <v>22878</v>
      </c>
      <c r="I5636" s="450" t="s">
        <v>35755</v>
      </c>
      <c r="J5636" s="450" t="s">
        <v>33928</v>
      </c>
      <c r="K5636" s="450"/>
    </row>
    <row r="5637" spans="1:11">
      <c r="A5637" s="451" t="s">
        <v>35756</v>
      </c>
      <c r="B5637" s="451"/>
      <c r="C5637" s="451" t="s">
        <v>9457</v>
      </c>
      <c r="D5637" s="451"/>
      <c r="E5637" s="451"/>
      <c r="F5637" s="451"/>
      <c r="G5637" s="451" t="s">
        <v>22877</v>
      </c>
      <c r="H5637" s="451" t="s">
        <v>22878</v>
      </c>
      <c r="I5637" s="451" t="s">
        <v>35757</v>
      </c>
      <c r="J5637" s="451" t="s">
        <v>23370</v>
      </c>
      <c r="K5637" s="451"/>
    </row>
    <row r="5638" spans="1:11">
      <c r="A5638" s="450" t="s">
        <v>9458</v>
      </c>
      <c r="B5638" s="450"/>
      <c r="C5638" s="450" t="s">
        <v>7868</v>
      </c>
      <c r="D5638" s="450"/>
      <c r="E5638" s="450"/>
      <c r="F5638" s="450"/>
      <c r="G5638" s="450" t="s">
        <v>22877</v>
      </c>
      <c r="H5638" s="450" t="s">
        <v>22878</v>
      </c>
      <c r="I5638" s="450" t="s">
        <v>26118</v>
      </c>
      <c r="J5638" s="450" t="s">
        <v>22939</v>
      </c>
      <c r="K5638" s="450"/>
    </row>
    <row r="5639" spans="1:11">
      <c r="A5639" s="451" t="s">
        <v>35758</v>
      </c>
      <c r="B5639" s="451" t="s">
        <v>9427</v>
      </c>
      <c r="C5639" s="451" t="s">
        <v>9428</v>
      </c>
      <c r="D5639" s="451" t="s">
        <v>9429</v>
      </c>
      <c r="E5639" s="451"/>
      <c r="F5639" s="451"/>
      <c r="G5639" s="451" t="s">
        <v>22877</v>
      </c>
      <c r="H5639" s="451" t="s">
        <v>22878</v>
      </c>
      <c r="I5639" s="451" t="s">
        <v>9429</v>
      </c>
      <c r="J5639" s="451" t="s">
        <v>35759</v>
      </c>
      <c r="K5639" s="451"/>
    </row>
    <row r="5640" spans="1:11">
      <c r="A5640" s="450" t="s">
        <v>21736</v>
      </c>
      <c r="B5640" s="450" t="s">
        <v>9427</v>
      </c>
      <c r="C5640" s="450" t="s">
        <v>9428</v>
      </c>
      <c r="D5640" s="450" t="s">
        <v>9429</v>
      </c>
      <c r="E5640" s="450" t="s">
        <v>9430</v>
      </c>
      <c r="F5640" s="450"/>
      <c r="G5640" s="450" t="s">
        <v>22882</v>
      </c>
      <c r="H5640" s="450" t="s">
        <v>22883</v>
      </c>
      <c r="I5640" s="450" t="s">
        <v>9429</v>
      </c>
      <c r="J5640" s="450" t="s">
        <v>31505</v>
      </c>
      <c r="K5640" s="450"/>
    </row>
    <row r="5641" spans="1:11">
      <c r="A5641" s="451" t="s">
        <v>21737</v>
      </c>
      <c r="B5641" s="451"/>
      <c r="C5641" s="451" t="s">
        <v>9431</v>
      </c>
      <c r="D5641" s="451"/>
      <c r="E5641" s="451"/>
      <c r="F5641" s="451"/>
      <c r="G5641" s="451" t="s">
        <v>22882</v>
      </c>
      <c r="H5641" s="451" t="s">
        <v>22883</v>
      </c>
      <c r="I5641" s="451"/>
      <c r="J5641" s="451" t="s">
        <v>22997</v>
      </c>
      <c r="K5641" s="451"/>
    </row>
    <row r="5642" spans="1:11">
      <c r="A5642" s="450" t="s">
        <v>21738</v>
      </c>
      <c r="B5642" s="450"/>
      <c r="C5642" s="450" t="s">
        <v>9432</v>
      </c>
      <c r="D5642" s="450"/>
      <c r="E5642" s="450"/>
      <c r="F5642" s="450"/>
      <c r="G5642" s="450" t="s">
        <v>22877</v>
      </c>
      <c r="H5642" s="450" t="s">
        <v>22878</v>
      </c>
      <c r="I5642" s="450" t="s">
        <v>35760</v>
      </c>
      <c r="J5642" s="450" t="s">
        <v>22997</v>
      </c>
      <c r="K5642" s="450"/>
    </row>
    <row r="5643" spans="1:11">
      <c r="A5643" s="451" t="s">
        <v>35761</v>
      </c>
      <c r="B5643" s="451"/>
      <c r="C5643" s="451" t="s">
        <v>9433</v>
      </c>
      <c r="D5643" s="451"/>
      <c r="E5643" s="451"/>
      <c r="F5643" s="451"/>
      <c r="G5643" s="451" t="s">
        <v>22877</v>
      </c>
      <c r="H5643" s="451" t="s">
        <v>22878</v>
      </c>
      <c r="I5643" s="451" t="s">
        <v>35762</v>
      </c>
      <c r="J5643" s="451" t="s">
        <v>23370</v>
      </c>
      <c r="K5643" s="451"/>
    </row>
    <row r="5644" spans="1:11">
      <c r="A5644" s="450" t="s">
        <v>21739</v>
      </c>
      <c r="B5644" s="450"/>
      <c r="C5644" s="450" t="s">
        <v>9433</v>
      </c>
      <c r="D5644" s="450"/>
      <c r="E5644" s="450"/>
      <c r="F5644" s="450"/>
      <c r="G5644" s="450" t="s">
        <v>22877</v>
      </c>
      <c r="H5644" s="450" t="s">
        <v>22878</v>
      </c>
      <c r="I5644" s="450" t="s">
        <v>35762</v>
      </c>
      <c r="J5644" s="450" t="s">
        <v>23492</v>
      </c>
      <c r="K5644" s="450"/>
    </row>
    <row r="5645" spans="1:11">
      <c r="A5645" s="451" t="s">
        <v>35763</v>
      </c>
      <c r="B5645" s="451"/>
      <c r="C5645" s="451" t="s">
        <v>3989</v>
      </c>
      <c r="D5645" s="451"/>
      <c r="E5645" s="451"/>
      <c r="F5645" s="451"/>
      <c r="G5645" s="451" t="s">
        <v>22882</v>
      </c>
      <c r="H5645" s="451" t="s">
        <v>22883</v>
      </c>
      <c r="I5645" s="451" t="s">
        <v>35764</v>
      </c>
      <c r="J5645" s="451" t="s">
        <v>22943</v>
      </c>
      <c r="K5645" s="451"/>
    </row>
    <row r="5646" spans="1:11">
      <c r="A5646" s="450" t="s">
        <v>21740</v>
      </c>
      <c r="B5646" s="450"/>
      <c r="C5646" s="450" t="s">
        <v>3989</v>
      </c>
      <c r="D5646" s="450"/>
      <c r="E5646" s="450"/>
      <c r="F5646" s="450"/>
      <c r="G5646" s="450" t="s">
        <v>22882</v>
      </c>
      <c r="H5646" s="450" t="s">
        <v>22883</v>
      </c>
      <c r="I5646" s="450" t="s">
        <v>35765</v>
      </c>
      <c r="J5646" s="450" t="s">
        <v>22997</v>
      </c>
      <c r="K5646" s="450"/>
    </row>
    <row r="5647" spans="1:11">
      <c r="A5647" s="451" t="s">
        <v>21741</v>
      </c>
      <c r="B5647" s="451"/>
      <c r="C5647" s="451" t="s">
        <v>9434</v>
      </c>
      <c r="D5647" s="451"/>
      <c r="E5647" s="451"/>
      <c r="F5647" s="451"/>
      <c r="G5647" s="451" t="s">
        <v>22882</v>
      </c>
      <c r="H5647" s="451" t="s">
        <v>22883</v>
      </c>
      <c r="I5647" s="451" t="s">
        <v>35766</v>
      </c>
      <c r="J5647" s="451" t="s">
        <v>23133</v>
      </c>
      <c r="K5647" s="451"/>
    </row>
    <row r="5648" spans="1:11">
      <c r="A5648" s="450" t="s">
        <v>21742</v>
      </c>
      <c r="B5648" s="450"/>
      <c r="C5648" s="450" t="s">
        <v>9435</v>
      </c>
      <c r="D5648" s="450"/>
      <c r="E5648" s="450"/>
      <c r="F5648" s="450"/>
      <c r="G5648" s="450" t="s">
        <v>22877</v>
      </c>
      <c r="H5648" s="450" t="s">
        <v>22878</v>
      </c>
      <c r="I5648" s="450" t="s">
        <v>35767</v>
      </c>
      <c r="J5648" s="450" t="s">
        <v>22943</v>
      </c>
      <c r="K5648" s="450"/>
    </row>
    <row r="5649" spans="1:11">
      <c r="A5649" s="451" t="s">
        <v>21743</v>
      </c>
      <c r="B5649" s="451"/>
      <c r="C5649" s="451" t="s">
        <v>4355</v>
      </c>
      <c r="D5649" s="451"/>
      <c r="E5649" s="451"/>
      <c r="F5649" s="451"/>
      <c r="G5649" s="451" t="s">
        <v>22877</v>
      </c>
      <c r="H5649" s="451" t="s">
        <v>22878</v>
      </c>
      <c r="I5649" s="451" t="s">
        <v>35768</v>
      </c>
      <c r="J5649" s="451" t="s">
        <v>22939</v>
      </c>
      <c r="K5649" s="451"/>
    </row>
    <row r="5650" spans="1:11">
      <c r="A5650" s="450" t="s">
        <v>35769</v>
      </c>
      <c r="B5650" s="450"/>
      <c r="C5650" s="450" t="s">
        <v>9436</v>
      </c>
      <c r="D5650" s="450"/>
      <c r="E5650" s="450"/>
      <c r="F5650" s="450"/>
      <c r="G5650" s="450" t="s">
        <v>22877</v>
      </c>
      <c r="H5650" s="450" t="s">
        <v>22878</v>
      </c>
      <c r="I5650" s="450" t="s">
        <v>35770</v>
      </c>
      <c r="J5650" s="450" t="s">
        <v>22943</v>
      </c>
      <c r="K5650" s="450"/>
    </row>
    <row r="5651" spans="1:11">
      <c r="A5651" s="451" t="s">
        <v>21744</v>
      </c>
      <c r="B5651" s="451"/>
      <c r="C5651" s="451" t="s">
        <v>9436</v>
      </c>
      <c r="D5651" s="451"/>
      <c r="E5651" s="451"/>
      <c r="F5651" s="451"/>
      <c r="G5651" s="451" t="s">
        <v>22877</v>
      </c>
      <c r="H5651" s="451" t="s">
        <v>22878</v>
      </c>
      <c r="I5651" s="451" t="s">
        <v>35770</v>
      </c>
      <c r="J5651" s="451" t="s">
        <v>22997</v>
      </c>
      <c r="K5651" s="451"/>
    </row>
    <row r="5652" spans="1:11">
      <c r="A5652" s="450" t="s">
        <v>21745</v>
      </c>
      <c r="B5652" s="450"/>
      <c r="C5652" s="450" t="s">
        <v>9437</v>
      </c>
      <c r="D5652" s="450"/>
      <c r="E5652" s="450"/>
      <c r="F5652" s="450"/>
      <c r="G5652" s="450" t="s">
        <v>22877</v>
      </c>
      <c r="H5652" s="450" t="s">
        <v>22878</v>
      </c>
      <c r="I5652" s="450" t="s">
        <v>35771</v>
      </c>
      <c r="J5652" s="450" t="s">
        <v>23492</v>
      </c>
      <c r="K5652" s="450"/>
    </row>
    <row r="5653" spans="1:11">
      <c r="A5653" s="451" t="s">
        <v>31506</v>
      </c>
      <c r="B5653" s="451"/>
      <c r="C5653" s="451" t="s">
        <v>26119</v>
      </c>
      <c r="D5653" s="451"/>
      <c r="E5653" s="451"/>
      <c r="F5653" s="451"/>
      <c r="G5653" s="451" t="s">
        <v>22877</v>
      </c>
      <c r="H5653" s="451" t="s">
        <v>22878</v>
      </c>
      <c r="I5653" s="451" t="s">
        <v>26120</v>
      </c>
      <c r="J5653" s="451" t="s">
        <v>22943</v>
      </c>
      <c r="K5653" s="451"/>
    </row>
    <row r="5654" spans="1:11">
      <c r="A5654" s="450" t="s">
        <v>31507</v>
      </c>
      <c r="B5654" s="450" t="s">
        <v>26121</v>
      </c>
      <c r="C5654" s="450" t="s">
        <v>9439</v>
      </c>
      <c r="D5654" s="450" t="s">
        <v>9440</v>
      </c>
      <c r="E5654" s="450"/>
      <c r="F5654" s="450"/>
      <c r="G5654" s="450" t="s">
        <v>22882</v>
      </c>
      <c r="H5654" s="450" t="s">
        <v>22883</v>
      </c>
      <c r="I5654" s="450" t="s">
        <v>26122</v>
      </c>
      <c r="J5654" s="450" t="s">
        <v>26123</v>
      </c>
      <c r="K5654" s="450"/>
    </row>
    <row r="5655" spans="1:11">
      <c r="A5655" s="451" t="s">
        <v>21746</v>
      </c>
      <c r="B5655" s="451" t="s">
        <v>9438</v>
      </c>
      <c r="C5655" s="451" t="s">
        <v>9439</v>
      </c>
      <c r="D5655" s="451" t="s">
        <v>9440</v>
      </c>
      <c r="E5655" s="451"/>
      <c r="F5655" s="451"/>
      <c r="G5655" s="451" t="s">
        <v>22877</v>
      </c>
      <c r="H5655" s="451" t="s">
        <v>22878</v>
      </c>
      <c r="I5655" s="451" t="s">
        <v>31508</v>
      </c>
      <c r="J5655" s="451" t="s">
        <v>31509</v>
      </c>
      <c r="K5655" s="451"/>
    </row>
    <row r="5656" spans="1:11">
      <c r="A5656" s="450" t="s">
        <v>9459</v>
      </c>
      <c r="B5656" s="450"/>
      <c r="C5656" s="450" t="s">
        <v>9460</v>
      </c>
      <c r="D5656" s="450"/>
      <c r="E5656" s="450"/>
      <c r="F5656" s="450"/>
      <c r="G5656" s="450" t="s">
        <v>22877</v>
      </c>
      <c r="H5656" s="450" t="s">
        <v>22878</v>
      </c>
      <c r="I5656" s="450" t="s">
        <v>35772</v>
      </c>
      <c r="J5656" s="450" t="s">
        <v>23185</v>
      </c>
      <c r="K5656" s="450"/>
    </row>
    <row r="5657" spans="1:11">
      <c r="A5657" s="451" t="s">
        <v>9461</v>
      </c>
      <c r="B5657" s="451"/>
      <c r="C5657" s="451" t="s">
        <v>9462</v>
      </c>
      <c r="D5657" s="451"/>
      <c r="E5657" s="451"/>
      <c r="F5657" s="451"/>
      <c r="G5657" s="451" t="s">
        <v>22877</v>
      </c>
      <c r="H5657" s="451" t="s">
        <v>22878</v>
      </c>
      <c r="I5657" s="451" t="s">
        <v>35773</v>
      </c>
      <c r="J5657" s="451" t="s">
        <v>23492</v>
      </c>
      <c r="K5657" s="451"/>
    </row>
    <row r="5658" spans="1:11">
      <c r="A5658" s="450" t="s">
        <v>9463</v>
      </c>
      <c r="B5658" s="450"/>
      <c r="C5658" s="450" t="s">
        <v>1921</v>
      </c>
      <c r="D5658" s="450"/>
      <c r="E5658" s="450"/>
      <c r="F5658" s="450"/>
      <c r="G5658" s="450" t="s">
        <v>22877</v>
      </c>
      <c r="H5658" s="450" t="s">
        <v>22878</v>
      </c>
      <c r="I5658" s="450" t="s">
        <v>35774</v>
      </c>
      <c r="J5658" s="450" t="s">
        <v>23185</v>
      </c>
      <c r="K5658" s="450"/>
    </row>
    <row r="5659" spans="1:11">
      <c r="A5659" s="451" t="s">
        <v>9464</v>
      </c>
      <c r="B5659" s="451"/>
      <c r="C5659" s="451" t="s">
        <v>9465</v>
      </c>
      <c r="D5659" s="451"/>
      <c r="E5659" s="451"/>
      <c r="F5659" s="451"/>
      <c r="G5659" s="451" t="s">
        <v>22882</v>
      </c>
      <c r="H5659" s="451" t="s">
        <v>22883</v>
      </c>
      <c r="I5659" s="451"/>
      <c r="J5659" s="451" t="s">
        <v>22997</v>
      </c>
      <c r="K5659" s="451"/>
    </row>
    <row r="5660" spans="1:11">
      <c r="A5660" s="450" t="s">
        <v>9466</v>
      </c>
      <c r="B5660" s="450"/>
      <c r="C5660" s="450" t="s">
        <v>9467</v>
      </c>
      <c r="D5660" s="450"/>
      <c r="E5660" s="450"/>
      <c r="F5660" s="450"/>
      <c r="G5660" s="450" t="s">
        <v>22877</v>
      </c>
      <c r="H5660" s="450" t="s">
        <v>22878</v>
      </c>
      <c r="I5660" s="450" t="s">
        <v>35775</v>
      </c>
      <c r="J5660" s="450" t="s">
        <v>23185</v>
      </c>
      <c r="K5660" s="450"/>
    </row>
    <row r="5661" spans="1:11">
      <c r="A5661" s="451" t="s">
        <v>9468</v>
      </c>
      <c r="B5661" s="451"/>
      <c r="C5661" s="451" t="s">
        <v>9469</v>
      </c>
      <c r="D5661" s="451"/>
      <c r="E5661" s="451"/>
      <c r="F5661" s="451"/>
      <c r="G5661" s="451" t="s">
        <v>22877</v>
      </c>
      <c r="H5661" s="451" t="s">
        <v>22878</v>
      </c>
      <c r="I5661" s="451" t="s">
        <v>26142</v>
      </c>
      <c r="J5661" s="451" t="s">
        <v>23185</v>
      </c>
      <c r="K5661" s="451"/>
    </row>
    <row r="5662" spans="1:11">
      <c r="A5662" s="450" t="s">
        <v>9470</v>
      </c>
      <c r="B5662" s="450" t="s">
        <v>9449</v>
      </c>
      <c r="C5662" s="450" t="s">
        <v>5725</v>
      </c>
      <c r="D5662" s="450" t="s">
        <v>9471</v>
      </c>
      <c r="E5662" s="450" t="s">
        <v>9472</v>
      </c>
      <c r="F5662" s="450"/>
      <c r="G5662" s="450" t="s">
        <v>22877</v>
      </c>
      <c r="H5662" s="450" t="s">
        <v>22878</v>
      </c>
      <c r="I5662" s="450" t="s">
        <v>31510</v>
      </c>
      <c r="J5662" s="450" t="s">
        <v>31511</v>
      </c>
      <c r="K5662" s="450"/>
    </row>
    <row r="5663" spans="1:11">
      <c r="A5663" s="451" t="s">
        <v>9473</v>
      </c>
      <c r="B5663" s="451"/>
      <c r="C5663" s="451" t="s">
        <v>2842</v>
      </c>
      <c r="D5663" s="451"/>
      <c r="E5663" s="451"/>
      <c r="F5663" s="451"/>
      <c r="G5663" s="451" t="s">
        <v>22882</v>
      </c>
      <c r="H5663" s="451" t="s">
        <v>22883</v>
      </c>
      <c r="I5663" s="451"/>
      <c r="J5663" s="451" t="s">
        <v>22997</v>
      </c>
      <c r="K5663" s="451"/>
    </row>
    <row r="5664" spans="1:11">
      <c r="A5664" s="450" t="s">
        <v>9474</v>
      </c>
      <c r="B5664" s="450"/>
      <c r="C5664" s="450" t="s">
        <v>2851</v>
      </c>
      <c r="D5664" s="450"/>
      <c r="E5664" s="450"/>
      <c r="F5664" s="450"/>
      <c r="G5664" s="450" t="s">
        <v>22877</v>
      </c>
      <c r="H5664" s="450" t="s">
        <v>22878</v>
      </c>
      <c r="I5664" s="450" t="s">
        <v>26151</v>
      </c>
      <c r="J5664" s="450" t="s">
        <v>23185</v>
      </c>
      <c r="K5664" s="450"/>
    </row>
    <row r="5665" spans="1:11">
      <c r="A5665" s="451" t="s">
        <v>9475</v>
      </c>
      <c r="B5665" s="451"/>
      <c r="C5665" s="451" t="s">
        <v>9476</v>
      </c>
      <c r="D5665" s="451"/>
      <c r="E5665" s="451"/>
      <c r="F5665" s="451"/>
      <c r="G5665" s="451" t="s">
        <v>22877</v>
      </c>
      <c r="H5665" s="451" t="s">
        <v>22878</v>
      </c>
      <c r="I5665" s="451" t="s">
        <v>31197</v>
      </c>
      <c r="J5665" s="451" t="s">
        <v>33928</v>
      </c>
      <c r="K5665" s="451"/>
    </row>
    <row r="5666" spans="1:11">
      <c r="A5666" s="450" t="s">
        <v>9477</v>
      </c>
      <c r="B5666" s="450"/>
      <c r="C5666" s="450" t="s">
        <v>9478</v>
      </c>
      <c r="D5666" s="450"/>
      <c r="E5666" s="450"/>
      <c r="F5666" s="450"/>
      <c r="G5666" s="450" t="s">
        <v>22877</v>
      </c>
      <c r="H5666" s="450" t="s">
        <v>22878</v>
      </c>
      <c r="I5666" s="450" t="s">
        <v>31512</v>
      </c>
      <c r="J5666" s="450" t="s">
        <v>23492</v>
      </c>
      <c r="K5666" s="450"/>
    </row>
    <row r="5667" spans="1:11">
      <c r="A5667" s="451" t="s">
        <v>9479</v>
      </c>
      <c r="B5667" s="451"/>
      <c r="C5667" s="451" t="s">
        <v>3814</v>
      </c>
      <c r="D5667" s="451" t="s">
        <v>3184</v>
      </c>
      <c r="E5667" s="451" t="s">
        <v>3185</v>
      </c>
      <c r="F5667" s="451"/>
      <c r="G5667" s="451" t="s">
        <v>22877</v>
      </c>
      <c r="H5667" s="451" t="s">
        <v>22878</v>
      </c>
      <c r="I5667" s="451" t="s">
        <v>9483</v>
      </c>
      <c r="J5667" s="451" t="s">
        <v>35776</v>
      </c>
      <c r="K5667" s="451"/>
    </row>
    <row r="5668" spans="1:11">
      <c r="A5668" s="450" t="s">
        <v>9480</v>
      </c>
      <c r="B5668" s="450" t="s">
        <v>9481</v>
      </c>
      <c r="C5668" s="450" t="s">
        <v>9482</v>
      </c>
      <c r="D5668" s="450" t="s">
        <v>9483</v>
      </c>
      <c r="E5668" s="450"/>
      <c r="F5668" s="450"/>
      <c r="G5668" s="450" t="s">
        <v>22877</v>
      </c>
      <c r="H5668" s="450" t="s">
        <v>22878</v>
      </c>
      <c r="I5668" s="450" t="s">
        <v>9483</v>
      </c>
      <c r="J5668" s="450" t="s">
        <v>31513</v>
      </c>
      <c r="K5668" s="450"/>
    </row>
    <row r="5669" spans="1:11">
      <c r="A5669" s="451" t="s">
        <v>9484</v>
      </c>
      <c r="B5669" s="451"/>
      <c r="C5669" s="451" t="s">
        <v>9485</v>
      </c>
      <c r="D5669" s="451"/>
      <c r="E5669" s="451"/>
      <c r="F5669" s="451"/>
      <c r="G5669" s="451" t="s">
        <v>23776</v>
      </c>
      <c r="H5669" s="451" t="s">
        <v>22878</v>
      </c>
      <c r="I5669" s="451"/>
      <c r="J5669" s="451"/>
      <c r="K5669" s="451"/>
    </row>
    <row r="5670" spans="1:11">
      <c r="A5670" s="450" t="s">
        <v>9486</v>
      </c>
      <c r="B5670" s="450"/>
      <c r="C5670" s="450" t="s">
        <v>2528</v>
      </c>
      <c r="D5670" s="450"/>
      <c r="E5670" s="450"/>
      <c r="F5670" s="450"/>
      <c r="G5670" s="450" t="s">
        <v>22877</v>
      </c>
      <c r="H5670" s="450" t="s">
        <v>22878</v>
      </c>
      <c r="I5670" s="450"/>
      <c r="J5670" s="450" t="s">
        <v>23185</v>
      </c>
      <c r="K5670" s="450"/>
    </row>
    <row r="5671" spans="1:11">
      <c r="A5671" s="451" t="s">
        <v>9487</v>
      </c>
      <c r="B5671" s="451"/>
      <c r="C5671" s="451" t="s">
        <v>9488</v>
      </c>
      <c r="D5671" s="451"/>
      <c r="E5671" s="451"/>
      <c r="F5671" s="451"/>
      <c r="G5671" s="451" t="s">
        <v>22882</v>
      </c>
      <c r="H5671" s="451" t="s">
        <v>22883</v>
      </c>
      <c r="I5671" s="451" t="s">
        <v>26210</v>
      </c>
      <c r="J5671" s="451" t="s">
        <v>23133</v>
      </c>
      <c r="K5671" s="451"/>
    </row>
    <row r="5672" spans="1:11">
      <c r="A5672" s="450" t="s">
        <v>9489</v>
      </c>
      <c r="B5672" s="450" t="s">
        <v>9490</v>
      </c>
      <c r="C5672" s="450" t="s">
        <v>9491</v>
      </c>
      <c r="D5672" s="450" t="s">
        <v>9492</v>
      </c>
      <c r="E5672" s="450"/>
      <c r="F5672" s="450"/>
      <c r="G5672" s="450" t="s">
        <v>22882</v>
      </c>
      <c r="H5672" s="450" t="s">
        <v>22883</v>
      </c>
      <c r="I5672" s="450" t="s">
        <v>9492</v>
      </c>
      <c r="J5672" s="450" t="s">
        <v>31514</v>
      </c>
      <c r="K5672" s="450"/>
    </row>
    <row r="5673" spans="1:11">
      <c r="A5673" s="451" t="s">
        <v>9493</v>
      </c>
      <c r="B5673" s="451" t="s">
        <v>9494</v>
      </c>
      <c r="C5673" s="451" t="s">
        <v>5765</v>
      </c>
      <c r="D5673" s="451" t="s">
        <v>9495</v>
      </c>
      <c r="E5673" s="451" t="s">
        <v>9496</v>
      </c>
      <c r="F5673" s="451"/>
      <c r="G5673" s="451" t="s">
        <v>22882</v>
      </c>
      <c r="H5673" s="451" t="s">
        <v>22883</v>
      </c>
      <c r="I5673" s="451" t="s">
        <v>9495</v>
      </c>
      <c r="J5673" s="451" t="s">
        <v>31515</v>
      </c>
      <c r="K5673" s="451"/>
    </row>
    <row r="5674" spans="1:11">
      <c r="A5674" s="450" t="s">
        <v>9497</v>
      </c>
      <c r="B5674" s="450" t="s">
        <v>9498</v>
      </c>
      <c r="C5674" s="450" t="s">
        <v>3801</v>
      </c>
      <c r="D5674" s="450" t="s">
        <v>9499</v>
      </c>
      <c r="E5674" s="450" t="s">
        <v>9500</v>
      </c>
      <c r="F5674" s="450"/>
      <c r="G5674" s="450" t="s">
        <v>22882</v>
      </c>
      <c r="H5674" s="450" t="s">
        <v>22883</v>
      </c>
      <c r="I5674" s="450" t="s">
        <v>22921</v>
      </c>
      <c r="J5674" s="450" t="s">
        <v>31516</v>
      </c>
      <c r="K5674" s="450"/>
    </row>
    <row r="5675" spans="1:11">
      <c r="A5675" s="451" t="s">
        <v>9501</v>
      </c>
      <c r="B5675" s="451" t="s">
        <v>9502</v>
      </c>
      <c r="C5675" s="451" t="s">
        <v>9503</v>
      </c>
      <c r="D5675" s="451" t="s">
        <v>9504</v>
      </c>
      <c r="E5675" s="451" t="s">
        <v>9505</v>
      </c>
      <c r="F5675" s="451"/>
      <c r="G5675" s="451" t="s">
        <v>22882</v>
      </c>
      <c r="H5675" s="451" t="s">
        <v>22883</v>
      </c>
      <c r="I5675" s="451" t="s">
        <v>24807</v>
      </c>
      <c r="J5675" s="451" t="s">
        <v>31517</v>
      </c>
      <c r="K5675" s="451"/>
    </row>
    <row r="5676" spans="1:11">
      <c r="A5676" s="450" t="s">
        <v>9506</v>
      </c>
      <c r="B5676" s="450" t="s">
        <v>9507</v>
      </c>
      <c r="C5676" s="450" t="s">
        <v>9508</v>
      </c>
      <c r="D5676" s="450" t="s">
        <v>9509</v>
      </c>
      <c r="E5676" s="450" t="s">
        <v>9510</v>
      </c>
      <c r="F5676" s="450"/>
      <c r="G5676" s="450" t="s">
        <v>22877</v>
      </c>
      <c r="H5676" s="450" t="s">
        <v>22878</v>
      </c>
      <c r="I5676" s="450" t="s">
        <v>31518</v>
      </c>
      <c r="J5676" s="450" t="s">
        <v>31519</v>
      </c>
      <c r="K5676" s="450"/>
    </row>
    <row r="5677" spans="1:11">
      <c r="A5677" s="451" t="s">
        <v>9511</v>
      </c>
      <c r="B5677" s="451" t="s">
        <v>9512</v>
      </c>
      <c r="C5677" s="451" t="s">
        <v>9513</v>
      </c>
      <c r="D5677" s="451" t="s">
        <v>9514</v>
      </c>
      <c r="E5677" s="451" t="s">
        <v>9515</v>
      </c>
      <c r="F5677" s="451"/>
      <c r="G5677" s="451" t="s">
        <v>22877</v>
      </c>
      <c r="H5677" s="451" t="s">
        <v>22878</v>
      </c>
      <c r="I5677" s="451" t="s">
        <v>31520</v>
      </c>
      <c r="J5677" s="451" t="s">
        <v>31521</v>
      </c>
      <c r="K5677" s="451"/>
    </row>
    <row r="5678" spans="1:11">
      <c r="A5678" s="450" t="s">
        <v>9516</v>
      </c>
      <c r="B5678" s="450" t="s">
        <v>9517</v>
      </c>
      <c r="C5678" s="450" t="s">
        <v>9518</v>
      </c>
      <c r="D5678" s="450"/>
      <c r="E5678" s="450"/>
      <c r="F5678" s="450"/>
      <c r="G5678" s="450" t="s">
        <v>22877</v>
      </c>
      <c r="H5678" s="450" t="s">
        <v>22878</v>
      </c>
      <c r="I5678" s="450" t="s">
        <v>31522</v>
      </c>
      <c r="J5678" s="450" t="s">
        <v>31523</v>
      </c>
      <c r="K5678" s="450"/>
    </row>
    <row r="5679" spans="1:11">
      <c r="A5679" s="451" t="s">
        <v>9519</v>
      </c>
      <c r="B5679" s="451"/>
      <c r="C5679" s="451" t="s">
        <v>9520</v>
      </c>
      <c r="D5679" s="451"/>
      <c r="E5679" s="451"/>
      <c r="F5679" s="451"/>
      <c r="G5679" s="451" t="s">
        <v>22877</v>
      </c>
      <c r="H5679" s="451" t="s">
        <v>22878</v>
      </c>
      <c r="I5679" s="451" t="s">
        <v>26232</v>
      </c>
      <c r="J5679" s="451" t="s">
        <v>23492</v>
      </c>
      <c r="K5679" s="451"/>
    </row>
    <row r="5680" spans="1:11">
      <c r="A5680" s="450" t="s">
        <v>9521</v>
      </c>
      <c r="B5680" s="450"/>
      <c r="C5680" s="450" t="s">
        <v>9522</v>
      </c>
      <c r="D5680" s="450"/>
      <c r="E5680" s="450"/>
      <c r="F5680" s="450"/>
      <c r="G5680" s="450" t="s">
        <v>22877</v>
      </c>
      <c r="H5680" s="450" t="s">
        <v>22878</v>
      </c>
      <c r="I5680" s="450" t="s">
        <v>26241</v>
      </c>
      <c r="J5680" s="450" t="s">
        <v>23185</v>
      </c>
      <c r="K5680" s="450"/>
    </row>
    <row r="5681" spans="1:11">
      <c r="A5681" s="451" t="s">
        <v>9523</v>
      </c>
      <c r="B5681" s="451"/>
      <c r="C5681" s="451" t="s">
        <v>1454</v>
      </c>
      <c r="D5681" s="451"/>
      <c r="E5681" s="451"/>
      <c r="F5681" s="451"/>
      <c r="G5681" s="451" t="s">
        <v>22877</v>
      </c>
      <c r="H5681" s="451" t="s">
        <v>22878</v>
      </c>
      <c r="I5681" s="451"/>
      <c r="J5681" s="451" t="s">
        <v>22997</v>
      </c>
      <c r="K5681" s="451"/>
    </row>
    <row r="5682" spans="1:11">
      <c r="A5682" s="450" t="s">
        <v>9524</v>
      </c>
      <c r="B5682" s="450"/>
      <c r="C5682" s="450" t="s">
        <v>9525</v>
      </c>
      <c r="D5682" s="450"/>
      <c r="E5682" s="450"/>
      <c r="F5682" s="450"/>
      <c r="G5682" s="450" t="s">
        <v>22877</v>
      </c>
      <c r="H5682" s="450" t="s">
        <v>22878</v>
      </c>
      <c r="I5682" s="450" t="s">
        <v>35777</v>
      </c>
      <c r="J5682" s="450" t="s">
        <v>23185</v>
      </c>
      <c r="K5682" s="450"/>
    </row>
    <row r="5683" spans="1:11">
      <c r="A5683" s="451" t="s">
        <v>9526</v>
      </c>
      <c r="B5683" s="451"/>
      <c r="C5683" s="451" t="s">
        <v>7537</v>
      </c>
      <c r="D5683" s="451"/>
      <c r="E5683" s="451"/>
      <c r="F5683" s="451"/>
      <c r="G5683" s="451" t="s">
        <v>22882</v>
      </c>
      <c r="H5683" s="451" t="s">
        <v>22883</v>
      </c>
      <c r="I5683" s="451"/>
      <c r="J5683" s="451" t="s">
        <v>22997</v>
      </c>
      <c r="K5683" s="451"/>
    </row>
    <row r="5684" spans="1:11">
      <c r="A5684" s="450" t="s">
        <v>9527</v>
      </c>
      <c r="B5684" s="450"/>
      <c r="C5684" s="450" t="s">
        <v>9528</v>
      </c>
      <c r="D5684" s="450"/>
      <c r="E5684" s="450"/>
      <c r="F5684" s="450"/>
      <c r="G5684" s="450" t="s">
        <v>22882</v>
      </c>
      <c r="H5684" s="450" t="s">
        <v>22883</v>
      </c>
      <c r="I5684" s="450"/>
      <c r="J5684" s="450" t="s">
        <v>22997</v>
      </c>
      <c r="K5684" s="450"/>
    </row>
    <row r="5685" spans="1:11">
      <c r="A5685" s="451" t="s">
        <v>9529</v>
      </c>
      <c r="B5685" s="451"/>
      <c r="C5685" s="451" t="s">
        <v>9530</v>
      </c>
      <c r="D5685" s="451"/>
      <c r="E5685" s="451"/>
      <c r="F5685" s="451"/>
      <c r="G5685" s="451" t="s">
        <v>22877</v>
      </c>
      <c r="H5685" s="451" t="s">
        <v>22878</v>
      </c>
      <c r="I5685" s="451" t="s">
        <v>35778</v>
      </c>
      <c r="J5685" s="451" t="s">
        <v>22997</v>
      </c>
      <c r="K5685" s="451"/>
    </row>
    <row r="5686" spans="1:11">
      <c r="A5686" s="450" t="s">
        <v>9531</v>
      </c>
      <c r="B5686" s="450"/>
      <c r="C5686" s="450" t="s">
        <v>9532</v>
      </c>
      <c r="D5686" s="450"/>
      <c r="E5686" s="450"/>
      <c r="F5686" s="450"/>
      <c r="G5686" s="450" t="s">
        <v>22877</v>
      </c>
      <c r="H5686" s="450" t="s">
        <v>22878</v>
      </c>
      <c r="I5686" s="450" t="s">
        <v>26292</v>
      </c>
      <c r="J5686" s="450" t="s">
        <v>23133</v>
      </c>
      <c r="K5686" s="450"/>
    </row>
    <row r="5687" spans="1:11">
      <c r="A5687" s="451" t="s">
        <v>21240</v>
      </c>
      <c r="B5687" s="451" t="s">
        <v>21241</v>
      </c>
      <c r="C5687" s="451" t="s">
        <v>21226</v>
      </c>
      <c r="D5687" s="451" t="s">
        <v>21242</v>
      </c>
      <c r="E5687" s="451"/>
      <c r="F5687" s="451"/>
      <c r="G5687" s="451" t="s">
        <v>22877</v>
      </c>
      <c r="H5687" s="451" t="s">
        <v>22878</v>
      </c>
      <c r="I5687" s="451" t="s">
        <v>24418</v>
      </c>
      <c r="J5687" s="451" t="s">
        <v>31524</v>
      </c>
      <c r="K5687" s="451"/>
    </row>
    <row r="5688" spans="1:11">
      <c r="A5688" s="450" t="s">
        <v>35779</v>
      </c>
      <c r="B5688" s="450"/>
      <c r="C5688" s="450" t="s">
        <v>8611</v>
      </c>
      <c r="D5688" s="450" t="s">
        <v>9533</v>
      </c>
      <c r="E5688" s="450"/>
      <c r="F5688" s="450"/>
      <c r="G5688" s="450" t="s">
        <v>22877</v>
      </c>
      <c r="H5688" s="450" t="s">
        <v>22878</v>
      </c>
      <c r="I5688" s="450" t="s">
        <v>9533</v>
      </c>
      <c r="J5688" s="450" t="s">
        <v>26124</v>
      </c>
      <c r="K5688" s="450"/>
    </row>
    <row r="5689" spans="1:11">
      <c r="A5689" s="451" t="s">
        <v>21747</v>
      </c>
      <c r="B5689" s="451"/>
      <c r="C5689" s="451" t="s">
        <v>8611</v>
      </c>
      <c r="D5689" s="451" t="s">
        <v>9533</v>
      </c>
      <c r="E5689" s="451" t="s">
        <v>9534</v>
      </c>
      <c r="F5689" s="451"/>
      <c r="G5689" s="451" t="s">
        <v>22877</v>
      </c>
      <c r="H5689" s="451" t="s">
        <v>22878</v>
      </c>
      <c r="I5689" s="451" t="s">
        <v>9533</v>
      </c>
      <c r="J5689" s="451" t="s">
        <v>26124</v>
      </c>
      <c r="K5689" s="451"/>
    </row>
    <row r="5690" spans="1:11">
      <c r="A5690" s="450" t="s">
        <v>9535</v>
      </c>
      <c r="B5690" s="450" t="s">
        <v>9536</v>
      </c>
      <c r="C5690" s="450" t="s">
        <v>9537</v>
      </c>
      <c r="D5690" s="450" t="s">
        <v>9538</v>
      </c>
      <c r="E5690" s="450"/>
      <c r="F5690" s="450"/>
      <c r="G5690" s="450" t="s">
        <v>22877</v>
      </c>
      <c r="H5690" s="450" t="s">
        <v>22878</v>
      </c>
      <c r="I5690" s="450" t="s">
        <v>9538</v>
      </c>
      <c r="J5690" s="450" t="s">
        <v>26125</v>
      </c>
      <c r="K5690" s="450"/>
    </row>
    <row r="5691" spans="1:11">
      <c r="A5691" s="451" t="s">
        <v>9535</v>
      </c>
      <c r="B5691" s="451" t="s">
        <v>9536</v>
      </c>
      <c r="C5691" s="451" t="s">
        <v>9537</v>
      </c>
      <c r="D5691" s="451" t="s">
        <v>9538</v>
      </c>
      <c r="E5691" s="451" t="s">
        <v>9539</v>
      </c>
      <c r="F5691" s="451"/>
      <c r="G5691" s="451" t="s">
        <v>22877</v>
      </c>
      <c r="H5691" s="451" t="s">
        <v>22878</v>
      </c>
      <c r="I5691" s="451"/>
      <c r="J5691" s="451" t="s">
        <v>35780</v>
      </c>
      <c r="K5691" s="451"/>
    </row>
    <row r="5692" spans="1:11">
      <c r="A5692" s="450" t="s">
        <v>9540</v>
      </c>
      <c r="B5692" s="450"/>
      <c r="C5692" s="450" t="s">
        <v>9541</v>
      </c>
      <c r="D5692" s="450"/>
      <c r="E5692" s="450"/>
      <c r="F5692" s="450"/>
      <c r="G5692" s="450" t="s">
        <v>22882</v>
      </c>
      <c r="H5692" s="450" t="s">
        <v>22883</v>
      </c>
      <c r="I5692" s="450"/>
      <c r="J5692" s="450" t="s">
        <v>22997</v>
      </c>
      <c r="K5692" s="450"/>
    </row>
    <row r="5693" spans="1:11">
      <c r="A5693" s="451" t="s">
        <v>9542</v>
      </c>
      <c r="B5693" s="451" t="s">
        <v>9543</v>
      </c>
      <c r="C5693" s="451" t="s">
        <v>9544</v>
      </c>
      <c r="D5693" s="451"/>
      <c r="E5693" s="451"/>
      <c r="F5693" s="451"/>
      <c r="G5693" s="451" t="s">
        <v>22877</v>
      </c>
      <c r="H5693" s="451" t="s">
        <v>22878</v>
      </c>
      <c r="I5693" s="451" t="s">
        <v>26126</v>
      </c>
      <c r="J5693" s="451" t="s">
        <v>26127</v>
      </c>
      <c r="K5693" s="451"/>
    </row>
    <row r="5694" spans="1:11">
      <c r="A5694" s="450" t="s">
        <v>9545</v>
      </c>
      <c r="B5694" s="450" t="s">
        <v>9546</v>
      </c>
      <c r="C5694" s="450" t="s">
        <v>2612</v>
      </c>
      <c r="D5694" s="450" t="s">
        <v>9547</v>
      </c>
      <c r="E5694" s="450"/>
      <c r="F5694" s="450"/>
      <c r="G5694" s="450" t="s">
        <v>22877</v>
      </c>
      <c r="H5694" s="450" t="s">
        <v>22878</v>
      </c>
      <c r="I5694" s="450" t="s">
        <v>9547</v>
      </c>
      <c r="J5694" s="450" t="s">
        <v>26128</v>
      </c>
      <c r="K5694" s="450"/>
    </row>
    <row r="5695" spans="1:11">
      <c r="A5695" s="451" t="s">
        <v>9545</v>
      </c>
      <c r="B5695" s="451" t="s">
        <v>9546</v>
      </c>
      <c r="C5695" s="451" t="s">
        <v>2612</v>
      </c>
      <c r="D5695" s="451" t="s">
        <v>9547</v>
      </c>
      <c r="E5695" s="451" t="s">
        <v>9548</v>
      </c>
      <c r="F5695" s="451"/>
      <c r="G5695" s="451" t="s">
        <v>22877</v>
      </c>
      <c r="H5695" s="451" t="s">
        <v>22878</v>
      </c>
      <c r="I5695" s="451" t="s">
        <v>31525</v>
      </c>
      <c r="J5695" s="451" t="s">
        <v>26128</v>
      </c>
      <c r="K5695" s="451"/>
    </row>
    <row r="5696" spans="1:11">
      <c r="A5696" s="450" t="s">
        <v>9549</v>
      </c>
      <c r="B5696" s="450" t="s">
        <v>9550</v>
      </c>
      <c r="C5696" s="450" t="s">
        <v>9551</v>
      </c>
      <c r="D5696" s="450"/>
      <c r="E5696" s="450"/>
      <c r="F5696" s="450"/>
      <c r="G5696" s="450" t="s">
        <v>22877</v>
      </c>
      <c r="H5696" s="450" t="s">
        <v>22878</v>
      </c>
      <c r="I5696" s="450" t="s">
        <v>31526</v>
      </c>
      <c r="J5696" s="450" t="s">
        <v>31527</v>
      </c>
      <c r="K5696" s="450"/>
    </row>
    <row r="5697" spans="1:11">
      <c r="A5697" s="451" t="s">
        <v>9552</v>
      </c>
      <c r="B5697" s="451"/>
      <c r="C5697" s="451" t="s">
        <v>9553</v>
      </c>
      <c r="D5697" s="451"/>
      <c r="E5697" s="451"/>
      <c r="F5697" s="451"/>
      <c r="G5697" s="451" t="s">
        <v>22877</v>
      </c>
      <c r="H5697" s="451" t="s">
        <v>22878</v>
      </c>
      <c r="I5697" s="451" t="s">
        <v>35781</v>
      </c>
      <c r="J5697" s="451" t="s">
        <v>23185</v>
      </c>
      <c r="K5697" s="451"/>
    </row>
    <row r="5698" spans="1:11">
      <c r="A5698" s="450" t="s">
        <v>35782</v>
      </c>
      <c r="B5698" s="450"/>
      <c r="C5698" s="450" t="s">
        <v>9553</v>
      </c>
      <c r="D5698" s="450"/>
      <c r="E5698" s="450"/>
      <c r="F5698" s="450"/>
      <c r="G5698" s="450" t="s">
        <v>22877</v>
      </c>
      <c r="H5698" s="450" t="s">
        <v>22878</v>
      </c>
      <c r="I5698" s="450" t="s">
        <v>35783</v>
      </c>
      <c r="J5698" s="450" t="s">
        <v>23133</v>
      </c>
      <c r="K5698" s="450"/>
    </row>
    <row r="5699" spans="1:11">
      <c r="A5699" s="451" t="s">
        <v>35784</v>
      </c>
      <c r="B5699" s="451"/>
      <c r="C5699" s="451" t="s">
        <v>9467</v>
      </c>
      <c r="D5699" s="451"/>
      <c r="E5699" s="451"/>
      <c r="F5699" s="451"/>
      <c r="G5699" s="451" t="s">
        <v>22877</v>
      </c>
      <c r="H5699" s="451" t="s">
        <v>22878</v>
      </c>
      <c r="I5699" s="451" t="s">
        <v>35785</v>
      </c>
      <c r="J5699" s="451" t="s">
        <v>22997</v>
      </c>
      <c r="K5699" s="451"/>
    </row>
    <row r="5700" spans="1:11">
      <c r="A5700" s="450" t="s">
        <v>9554</v>
      </c>
      <c r="B5700" s="450"/>
      <c r="C5700" s="450" t="s">
        <v>9555</v>
      </c>
      <c r="D5700" s="450"/>
      <c r="E5700" s="450"/>
      <c r="F5700" s="450"/>
      <c r="G5700" s="450" t="s">
        <v>22877</v>
      </c>
      <c r="H5700" s="450" t="s">
        <v>22878</v>
      </c>
      <c r="I5700" s="450" t="s">
        <v>35786</v>
      </c>
      <c r="J5700" s="450" t="s">
        <v>22939</v>
      </c>
      <c r="K5700" s="450"/>
    </row>
    <row r="5701" spans="1:11">
      <c r="A5701" s="451" t="s">
        <v>21748</v>
      </c>
      <c r="B5701" s="451"/>
      <c r="C5701" s="451" t="s">
        <v>9556</v>
      </c>
      <c r="D5701" s="451"/>
      <c r="E5701" s="451"/>
      <c r="F5701" s="451"/>
      <c r="G5701" s="451" t="s">
        <v>22877</v>
      </c>
      <c r="H5701" s="451" t="s">
        <v>22878</v>
      </c>
      <c r="I5701" s="451" t="s">
        <v>26129</v>
      </c>
      <c r="J5701" s="451" t="s">
        <v>22939</v>
      </c>
      <c r="K5701" s="451"/>
    </row>
    <row r="5702" spans="1:11">
      <c r="A5702" s="450" t="s">
        <v>26130</v>
      </c>
      <c r="B5702" s="450" t="s">
        <v>26131</v>
      </c>
      <c r="C5702" s="450" t="s">
        <v>26132</v>
      </c>
      <c r="D5702" s="450"/>
      <c r="E5702" s="450"/>
      <c r="F5702" s="450"/>
      <c r="G5702" s="450" t="s">
        <v>22877</v>
      </c>
      <c r="H5702" s="450" t="s">
        <v>22878</v>
      </c>
      <c r="I5702" s="450" t="s">
        <v>26133</v>
      </c>
      <c r="J5702" s="450" t="s">
        <v>26134</v>
      </c>
      <c r="K5702" s="450"/>
    </row>
    <row r="5703" spans="1:11">
      <c r="A5703" s="451" t="s">
        <v>9557</v>
      </c>
      <c r="B5703" s="451"/>
      <c r="C5703" s="451" t="s">
        <v>9558</v>
      </c>
      <c r="D5703" s="451"/>
      <c r="E5703" s="451"/>
      <c r="F5703" s="451"/>
      <c r="G5703" s="451" t="s">
        <v>22877</v>
      </c>
      <c r="H5703" s="451" t="s">
        <v>22878</v>
      </c>
      <c r="I5703" s="451" t="s">
        <v>35787</v>
      </c>
      <c r="J5703" s="451" t="s">
        <v>22939</v>
      </c>
      <c r="K5703" s="451"/>
    </row>
    <row r="5704" spans="1:11">
      <c r="A5704" s="450" t="s">
        <v>35788</v>
      </c>
      <c r="B5704" s="450"/>
      <c r="C5704" s="450" t="s">
        <v>9485</v>
      </c>
      <c r="D5704" s="450"/>
      <c r="E5704" s="450"/>
      <c r="F5704" s="450"/>
      <c r="G5704" s="450" t="s">
        <v>22882</v>
      </c>
      <c r="H5704" s="450" t="s">
        <v>22883</v>
      </c>
      <c r="I5704" s="450" t="s">
        <v>35789</v>
      </c>
      <c r="J5704" s="450" t="s">
        <v>22943</v>
      </c>
      <c r="K5704" s="450"/>
    </row>
    <row r="5705" spans="1:11">
      <c r="A5705" s="451" t="s">
        <v>9559</v>
      </c>
      <c r="B5705" s="451"/>
      <c r="C5705" s="451" t="s">
        <v>9485</v>
      </c>
      <c r="D5705" s="451"/>
      <c r="E5705" s="451"/>
      <c r="F5705" s="451"/>
      <c r="G5705" s="451" t="s">
        <v>22882</v>
      </c>
      <c r="H5705" s="451" t="s">
        <v>22883</v>
      </c>
      <c r="I5705" s="451"/>
      <c r="J5705" s="451" t="s">
        <v>23492</v>
      </c>
      <c r="K5705" s="451"/>
    </row>
    <row r="5706" spans="1:11">
      <c r="A5706" s="450" t="s">
        <v>9560</v>
      </c>
      <c r="B5706" s="450"/>
      <c r="C5706" s="450" t="s">
        <v>9561</v>
      </c>
      <c r="D5706" s="450"/>
      <c r="E5706" s="450"/>
      <c r="F5706" s="450"/>
      <c r="G5706" s="450" t="s">
        <v>22877</v>
      </c>
      <c r="H5706" s="450" t="s">
        <v>22878</v>
      </c>
      <c r="I5706" s="450" t="s">
        <v>35790</v>
      </c>
      <c r="J5706" s="450" t="s">
        <v>22943</v>
      </c>
      <c r="K5706" s="450"/>
    </row>
    <row r="5707" spans="1:11">
      <c r="A5707" s="451" t="s">
        <v>9562</v>
      </c>
      <c r="B5707" s="451"/>
      <c r="C5707" s="451" t="s">
        <v>4686</v>
      </c>
      <c r="D5707" s="451"/>
      <c r="E5707" s="451"/>
      <c r="F5707" s="451"/>
      <c r="G5707" s="451" t="s">
        <v>22877</v>
      </c>
      <c r="H5707" s="451" t="s">
        <v>22878</v>
      </c>
      <c r="I5707" s="451" t="s">
        <v>34784</v>
      </c>
      <c r="J5707" s="451" t="s">
        <v>22943</v>
      </c>
      <c r="K5707" s="451"/>
    </row>
    <row r="5708" spans="1:11">
      <c r="A5708" s="450" t="s">
        <v>9563</v>
      </c>
      <c r="B5708" s="450"/>
      <c r="C5708" s="450" t="s">
        <v>1871</v>
      </c>
      <c r="D5708" s="450"/>
      <c r="E5708" s="450"/>
      <c r="F5708" s="450"/>
      <c r="G5708" s="450" t="s">
        <v>22882</v>
      </c>
      <c r="H5708" s="450" t="s">
        <v>22883</v>
      </c>
      <c r="I5708" s="450" t="s">
        <v>35791</v>
      </c>
      <c r="J5708" s="450" t="s">
        <v>23133</v>
      </c>
      <c r="K5708" s="450"/>
    </row>
    <row r="5709" spans="1:11">
      <c r="A5709" s="451" t="s">
        <v>9564</v>
      </c>
      <c r="B5709" s="451"/>
      <c r="C5709" s="451" t="s">
        <v>9565</v>
      </c>
      <c r="D5709" s="451"/>
      <c r="E5709" s="451"/>
      <c r="F5709" s="451"/>
      <c r="G5709" s="451" t="s">
        <v>22882</v>
      </c>
      <c r="H5709" s="451" t="s">
        <v>22883</v>
      </c>
      <c r="I5709" s="451"/>
      <c r="J5709" s="451" t="s">
        <v>22943</v>
      </c>
      <c r="K5709" s="451"/>
    </row>
    <row r="5710" spans="1:11">
      <c r="A5710" s="450" t="s">
        <v>9566</v>
      </c>
      <c r="B5710" s="450"/>
      <c r="C5710" s="450" t="s">
        <v>9567</v>
      </c>
      <c r="D5710" s="450"/>
      <c r="E5710" s="450"/>
      <c r="F5710" s="450"/>
      <c r="G5710" s="450" t="s">
        <v>22877</v>
      </c>
      <c r="H5710" s="450" t="s">
        <v>22878</v>
      </c>
      <c r="I5710" s="450" t="s">
        <v>35792</v>
      </c>
      <c r="J5710" s="450" t="s">
        <v>22943</v>
      </c>
      <c r="K5710" s="450"/>
    </row>
    <row r="5711" spans="1:11">
      <c r="A5711" s="451" t="s">
        <v>9568</v>
      </c>
      <c r="B5711" s="451"/>
      <c r="C5711" s="451" t="s">
        <v>9569</v>
      </c>
      <c r="D5711" s="451"/>
      <c r="E5711" s="451"/>
      <c r="F5711" s="451"/>
      <c r="G5711" s="451" t="s">
        <v>22877</v>
      </c>
      <c r="H5711" s="451" t="s">
        <v>22878</v>
      </c>
      <c r="I5711" s="451" t="s">
        <v>26135</v>
      </c>
      <c r="J5711" s="451" t="s">
        <v>22943</v>
      </c>
      <c r="K5711" s="451"/>
    </row>
    <row r="5712" spans="1:11">
      <c r="A5712" s="450" t="s">
        <v>9570</v>
      </c>
      <c r="B5712" s="450" t="s">
        <v>9571</v>
      </c>
      <c r="C5712" s="450" t="s">
        <v>9572</v>
      </c>
      <c r="D5712" s="450" t="s">
        <v>9573</v>
      </c>
      <c r="E5712" s="450"/>
      <c r="F5712" s="450"/>
      <c r="G5712" s="450" t="s">
        <v>22877</v>
      </c>
      <c r="H5712" s="450" t="s">
        <v>22878</v>
      </c>
      <c r="I5712" s="450" t="s">
        <v>26136</v>
      </c>
      <c r="J5712" s="450" t="s">
        <v>26137</v>
      </c>
      <c r="K5712" s="450"/>
    </row>
    <row r="5713" spans="1:11">
      <c r="A5713" s="451" t="s">
        <v>35793</v>
      </c>
      <c r="B5713" s="451" t="s">
        <v>9575</v>
      </c>
      <c r="C5713" s="451" t="s">
        <v>9576</v>
      </c>
      <c r="D5713" s="451"/>
      <c r="E5713" s="451"/>
      <c r="F5713" s="451"/>
      <c r="G5713" s="451" t="s">
        <v>22877</v>
      </c>
      <c r="H5713" s="451" t="s">
        <v>22878</v>
      </c>
      <c r="I5713" s="451" t="s">
        <v>20340</v>
      </c>
      <c r="J5713" s="451" t="s">
        <v>35794</v>
      </c>
      <c r="K5713" s="451"/>
    </row>
    <row r="5714" spans="1:11">
      <c r="A5714" s="450" t="s">
        <v>9574</v>
      </c>
      <c r="B5714" s="450" t="s">
        <v>9575</v>
      </c>
      <c r="C5714" s="450" t="s">
        <v>9576</v>
      </c>
      <c r="D5714" s="450" t="s">
        <v>20340</v>
      </c>
      <c r="E5714" s="450"/>
      <c r="F5714" s="450" t="s">
        <v>20341</v>
      </c>
      <c r="G5714" s="450" t="s">
        <v>22877</v>
      </c>
      <c r="H5714" s="450" t="s">
        <v>22878</v>
      </c>
      <c r="I5714" s="450" t="s">
        <v>20340</v>
      </c>
      <c r="J5714" s="450" t="s">
        <v>31528</v>
      </c>
      <c r="K5714" s="450"/>
    </row>
    <row r="5715" spans="1:11">
      <c r="A5715" s="451" t="s">
        <v>9577</v>
      </c>
      <c r="B5715" s="451"/>
      <c r="C5715" s="451" t="s">
        <v>9569</v>
      </c>
      <c r="D5715" s="451"/>
      <c r="E5715" s="451"/>
      <c r="F5715" s="451"/>
      <c r="G5715" s="451" t="s">
        <v>22882</v>
      </c>
      <c r="H5715" s="451" t="s">
        <v>22883</v>
      </c>
      <c r="I5715" s="451" t="s">
        <v>35795</v>
      </c>
      <c r="J5715" s="451" t="s">
        <v>22939</v>
      </c>
      <c r="K5715" s="451"/>
    </row>
    <row r="5716" spans="1:11">
      <c r="A5716" s="450" t="s">
        <v>9578</v>
      </c>
      <c r="B5716" s="450"/>
      <c r="C5716" s="450" t="s">
        <v>9569</v>
      </c>
      <c r="D5716" s="450"/>
      <c r="E5716" s="450"/>
      <c r="F5716" s="450"/>
      <c r="G5716" s="450" t="s">
        <v>22877</v>
      </c>
      <c r="H5716" s="450" t="s">
        <v>22878</v>
      </c>
      <c r="I5716" s="450" t="s">
        <v>35796</v>
      </c>
      <c r="J5716" s="450" t="s">
        <v>22943</v>
      </c>
      <c r="K5716" s="450"/>
    </row>
    <row r="5717" spans="1:11">
      <c r="A5717" s="451" t="s">
        <v>9579</v>
      </c>
      <c r="B5717" s="451"/>
      <c r="C5717" s="451" t="s">
        <v>7154</v>
      </c>
      <c r="D5717" s="451"/>
      <c r="E5717" s="451"/>
      <c r="F5717" s="451"/>
      <c r="G5717" s="451" t="s">
        <v>22882</v>
      </c>
      <c r="H5717" s="451" t="s">
        <v>22883</v>
      </c>
      <c r="I5717" s="451"/>
      <c r="J5717" s="451" t="s">
        <v>22939</v>
      </c>
      <c r="K5717" s="451"/>
    </row>
    <row r="5718" spans="1:11">
      <c r="A5718" s="450" t="s">
        <v>9580</v>
      </c>
      <c r="B5718" s="450"/>
      <c r="C5718" s="450" t="s">
        <v>3961</v>
      </c>
      <c r="D5718" s="450"/>
      <c r="E5718" s="450"/>
      <c r="F5718" s="450"/>
      <c r="G5718" s="450" t="s">
        <v>22877</v>
      </c>
      <c r="H5718" s="450" t="s">
        <v>22878</v>
      </c>
      <c r="I5718" s="450" t="s">
        <v>35797</v>
      </c>
      <c r="J5718" s="450" t="s">
        <v>22943</v>
      </c>
      <c r="K5718" s="450"/>
    </row>
    <row r="5719" spans="1:11">
      <c r="A5719" s="451" t="s">
        <v>35798</v>
      </c>
      <c r="B5719" s="451"/>
      <c r="C5719" s="451" t="s">
        <v>9582</v>
      </c>
      <c r="D5719" s="451"/>
      <c r="E5719" s="451"/>
      <c r="F5719" s="451"/>
      <c r="G5719" s="451" t="s">
        <v>22882</v>
      </c>
      <c r="H5719" s="451" t="s">
        <v>22883</v>
      </c>
      <c r="I5719" s="451" t="s">
        <v>35799</v>
      </c>
      <c r="J5719" s="451" t="s">
        <v>23370</v>
      </c>
      <c r="K5719" s="451"/>
    </row>
    <row r="5720" spans="1:11">
      <c r="A5720" s="450" t="s">
        <v>9581</v>
      </c>
      <c r="B5720" s="450"/>
      <c r="C5720" s="450" t="s">
        <v>9582</v>
      </c>
      <c r="D5720" s="450"/>
      <c r="E5720" s="450"/>
      <c r="F5720" s="450"/>
      <c r="G5720" s="450" t="s">
        <v>22877</v>
      </c>
      <c r="H5720" s="450" t="s">
        <v>22878</v>
      </c>
      <c r="I5720" s="450" t="s">
        <v>35799</v>
      </c>
      <c r="J5720" s="450" t="s">
        <v>23492</v>
      </c>
      <c r="K5720" s="450"/>
    </row>
    <row r="5721" spans="1:11">
      <c r="A5721" s="451" t="s">
        <v>35800</v>
      </c>
      <c r="B5721" s="451"/>
      <c r="C5721" s="451" t="s">
        <v>9584</v>
      </c>
      <c r="D5721" s="451"/>
      <c r="E5721" s="451"/>
      <c r="F5721" s="451"/>
      <c r="G5721" s="451" t="s">
        <v>22877</v>
      </c>
      <c r="H5721" s="451" t="s">
        <v>22878</v>
      </c>
      <c r="I5721" s="451" t="s">
        <v>26138</v>
      </c>
      <c r="J5721" s="451" t="s">
        <v>22939</v>
      </c>
      <c r="K5721" s="451"/>
    </row>
    <row r="5722" spans="1:11">
      <c r="A5722" s="450" t="s">
        <v>9583</v>
      </c>
      <c r="B5722" s="450"/>
      <c r="C5722" s="450" t="s">
        <v>9584</v>
      </c>
      <c r="D5722" s="450"/>
      <c r="E5722" s="450"/>
      <c r="F5722" s="450"/>
      <c r="G5722" s="450" t="s">
        <v>22877</v>
      </c>
      <c r="H5722" s="450" t="s">
        <v>22878</v>
      </c>
      <c r="I5722" s="450" t="s">
        <v>26138</v>
      </c>
      <c r="J5722" s="450" t="s">
        <v>31529</v>
      </c>
      <c r="K5722" s="450"/>
    </row>
    <row r="5723" spans="1:11">
      <c r="A5723" s="451" t="s">
        <v>26139</v>
      </c>
      <c r="B5723" s="451" t="s">
        <v>26140</v>
      </c>
      <c r="C5723" s="451" t="s">
        <v>9443</v>
      </c>
      <c r="D5723" s="451" t="s">
        <v>9587</v>
      </c>
      <c r="E5723" s="451"/>
      <c r="F5723" s="451"/>
      <c r="G5723" s="451" t="s">
        <v>22877</v>
      </c>
      <c r="H5723" s="451" t="s">
        <v>22878</v>
      </c>
      <c r="I5723" s="451" t="s">
        <v>9587</v>
      </c>
      <c r="J5723" s="451" t="s">
        <v>26141</v>
      </c>
      <c r="K5723" s="451"/>
    </row>
    <row r="5724" spans="1:11">
      <c r="A5724" s="450" t="s">
        <v>9585</v>
      </c>
      <c r="B5724" s="450" t="s">
        <v>9586</v>
      </c>
      <c r="C5724" s="450" t="s">
        <v>9443</v>
      </c>
      <c r="D5724" s="450" t="s">
        <v>9587</v>
      </c>
      <c r="E5724" s="450" t="s">
        <v>9588</v>
      </c>
      <c r="F5724" s="450"/>
      <c r="G5724" s="450" t="s">
        <v>22882</v>
      </c>
      <c r="H5724" s="450" t="s">
        <v>22883</v>
      </c>
      <c r="I5724" s="450" t="s">
        <v>31530</v>
      </c>
      <c r="J5724" s="450" t="s">
        <v>31531</v>
      </c>
      <c r="K5724" s="450"/>
    </row>
    <row r="5725" spans="1:11">
      <c r="A5725" s="451" t="s">
        <v>9589</v>
      </c>
      <c r="B5725" s="451"/>
      <c r="C5725" s="451" t="s">
        <v>9469</v>
      </c>
      <c r="D5725" s="451"/>
      <c r="E5725" s="451"/>
      <c r="F5725" s="451"/>
      <c r="G5725" s="451" t="s">
        <v>22877</v>
      </c>
      <c r="H5725" s="451" t="s">
        <v>22878</v>
      </c>
      <c r="I5725" s="451" t="s">
        <v>26142</v>
      </c>
      <c r="J5725" s="451" t="s">
        <v>22939</v>
      </c>
      <c r="K5725" s="451"/>
    </row>
    <row r="5726" spans="1:11">
      <c r="A5726" s="450" t="s">
        <v>26143</v>
      </c>
      <c r="B5726" s="450" t="s">
        <v>9594</v>
      </c>
      <c r="C5726" s="450" t="s">
        <v>4970</v>
      </c>
      <c r="D5726" s="450"/>
      <c r="E5726" s="450"/>
      <c r="F5726" s="450" t="s">
        <v>9595</v>
      </c>
      <c r="G5726" s="450" t="s">
        <v>22877</v>
      </c>
      <c r="H5726" s="450" t="s">
        <v>22878</v>
      </c>
      <c r="I5726" s="450" t="s">
        <v>26144</v>
      </c>
      <c r="J5726" s="450" t="s">
        <v>26145</v>
      </c>
      <c r="K5726" s="450"/>
    </row>
    <row r="5727" spans="1:11">
      <c r="A5727" s="451" t="s">
        <v>9590</v>
      </c>
      <c r="B5727" s="451" t="s">
        <v>9591</v>
      </c>
      <c r="C5727" s="451" t="s">
        <v>9592</v>
      </c>
      <c r="D5727" s="451"/>
      <c r="E5727" s="451"/>
      <c r="F5727" s="451"/>
      <c r="G5727" s="451" t="s">
        <v>22877</v>
      </c>
      <c r="H5727" s="451" t="s">
        <v>22878</v>
      </c>
      <c r="I5727" s="451" t="s">
        <v>26146</v>
      </c>
      <c r="J5727" s="451" t="s">
        <v>26147</v>
      </c>
      <c r="K5727" s="451"/>
    </row>
    <row r="5728" spans="1:11">
      <c r="A5728" s="450" t="s">
        <v>9593</v>
      </c>
      <c r="B5728" s="450" t="s">
        <v>9594</v>
      </c>
      <c r="C5728" s="450" t="s">
        <v>4970</v>
      </c>
      <c r="D5728" s="450"/>
      <c r="E5728" s="450"/>
      <c r="F5728" s="450" t="s">
        <v>9595</v>
      </c>
      <c r="G5728" s="450" t="s">
        <v>22877</v>
      </c>
      <c r="H5728" s="450" t="s">
        <v>22878</v>
      </c>
      <c r="I5728" s="450" t="s">
        <v>31532</v>
      </c>
      <c r="J5728" s="450" t="s">
        <v>26145</v>
      </c>
      <c r="K5728" s="450"/>
    </row>
    <row r="5729" spans="1:11">
      <c r="A5729" s="451" t="s">
        <v>26148</v>
      </c>
      <c r="B5729" s="451" t="s">
        <v>9449</v>
      </c>
      <c r="C5729" s="451" t="s">
        <v>5725</v>
      </c>
      <c r="D5729" s="451" t="s">
        <v>9471</v>
      </c>
      <c r="E5729" s="451"/>
      <c r="F5729" s="451"/>
      <c r="G5729" s="451" t="s">
        <v>22882</v>
      </c>
      <c r="H5729" s="451" t="s">
        <v>22883</v>
      </c>
      <c r="I5729" s="451" t="s">
        <v>24393</v>
      </c>
      <c r="J5729" s="451" t="s">
        <v>26149</v>
      </c>
      <c r="K5729" s="451"/>
    </row>
    <row r="5730" spans="1:11">
      <c r="A5730" s="450" t="s">
        <v>35801</v>
      </c>
      <c r="B5730" s="450"/>
      <c r="C5730" s="450" t="s">
        <v>2842</v>
      </c>
      <c r="D5730" s="450"/>
      <c r="E5730" s="450"/>
      <c r="F5730" s="450"/>
      <c r="G5730" s="450" t="s">
        <v>22882</v>
      </c>
      <c r="H5730" s="450" t="s">
        <v>22883</v>
      </c>
      <c r="I5730" s="450" t="s">
        <v>35802</v>
      </c>
      <c r="J5730" s="450" t="s">
        <v>22943</v>
      </c>
      <c r="K5730" s="450"/>
    </row>
    <row r="5731" spans="1:11">
      <c r="A5731" s="451" t="s">
        <v>26150</v>
      </c>
      <c r="B5731" s="451"/>
      <c r="C5731" s="451" t="s">
        <v>2851</v>
      </c>
      <c r="D5731" s="451"/>
      <c r="E5731" s="451"/>
      <c r="F5731" s="451"/>
      <c r="G5731" s="451" t="s">
        <v>22877</v>
      </c>
      <c r="H5731" s="451" t="s">
        <v>22878</v>
      </c>
      <c r="I5731" s="451" t="s">
        <v>26151</v>
      </c>
      <c r="J5731" s="451" t="s">
        <v>22997</v>
      </c>
      <c r="K5731" s="451"/>
    </row>
    <row r="5732" spans="1:11">
      <c r="A5732" s="450" t="s">
        <v>26152</v>
      </c>
      <c r="B5732" s="450" t="s">
        <v>26153</v>
      </c>
      <c r="C5732" s="450" t="s">
        <v>9598</v>
      </c>
      <c r="D5732" s="450" t="s">
        <v>9599</v>
      </c>
      <c r="E5732" s="450"/>
      <c r="F5732" s="450"/>
      <c r="G5732" s="450" t="s">
        <v>22877</v>
      </c>
      <c r="H5732" s="450" t="s">
        <v>22878</v>
      </c>
      <c r="I5732" s="450" t="s">
        <v>9599</v>
      </c>
      <c r="J5732" s="450" t="s">
        <v>26154</v>
      </c>
      <c r="K5732" s="450"/>
    </row>
    <row r="5733" spans="1:11">
      <c r="A5733" s="451" t="s">
        <v>9596</v>
      </c>
      <c r="B5733" s="451" t="s">
        <v>9597</v>
      </c>
      <c r="C5733" s="451" t="s">
        <v>9598</v>
      </c>
      <c r="D5733" s="451" t="s">
        <v>9599</v>
      </c>
      <c r="E5733" s="451" t="s">
        <v>9600</v>
      </c>
      <c r="F5733" s="451"/>
      <c r="G5733" s="451" t="s">
        <v>22877</v>
      </c>
      <c r="H5733" s="451" t="s">
        <v>22878</v>
      </c>
      <c r="I5733" s="451" t="s">
        <v>31533</v>
      </c>
      <c r="J5733" s="451" t="s">
        <v>31534</v>
      </c>
      <c r="K5733" s="451"/>
    </row>
    <row r="5734" spans="1:11">
      <c r="A5734" s="450" t="s">
        <v>9601</v>
      </c>
      <c r="B5734" s="450"/>
      <c r="C5734" s="450" t="s">
        <v>9602</v>
      </c>
      <c r="D5734" s="450"/>
      <c r="E5734" s="450"/>
      <c r="F5734" s="450"/>
      <c r="G5734" s="450" t="s">
        <v>22877</v>
      </c>
      <c r="H5734" s="450" t="s">
        <v>22878</v>
      </c>
      <c r="I5734" s="450" t="s">
        <v>35803</v>
      </c>
      <c r="J5734" s="450" t="s">
        <v>22939</v>
      </c>
      <c r="K5734" s="450"/>
    </row>
    <row r="5735" spans="1:11">
      <c r="A5735" s="451" t="s">
        <v>9603</v>
      </c>
      <c r="B5735" s="451"/>
      <c r="C5735" s="451" t="s">
        <v>2538</v>
      </c>
      <c r="D5735" s="451"/>
      <c r="E5735" s="451"/>
      <c r="F5735" s="451"/>
      <c r="G5735" s="451" t="s">
        <v>22877</v>
      </c>
      <c r="H5735" s="451" t="s">
        <v>22878</v>
      </c>
      <c r="I5735" s="451" t="s">
        <v>26155</v>
      </c>
      <c r="J5735" s="451" t="s">
        <v>22997</v>
      </c>
      <c r="K5735" s="451"/>
    </row>
    <row r="5736" spans="1:11">
      <c r="A5736" s="450" t="s">
        <v>9604</v>
      </c>
      <c r="B5736" s="450"/>
      <c r="C5736" s="450" t="s">
        <v>9605</v>
      </c>
      <c r="D5736" s="450"/>
      <c r="E5736" s="450"/>
      <c r="F5736" s="450"/>
      <c r="G5736" s="450" t="s">
        <v>22877</v>
      </c>
      <c r="H5736" s="450" t="s">
        <v>22878</v>
      </c>
      <c r="I5736" s="450" t="s">
        <v>35804</v>
      </c>
      <c r="J5736" s="450" t="s">
        <v>22939</v>
      </c>
      <c r="K5736" s="450"/>
    </row>
    <row r="5737" spans="1:11">
      <c r="A5737" s="451" t="s">
        <v>9606</v>
      </c>
      <c r="B5737" s="451"/>
      <c r="C5737" s="451" t="s">
        <v>9607</v>
      </c>
      <c r="D5737" s="451"/>
      <c r="E5737" s="451"/>
      <c r="F5737" s="451"/>
      <c r="G5737" s="451" t="s">
        <v>22882</v>
      </c>
      <c r="H5737" s="451" t="s">
        <v>22883</v>
      </c>
      <c r="I5737" s="451"/>
      <c r="J5737" s="451" t="s">
        <v>22939</v>
      </c>
      <c r="K5737" s="451"/>
    </row>
    <row r="5738" spans="1:11">
      <c r="A5738" s="450" t="s">
        <v>9608</v>
      </c>
      <c r="B5738" s="450"/>
      <c r="C5738" s="450" t="s">
        <v>9609</v>
      </c>
      <c r="D5738" s="450"/>
      <c r="E5738" s="450"/>
      <c r="F5738" s="450"/>
      <c r="G5738" s="450" t="s">
        <v>22882</v>
      </c>
      <c r="H5738" s="450" t="s">
        <v>22883</v>
      </c>
      <c r="I5738" s="450"/>
      <c r="J5738" s="450" t="s">
        <v>22939</v>
      </c>
      <c r="K5738" s="450"/>
    </row>
    <row r="5739" spans="1:11">
      <c r="A5739" s="451" t="s">
        <v>9610</v>
      </c>
      <c r="B5739" s="451" t="s">
        <v>9611</v>
      </c>
      <c r="C5739" s="451" t="s">
        <v>9612</v>
      </c>
      <c r="D5739" s="451" t="s">
        <v>9613</v>
      </c>
      <c r="E5739" s="451"/>
      <c r="F5739" s="451"/>
      <c r="G5739" s="451" t="s">
        <v>22877</v>
      </c>
      <c r="H5739" s="451" t="s">
        <v>22878</v>
      </c>
      <c r="I5739" s="451" t="s">
        <v>35805</v>
      </c>
      <c r="J5739" s="451" t="s">
        <v>26156</v>
      </c>
      <c r="K5739" s="451"/>
    </row>
    <row r="5740" spans="1:11">
      <c r="A5740" s="450" t="s">
        <v>9610</v>
      </c>
      <c r="B5740" s="450" t="s">
        <v>9611</v>
      </c>
      <c r="C5740" s="450" t="s">
        <v>9612</v>
      </c>
      <c r="D5740" s="450" t="s">
        <v>9613</v>
      </c>
      <c r="E5740" s="450" t="s">
        <v>9614</v>
      </c>
      <c r="F5740" s="450"/>
      <c r="G5740" s="450" t="s">
        <v>22877</v>
      </c>
      <c r="H5740" s="450" t="s">
        <v>22878</v>
      </c>
      <c r="I5740" s="450" t="s">
        <v>31535</v>
      </c>
      <c r="J5740" s="450" t="s">
        <v>26156</v>
      </c>
      <c r="K5740" s="450"/>
    </row>
    <row r="5741" spans="1:11">
      <c r="A5741" s="451" t="s">
        <v>26157</v>
      </c>
      <c r="B5741" s="451" t="s">
        <v>26158</v>
      </c>
      <c r="C5741" s="451" t="s">
        <v>26159</v>
      </c>
      <c r="D5741" s="451" t="s">
        <v>26160</v>
      </c>
      <c r="E5741" s="451"/>
      <c r="F5741" s="451"/>
      <c r="G5741" s="451" t="s">
        <v>22877</v>
      </c>
      <c r="H5741" s="451" t="s">
        <v>22878</v>
      </c>
      <c r="I5741" s="451" t="s">
        <v>26160</v>
      </c>
      <c r="J5741" s="451" t="s">
        <v>26161</v>
      </c>
      <c r="K5741" s="451"/>
    </row>
    <row r="5742" spans="1:11">
      <c r="A5742" s="450" t="s">
        <v>26162</v>
      </c>
      <c r="B5742" s="450"/>
      <c r="C5742" s="450" t="s">
        <v>9476</v>
      </c>
      <c r="D5742" s="450"/>
      <c r="E5742" s="450"/>
      <c r="F5742" s="450"/>
      <c r="G5742" s="450" t="s">
        <v>22877</v>
      </c>
      <c r="H5742" s="450" t="s">
        <v>22878</v>
      </c>
      <c r="I5742" s="450" t="s">
        <v>26163</v>
      </c>
      <c r="J5742" s="450" t="s">
        <v>22943</v>
      </c>
      <c r="K5742" s="450"/>
    </row>
    <row r="5743" spans="1:11">
      <c r="A5743" s="451" t="s">
        <v>26164</v>
      </c>
      <c r="B5743" s="451" t="s">
        <v>26165</v>
      </c>
      <c r="C5743" s="451" t="s">
        <v>26166</v>
      </c>
      <c r="D5743" s="451"/>
      <c r="E5743" s="451"/>
      <c r="F5743" s="451"/>
      <c r="G5743" s="451" t="s">
        <v>22877</v>
      </c>
      <c r="H5743" s="451" t="s">
        <v>22878</v>
      </c>
      <c r="I5743" s="451" t="s">
        <v>26167</v>
      </c>
      <c r="J5743" s="451" t="s">
        <v>26168</v>
      </c>
      <c r="K5743" s="451"/>
    </row>
    <row r="5744" spans="1:11">
      <c r="A5744" s="450" t="s">
        <v>26169</v>
      </c>
      <c r="B5744" s="450" t="s">
        <v>26170</v>
      </c>
      <c r="C5744" s="450" t="s">
        <v>26171</v>
      </c>
      <c r="D5744" s="450"/>
      <c r="E5744" s="450"/>
      <c r="F5744" s="450"/>
      <c r="G5744" s="450" t="s">
        <v>22877</v>
      </c>
      <c r="H5744" s="450" t="s">
        <v>22878</v>
      </c>
      <c r="I5744" s="450" t="s">
        <v>26172</v>
      </c>
      <c r="J5744" s="450" t="s">
        <v>26173</v>
      </c>
      <c r="K5744" s="450"/>
    </row>
    <row r="5745" spans="1:11">
      <c r="A5745" s="451" t="s">
        <v>9615</v>
      </c>
      <c r="B5745" s="451" t="s">
        <v>9616</v>
      </c>
      <c r="C5745" s="451" t="s">
        <v>9617</v>
      </c>
      <c r="D5745" s="451" t="s">
        <v>9618</v>
      </c>
      <c r="E5745" s="451"/>
      <c r="F5745" s="451"/>
      <c r="G5745" s="451" t="s">
        <v>22877</v>
      </c>
      <c r="H5745" s="451" t="s">
        <v>22878</v>
      </c>
      <c r="I5745" s="451" t="s">
        <v>26174</v>
      </c>
      <c r="J5745" s="451" t="s">
        <v>35806</v>
      </c>
      <c r="K5745" s="451"/>
    </row>
    <row r="5746" spans="1:11">
      <c r="A5746" s="450" t="s">
        <v>9615</v>
      </c>
      <c r="B5746" s="450" t="s">
        <v>9616</v>
      </c>
      <c r="C5746" s="450" t="s">
        <v>9617</v>
      </c>
      <c r="D5746" s="450" t="s">
        <v>9618</v>
      </c>
      <c r="E5746" s="450" t="s">
        <v>9619</v>
      </c>
      <c r="F5746" s="450"/>
      <c r="G5746" s="450" t="s">
        <v>22877</v>
      </c>
      <c r="H5746" s="450" t="s">
        <v>22878</v>
      </c>
      <c r="I5746" s="450" t="s">
        <v>26174</v>
      </c>
      <c r="J5746" s="450" t="s">
        <v>31536</v>
      </c>
      <c r="K5746" s="450"/>
    </row>
    <row r="5747" spans="1:11">
      <c r="A5747" s="451" t="s">
        <v>9620</v>
      </c>
      <c r="B5747" s="451"/>
      <c r="C5747" s="451" t="s">
        <v>9621</v>
      </c>
      <c r="D5747" s="451"/>
      <c r="E5747" s="451"/>
      <c r="F5747" s="451"/>
      <c r="G5747" s="451" t="s">
        <v>22877</v>
      </c>
      <c r="H5747" s="451" t="s">
        <v>22878</v>
      </c>
      <c r="I5747" s="451" t="s">
        <v>26175</v>
      </c>
      <c r="J5747" s="451" t="s">
        <v>22943</v>
      </c>
      <c r="K5747" s="451"/>
    </row>
    <row r="5748" spans="1:11">
      <c r="A5748" s="450" t="s">
        <v>26176</v>
      </c>
      <c r="B5748" s="450" t="s">
        <v>26177</v>
      </c>
      <c r="C5748" s="450" t="s">
        <v>26178</v>
      </c>
      <c r="D5748" s="450" t="s">
        <v>26179</v>
      </c>
      <c r="E5748" s="450"/>
      <c r="F5748" s="450"/>
      <c r="G5748" s="450" t="s">
        <v>22877</v>
      </c>
      <c r="H5748" s="450" t="s">
        <v>22878</v>
      </c>
      <c r="I5748" s="450" t="s">
        <v>26179</v>
      </c>
      <c r="J5748" s="450" t="s">
        <v>26180</v>
      </c>
      <c r="K5748" s="450"/>
    </row>
    <row r="5749" spans="1:11">
      <c r="A5749" s="451" t="s">
        <v>9622</v>
      </c>
      <c r="B5749" s="451" t="s">
        <v>26181</v>
      </c>
      <c r="C5749" s="451" t="s">
        <v>9624</v>
      </c>
      <c r="D5749" s="451"/>
      <c r="E5749" s="451"/>
      <c r="F5749" s="451" t="s">
        <v>9625</v>
      </c>
      <c r="G5749" s="451" t="s">
        <v>22877</v>
      </c>
      <c r="H5749" s="451" t="s">
        <v>22878</v>
      </c>
      <c r="I5749" s="451" t="s">
        <v>26182</v>
      </c>
      <c r="J5749" s="451" t="s">
        <v>26183</v>
      </c>
      <c r="K5749" s="451"/>
    </row>
    <row r="5750" spans="1:11">
      <c r="A5750" s="450" t="s">
        <v>9622</v>
      </c>
      <c r="B5750" s="450" t="s">
        <v>9623</v>
      </c>
      <c r="C5750" s="450" t="s">
        <v>9624</v>
      </c>
      <c r="D5750" s="450"/>
      <c r="E5750" s="450"/>
      <c r="F5750" s="450" t="s">
        <v>9625</v>
      </c>
      <c r="G5750" s="450" t="s">
        <v>22877</v>
      </c>
      <c r="H5750" s="450" t="s">
        <v>22878</v>
      </c>
      <c r="I5750" s="450" t="s">
        <v>31537</v>
      </c>
      <c r="J5750" s="450" t="s">
        <v>31538</v>
      </c>
      <c r="K5750" s="450"/>
    </row>
    <row r="5751" spans="1:11">
      <c r="A5751" s="451" t="s">
        <v>35807</v>
      </c>
      <c r="B5751" s="451" t="s">
        <v>35808</v>
      </c>
      <c r="C5751" s="451" t="s">
        <v>9628</v>
      </c>
      <c r="D5751" s="451"/>
      <c r="E5751" s="451"/>
      <c r="F5751" s="451" t="s">
        <v>9629</v>
      </c>
      <c r="G5751" s="451" t="s">
        <v>22877</v>
      </c>
      <c r="H5751" s="451" t="s">
        <v>22878</v>
      </c>
      <c r="I5751" s="451" t="s">
        <v>26184</v>
      </c>
      <c r="J5751" s="451" t="s">
        <v>35809</v>
      </c>
      <c r="K5751" s="451"/>
    </row>
    <row r="5752" spans="1:11">
      <c r="A5752" s="450" t="s">
        <v>9626</v>
      </c>
      <c r="B5752" s="450" t="s">
        <v>9627</v>
      </c>
      <c r="C5752" s="450" t="s">
        <v>9628</v>
      </c>
      <c r="D5752" s="450"/>
      <c r="E5752" s="450"/>
      <c r="F5752" s="450" t="s">
        <v>9629</v>
      </c>
      <c r="G5752" s="450" t="s">
        <v>22877</v>
      </c>
      <c r="H5752" s="450" t="s">
        <v>22878</v>
      </c>
      <c r="I5752" s="450" t="s">
        <v>26184</v>
      </c>
      <c r="J5752" s="450" t="s">
        <v>31539</v>
      </c>
      <c r="K5752" s="450"/>
    </row>
    <row r="5753" spans="1:11">
      <c r="A5753" s="451" t="s">
        <v>35810</v>
      </c>
      <c r="B5753" s="451" t="s">
        <v>9631</v>
      </c>
      <c r="C5753" s="451" t="s">
        <v>8247</v>
      </c>
      <c r="D5753" s="451"/>
      <c r="E5753" s="451"/>
      <c r="F5753" s="451"/>
      <c r="G5753" s="451" t="s">
        <v>22877</v>
      </c>
      <c r="H5753" s="451" t="s">
        <v>22878</v>
      </c>
      <c r="I5753" s="451" t="s">
        <v>35811</v>
      </c>
      <c r="J5753" s="451" t="s">
        <v>35812</v>
      </c>
      <c r="K5753" s="451"/>
    </row>
    <row r="5754" spans="1:11">
      <c r="A5754" s="450" t="s">
        <v>9630</v>
      </c>
      <c r="B5754" s="450" t="s">
        <v>9631</v>
      </c>
      <c r="C5754" s="450" t="s">
        <v>8247</v>
      </c>
      <c r="D5754" s="450"/>
      <c r="E5754" s="450"/>
      <c r="F5754" s="450"/>
      <c r="G5754" s="450" t="s">
        <v>22877</v>
      </c>
      <c r="H5754" s="450" t="s">
        <v>22878</v>
      </c>
      <c r="I5754" s="450" t="s">
        <v>31540</v>
      </c>
      <c r="J5754" s="450" t="s">
        <v>31541</v>
      </c>
      <c r="K5754" s="450"/>
    </row>
    <row r="5755" spans="1:11">
      <c r="A5755" s="451" t="s">
        <v>35813</v>
      </c>
      <c r="B5755" s="451"/>
      <c r="C5755" s="451" t="s">
        <v>1213</v>
      </c>
      <c r="D5755" s="451"/>
      <c r="E5755" s="451"/>
      <c r="F5755" s="451"/>
      <c r="G5755" s="451" t="s">
        <v>22877</v>
      </c>
      <c r="H5755" s="451" t="s">
        <v>22878</v>
      </c>
      <c r="I5755" s="451" t="s">
        <v>35814</v>
      </c>
      <c r="J5755" s="451" t="s">
        <v>22943</v>
      </c>
      <c r="K5755" s="451"/>
    </row>
    <row r="5756" spans="1:11">
      <c r="A5756" s="450" t="s">
        <v>9632</v>
      </c>
      <c r="B5756" s="450"/>
      <c r="C5756" s="450" t="s">
        <v>1213</v>
      </c>
      <c r="D5756" s="450"/>
      <c r="E5756" s="450"/>
      <c r="F5756" s="450"/>
      <c r="G5756" s="450" t="s">
        <v>22877</v>
      </c>
      <c r="H5756" s="450" t="s">
        <v>22878</v>
      </c>
      <c r="I5756" s="450" t="s">
        <v>35815</v>
      </c>
      <c r="J5756" s="450" t="s">
        <v>22937</v>
      </c>
      <c r="K5756" s="450"/>
    </row>
    <row r="5757" spans="1:11">
      <c r="A5757" s="451" t="s">
        <v>35816</v>
      </c>
      <c r="B5757" s="451"/>
      <c r="C5757" s="451" t="s">
        <v>9634</v>
      </c>
      <c r="D5757" s="451"/>
      <c r="E5757" s="451"/>
      <c r="F5757" s="451"/>
      <c r="G5757" s="451" t="s">
        <v>22882</v>
      </c>
      <c r="H5757" s="451" t="s">
        <v>22883</v>
      </c>
      <c r="I5757" s="451"/>
      <c r="J5757" s="451" t="s">
        <v>23370</v>
      </c>
      <c r="K5757" s="451"/>
    </row>
    <row r="5758" spans="1:11">
      <c r="A5758" s="450" t="s">
        <v>9633</v>
      </c>
      <c r="B5758" s="450"/>
      <c r="C5758" s="450" t="s">
        <v>9634</v>
      </c>
      <c r="D5758" s="450"/>
      <c r="E5758" s="450"/>
      <c r="F5758" s="450"/>
      <c r="G5758" s="450" t="s">
        <v>22882</v>
      </c>
      <c r="H5758" s="450" t="s">
        <v>22883</v>
      </c>
      <c r="I5758" s="450"/>
      <c r="J5758" s="450" t="s">
        <v>22942</v>
      </c>
      <c r="K5758" s="450"/>
    </row>
    <row r="5759" spans="1:11">
      <c r="A5759" s="451" t="s">
        <v>21749</v>
      </c>
      <c r="B5759" s="451"/>
      <c r="C5759" s="451" t="s">
        <v>9635</v>
      </c>
      <c r="D5759" s="451"/>
      <c r="E5759" s="451"/>
      <c r="F5759" s="451"/>
      <c r="G5759" s="451" t="s">
        <v>22877</v>
      </c>
      <c r="H5759" s="451" t="s">
        <v>22878</v>
      </c>
      <c r="I5759" s="451" t="s">
        <v>35817</v>
      </c>
      <c r="J5759" s="451" t="s">
        <v>22937</v>
      </c>
      <c r="K5759" s="451"/>
    </row>
    <row r="5760" spans="1:11">
      <c r="A5760" s="450" t="s">
        <v>35818</v>
      </c>
      <c r="B5760" s="450"/>
      <c r="C5760" s="450" t="s">
        <v>9635</v>
      </c>
      <c r="D5760" s="450"/>
      <c r="E5760" s="450"/>
      <c r="F5760" s="450"/>
      <c r="G5760" s="450" t="s">
        <v>22877</v>
      </c>
      <c r="H5760" s="450" t="s">
        <v>22878</v>
      </c>
      <c r="I5760" s="450" t="s">
        <v>35817</v>
      </c>
      <c r="J5760" s="450" t="s">
        <v>22997</v>
      </c>
      <c r="K5760" s="450"/>
    </row>
    <row r="5761" spans="1:11">
      <c r="A5761" s="451" t="s">
        <v>9636</v>
      </c>
      <c r="B5761" s="451"/>
      <c r="C5761" s="451" t="s">
        <v>9637</v>
      </c>
      <c r="D5761" s="451"/>
      <c r="E5761" s="451"/>
      <c r="F5761" s="451"/>
      <c r="G5761" s="451" t="s">
        <v>22877</v>
      </c>
      <c r="H5761" s="451" t="s">
        <v>22878</v>
      </c>
      <c r="I5761" s="451" t="s">
        <v>35819</v>
      </c>
      <c r="J5761" s="451" t="s">
        <v>22943</v>
      </c>
      <c r="K5761" s="451"/>
    </row>
    <row r="5762" spans="1:11">
      <c r="A5762" s="450" t="s">
        <v>9638</v>
      </c>
      <c r="B5762" s="450"/>
      <c r="C5762" s="450" t="s">
        <v>4710</v>
      </c>
      <c r="D5762" s="450"/>
      <c r="E5762" s="450"/>
      <c r="F5762" s="450"/>
      <c r="G5762" s="450" t="s">
        <v>22877</v>
      </c>
      <c r="H5762" s="450" t="s">
        <v>22878</v>
      </c>
      <c r="I5762" s="450" t="s">
        <v>35820</v>
      </c>
      <c r="J5762" s="450" t="s">
        <v>22997</v>
      </c>
      <c r="K5762" s="450"/>
    </row>
    <row r="5763" spans="1:11">
      <c r="A5763" s="451" t="s">
        <v>9639</v>
      </c>
      <c r="B5763" s="451"/>
      <c r="C5763" s="451" t="s">
        <v>9310</v>
      </c>
      <c r="D5763" s="451"/>
      <c r="E5763" s="451"/>
      <c r="F5763" s="451"/>
      <c r="G5763" s="451" t="s">
        <v>22877</v>
      </c>
      <c r="H5763" s="451" t="s">
        <v>22878</v>
      </c>
      <c r="I5763" s="451" t="s">
        <v>35821</v>
      </c>
      <c r="J5763" s="451" t="s">
        <v>22943</v>
      </c>
      <c r="K5763" s="451"/>
    </row>
    <row r="5764" spans="1:11">
      <c r="A5764" s="450" t="s">
        <v>9640</v>
      </c>
      <c r="B5764" s="450"/>
      <c r="C5764" s="450" t="s">
        <v>9641</v>
      </c>
      <c r="D5764" s="450"/>
      <c r="E5764" s="450"/>
      <c r="F5764" s="450"/>
      <c r="G5764" s="450" t="s">
        <v>22882</v>
      </c>
      <c r="H5764" s="450" t="s">
        <v>22883</v>
      </c>
      <c r="I5764" s="450"/>
      <c r="J5764" s="450" t="s">
        <v>22939</v>
      </c>
      <c r="K5764" s="450"/>
    </row>
    <row r="5765" spans="1:11">
      <c r="A5765" s="451" t="s">
        <v>9642</v>
      </c>
      <c r="B5765" s="451"/>
      <c r="C5765" s="451" t="s">
        <v>8393</v>
      </c>
      <c r="D5765" s="451"/>
      <c r="E5765" s="451"/>
      <c r="F5765" s="451"/>
      <c r="G5765" s="451" t="s">
        <v>22877</v>
      </c>
      <c r="H5765" s="451" t="s">
        <v>22878</v>
      </c>
      <c r="I5765" s="451" t="s">
        <v>26185</v>
      </c>
      <c r="J5765" s="451" t="s">
        <v>22939</v>
      </c>
      <c r="K5765" s="451"/>
    </row>
    <row r="5766" spans="1:11">
      <c r="A5766" s="450" t="s">
        <v>35822</v>
      </c>
      <c r="B5766" s="450" t="s">
        <v>9643</v>
      </c>
      <c r="C5766" s="450" t="s">
        <v>9644</v>
      </c>
      <c r="D5766" s="450" t="s">
        <v>9645</v>
      </c>
      <c r="E5766" s="450"/>
      <c r="F5766" s="450" t="s">
        <v>9647</v>
      </c>
      <c r="G5766" s="450" t="s">
        <v>22877</v>
      </c>
      <c r="H5766" s="450" t="s">
        <v>22878</v>
      </c>
      <c r="I5766" s="450" t="s">
        <v>35823</v>
      </c>
      <c r="J5766" s="450" t="s">
        <v>35824</v>
      </c>
      <c r="K5766" s="450"/>
    </row>
    <row r="5767" spans="1:11">
      <c r="A5767" s="451" t="s">
        <v>21750</v>
      </c>
      <c r="B5767" s="451" t="s">
        <v>9643</v>
      </c>
      <c r="C5767" s="451" t="s">
        <v>9644</v>
      </c>
      <c r="D5767" s="451" t="s">
        <v>9645</v>
      </c>
      <c r="E5767" s="451" t="s">
        <v>9646</v>
      </c>
      <c r="F5767" s="451" t="s">
        <v>9647</v>
      </c>
      <c r="G5767" s="451" t="s">
        <v>22882</v>
      </c>
      <c r="H5767" s="451" t="s">
        <v>22883</v>
      </c>
      <c r="I5767" s="451" t="s">
        <v>31542</v>
      </c>
      <c r="J5767" s="451" t="s">
        <v>31543</v>
      </c>
      <c r="K5767" s="451"/>
    </row>
    <row r="5768" spans="1:11">
      <c r="A5768" s="450" t="s">
        <v>26186</v>
      </c>
      <c r="B5768" s="450"/>
      <c r="C5768" s="450" t="s">
        <v>9460</v>
      </c>
      <c r="D5768" s="450"/>
      <c r="E5768" s="450"/>
      <c r="F5768" s="450"/>
      <c r="G5768" s="450" t="s">
        <v>22877</v>
      </c>
      <c r="H5768" s="450" t="s">
        <v>22878</v>
      </c>
      <c r="I5768" s="450" t="s">
        <v>26187</v>
      </c>
      <c r="J5768" s="450" t="s">
        <v>22939</v>
      </c>
      <c r="K5768" s="450"/>
    </row>
    <row r="5769" spans="1:11">
      <c r="A5769" s="451" t="s">
        <v>26188</v>
      </c>
      <c r="B5769" s="451" t="s">
        <v>26189</v>
      </c>
      <c r="C5769" s="451" t="s">
        <v>26190</v>
      </c>
      <c r="D5769" s="451" t="s">
        <v>26191</v>
      </c>
      <c r="E5769" s="451"/>
      <c r="F5769" s="451"/>
      <c r="G5769" s="451" t="s">
        <v>22877</v>
      </c>
      <c r="H5769" s="451" t="s">
        <v>22878</v>
      </c>
      <c r="I5769" s="451" t="s">
        <v>26191</v>
      </c>
      <c r="J5769" s="451" t="s">
        <v>26192</v>
      </c>
      <c r="K5769" s="451"/>
    </row>
    <row r="5770" spans="1:11">
      <c r="A5770" s="450" t="s">
        <v>35825</v>
      </c>
      <c r="B5770" s="450"/>
      <c r="C5770" s="450" t="s">
        <v>9478</v>
      </c>
      <c r="D5770" s="450"/>
      <c r="E5770" s="450"/>
      <c r="F5770" s="450"/>
      <c r="G5770" s="450" t="s">
        <v>22877</v>
      </c>
      <c r="H5770" s="450" t="s">
        <v>22878</v>
      </c>
      <c r="I5770" s="450" t="s">
        <v>35826</v>
      </c>
      <c r="J5770" s="450" t="s">
        <v>22943</v>
      </c>
      <c r="K5770" s="450"/>
    </row>
    <row r="5771" spans="1:11">
      <c r="A5771" s="451" t="s">
        <v>31544</v>
      </c>
      <c r="B5771" s="451"/>
      <c r="C5771" s="451" t="s">
        <v>3814</v>
      </c>
      <c r="D5771" s="451" t="s">
        <v>3184</v>
      </c>
      <c r="E5771" s="451"/>
      <c r="F5771" s="451"/>
      <c r="G5771" s="451" t="s">
        <v>22877</v>
      </c>
      <c r="H5771" s="451" t="s">
        <v>22878</v>
      </c>
      <c r="I5771" s="451" t="s">
        <v>26193</v>
      </c>
      <c r="J5771" s="451" t="s">
        <v>26194</v>
      </c>
      <c r="K5771" s="451"/>
    </row>
    <row r="5772" spans="1:11">
      <c r="A5772" s="450" t="s">
        <v>31545</v>
      </c>
      <c r="B5772" s="450" t="s">
        <v>9481</v>
      </c>
      <c r="C5772" s="450" t="s">
        <v>9482</v>
      </c>
      <c r="D5772" s="450" t="s">
        <v>9483</v>
      </c>
      <c r="E5772" s="450"/>
      <c r="F5772" s="450"/>
      <c r="G5772" s="450" t="s">
        <v>22877</v>
      </c>
      <c r="H5772" s="450" t="s">
        <v>22878</v>
      </c>
      <c r="I5772" s="450" t="s">
        <v>9483</v>
      </c>
      <c r="J5772" s="450" t="s">
        <v>26195</v>
      </c>
      <c r="K5772" s="450"/>
    </row>
    <row r="5773" spans="1:11">
      <c r="A5773" s="451" t="s">
        <v>35827</v>
      </c>
      <c r="B5773" s="451"/>
      <c r="C5773" s="451" t="s">
        <v>9648</v>
      </c>
      <c r="D5773" s="451"/>
      <c r="E5773" s="451"/>
      <c r="F5773" s="451"/>
      <c r="G5773" s="451" t="s">
        <v>22882</v>
      </c>
      <c r="H5773" s="451" t="s">
        <v>22883</v>
      </c>
      <c r="I5773" s="451"/>
      <c r="J5773" s="451" t="s">
        <v>22943</v>
      </c>
      <c r="K5773" s="451"/>
    </row>
    <row r="5774" spans="1:11">
      <c r="A5774" s="450" t="s">
        <v>21751</v>
      </c>
      <c r="B5774" s="450"/>
      <c r="C5774" s="450" t="s">
        <v>9648</v>
      </c>
      <c r="D5774" s="450"/>
      <c r="E5774" s="450"/>
      <c r="F5774" s="450"/>
      <c r="G5774" s="450" t="s">
        <v>22882</v>
      </c>
      <c r="H5774" s="450" t="s">
        <v>22883</v>
      </c>
      <c r="I5774" s="450"/>
      <c r="J5774" s="450" t="s">
        <v>22937</v>
      </c>
      <c r="K5774" s="450"/>
    </row>
    <row r="5775" spans="1:11">
      <c r="A5775" s="451" t="s">
        <v>9649</v>
      </c>
      <c r="B5775" s="451"/>
      <c r="C5775" s="451" t="s">
        <v>9650</v>
      </c>
      <c r="D5775" s="451"/>
      <c r="E5775" s="451"/>
      <c r="F5775" s="451"/>
      <c r="G5775" s="451" t="s">
        <v>22877</v>
      </c>
      <c r="H5775" s="451" t="s">
        <v>22878</v>
      </c>
      <c r="I5775" s="451" t="s">
        <v>35828</v>
      </c>
      <c r="J5775" s="451" t="s">
        <v>23185</v>
      </c>
      <c r="K5775" s="451"/>
    </row>
    <row r="5776" spans="1:11">
      <c r="A5776" s="450" t="s">
        <v>9651</v>
      </c>
      <c r="B5776" s="450"/>
      <c r="C5776" s="450" t="s">
        <v>9652</v>
      </c>
      <c r="D5776" s="450"/>
      <c r="E5776" s="450"/>
      <c r="F5776" s="450" t="s">
        <v>9653</v>
      </c>
      <c r="G5776" s="450" t="s">
        <v>22877</v>
      </c>
      <c r="H5776" s="450" t="s">
        <v>22878</v>
      </c>
      <c r="I5776" s="450" t="s">
        <v>35829</v>
      </c>
      <c r="J5776" s="450" t="s">
        <v>24578</v>
      </c>
      <c r="K5776" s="450"/>
    </row>
    <row r="5777" spans="1:11">
      <c r="A5777" s="451" t="s">
        <v>9654</v>
      </c>
      <c r="B5777" s="451"/>
      <c r="C5777" s="451" t="s">
        <v>9655</v>
      </c>
      <c r="D5777" s="451"/>
      <c r="E5777" s="451"/>
      <c r="F5777" s="451"/>
      <c r="G5777" s="451" t="s">
        <v>26196</v>
      </c>
      <c r="H5777" s="451" t="s">
        <v>22878</v>
      </c>
      <c r="I5777" s="451"/>
      <c r="J5777" s="451"/>
      <c r="K5777" s="451"/>
    </row>
    <row r="5778" spans="1:11">
      <c r="A5778" s="450" t="s">
        <v>35830</v>
      </c>
      <c r="B5778" s="450" t="s">
        <v>35831</v>
      </c>
      <c r="C5778" s="450" t="s">
        <v>9664</v>
      </c>
      <c r="D5778" s="450"/>
      <c r="E5778" s="450"/>
      <c r="F5778" s="450"/>
      <c r="G5778" s="450" t="s">
        <v>22877</v>
      </c>
      <c r="H5778" s="450" t="s">
        <v>22878</v>
      </c>
      <c r="I5778" s="450" t="s">
        <v>26197</v>
      </c>
      <c r="J5778" s="450" t="s">
        <v>35832</v>
      </c>
      <c r="K5778" s="450"/>
    </row>
    <row r="5779" spans="1:11">
      <c r="A5779" s="451" t="s">
        <v>9656</v>
      </c>
      <c r="B5779" s="451" t="s">
        <v>9657</v>
      </c>
      <c r="C5779" s="451" t="s">
        <v>9658</v>
      </c>
      <c r="D5779" s="451" t="s">
        <v>9659</v>
      </c>
      <c r="E5779" s="451" t="s">
        <v>9660</v>
      </c>
      <c r="F5779" s="451" t="s">
        <v>9661</v>
      </c>
      <c r="G5779" s="451" t="s">
        <v>22877</v>
      </c>
      <c r="H5779" s="451" t="s">
        <v>22878</v>
      </c>
      <c r="I5779" s="451" t="s">
        <v>26197</v>
      </c>
      <c r="J5779" s="451" t="s">
        <v>35833</v>
      </c>
      <c r="K5779" s="451"/>
    </row>
    <row r="5780" spans="1:11">
      <c r="A5780" s="450" t="s">
        <v>9662</v>
      </c>
      <c r="B5780" s="450" t="s">
        <v>9663</v>
      </c>
      <c r="C5780" s="450" t="s">
        <v>9664</v>
      </c>
      <c r="D5780" s="450"/>
      <c r="E5780" s="450"/>
      <c r="F5780" s="450"/>
      <c r="G5780" s="450" t="s">
        <v>22877</v>
      </c>
      <c r="H5780" s="450" t="s">
        <v>22878</v>
      </c>
      <c r="I5780" s="450" t="s">
        <v>26197</v>
      </c>
      <c r="J5780" s="450" t="s">
        <v>31546</v>
      </c>
      <c r="K5780" s="450"/>
    </row>
    <row r="5781" spans="1:11">
      <c r="A5781" s="451" t="s">
        <v>35834</v>
      </c>
      <c r="B5781" s="451" t="s">
        <v>35835</v>
      </c>
      <c r="C5781" s="451" t="s">
        <v>22640</v>
      </c>
      <c r="D5781" s="451"/>
      <c r="E5781" s="451"/>
      <c r="F5781" s="451"/>
      <c r="G5781" s="451" t="s">
        <v>22877</v>
      </c>
      <c r="H5781" s="451" t="s">
        <v>22878</v>
      </c>
      <c r="I5781" s="451" t="s">
        <v>26198</v>
      </c>
      <c r="J5781" s="451" t="s">
        <v>35836</v>
      </c>
      <c r="K5781" s="451"/>
    </row>
    <row r="5782" spans="1:11">
      <c r="A5782" s="450" t="s">
        <v>21048</v>
      </c>
      <c r="B5782" s="450" t="s">
        <v>21049</v>
      </c>
      <c r="C5782" s="450" t="s">
        <v>11980</v>
      </c>
      <c r="D5782" s="450"/>
      <c r="E5782" s="450"/>
      <c r="F5782" s="450"/>
      <c r="G5782" s="450" t="s">
        <v>22877</v>
      </c>
      <c r="H5782" s="450" t="s">
        <v>22878</v>
      </c>
      <c r="I5782" s="450" t="s">
        <v>26198</v>
      </c>
      <c r="J5782" s="450" t="s">
        <v>31547</v>
      </c>
      <c r="K5782" s="450"/>
    </row>
    <row r="5783" spans="1:11">
      <c r="A5783" s="451" t="s">
        <v>26199</v>
      </c>
      <c r="B5783" s="451" t="s">
        <v>26200</v>
      </c>
      <c r="C5783" s="451" t="s">
        <v>12921</v>
      </c>
      <c r="D5783" s="451"/>
      <c r="E5783" s="451"/>
      <c r="F5783" s="451"/>
      <c r="G5783" s="451" t="s">
        <v>22877</v>
      </c>
      <c r="H5783" s="451" t="s">
        <v>22878</v>
      </c>
      <c r="I5783" s="451" t="s">
        <v>26201</v>
      </c>
      <c r="J5783" s="451" t="s">
        <v>26202</v>
      </c>
      <c r="K5783" s="451"/>
    </row>
    <row r="5784" spans="1:11">
      <c r="A5784" s="450" t="s">
        <v>20140</v>
      </c>
      <c r="B5784" s="450" t="s">
        <v>20141</v>
      </c>
      <c r="C5784" s="450" t="s">
        <v>20142</v>
      </c>
      <c r="D5784" s="450" t="s">
        <v>20143</v>
      </c>
      <c r="E5784" s="450" t="s">
        <v>20144</v>
      </c>
      <c r="F5784" s="450"/>
      <c r="G5784" s="450" t="s">
        <v>22877</v>
      </c>
      <c r="H5784" s="450" t="s">
        <v>22878</v>
      </c>
      <c r="I5784" s="450" t="s">
        <v>20143</v>
      </c>
      <c r="J5784" s="450" t="s">
        <v>31548</v>
      </c>
      <c r="K5784" s="450"/>
    </row>
    <row r="5785" spans="1:11">
      <c r="A5785" s="451" t="s">
        <v>35837</v>
      </c>
      <c r="B5785" s="451" t="s">
        <v>9666</v>
      </c>
      <c r="C5785" s="451" t="s">
        <v>9667</v>
      </c>
      <c r="D5785" s="451" t="s">
        <v>9668</v>
      </c>
      <c r="E5785" s="451"/>
      <c r="F5785" s="451"/>
      <c r="G5785" s="451" t="s">
        <v>22882</v>
      </c>
      <c r="H5785" s="451" t="s">
        <v>22883</v>
      </c>
      <c r="I5785" s="451" t="s">
        <v>9668</v>
      </c>
      <c r="J5785" s="451" t="s">
        <v>35838</v>
      </c>
      <c r="K5785" s="451"/>
    </row>
    <row r="5786" spans="1:11">
      <c r="A5786" s="450" t="s">
        <v>9665</v>
      </c>
      <c r="B5786" s="450" t="s">
        <v>9666</v>
      </c>
      <c r="C5786" s="450" t="s">
        <v>9667</v>
      </c>
      <c r="D5786" s="450" t="s">
        <v>9668</v>
      </c>
      <c r="E5786" s="450" t="s">
        <v>9669</v>
      </c>
      <c r="F5786" s="450"/>
      <c r="G5786" s="450" t="s">
        <v>22882</v>
      </c>
      <c r="H5786" s="450" t="s">
        <v>22883</v>
      </c>
      <c r="I5786" s="450" t="s">
        <v>31549</v>
      </c>
      <c r="J5786" s="450" t="s">
        <v>31550</v>
      </c>
      <c r="K5786" s="450"/>
    </row>
    <row r="5787" spans="1:11">
      <c r="A5787" s="451" t="s">
        <v>35839</v>
      </c>
      <c r="B5787" s="451"/>
      <c r="C5787" s="451" t="s">
        <v>9485</v>
      </c>
      <c r="D5787" s="451"/>
      <c r="E5787" s="451"/>
      <c r="F5787" s="451"/>
      <c r="G5787" s="451" t="s">
        <v>22882</v>
      </c>
      <c r="H5787" s="451" t="s">
        <v>22883</v>
      </c>
      <c r="I5787" s="451"/>
      <c r="J5787" s="451" t="s">
        <v>22948</v>
      </c>
      <c r="K5787" s="451"/>
    </row>
    <row r="5788" spans="1:11">
      <c r="A5788" s="450" t="s">
        <v>35840</v>
      </c>
      <c r="B5788" s="450"/>
      <c r="C5788" s="450" t="s">
        <v>9462</v>
      </c>
      <c r="D5788" s="450"/>
      <c r="E5788" s="450"/>
      <c r="F5788" s="450"/>
      <c r="G5788" s="450" t="s">
        <v>22877</v>
      </c>
      <c r="H5788" s="450" t="s">
        <v>22878</v>
      </c>
      <c r="I5788" s="450" t="s">
        <v>35773</v>
      </c>
      <c r="J5788" s="450" t="s">
        <v>22943</v>
      </c>
      <c r="K5788" s="450"/>
    </row>
    <row r="5789" spans="1:11">
      <c r="A5789" s="451" t="s">
        <v>35841</v>
      </c>
      <c r="B5789" s="451"/>
      <c r="C5789" s="451" t="s">
        <v>1921</v>
      </c>
      <c r="D5789" s="451"/>
      <c r="E5789" s="451"/>
      <c r="F5789" s="451"/>
      <c r="G5789" s="451" t="s">
        <v>22877</v>
      </c>
      <c r="H5789" s="451" t="s">
        <v>22878</v>
      </c>
      <c r="I5789" s="451" t="s">
        <v>35842</v>
      </c>
      <c r="J5789" s="451" t="s">
        <v>22943</v>
      </c>
      <c r="K5789" s="451"/>
    </row>
    <row r="5790" spans="1:11">
      <c r="A5790" s="450" t="s">
        <v>35843</v>
      </c>
      <c r="B5790" s="450"/>
      <c r="C5790" s="450" t="s">
        <v>2528</v>
      </c>
      <c r="D5790" s="450"/>
      <c r="E5790" s="450"/>
      <c r="F5790" s="450"/>
      <c r="G5790" s="450" t="s">
        <v>22877</v>
      </c>
      <c r="H5790" s="450" t="s">
        <v>22878</v>
      </c>
      <c r="I5790" s="450" t="s">
        <v>35844</v>
      </c>
      <c r="J5790" s="450" t="s">
        <v>22997</v>
      </c>
      <c r="K5790" s="450"/>
    </row>
    <row r="5791" spans="1:11">
      <c r="A5791" s="451" t="s">
        <v>9670</v>
      </c>
      <c r="B5791" s="451"/>
      <c r="C5791" s="451" t="s">
        <v>9671</v>
      </c>
      <c r="D5791" s="451"/>
      <c r="E5791" s="451"/>
      <c r="F5791" s="451"/>
      <c r="G5791" s="451" t="s">
        <v>22877</v>
      </c>
      <c r="H5791" s="451" t="s">
        <v>22878</v>
      </c>
      <c r="I5791" s="451" t="s">
        <v>35845</v>
      </c>
      <c r="J5791" s="451" t="s">
        <v>22939</v>
      </c>
      <c r="K5791" s="451"/>
    </row>
    <row r="5792" spans="1:11">
      <c r="A5792" s="450" t="s">
        <v>35846</v>
      </c>
      <c r="B5792" s="450"/>
      <c r="C5792" s="450" t="s">
        <v>9671</v>
      </c>
      <c r="D5792" s="450"/>
      <c r="E5792" s="450"/>
      <c r="F5792" s="450"/>
      <c r="G5792" s="450" t="s">
        <v>22877</v>
      </c>
      <c r="H5792" s="450" t="s">
        <v>22878</v>
      </c>
      <c r="I5792" s="450" t="s">
        <v>35845</v>
      </c>
      <c r="J5792" s="450" t="s">
        <v>22943</v>
      </c>
      <c r="K5792" s="450"/>
    </row>
    <row r="5793" spans="1:11">
      <c r="A5793" s="451" t="s">
        <v>9672</v>
      </c>
      <c r="B5793" s="451"/>
      <c r="C5793" s="451" t="s">
        <v>9673</v>
      </c>
      <c r="D5793" s="451"/>
      <c r="E5793" s="451"/>
      <c r="F5793" s="451"/>
      <c r="G5793" s="451" t="s">
        <v>22877</v>
      </c>
      <c r="H5793" s="451" t="s">
        <v>22878</v>
      </c>
      <c r="I5793" s="451" t="s">
        <v>26204</v>
      </c>
      <c r="J5793" s="451" t="s">
        <v>22942</v>
      </c>
      <c r="K5793" s="451"/>
    </row>
    <row r="5794" spans="1:11">
      <c r="A5794" s="450" t="s">
        <v>26203</v>
      </c>
      <c r="B5794" s="450"/>
      <c r="C5794" s="450" t="s">
        <v>9673</v>
      </c>
      <c r="D5794" s="450"/>
      <c r="E5794" s="450"/>
      <c r="F5794" s="450"/>
      <c r="G5794" s="450" t="s">
        <v>22877</v>
      </c>
      <c r="H5794" s="450" t="s">
        <v>22878</v>
      </c>
      <c r="I5794" s="450" t="s">
        <v>26204</v>
      </c>
      <c r="J5794" s="450" t="s">
        <v>23370</v>
      </c>
      <c r="K5794" s="450"/>
    </row>
    <row r="5795" spans="1:11">
      <c r="A5795" s="451" t="s">
        <v>9674</v>
      </c>
      <c r="B5795" s="451" t="s">
        <v>9675</v>
      </c>
      <c r="C5795" s="451" t="s">
        <v>9676</v>
      </c>
      <c r="D5795" s="451"/>
      <c r="E5795" s="451"/>
      <c r="F5795" s="451" t="s">
        <v>9677</v>
      </c>
      <c r="G5795" s="451" t="s">
        <v>22877</v>
      </c>
      <c r="H5795" s="451" t="s">
        <v>22878</v>
      </c>
      <c r="I5795" s="451" t="s">
        <v>26207</v>
      </c>
      <c r="J5795" s="451" t="s">
        <v>35847</v>
      </c>
      <c r="K5795" s="451"/>
    </row>
    <row r="5796" spans="1:11">
      <c r="A5796" s="450" t="s">
        <v>26205</v>
      </c>
      <c r="B5796" s="450" t="s">
        <v>26206</v>
      </c>
      <c r="C5796" s="450" t="s">
        <v>9676</v>
      </c>
      <c r="D5796" s="450"/>
      <c r="E5796" s="450"/>
      <c r="F5796" s="450" t="s">
        <v>9677</v>
      </c>
      <c r="G5796" s="450" t="s">
        <v>22877</v>
      </c>
      <c r="H5796" s="450" t="s">
        <v>22878</v>
      </c>
      <c r="I5796" s="450" t="s">
        <v>26207</v>
      </c>
      <c r="J5796" s="450" t="s">
        <v>26208</v>
      </c>
      <c r="K5796" s="450"/>
    </row>
    <row r="5797" spans="1:11">
      <c r="A5797" s="451" t="s">
        <v>35848</v>
      </c>
      <c r="B5797" s="451" t="s">
        <v>35849</v>
      </c>
      <c r="C5797" s="451" t="s">
        <v>21039</v>
      </c>
      <c r="D5797" s="451" t="s">
        <v>21040</v>
      </c>
      <c r="E5797" s="451"/>
      <c r="F5797" s="451"/>
      <c r="G5797" s="451" t="s">
        <v>22877</v>
      </c>
      <c r="H5797" s="451" t="s">
        <v>22878</v>
      </c>
      <c r="I5797" s="451" t="s">
        <v>26118</v>
      </c>
      <c r="J5797" s="451" t="s">
        <v>35850</v>
      </c>
      <c r="K5797" s="451"/>
    </row>
    <row r="5798" spans="1:11">
      <c r="A5798" s="450" t="s">
        <v>21037</v>
      </c>
      <c r="B5798" s="450" t="s">
        <v>21038</v>
      </c>
      <c r="C5798" s="450" t="s">
        <v>21039</v>
      </c>
      <c r="D5798" s="450" t="s">
        <v>21040</v>
      </c>
      <c r="E5798" s="450"/>
      <c r="F5798" s="450"/>
      <c r="G5798" s="450" t="s">
        <v>22877</v>
      </c>
      <c r="H5798" s="450" t="s">
        <v>22878</v>
      </c>
      <c r="I5798" s="450" t="s">
        <v>26118</v>
      </c>
      <c r="J5798" s="450" t="s">
        <v>31551</v>
      </c>
      <c r="K5798" s="450"/>
    </row>
    <row r="5799" spans="1:11">
      <c r="A5799" s="451" t="s">
        <v>26209</v>
      </c>
      <c r="B5799" s="451"/>
      <c r="C5799" s="451" t="s">
        <v>9488</v>
      </c>
      <c r="D5799" s="451"/>
      <c r="E5799" s="451"/>
      <c r="F5799" s="451"/>
      <c r="G5799" s="451" t="s">
        <v>22882</v>
      </c>
      <c r="H5799" s="451" t="s">
        <v>22883</v>
      </c>
      <c r="I5799" s="451" t="s">
        <v>26210</v>
      </c>
      <c r="J5799" s="451" t="s">
        <v>22997</v>
      </c>
      <c r="K5799" s="451"/>
    </row>
    <row r="5800" spans="1:11">
      <c r="A5800" s="450" t="s">
        <v>26211</v>
      </c>
      <c r="B5800" s="450" t="s">
        <v>9490</v>
      </c>
      <c r="C5800" s="450" t="s">
        <v>9491</v>
      </c>
      <c r="D5800" s="450" t="s">
        <v>9492</v>
      </c>
      <c r="E5800" s="450"/>
      <c r="F5800" s="450"/>
      <c r="G5800" s="450" t="s">
        <v>22882</v>
      </c>
      <c r="H5800" s="450" t="s">
        <v>22883</v>
      </c>
      <c r="I5800" s="450" t="s">
        <v>26212</v>
      </c>
      <c r="J5800" s="450" t="s">
        <v>26213</v>
      </c>
      <c r="K5800" s="450"/>
    </row>
    <row r="5801" spans="1:11">
      <c r="A5801" s="451" t="s">
        <v>26214</v>
      </c>
      <c r="B5801" s="451" t="s">
        <v>9494</v>
      </c>
      <c r="C5801" s="451" t="s">
        <v>5765</v>
      </c>
      <c r="D5801" s="451" t="s">
        <v>9495</v>
      </c>
      <c r="E5801" s="451"/>
      <c r="F5801" s="451"/>
      <c r="G5801" s="451" t="s">
        <v>22882</v>
      </c>
      <c r="H5801" s="451" t="s">
        <v>22883</v>
      </c>
      <c r="I5801" s="451" t="s">
        <v>26215</v>
      </c>
      <c r="J5801" s="451" t="s">
        <v>26216</v>
      </c>
      <c r="K5801" s="451"/>
    </row>
    <row r="5802" spans="1:11">
      <c r="A5802" s="450" t="s">
        <v>26217</v>
      </c>
      <c r="B5802" s="450" t="s">
        <v>9498</v>
      </c>
      <c r="C5802" s="450" t="s">
        <v>3801</v>
      </c>
      <c r="D5802" s="450" t="s">
        <v>9499</v>
      </c>
      <c r="E5802" s="450"/>
      <c r="F5802" s="450"/>
      <c r="G5802" s="450" t="s">
        <v>22882</v>
      </c>
      <c r="H5802" s="450" t="s">
        <v>22883</v>
      </c>
      <c r="I5802" s="450" t="s">
        <v>9499</v>
      </c>
      <c r="J5802" s="450" t="s">
        <v>26218</v>
      </c>
      <c r="K5802" s="450"/>
    </row>
    <row r="5803" spans="1:11">
      <c r="A5803" s="451" t="s">
        <v>26219</v>
      </c>
      <c r="B5803" s="451" t="s">
        <v>9502</v>
      </c>
      <c r="C5803" s="451" t="s">
        <v>9503</v>
      </c>
      <c r="D5803" s="451" t="s">
        <v>9504</v>
      </c>
      <c r="E5803" s="451"/>
      <c r="F5803" s="451"/>
      <c r="G5803" s="451" t="s">
        <v>22882</v>
      </c>
      <c r="H5803" s="451" t="s">
        <v>22883</v>
      </c>
      <c r="I5803" s="451" t="s">
        <v>9504</v>
      </c>
      <c r="J5803" s="451" t="s">
        <v>26220</v>
      </c>
      <c r="K5803" s="451"/>
    </row>
    <row r="5804" spans="1:11">
      <c r="A5804" s="450" t="s">
        <v>26221</v>
      </c>
      <c r="B5804" s="450" t="s">
        <v>9507</v>
      </c>
      <c r="C5804" s="450" t="s">
        <v>9508</v>
      </c>
      <c r="D5804" s="450" t="s">
        <v>9509</v>
      </c>
      <c r="E5804" s="450"/>
      <c r="F5804" s="450"/>
      <c r="G5804" s="450" t="s">
        <v>22882</v>
      </c>
      <c r="H5804" s="450" t="s">
        <v>22883</v>
      </c>
      <c r="I5804" s="450" t="s">
        <v>26222</v>
      </c>
      <c r="J5804" s="450" t="s">
        <v>26223</v>
      </c>
      <c r="K5804" s="450"/>
    </row>
    <row r="5805" spans="1:11">
      <c r="A5805" s="451" t="s">
        <v>26224</v>
      </c>
      <c r="B5805" s="451" t="s">
        <v>26225</v>
      </c>
      <c r="C5805" s="451" t="s">
        <v>9513</v>
      </c>
      <c r="D5805" s="451" t="s">
        <v>9514</v>
      </c>
      <c r="E5805" s="451"/>
      <c r="F5805" s="451"/>
      <c r="G5805" s="451" t="s">
        <v>22877</v>
      </c>
      <c r="H5805" s="451" t="s">
        <v>22878</v>
      </c>
      <c r="I5805" s="451" t="s">
        <v>9514</v>
      </c>
      <c r="J5805" s="451" t="s">
        <v>26226</v>
      </c>
      <c r="K5805" s="451"/>
    </row>
    <row r="5806" spans="1:11">
      <c r="A5806" s="450" t="s">
        <v>26227</v>
      </c>
      <c r="B5806" s="450" t="s">
        <v>26228</v>
      </c>
      <c r="C5806" s="450" t="s">
        <v>9518</v>
      </c>
      <c r="D5806" s="450"/>
      <c r="E5806" s="450"/>
      <c r="F5806" s="450"/>
      <c r="G5806" s="450" t="s">
        <v>22877</v>
      </c>
      <c r="H5806" s="450" t="s">
        <v>22878</v>
      </c>
      <c r="I5806" s="450" t="s">
        <v>26229</v>
      </c>
      <c r="J5806" s="450" t="s">
        <v>26230</v>
      </c>
      <c r="K5806" s="450"/>
    </row>
    <row r="5807" spans="1:11">
      <c r="A5807" s="451" t="s">
        <v>35851</v>
      </c>
      <c r="B5807" s="451" t="s">
        <v>9679</v>
      </c>
      <c r="C5807" s="451" t="s">
        <v>9680</v>
      </c>
      <c r="D5807" s="451" t="s">
        <v>9681</v>
      </c>
      <c r="E5807" s="451"/>
      <c r="F5807" s="451"/>
      <c r="G5807" s="451" t="s">
        <v>22877</v>
      </c>
      <c r="H5807" s="451" t="s">
        <v>22878</v>
      </c>
      <c r="I5807" s="451" t="s">
        <v>9681</v>
      </c>
      <c r="J5807" s="451" t="s">
        <v>35852</v>
      </c>
      <c r="K5807" s="451"/>
    </row>
    <row r="5808" spans="1:11">
      <c r="A5808" s="450" t="s">
        <v>9678</v>
      </c>
      <c r="B5808" s="450" t="s">
        <v>9679</v>
      </c>
      <c r="C5808" s="450" t="s">
        <v>9680</v>
      </c>
      <c r="D5808" s="450" t="s">
        <v>9681</v>
      </c>
      <c r="E5808" s="450" t="s">
        <v>9682</v>
      </c>
      <c r="F5808" s="450"/>
      <c r="G5808" s="450" t="s">
        <v>22877</v>
      </c>
      <c r="H5808" s="450" t="s">
        <v>22878</v>
      </c>
      <c r="I5808" s="450" t="s">
        <v>31552</v>
      </c>
      <c r="J5808" s="450" t="s">
        <v>31553</v>
      </c>
      <c r="K5808" s="450"/>
    </row>
    <row r="5809" spans="1:11">
      <c r="A5809" s="451" t="s">
        <v>26231</v>
      </c>
      <c r="B5809" s="451"/>
      <c r="C5809" s="451" t="s">
        <v>9520</v>
      </c>
      <c r="D5809" s="451"/>
      <c r="E5809" s="451"/>
      <c r="F5809" s="451"/>
      <c r="G5809" s="451" t="s">
        <v>22877</v>
      </c>
      <c r="H5809" s="451" t="s">
        <v>22878</v>
      </c>
      <c r="I5809" s="451" t="s">
        <v>26232</v>
      </c>
      <c r="J5809" s="451" t="s">
        <v>22943</v>
      </c>
      <c r="K5809" s="451"/>
    </row>
    <row r="5810" spans="1:11">
      <c r="A5810" s="450" t="s">
        <v>21362</v>
      </c>
      <c r="B5810" s="450" t="s">
        <v>21363</v>
      </c>
      <c r="C5810" s="450" t="s">
        <v>21364</v>
      </c>
      <c r="D5810" s="450" t="s">
        <v>21365</v>
      </c>
      <c r="E5810" s="450"/>
      <c r="F5810" s="450"/>
      <c r="G5810" s="450" t="s">
        <v>22877</v>
      </c>
      <c r="H5810" s="450" t="s">
        <v>22878</v>
      </c>
      <c r="I5810" s="450" t="s">
        <v>21365</v>
      </c>
      <c r="J5810" s="450" t="s">
        <v>35853</v>
      </c>
      <c r="K5810" s="450"/>
    </row>
    <row r="5811" spans="1:11">
      <c r="A5811" s="451" t="s">
        <v>26233</v>
      </c>
      <c r="B5811" s="451" t="s">
        <v>21363</v>
      </c>
      <c r="C5811" s="451" t="s">
        <v>26234</v>
      </c>
      <c r="D5811" s="451"/>
      <c r="E5811" s="451"/>
      <c r="F5811" s="451"/>
      <c r="G5811" s="451" t="s">
        <v>22877</v>
      </c>
      <c r="H5811" s="451" t="s">
        <v>22878</v>
      </c>
      <c r="I5811" s="451" t="s">
        <v>21365</v>
      </c>
      <c r="J5811" s="451" t="s">
        <v>26235</v>
      </c>
      <c r="K5811" s="451"/>
    </row>
    <row r="5812" spans="1:11">
      <c r="A5812" s="450" t="s">
        <v>35854</v>
      </c>
      <c r="B5812" s="450" t="s">
        <v>35855</v>
      </c>
      <c r="C5812" s="450" t="s">
        <v>9206</v>
      </c>
      <c r="D5812" s="450" t="s">
        <v>9685</v>
      </c>
      <c r="E5812" s="450"/>
      <c r="F5812" s="450"/>
      <c r="G5812" s="450" t="s">
        <v>22877</v>
      </c>
      <c r="H5812" s="450" t="s">
        <v>22878</v>
      </c>
      <c r="I5812" s="450" t="s">
        <v>26236</v>
      </c>
      <c r="J5812" s="450" t="s">
        <v>35856</v>
      </c>
      <c r="K5812" s="450"/>
    </row>
    <row r="5813" spans="1:11">
      <c r="A5813" s="451" t="s">
        <v>9683</v>
      </c>
      <c r="B5813" s="451" t="s">
        <v>9684</v>
      </c>
      <c r="C5813" s="451" t="s">
        <v>9206</v>
      </c>
      <c r="D5813" s="451" t="s">
        <v>9685</v>
      </c>
      <c r="E5813" s="451"/>
      <c r="F5813" s="451"/>
      <c r="G5813" s="451" t="s">
        <v>22877</v>
      </c>
      <c r="H5813" s="451" t="s">
        <v>22878</v>
      </c>
      <c r="I5813" s="451" t="s">
        <v>26236</v>
      </c>
      <c r="J5813" s="451" t="s">
        <v>31554</v>
      </c>
      <c r="K5813" s="451"/>
    </row>
    <row r="5814" spans="1:11">
      <c r="A5814" s="450" t="s">
        <v>9686</v>
      </c>
      <c r="B5814" s="450"/>
      <c r="C5814" s="450" t="s">
        <v>9687</v>
      </c>
      <c r="D5814" s="450"/>
      <c r="E5814" s="450"/>
      <c r="F5814" s="450"/>
      <c r="G5814" s="450" t="s">
        <v>22877</v>
      </c>
      <c r="H5814" s="450" t="s">
        <v>22878</v>
      </c>
      <c r="I5814" s="450" t="s">
        <v>35857</v>
      </c>
      <c r="J5814" s="450" t="s">
        <v>22939</v>
      </c>
      <c r="K5814" s="450"/>
    </row>
    <row r="5815" spans="1:11">
      <c r="A5815" s="451" t="s">
        <v>35858</v>
      </c>
      <c r="B5815" s="451"/>
      <c r="C5815" s="451" t="s">
        <v>9687</v>
      </c>
      <c r="D5815" s="451"/>
      <c r="E5815" s="451"/>
      <c r="F5815" s="451"/>
      <c r="G5815" s="451" t="s">
        <v>22882</v>
      </c>
      <c r="H5815" s="451" t="s">
        <v>22883</v>
      </c>
      <c r="I5815" s="451" t="s">
        <v>35859</v>
      </c>
      <c r="J5815" s="451" t="s">
        <v>22943</v>
      </c>
      <c r="K5815" s="451"/>
    </row>
    <row r="5816" spans="1:11">
      <c r="A5816" s="450" t="s">
        <v>9688</v>
      </c>
      <c r="B5816" s="450"/>
      <c r="C5816" s="450" t="s">
        <v>9431</v>
      </c>
      <c r="D5816" s="450"/>
      <c r="E5816" s="450"/>
      <c r="F5816" s="450"/>
      <c r="G5816" s="450" t="s">
        <v>22882</v>
      </c>
      <c r="H5816" s="450" t="s">
        <v>22883</v>
      </c>
      <c r="I5816" s="450"/>
      <c r="J5816" s="450" t="s">
        <v>22939</v>
      </c>
      <c r="K5816" s="450"/>
    </row>
    <row r="5817" spans="1:11">
      <c r="A5817" s="451" t="s">
        <v>21752</v>
      </c>
      <c r="B5817" s="451"/>
      <c r="C5817" s="451" t="s">
        <v>9365</v>
      </c>
      <c r="D5817" s="451"/>
      <c r="E5817" s="451"/>
      <c r="F5817" s="451"/>
      <c r="G5817" s="451" t="s">
        <v>22877</v>
      </c>
      <c r="H5817" s="451" t="s">
        <v>22878</v>
      </c>
      <c r="I5817" s="451" t="s">
        <v>35860</v>
      </c>
      <c r="J5817" s="451" t="s">
        <v>22939</v>
      </c>
      <c r="K5817" s="451"/>
    </row>
    <row r="5818" spans="1:11">
      <c r="A5818" s="450" t="s">
        <v>9690</v>
      </c>
      <c r="B5818" s="450"/>
      <c r="C5818" s="450" t="s">
        <v>9691</v>
      </c>
      <c r="D5818" s="450"/>
      <c r="E5818" s="450"/>
      <c r="F5818" s="450"/>
      <c r="G5818" s="450" t="s">
        <v>22877</v>
      </c>
      <c r="H5818" s="450" t="s">
        <v>22878</v>
      </c>
      <c r="I5818" s="450" t="s">
        <v>35861</v>
      </c>
      <c r="J5818" s="450" t="s">
        <v>22939</v>
      </c>
      <c r="K5818" s="450"/>
    </row>
    <row r="5819" spans="1:11">
      <c r="A5819" s="451" t="s">
        <v>21753</v>
      </c>
      <c r="B5819" s="451"/>
      <c r="C5819" s="451" t="s">
        <v>9689</v>
      </c>
      <c r="D5819" s="451"/>
      <c r="E5819" s="451"/>
      <c r="F5819" s="451"/>
      <c r="G5819" s="451" t="s">
        <v>22877</v>
      </c>
      <c r="H5819" s="451" t="s">
        <v>22878</v>
      </c>
      <c r="I5819" s="451" t="s">
        <v>26237</v>
      </c>
      <c r="J5819" s="451" t="s">
        <v>22939</v>
      </c>
      <c r="K5819" s="451"/>
    </row>
    <row r="5820" spans="1:11">
      <c r="A5820" s="450" t="s">
        <v>35862</v>
      </c>
      <c r="B5820" s="450"/>
      <c r="C5820" s="450" t="s">
        <v>9691</v>
      </c>
      <c r="D5820" s="450"/>
      <c r="E5820" s="450"/>
      <c r="F5820" s="450"/>
      <c r="G5820" s="450" t="s">
        <v>22877</v>
      </c>
      <c r="H5820" s="450" t="s">
        <v>22878</v>
      </c>
      <c r="I5820" s="450" t="s">
        <v>35861</v>
      </c>
      <c r="J5820" s="450" t="s">
        <v>22939</v>
      </c>
      <c r="K5820" s="450"/>
    </row>
    <row r="5821" spans="1:11">
      <c r="A5821" s="451" t="s">
        <v>31555</v>
      </c>
      <c r="B5821" s="451"/>
      <c r="C5821" s="451" t="s">
        <v>9689</v>
      </c>
      <c r="D5821" s="451"/>
      <c r="E5821" s="451"/>
      <c r="F5821" s="451"/>
      <c r="G5821" s="451" t="s">
        <v>22877</v>
      </c>
      <c r="H5821" s="451" t="s">
        <v>22878</v>
      </c>
      <c r="I5821" s="451" t="s">
        <v>26237</v>
      </c>
      <c r="J5821" s="451" t="s">
        <v>22939</v>
      </c>
      <c r="K5821" s="451"/>
    </row>
    <row r="5822" spans="1:11">
      <c r="A5822" s="450" t="s">
        <v>9692</v>
      </c>
      <c r="B5822" s="450" t="s">
        <v>9693</v>
      </c>
      <c r="C5822" s="450" t="s">
        <v>2168</v>
      </c>
      <c r="D5822" s="450" t="s">
        <v>9694</v>
      </c>
      <c r="E5822" s="450"/>
      <c r="F5822" s="450"/>
      <c r="G5822" s="450" t="s">
        <v>22877</v>
      </c>
      <c r="H5822" s="450" t="s">
        <v>22878</v>
      </c>
      <c r="I5822" s="450" t="s">
        <v>26238</v>
      </c>
      <c r="J5822" s="450" t="s">
        <v>26239</v>
      </c>
      <c r="K5822" s="450"/>
    </row>
    <row r="5823" spans="1:11">
      <c r="A5823" s="451" t="s">
        <v>26240</v>
      </c>
      <c r="B5823" s="451"/>
      <c r="C5823" s="451" t="s">
        <v>9522</v>
      </c>
      <c r="D5823" s="451"/>
      <c r="E5823" s="451"/>
      <c r="F5823" s="451"/>
      <c r="G5823" s="451" t="s">
        <v>22877</v>
      </c>
      <c r="H5823" s="451" t="s">
        <v>22878</v>
      </c>
      <c r="I5823" s="451" t="s">
        <v>26241</v>
      </c>
      <c r="J5823" s="451" t="s">
        <v>22943</v>
      </c>
      <c r="K5823" s="451"/>
    </row>
    <row r="5824" spans="1:11">
      <c r="A5824" s="450" t="s">
        <v>26242</v>
      </c>
      <c r="B5824" s="450" t="s">
        <v>26243</v>
      </c>
      <c r="C5824" s="450" t="s">
        <v>9697</v>
      </c>
      <c r="D5824" s="450" t="s">
        <v>9698</v>
      </c>
      <c r="E5824" s="450"/>
      <c r="F5824" s="450"/>
      <c r="G5824" s="450" t="s">
        <v>22882</v>
      </c>
      <c r="H5824" s="450" t="s">
        <v>22883</v>
      </c>
      <c r="I5824" s="450" t="s">
        <v>9698</v>
      </c>
      <c r="J5824" s="450" t="s">
        <v>26244</v>
      </c>
      <c r="K5824" s="450"/>
    </row>
    <row r="5825" spans="1:11">
      <c r="A5825" s="451" t="s">
        <v>9695</v>
      </c>
      <c r="B5825" s="451" t="s">
        <v>9696</v>
      </c>
      <c r="C5825" s="451" t="s">
        <v>9697</v>
      </c>
      <c r="D5825" s="451" t="s">
        <v>9698</v>
      </c>
      <c r="E5825" s="451" t="s">
        <v>9699</v>
      </c>
      <c r="F5825" s="451"/>
      <c r="G5825" s="451" t="s">
        <v>22882</v>
      </c>
      <c r="H5825" s="451" t="s">
        <v>22883</v>
      </c>
      <c r="I5825" s="451" t="s">
        <v>31556</v>
      </c>
      <c r="J5825" s="451" t="s">
        <v>31557</v>
      </c>
      <c r="K5825" s="451"/>
    </row>
    <row r="5826" spans="1:11">
      <c r="A5826" s="450" t="s">
        <v>9700</v>
      </c>
      <c r="B5826" s="450"/>
      <c r="C5826" s="450" t="s">
        <v>9701</v>
      </c>
      <c r="D5826" s="450"/>
      <c r="E5826" s="450"/>
      <c r="F5826" s="450"/>
      <c r="G5826" s="450" t="s">
        <v>22877</v>
      </c>
      <c r="H5826" s="450" t="s">
        <v>22878</v>
      </c>
      <c r="I5826" s="450" t="s">
        <v>26245</v>
      </c>
      <c r="J5826" s="450" t="s">
        <v>22943</v>
      </c>
      <c r="K5826" s="450"/>
    </row>
    <row r="5827" spans="1:11">
      <c r="A5827" s="451" t="s">
        <v>9702</v>
      </c>
      <c r="B5827" s="451" t="s">
        <v>26246</v>
      </c>
      <c r="C5827" s="451" t="s">
        <v>26247</v>
      </c>
      <c r="D5827" s="451"/>
      <c r="E5827" s="451"/>
      <c r="F5827" s="451"/>
      <c r="G5827" s="451" t="s">
        <v>22877</v>
      </c>
      <c r="H5827" s="451" t="s">
        <v>22878</v>
      </c>
      <c r="I5827" s="451" t="s">
        <v>26248</v>
      </c>
      <c r="J5827" s="451" t="s">
        <v>26249</v>
      </c>
      <c r="K5827" s="451"/>
    </row>
    <row r="5828" spans="1:11">
      <c r="A5828" s="450" t="s">
        <v>9702</v>
      </c>
      <c r="B5828" s="450"/>
      <c r="C5828" s="450" t="s">
        <v>9703</v>
      </c>
      <c r="D5828" s="450"/>
      <c r="E5828" s="450"/>
      <c r="F5828" s="450"/>
      <c r="G5828" s="450" t="s">
        <v>22877</v>
      </c>
      <c r="H5828" s="450" t="s">
        <v>22878</v>
      </c>
      <c r="I5828" s="450" t="s">
        <v>31558</v>
      </c>
      <c r="J5828" s="450" t="s">
        <v>22942</v>
      </c>
      <c r="K5828" s="450"/>
    </row>
    <row r="5829" spans="1:11">
      <c r="A5829" s="451" t="s">
        <v>20145</v>
      </c>
      <c r="B5829" s="451" t="s">
        <v>20146</v>
      </c>
      <c r="C5829" s="451" t="s">
        <v>20147</v>
      </c>
      <c r="D5829" s="451"/>
      <c r="E5829" s="451"/>
      <c r="F5829" s="451"/>
      <c r="G5829" s="451" t="s">
        <v>22877</v>
      </c>
      <c r="H5829" s="451" t="s">
        <v>22878</v>
      </c>
      <c r="I5829" s="451" t="s">
        <v>26250</v>
      </c>
      <c r="J5829" s="451" t="s">
        <v>26251</v>
      </c>
      <c r="K5829" s="451"/>
    </row>
    <row r="5830" spans="1:11">
      <c r="A5830" s="450" t="s">
        <v>35863</v>
      </c>
      <c r="B5830" s="450"/>
      <c r="C5830" s="450" t="s">
        <v>9705</v>
      </c>
      <c r="D5830" s="450"/>
      <c r="E5830" s="450"/>
      <c r="F5830" s="450"/>
      <c r="G5830" s="450" t="s">
        <v>22877</v>
      </c>
      <c r="H5830" s="450" t="s">
        <v>22878</v>
      </c>
      <c r="I5830" s="450" t="s">
        <v>26252</v>
      </c>
      <c r="J5830" s="450" t="s">
        <v>22997</v>
      </c>
      <c r="K5830" s="450"/>
    </row>
    <row r="5831" spans="1:11">
      <c r="A5831" s="451" t="s">
        <v>9704</v>
      </c>
      <c r="B5831" s="451"/>
      <c r="C5831" s="451" t="s">
        <v>9705</v>
      </c>
      <c r="D5831" s="451"/>
      <c r="E5831" s="451"/>
      <c r="F5831" s="451"/>
      <c r="G5831" s="451" t="s">
        <v>22877</v>
      </c>
      <c r="H5831" s="451" t="s">
        <v>22878</v>
      </c>
      <c r="I5831" s="451" t="s">
        <v>26252</v>
      </c>
      <c r="J5831" s="451" t="s">
        <v>22939</v>
      </c>
      <c r="K5831" s="451"/>
    </row>
    <row r="5832" spans="1:11">
      <c r="A5832" s="450" t="s">
        <v>26253</v>
      </c>
      <c r="B5832" s="450" t="s">
        <v>26254</v>
      </c>
      <c r="C5832" s="450" t="s">
        <v>26255</v>
      </c>
      <c r="D5832" s="450" t="s">
        <v>2918</v>
      </c>
      <c r="E5832" s="450"/>
      <c r="F5832" s="450"/>
      <c r="G5832" s="450" t="s">
        <v>22877</v>
      </c>
      <c r="H5832" s="450" t="s">
        <v>22878</v>
      </c>
      <c r="I5832" s="450" t="s">
        <v>2918</v>
      </c>
      <c r="J5832" s="450" t="s">
        <v>26256</v>
      </c>
      <c r="K5832" s="450"/>
    </row>
    <row r="5833" spans="1:11">
      <c r="A5833" s="451" t="s">
        <v>9706</v>
      </c>
      <c r="B5833" s="451" t="s">
        <v>9707</v>
      </c>
      <c r="C5833" s="451" t="s">
        <v>9708</v>
      </c>
      <c r="D5833" s="451" t="s">
        <v>2918</v>
      </c>
      <c r="E5833" s="451"/>
      <c r="F5833" s="451"/>
      <c r="G5833" s="451" t="s">
        <v>22877</v>
      </c>
      <c r="H5833" s="451" t="s">
        <v>22878</v>
      </c>
      <c r="I5833" s="451"/>
      <c r="J5833" s="451" t="s">
        <v>31559</v>
      </c>
      <c r="K5833" s="451"/>
    </row>
    <row r="5834" spans="1:11">
      <c r="A5834" s="450" t="s">
        <v>9709</v>
      </c>
      <c r="B5834" s="450" t="s">
        <v>9710</v>
      </c>
      <c r="C5834" s="450" t="s">
        <v>9711</v>
      </c>
      <c r="D5834" s="450" t="s">
        <v>9712</v>
      </c>
      <c r="E5834" s="450" t="s">
        <v>9713</v>
      </c>
      <c r="F5834" s="450"/>
      <c r="G5834" s="450" t="s">
        <v>22877</v>
      </c>
      <c r="H5834" s="450" t="s">
        <v>22878</v>
      </c>
      <c r="I5834" s="450" t="s">
        <v>9712</v>
      </c>
      <c r="J5834" s="450" t="s">
        <v>35864</v>
      </c>
      <c r="K5834" s="450"/>
    </row>
    <row r="5835" spans="1:11">
      <c r="A5835" s="451" t="s">
        <v>26257</v>
      </c>
      <c r="B5835" s="451" t="s">
        <v>26258</v>
      </c>
      <c r="C5835" s="451" t="s">
        <v>9711</v>
      </c>
      <c r="D5835" s="451" t="s">
        <v>9712</v>
      </c>
      <c r="E5835" s="451"/>
      <c r="F5835" s="451"/>
      <c r="G5835" s="451" t="s">
        <v>22877</v>
      </c>
      <c r="H5835" s="451" t="s">
        <v>22878</v>
      </c>
      <c r="I5835" s="451" t="s">
        <v>9712</v>
      </c>
      <c r="J5835" s="451" t="s">
        <v>26259</v>
      </c>
      <c r="K5835" s="451"/>
    </row>
    <row r="5836" spans="1:11">
      <c r="A5836" s="450" t="s">
        <v>26260</v>
      </c>
      <c r="B5836" s="450" t="s">
        <v>26261</v>
      </c>
      <c r="C5836" s="450" t="s">
        <v>26262</v>
      </c>
      <c r="D5836" s="450"/>
      <c r="E5836" s="450"/>
      <c r="F5836" s="450"/>
      <c r="G5836" s="450" t="s">
        <v>22877</v>
      </c>
      <c r="H5836" s="450" t="s">
        <v>22878</v>
      </c>
      <c r="I5836" s="450" t="s">
        <v>26263</v>
      </c>
      <c r="J5836" s="450" t="s">
        <v>26264</v>
      </c>
      <c r="K5836" s="450"/>
    </row>
    <row r="5837" spans="1:11">
      <c r="A5837" s="451" t="s">
        <v>35865</v>
      </c>
      <c r="B5837" s="451" t="s">
        <v>9715</v>
      </c>
      <c r="C5837" s="451" t="s">
        <v>35866</v>
      </c>
      <c r="D5837" s="451" t="s">
        <v>9717</v>
      </c>
      <c r="E5837" s="451"/>
      <c r="F5837" s="451"/>
      <c r="G5837" s="451" t="s">
        <v>22877</v>
      </c>
      <c r="H5837" s="451" t="s">
        <v>22878</v>
      </c>
      <c r="I5837" s="451" t="s">
        <v>9717</v>
      </c>
      <c r="J5837" s="451" t="s">
        <v>35867</v>
      </c>
      <c r="K5837" s="451"/>
    </row>
    <row r="5838" spans="1:11">
      <c r="A5838" s="450" t="s">
        <v>9714</v>
      </c>
      <c r="B5838" s="450" t="s">
        <v>9715</v>
      </c>
      <c r="C5838" s="450" t="s">
        <v>9716</v>
      </c>
      <c r="D5838" s="450" t="s">
        <v>9717</v>
      </c>
      <c r="E5838" s="450"/>
      <c r="F5838" s="450"/>
      <c r="G5838" s="450" t="s">
        <v>22877</v>
      </c>
      <c r="H5838" s="450" t="s">
        <v>22878</v>
      </c>
      <c r="I5838" s="450" t="s">
        <v>31560</v>
      </c>
      <c r="J5838" s="450" t="s">
        <v>31561</v>
      </c>
      <c r="K5838" s="450"/>
    </row>
    <row r="5839" spans="1:11">
      <c r="A5839" s="451" t="s">
        <v>35868</v>
      </c>
      <c r="B5839" s="451"/>
      <c r="C5839" s="451" t="s">
        <v>9719</v>
      </c>
      <c r="D5839" s="451"/>
      <c r="E5839" s="451"/>
      <c r="F5839" s="451"/>
      <c r="G5839" s="451" t="s">
        <v>22882</v>
      </c>
      <c r="H5839" s="451" t="s">
        <v>22883</v>
      </c>
      <c r="I5839" s="451"/>
      <c r="J5839" s="451" t="s">
        <v>22943</v>
      </c>
      <c r="K5839" s="451"/>
    </row>
    <row r="5840" spans="1:11">
      <c r="A5840" s="450" t="s">
        <v>35869</v>
      </c>
      <c r="B5840" s="450"/>
      <c r="C5840" s="450" t="s">
        <v>9721</v>
      </c>
      <c r="D5840" s="450"/>
      <c r="E5840" s="450"/>
      <c r="F5840" s="450"/>
      <c r="G5840" s="450" t="s">
        <v>22877</v>
      </c>
      <c r="H5840" s="450" t="s">
        <v>22878</v>
      </c>
      <c r="I5840" s="450" t="s">
        <v>35870</v>
      </c>
      <c r="J5840" s="450" t="s">
        <v>22943</v>
      </c>
      <c r="K5840" s="450"/>
    </row>
    <row r="5841" spans="1:11">
      <c r="A5841" s="451" t="s">
        <v>9718</v>
      </c>
      <c r="B5841" s="451"/>
      <c r="C5841" s="451" t="s">
        <v>9719</v>
      </c>
      <c r="D5841" s="451"/>
      <c r="E5841" s="451"/>
      <c r="F5841" s="451"/>
      <c r="G5841" s="451" t="s">
        <v>22882</v>
      </c>
      <c r="H5841" s="451" t="s">
        <v>22883</v>
      </c>
      <c r="I5841" s="451" t="s">
        <v>35871</v>
      </c>
      <c r="J5841" s="451" t="s">
        <v>22937</v>
      </c>
      <c r="K5841" s="451"/>
    </row>
    <row r="5842" spans="1:11">
      <c r="A5842" s="450" t="s">
        <v>9720</v>
      </c>
      <c r="B5842" s="450"/>
      <c r="C5842" s="450" t="s">
        <v>9721</v>
      </c>
      <c r="D5842" s="450"/>
      <c r="E5842" s="450"/>
      <c r="F5842" s="450"/>
      <c r="G5842" s="450" t="s">
        <v>22877</v>
      </c>
      <c r="H5842" s="450" t="s">
        <v>22878</v>
      </c>
      <c r="I5842" s="450" t="s">
        <v>35872</v>
      </c>
      <c r="J5842" s="450" t="s">
        <v>22937</v>
      </c>
      <c r="K5842" s="450"/>
    </row>
    <row r="5843" spans="1:11">
      <c r="A5843" s="451" t="s">
        <v>9722</v>
      </c>
      <c r="B5843" s="451"/>
      <c r="C5843" s="451" t="s">
        <v>9723</v>
      </c>
      <c r="D5843" s="451"/>
      <c r="E5843" s="451"/>
      <c r="F5843" s="451"/>
      <c r="G5843" s="451" t="s">
        <v>22877</v>
      </c>
      <c r="H5843" s="451" t="s">
        <v>22878</v>
      </c>
      <c r="I5843" s="451" t="s">
        <v>35873</v>
      </c>
      <c r="J5843" s="451" t="s">
        <v>23121</v>
      </c>
      <c r="K5843" s="451"/>
    </row>
    <row r="5844" spans="1:11">
      <c r="A5844" s="450" t="s">
        <v>9724</v>
      </c>
      <c r="B5844" s="450"/>
      <c r="C5844" s="450" t="s">
        <v>9725</v>
      </c>
      <c r="D5844" s="450"/>
      <c r="E5844" s="450"/>
      <c r="F5844" s="450"/>
      <c r="G5844" s="450" t="s">
        <v>22882</v>
      </c>
      <c r="H5844" s="450" t="s">
        <v>22883</v>
      </c>
      <c r="I5844" s="450"/>
      <c r="J5844" s="450" t="s">
        <v>22939</v>
      </c>
      <c r="K5844" s="450"/>
    </row>
    <row r="5845" spans="1:11">
      <c r="A5845" s="451" t="s">
        <v>9726</v>
      </c>
      <c r="B5845" s="451"/>
      <c r="C5845" s="451" t="s">
        <v>9727</v>
      </c>
      <c r="D5845" s="451"/>
      <c r="E5845" s="451"/>
      <c r="F5845" s="451"/>
      <c r="G5845" s="451" t="s">
        <v>22877</v>
      </c>
      <c r="H5845" s="451" t="s">
        <v>22878</v>
      </c>
      <c r="I5845" s="451" t="s">
        <v>35874</v>
      </c>
      <c r="J5845" s="451" t="s">
        <v>23121</v>
      </c>
      <c r="K5845" s="451"/>
    </row>
    <row r="5846" spans="1:11">
      <c r="A5846" s="450" t="s">
        <v>9728</v>
      </c>
      <c r="B5846" s="450"/>
      <c r="C5846" s="450" t="s">
        <v>9729</v>
      </c>
      <c r="D5846" s="450"/>
      <c r="E5846" s="450"/>
      <c r="F5846" s="450"/>
      <c r="G5846" s="450" t="s">
        <v>22877</v>
      </c>
      <c r="H5846" s="450" t="s">
        <v>22878</v>
      </c>
      <c r="I5846" s="450" t="s">
        <v>26265</v>
      </c>
      <c r="J5846" s="450" t="s">
        <v>22939</v>
      </c>
      <c r="K5846" s="450"/>
    </row>
    <row r="5847" spans="1:11">
      <c r="A5847" s="451" t="s">
        <v>9730</v>
      </c>
      <c r="B5847" s="451" t="s">
        <v>9731</v>
      </c>
      <c r="C5847" s="451" t="s">
        <v>35875</v>
      </c>
      <c r="D5847" s="451"/>
      <c r="E5847" s="451"/>
      <c r="F5847" s="451"/>
      <c r="G5847" s="451" t="s">
        <v>22877</v>
      </c>
      <c r="H5847" s="451" t="s">
        <v>22878</v>
      </c>
      <c r="I5847" s="451" t="s">
        <v>35876</v>
      </c>
      <c r="J5847" s="451" t="s">
        <v>35877</v>
      </c>
      <c r="K5847" s="451"/>
    </row>
    <row r="5848" spans="1:11">
      <c r="A5848" s="450" t="s">
        <v>9730</v>
      </c>
      <c r="B5848" s="450" t="s">
        <v>9731</v>
      </c>
      <c r="C5848" s="450" t="s">
        <v>9732</v>
      </c>
      <c r="D5848" s="450"/>
      <c r="E5848" s="450"/>
      <c r="F5848" s="450"/>
      <c r="G5848" s="450" t="s">
        <v>22877</v>
      </c>
      <c r="H5848" s="450" t="s">
        <v>22878</v>
      </c>
      <c r="I5848" s="450" t="s">
        <v>31562</v>
      </c>
      <c r="J5848" s="450" t="s">
        <v>31563</v>
      </c>
      <c r="K5848" s="450"/>
    </row>
    <row r="5849" spans="1:11">
      <c r="A5849" s="451" t="s">
        <v>9733</v>
      </c>
      <c r="B5849" s="451"/>
      <c r="C5849" s="451" t="s">
        <v>9734</v>
      </c>
      <c r="D5849" s="451"/>
      <c r="E5849" s="451"/>
      <c r="F5849" s="451"/>
      <c r="G5849" s="451" t="s">
        <v>22877</v>
      </c>
      <c r="H5849" s="451" t="s">
        <v>22878</v>
      </c>
      <c r="I5849" s="451" t="s">
        <v>26266</v>
      </c>
      <c r="J5849" s="451" t="s">
        <v>22939</v>
      </c>
      <c r="K5849" s="451"/>
    </row>
    <row r="5850" spans="1:11">
      <c r="A5850" s="450" t="s">
        <v>26267</v>
      </c>
      <c r="B5850" s="450" t="s">
        <v>26268</v>
      </c>
      <c r="C5850" s="450" t="s">
        <v>9737</v>
      </c>
      <c r="D5850" s="450" t="s">
        <v>9738</v>
      </c>
      <c r="E5850" s="450"/>
      <c r="F5850" s="450" t="s">
        <v>26269</v>
      </c>
      <c r="G5850" s="450" t="s">
        <v>22877</v>
      </c>
      <c r="H5850" s="450" t="s">
        <v>22878</v>
      </c>
      <c r="I5850" s="450" t="s">
        <v>9738</v>
      </c>
      <c r="J5850" s="450" t="s">
        <v>26270</v>
      </c>
      <c r="K5850" s="450"/>
    </row>
    <row r="5851" spans="1:11">
      <c r="A5851" s="451" t="s">
        <v>9735</v>
      </c>
      <c r="B5851" s="451" t="s">
        <v>9736</v>
      </c>
      <c r="C5851" s="451" t="s">
        <v>9737</v>
      </c>
      <c r="D5851" s="451" t="s">
        <v>9738</v>
      </c>
      <c r="E5851" s="451"/>
      <c r="F5851" s="451" t="s">
        <v>9739</v>
      </c>
      <c r="G5851" s="451" t="s">
        <v>22877</v>
      </c>
      <c r="H5851" s="451" t="s">
        <v>22878</v>
      </c>
      <c r="I5851" s="451" t="s">
        <v>31564</v>
      </c>
      <c r="J5851" s="451" t="s">
        <v>26270</v>
      </c>
      <c r="K5851" s="451"/>
    </row>
    <row r="5852" spans="1:11">
      <c r="A5852" s="450" t="s">
        <v>9740</v>
      </c>
      <c r="B5852" s="450"/>
      <c r="C5852" s="450" t="s">
        <v>7111</v>
      </c>
      <c r="D5852" s="450"/>
      <c r="E5852" s="450"/>
      <c r="F5852" s="450"/>
      <c r="G5852" s="450" t="s">
        <v>22877</v>
      </c>
      <c r="H5852" s="450" t="s">
        <v>22878</v>
      </c>
      <c r="I5852" s="450" t="s">
        <v>35878</v>
      </c>
      <c r="J5852" s="450" t="s">
        <v>22937</v>
      </c>
      <c r="K5852" s="450"/>
    </row>
    <row r="5853" spans="1:11">
      <c r="A5853" s="451" t="s">
        <v>35879</v>
      </c>
      <c r="B5853" s="451"/>
      <c r="C5853" s="451" t="s">
        <v>7111</v>
      </c>
      <c r="D5853" s="451"/>
      <c r="E5853" s="451"/>
      <c r="F5853" s="451"/>
      <c r="G5853" s="451" t="s">
        <v>22877</v>
      </c>
      <c r="H5853" s="451" t="s">
        <v>22878</v>
      </c>
      <c r="I5853" s="451" t="s">
        <v>35880</v>
      </c>
      <c r="J5853" s="451" t="s">
        <v>22943</v>
      </c>
      <c r="K5853" s="451"/>
    </row>
    <row r="5854" spans="1:11">
      <c r="A5854" s="450" t="s">
        <v>9741</v>
      </c>
      <c r="B5854" s="450"/>
      <c r="C5854" s="450" t="s">
        <v>9742</v>
      </c>
      <c r="D5854" s="450"/>
      <c r="E5854" s="450"/>
      <c r="F5854" s="450"/>
      <c r="G5854" s="450" t="s">
        <v>22877</v>
      </c>
      <c r="H5854" s="450" t="s">
        <v>22878</v>
      </c>
      <c r="I5854" s="450" t="s">
        <v>35881</v>
      </c>
      <c r="J5854" s="450" t="s">
        <v>22939</v>
      </c>
      <c r="K5854" s="450"/>
    </row>
    <row r="5855" spans="1:11">
      <c r="A5855" s="451" t="s">
        <v>9743</v>
      </c>
      <c r="B5855" s="451"/>
      <c r="C5855" s="451" t="s">
        <v>4778</v>
      </c>
      <c r="D5855" s="451"/>
      <c r="E5855" s="451"/>
      <c r="F5855" s="451"/>
      <c r="G5855" s="451" t="s">
        <v>22877</v>
      </c>
      <c r="H5855" s="451" t="s">
        <v>22878</v>
      </c>
      <c r="I5855" s="451" t="s">
        <v>26271</v>
      </c>
      <c r="J5855" s="451" t="s">
        <v>22943</v>
      </c>
      <c r="K5855" s="451"/>
    </row>
    <row r="5856" spans="1:11">
      <c r="A5856" s="450" t="s">
        <v>9744</v>
      </c>
      <c r="B5856" s="450" t="s">
        <v>26272</v>
      </c>
      <c r="C5856" s="450" t="s">
        <v>9746</v>
      </c>
      <c r="D5856" s="450" t="s">
        <v>9747</v>
      </c>
      <c r="E5856" s="450"/>
      <c r="F5856" s="450"/>
      <c r="G5856" s="450" t="s">
        <v>22877</v>
      </c>
      <c r="H5856" s="450" t="s">
        <v>22878</v>
      </c>
      <c r="I5856" s="450" t="s">
        <v>26273</v>
      </c>
      <c r="J5856" s="450" t="s">
        <v>26274</v>
      </c>
      <c r="K5856" s="450"/>
    </row>
    <row r="5857" spans="1:11">
      <c r="A5857" s="451" t="s">
        <v>9744</v>
      </c>
      <c r="B5857" s="451" t="s">
        <v>9745</v>
      </c>
      <c r="C5857" s="451" t="s">
        <v>9746</v>
      </c>
      <c r="D5857" s="451" t="s">
        <v>9747</v>
      </c>
      <c r="E5857" s="451"/>
      <c r="F5857" s="451"/>
      <c r="G5857" s="451" t="s">
        <v>22877</v>
      </c>
      <c r="H5857" s="451" t="s">
        <v>22878</v>
      </c>
      <c r="I5857" s="451" t="s">
        <v>31565</v>
      </c>
      <c r="J5857" s="451" t="s">
        <v>31566</v>
      </c>
      <c r="K5857" s="451"/>
    </row>
    <row r="5858" spans="1:11">
      <c r="A5858" s="450" t="s">
        <v>30020</v>
      </c>
      <c r="B5858" s="450" t="s">
        <v>30021</v>
      </c>
      <c r="C5858" s="450" t="s">
        <v>30022</v>
      </c>
      <c r="D5858" s="450"/>
      <c r="E5858" s="450"/>
      <c r="F5858" s="450"/>
      <c r="G5858" s="450"/>
      <c r="H5858" s="450"/>
      <c r="I5858" s="450"/>
      <c r="J5858" s="450"/>
      <c r="K5858" s="450"/>
    </row>
    <row r="5859" spans="1:11">
      <c r="A5859" s="451" t="s">
        <v>9748</v>
      </c>
      <c r="B5859" s="451"/>
      <c r="C5859" s="451" t="s">
        <v>9749</v>
      </c>
      <c r="D5859" s="451"/>
      <c r="E5859" s="451"/>
      <c r="F5859" s="451"/>
      <c r="G5859" s="451" t="s">
        <v>22882</v>
      </c>
      <c r="H5859" s="451" t="s">
        <v>22883</v>
      </c>
      <c r="I5859" s="451" t="s">
        <v>26275</v>
      </c>
      <c r="J5859" s="451" t="s">
        <v>23190</v>
      </c>
      <c r="K5859" s="451"/>
    </row>
    <row r="5860" spans="1:11">
      <c r="A5860" s="450" t="s">
        <v>9750</v>
      </c>
      <c r="B5860" s="450" t="s">
        <v>9751</v>
      </c>
      <c r="C5860" s="450" t="s">
        <v>9752</v>
      </c>
      <c r="D5860" s="450"/>
      <c r="E5860" s="450"/>
      <c r="F5860" s="450" t="s">
        <v>35882</v>
      </c>
      <c r="G5860" s="450" t="s">
        <v>22882</v>
      </c>
      <c r="H5860" s="450" t="s">
        <v>22883</v>
      </c>
      <c r="I5860" s="450" t="s">
        <v>26276</v>
      </c>
      <c r="J5860" s="450" t="s">
        <v>35883</v>
      </c>
      <c r="K5860" s="450"/>
    </row>
    <row r="5861" spans="1:11">
      <c r="A5861" s="451" t="s">
        <v>9750</v>
      </c>
      <c r="B5861" s="451" t="s">
        <v>9751</v>
      </c>
      <c r="C5861" s="451" t="s">
        <v>9752</v>
      </c>
      <c r="D5861" s="451"/>
      <c r="E5861" s="451"/>
      <c r="F5861" s="451" t="s">
        <v>9753</v>
      </c>
      <c r="G5861" s="451" t="s">
        <v>22877</v>
      </c>
      <c r="H5861" s="451" t="s">
        <v>22878</v>
      </c>
      <c r="I5861" s="451" t="s">
        <v>26276</v>
      </c>
      <c r="J5861" s="451" t="s">
        <v>31567</v>
      </c>
      <c r="K5861" s="451"/>
    </row>
    <row r="5862" spans="1:11">
      <c r="A5862" s="450" t="s">
        <v>9754</v>
      </c>
      <c r="B5862" s="450" t="s">
        <v>35884</v>
      </c>
      <c r="C5862" s="450" t="s">
        <v>9756</v>
      </c>
      <c r="D5862" s="450"/>
      <c r="E5862" s="450"/>
      <c r="F5862" s="450"/>
      <c r="G5862" s="450" t="s">
        <v>22877</v>
      </c>
      <c r="H5862" s="450" t="s">
        <v>22878</v>
      </c>
      <c r="I5862" s="450" t="s">
        <v>26277</v>
      </c>
      <c r="J5862" s="450" t="s">
        <v>35885</v>
      </c>
      <c r="K5862" s="450"/>
    </row>
    <row r="5863" spans="1:11">
      <c r="A5863" s="451" t="s">
        <v>9754</v>
      </c>
      <c r="B5863" s="451" t="s">
        <v>9755</v>
      </c>
      <c r="C5863" s="451" t="s">
        <v>9756</v>
      </c>
      <c r="D5863" s="451"/>
      <c r="E5863" s="451"/>
      <c r="F5863" s="451"/>
      <c r="G5863" s="451" t="s">
        <v>22877</v>
      </c>
      <c r="H5863" s="451" t="s">
        <v>22878</v>
      </c>
      <c r="I5863" s="451" t="s">
        <v>26277</v>
      </c>
      <c r="J5863" s="451" t="s">
        <v>31568</v>
      </c>
      <c r="K5863" s="451"/>
    </row>
    <row r="5864" spans="1:11">
      <c r="A5864" s="450" t="s">
        <v>9757</v>
      </c>
      <c r="B5864" s="450" t="s">
        <v>9758</v>
      </c>
      <c r="C5864" s="450" t="s">
        <v>9759</v>
      </c>
      <c r="D5864" s="450"/>
      <c r="E5864" s="450"/>
      <c r="F5864" s="450"/>
      <c r="G5864" s="450" t="s">
        <v>22877</v>
      </c>
      <c r="H5864" s="450" t="s">
        <v>22878</v>
      </c>
      <c r="I5864" s="450" t="s">
        <v>35886</v>
      </c>
      <c r="J5864" s="450" t="s">
        <v>35887</v>
      </c>
      <c r="K5864" s="450"/>
    </row>
    <row r="5865" spans="1:11">
      <c r="A5865" s="451" t="s">
        <v>26278</v>
      </c>
      <c r="B5865" s="451" t="s">
        <v>9758</v>
      </c>
      <c r="C5865" s="451" t="s">
        <v>9759</v>
      </c>
      <c r="D5865" s="451"/>
      <c r="E5865" s="451"/>
      <c r="F5865" s="451"/>
      <c r="G5865" s="451" t="s">
        <v>22877</v>
      </c>
      <c r="H5865" s="451" t="s">
        <v>22878</v>
      </c>
      <c r="I5865" s="451" t="s">
        <v>26279</v>
      </c>
      <c r="J5865" s="451" t="s">
        <v>26280</v>
      </c>
      <c r="K5865" s="451"/>
    </row>
    <row r="5866" spans="1:11">
      <c r="A5866" s="450" t="s">
        <v>9760</v>
      </c>
      <c r="B5866" s="450"/>
      <c r="C5866" s="450" t="s">
        <v>9761</v>
      </c>
      <c r="D5866" s="450"/>
      <c r="E5866" s="450"/>
      <c r="F5866" s="450"/>
      <c r="G5866" s="450" t="s">
        <v>22877</v>
      </c>
      <c r="H5866" s="450" t="s">
        <v>22878</v>
      </c>
      <c r="I5866" s="450" t="s">
        <v>35888</v>
      </c>
      <c r="J5866" s="450" t="s">
        <v>22939</v>
      </c>
      <c r="K5866" s="450"/>
    </row>
    <row r="5867" spans="1:11">
      <c r="A5867" s="451" t="s">
        <v>35889</v>
      </c>
      <c r="B5867" s="451"/>
      <c r="C5867" s="451" t="s">
        <v>9763</v>
      </c>
      <c r="D5867" s="451"/>
      <c r="E5867" s="451"/>
      <c r="F5867" s="451"/>
      <c r="G5867" s="451" t="s">
        <v>22877</v>
      </c>
      <c r="H5867" s="451" t="s">
        <v>22878</v>
      </c>
      <c r="I5867" s="451" t="s">
        <v>35890</v>
      </c>
      <c r="J5867" s="451" t="s">
        <v>22943</v>
      </c>
      <c r="K5867" s="451"/>
    </row>
    <row r="5868" spans="1:11">
      <c r="A5868" s="450" t="s">
        <v>9762</v>
      </c>
      <c r="B5868" s="450"/>
      <c r="C5868" s="450" t="s">
        <v>9763</v>
      </c>
      <c r="D5868" s="450"/>
      <c r="E5868" s="450"/>
      <c r="F5868" s="450"/>
      <c r="G5868" s="450" t="s">
        <v>22877</v>
      </c>
      <c r="H5868" s="450" t="s">
        <v>22878</v>
      </c>
      <c r="I5868" s="450" t="s">
        <v>35890</v>
      </c>
      <c r="J5868" s="450" t="s">
        <v>22939</v>
      </c>
      <c r="K5868" s="450"/>
    </row>
    <row r="5869" spans="1:11">
      <c r="A5869" s="451" t="s">
        <v>21754</v>
      </c>
      <c r="B5869" s="451"/>
      <c r="C5869" s="451" t="s">
        <v>9764</v>
      </c>
      <c r="D5869" s="451"/>
      <c r="E5869" s="451"/>
      <c r="F5869" s="451"/>
      <c r="G5869" s="451" t="s">
        <v>22882</v>
      </c>
      <c r="H5869" s="451" t="s">
        <v>22883</v>
      </c>
      <c r="I5869" s="451" t="s">
        <v>35891</v>
      </c>
      <c r="J5869" s="451" t="s">
        <v>23121</v>
      </c>
      <c r="K5869" s="451"/>
    </row>
    <row r="5870" spans="1:11">
      <c r="A5870" s="450" t="s">
        <v>35892</v>
      </c>
      <c r="B5870" s="450"/>
      <c r="C5870" s="450" t="s">
        <v>9766</v>
      </c>
      <c r="D5870" s="450"/>
      <c r="E5870" s="450"/>
      <c r="F5870" s="450"/>
      <c r="G5870" s="450" t="s">
        <v>22882</v>
      </c>
      <c r="H5870" s="450" t="s">
        <v>22883</v>
      </c>
      <c r="I5870" s="450"/>
      <c r="J5870" s="450" t="s">
        <v>22943</v>
      </c>
      <c r="K5870" s="450"/>
    </row>
    <row r="5871" spans="1:11">
      <c r="A5871" s="451" t="s">
        <v>9765</v>
      </c>
      <c r="B5871" s="451"/>
      <c r="C5871" s="451" t="s">
        <v>9766</v>
      </c>
      <c r="D5871" s="451"/>
      <c r="E5871" s="451"/>
      <c r="F5871" s="451"/>
      <c r="G5871" s="451" t="s">
        <v>22882</v>
      </c>
      <c r="H5871" s="451" t="s">
        <v>22883</v>
      </c>
      <c r="I5871" s="451"/>
      <c r="J5871" s="451" t="s">
        <v>22942</v>
      </c>
      <c r="K5871" s="451"/>
    </row>
    <row r="5872" spans="1:11">
      <c r="A5872" s="450" t="s">
        <v>35893</v>
      </c>
      <c r="B5872" s="450" t="s">
        <v>9768</v>
      </c>
      <c r="C5872" s="450" t="s">
        <v>9769</v>
      </c>
      <c r="D5872" s="450" t="s">
        <v>9770</v>
      </c>
      <c r="E5872" s="450"/>
      <c r="F5872" s="450"/>
      <c r="G5872" s="450" t="s">
        <v>22877</v>
      </c>
      <c r="H5872" s="450" t="s">
        <v>22878</v>
      </c>
      <c r="I5872" s="450" t="s">
        <v>9770</v>
      </c>
      <c r="J5872" s="450" t="s">
        <v>35894</v>
      </c>
      <c r="K5872" s="450"/>
    </row>
    <row r="5873" spans="1:11">
      <c r="A5873" s="451" t="s">
        <v>9767</v>
      </c>
      <c r="B5873" s="451" t="s">
        <v>9768</v>
      </c>
      <c r="C5873" s="451" t="s">
        <v>9769</v>
      </c>
      <c r="D5873" s="451" t="s">
        <v>9770</v>
      </c>
      <c r="E5873" s="451"/>
      <c r="F5873" s="451"/>
      <c r="G5873" s="451" t="s">
        <v>22882</v>
      </c>
      <c r="H5873" s="451" t="s">
        <v>22883</v>
      </c>
      <c r="I5873" s="451" t="s">
        <v>31569</v>
      </c>
      <c r="J5873" s="451" t="s">
        <v>31570</v>
      </c>
      <c r="K5873" s="451"/>
    </row>
    <row r="5874" spans="1:11">
      <c r="A5874" s="450" t="s">
        <v>35895</v>
      </c>
      <c r="B5874" s="450"/>
      <c r="C5874" s="450" t="s">
        <v>9772</v>
      </c>
      <c r="D5874" s="450"/>
      <c r="E5874" s="450"/>
      <c r="F5874" s="450"/>
      <c r="G5874" s="450" t="s">
        <v>22877</v>
      </c>
      <c r="H5874" s="450" t="s">
        <v>22878</v>
      </c>
      <c r="I5874" s="450" t="s">
        <v>35896</v>
      </c>
      <c r="J5874" s="450" t="s">
        <v>22943</v>
      </c>
      <c r="K5874" s="450"/>
    </row>
    <row r="5875" spans="1:11">
      <c r="A5875" s="451" t="s">
        <v>9771</v>
      </c>
      <c r="B5875" s="451"/>
      <c r="C5875" s="451" t="s">
        <v>9772</v>
      </c>
      <c r="D5875" s="451"/>
      <c r="E5875" s="451"/>
      <c r="F5875" s="451"/>
      <c r="G5875" s="451" t="s">
        <v>22877</v>
      </c>
      <c r="H5875" s="451" t="s">
        <v>22878</v>
      </c>
      <c r="I5875" s="451" t="s">
        <v>35896</v>
      </c>
      <c r="J5875" s="451" t="s">
        <v>22942</v>
      </c>
      <c r="K5875" s="451"/>
    </row>
    <row r="5876" spans="1:11">
      <c r="A5876" s="450" t="s">
        <v>9773</v>
      </c>
      <c r="B5876" s="450"/>
      <c r="C5876" s="450" t="s">
        <v>4778</v>
      </c>
      <c r="D5876" s="450"/>
      <c r="E5876" s="450"/>
      <c r="F5876" s="450"/>
      <c r="G5876" s="450" t="s">
        <v>22877</v>
      </c>
      <c r="H5876" s="450" t="s">
        <v>22878</v>
      </c>
      <c r="I5876" s="450" t="s">
        <v>35897</v>
      </c>
      <c r="J5876" s="450" t="s">
        <v>23133</v>
      </c>
      <c r="K5876" s="450"/>
    </row>
    <row r="5877" spans="1:11">
      <c r="A5877" s="451" t="s">
        <v>9774</v>
      </c>
      <c r="B5877" s="451"/>
      <c r="C5877" s="451" t="s">
        <v>6890</v>
      </c>
      <c r="D5877" s="451"/>
      <c r="E5877" s="451"/>
      <c r="F5877" s="451"/>
      <c r="G5877" s="451" t="s">
        <v>22882</v>
      </c>
      <c r="H5877" s="451" t="s">
        <v>22883</v>
      </c>
      <c r="I5877" s="451"/>
      <c r="J5877" s="451" t="s">
        <v>22943</v>
      </c>
      <c r="K5877" s="451"/>
    </row>
    <row r="5878" spans="1:11">
      <c r="A5878" s="450" t="s">
        <v>35898</v>
      </c>
      <c r="B5878" s="450"/>
      <c r="C5878" s="450" t="s">
        <v>1454</v>
      </c>
      <c r="D5878" s="450"/>
      <c r="E5878" s="450"/>
      <c r="F5878" s="450"/>
      <c r="G5878" s="450" t="s">
        <v>22877</v>
      </c>
      <c r="H5878" s="450" t="s">
        <v>22878</v>
      </c>
      <c r="I5878" s="450" t="s">
        <v>35899</v>
      </c>
      <c r="J5878" s="450" t="s">
        <v>22943</v>
      </c>
      <c r="K5878" s="450"/>
    </row>
    <row r="5879" spans="1:11">
      <c r="A5879" s="451" t="s">
        <v>9775</v>
      </c>
      <c r="B5879" s="451"/>
      <c r="C5879" s="451" t="s">
        <v>9776</v>
      </c>
      <c r="D5879" s="451"/>
      <c r="E5879" s="451"/>
      <c r="F5879" s="451"/>
      <c r="G5879" s="451" t="s">
        <v>22882</v>
      </c>
      <c r="H5879" s="451" t="s">
        <v>22883</v>
      </c>
      <c r="I5879" s="451" t="s">
        <v>26281</v>
      </c>
      <c r="J5879" s="451" t="s">
        <v>22943</v>
      </c>
      <c r="K5879" s="451"/>
    </row>
    <row r="5880" spans="1:11">
      <c r="A5880" s="450" t="s">
        <v>9777</v>
      </c>
      <c r="B5880" s="450" t="s">
        <v>9778</v>
      </c>
      <c r="C5880" s="450" t="s">
        <v>9779</v>
      </c>
      <c r="D5880" s="450" t="s">
        <v>9780</v>
      </c>
      <c r="E5880" s="450"/>
      <c r="F5880" s="450"/>
      <c r="G5880" s="450" t="s">
        <v>22877</v>
      </c>
      <c r="H5880" s="450" t="s">
        <v>22878</v>
      </c>
      <c r="I5880" s="450" t="s">
        <v>9780</v>
      </c>
      <c r="J5880" s="450" t="s">
        <v>35900</v>
      </c>
      <c r="K5880" s="450"/>
    </row>
    <row r="5881" spans="1:11">
      <c r="A5881" s="451" t="s">
        <v>9777</v>
      </c>
      <c r="B5881" s="451" t="s">
        <v>9778</v>
      </c>
      <c r="C5881" s="451" t="s">
        <v>9779</v>
      </c>
      <c r="D5881" s="451" t="s">
        <v>9780</v>
      </c>
      <c r="E5881" s="451" t="s">
        <v>9781</v>
      </c>
      <c r="F5881" s="451"/>
      <c r="G5881" s="451" t="s">
        <v>22882</v>
      </c>
      <c r="H5881" s="451" t="s">
        <v>22883</v>
      </c>
      <c r="I5881" s="451" t="s">
        <v>31571</v>
      </c>
      <c r="J5881" s="451" t="s">
        <v>31572</v>
      </c>
      <c r="K5881" s="451"/>
    </row>
    <row r="5882" spans="1:11">
      <c r="A5882" s="450" t="s">
        <v>9782</v>
      </c>
      <c r="B5882" s="450" t="s">
        <v>9783</v>
      </c>
      <c r="C5882" s="450" t="s">
        <v>9784</v>
      </c>
      <c r="D5882" s="450" t="s">
        <v>9785</v>
      </c>
      <c r="E5882" s="450" t="s">
        <v>9786</v>
      </c>
      <c r="F5882" s="450"/>
      <c r="G5882" s="450" t="s">
        <v>22877</v>
      </c>
      <c r="H5882" s="450" t="s">
        <v>22878</v>
      </c>
      <c r="I5882" s="450" t="s">
        <v>31573</v>
      </c>
      <c r="J5882" s="450" t="s">
        <v>31574</v>
      </c>
      <c r="K5882" s="450"/>
    </row>
    <row r="5883" spans="1:11">
      <c r="A5883" s="451" t="s">
        <v>35901</v>
      </c>
      <c r="B5883" s="451"/>
      <c r="C5883" s="451" t="s">
        <v>9525</v>
      </c>
      <c r="D5883" s="451"/>
      <c r="E5883" s="451"/>
      <c r="F5883" s="451"/>
      <c r="G5883" s="451" t="s">
        <v>22877</v>
      </c>
      <c r="H5883" s="451" t="s">
        <v>22878</v>
      </c>
      <c r="I5883" s="451" t="s">
        <v>35902</v>
      </c>
      <c r="J5883" s="451" t="s">
        <v>22997</v>
      </c>
      <c r="K5883" s="451"/>
    </row>
    <row r="5884" spans="1:11">
      <c r="A5884" s="450" t="s">
        <v>35903</v>
      </c>
      <c r="B5884" s="450"/>
      <c r="C5884" s="450" t="s">
        <v>7537</v>
      </c>
      <c r="D5884" s="450"/>
      <c r="E5884" s="450"/>
      <c r="F5884" s="450"/>
      <c r="G5884" s="450" t="s">
        <v>22882</v>
      </c>
      <c r="H5884" s="450" t="s">
        <v>22883</v>
      </c>
      <c r="I5884" s="450"/>
      <c r="J5884" s="450" t="s">
        <v>22943</v>
      </c>
      <c r="K5884" s="450"/>
    </row>
    <row r="5885" spans="1:11">
      <c r="A5885" s="451" t="s">
        <v>35904</v>
      </c>
      <c r="B5885" s="451"/>
      <c r="C5885" s="451" t="s">
        <v>35905</v>
      </c>
      <c r="D5885" s="451"/>
      <c r="E5885" s="451"/>
      <c r="F5885" s="451"/>
      <c r="G5885" s="451" t="s">
        <v>22877</v>
      </c>
      <c r="H5885" s="451" t="s">
        <v>22878</v>
      </c>
      <c r="I5885" s="451" t="s">
        <v>26282</v>
      </c>
      <c r="J5885" s="451" t="s">
        <v>23370</v>
      </c>
      <c r="K5885" s="451"/>
    </row>
    <row r="5886" spans="1:11">
      <c r="A5886" s="450" t="s">
        <v>9787</v>
      </c>
      <c r="B5886" s="450"/>
      <c r="C5886" s="450" t="s">
        <v>9788</v>
      </c>
      <c r="D5886" s="450"/>
      <c r="E5886" s="450"/>
      <c r="F5886" s="450"/>
      <c r="G5886" s="450" t="s">
        <v>22882</v>
      </c>
      <c r="H5886" s="450" t="s">
        <v>22883</v>
      </c>
      <c r="I5886" s="450" t="s">
        <v>26282</v>
      </c>
      <c r="J5886" s="450" t="s">
        <v>22942</v>
      </c>
      <c r="K5886" s="450"/>
    </row>
    <row r="5887" spans="1:11">
      <c r="A5887" s="451" t="s">
        <v>9789</v>
      </c>
      <c r="B5887" s="451" t="s">
        <v>9790</v>
      </c>
      <c r="C5887" s="451" t="s">
        <v>9791</v>
      </c>
      <c r="D5887" s="451" t="s">
        <v>9792</v>
      </c>
      <c r="E5887" s="451"/>
      <c r="F5887" s="451"/>
      <c r="G5887" s="451" t="s">
        <v>22877</v>
      </c>
      <c r="H5887" s="451" t="s">
        <v>22878</v>
      </c>
      <c r="I5887" s="451" t="s">
        <v>9792</v>
      </c>
      <c r="J5887" s="451" t="s">
        <v>26283</v>
      </c>
      <c r="K5887" s="451"/>
    </row>
    <row r="5888" spans="1:11">
      <c r="A5888" s="450" t="s">
        <v>9789</v>
      </c>
      <c r="B5888" s="450" t="s">
        <v>9790</v>
      </c>
      <c r="C5888" s="450" t="s">
        <v>9791</v>
      </c>
      <c r="D5888" s="450" t="s">
        <v>9792</v>
      </c>
      <c r="E5888" s="450" t="s">
        <v>9793</v>
      </c>
      <c r="F5888" s="450"/>
      <c r="G5888" s="450" t="s">
        <v>22877</v>
      </c>
      <c r="H5888" s="450" t="s">
        <v>22878</v>
      </c>
      <c r="I5888" s="450" t="s">
        <v>9792</v>
      </c>
      <c r="J5888" s="450" t="s">
        <v>26283</v>
      </c>
      <c r="K5888" s="450"/>
    </row>
    <row r="5889" spans="1:11">
      <c r="A5889" s="451" t="s">
        <v>26284</v>
      </c>
      <c r="B5889" s="451" t="s">
        <v>26285</v>
      </c>
      <c r="C5889" s="451" t="s">
        <v>26286</v>
      </c>
      <c r="D5889" s="451"/>
      <c r="E5889" s="451"/>
      <c r="F5889" s="451"/>
      <c r="G5889" s="451" t="s">
        <v>22877</v>
      </c>
      <c r="H5889" s="451" t="s">
        <v>22878</v>
      </c>
      <c r="I5889" s="451" t="s">
        <v>26287</v>
      </c>
      <c r="J5889" s="451" t="s">
        <v>26288</v>
      </c>
      <c r="K5889" s="451"/>
    </row>
    <row r="5890" spans="1:11">
      <c r="A5890" s="450" t="s">
        <v>9794</v>
      </c>
      <c r="B5890" s="450"/>
      <c r="C5890" s="450" t="s">
        <v>9795</v>
      </c>
      <c r="D5890" s="450"/>
      <c r="E5890" s="450"/>
      <c r="F5890" s="450"/>
      <c r="G5890" s="450" t="s">
        <v>22882</v>
      </c>
      <c r="H5890" s="450" t="s">
        <v>22883</v>
      </c>
      <c r="I5890" s="450"/>
      <c r="J5890" s="450" t="s">
        <v>22943</v>
      </c>
      <c r="K5890" s="450"/>
    </row>
    <row r="5891" spans="1:11">
      <c r="A5891" s="451" t="s">
        <v>9796</v>
      </c>
      <c r="B5891" s="451" t="s">
        <v>9797</v>
      </c>
      <c r="C5891" s="451" t="s">
        <v>2844</v>
      </c>
      <c r="D5891" s="451" t="s">
        <v>9798</v>
      </c>
      <c r="E5891" s="451"/>
      <c r="F5891" s="451"/>
      <c r="G5891" s="451" t="s">
        <v>22877</v>
      </c>
      <c r="H5891" s="451" t="s">
        <v>22878</v>
      </c>
      <c r="I5891" s="451" t="s">
        <v>9798</v>
      </c>
      <c r="J5891" s="451" t="s">
        <v>35906</v>
      </c>
      <c r="K5891" s="451"/>
    </row>
    <row r="5892" spans="1:11">
      <c r="A5892" s="450" t="s">
        <v>9796</v>
      </c>
      <c r="B5892" s="450" t="s">
        <v>9797</v>
      </c>
      <c r="C5892" s="450" t="s">
        <v>2844</v>
      </c>
      <c r="D5892" s="450" t="s">
        <v>9798</v>
      </c>
      <c r="E5892" s="450" t="s">
        <v>9799</v>
      </c>
      <c r="F5892" s="450"/>
      <c r="G5892" s="450" t="s">
        <v>22877</v>
      </c>
      <c r="H5892" s="450" t="s">
        <v>22878</v>
      </c>
      <c r="I5892" s="450" t="s">
        <v>31575</v>
      </c>
      <c r="J5892" s="450" t="s">
        <v>23897</v>
      </c>
      <c r="K5892" s="450"/>
    </row>
    <row r="5893" spans="1:11">
      <c r="A5893" s="451" t="s">
        <v>35907</v>
      </c>
      <c r="B5893" s="451"/>
      <c r="C5893" s="451" t="s">
        <v>9465</v>
      </c>
      <c r="D5893" s="451"/>
      <c r="E5893" s="451"/>
      <c r="F5893" s="451"/>
      <c r="G5893" s="451" t="s">
        <v>22882</v>
      </c>
      <c r="H5893" s="451" t="s">
        <v>22883</v>
      </c>
      <c r="I5893" s="451" t="s">
        <v>26289</v>
      </c>
      <c r="J5893" s="451" t="s">
        <v>22943</v>
      </c>
      <c r="K5893" s="451"/>
    </row>
    <row r="5894" spans="1:11">
      <c r="A5894" s="450" t="s">
        <v>26290</v>
      </c>
      <c r="B5894" s="450"/>
      <c r="C5894" s="450" t="s">
        <v>9528</v>
      </c>
      <c r="D5894" s="450"/>
      <c r="E5894" s="450"/>
      <c r="F5894" s="450"/>
      <c r="G5894" s="450" t="s">
        <v>22882</v>
      </c>
      <c r="H5894" s="450" t="s">
        <v>22883</v>
      </c>
      <c r="I5894" s="450" t="s">
        <v>26289</v>
      </c>
      <c r="J5894" s="450" t="s">
        <v>22943</v>
      </c>
      <c r="K5894" s="450"/>
    </row>
    <row r="5895" spans="1:11">
      <c r="A5895" s="451" t="s">
        <v>35908</v>
      </c>
      <c r="B5895" s="451" t="s">
        <v>9801</v>
      </c>
      <c r="C5895" s="451" t="s">
        <v>9802</v>
      </c>
      <c r="D5895" s="451"/>
      <c r="E5895" s="451"/>
      <c r="F5895" s="451"/>
      <c r="G5895" s="451" t="s">
        <v>22877</v>
      </c>
      <c r="H5895" s="451" t="s">
        <v>22878</v>
      </c>
      <c r="I5895" s="451" t="s">
        <v>26291</v>
      </c>
      <c r="J5895" s="451" t="s">
        <v>35909</v>
      </c>
      <c r="K5895" s="451"/>
    </row>
    <row r="5896" spans="1:11">
      <c r="A5896" s="450" t="s">
        <v>9800</v>
      </c>
      <c r="B5896" s="450" t="s">
        <v>9801</v>
      </c>
      <c r="C5896" s="450" t="s">
        <v>9802</v>
      </c>
      <c r="D5896" s="450"/>
      <c r="E5896" s="450"/>
      <c r="F5896" s="450"/>
      <c r="G5896" s="450" t="s">
        <v>22877</v>
      </c>
      <c r="H5896" s="450" t="s">
        <v>22878</v>
      </c>
      <c r="I5896" s="450" t="s">
        <v>26291</v>
      </c>
      <c r="J5896" s="450" t="s">
        <v>31576</v>
      </c>
      <c r="K5896" s="450"/>
    </row>
    <row r="5897" spans="1:11">
      <c r="A5897" s="451" t="s">
        <v>35910</v>
      </c>
      <c r="B5897" s="451"/>
      <c r="C5897" s="451" t="s">
        <v>9530</v>
      </c>
      <c r="D5897" s="451"/>
      <c r="E5897" s="451"/>
      <c r="F5897" s="451"/>
      <c r="G5897" s="451" t="s">
        <v>22877</v>
      </c>
      <c r="H5897" s="451" t="s">
        <v>22878</v>
      </c>
      <c r="I5897" s="451" t="s">
        <v>35778</v>
      </c>
      <c r="J5897" s="451" t="s">
        <v>22943</v>
      </c>
      <c r="K5897" s="451"/>
    </row>
    <row r="5898" spans="1:11">
      <c r="A5898" s="450" t="s">
        <v>35911</v>
      </c>
      <c r="B5898" s="450"/>
      <c r="C5898" s="450" t="s">
        <v>9532</v>
      </c>
      <c r="D5898" s="450"/>
      <c r="E5898" s="450"/>
      <c r="F5898" s="450"/>
      <c r="G5898" s="450" t="s">
        <v>22877</v>
      </c>
      <c r="H5898" s="450" t="s">
        <v>22878</v>
      </c>
      <c r="I5898" s="450" t="s">
        <v>26292</v>
      </c>
      <c r="J5898" s="450" t="s">
        <v>22939</v>
      </c>
      <c r="K5898" s="450"/>
    </row>
    <row r="5899" spans="1:11">
      <c r="A5899" s="451" t="s">
        <v>35912</v>
      </c>
      <c r="B5899" s="451"/>
      <c r="C5899" s="451" t="s">
        <v>9810</v>
      </c>
      <c r="D5899" s="451"/>
      <c r="E5899" s="451"/>
      <c r="F5899" s="451"/>
      <c r="G5899" s="451" t="s">
        <v>22877</v>
      </c>
      <c r="H5899" s="451" t="s">
        <v>22878</v>
      </c>
      <c r="I5899" s="451" t="s">
        <v>35913</v>
      </c>
      <c r="J5899" s="451" t="s">
        <v>23370</v>
      </c>
      <c r="K5899" s="451"/>
    </row>
    <row r="5900" spans="1:11">
      <c r="A5900" s="450" t="s">
        <v>9809</v>
      </c>
      <c r="B5900" s="450"/>
      <c r="C5900" s="450" t="s">
        <v>9810</v>
      </c>
      <c r="D5900" s="450"/>
      <c r="E5900" s="450"/>
      <c r="F5900" s="450"/>
      <c r="G5900" s="450" t="s">
        <v>22877</v>
      </c>
      <c r="H5900" s="450" t="s">
        <v>22878</v>
      </c>
      <c r="I5900" s="450" t="s">
        <v>35914</v>
      </c>
      <c r="J5900" s="450" t="s">
        <v>22942</v>
      </c>
      <c r="K5900" s="450"/>
    </row>
    <row r="5901" spans="1:11">
      <c r="A5901" s="451" t="s">
        <v>9811</v>
      </c>
      <c r="B5901" s="451"/>
      <c r="C5901" s="451" t="s">
        <v>9812</v>
      </c>
      <c r="D5901" s="451"/>
      <c r="E5901" s="451"/>
      <c r="F5901" s="451"/>
      <c r="G5901" s="451" t="s">
        <v>22882</v>
      </c>
      <c r="H5901" s="451" t="s">
        <v>22883</v>
      </c>
      <c r="I5901" s="451"/>
      <c r="J5901" s="451" t="s">
        <v>23121</v>
      </c>
      <c r="K5901" s="451"/>
    </row>
    <row r="5902" spans="1:11">
      <c r="A5902" s="450" t="s">
        <v>35915</v>
      </c>
      <c r="B5902" s="450" t="s">
        <v>9803</v>
      </c>
      <c r="C5902" s="450" t="s">
        <v>9804</v>
      </c>
      <c r="D5902" s="450" t="s">
        <v>9805</v>
      </c>
      <c r="E5902" s="450"/>
      <c r="F5902" s="450" t="s">
        <v>9807</v>
      </c>
      <c r="G5902" s="450" t="s">
        <v>22877</v>
      </c>
      <c r="H5902" s="450" t="s">
        <v>22878</v>
      </c>
      <c r="I5902" s="450" t="s">
        <v>9805</v>
      </c>
      <c r="J5902" s="450" t="s">
        <v>35916</v>
      </c>
      <c r="K5902" s="450"/>
    </row>
    <row r="5903" spans="1:11">
      <c r="A5903" s="451" t="s">
        <v>21755</v>
      </c>
      <c r="B5903" s="451" t="s">
        <v>9803</v>
      </c>
      <c r="C5903" s="451" t="s">
        <v>9804</v>
      </c>
      <c r="D5903" s="451" t="s">
        <v>9805</v>
      </c>
      <c r="E5903" s="451" t="s">
        <v>9806</v>
      </c>
      <c r="F5903" s="451" t="s">
        <v>9807</v>
      </c>
      <c r="G5903" s="451" t="s">
        <v>22877</v>
      </c>
      <c r="H5903" s="451" t="s">
        <v>22878</v>
      </c>
      <c r="I5903" s="451" t="s">
        <v>31577</v>
      </c>
      <c r="J5903" s="451" t="s">
        <v>31578</v>
      </c>
      <c r="K5903" s="451"/>
    </row>
    <row r="5904" spans="1:11">
      <c r="A5904" s="450" t="s">
        <v>21756</v>
      </c>
      <c r="B5904" s="450"/>
      <c r="C5904" s="450" t="s">
        <v>9808</v>
      </c>
      <c r="D5904" s="450"/>
      <c r="E5904" s="450"/>
      <c r="F5904" s="450"/>
      <c r="G5904" s="450" t="s">
        <v>22877</v>
      </c>
      <c r="H5904" s="450" t="s">
        <v>22878</v>
      </c>
      <c r="I5904" s="450" t="s">
        <v>26293</v>
      </c>
      <c r="J5904" s="450" t="s">
        <v>22943</v>
      </c>
      <c r="K5904" s="450"/>
    </row>
    <row r="5905" spans="1:11">
      <c r="A5905" s="451" t="s">
        <v>31579</v>
      </c>
      <c r="B5905" s="451" t="s">
        <v>26294</v>
      </c>
      <c r="C5905" s="451" t="s">
        <v>26295</v>
      </c>
      <c r="D5905" s="451" t="s">
        <v>26296</v>
      </c>
      <c r="E5905" s="451"/>
      <c r="F5905" s="451"/>
      <c r="G5905" s="451" t="s">
        <v>22877</v>
      </c>
      <c r="H5905" s="451" t="s">
        <v>22878</v>
      </c>
      <c r="I5905" s="451" t="s">
        <v>26297</v>
      </c>
      <c r="J5905" s="451" t="s">
        <v>26298</v>
      </c>
      <c r="K5905" s="451"/>
    </row>
    <row r="5906" spans="1:11">
      <c r="A5906" s="450" t="s">
        <v>21757</v>
      </c>
      <c r="B5906" s="450"/>
      <c r="C5906" s="450" t="s">
        <v>1963</v>
      </c>
      <c r="D5906" s="450"/>
      <c r="E5906" s="450"/>
      <c r="F5906" s="450"/>
      <c r="G5906" s="450" t="s">
        <v>22877</v>
      </c>
      <c r="H5906" s="450" t="s">
        <v>22878</v>
      </c>
      <c r="I5906" s="450" t="s">
        <v>35917</v>
      </c>
      <c r="J5906" s="450" t="s">
        <v>22937</v>
      </c>
      <c r="K5906" s="450"/>
    </row>
    <row r="5907" spans="1:11">
      <c r="A5907" s="451" t="s">
        <v>9813</v>
      </c>
      <c r="B5907" s="451"/>
      <c r="C5907" s="451" t="s">
        <v>9814</v>
      </c>
      <c r="D5907" s="451"/>
      <c r="E5907" s="451"/>
      <c r="F5907" s="451"/>
      <c r="G5907" s="451" t="s">
        <v>22877</v>
      </c>
      <c r="H5907" s="451" t="s">
        <v>22878</v>
      </c>
      <c r="I5907" s="451" t="s">
        <v>26483</v>
      </c>
      <c r="J5907" s="451" t="s">
        <v>22939</v>
      </c>
      <c r="K5907" s="451"/>
    </row>
    <row r="5908" spans="1:11">
      <c r="A5908" s="450" t="s">
        <v>26299</v>
      </c>
      <c r="B5908" s="450" t="s">
        <v>26300</v>
      </c>
      <c r="C5908" s="450" t="s">
        <v>26301</v>
      </c>
      <c r="D5908" s="450"/>
      <c r="E5908" s="450"/>
      <c r="F5908" s="450"/>
      <c r="G5908" s="450" t="s">
        <v>22877</v>
      </c>
      <c r="H5908" s="450" t="s">
        <v>22878</v>
      </c>
      <c r="I5908" s="450" t="s">
        <v>26302</v>
      </c>
      <c r="J5908" s="450" t="s">
        <v>26303</v>
      </c>
      <c r="K5908" s="450"/>
    </row>
    <row r="5909" spans="1:11">
      <c r="A5909" s="451" t="s">
        <v>20510</v>
      </c>
      <c r="B5909" s="451" t="s">
        <v>20511</v>
      </c>
      <c r="C5909" s="451" t="s">
        <v>9931</v>
      </c>
      <c r="D5909" s="451"/>
      <c r="E5909" s="451"/>
      <c r="F5909" s="451"/>
      <c r="G5909" s="451" t="s">
        <v>22877</v>
      </c>
      <c r="H5909" s="451" t="s">
        <v>22878</v>
      </c>
      <c r="I5909" s="451" t="s">
        <v>26304</v>
      </c>
      <c r="J5909" s="451" t="s">
        <v>26305</v>
      </c>
      <c r="K5909" s="451"/>
    </row>
    <row r="5910" spans="1:11">
      <c r="A5910" s="450" t="s">
        <v>20507</v>
      </c>
      <c r="B5910" s="450" t="s">
        <v>20508</v>
      </c>
      <c r="C5910" s="450" t="s">
        <v>20509</v>
      </c>
      <c r="D5910" s="450"/>
      <c r="E5910" s="450"/>
      <c r="F5910" s="450"/>
      <c r="G5910" s="450" t="s">
        <v>22877</v>
      </c>
      <c r="H5910" s="450" t="s">
        <v>22878</v>
      </c>
      <c r="I5910" s="450" t="s">
        <v>25240</v>
      </c>
      <c r="J5910" s="450" t="s">
        <v>26306</v>
      </c>
      <c r="K5910" s="450"/>
    </row>
    <row r="5911" spans="1:11">
      <c r="A5911" s="451" t="s">
        <v>9815</v>
      </c>
      <c r="B5911" s="451"/>
      <c r="C5911" s="451" t="s">
        <v>9816</v>
      </c>
      <c r="D5911" s="451"/>
      <c r="E5911" s="451"/>
      <c r="F5911" s="451"/>
      <c r="G5911" s="451" t="s">
        <v>22882</v>
      </c>
      <c r="H5911" s="451" t="s">
        <v>22883</v>
      </c>
      <c r="I5911" s="451" t="s">
        <v>35918</v>
      </c>
      <c r="J5911" s="451" t="s">
        <v>22958</v>
      </c>
      <c r="K5911" s="451"/>
    </row>
    <row r="5912" spans="1:11">
      <c r="A5912" s="450" t="s">
        <v>26307</v>
      </c>
      <c r="B5912" s="450"/>
      <c r="C5912" s="450" t="s">
        <v>9816</v>
      </c>
      <c r="D5912" s="450"/>
      <c r="E5912" s="450"/>
      <c r="F5912" s="450"/>
      <c r="G5912" s="450" t="s">
        <v>22882</v>
      </c>
      <c r="H5912" s="450" t="s">
        <v>22883</v>
      </c>
      <c r="I5912" s="450"/>
      <c r="J5912" s="450" t="s">
        <v>24578</v>
      </c>
      <c r="K5912" s="450"/>
    </row>
    <row r="5913" spans="1:11">
      <c r="A5913" s="451" t="s">
        <v>26308</v>
      </c>
      <c r="B5913" s="451" t="s">
        <v>26309</v>
      </c>
      <c r="C5913" s="451" t="s">
        <v>26310</v>
      </c>
      <c r="D5913" s="451" t="s">
        <v>26311</v>
      </c>
      <c r="E5913" s="451"/>
      <c r="F5913" s="451"/>
      <c r="G5913" s="451" t="s">
        <v>22877</v>
      </c>
      <c r="H5913" s="451" t="s">
        <v>22878</v>
      </c>
      <c r="I5913" s="451" t="s">
        <v>26311</v>
      </c>
      <c r="J5913" s="451" t="s">
        <v>26312</v>
      </c>
      <c r="K5913" s="451"/>
    </row>
    <row r="5914" spans="1:11">
      <c r="A5914" s="450" t="s">
        <v>9817</v>
      </c>
      <c r="B5914" s="450"/>
      <c r="C5914" s="450" t="s">
        <v>9818</v>
      </c>
      <c r="D5914" s="450"/>
      <c r="E5914" s="450"/>
      <c r="F5914" s="450"/>
      <c r="G5914" s="450" t="s">
        <v>22877</v>
      </c>
      <c r="H5914" s="450" t="s">
        <v>22878</v>
      </c>
      <c r="I5914" s="450" t="s">
        <v>35919</v>
      </c>
      <c r="J5914" s="450" t="s">
        <v>22939</v>
      </c>
      <c r="K5914" s="450"/>
    </row>
    <row r="5915" spans="1:11">
      <c r="A5915" s="451" t="s">
        <v>9819</v>
      </c>
      <c r="B5915" s="451"/>
      <c r="C5915" s="451" t="s">
        <v>3061</v>
      </c>
      <c r="D5915" s="451"/>
      <c r="E5915" s="451"/>
      <c r="F5915" s="451"/>
      <c r="G5915" s="451" t="s">
        <v>22882</v>
      </c>
      <c r="H5915" s="451" t="s">
        <v>22883</v>
      </c>
      <c r="I5915" s="451"/>
      <c r="J5915" s="451" t="s">
        <v>22939</v>
      </c>
      <c r="K5915" s="451"/>
    </row>
    <row r="5916" spans="1:11" ht="15.5">
      <c r="A5916" s="448" t="s">
        <v>35920</v>
      </c>
      <c r="B5916" s="448" t="s">
        <v>35921</v>
      </c>
      <c r="C5916" s="448" t="s">
        <v>35922</v>
      </c>
      <c r="D5916" s="448"/>
      <c r="E5916" s="448"/>
      <c r="F5916" s="448"/>
      <c r="G5916" s="448"/>
      <c r="H5916" s="448"/>
      <c r="I5916" s="448"/>
      <c r="J5916" s="448"/>
      <c r="K5916" s="448"/>
    </row>
    <row r="5917" spans="1:11">
      <c r="A5917" s="451" t="s">
        <v>9820</v>
      </c>
      <c r="B5917" s="451"/>
      <c r="C5917" s="451" t="s">
        <v>9821</v>
      </c>
      <c r="D5917" s="451"/>
      <c r="E5917" s="451"/>
      <c r="F5917" s="451"/>
      <c r="G5917" s="451" t="s">
        <v>22877</v>
      </c>
      <c r="H5917" s="451" t="s">
        <v>22878</v>
      </c>
      <c r="I5917" s="451" t="s">
        <v>35923</v>
      </c>
      <c r="J5917" s="451" t="s">
        <v>22997</v>
      </c>
      <c r="K5917" s="451"/>
    </row>
    <row r="5918" spans="1:11">
      <c r="A5918" s="450" t="s">
        <v>9822</v>
      </c>
      <c r="B5918" s="450"/>
      <c r="C5918" s="450" t="s">
        <v>1506</v>
      </c>
      <c r="D5918" s="450"/>
      <c r="E5918" s="450"/>
      <c r="F5918" s="450"/>
      <c r="G5918" s="450" t="s">
        <v>22882</v>
      </c>
      <c r="H5918" s="450" t="s">
        <v>22883</v>
      </c>
      <c r="I5918" s="450"/>
      <c r="J5918" s="450" t="s">
        <v>22943</v>
      </c>
      <c r="K5918" s="450"/>
    </row>
    <row r="5919" spans="1:11">
      <c r="A5919" s="451" t="s">
        <v>35924</v>
      </c>
      <c r="B5919" s="451"/>
      <c r="C5919" s="451" t="s">
        <v>9824</v>
      </c>
      <c r="D5919" s="451"/>
      <c r="E5919" s="451"/>
      <c r="F5919" s="451"/>
      <c r="G5919" s="451" t="s">
        <v>22882</v>
      </c>
      <c r="H5919" s="451" t="s">
        <v>22883</v>
      </c>
      <c r="I5919" s="451"/>
      <c r="J5919" s="451" t="s">
        <v>22943</v>
      </c>
      <c r="K5919" s="451"/>
    </row>
    <row r="5920" spans="1:11">
      <c r="A5920" s="450" t="s">
        <v>9823</v>
      </c>
      <c r="B5920" s="450"/>
      <c r="C5920" s="450" t="s">
        <v>9824</v>
      </c>
      <c r="D5920" s="450"/>
      <c r="E5920" s="450"/>
      <c r="F5920" s="450"/>
      <c r="G5920" s="450" t="s">
        <v>22882</v>
      </c>
      <c r="H5920" s="450" t="s">
        <v>22883</v>
      </c>
      <c r="I5920" s="450"/>
      <c r="J5920" s="450" t="s">
        <v>22997</v>
      </c>
      <c r="K5920" s="450"/>
    </row>
    <row r="5921" spans="1:11">
      <c r="A5921" s="451" t="s">
        <v>9825</v>
      </c>
      <c r="B5921" s="451"/>
      <c r="C5921" s="451" t="s">
        <v>4524</v>
      </c>
      <c r="D5921" s="451"/>
      <c r="E5921" s="451"/>
      <c r="F5921" s="451"/>
      <c r="G5921" s="451" t="s">
        <v>22882</v>
      </c>
      <c r="H5921" s="451" t="s">
        <v>22883</v>
      </c>
      <c r="I5921" s="451" t="s">
        <v>35925</v>
      </c>
      <c r="J5921" s="451" t="s">
        <v>23185</v>
      </c>
      <c r="K5921" s="451"/>
    </row>
    <row r="5922" spans="1:11">
      <c r="A5922" s="450" t="s">
        <v>35926</v>
      </c>
      <c r="B5922" s="450"/>
      <c r="C5922" s="450" t="s">
        <v>2528</v>
      </c>
      <c r="D5922" s="450"/>
      <c r="E5922" s="450"/>
      <c r="F5922" s="450"/>
      <c r="G5922" s="450" t="s">
        <v>22877</v>
      </c>
      <c r="H5922" s="450" t="s">
        <v>22878</v>
      </c>
      <c r="I5922" s="450" t="s">
        <v>35927</v>
      </c>
      <c r="J5922" s="450" t="s">
        <v>23121</v>
      </c>
      <c r="K5922" s="450"/>
    </row>
    <row r="5923" spans="1:11">
      <c r="A5923" s="451" t="s">
        <v>9826</v>
      </c>
      <c r="B5923" s="451"/>
      <c r="C5923" s="451" t="s">
        <v>2528</v>
      </c>
      <c r="D5923" s="451"/>
      <c r="E5923" s="451"/>
      <c r="F5923" s="451"/>
      <c r="G5923" s="451" t="s">
        <v>22882</v>
      </c>
      <c r="H5923" s="451" t="s">
        <v>22883</v>
      </c>
      <c r="I5923" s="451" t="s">
        <v>35927</v>
      </c>
      <c r="J5923" s="451" t="s">
        <v>22939</v>
      </c>
      <c r="K5923" s="451"/>
    </row>
    <row r="5924" spans="1:11">
      <c r="A5924" s="450" t="s">
        <v>9827</v>
      </c>
      <c r="B5924" s="450"/>
      <c r="C5924" s="450" t="s">
        <v>9828</v>
      </c>
      <c r="D5924" s="450"/>
      <c r="E5924" s="450"/>
      <c r="F5924" s="450"/>
      <c r="G5924" s="450" t="s">
        <v>22877</v>
      </c>
      <c r="H5924" s="450" t="s">
        <v>22878</v>
      </c>
      <c r="I5924" s="450" t="s">
        <v>31580</v>
      </c>
      <c r="J5924" s="450" t="s">
        <v>22942</v>
      </c>
      <c r="K5924" s="450"/>
    </row>
    <row r="5925" spans="1:11">
      <c r="A5925" s="451" t="s">
        <v>20404</v>
      </c>
      <c r="B5925" s="451" t="s">
        <v>9837</v>
      </c>
      <c r="C5925" s="451" t="s">
        <v>9838</v>
      </c>
      <c r="D5925" s="451" t="s">
        <v>9839</v>
      </c>
      <c r="E5925" s="451" t="s">
        <v>9840</v>
      </c>
      <c r="F5925" s="451"/>
      <c r="G5925" s="451" t="s">
        <v>22877</v>
      </c>
      <c r="H5925" s="451" t="s">
        <v>22878</v>
      </c>
      <c r="I5925" s="451" t="s">
        <v>35928</v>
      </c>
      <c r="J5925" s="451" t="s">
        <v>35929</v>
      </c>
      <c r="K5925" s="451"/>
    </row>
    <row r="5926" spans="1:11">
      <c r="A5926" s="450" t="s">
        <v>26313</v>
      </c>
      <c r="B5926" s="450" t="s">
        <v>9837</v>
      </c>
      <c r="C5926" s="450" t="s">
        <v>9838</v>
      </c>
      <c r="D5926" s="450" t="s">
        <v>9839</v>
      </c>
      <c r="E5926" s="450"/>
      <c r="F5926" s="450"/>
      <c r="G5926" s="450" t="s">
        <v>22877</v>
      </c>
      <c r="H5926" s="450" t="s">
        <v>22878</v>
      </c>
      <c r="I5926" s="450" t="s">
        <v>9839</v>
      </c>
      <c r="J5926" s="450" t="s">
        <v>26314</v>
      </c>
      <c r="K5926" s="450"/>
    </row>
    <row r="5927" spans="1:11">
      <c r="A5927" s="451" t="s">
        <v>26315</v>
      </c>
      <c r="B5927" s="451" t="s">
        <v>26316</v>
      </c>
      <c r="C5927" s="451" t="s">
        <v>26317</v>
      </c>
      <c r="D5927" s="451" t="s">
        <v>26318</v>
      </c>
      <c r="E5927" s="451"/>
      <c r="F5927" s="451"/>
      <c r="G5927" s="451" t="s">
        <v>22882</v>
      </c>
      <c r="H5927" s="451" t="s">
        <v>22883</v>
      </c>
      <c r="I5927" s="451" t="s">
        <v>26319</v>
      </c>
      <c r="J5927" s="451" t="s">
        <v>26320</v>
      </c>
      <c r="K5927" s="451"/>
    </row>
    <row r="5928" spans="1:11">
      <c r="A5928" s="450" t="s">
        <v>20417</v>
      </c>
      <c r="B5928" s="450" t="s">
        <v>20418</v>
      </c>
      <c r="C5928" s="450" t="s">
        <v>5558</v>
      </c>
      <c r="D5928" s="450">
        <v>7049725302</v>
      </c>
      <c r="E5928" s="450">
        <v>7043989993</v>
      </c>
      <c r="F5928" s="450"/>
      <c r="G5928" s="450" t="s">
        <v>22877</v>
      </c>
      <c r="H5928" s="450" t="s">
        <v>22878</v>
      </c>
      <c r="I5928" s="450" t="s">
        <v>31581</v>
      </c>
      <c r="J5928" s="450" t="s">
        <v>31582</v>
      </c>
      <c r="K5928" s="450"/>
    </row>
    <row r="5929" spans="1:11">
      <c r="A5929" s="451" t="s">
        <v>26321</v>
      </c>
      <c r="B5929" s="451" t="s">
        <v>26322</v>
      </c>
      <c r="C5929" s="451" t="s">
        <v>8545</v>
      </c>
      <c r="D5929" s="451" t="s">
        <v>26323</v>
      </c>
      <c r="E5929" s="451"/>
      <c r="F5929" s="451"/>
      <c r="G5929" s="451" t="s">
        <v>22877</v>
      </c>
      <c r="H5929" s="451" t="s">
        <v>22878</v>
      </c>
      <c r="I5929" s="451" t="s">
        <v>26323</v>
      </c>
      <c r="J5929" s="451" t="s">
        <v>26324</v>
      </c>
      <c r="K5929" s="451"/>
    </row>
    <row r="5930" spans="1:11">
      <c r="A5930" s="450" t="s">
        <v>20411</v>
      </c>
      <c r="B5930" s="450"/>
      <c r="C5930" s="450" t="s">
        <v>1638</v>
      </c>
      <c r="D5930" s="450"/>
      <c r="E5930" s="450"/>
      <c r="F5930" s="450"/>
      <c r="G5930" s="450" t="s">
        <v>22882</v>
      </c>
      <c r="H5930" s="450" t="s">
        <v>22883</v>
      </c>
      <c r="I5930" s="450" t="s">
        <v>35930</v>
      </c>
      <c r="J5930" s="450" t="s">
        <v>23370</v>
      </c>
      <c r="K5930" s="450"/>
    </row>
    <row r="5931" spans="1:11">
      <c r="A5931" s="451" t="s">
        <v>20402</v>
      </c>
      <c r="B5931" s="451"/>
      <c r="C5931" s="451" t="s">
        <v>9832</v>
      </c>
      <c r="D5931" s="451"/>
      <c r="E5931" s="451"/>
      <c r="F5931" s="451"/>
      <c r="G5931" s="451" t="s">
        <v>22882</v>
      </c>
      <c r="H5931" s="451" t="s">
        <v>22883</v>
      </c>
      <c r="I5931" s="451"/>
      <c r="J5931" s="451" t="s">
        <v>22948</v>
      </c>
      <c r="K5931" s="451"/>
    </row>
    <row r="5932" spans="1:11">
      <c r="A5932" s="450" t="s">
        <v>26325</v>
      </c>
      <c r="B5932" s="450" t="s">
        <v>26326</v>
      </c>
      <c r="C5932" s="450" t="s">
        <v>6650</v>
      </c>
      <c r="D5932" s="450" t="s">
        <v>26327</v>
      </c>
      <c r="E5932" s="450"/>
      <c r="F5932" s="450"/>
      <c r="G5932" s="450" t="s">
        <v>22882</v>
      </c>
      <c r="H5932" s="450" t="s">
        <v>22883</v>
      </c>
      <c r="I5932" s="450" t="s">
        <v>26327</v>
      </c>
      <c r="J5932" s="450" t="s">
        <v>26328</v>
      </c>
      <c r="K5932" s="450"/>
    </row>
    <row r="5933" spans="1:11">
      <c r="A5933" s="451" t="s">
        <v>20412</v>
      </c>
      <c r="B5933" s="451" t="s">
        <v>26329</v>
      </c>
      <c r="C5933" s="451" t="s">
        <v>9866</v>
      </c>
      <c r="D5933" s="451" t="s">
        <v>9867</v>
      </c>
      <c r="E5933" s="451"/>
      <c r="F5933" s="451"/>
      <c r="G5933" s="451" t="s">
        <v>22882</v>
      </c>
      <c r="H5933" s="451" t="s">
        <v>22883</v>
      </c>
      <c r="I5933" s="451" t="s">
        <v>9867</v>
      </c>
      <c r="J5933" s="451" t="s">
        <v>26330</v>
      </c>
      <c r="K5933" s="451"/>
    </row>
    <row r="5934" spans="1:11">
      <c r="A5934" s="450" t="s">
        <v>20412</v>
      </c>
      <c r="B5934" s="450" t="s">
        <v>9865</v>
      </c>
      <c r="C5934" s="450" t="s">
        <v>9866</v>
      </c>
      <c r="D5934" s="450" t="s">
        <v>9867</v>
      </c>
      <c r="E5934" s="450" t="s">
        <v>9868</v>
      </c>
      <c r="F5934" s="450"/>
      <c r="G5934" s="450" t="s">
        <v>22877</v>
      </c>
      <c r="H5934" s="450" t="s">
        <v>22878</v>
      </c>
      <c r="I5934" s="450" t="s">
        <v>31583</v>
      </c>
      <c r="J5934" s="450" t="s">
        <v>26330</v>
      </c>
      <c r="K5934" s="450"/>
    </row>
    <row r="5935" spans="1:11">
      <c r="A5935" s="451" t="s">
        <v>20406</v>
      </c>
      <c r="B5935" s="451" t="s">
        <v>9845</v>
      </c>
      <c r="C5935" s="451" t="s">
        <v>4628</v>
      </c>
      <c r="D5935" s="451" t="s">
        <v>9846</v>
      </c>
      <c r="E5935" s="451" t="s">
        <v>9847</v>
      </c>
      <c r="F5935" s="451"/>
      <c r="G5935" s="451" t="s">
        <v>22882</v>
      </c>
      <c r="H5935" s="451" t="s">
        <v>22883</v>
      </c>
      <c r="I5935" s="451" t="s">
        <v>9846</v>
      </c>
      <c r="J5935" s="451" t="s">
        <v>35931</v>
      </c>
      <c r="K5935" s="451"/>
    </row>
    <row r="5936" spans="1:11">
      <c r="A5936" s="450" t="s">
        <v>26331</v>
      </c>
      <c r="B5936" s="450" t="s">
        <v>9845</v>
      </c>
      <c r="C5936" s="450" t="s">
        <v>4628</v>
      </c>
      <c r="D5936" s="450" t="s">
        <v>9846</v>
      </c>
      <c r="E5936" s="450"/>
      <c r="F5936" s="450"/>
      <c r="G5936" s="450" t="s">
        <v>22882</v>
      </c>
      <c r="H5936" s="450" t="s">
        <v>22883</v>
      </c>
      <c r="I5936" s="450" t="s">
        <v>9846</v>
      </c>
      <c r="J5936" s="450" t="s">
        <v>26332</v>
      </c>
      <c r="K5936" s="450"/>
    </row>
    <row r="5937" spans="1:11">
      <c r="A5937" s="451" t="s">
        <v>20403</v>
      </c>
      <c r="B5937" s="451" t="s">
        <v>9833</v>
      </c>
      <c r="C5937" s="451" t="s">
        <v>9834</v>
      </c>
      <c r="D5937" s="451" t="s">
        <v>9835</v>
      </c>
      <c r="E5937" s="451"/>
      <c r="F5937" s="451"/>
      <c r="G5937" s="451" t="s">
        <v>22877</v>
      </c>
      <c r="H5937" s="451" t="s">
        <v>22878</v>
      </c>
      <c r="I5937" s="451" t="s">
        <v>9835</v>
      </c>
      <c r="J5937" s="451" t="s">
        <v>26333</v>
      </c>
      <c r="K5937" s="451"/>
    </row>
    <row r="5938" spans="1:11">
      <c r="A5938" s="450" t="s">
        <v>20403</v>
      </c>
      <c r="B5938" s="450" t="s">
        <v>9833</v>
      </c>
      <c r="C5938" s="450" t="s">
        <v>9834</v>
      </c>
      <c r="D5938" s="450" t="s">
        <v>9835</v>
      </c>
      <c r="E5938" s="450" t="s">
        <v>9836</v>
      </c>
      <c r="F5938" s="450"/>
      <c r="G5938" s="450" t="s">
        <v>22877</v>
      </c>
      <c r="H5938" s="450" t="s">
        <v>22878</v>
      </c>
      <c r="I5938" s="450" t="s">
        <v>31584</v>
      </c>
      <c r="J5938" s="450" t="s">
        <v>26333</v>
      </c>
      <c r="K5938" s="450"/>
    </row>
    <row r="5939" spans="1:11">
      <c r="A5939" s="451" t="s">
        <v>9829</v>
      </c>
      <c r="B5939" s="451" t="s">
        <v>9861</v>
      </c>
      <c r="C5939" s="451" t="s">
        <v>35932</v>
      </c>
      <c r="D5939" s="451" t="s">
        <v>9863</v>
      </c>
      <c r="E5939" s="451"/>
      <c r="F5939" s="451"/>
      <c r="G5939" s="451" t="s">
        <v>22882</v>
      </c>
      <c r="H5939" s="451" t="s">
        <v>22883</v>
      </c>
      <c r="I5939" s="451" t="s">
        <v>9863</v>
      </c>
      <c r="J5939" s="451" t="s">
        <v>35933</v>
      </c>
      <c r="K5939" s="451"/>
    </row>
    <row r="5940" spans="1:11">
      <c r="A5940" s="450" t="s">
        <v>9829</v>
      </c>
      <c r="B5940" s="450" t="s">
        <v>9861</v>
      </c>
      <c r="C5940" s="450" t="s">
        <v>9862</v>
      </c>
      <c r="D5940" s="450" t="s">
        <v>9863</v>
      </c>
      <c r="E5940" s="450" t="s">
        <v>9864</v>
      </c>
      <c r="F5940" s="450"/>
      <c r="G5940" s="450" t="s">
        <v>22877</v>
      </c>
      <c r="H5940" s="450" t="s">
        <v>22878</v>
      </c>
      <c r="I5940" s="450" t="s">
        <v>31585</v>
      </c>
      <c r="J5940" s="450" t="s">
        <v>31586</v>
      </c>
      <c r="K5940" s="450"/>
    </row>
    <row r="5941" spans="1:11">
      <c r="A5941" s="451" t="s">
        <v>35934</v>
      </c>
      <c r="B5941" s="451" t="s">
        <v>9873</v>
      </c>
      <c r="C5941" s="451" t="s">
        <v>9874</v>
      </c>
      <c r="D5941" s="451" t="s">
        <v>9875</v>
      </c>
      <c r="E5941" s="451"/>
      <c r="F5941" s="451"/>
      <c r="G5941" s="451" t="s">
        <v>22882</v>
      </c>
      <c r="H5941" s="451" t="s">
        <v>22883</v>
      </c>
      <c r="I5941" s="451" t="s">
        <v>9875</v>
      </c>
      <c r="J5941" s="451" t="s">
        <v>35935</v>
      </c>
      <c r="K5941" s="451"/>
    </row>
    <row r="5942" spans="1:11">
      <c r="A5942" s="450" t="s">
        <v>20414</v>
      </c>
      <c r="B5942" s="450" t="s">
        <v>9873</v>
      </c>
      <c r="C5942" s="450" t="s">
        <v>9874</v>
      </c>
      <c r="D5942" s="450" t="s">
        <v>9875</v>
      </c>
      <c r="E5942" s="450" t="s">
        <v>9876</v>
      </c>
      <c r="F5942" s="450"/>
      <c r="G5942" s="450" t="s">
        <v>22882</v>
      </c>
      <c r="H5942" s="450" t="s">
        <v>22883</v>
      </c>
      <c r="I5942" s="450" t="s">
        <v>31587</v>
      </c>
      <c r="J5942" s="450" t="s">
        <v>31588</v>
      </c>
      <c r="K5942" s="450"/>
    </row>
    <row r="5943" spans="1:11">
      <c r="A5943" s="451" t="s">
        <v>20405</v>
      </c>
      <c r="B5943" s="451" t="s">
        <v>26334</v>
      </c>
      <c r="C5943" s="451" t="s">
        <v>9842</v>
      </c>
      <c r="D5943" s="451" t="s">
        <v>9843</v>
      </c>
      <c r="E5943" s="451"/>
      <c r="F5943" s="451"/>
      <c r="G5943" s="451" t="s">
        <v>22882</v>
      </c>
      <c r="H5943" s="451" t="s">
        <v>22883</v>
      </c>
      <c r="I5943" s="451" t="s">
        <v>9843</v>
      </c>
      <c r="J5943" s="451" t="s">
        <v>26335</v>
      </c>
      <c r="K5943" s="451"/>
    </row>
    <row r="5944" spans="1:11">
      <c r="A5944" s="450" t="s">
        <v>20405</v>
      </c>
      <c r="B5944" s="450" t="s">
        <v>9841</v>
      </c>
      <c r="C5944" s="450" t="s">
        <v>9842</v>
      </c>
      <c r="D5944" s="450" t="s">
        <v>9843</v>
      </c>
      <c r="E5944" s="450" t="s">
        <v>9844</v>
      </c>
      <c r="F5944" s="450"/>
      <c r="G5944" s="450" t="s">
        <v>22882</v>
      </c>
      <c r="H5944" s="450" t="s">
        <v>22883</v>
      </c>
      <c r="I5944" s="450" t="s">
        <v>31589</v>
      </c>
      <c r="J5944" s="450" t="s">
        <v>31590</v>
      </c>
      <c r="K5944" s="450"/>
    </row>
    <row r="5945" spans="1:11">
      <c r="A5945" s="451" t="s">
        <v>20410</v>
      </c>
      <c r="B5945" s="451"/>
      <c r="C5945" s="451" t="s">
        <v>9860</v>
      </c>
      <c r="D5945" s="451"/>
      <c r="E5945" s="451"/>
      <c r="F5945" s="451"/>
      <c r="G5945" s="451" t="s">
        <v>22882</v>
      </c>
      <c r="H5945" s="451" t="s">
        <v>22883</v>
      </c>
      <c r="I5945" s="451" t="s">
        <v>35936</v>
      </c>
      <c r="J5945" s="451" t="s">
        <v>22958</v>
      </c>
      <c r="K5945" s="451"/>
    </row>
    <row r="5946" spans="1:11">
      <c r="A5946" s="450" t="s">
        <v>26336</v>
      </c>
      <c r="B5946" s="450"/>
      <c r="C5946" s="450" t="s">
        <v>9860</v>
      </c>
      <c r="D5946" s="450"/>
      <c r="E5946" s="450"/>
      <c r="F5946" s="450"/>
      <c r="G5946" s="450" t="s">
        <v>22882</v>
      </c>
      <c r="H5946" s="450" t="s">
        <v>22883</v>
      </c>
      <c r="I5946" s="450" t="s">
        <v>26337</v>
      </c>
      <c r="J5946" s="450" t="s">
        <v>22943</v>
      </c>
      <c r="K5946" s="450"/>
    </row>
    <row r="5947" spans="1:11">
      <c r="A5947" s="451" t="s">
        <v>20408</v>
      </c>
      <c r="B5947" s="451" t="s">
        <v>26338</v>
      </c>
      <c r="C5947" s="451" t="s">
        <v>26339</v>
      </c>
      <c r="D5947" s="451" t="s">
        <v>9854</v>
      </c>
      <c r="E5947" s="451"/>
      <c r="F5947" s="451"/>
      <c r="G5947" s="451" t="s">
        <v>22882</v>
      </c>
      <c r="H5947" s="451" t="s">
        <v>22883</v>
      </c>
      <c r="I5947" s="451" t="s">
        <v>26340</v>
      </c>
      <c r="J5947" s="451" t="s">
        <v>26341</v>
      </c>
      <c r="K5947" s="451"/>
    </row>
    <row r="5948" spans="1:11">
      <c r="A5948" s="450" t="s">
        <v>20408</v>
      </c>
      <c r="B5948" s="450" t="s">
        <v>9852</v>
      </c>
      <c r="C5948" s="450" t="s">
        <v>9853</v>
      </c>
      <c r="D5948" s="450" t="s">
        <v>9854</v>
      </c>
      <c r="E5948" s="450" t="s">
        <v>9855</v>
      </c>
      <c r="F5948" s="450"/>
      <c r="G5948" s="450" t="s">
        <v>22882</v>
      </c>
      <c r="H5948" s="450" t="s">
        <v>22883</v>
      </c>
      <c r="I5948" s="450" t="s">
        <v>31591</v>
      </c>
      <c r="J5948" s="450" t="s">
        <v>31592</v>
      </c>
      <c r="K5948" s="450"/>
    </row>
    <row r="5949" spans="1:11">
      <c r="A5949" s="451" t="s">
        <v>26342</v>
      </c>
      <c r="B5949" s="451" t="s">
        <v>26343</v>
      </c>
      <c r="C5949" s="451" t="s">
        <v>15437</v>
      </c>
      <c r="D5949" s="451" t="s">
        <v>26344</v>
      </c>
      <c r="E5949" s="451"/>
      <c r="F5949" s="451"/>
      <c r="G5949" s="451" t="s">
        <v>22882</v>
      </c>
      <c r="H5949" s="451" t="s">
        <v>22883</v>
      </c>
      <c r="I5949" s="451" t="s">
        <v>26344</v>
      </c>
      <c r="J5949" s="451" t="s">
        <v>26345</v>
      </c>
      <c r="K5949" s="451"/>
    </row>
    <row r="5950" spans="1:11">
      <c r="A5950" s="450" t="s">
        <v>20407</v>
      </c>
      <c r="B5950" s="450" t="s">
        <v>9848</v>
      </c>
      <c r="C5950" s="450" t="s">
        <v>9849</v>
      </c>
      <c r="D5950" s="450" t="s">
        <v>9850</v>
      </c>
      <c r="E5950" s="450" t="s">
        <v>9851</v>
      </c>
      <c r="F5950" s="450"/>
      <c r="G5950" s="450" t="s">
        <v>22882</v>
      </c>
      <c r="H5950" s="450" t="s">
        <v>22883</v>
      </c>
      <c r="I5950" s="450" t="s">
        <v>35937</v>
      </c>
      <c r="J5950" s="450" t="s">
        <v>35938</v>
      </c>
      <c r="K5950" s="450"/>
    </row>
    <row r="5951" spans="1:11">
      <c r="A5951" s="451" t="s">
        <v>26346</v>
      </c>
      <c r="B5951" s="451" t="s">
        <v>9848</v>
      </c>
      <c r="C5951" s="451" t="s">
        <v>9849</v>
      </c>
      <c r="D5951" s="451" t="s">
        <v>9850</v>
      </c>
      <c r="E5951" s="451"/>
      <c r="F5951" s="451"/>
      <c r="G5951" s="451" t="s">
        <v>22882</v>
      </c>
      <c r="H5951" s="451" t="s">
        <v>22883</v>
      </c>
      <c r="I5951" s="451" t="s">
        <v>9850</v>
      </c>
      <c r="J5951" s="451" t="s">
        <v>26347</v>
      </c>
      <c r="K5951" s="451"/>
    </row>
    <row r="5952" spans="1:11">
      <c r="A5952" s="450" t="s">
        <v>9830</v>
      </c>
      <c r="B5952" s="450"/>
      <c r="C5952" s="450" t="s">
        <v>2110</v>
      </c>
      <c r="D5952" s="450"/>
      <c r="E5952" s="450"/>
      <c r="F5952" s="450"/>
      <c r="G5952" s="450" t="s">
        <v>22882</v>
      </c>
      <c r="H5952" s="450" t="s">
        <v>22883</v>
      </c>
      <c r="I5952" s="450"/>
      <c r="J5952" s="450" t="s">
        <v>23370</v>
      </c>
      <c r="K5952" s="450"/>
    </row>
    <row r="5953" spans="1:11">
      <c r="A5953" s="451" t="s">
        <v>20415</v>
      </c>
      <c r="B5953" s="451" t="s">
        <v>26348</v>
      </c>
      <c r="C5953" s="451" t="s">
        <v>9879</v>
      </c>
      <c r="D5953" s="451" t="s">
        <v>9880</v>
      </c>
      <c r="E5953" s="451"/>
      <c r="F5953" s="451"/>
      <c r="G5953" s="451" t="s">
        <v>22882</v>
      </c>
      <c r="H5953" s="451" t="s">
        <v>22883</v>
      </c>
      <c r="I5953" s="451" t="s">
        <v>26349</v>
      </c>
      <c r="J5953" s="451" t="s">
        <v>26350</v>
      </c>
      <c r="K5953" s="451"/>
    </row>
    <row r="5954" spans="1:11">
      <c r="A5954" s="450" t="s">
        <v>20415</v>
      </c>
      <c r="B5954" s="450" t="s">
        <v>9878</v>
      </c>
      <c r="C5954" s="450" t="s">
        <v>9879</v>
      </c>
      <c r="D5954" s="450" t="s">
        <v>9880</v>
      </c>
      <c r="E5954" s="450" t="s">
        <v>9881</v>
      </c>
      <c r="F5954" s="450"/>
      <c r="G5954" s="450" t="s">
        <v>22882</v>
      </c>
      <c r="H5954" s="450" t="s">
        <v>22883</v>
      </c>
      <c r="I5954" s="450" t="s">
        <v>31593</v>
      </c>
      <c r="J5954" s="450" t="s">
        <v>31594</v>
      </c>
      <c r="K5954" s="450"/>
    </row>
    <row r="5955" spans="1:11">
      <c r="A5955" s="451" t="s">
        <v>20409</v>
      </c>
      <c r="B5955" s="451" t="s">
        <v>9856</v>
      </c>
      <c r="C5955" s="451" t="s">
        <v>9857</v>
      </c>
      <c r="D5955" s="451" t="s">
        <v>9858</v>
      </c>
      <c r="E5955" s="451"/>
      <c r="F5955" s="451"/>
      <c r="G5955" s="451" t="s">
        <v>22877</v>
      </c>
      <c r="H5955" s="451" t="s">
        <v>22878</v>
      </c>
      <c r="I5955" s="451" t="s">
        <v>9858</v>
      </c>
      <c r="J5955" s="451" t="s">
        <v>35939</v>
      </c>
      <c r="K5955" s="451"/>
    </row>
    <row r="5956" spans="1:11">
      <c r="A5956" s="450" t="s">
        <v>20409</v>
      </c>
      <c r="B5956" s="450" t="s">
        <v>9856</v>
      </c>
      <c r="C5956" s="450" t="s">
        <v>9857</v>
      </c>
      <c r="D5956" s="450" t="s">
        <v>9858</v>
      </c>
      <c r="E5956" s="450" t="s">
        <v>9859</v>
      </c>
      <c r="F5956" s="450"/>
      <c r="G5956" s="450" t="s">
        <v>22877</v>
      </c>
      <c r="H5956" s="450" t="s">
        <v>22878</v>
      </c>
      <c r="I5956" s="450" t="s">
        <v>9858</v>
      </c>
      <c r="J5956" s="450" t="s">
        <v>31595</v>
      </c>
      <c r="K5956" s="450"/>
    </row>
    <row r="5957" spans="1:11">
      <c r="A5957" s="451" t="s">
        <v>20416</v>
      </c>
      <c r="B5957" s="451" t="s">
        <v>9882</v>
      </c>
      <c r="C5957" s="451" t="s">
        <v>9883</v>
      </c>
      <c r="D5957" s="451" t="s">
        <v>9884</v>
      </c>
      <c r="E5957" s="451"/>
      <c r="F5957" s="451"/>
      <c r="G5957" s="451" t="s">
        <v>22882</v>
      </c>
      <c r="H5957" s="451" t="s">
        <v>22883</v>
      </c>
      <c r="I5957" s="451" t="s">
        <v>9884</v>
      </c>
      <c r="J5957" s="451" t="s">
        <v>35940</v>
      </c>
      <c r="K5957" s="451"/>
    </row>
    <row r="5958" spans="1:11">
      <c r="A5958" s="450" t="s">
        <v>20416</v>
      </c>
      <c r="B5958" s="450" t="s">
        <v>9882</v>
      </c>
      <c r="C5958" s="450" t="s">
        <v>9883</v>
      </c>
      <c r="D5958" s="450" t="s">
        <v>9884</v>
      </c>
      <c r="E5958" s="450" t="s">
        <v>9877</v>
      </c>
      <c r="F5958" s="450"/>
      <c r="G5958" s="450" t="s">
        <v>22882</v>
      </c>
      <c r="H5958" s="450" t="s">
        <v>22883</v>
      </c>
      <c r="I5958" s="450" t="s">
        <v>9884</v>
      </c>
      <c r="J5958" s="450" t="s">
        <v>31596</v>
      </c>
      <c r="K5958" s="450"/>
    </row>
    <row r="5959" spans="1:11">
      <c r="A5959" s="451" t="s">
        <v>20401</v>
      </c>
      <c r="B5959" s="451"/>
      <c r="C5959" s="451" t="s">
        <v>9831</v>
      </c>
      <c r="D5959" s="451"/>
      <c r="E5959" s="451"/>
      <c r="F5959" s="451"/>
      <c r="G5959" s="451" t="s">
        <v>22877</v>
      </c>
      <c r="H5959" s="451" t="s">
        <v>22878</v>
      </c>
      <c r="I5959" s="451" t="s">
        <v>31597</v>
      </c>
      <c r="J5959" s="451" t="s">
        <v>22958</v>
      </c>
      <c r="K5959" s="451"/>
    </row>
    <row r="5960" spans="1:11">
      <c r="A5960" s="450" t="s">
        <v>20413</v>
      </c>
      <c r="B5960" s="450" t="s">
        <v>26351</v>
      </c>
      <c r="C5960" s="450" t="s">
        <v>9870</v>
      </c>
      <c r="D5960" s="450" t="s">
        <v>9871</v>
      </c>
      <c r="E5960" s="450"/>
      <c r="F5960" s="450"/>
      <c r="G5960" s="450" t="s">
        <v>22882</v>
      </c>
      <c r="H5960" s="450" t="s">
        <v>22883</v>
      </c>
      <c r="I5960" s="450" t="s">
        <v>9871</v>
      </c>
      <c r="J5960" s="450" t="s">
        <v>26352</v>
      </c>
      <c r="K5960" s="450"/>
    </row>
    <row r="5961" spans="1:11">
      <c r="A5961" s="451" t="s">
        <v>20413</v>
      </c>
      <c r="B5961" s="451" t="s">
        <v>9869</v>
      </c>
      <c r="C5961" s="451" t="s">
        <v>9870</v>
      </c>
      <c r="D5961" s="451" t="s">
        <v>9871</v>
      </c>
      <c r="E5961" s="451" t="s">
        <v>9872</v>
      </c>
      <c r="F5961" s="451"/>
      <c r="G5961" s="451" t="s">
        <v>22882</v>
      </c>
      <c r="H5961" s="451" t="s">
        <v>22883</v>
      </c>
      <c r="I5961" s="451" t="s">
        <v>31598</v>
      </c>
      <c r="J5961" s="451" t="s">
        <v>31599</v>
      </c>
      <c r="K5961" s="451"/>
    </row>
    <row r="5962" spans="1:11">
      <c r="A5962" s="450" t="s">
        <v>35941</v>
      </c>
      <c r="B5962" s="450"/>
      <c r="C5962" s="450" t="s">
        <v>9828</v>
      </c>
      <c r="D5962" s="450"/>
      <c r="E5962" s="450"/>
      <c r="F5962" s="450"/>
      <c r="G5962" s="450" t="s">
        <v>22882</v>
      </c>
      <c r="H5962" s="450" t="s">
        <v>22883</v>
      </c>
      <c r="I5962" s="450"/>
      <c r="J5962" s="450" t="s">
        <v>22943</v>
      </c>
      <c r="K5962" s="450"/>
    </row>
    <row r="5963" spans="1:11">
      <c r="A5963" s="451" t="s">
        <v>9885</v>
      </c>
      <c r="B5963" s="451"/>
      <c r="C5963" s="451" t="s">
        <v>9886</v>
      </c>
      <c r="D5963" s="451"/>
      <c r="E5963" s="451"/>
      <c r="F5963" s="451"/>
      <c r="G5963" s="451" t="s">
        <v>22882</v>
      </c>
      <c r="H5963" s="451" t="s">
        <v>22883</v>
      </c>
      <c r="I5963" s="451" t="s">
        <v>26353</v>
      </c>
      <c r="J5963" s="451" t="s">
        <v>23185</v>
      </c>
      <c r="K5963" s="451"/>
    </row>
    <row r="5964" spans="1:11">
      <c r="A5964" s="450" t="s">
        <v>26354</v>
      </c>
      <c r="B5964" s="450" t="s">
        <v>26355</v>
      </c>
      <c r="C5964" s="450" t="s">
        <v>26356</v>
      </c>
      <c r="D5964" s="450"/>
      <c r="E5964" s="450"/>
      <c r="F5964" s="450"/>
      <c r="G5964" s="450" t="s">
        <v>22877</v>
      </c>
      <c r="H5964" s="450" t="s">
        <v>22878</v>
      </c>
      <c r="I5964" s="450" t="s">
        <v>26357</v>
      </c>
      <c r="J5964" s="450" t="s">
        <v>26358</v>
      </c>
      <c r="K5964" s="450"/>
    </row>
    <row r="5965" spans="1:11">
      <c r="A5965" s="451" t="s">
        <v>35942</v>
      </c>
      <c r="B5965" s="451"/>
      <c r="C5965" s="451" t="s">
        <v>5213</v>
      </c>
      <c r="D5965" s="451"/>
      <c r="E5965" s="451"/>
      <c r="F5965" s="451"/>
      <c r="G5965" s="451" t="s">
        <v>22877</v>
      </c>
      <c r="H5965" s="451" t="s">
        <v>22878</v>
      </c>
      <c r="I5965" s="451" t="s">
        <v>35943</v>
      </c>
      <c r="J5965" s="451" t="s">
        <v>22997</v>
      </c>
      <c r="K5965" s="451"/>
    </row>
    <row r="5966" spans="1:11">
      <c r="A5966" s="450" t="s">
        <v>9887</v>
      </c>
      <c r="B5966" s="450"/>
      <c r="C5966" s="450" t="s">
        <v>5213</v>
      </c>
      <c r="D5966" s="450"/>
      <c r="E5966" s="450"/>
      <c r="F5966" s="450"/>
      <c r="G5966" s="450" t="s">
        <v>22877</v>
      </c>
      <c r="H5966" s="450" t="s">
        <v>22878</v>
      </c>
      <c r="I5966" s="450" t="s">
        <v>35943</v>
      </c>
      <c r="J5966" s="450" t="s">
        <v>22939</v>
      </c>
      <c r="K5966" s="450"/>
    </row>
    <row r="5967" spans="1:11">
      <c r="A5967" s="451" t="s">
        <v>9888</v>
      </c>
      <c r="B5967" s="451"/>
      <c r="C5967" s="451" t="s">
        <v>9889</v>
      </c>
      <c r="D5967" s="451"/>
      <c r="E5967" s="451"/>
      <c r="F5967" s="451"/>
      <c r="G5967" s="451" t="s">
        <v>22882</v>
      </c>
      <c r="H5967" s="451" t="s">
        <v>22883</v>
      </c>
      <c r="I5967" s="451"/>
      <c r="J5967" s="451" t="s">
        <v>22939</v>
      </c>
      <c r="K5967" s="451"/>
    </row>
    <row r="5968" spans="1:11">
      <c r="A5968" s="450" t="s">
        <v>21758</v>
      </c>
      <c r="B5968" s="450"/>
      <c r="C5968" s="450" t="s">
        <v>9890</v>
      </c>
      <c r="D5968" s="450"/>
      <c r="E5968" s="450"/>
      <c r="F5968" s="450"/>
      <c r="G5968" s="450" t="s">
        <v>22877</v>
      </c>
      <c r="H5968" s="450" t="s">
        <v>22878</v>
      </c>
      <c r="I5968" s="450" t="s">
        <v>26359</v>
      </c>
      <c r="J5968" s="450" t="s">
        <v>22997</v>
      </c>
      <c r="K5968" s="450"/>
    </row>
    <row r="5969" spans="1:11" ht="15.5">
      <c r="A5969" s="449" t="s">
        <v>31600</v>
      </c>
      <c r="B5969" s="449" t="s">
        <v>31601</v>
      </c>
      <c r="C5969" s="449"/>
      <c r="D5969" s="449"/>
      <c r="E5969" s="449"/>
      <c r="F5969" s="449"/>
      <c r="G5969" s="449"/>
      <c r="H5969" s="449"/>
      <c r="I5969" s="449"/>
      <c r="J5969" s="449"/>
      <c r="K5969" s="449"/>
    </row>
    <row r="5970" spans="1:11">
      <c r="A5970" s="450" t="s">
        <v>26360</v>
      </c>
      <c r="B5970" s="450" t="s">
        <v>26361</v>
      </c>
      <c r="C5970" s="450" t="s">
        <v>26362</v>
      </c>
      <c r="D5970" s="450"/>
      <c r="E5970" s="450"/>
      <c r="F5970" s="450"/>
      <c r="G5970" s="450" t="s">
        <v>22877</v>
      </c>
      <c r="H5970" s="450" t="s">
        <v>22878</v>
      </c>
      <c r="I5970" s="450" t="s">
        <v>26363</v>
      </c>
      <c r="J5970" s="450" t="s">
        <v>26364</v>
      </c>
      <c r="K5970" s="450"/>
    </row>
    <row r="5971" spans="1:11">
      <c r="A5971" s="451" t="s">
        <v>9891</v>
      </c>
      <c r="B5971" s="451"/>
      <c r="C5971" s="451" t="s">
        <v>9892</v>
      </c>
      <c r="D5971" s="451"/>
      <c r="E5971" s="451"/>
      <c r="F5971" s="451"/>
      <c r="G5971" s="451" t="s">
        <v>22877</v>
      </c>
      <c r="H5971" s="451" t="s">
        <v>22878</v>
      </c>
      <c r="I5971" s="451" t="s">
        <v>35944</v>
      </c>
      <c r="J5971" s="451" t="s">
        <v>22997</v>
      </c>
      <c r="K5971" s="451"/>
    </row>
    <row r="5972" spans="1:11">
      <c r="A5972" s="450" t="s">
        <v>9893</v>
      </c>
      <c r="B5972" s="450"/>
      <c r="C5972" s="450" t="s">
        <v>9894</v>
      </c>
      <c r="D5972" s="450"/>
      <c r="E5972" s="450"/>
      <c r="F5972" s="450"/>
      <c r="G5972" s="450" t="s">
        <v>22882</v>
      </c>
      <c r="H5972" s="450" t="s">
        <v>22883</v>
      </c>
      <c r="I5972" s="450" t="s">
        <v>35945</v>
      </c>
      <c r="J5972" s="450" t="s">
        <v>22939</v>
      </c>
      <c r="K5972" s="450"/>
    </row>
    <row r="5973" spans="1:11">
      <c r="A5973" s="451" t="s">
        <v>9895</v>
      </c>
      <c r="B5973" s="451"/>
      <c r="C5973" s="451" t="s">
        <v>9896</v>
      </c>
      <c r="D5973" s="451"/>
      <c r="E5973" s="451"/>
      <c r="F5973" s="451"/>
      <c r="G5973" s="451" t="s">
        <v>22882</v>
      </c>
      <c r="H5973" s="451" t="s">
        <v>22883</v>
      </c>
      <c r="I5973" s="451"/>
      <c r="J5973" s="451" t="s">
        <v>22943</v>
      </c>
      <c r="K5973" s="451"/>
    </row>
    <row r="5974" spans="1:11">
      <c r="A5974" s="450" t="s">
        <v>9897</v>
      </c>
      <c r="B5974" s="450"/>
      <c r="C5974" s="450" t="s">
        <v>4084</v>
      </c>
      <c r="D5974" s="450"/>
      <c r="E5974" s="450"/>
      <c r="F5974" s="450"/>
      <c r="G5974" s="450" t="s">
        <v>22882</v>
      </c>
      <c r="H5974" s="450" t="s">
        <v>22883</v>
      </c>
      <c r="I5974" s="450"/>
      <c r="J5974" s="450" t="s">
        <v>22942</v>
      </c>
      <c r="K5974" s="450"/>
    </row>
    <row r="5975" spans="1:11">
      <c r="A5975" s="451" t="s">
        <v>35946</v>
      </c>
      <c r="B5975" s="451"/>
      <c r="C5975" s="451" t="s">
        <v>4084</v>
      </c>
      <c r="D5975" s="451"/>
      <c r="E5975" s="451"/>
      <c r="F5975" s="451"/>
      <c r="G5975" s="451" t="s">
        <v>22882</v>
      </c>
      <c r="H5975" s="451" t="s">
        <v>22883</v>
      </c>
      <c r="I5975" s="451"/>
      <c r="J5975" s="451" t="s">
        <v>23370</v>
      </c>
      <c r="K5975" s="451"/>
    </row>
    <row r="5976" spans="1:11">
      <c r="A5976" s="450" t="s">
        <v>9898</v>
      </c>
      <c r="B5976" s="450"/>
      <c r="C5976" s="450" t="s">
        <v>3867</v>
      </c>
      <c r="D5976" s="450"/>
      <c r="E5976" s="450"/>
      <c r="F5976" s="450"/>
      <c r="G5976" s="450" t="s">
        <v>22877</v>
      </c>
      <c r="H5976" s="450" t="s">
        <v>22878</v>
      </c>
      <c r="I5976" s="450" t="s">
        <v>35947</v>
      </c>
      <c r="J5976" s="450" t="s">
        <v>22943</v>
      </c>
      <c r="K5976" s="450"/>
    </row>
    <row r="5977" spans="1:11">
      <c r="A5977" s="451" t="s">
        <v>9899</v>
      </c>
      <c r="B5977" s="451"/>
      <c r="C5977" s="451" t="s">
        <v>9900</v>
      </c>
      <c r="D5977" s="451"/>
      <c r="E5977" s="451"/>
      <c r="F5977" s="451"/>
      <c r="G5977" s="451" t="s">
        <v>22877</v>
      </c>
      <c r="H5977" s="451" t="s">
        <v>22878</v>
      </c>
      <c r="I5977" s="451" t="s">
        <v>35948</v>
      </c>
      <c r="J5977" s="451" t="s">
        <v>22942</v>
      </c>
      <c r="K5977" s="451"/>
    </row>
    <row r="5978" spans="1:11">
      <c r="A5978" s="450" t="s">
        <v>35949</v>
      </c>
      <c r="B5978" s="450"/>
      <c r="C5978" s="450" t="s">
        <v>9900</v>
      </c>
      <c r="D5978" s="450"/>
      <c r="E5978" s="450"/>
      <c r="F5978" s="450"/>
      <c r="G5978" s="450" t="s">
        <v>22877</v>
      </c>
      <c r="H5978" s="450" t="s">
        <v>22878</v>
      </c>
      <c r="I5978" s="450" t="s">
        <v>35948</v>
      </c>
      <c r="J5978" s="450" t="s">
        <v>22943</v>
      </c>
      <c r="K5978" s="450"/>
    </row>
    <row r="5979" spans="1:11">
      <c r="A5979" s="451" t="s">
        <v>35950</v>
      </c>
      <c r="B5979" s="451"/>
      <c r="C5979" s="451" t="s">
        <v>4675</v>
      </c>
      <c r="D5979" s="451"/>
      <c r="E5979" s="451"/>
      <c r="F5979" s="451"/>
      <c r="G5979" s="451" t="s">
        <v>22882</v>
      </c>
      <c r="H5979" s="451" t="s">
        <v>22883</v>
      </c>
      <c r="I5979" s="451"/>
      <c r="J5979" s="451" t="s">
        <v>22943</v>
      </c>
      <c r="K5979" s="451"/>
    </row>
    <row r="5980" spans="1:11">
      <c r="A5980" s="450" t="s">
        <v>9901</v>
      </c>
      <c r="B5980" s="450"/>
      <c r="C5980" s="450" t="s">
        <v>4675</v>
      </c>
      <c r="D5980" s="450"/>
      <c r="E5980" s="450"/>
      <c r="F5980" s="450"/>
      <c r="G5980" s="450" t="s">
        <v>32524</v>
      </c>
      <c r="H5980" s="450" t="s">
        <v>22878</v>
      </c>
      <c r="I5980" s="450"/>
      <c r="J5980" s="450"/>
      <c r="K5980" s="450"/>
    </row>
    <row r="5981" spans="1:11">
      <c r="A5981" s="451" t="s">
        <v>9902</v>
      </c>
      <c r="B5981" s="451"/>
      <c r="C5981" s="451" t="s">
        <v>9903</v>
      </c>
      <c r="D5981" s="451"/>
      <c r="E5981" s="451"/>
      <c r="F5981" s="451"/>
      <c r="G5981" s="451" t="s">
        <v>22882</v>
      </c>
      <c r="H5981" s="451" t="s">
        <v>22883</v>
      </c>
      <c r="I5981" s="451" t="s">
        <v>26365</v>
      </c>
      <c r="J5981" s="451" t="s">
        <v>23121</v>
      </c>
      <c r="K5981" s="451"/>
    </row>
    <row r="5982" spans="1:11">
      <c r="A5982" s="450" t="s">
        <v>9904</v>
      </c>
      <c r="B5982" s="450" t="s">
        <v>9905</v>
      </c>
      <c r="C5982" s="450" t="s">
        <v>9906</v>
      </c>
      <c r="D5982" s="450" t="s">
        <v>9907</v>
      </c>
      <c r="E5982" s="450" t="s">
        <v>9908</v>
      </c>
      <c r="F5982" s="450"/>
      <c r="G5982" s="450" t="s">
        <v>22882</v>
      </c>
      <c r="H5982" s="450" t="s">
        <v>22883</v>
      </c>
      <c r="I5982" s="450" t="s">
        <v>9907</v>
      </c>
      <c r="J5982" s="450" t="s">
        <v>26368</v>
      </c>
      <c r="K5982" s="450"/>
    </row>
    <row r="5983" spans="1:11">
      <c r="A5983" s="451" t="s">
        <v>26366</v>
      </c>
      <c r="B5983" s="451" t="s">
        <v>9905</v>
      </c>
      <c r="C5983" s="451" t="s">
        <v>26367</v>
      </c>
      <c r="D5983" s="451" t="s">
        <v>9907</v>
      </c>
      <c r="E5983" s="451"/>
      <c r="F5983" s="451"/>
      <c r="G5983" s="451" t="s">
        <v>22882</v>
      </c>
      <c r="H5983" s="451" t="s">
        <v>22883</v>
      </c>
      <c r="I5983" s="451" t="s">
        <v>9907</v>
      </c>
      <c r="J5983" s="451" t="s">
        <v>26368</v>
      </c>
      <c r="K5983" s="451"/>
    </row>
    <row r="5984" spans="1:11">
      <c r="A5984" s="450" t="s">
        <v>9909</v>
      </c>
      <c r="B5984" s="450" t="s">
        <v>9910</v>
      </c>
      <c r="C5984" s="450" t="s">
        <v>9911</v>
      </c>
      <c r="D5984" s="450" t="s">
        <v>9912</v>
      </c>
      <c r="E5984" s="450"/>
      <c r="F5984" s="450"/>
      <c r="G5984" s="450" t="s">
        <v>22882</v>
      </c>
      <c r="H5984" s="450" t="s">
        <v>22883</v>
      </c>
      <c r="I5984" s="450" t="s">
        <v>26369</v>
      </c>
      <c r="J5984" s="450" t="s">
        <v>35951</v>
      </c>
      <c r="K5984" s="450"/>
    </row>
    <row r="5985" spans="1:11">
      <c r="A5985" s="451" t="s">
        <v>9909</v>
      </c>
      <c r="B5985" s="451" t="s">
        <v>9910</v>
      </c>
      <c r="C5985" s="451" t="s">
        <v>9911</v>
      </c>
      <c r="D5985" s="451" t="s">
        <v>9912</v>
      </c>
      <c r="E5985" s="451" t="s">
        <v>9913</v>
      </c>
      <c r="F5985" s="451"/>
      <c r="G5985" s="451" t="s">
        <v>22882</v>
      </c>
      <c r="H5985" s="451" t="s">
        <v>22883</v>
      </c>
      <c r="I5985" s="451" t="s">
        <v>26369</v>
      </c>
      <c r="J5985" s="451" t="s">
        <v>31602</v>
      </c>
      <c r="K5985" s="451"/>
    </row>
    <row r="5986" spans="1:11">
      <c r="A5986" s="450" t="s">
        <v>9914</v>
      </c>
      <c r="B5986" s="450" t="s">
        <v>9915</v>
      </c>
      <c r="C5986" s="450" t="s">
        <v>5157</v>
      </c>
      <c r="D5986" s="450" t="s">
        <v>9916</v>
      </c>
      <c r="E5986" s="450"/>
      <c r="F5986" s="450"/>
      <c r="G5986" s="450" t="s">
        <v>22882</v>
      </c>
      <c r="H5986" s="450" t="s">
        <v>22883</v>
      </c>
      <c r="I5986" s="450" t="s">
        <v>26370</v>
      </c>
      <c r="J5986" s="450" t="s">
        <v>35952</v>
      </c>
      <c r="K5986" s="450"/>
    </row>
    <row r="5987" spans="1:11">
      <c r="A5987" s="451" t="s">
        <v>9914</v>
      </c>
      <c r="B5987" s="451" t="s">
        <v>9915</v>
      </c>
      <c r="C5987" s="451" t="s">
        <v>5157</v>
      </c>
      <c r="D5987" s="451" t="s">
        <v>9916</v>
      </c>
      <c r="E5987" s="451" t="s">
        <v>9917</v>
      </c>
      <c r="F5987" s="451"/>
      <c r="G5987" s="451" t="s">
        <v>22877</v>
      </c>
      <c r="H5987" s="451" t="s">
        <v>22878</v>
      </c>
      <c r="I5987" s="451" t="s">
        <v>26370</v>
      </c>
      <c r="J5987" s="451" t="s">
        <v>31603</v>
      </c>
      <c r="K5987" s="451"/>
    </row>
    <row r="5988" spans="1:11">
      <c r="A5988" s="450" t="s">
        <v>9918</v>
      </c>
      <c r="B5988" s="450"/>
      <c r="C5988" s="450" t="s">
        <v>9919</v>
      </c>
      <c r="D5988" s="450"/>
      <c r="E5988" s="450"/>
      <c r="F5988" s="450"/>
      <c r="G5988" s="450" t="s">
        <v>22882</v>
      </c>
      <c r="H5988" s="450" t="s">
        <v>22883</v>
      </c>
      <c r="I5988" s="450" t="s">
        <v>35953</v>
      </c>
      <c r="J5988" s="450" t="s">
        <v>23133</v>
      </c>
      <c r="K5988" s="450"/>
    </row>
    <row r="5989" spans="1:11">
      <c r="A5989" s="451" t="s">
        <v>9920</v>
      </c>
      <c r="B5989" s="451"/>
      <c r="C5989" s="451" t="s">
        <v>9921</v>
      </c>
      <c r="D5989" s="451"/>
      <c r="E5989" s="451"/>
      <c r="F5989" s="451"/>
      <c r="G5989" s="451" t="s">
        <v>22882</v>
      </c>
      <c r="H5989" s="451" t="s">
        <v>22883</v>
      </c>
      <c r="I5989" s="451" t="s">
        <v>26372</v>
      </c>
      <c r="J5989" s="451" t="s">
        <v>22937</v>
      </c>
      <c r="K5989" s="451"/>
    </row>
    <row r="5990" spans="1:11">
      <c r="A5990" s="450" t="s">
        <v>26371</v>
      </c>
      <c r="B5990" s="450"/>
      <c r="C5990" s="450" t="s">
        <v>9921</v>
      </c>
      <c r="D5990" s="450"/>
      <c r="E5990" s="450"/>
      <c r="F5990" s="450"/>
      <c r="G5990" s="450" t="s">
        <v>22882</v>
      </c>
      <c r="H5990" s="450" t="s">
        <v>22883</v>
      </c>
      <c r="I5990" s="450" t="s">
        <v>26372</v>
      </c>
      <c r="J5990" s="450" t="s">
        <v>23370</v>
      </c>
      <c r="K5990" s="450"/>
    </row>
    <row r="5991" spans="1:11">
      <c r="A5991" s="451" t="s">
        <v>35954</v>
      </c>
      <c r="B5991" s="451" t="s">
        <v>9923</v>
      </c>
      <c r="C5991" s="451" t="s">
        <v>9635</v>
      </c>
      <c r="D5991" s="451" t="s">
        <v>9924</v>
      </c>
      <c r="E5991" s="451"/>
      <c r="F5991" s="451"/>
      <c r="G5991" s="451" t="s">
        <v>22877</v>
      </c>
      <c r="H5991" s="451" t="s">
        <v>22878</v>
      </c>
      <c r="I5991" s="451" t="s">
        <v>9924</v>
      </c>
      <c r="J5991" s="451" t="s">
        <v>35955</v>
      </c>
      <c r="K5991" s="451"/>
    </row>
    <row r="5992" spans="1:11">
      <c r="A5992" s="450" t="s">
        <v>9922</v>
      </c>
      <c r="B5992" s="450" t="s">
        <v>9923</v>
      </c>
      <c r="C5992" s="450" t="s">
        <v>9635</v>
      </c>
      <c r="D5992" s="450" t="s">
        <v>9924</v>
      </c>
      <c r="E5992" s="450" t="s">
        <v>9925</v>
      </c>
      <c r="F5992" s="450"/>
      <c r="G5992" s="450" t="s">
        <v>22877</v>
      </c>
      <c r="H5992" s="450" t="s">
        <v>22878</v>
      </c>
      <c r="I5992" s="450" t="s">
        <v>9924</v>
      </c>
      <c r="J5992" s="450" t="s">
        <v>31604</v>
      </c>
      <c r="K5992" s="450"/>
    </row>
    <row r="5993" spans="1:11">
      <c r="A5993" s="451" t="s">
        <v>26373</v>
      </c>
      <c r="B5993" s="451" t="s">
        <v>26374</v>
      </c>
      <c r="C5993" s="451" t="s">
        <v>20247</v>
      </c>
      <c r="D5993" s="451" t="s">
        <v>26375</v>
      </c>
      <c r="E5993" s="451"/>
      <c r="F5993" s="451"/>
      <c r="G5993" s="451" t="s">
        <v>22877</v>
      </c>
      <c r="H5993" s="451" t="s">
        <v>22878</v>
      </c>
      <c r="I5993" s="451" t="s">
        <v>26375</v>
      </c>
      <c r="J5993" s="451" t="s">
        <v>26376</v>
      </c>
      <c r="K5993" s="451"/>
    </row>
    <row r="5994" spans="1:11">
      <c r="A5994" s="450" t="s">
        <v>26377</v>
      </c>
      <c r="B5994" s="450" t="s">
        <v>26378</v>
      </c>
      <c r="C5994" s="450" t="s">
        <v>26379</v>
      </c>
      <c r="D5994" s="450"/>
      <c r="E5994" s="450"/>
      <c r="F5994" s="450"/>
      <c r="G5994" s="450" t="s">
        <v>22877</v>
      </c>
      <c r="H5994" s="450" t="s">
        <v>22878</v>
      </c>
      <c r="I5994" s="450" t="s">
        <v>26380</v>
      </c>
      <c r="J5994" s="450" t="s">
        <v>26381</v>
      </c>
      <c r="K5994" s="450"/>
    </row>
    <row r="5995" spans="1:11">
      <c r="A5995" s="451" t="s">
        <v>9926</v>
      </c>
      <c r="B5995" s="451"/>
      <c r="C5995" s="451" t="s">
        <v>4698</v>
      </c>
      <c r="D5995" s="451"/>
      <c r="E5995" s="451"/>
      <c r="F5995" s="451"/>
      <c r="G5995" s="451" t="s">
        <v>22877</v>
      </c>
      <c r="H5995" s="451" t="s">
        <v>22878</v>
      </c>
      <c r="I5995" s="451" t="s">
        <v>35956</v>
      </c>
      <c r="J5995" s="451" t="s">
        <v>22943</v>
      </c>
      <c r="K5995" s="451"/>
    </row>
    <row r="5996" spans="1:11">
      <c r="A5996" s="450" t="s">
        <v>9927</v>
      </c>
      <c r="B5996" s="450"/>
      <c r="C5996" s="450" t="s">
        <v>1031</v>
      </c>
      <c r="D5996" s="450"/>
      <c r="E5996" s="450"/>
      <c r="F5996" s="450"/>
      <c r="G5996" s="450" t="s">
        <v>22877</v>
      </c>
      <c r="H5996" s="450" t="s">
        <v>22878</v>
      </c>
      <c r="I5996" s="450" t="s">
        <v>35957</v>
      </c>
      <c r="J5996" s="450" t="s">
        <v>22937</v>
      </c>
      <c r="K5996" s="450"/>
    </row>
    <row r="5997" spans="1:11">
      <c r="A5997" s="451" t="s">
        <v>35958</v>
      </c>
      <c r="B5997" s="451"/>
      <c r="C5997" s="451" t="s">
        <v>1031</v>
      </c>
      <c r="D5997" s="451"/>
      <c r="E5997" s="451"/>
      <c r="F5997" s="451"/>
      <c r="G5997" s="451" t="s">
        <v>22877</v>
      </c>
      <c r="H5997" s="451" t="s">
        <v>22878</v>
      </c>
      <c r="I5997" s="451" t="s">
        <v>35959</v>
      </c>
      <c r="J5997" s="451" t="s">
        <v>22943</v>
      </c>
      <c r="K5997" s="451"/>
    </row>
    <row r="5998" spans="1:11">
      <c r="A5998" s="450" t="s">
        <v>35960</v>
      </c>
      <c r="B5998" s="450"/>
      <c r="C5998" s="450" t="s">
        <v>9929</v>
      </c>
      <c r="D5998" s="450"/>
      <c r="E5998" s="450"/>
      <c r="F5998" s="450"/>
      <c r="G5998" s="450" t="s">
        <v>22877</v>
      </c>
      <c r="H5998" s="450" t="s">
        <v>22878</v>
      </c>
      <c r="I5998" s="450" t="s">
        <v>35961</v>
      </c>
      <c r="J5998" s="450" t="s">
        <v>22943</v>
      </c>
      <c r="K5998" s="450"/>
    </row>
    <row r="5999" spans="1:11">
      <c r="A5999" s="451" t="s">
        <v>9928</v>
      </c>
      <c r="B5999" s="451"/>
      <c r="C5999" s="451" t="s">
        <v>9929</v>
      </c>
      <c r="D5999" s="451"/>
      <c r="E5999" s="451"/>
      <c r="F5999" s="451"/>
      <c r="G5999" s="451" t="s">
        <v>22877</v>
      </c>
      <c r="H5999" s="451" t="s">
        <v>22878</v>
      </c>
      <c r="I5999" s="451" t="s">
        <v>35961</v>
      </c>
      <c r="J5999" s="451" t="s">
        <v>22937</v>
      </c>
      <c r="K5999" s="451"/>
    </row>
    <row r="6000" spans="1:11">
      <c r="A6000" s="450" t="s">
        <v>9930</v>
      </c>
      <c r="B6000" s="450"/>
      <c r="C6000" s="450" t="s">
        <v>9931</v>
      </c>
      <c r="D6000" s="450"/>
      <c r="E6000" s="450"/>
      <c r="F6000" s="450"/>
      <c r="G6000" s="450" t="s">
        <v>22877</v>
      </c>
      <c r="H6000" s="450" t="s">
        <v>22878</v>
      </c>
      <c r="I6000" s="450" t="s">
        <v>26304</v>
      </c>
      <c r="J6000" s="450" t="s">
        <v>23121</v>
      </c>
      <c r="K6000" s="450"/>
    </row>
    <row r="6001" spans="1:11">
      <c r="A6001" s="451" t="s">
        <v>9932</v>
      </c>
      <c r="B6001" s="451"/>
      <c r="C6001" s="451" t="s">
        <v>9933</v>
      </c>
      <c r="D6001" s="451"/>
      <c r="E6001" s="451"/>
      <c r="F6001" s="451"/>
      <c r="G6001" s="451" t="s">
        <v>22882</v>
      </c>
      <c r="H6001" s="451" t="s">
        <v>22883</v>
      </c>
      <c r="I6001" s="451" t="s">
        <v>26382</v>
      </c>
      <c r="J6001" s="451" t="s">
        <v>22943</v>
      </c>
      <c r="K6001" s="451"/>
    </row>
    <row r="6002" spans="1:11">
      <c r="A6002" s="450" t="s">
        <v>26383</v>
      </c>
      <c r="B6002" s="450" t="s">
        <v>9935</v>
      </c>
      <c r="C6002" s="450" t="s">
        <v>9936</v>
      </c>
      <c r="D6002" s="450" t="s">
        <v>9937</v>
      </c>
      <c r="E6002" s="450"/>
      <c r="F6002" s="450"/>
      <c r="G6002" s="450" t="s">
        <v>22877</v>
      </c>
      <c r="H6002" s="450" t="s">
        <v>22878</v>
      </c>
      <c r="I6002" s="450" t="s">
        <v>9937</v>
      </c>
      <c r="J6002" s="450" t="s">
        <v>26384</v>
      </c>
      <c r="K6002" s="450"/>
    </row>
    <row r="6003" spans="1:11">
      <c r="A6003" s="451" t="s">
        <v>26385</v>
      </c>
      <c r="B6003" s="451"/>
      <c r="C6003" s="451" t="s">
        <v>9939</v>
      </c>
      <c r="D6003" s="451"/>
      <c r="E6003" s="451"/>
      <c r="F6003" s="451"/>
      <c r="G6003" s="451" t="s">
        <v>22877</v>
      </c>
      <c r="H6003" s="451" t="s">
        <v>22878</v>
      </c>
      <c r="I6003" s="451"/>
      <c r="J6003" s="451" t="s">
        <v>22943</v>
      </c>
      <c r="K6003" s="451"/>
    </row>
    <row r="6004" spans="1:11">
      <c r="A6004" s="450" t="s">
        <v>9934</v>
      </c>
      <c r="B6004" s="450" t="s">
        <v>9935</v>
      </c>
      <c r="C6004" s="450" t="s">
        <v>9936</v>
      </c>
      <c r="D6004" s="450" t="s">
        <v>9937</v>
      </c>
      <c r="E6004" s="450"/>
      <c r="F6004" s="450"/>
      <c r="G6004" s="450" t="s">
        <v>22877</v>
      </c>
      <c r="H6004" s="450" t="s">
        <v>22878</v>
      </c>
      <c r="I6004" s="450" t="s">
        <v>9937</v>
      </c>
      <c r="J6004" s="450" t="s">
        <v>26384</v>
      </c>
      <c r="K6004" s="450"/>
    </row>
    <row r="6005" spans="1:11">
      <c r="A6005" s="451" t="s">
        <v>9938</v>
      </c>
      <c r="B6005" s="451"/>
      <c r="C6005" s="451" t="s">
        <v>9939</v>
      </c>
      <c r="D6005" s="451"/>
      <c r="E6005" s="451"/>
      <c r="F6005" s="451"/>
      <c r="G6005" s="451" t="s">
        <v>22877</v>
      </c>
      <c r="H6005" s="451" t="s">
        <v>22878</v>
      </c>
      <c r="I6005" s="451" t="s">
        <v>35962</v>
      </c>
      <c r="J6005" s="451" t="s">
        <v>22997</v>
      </c>
      <c r="K6005" s="451"/>
    </row>
    <row r="6006" spans="1:11">
      <c r="A6006" s="450" t="s">
        <v>9940</v>
      </c>
      <c r="B6006" s="450"/>
      <c r="C6006" s="450" t="s">
        <v>9941</v>
      </c>
      <c r="D6006" s="450"/>
      <c r="E6006" s="450"/>
      <c r="F6006" s="450"/>
      <c r="G6006" s="450" t="s">
        <v>22882</v>
      </c>
      <c r="H6006" s="450" t="s">
        <v>22883</v>
      </c>
      <c r="I6006" s="450" t="s">
        <v>35963</v>
      </c>
      <c r="J6006" s="450" t="s">
        <v>22939</v>
      </c>
      <c r="K6006" s="450"/>
    </row>
    <row r="6007" spans="1:11">
      <c r="A6007" s="451" t="s">
        <v>9942</v>
      </c>
      <c r="B6007" s="451"/>
      <c r="C6007" s="451" t="s">
        <v>9943</v>
      </c>
      <c r="D6007" s="451"/>
      <c r="E6007" s="451"/>
      <c r="F6007" s="451"/>
      <c r="G6007" s="451" t="s">
        <v>22877</v>
      </c>
      <c r="H6007" s="451" t="s">
        <v>22878</v>
      </c>
      <c r="I6007" s="451" t="s">
        <v>35964</v>
      </c>
      <c r="J6007" s="451" t="s">
        <v>22939</v>
      </c>
      <c r="K6007" s="451"/>
    </row>
    <row r="6008" spans="1:11">
      <c r="A6008" s="450" t="s">
        <v>35965</v>
      </c>
      <c r="B6008" s="450"/>
      <c r="C6008" s="450" t="s">
        <v>5085</v>
      </c>
      <c r="D6008" s="450"/>
      <c r="E6008" s="450"/>
      <c r="F6008" s="450"/>
      <c r="G6008" s="450" t="s">
        <v>22882</v>
      </c>
      <c r="H6008" s="450" t="s">
        <v>22883</v>
      </c>
      <c r="I6008" s="450" t="s">
        <v>35966</v>
      </c>
      <c r="J6008" s="450" t="s">
        <v>23370</v>
      </c>
      <c r="K6008" s="450"/>
    </row>
    <row r="6009" spans="1:11">
      <c r="A6009" s="451" t="s">
        <v>9944</v>
      </c>
      <c r="B6009" s="451"/>
      <c r="C6009" s="451" t="s">
        <v>5085</v>
      </c>
      <c r="D6009" s="451"/>
      <c r="E6009" s="451"/>
      <c r="F6009" s="451"/>
      <c r="G6009" s="451" t="s">
        <v>22882</v>
      </c>
      <c r="H6009" s="451" t="s">
        <v>22883</v>
      </c>
      <c r="I6009" s="451"/>
      <c r="J6009" s="451" t="s">
        <v>22937</v>
      </c>
      <c r="K6009" s="451"/>
    </row>
    <row r="6010" spans="1:11">
      <c r="A6010" s="450" t="s">
        <v>35967</v>
      </c>
      <c r="B6010" s="450"/>
      <c r="C6010" s="450" t="s">
        <v>9946</v>
      </c>
      <c r="D6010" s="450"/>
      <c r="E6010" s="450"/>
      <c r="F6010" s="450"/>
      <c r="G6010" s="450" t="s">
        <v>22877</v>
      </c>
      <c r="H6010" s="450" t="s">
        <v>22878</v>
      </c>
      <c r="I6010" s="450" t="s">
        <v>35968</v>
      </c>
      <c r="J6010" s="450" t="s">
        <v>22939</v>
      </c>
      <c r="K6010" s="450"/>
    </row>
    <row r="6011" spans="1:11">
      <c r="A6011" s="451" t="s">
        <v>9945</v>
      </c>
      <c r="B6011" s="451"/>
      <c r="C6011" s="451" t="s">
        <v>9946</v>
      </c>
      <c r="D6011" s="451"/>
      <c r="E6011" s="451"/>
      <c r="F6011" s="451"/>
      <c r="G6011" s="451" t="s">
        <v>22877</v>
      </c>
      <c r="H6011" s="451" t="s">
        <v>22878</v>
      </c>
      <c r="I6011" s="451" t="s">
        <v>35968</v>
      </c>
      <c r="J6011" s="451" t="s">
        <v>22939</v>
      </c>
      <c r="K6011" s="451"/>
    </row>
    <row r="6012" spans="1:11">
      <c r="A6012" s="450" t="s">
        <v>35969</v>
      </c>
      <c r="B6012" s="450"/>
      <c r="C6012" s="450" t="s">
        <v>9503</v>
      </c>
      <c r="D6012" s="450"/>
      <c r="E6012" s="450"/>
      <c r="F6012" s="450"/>
      <c r="G6012" s="450" t="s">
        <v>22877</v>
      </c>
      <c r="H6012" s="450" t="s">
        <v>22878</v>
      </c>
      <c r="I6012" s="450" t="s">
        <v>35970</v>
      </c>
      <c r="J6012" s="450" t="s">
        <v>22939</v>
      </c>
      <c r="K6012" s="450"/>
    </row>
    <row r="6013" spans="1:11">
      <c r="A6013" s="451" t="s">
        <v>9947</v>
      </c>
      <c r="B6013" s="451"/>
      <c r="C6013" s="451" t="s">
        <v>9503</v>
      </c>
      <c r="D6013" s="451"/>
      <c r="E6013" s="451"/>
      <c r="F6013" s="451"/>
      <c r="G6013" s="451" t="s">
        <v>22877</v>
      </c>
      <c r="H6013" s="451" t="s">
        <v>22878</v>
      </c>
      <c r="I6013" s="451" t="s">
        <v>31605</v>
      </c>
      <c r="J6013" s="451" t="s">
        <v>22939</v>
      </c>
      <c r="K6013" s="451"/>
    </row>
    <row r="6014" spans="1:11">
      <c r="A6014" s="450" t="s">
        <v>26386</v>
      </c>
      <c r="B6014" s="450" t="s">
        <v>26387</v>
      </c>
      <c r="C6014" s="450" t="s">
        <v>26388</v>
      </c>
      <c r="D6014" s="450" t="s">
        <v>26389</v>
      </c>
      <c r="E6014" s="450"/>
      <c r="F6014" s="450"/>
      <c r="G6014" s="450" t="s">
        <v>22877</v>
      </c>
      <c r="H6014" s="450" t="s">
        <v>22878</v>
      </c>
      <c r="I6014" s="450"/>
      <c r="J6014" s="450" t="s">
        <v>26390</v>
      </c>
      <c r="K6014" s="450"/>
    </row>
    <row r="6015" spans="1:11">
      <c r="A6015" s="451" t="s">
        <v>35971</v>
      </c>
      <c r="B6015" s="451"/>
      <c r="C6015" s="451" t="s">
        <v>9949</v>
      </c>
      <c r="D6015" s="451"/>
      <c r="E6015" s="451"/>
      <c r="F6015" s="451"/>
      <c r="G6015" s="451" t="s">
        <v>22882</v>
      </c>
      <c r="H6015" s="451" t="s">
        <v>22883</v>
      </c>
      <c r="I6015" s="451" t="s">
        <v>26391</v>
      </c>
      <c r="J6015" s="451" t="s">
        <v>22943</v>
      </c>
      <c r="K6015" s="451"/>
    </row>
    <row r="6016" spans="1:11">
      <c r="A6016" s="450" t="s">
        <v>9948</v>
      </c>
      <c r="B6016" s="450"/>
      <c r="C6016" s="450" t="s">
        <v>9949</v>
      </c>
      <c r="D6016" s="450"/>
      <c r="E6016" s="450"/>
      <c r="F6016" s="450"/>
      <c r="G6016" s="450" t="s">
        <v>22882</v>
      </c>
      <c r="H6016" s="450" t="s">
        <v>22883</v>
      </c>
      <c r="I6016" s="450" t="s">
        <v>26391</v>
      </c>
      <c r="J6016" s="450" t="s">
        <v>22942</v>
      </c>
      <c r="K6016" s="450"/>
    </row>
    <row r="6017" spans="1:11">
      <c r="A6017" s="451" t="s">
        <v>26392</v>
      </c>
      <c r="B6017" s="451" t="s">
        <v>9951</v>
      </c>
      <c r="C6017" s="451" t="s">
        <v>9952</v>
      </c>
      <c r="D6017" s="451"/>
      <c r="E6017" s="451"/>
      <c r="F6017" s="451"/>
      <c r="G6017" s="451" t="s">
        <v>22882</v>
      </c>
      <c r="H6017" s="451" t="s">
        <v>22883</v>
      </c>
      <c r="I6017" s="451" t="s">
        <v>26393</v>
      </c>
      <c r="J6017" s="451" t="s">
        <v>26394</v>
      </c>
      <c r="K6017" s="451"/>
    </row>
    <row r="6018" spans="1:11">
      <c r="A6018" s="450" t="s">
        <v>26395</v>
      </c>
      <c r="B6018" s="450" t="s">
        <v>26396</v>
      </c>
      <c r="C6018" s="450" t="s">
        <v>26397</v>
      </c>
      <c r="D6018" s="450"/>
      <c r="E6018" s="450"/>
      <c r="F6018" s="450"/>
      <c r="G6018" s="450" t="s">
        <v>22877</v>
      </c>
      <c r="H6018" s="450" t="s">
        <v>22878</v>
      </c>
      <c r="I6018" s="450" t="s">
        <v>26398</v>
      </c>
      <c r="J6018" s="450" t="s">
        <v>26399</v>
      </c>
      <c r="K6018" s="450"/>
    </row>
    <row r="6019" spans="1:11">
      <c r="A6019" s="451" t="s">
        <v>9950</v>
      </c>
      <c r="B6019" s="451" t="s">
        <v>9951</v>
      </c>
      <c r="C6019" s="451" t="s">
        <v>9952</v>
      </c>
      <c r="D6019" s="451"/>
      <c r="E6019" s="451"/>
      <c r="F6019" s="451"/>
      <c r="G6019" s="451" t="s">
        <v>22882</v>
      </c>
      <c r="H6019" s="451" t="s">
        <v>22883</v>
      </c>
      <c r="I6019" s="451" t="s">
        <v>26393</v>
      </c>
      <c r="J6019" s="451" t="s">
        <v>31606</v>
      </c>
      <c r="K6019" s="451"/>
    </row>
    <row r="6020" spans="1:11">
      <c r="A6020" s="450" t="s">
        <v>35972</v>
      </c>
      <c r="B6020" s="450" t="s">
        <v>9954</v>
      </c>
      <c r="C6020" s="450" t="s">
        <v>4618</v>
      </c>
      <c r="D6020" s="450" t="s">
        <v>9955</v>
      </c>
      <c r="E6020" s="450"/>
      <c r="F6020" s="450"/>
      <c r="G6020" s="450" t="s">
        <v>22877</v>
      </c>
      <c r="H6020" s="450" t="s">
        <v>22878</v>
      </c>
      <c r="I6020" s="450" t="s">
        <v>9955</v>
      </c>
      <c r="J6020" s="450" t="s">
        <v>35973</v>
      </c>
      <c r="K6020" s="450"/>
    </row>
    <row r="6021" spans="1:11">
      <c r="A6021" s="451" t="s">
        <v>9953</v>
      </c>
      <c r="B6021" s="451" t="s">
        <v>9954</v>
      </c>
      <c r="C6021" s="451" t="s">
        <v>4618</v>
      </c>
      <c r="D6021" s="451" t="s">
        <v>9955</v>
      </c>
      <c r="E6021" s="451" t="s">
        <v>9956</v>
      </c>
      <c r="F6021" s="451"/>
      <c r="G6021" s="451" t="s">
        <v>22877</v>
      </c>
      <c r="H6021" s="451" t="s">
        <v>22878</v>
      </c>
      <c r="I6021" s="451" t="s">
        <v>31607</v>
      </c>
      <c r="J6021" s="451" t="s">
        <v>31608</v>
      </c>
      <c r="K6021" s="451"/>
    </row>
    <row r="6022" spans="1:11">
      <c r="A6022" s="450" t="s">
        <v>9957</v>
      </c>
      <c r="B6022" s="450"/>
      <c r="C6022" s="450" t="s">
        <v>9958</v>
      </c>
      <c r="D6022" s="450"/>
      <c r="E6022" s="450"/>
      <c r="F6022" s="450"/>
      <c r="G6022" s="450" t="s">
        <v>22877</v>
      </c>
      <c r="H6022" s="450" t="s">
        <v>22878</v>
      </c>
      <c r="I6022" s="450" t="s">
        <v>35974</v>
      </c>
      <c r="J6022" s="450" t="s">
        <v>22939</v>
      </c>
      <c r="K6022" s="450"/>
    </row>
    <row r="6023" spans="1:11">
      <c r="A6023" s="451" t="s">
        <v>35975</v>
      </c>
      <c r="B6023" s="451"/>
      <c r="C6023" s="451" t="s">
        <v>9958</v>
      </c>
      <c r="D6023" s="451"/>
      <c r="E6023" s="451"/>
      <c r="F6023" s="451"/>
      <c r="G6023" s="451" t="s">
        <v>22882</v>
      </c>
      <c r="H6023" s="451" t="s">
        <v>22883</v>
      </c>
      <c r="I6023" s="451"/>
      <c r="J6023" s="451" t="s">
        <v>22939</v>
      </c>
      <c r="K6023" s="451"/>
    </row>
    <row r="6024" spans="1:11">
      <c r="A6024" s="450" t="s">
        <v>9959</v>
      </c>
      <c r="B6024" s="450"/>
      <c r="C6024" s="450" t="s">
        <v>3621</v>
      </c>
      <c r="D6024" s="450"/>
      <c r="E6024" s="450"/>
      <c r="F6024" s="450"/>
      <c r="G6024" s="450" t="s">
        <v>22877</v>
      </c>
      <c r="H6024" s="450" t="s">
        <v>22878</v>
      </c>
      <c r="I6024" s="450" t="s">
        <v>35976</v>
      </c>
      <c r="J6024" s="450" t="s">
        <v>23370</v>
      </c>
      <c r="K6024" s="450"/>
    </row>
    <row r="6025" spans="1:11">
      <c r="A6025" s="451" t="s">
        <v>35977</v>
      </c>
      <c r="B6025" s="451"/>
      <c r="C6025" s="451" t="s">
        <v>4651</v>
      </c>
      <c r="D6025" s="451"/>
      <c r="E6025" s="451"/>
      <c r="F6025" s="451"/>
      <c r="G6025" s="451" t="s">
        <v>22877</v>
      </c>
      <c r="H6025" s="451" t="s">
        <v>22878</v>
      </c>
      <c r="I6025" s="451" t="s">
        <v>26400</v>
      </c>
      <c r="J6025" s="451" t="s">
        <v>22943</v>
      </c>
      <c r="K6025" s="451"/>
    </row>
    <row r="6026" spans="1:11">
      <c r="A6026" s="450" t="s">
        <v>21759</v>
      </c>
      <c r="B6026" s="450"/>
      <c r="C6026" s="450" t="s">
        <v>4651</v>
      </c>
      <c r="D6026" s="450"/>
      <c r="E6026" s="450"/>
      <c r="F6026" s="450"/>
      <c r="G6026" s="450" t="s">
        <v>22877</v>
      </c>
      <c r="H6026" s="450" t="s">
        <v>22878</v>
      </c>
      <c r="I6026" s="450" t="s">
        <v>26400</v>
      </c>
      <c r="J6026" s="450" t="s">
        <v>22942</v>
      </c>
      <c r="K6026" s="450"/>
    </row>
    <row r="6027" spans="1:11">
      <c r="A6027" s="451" t="s">
        <v>9960</v>
      </c>
      <c r="B6027" s="451"/>
      <c r="C6027" s="451" t="s">
        <v>9961</v>
      </c>
      <c r="D6027" s="451"/>
      <c r="E6027" s="451"/>
      <c r="F6027" s="451"/>
      <c r="G6027" s="451" t="s">
        <v>22877</v>
      </c>
      <c r="H6027" s="451" t="s">
        <v>22878</v>
      </c>
      <c r="I6027" s="451"/>
      <c r="J6027" s="451" t="s">
        <v>22943</v>
      </c>
      <c r="K6027" s="451"/>
    </row>
    <row r="6028" spans="1:11">
      <c r="A6028" s="450" t="s">
        <v>30023</v>
      </c>
      <c r="B6028" s="450" t="s">
        <v>30024</v>
      </c>
      <c r="C6028" s="450" t="s">
        <v>30025</v>
      </c>
      <c r="D6028" s="450"/>
      <c r="E6028" s="450"/>
      <c r="F6028" s="450"/>
      <c r="G6028" s="450"/>
      <c r="H6028" s="450"/>
      <c r="I6028" s="450"/>
      <c r="J6028" s="450"/>
      <c r="K6028" s="450"/>
    </row>
    <row r="6029" spans="1:11">
      <c r="A6029" s="451" t="s">
        <v>26401</v>
      </c>
      <c r="B6029" s="451" t="s">
        <v>26402</v>
      </c>
      <c r="C6029" s="451" t="s">
        <v>26403</v>
      </c>
      <c r="D6029" s="451"/>
      <c r="E6029" s="451"/>
      <c r="F6029" s="451"/>
      <c r="G6029" s="451" t="s">
        <v>22877</v>
      </c>
      <c r="H6029" s="451" t="s">
        <v>22878</v>
      </c>
      <c r="I6029" s="451" t="s">
        <v>26404</v>
      </c>
      <c r="J6029" s="451" t="s">
        <v>26405</v>
      </c>
      <c r="K6029" s="451"/>
    </row>
    <row r="6030" spans="1:11">
      <c r="A6030" s="450" t="s">
        <v>9962</v>
      </c>
      <c r="B6030" s="450"/>
      <c r="C6030" s="450" t="s">
        <v>3099</v>
      </c>
      <c r="D6030" s="450"/>
      <c r="E6030" s="450"/>
      <c r="F6030" s="450"/>
      <c r="G6030" s="450" t="s">
        <v>22877</v>
      </c>
      <c r="H6030" s="450" t="s">
        <v>22878</v>
      </c>
      <c r="I6030" s="450" t="s">
        <v>26406</v>
      </c>
      <c r="J6030" s="450" t="s">
        <v>23133</v>
      </c>
      <c r="K6030" s="450"/>
    </row>
    <row r="6031" spans="1:11">
      <c r="A6031" s="451" t="s">
        <v>9963</v>
      </c>
      <c r="B6031" s="451" t="s">
        <v>9964</v>
      </c>
      <c r="C6031" s="451" t="s">
        <v>2431</v>
      </c>
      <c r="D6031" s="451" t="s">
        <v>9965</v>
      </c>
      <c r="E6031" s="451"/>
      <c r="F6031" s="451"/>
      <c r="G6031" s="451" t="s">
        <v>22877</v>
      </c>
      <c r="H6031" s="451" t="s">
        <v>22878</v>
      </c>
      <c r="I6031" s="451" t="s">
        <v>35978</v>
      </c>
      <c r="J6031" s="451" t="s">
        <v>35979</v>
      </c>
      <c r="K6031" s="451"/>
    </row>
    <row r="6032" spans="1:11">
      <c r="A6032" s="450" t="s">
        <v>9963</v>
      </c>
      <c r="B6032" s="450" t="s">
        <v>9964</v>
      </c>
      <c r="C6032" s="450" t="s">
        <v>2431</v>
      </c>
      <c r="D6032" s="450" t="s">
        <v>9965</v>
      </c>
      <c r="E6032" s="450" t="s">
        <v>9966</v>
      </c>
      <c r="F6032" s="450"/>
      <c r="G6032" s="450" t="s">
        <v>22877</v>
      </c>
      <c r="H6032" s="450" t="s">
        <v>22878</v>
      </c>
      <c r="I6032" s="450" t="s">
        <v>9965</v>
      </c>
      <c r="J6032" s="450" t="s">
        <v>31609</v>
      </c>
      <c r="K6032" s="450"/>
    </row>
    <row r="6033" spans="1:11">
      <c r="A6033" s="451" t="s">
        <v>21760</v>
      </c>
      <c r="B6033" s="451"/>
      <c r="C6033" s="451" t="s">
        <v>4529</v>
      </c>
      <c r="D6033" s="451"/>
      <c r="E6033" s="451"/>
      <c r="F6033" s="451"/>
      <c r="G6033" s="451" t="s">
        <v>22877</v>
      </c>
      <c r="H6033" s="451" t="s">
        <v>22878</v>
      </c>
      <c r="I6033" s="451" t="s">
        <v>35980</v>
      </c>
      <c r="J6033" s="451" t="s">
        <v>23133</v>
      </c>
      <c r="K6033" s="451"/>
    </row>
    <row r="6034" spans="1:11">
      <c r="A6034" s="450" t="s">
        <v>9967</v>
      </c>
      <c r="B6034" s="450"/>
      <c r="C6034" s="450" t="s">
        <v>4691</v>
      </c>
      <c r="D6034" s="450"/>
      <c r="E6034" s="450"/>
      <c r="F6034" s="450"/>
      <c r="G6034" s="450" t="s">
        <v>22882</v>
      </c>
      <c r="H6034" s="450" t="s">
        <v>22883</v>
      </c>
      <c r="I6034" s="450"/>
      <c r="J6034" s="450" t="s">
        <v>22939</v>
      </c>
      <c r="K6034" s="450"/>
    </row>
    <row r="6035" spans="1:11">
      <c r="A6035" s="451" t="s">
        <v>9968</v>
      </c>
      <c r="B6035" s="451"/>
      <c r="C6035" s="451" t="s">
        <v>9969</v>
      </c>
      <c r="D6035" s="451"/>
      <c r="E6035" s="451"/>
      <c r="F6035" s="451"/>
      <c r="G6035" s="451" t="s">
        <v>22877</v>
      </c>
      <c r="H6035" s="451" t="s">
        <v>22878</v>
      </c>
      <c r="I6035" s="451" t="s">
        <v>26407</v>
      </c>
      <c r="J6035" s="451" t="s">
        <v>23185</v>
      </c>
      <c r="K6035" s="451"/>
    </row>
    <row r="6036" spans="1:11">
      <c r="A6036" s="450" t="s">
        <v>9970</v>
      </c>
      <c r="B6036" s="450" t="s">
        <v>9971</v>
      </c>
      <c r="C6036" s="450" t="s">
        <v>9972</v>
      </c>
      <c r="D6036" s="450" t="s">
        <v>9973</v>
      </c>
      <c r="E6036" s="450"/>
      <c r="F6036" s="450"/>
      <c r="G6036" s="450" t="s">
        <v>22882</v>
      </c>
      <c r="H6036" s="450" t="s">
        <v>22883</v>
      </c>
      <c r="I6036" s="450" t="s">
        <v>9973</v>
      </c>
      <c r="J6036" s="450" t="s">
        <v>26408</v>
      </c>
      <c r="K6036" s="450"/>
    </row>
    <row r="6037" spans="1:11">
      <c r="A6037" s="451" t="s">
        <v>9970</v>
      </c>
      <c r="B6037" s="451" t="s">
        <v>9971</v>
      </c>
      <c r="C6037" s="451" t="s">
        <v>9972</v>
      </c>
      <c r="D6037" s="451" t="s">
        <v>9973</v>
      </c>
      <c r="E6037" s="451" t="s">
        <v>9974</v>
      </c>
      <c r="F6037" s="451"/>
      <c r="G6037" s="451" t="s">
        <v>22882</v>
      </c>
      <c r="H6037" s="451" t="s">
        <v>22883</v>
      </c>
      <c r="I6037" s="451" t="s">
        <v>9973</v>
      </c>
      <c r="J6037" s="451" t="s">
        <v>26408</v>
      </c>
      <c r="K6037" s="451"/>
    </row>
    <row r="6038" spans="1:11">
      <c r="A6038" s="450" t="s">
        <v>9975</v>
      </c>
      <c r="B6038" s="450"/>
      <c r="C6038" s="450" t="s">
        <v>9976</v>
      </c>
      <c r="D6038" s="450"/>
      <c r="E6038" s="450"/>
      <c r="F6038" s="450"/>
      <c r="G6038" s="450" t="s">
        <v>22882</v>
      </c>
      <c r="H6038" s="450" t="s">
        <v>22883</v>
      </c>
      <c r="I6038" s="450"/>
      <c r="J6038" s="450" t="s">
        <v>23492</v>
      </c>
      <c r="K6038" s="450"/>
    </row>
    <row r="6039" spans="1:11">
      <c r="A6039" s="451" t="s">
        <v>9977</v>
      </c>
      <c r="B6039" s="451"/>
      <c r="C6039" s="451" t="s">
        <v>9978</v>
      </c>
      <c r="D6039" s="451"/>
      <c r="E6039" s="451"/>
      <c r="F6039" s="451"/>
      <c r="G6039" s="451" t="s">
        <v>22882</v>
      </c>
      <c r="H6039" s="451" t="s">
        <v>22883</v>
      </c>
      <c r="I6039" s="451"/>
      <c r="J6039" s="451" t="s">
        <v>23492</v>
      </c>
      <c r="K6039" s="451"/>
    </row>
    <row r="6040" spans="1:11">
      <c r="A6040" s="450" t="s">
        <v>35981</v>
      </c>
      <c r="B6040" s="450"/>
      <c r="C6040" s="450" t="s">
        <v>1739</v>
      </c>
      <c r="D6040" s="450"/>
      <c r="E6040" s="450"/>
      <c r="F6040" s="450"/>
      <c r="G6040" s="450" t="s">
        <v>22882</v>
      </c>
      <c r="H6040" s="450" t="s">
        <v>22883</v>
      </c>
      <c r="I6040" s="450" t="s">
        <v>35982</v>
      </c>
      <c r="J6040" s="450" t="s">
        <v>22997</v>
      </c>
      <c r="K6040" s="450"/>
    </row>
    <row r="6041" spans="1:11">
      <c r="A6041" s="451" t="s">
        <v>35983</v>
      </c>
      <c r="B6041" s="451"/>
      <c r="C6041" s="451" t="s">
        <v>1249</v>
      </c>
      <c r="D6041" s="451"/>
      <c r="E6041" s="451"/>
      <c r="F6041" s="451"/>
      <c r="G6041" s="451" t="s">
        <v>22882</v>
      </c>
      <c r="H6041" s="451" t="s">
        <v>22883</v>
      </c>
      <c r="I6041" s="451"/>
      <c r="J6041" s="451" t="s">
        <v>23492</v>
      </c>
      <c r="K6041" s="451"/>
    </row>
    <row r="6042" spans="1:11">
      <c r="A6042" s="450" t="s">
        <v>9979</v>
      </c>
      <c r="B6042" s="450"/>
      <c r="C6042" s="450" t="s">
        <v>1249</v>
      </c>
      <c r="D6042" s="450"/>
      <c r="E6042" s="450"/>
      <c r="F6042" s="450"/>
      <c r="G6042" s="450" t="s">
        <v>22882</v>
      </c>
      <c r="H6042" s="450" t="s">
        <v>22883</v>
      </c>
      <c r="I6042" s="450"/>
      <c r="J6042" s="450" t="s">
        <v>22937</v>
      </c>
      <c r="K6042" s="450"/>
    </row>
    <row r="6043" spans="1:11">
      <c r="A6043" s="451" t="s">
        <v>9980</v>
      </c>
      <c r="B6043" s="451"/>
      <c r="C6043" s="451" t="s">
        <v>1739</v>
      </c>
      <c r="D6043" s="451"/>
      <c r="E6043" s="451"/>
      <c r="F6043" s="451"/>
      <c r="G6043" s="451" t="s">
        <v>22882</v>
      </c>
      <c r="H6043" s="451" t="s">
        <v>22883</v>
      </c>
      <c r="I6043" s="451" t="s">
        <v>35984</v>
      </c>
      <c r="J6043" s="451" t="s">
        <v>22939</v>
      </c>
      <c r="K6043" s="451"/>
    </row>
    <row r="6044" spans="1:11">
      <c r="A6044" s="450" t="s">
        <v>9981</v>
      </c>
      <c r="B6044" s="450"/>
      <c r="C6044" s="450" t="s">
        <v>7471</v>
      </c>
      <c r="D6044" s="450"/>
      <c r="E6044" s="450"/>
      <c r="F6044" s="450"/>
      <c r="G6044" s="450" t="s">
        <v>22877</v>
      </c>
      <c r="H6044" s="450" t="s">
        <v>22878</v>
      </c>
      <c r="I6044" s="450" t="s">
        <v>35985</v>
      </c>
      <c r="J6044" s="450" t="s">
        <v>23185</v>
      </c>
      <c r="K6044" s="450"/>
    </row>
    <row r="6045" spans="1:11">
      <c r="A6045" s="451" t="s">
        <v>9982</v>
      </c>
      <c r="B6045" s="451"/>
      <c r="C6045" s="451" t="s">
        <v>9983</v>
      </c>
      <c r="D6045" s="451"/>
      <c r="E6045" s="451"/>
      <c r="F6045" s="451"/>
      <c r="G6045" s="451" t="s">
        <v>22877</v>
      </c>
      <c r="H6045" s="451" t="s">
        <v>22878</v>
      </c>
      <c r="I6045" s="451"/>
      <c r="J6045" s="451" t="s">
        <v>22997</v>
      </c>
      <c r="K6045" s="451"/>
    </row>
    <row r="6046" spans="1:11">
      <c r="A6046" s="450" t="s">
        <v>21761</v>
      </c>
      <c r="B6046" s="450" t="s">
        <v>9984</v>
      </c>
      <c r="C6046" s="450" t="s">
        <v>8918</v>
      </c>
      <c r="D6046" s="450" t="s">
        <v>9985</v>
      </c>
      <c r="E6046" s="450"/>
      <c r="F6046" s="450"/>
      <c r="G6046" s="450" t="s">
        <v>22877</v>
      </c>
      <c r="H6046" s="450" t="s">
        <v>22878</v>
      </c>
      <c r="I6046" s="450" t="s">
        <v>9985</v>
      </c>
      <c r="J6046" s="450" t="s">
        <v>35986</v>
      </c>
      <c r="K6046" s="450"/>
    </row>
    <row r="6047" spans="1:11">
      <c r="A6047" s="451" t="s">
        <v>21761</v>
      </c>
      <c r="B6047" s="451" t="s">
        <v>9984</v>
      </c>
      <c r="C6047" s="451" t="s">
        <v>8918</v>
      </c>
      <c r="D6047" s="451" t="s">
        <v>9985</v>
      </c>
      <c r="E6047" s="451" t="s">
        <v>9986</v>
      </c>
      <c r="F6047" s="451"/>
      <c r="G6047" s="451" t="s">
        <v>22877</v>
      </c>
      <c r="H6047" s="451" t="s">
        <v>22878</v>
      </c>
      <c r="I6047" s="451" t="s">
        <v>9985</v>
      </c>
      <c r="J6047" s="451" t="s">
        <v>31610</v>
      </c>
      <c r="K6047" s="451"/>
    </row>
    <row r="6048" spans="1:11">
      <c r="A6048" s="450" t="s">
        <v>9987</v>
      </c>
      <c r="B6048" s="450" t="s">
        <v>9988</v>
      </c>
      <c r="C6048" s="450" t="s">
        <v>9989</v>
      </c>
      <c r="D6048" s="450"/>
      <c r="E6048" s="450"/>
      <c r="F6048" s="450"/>
      <c r="G6048" s="450" t="s">
        <v>22877</v>
      </c>
      <c r="H6048" s="450" t="s">
        <v>22878</v>
      </c>
      <c r="I6048" s="450"/>
      <c r="J6048" s="450" t="s">
        <v>26409</v>
      </c>
      <c r="K6048" s="450"/>
    </row>
    <row r="6049" spans="1:11">
      <c r="A6049" s="451" t="s">
        <v>9990</v>
      </c>
      <c r="B6049" s="451"/>
      <c r="C6049" s="451" t="s">
        <v>9991</v>
      </c>
      <c r="D6049" s="451"/>
      <c r="E6049" s="451"/>
      <c r="F6049" s="451"/>
      <c r="G6049" s="451" t="s">
        <v>22877</v>
      </c>
      <c r="H6049" s="451" t="s">
        <v>22878</v>
      </c>
      <c r="I6049" s="451" t="s">
        <v>26410</v>
      </c>
      <c r="J6049" s="451" t="s">
        <v>23133</v>
      </c>
      <c r="K6049" s="451"/>
    </row>
    <row r="6050" spans="1:11">
      <c r="A6050" s="450" t="s">
        <v>26411</v>
      </c>
      <c r="B6050" s="450" t="s">
        <v>26412</v>
      </c>
      <c r="C6050" s="450" t="s">
        <v>26413</v>
      </c>
      <c r="D6050" s="450"/>
      <c r="E6050" s="450"/>
      <c r="F6050" s="450"/>
      <c r="G6050" s="450" t="s">
        <v>22877</v>
      </c>
      <c r="H6050" s="450" t="s">
        <v>22878</v>
      </c>
      <c r="I6050" s="450" t="s">
        <v>26414</v>
      </c>
      <c r="J6050" s="450" t="s">
        <v>26415</v>
      </c>
      <c r="K6050" s="450"/>
    </row>
    <row r="6051" spans="1:11">
      <c r="A6051" s="451" t="s">
        <v>9992</v>
      </c>
      <c r="B6051" s="451"/>
      <c r="C6051" s="451" t="s">
        <v>9993</v>
      </c>
      <c r="D6051" s="451"/>
      <c r="E6051" s="451"/>
      <c r="F6051" s="451"/>
      <c r="G6051" s="451" t="s">
        <v>22882</v>
      </c>
      <c r="H6051" s="451" t="s">
        <v>22883</v>
      </c>
      <c r="I6051" s="451" t="s">
        <v>35987</v>
      </c>
      <c r="J6051" s="451" t="s">
        <v>23185</v>
      </c>
      <c r="K6051" s="451"/>
    </row>
    <row r="6052" spans="1:11">
      <c r="A6052" s="450" t="s">
        <v>9994</v>
      </c>
      <c r="B6052" s="450"/>
      <c r="C6052" s="450" t="s">
        <v>4938</v>
      </c>
      <c r="D6052" s="450"/>
      <c r="E6052" s="450"/>
      <c r="F6052" s="450"/>
      <c r="G6052" s="450" t="s">
        <v>22877</v>
      </c>
      <c r="H6052" s="450" t="s">
        <v>22878</v>
      </c>
      <c r="I6052" s="450" t="s">
        <v>24112</v>
      </c>
      <c r="J6052" s="450" t="s">
        <v>23492</v>
      </c>
      <c r="K6052" s="450"/>
    </row>
    <row r="6053" spans="1:11">
      <c r="A6053" s="451" t="s">
        <v>35988</v>
      </c>
      <c r="B6053" s="451"/>
      <c r="C6053" s="451" t="s">
        <v>9996</v>
      </c>
      <c r="D6053" s="451"/>
      <c r="E6053" s="451"/>
      <c r="F6053" s="451"/>
      <c r="G6053" s="451" t="s">
        <v>22877</v>
      </c>
      <c r="H6053" s="451" t="s">
        <v>22878</v>
      </c>
      <c r="I6053" s="451" t="s">
        <v>35989</v>
      </c>
      <c r="J6053" s="451" t="s">
        <v>23492</v>
      </c>
      <c r="K6053" s="451"/>
    </row>
    <row r="6054" spans="1:11">
      <c r="A6054" s="450" t="s">
        <v>9995</v>
      </c>
      <c r="B6054" s="450"/>
      <c r="C6054" s="450" t="s">
        <v>9996</v>
      </c>
      <c r="D6054" s="450"/>
      <c r="E6054" s="450"/>
      <c r="F6054" s="450"/>
      <c r="G6054" s="450" t="s">
        <v>22877</v>
      </c>
      <c r="H6054" s="450" t="s">
        <v>22878</v>
      </c>
      <c r="I6054" s="450" t="s">
        <v>31611</v>
      </c>
      <c r="J6054" s="450" t="s">
        <v>22937</v>
      </c>
      <c r="K6054" s="450"/>
    </row>
    <row r="6055" spans="1:11">
      <c r="A6055" s="451" t="s">
        <v>9997</v>
      </c>
      <c r="B6055" s="451" t="s">
        <v>31612</v>
      </c>
      <c r="C6055" s="451" t="s">
        <v>3426</v>
      </c>
      <c r="D6055" s="451" t="s">
        <v>9999</v>
      </c>
      <c r="E6055" s="451"/>
      <c r="F6055" s="451"/>
      <c r="G6055" s="451" t="s">
        <v>22877</v>
      </c>
      <c r="H6055" s="451" t="s">
        <v>22878</v>
      </c>
      <c r="I6055" s="451" t="s">
        <v>9999</v>
      </c>
      <c r="J6055" s="451" t="s">
        <v>26416</v>
      </c>
      <c r="K6055" s="451"/>
    </row>
    <row r="6056" spans="1:11">
      <c r="A6056" s="450" t="s">
        <v>9997</v>
      </c>
      <c r="B6056" s="450" t="s">
        <v>31612</v>
      </c>
      <c r="C6056" s="450" t="s">
        <v>3426</v>
      </c>
      <c r="D6056" s="450" t="s">
        <v>9999</v>
      </c>
      <c r="E6056" s="450" t="s">
        <v>9999</v>
      </c>
      <c r="F6056" s="450"/>
      <c r="G6056" s="450" t="s">
        <v>22877</v>
      </c>
      <c r="H6056" s="450" t="s">
        <v>22878</v>
      </c>
      <c r="I6056" s="450" t="s">
        <v>9999</v>
      </c>
      <c r="J6056" s="450" t="s">
        <v>26416</v>
      </c>
      <c r="K6056" s="450"/>
    </row>
    <row r="6057" spans="1:11">
      <c r="A6057" s="451" t="s">
        <v>10000</v>
      </c>
      <c r="B6057" s="451"/>
      <c r="C6057" s="451" t="s">
        <v>4938</v>
      </c>
      <c r="D6057" s="451"/>
      <c r="E6057" s="451"/>
      <c r="F6057" s="451"/>
      <c r="G6057" s="451" t="s">
        <v>22877</v>
      </c>
      <c r="H6057" s="451" t="s">
        <v>22878</v>
      </c>
      <c r="I6057" s="451" t="s">
        <v>24112</v>
      </c>
      <c r="J6057" s="451" t="s">
        <v>23185</v>
      </c>
      <c r="K6057" s="451"/>
    </row>
    <row r="6058" spans="1:11">
      <c r="A6058" s="450" t="s">
        <v>26417</v>
      </c>
      <c r="B6058" s="450" t="s">
        <v>26418</v>
      </c>
      <c r="C6058" s="450" t="s">
        <v>26419</v>
      </c>
      <c r="D6058" s="450" t="s">
        <v>26420</v>
      </c>
      <c r="E6058" s="450"/>
      <c r="F6058" s="450"/>
      <c r="G6058" s="450" t="s">
        <v>22877</v>
      </c>
      <c r="H6058" s="450" t="s">
        <v>22878</v>
      </c>
      <c r="I6058" s="450" t="s">
        <v>26421</v>
      </c>
      <c r="J6058" s="450" t="s">
        <v>26422</v>
      </c>
      <c r="K6058" s="450"/>
    </row>
    <row r="6059" spans="1:11">
      <c r="A6059" s="451" t="s">
        <v>35990</v>
      </c>
      <c r="B6059" s="451"/>
      <c r="C6059" s="451" t="s">
        <v>10002</v>
      </c>
      <c r="D6059" s="451"/>
      <c r="E6059" s="451"/>
      <c r="F6059" s="451"/>
      <c r="G6059" s="451" t="s">
        <v>22882</v>
      </c>
      <c r="H6059" s="451" t="s">
        <v>22883</v>
      </c>
      <c r="I6059" s="451" t="s">
        <v>35991</v>
      </c>
      <c r="J6059" s="451" t="s">
        <v>23492</v>
      </c>
      <c r="K6059" s="451"/>
    </row>
    <row r="6060" spans="1:11">
      <c r="A6060" s="450" t="s">
        <v>10001</v>
      </c>
      <c r="B6060" s="450"/>
      <c r="C6060" s="450" t="s">
        <v>10002</v>
      </c>
      <c r="D6060" s="450"/>
      <c r="E6060" s="450"/>
      <c r="F6060" s="450"/>
      <c r="G6060" s="450" t="s">
        <v>22877</v>
      </c>
      <c r="H6060" s="450" t="s">
        <v>22878</v>
      </c>
      <c r="I6060" s="450" t="s">
        <v>35991</v>
      </c>
      <c r="J6060" s="450" t="s">
        <v>22937</v>
      </c>
      <c r="K6060" s="450"/>
    </row>
    <row r="6061" spans="1:11">
      <c r="A6061" s="451" t="s">
        <v>10003</v>
      </c>
      <c r="B6061" s="451"/>
      <c r="C6061" s="451" t="s">
        <v>4104</v>
      </c>
      <c r="D6061" s="451"/>
      <c r="E6061" s="451"/>
      <c r="F6061" s="451"/>
      <c r="G6061" s="451" t="s">
        <v>22877</v>
      </c>
      <c r="H6061" s="451" t="s">
        <v>22878</v>
      </c>
      <c r="I6061" s="451"/>
      <c r="J6061" s="451" t="s">
        <v>22997</v>
      </c>
      <c r="K6061" s="451"/>
    </row>
    <row r="6062" spans="1:11">
      <c r="A6062" s="450" t="s">
        <v>10004</v>
      </c>
      <c r="B6062" s="450"/>
      <c r="C6062" s="450" t="s">
        <v>10005</v>
      </c>
      <c r="D6062" s="450"/>
      <c r="E6062" s="450"/>
      <c r="F6062" s="450"/>
      <c r="G6062" s="450" t="s">
        <v>22882</v>
      </c>
      <c r="H6062" s="450" t="s">
        <v>22883</v>
      </c>
      <c r="I6062" s="450" t="s">
        <v>35992</v>
      </c>
      <c r="J6062" s="450" t="s">
        <v>23185</v>
      </c>
      <c r="K6062" s="450"/>
    </row>
    <row r="6063" spans="1:11">
      <c r="A6063" s="451" t="s">
        <v>10006</v>
      </c>
      <c r="B6063" s="451"/>
      <c r="C6063" s="451" t="s">
        <v>10007</v>
      </c>
      <c r="D6063" s="451"/>
      <c r="E6063" s="451"/>
      <c r="F6063" s="451"/>
      <c r="G6063" s="451" t="s">
        <v>22882</v>
      </c>
      <c r="H6063" s="451" t="s">
        <v>22883</v>
      </c>
      <c r="I6063" s="451" t="s">
        <v>35993</v>
      </c>
      <c r="J6063" s="451" t="s">
        <v>23185</v>
      </c>
      <c r="K6063" s="451"/>
    </row>
    <row r="6064" spans="1:11">
      <c r="A6064" s="450" t="s">
        <v>10008</v>
      </c>
      <c r="B6064" s="450"/>
      <c r="C6064" s="450" t="s">
        <v>10009</v>
      </c>
      <c r="D6064" s="450"/>
      <c r="E6064" s="450"/>
      <c r="F6064" s="450"/>
      <c r="G6064" s="450" t="s">
        <v>22882</v>
      </c>
      <c r="H6064" s="450" t="s">
        <v>22883</v>
      </c>
      <c r="I6064" s="450"/>
      <c r="J6064" s="450" t="s">
        <v>23185</v>
      </c>
      <c r="K6064" s="450"/>
    </row>
    <row r="6065" spans="1:11">
      <c r="A6065" s="451" t="s">
        <v>10010</v>
      </c>
      <c r="B6065" s="451"/>
      <c r="C6065" s="451" t="s">
        <v>10011</v>
      </c>
      <c r="D6065" s="451"/>
      <c r="E6065" s="451"/>
      <c r="F6065" s="451"/>
      <c r="G6065" s="451" t="s">
        <v>22882</v>
      </c>
      <c r="H6065" s="451" t="s">
        <v>22883</v>
      </c>
      <c r="I6065" s="451"/>
      <c r="J6065" s="451" t="s">
        <v>23185</v>
      </c>
      <c r="K6065" s="451"/>
    </row>
    <row r="6066" spans="1:11">
      <c r="A6066" s="450" t="s">
        <v>10012</v>
      </c>
      <c r="B6066" s="450" t="s">
        <v>10013</v>
      </c>
      <c r="C6066" s="450" t="s">
        <v>2168</v>
      </c>
      <c r="D6066" s="450" t="s">
        <v>10014</v>
      </c>
      <c r="E6066" s="450"/>
      <c r="F6066" s="450"/>
      <c r="G6066" s="450" t="s">
        <v>22882</v>
      </c>
      <c r="H6066" s="450" t="s">
        <v>22883</v>
      </c>
      <c r="I6066" s="450" t="s">
        <v>10014</v>
      </c>
      <c r="J6066" s="450" t="s">
        <v>35994</v>
      </c>
      <c r="K6066" s="450"/>
    </row>
    <row r="6067" spans="1:11">
      <c r="A6067" s="451" t="s">
        <v>10012</v>
      </c>
      <c r="B6067" s="451" t="s">
        <v>10013</v>
      </c>
      <c r="C6067" s="451" t="s">
        <v>2168</v>
      </c>
      <c r="D6067" s="451" t="s">
        <v>10014</v>
      </c>
      <c r="E6067" s="451" t="s">
        <v>10015</v>
      </c>
      <c r="F6067" s="451"/>
      <c r="G6067" s="451" t="s">
        <v>22877</v>
      </c>
      <c r="H6067" s="451" t="s">
        <v>22878</v>
      </c>
      <c r="I6067" s="451" t="s">
        <v>31613</v>
      </c>
      <c r="J6067" s="451" t="s">
        <v>31614</v>
      </c>
      <c r="K6067" s="451"/>
    </row>
    <row r="6068" spans="1:11">
      <c r="A6068" s="450" t="s">
        <v>10016</v>
      </c>
      <c r="B6068" s="450" t="s">
        <v>35995</v>
      </c>
      <c r="C6068" s="450" t="s">
        <v>9879</v>
      </c>
      <c r="D6068" s="450" t="s">
        <v>10018</v>
      </c>
      <c r="E6068" s="450"/>
      <c r="F6068" s="450"/>
      <c r="G6068" s="450" t="s">
        <v>22882</v>
      </c>
      <c r="H6068" s="450" t="s">
        <v>22883</v>
      </c>
      <c r="I6068" s="450" t="s">
        <v>10018</v>
      </c>
      <c r="J6068" s="450" t="s">
        <v>35996</v>
      </c>
      <c r="K6068" s="450"/>
    </row>
    <row r="6069" spans="1:11">
      <c r="A6069" s="451" t="s">
        <v>10016</v>
      </c>
      <c r="B6069" s="451" t="s">
        <v>10017</v>
      </c>
      <c r="C6069" s="451" t="s">
        <v>9879</v>
      </c>
      <c r="D6069" s="451" t="s">
        <v>10018</v>
      </c>
      <c r="E6069" s="451" t="s">
        <v>10019</v>
      </c>
      <c r="F6069" s="451"/>
      <c r="G6069" s="451" t="s">
        <v>22882</v>
      </c>
      <c r="H6069" s="451" t="s">
        <v>22883</v>
      </c>
      <c r="I6069" s="451" t="s">
        <v>10018</v>
      </c>
      <c r="J6069" s="451" t="s">
        <v>31615</v>
      </c>
      <c r="K6069" s="451"/>
    </row>
    <row r="6070" spans="1:11">
      <c r="A6070" s="450" t="s">
        <v>10020</v>
      </c>
      <c r="B6070" s="450" t="s">
        <v>9882</v>
      </c>
      <c r="C6070" s="450" t="s">
        <v>9883</v>
      </c>
      <c r="D6070" s="450" t="s">
        <v>10021</v>
      </c>
      <c r="E6070" s="450"/>
      <c r="F6070" s="450"/>
      <c r="G6070" s="450" t="s">
        <v>22882</v>
      </c>
      <c r="H6070" s="450" t="s">
        <v>22883</v>
      </c>
      <c r="I6070" s="450" t="s">
        <v>10021</v>
      </c>
      <c r="J6070" s="450" t="s">
        <v>35997</v>
      </c>
      <c r="K6070" s="450"/>
    </row>
    <row r="6071" spans="1:11">
      <c r="A6071" s="451" t="s">
        <v>10020</v>
      </c>
      <c r="B6071" s="451" t="s">
        <v>9882</v>
      </c>
      <c r="C6071" s="451" t="s">
        <v>9883</v>
      </c>
      <c r="D6071" s="451" t="s">
        <v>10021</v>
      </c>
      <c r="E6071" s="451" t="s">
        <v>10022</v>
      </c>
      <c r="F6071" s="451"/>
      <c r="G6071" s="451" t="s">
        <v>22882</v>
      </c>
      <c r="H6071" s="451" t="s">
        <v>22883</v>
      </c>
      <c r="I6071" s="451" t="s">
        <v>10021</v>
      </c>
      <c r="J6071" s="451" t="s">
        <v>31616</v>
      </c>
      <c r="K6071" s="451"/>
    </row>
    <row r="6072" spans="1:11">
      <c r="A6072" s="450" t="s">
        <v>35998</v>
      </c>
      <c r="B6072" s="450" t="s">
        <v>9852</v>
      </c>
      <c r="C6072" s="450" t="s">
        <v>9853</v>
      </c>
      <c r="D6072" s="450" t="s">
        <v>10024</v>
      </c>
      <c r="E6072" s="450"/>
      <c r="F6072" s="450"/>
      <c r="G6072" s="450" t="s">
        <v>22882</v>
      </c>
      <c r="H6072" s="450" t="s">
        <v>22883</v>
      </c>
      <c r="I6072" s="450" t="s">
        <v>10024</v>
      </c>
      <c r="J6072" s="450" t="s">
        <v>35999</v>
      </c>
      <c r="K6072" s="450"/>
    </row>
    <row r="6073" spans="1:11">
      <c r="A6073" s="451" t="s">
        <v>10023</v>
      </c>
      <c r="B6073" s="451" t="s">
        <v>9852</v>
      </c>
      <c r="C6073" s="451" t="s">
        <v>9853</v>
      </c>
      <c r="D6073" s="451" t="s">
        <v>10024</v>
      </c>
      <c r="E6073" s="451" t="s">
        <v>10025</v>
      </c>
      <c r="F6073" s="451"/>
      <c r="G6073" s="451" t="s">
        <v>22882</v>
      </c>
      <c r="H6073" s="451" t="s">
        <v>22883</v>
      </c>
      <c r="I6073" s="451" t="s">
        <v>10024</v>
      </c>
      <c r="J6073" s="451" t="s">
        <v>31617</v>
      </c>
      <c r="K6073" s="451"/>
    </row>
    <row r="6074" spans="1:11">
      <c r="A6074" s="450" t="s">
        <v>36000</v>
      </c>
      <c r="B6074" s="450" t="s">
        <v>10027</v>
      </c>
      <c r="C6074" s="450" t="s">
        <v>2269</v>
      </c>
      <c r="D6074" s="450" t="s">
        <v>10028</v>
      </c>
      <c r="E6074" s="450"/>
      <c r="F6074" s="450"/>
      <c r="G6074" s="450" t="s">
        <v>22882</v>
      </c>
      <c r="H6074" s="450" t="s">
        <v>22883</v>
      </c>
      <c r="I6074" s="450" t="s">
        <v>10028</v>
      </c>
      <c r="J6074" s="450" t="s">
        <v>36001</v>
      </c>
      <c r="K6074" s="450"/>
    </row>
    <row r="6075" spans="1:11">
      <c r="A6075" s="451" t="s">
        <v>10026</v>
      </c>
      <c r="B6075" s="451" t="s">
        <v>10027</v>
      </c>
      <c r="C6075" s="451" t="s">
        <v>2269</v>
      </c>
      <c r="D6075" s="451" t="s">
        <v>10028</v>
      </c>
      <c r="E6075" s="451" t="s">
        <v>10029</v>
      </c>
      <c r="F6075" s="451"/>
      <c r="G6075" s="451" t="s">
        <v>22882</v>
      </c>
      <c r="H6075" s="451" t="s">
        <v>22883</v>
      </c>
      <c r="I6075" s="451" t="s">
        <v>10028</v>
      </c>
      <c r="J6075" s="451" t="s">
        <v>31618</v>
      </c>
      <c r="K6075" s="451"/>
    </row>
    <row r="6076" spans="1:11">
      <c r="A6076" s="450" t="s">
        <v>36002</v>
      </c>
      <c r="B6076" s="450"/>
      <c r="C6076" s="450" t="s">
        <v>1963</v>
      </c>
      <c r="D6076" s="450"/>
      <c r="E6076" s="450"/>
      <c r="F6076" s="450"/>
      <c r="G6076" s="450" t="s">
        <v>22877</v>
      </c>
      <c r="H6076" s="450" t="s">
        <v>22878</v>
      </c>
      <c r="I6076" s="450"/>
      <c r="J6076" s="450" t="s">
        <v>22997</v>
      </c>
      <c r="K6076" s="450"/>
    </row>
    <row r="6077" spans="1:11">
      <c r="A6077" s="451" t="s">
        <v>36003</v>
      </c>
      <c r="B6077" s="451"/>
      <c r="C6077" s="451" t="s">
        <v>1301</v>
      </c>
      <c r="D6077" s="451"/>
      <c r="E6077" s="451"/>
      <c r="F6077" s="451"/>
      <c r="G6077" s="451" t="s">
        <v>22882</v>
      </c>
      <c r="H6077" s="451" t="s">
        <v>22883</v>
      </c>
      <c r="I6077" s="451" t="s">
        <v>36004</v>
      </c>
      <c r="J6077" s="451" t="s">
        <v>23492</v>
      </c>
      <c r="K6077" s="451"/>
    </row>
    <row r="6078" spans="1:11">
      <c r="A6078" s="450" t="s">
        <v>10030</v>
      </c>
      <c r="B6078" s="450"/>
      <c r="C6078" s="450" t="s">
        <v>1301</v>
      </c>
      <c r="D6078" s="450"/>
      <c r="E6078" s="450"/>
      <c r="F6078" s="450"/>
      <c r="G6078" s="450" t="s">
        <v>22882</v>
      </c>
      <c r="H6078" s="450" t="s">
        <v>22883</v>
      </c>
      <c r="I6078" s="450" t="s">
        <v>36004</v>
      </c>
      <c r="J6078" s="450" t="s">
        <v>22947</v>
      </c>
      <c r="K6078" s="450"/>
    </row>
    <row r="6079" spans="1:11">
      <c r="A6079" s="451" t="s">
        <v>36005</v>
      </c>
      <c r="B6079" s="451"/>
      <c r="C6079" s="451" t="s">
        <v>10032</v>
      </c>
      <c r="D6079" s="451"/>
      <c r="E6079" s="451"/>
      <c r="F6079" s="451"/>
      <c r="G6079" s="451" t="s">
        <v>22882</v>
      </c>
      <c r="H6079" s="451" t="s">
        <v>22883</v>
      </c>
      <c r="I6079" s="451"/>
      <c r="J6079" s="451" t="s">
        <v>23185</v>
      </c>
      <c r="K6079" s="451"/>
    </row>
    <row r="6080" spans="1:11">
      <c r="A6080" s="450" t="s">
        <v>10031</v>
      </c>
      <c r="B6080" s="450"/>
      <c r="C6080" s="450" t="s">
        <v>10032</v>
      </c>
      <c r="D6080" s="450"/>
      <c r="E6080" s="450"/>
      <c r="F6080" s="450"/>
      <c r="G6080" s="450" t="s">
        <v>22882</v>
      </c>
      <c r="H6080" s="450" t="s">
        <v>22883</v>
      </c>
      <c r="I6080" s="450"/>
      <c r="J6080" s="450" t="s">
        <v>22939</v>
      </c>
      <c r="K6080" s="450"/>
    </row>
    <row r="6081" spans="1:11">
      <c r="A6081" s="451" t="s">
        <v>10033</v>
      </c>
      <c r="B6081" s="451"/>
      <c r="C6081" s="451" t="s">
        <v>3213</v>
      </c>
      <c r="D6081" s="451"/>
      <c r="E6081" s="451"/>
      <c r="F6081" s="451"/>
      <c r="G6081" s="451" t="s">
        <v>22882</v>
      </c>
      <c r="H6081" s="451" t="s">
        <v>22883</v>
      </c>
      <c r="I6081" s="451"/>
      <c r="J6081" s="451" t="s">
        <v>36006</v>
      </c>
      <c r="K6081" s="451"/>
    </row>
    <row r="6082" spans="1:11">
      <c r="A6082" s="450" t="s">
        <v>10034</v>
      </c>
      <c r="B6082" s="450"/>
      <c r="C6082" s="450" t="s">
        <v>10035</v>
      </c>
      <c r="D6082" s="450"/>
      <c r="E6082" s="450"/>
      <c r="F6082" s="450"/>
      <c r="G6082" s="450" t="s">
        <v>22882</v>
      </c>
      <c r="H6082" s="450" t="s">
        <v>22883</v>
      </c>
      <c r="I6082" s="450" t="s">
        <v>36007</v>
      </c>
      <c r="J6082" s="450" t="s">
        <v>22937</v>
      </c>
      <c r="K6082" s="450"/>
    </row>
    <row r="6083" spans="1:11">
      <c r="A6083" s="451" t="s">
        <v>36008</v>
      </c>
      <c r="B6083" s="451"/>
      <c r="C6083" s="451" t="s">
        <v>10035</v>
      </c>
      <c r="D6083" s="451"/>
      <c r="E6083" s="451"/>
      <c r="F6083" s="451"/>
      <c r="G6083" s="451" t="s">
        <v>22882</v>
      </c>
      <c r="H6083" s="451" t="s">
        <v>22883</v>
      </c>
      <c r="I6083" s="451" t="s">
        <v>36007</v>
      </c>
      <c r="J6083" s="451" t="s">
        <v>22943</v>
      </c>
      <c r="K6083" s="451"/>
    </row>
    <row r="6084" spans="1:11">
      <c r="A6084" s="450" t="s">
        <v>10036</v>
      </c>
      <c r="B6084" s="450"/>
      <c r="C6084" s="450" t="s">
        <v>10037</v>
      </c>
      <c r="D6084" s="450"/>
      <c r="E6084" s="450"/>
      <c r="F6084" s="450"/>
      <c r="G6084" s="450" t="s">
        <v>22877</v>
      </c>
      <c r="H6084" s="450" t="s">
        <v>22878</v>
      </c>
      <c r="I6084" s="450" t="s">
        <v>26423</v>
      </c>
      <c r="J6084" s="450" t="s">
        <v>22997</v>
      </c>
      <c r="K6084" s="450"/>
    </row>
    <row r="6085" spans="1:11">
      <c r="A6085" s="451" t="s">
        <v>36009</v>
      </c>
      <c r="B6085" s="451" t="s">
        <v>36010</v>
      </c>
      <c r="C6085" s="451" t="s">
        <v>10040</v>
      </c>
      <c r="D6085" s="451"/>
      <c r="E6085" s="451"/>
      <c r="F6085" s="451"/>
      <c r="G6085" s="451" t="s">
        <v>22877</v>
      </c>
      <c r="H6085" s="451" t="s">
        <v>22878</v>
      </c>
      <c r="I6085" s="451" t="s">
        <v>26424</v>
      </c>
      <c r="J6085" s="451" t="s">
        <v>36011</v>
      </c>
      <c r="K6085" s="451"/>
    </row>
    <row r="6086" spans="1:11">
      <c r="A6086" s="450" t="s">
        <v>10038</v>
      </c>
      <c r="B6086" s="450" t="s">
        <v>10039</v>
      </c>
      <c r="C6086" s="450" t="s">
        <v>10040</v>
      </c>
      <c r="D6086" s="450"/>
      <c r="E6086" s="450"/>
      <c r="F6086" s="450"/>
      <c r="G6086" s="450" t="s">
        <v>22877</v>
      </c>
      <c r="H6086" s="450" t="s">
        <v>22878</v>
      </c>
      <c r="I6086" s="450" t="s">
        <v>26424</v>
      </c>
      <c r="J6086" s="450" t="s">
        <v>31619</v>
      </c>
      <c r="K6086" s="450"/>
    </row>
    <row r="6087" spans="1:11">
      <c r="A6087" s="451" t="s">
        <v>26425</v>
      </c>
      <c r="B6087" s="451" t="s">
        <v>10042</v>
      </c>
      <c r="C6087" s="451" t="s">
        <v>10043</v>
      </c>
      <c r="D6087" s="451"/>
      <c r="E6087" s="451"/>
      <c r="F6087" s="451"/>
      <c r="G6087" s="451" t="s">
        <v>22877</v>
      </c>
      <c r="H6087" s="451" t="s">
        <v>22878</v>
      </c>
      <c r="I6087" s="451" t="s">
        <v>26426</v>
      </c>
      <c r="J6087" s="451" t="s">
        <v>26427</v>
      </c>
      <c r="K6087" s="451"/>
    </row>
    <row r="6088" spans="1:11">
      <c r="A6088" s="450" t="s">
        <v>26428</v>
      </c>
      <c r="B6088" s="450" t="s">
        <v>26429</v>
      </c>
      <c r="C6088" s="450" t="s">
        <v>26430</v>
      </c>
      <c r="D6088" s="450"/>
      <c r="E6088" s="450"/>
      <c r="F6088" s="450"/>
      <c r="G6088" s="450" t="s">
        <v>22877</v>
      </c>
      <c r="H6088" s="450" t="s">
        <v>22878</v>
      </c>
      <c r="I6088" s="450" t="s">
        <v>26424</v>
      </c>
      <c r="J6088" s="450" t="s">
        <v>26431</v>
      </c>
      <c r="K6088" s="450"/>
    </row>
    <row r="6089" spans="1:11">
      <c r="A6089" s="451" t="s">
        <v>10041</v>
      </c>
      <c r="B6089" s="451" t="s">
        <v>10042</v>
      </c>
      <c r="C6089" s="451" t="s">
        <v>10043</v>
      </c>
      <c r="D6089" s="451"/>
      <c r="E6089" s="451"/>
      <c r="F6089" s="451"/>
      <c r="G6089" s="451" t="s">
        <v>22877</v>
      </c>
      <c r="H6089" s="451" t="s">
        <v>22878</v>
      </c>
      <c r="I6089" s="451" t="s">
        <v>26426</v>
      </c>
      <c r="J6089" s="451" t="s">
        <v>31620</v>
      </c>
      <c r="K6089" s="451"/>
    </row>
    <row r="6090" spans="1:11">
      <c r="A6090" s="450" t="s">
        <v>10044</v>
      </c>
      <c r="B6090" s="450"/>
      <c r="C6090" s="450" t="s">
        <v>10045</v>
      </c>
      <c r="D6090" s="450"/>
      <c r="E6090" s="450"/>
      <c r="F6090" s="450"/>
      <c r="G6090" s="450" t="s">
        <v>22877</v>
      </c>
      <c r="H6090" s="450" t="s">
        <v>22878</v>
      </c>
      <c r="I6090" s="450" t="s">
        <v>36012</v>
      </c>
      <c r="J6090" s="450" t="s">
        <v>22939</v>
      </c>
      <c r="K6090" s="450"/>
    </row>
    <row r="6091" spans="1:11">
      <c r="A6091" s="451" t="s">
        <v>26432</v>
      </c>
      <c r="B6091" s="451"/>
      <c r="C6091" s="451" t="s">
        <v>10045</v>
      </c>
      <c r="D6091" s="451"/>
      <c r="E6091" s="451"/>
      <c r="F6091" s="451"/>
      <c r="G6091" s="451" t="s">
        <v>22877</v>
      </c>
      <c r="H6091" s="451" t="s">
        <v>22878</v>
      </c>
      <c r="I6091" s="451"/>
      <c r="J6091" s="451" t="s">
        <v>22943</v>
      </c>
      <c r="K6091" s="451"/>
    </row>
    <row r="6092" spans="1:11">
      <c r="A6092" s="450" t="s">
        <v>36013</v>
      </c>
      <c r="B6092" s="450" t="s">
        <v>10047</v>
      </c>
      <c r="C6092" s="450" t="s">
        <v>2251</v>
      </c>
      <c r="D6092" s="450" t="s">
        <v>10048</v>
      </c>
      <c r="E6092" s="450"/>
      <c r="F6092" s="450"/>
      <c r="G6092" s="450" t="s">
        <v>22877</v>
      </c>
      <c r="H6092" s="450" t="s">
        <v>22878</v>
      </c>
      <c r="I6092" s="450" t="s">
        <v>25043</v>
      </c>
      <c r="J6092" s="450" t="s">
        <v>26433</v>
      </c>
      <c r="K6092" s="450"/>
    </row>
    <row r="6093" spans="1:11">
      <c r="A6093" s="451" t="s">
        <v>10046</v>
      </c>
      <c r="B6093" s="451" t="s">
        <v>10047</v>
      </c>
      <c r="C6093" s="451" t="s">
        <v>2251</v>
      </c>
      <c r="D6093" s="451" t="s">
        <v>10048</v>
      </c>
      <c r="E6093" s="451" t="s">
        <v>10049</v>
      </c>
      <c r="F6093" s="451"/>
      <c r="G6093" s="451" t="s">
        <v>22877</v>
      </c>
      <c r="H6093" s="451" t="s">
        <v>22878</v>
      </c>
      <c r="I6093" s="451" t="s">
        <v>10048</v>
      </c>
      <c r="J6093" s="451" t="s">
        <v>26433</v>
      </c>
      <c r="K6093" s="451"/>
    </row>
    <row r="6094" spans="1:11">
      <c r="A6094" s="450" t="s">
        <v>26434</v>
      </c>
      <c r="B6094" s="450" t="s">
        <v>10051</v>
      </c>
      <c r="C6094" s="450" t="s">
        <v>10052</v>
      </c>
      <c r="D6094" s="450" t="s">
        <v>10053</v>
      </c>
      <c r="E6094" s="450"/>
      <c r="F6094" s="450"/>
      <c r="G6094" s="450" t="s">
        <v>22877</v>
      </c>
      <c r="H6094" s="450" t="s">
        <v>22878</v>
      </c>
      <c r="I6094" s="450" t="s">
        <v>10053</v>
      </c>
      <c r="J6094" s="450" t="s">
        <v>26435</v>
      </c>
      <c r="K6094" s="450"/>
    </row>
    <row r="6095" spans="1:11">
      <c r="A6095" s="451" t="s">
        <v>26436</v>
      </c>
      <c r="B6095" s="451" t="s">
        <v>10056</v>
      </c>
      <c r="C6095" s="451" t="s">
        <v>10057</v>
      </c>
      <c r="D6095" s="451" t="s">
        <v>10058</v>
      </c>
      <c r="E6095" s="451"/>
      <c r="F6095" s="451"/>
      <c r="G6095" s="451" t="s">
        <v>22877</v>
      </c>
      <c r="H6095" s="451" t="s">
        <v>22878</v>
      </c>
      <c r="I6095" s="451" t="s">
        <v>10058</v>
      </c>
      <c r="J6095" s="451" t="s">
        <v>26437</v>
      </c>
      <c r="K6095" s="451"/>
    </row>
    <row r="6096" spans="1:11">
      <c r="A6096" s="450" t="s">
        <v>10050</v>
      </c>
      <c r="B6096" s="450" t="s">
        <v>10051</v>
      </c>
      <c r="C6096" s="450" t="s">
        <v>10052</v>
      </c>
      <c r="D6096" s="450" t="s">
        <v>10053</v>
      </c>
      <c r="E6096" s="450" t="s">
        <v>10054</v>
      </c>
      <c r="F6096" s="450"/>
      <c r="G6096" s="450" t="s">
        <v>22882</v>
      </c>
      <c r="H6096" s="450" t="s">
        <v>22883</v>
      </c>
      <c r="I6096" s="450" t="s">
        <v>10053</v>
      </c>
      <c r="J6096" s="450" t="s">
        <v>29084</v>
      </c>
      <c r="K6096" s="450"/>
    </row>
    <row r="6097" spans="1:11">
      <c r="A6097" s="451" t="s">
        <v>10055</v>
      </c>
      <c r="B6097" s="451" t="s">
        <v>10056</v>
      </c>
      <c r="C6097" s="451" t="s">
        <v>10057</v>
      </c>
      <c r="D6097" s="451" t="s">
        <v>10058</v>
      </c>
      <c r="E6097" s="451" t="s">
        <v>10059</v>
      </c>
      <c r="F6097" s="451"/>
      <c r="G6097" s="451" t="s">
        <v>22882</v>
      </c>
      <c r="H6097" s="451" t="s">
        <v>22883</v>
      </c>
      <c r="I6097" s="451" t="s">
        <v>10058</v>
      </c>
      <c r="J6097" s="451" t="s">
        <v>31621</v>
      </c>
      <c r="K6097" s="451"/>
    </row>
    <row r="6098" spans="1:11">
      <c r="A6098" s="450" t="s">
        <v>10060</v>
      </c>
      <c r="B6098" s="450" t="s">
        <v>10061</v>
      </c>
      <c r="C6098" s="450" t="s">
        <v>10062</v>
      </c>
      <c r="D6098" s="450" t="s">
        <v>10063</v>
      </c>
      <c r="E6098" s="450" t="s">
        <v>10064</v>
      </c>
      <c r="F6098" s="450"/>
      <c r="G6098" s="450" t="s">
        <v>22882</v>
      </c>
      <c r="H6098" s="450" t="s">
        <v>22883</v>
      </c>
      <c r="I6098" s="450" t="s">
        <v>10063</v>
      </c>
      <c r="J6098" s="450" t="s">
        <v>36014</v>
      </c>
      <c r="K6098" s="450"/>
    </row>
    <row r="6099" spans="1:11">
      <c r="A6099" s="451" t="s">
        <v>26438</v>
      </c>
      <c r="B6099" s="451" t="s">
        <v>10061</v>
      </c>
      <c r="C6099" s="451" t="s">
        <v>10062</v>
      </c>
      <c r="D6099" s="451" t="s">
        <v>10063</v>
      </c>
      <c r="E6099" s="451"/>
      <c r="F6099" s="451"/>
      <c r="G6099" s="451" t="s">
        <v>22877</v>
      </c>
      <c r="H6099" s="451" t="s">
        <v>22878</v>
      </c>
      <c r="I6099" s="451" t="s">
        <v>10063</v>
      </c>
      <c r="J6099" s="451" t="s">
        <v>26439</v>
      </c>
      <c r="K6099" s="451"/>
    </row>
    <row r="6100" spans="1:11">
      <c r="A6100" s="450" t="s">
        <v>10065</v>
      </c>
      <c r="B6100" s="450"/>
      <c r="C6100" s="450" t="s">
        <v>3943</v>
      </c>
      <c r="D6100" s="450"/>
      <c r="E6100" s="450"/>
      <c r="F6100" s="450"/>
      <c r="G6100" s="450" t="s">
        <v>22877</v>
      </c>
      <c r="H6100" s="450" t="s">
        <v>22878</v>
      </c>
      <c r="I6100" s="450" t="s">
        <v>26440</v>
      </c>
      <c r="J6100" s="450" t="s">
        <v>22902</v>
      </c>
      <c r="K6100" s="450"/>
    </row>
    <row r="6101" spans="1:11">
      <c r="A6101" s="451" t="s">
        <v>10066</v>
      </c>
      <c r="B6101" s="451" t="s">
        <v>10067</v>
      </c>
      <c r="C6101" s="451" t="s">
        <v>10068</v>
      </c>
      <c r="D6101" s="451" t="s">
        <v>10069</v>
      </c>
      <c r="E6101" s="451"/>
      <c r="F6101" s="451"/>
      <c r="G6101" s="451" t="s">
        <v>22877</v>
      </c>
      <c r="H6101" s="451" t="s">
        <v>22878</v>
      </c>
      <c r="I6101" s="451" t="s">
        <v>10069</v>
      </c>
      <c r="J6101" s="451" t="s">
        <v>26441</v>
      </c>
      <c r="K6101" s="451"/>
    </row>
    <row r="6102" spans="1:11">
      <c r="A6102" s="450" t="s">
        <v>10066</v>
      </c>
      <c r="B6102" s="450" t="s">
        <v>10067</v>
      </c>
      <c r="C6102" s="450" t="s">
        <v>10068</v>
      </c>
      <c r="D6102" s="450" t="s">
        <v>10069</v>
      </c>
      <c r="E6102" s="450" t="s">
        <v>10070</v>
      </c>
      <c r="F6102" s="450"/>
      <c r="G6102" s="450" t="s">
        <v>22877</v>
      </c>
      <c r="H6102" s="450" t="s">
        <v>22878</v>
      </c>
      <c r="I6102" s="450" t="s">
        <v>10069</v>
      </c>
      <c r="J6102" s="450" t="s">
        <v>26441</v>
      </c>
      <c r="K6102" s="450"/>
    </row>
    <row r="6103" spans="1:11">
      <c r="A6103" s="451" t="s">
        <v>10071</v>
      </c>
      <c r="B6103" s="451"/>
      <c r="C6103" s="451" t="s">
        <v>10072</v>
      </c>
      <c r="D6103" s="451"/>
      <c r="E6103" s="451"/>
      <c r="F6103" s="451"/>
      <c r="G6103" s="451" t="s">
        <v>22877</v>
      </c>
      <c r="H6103" s="451" t="s">
        <v>22878</v>
      </c>
      <c r="I6103" s="451" t="s">
        <v>36015</v>
      </c>
      <c r="J6103" s="451" t="s">
        <v>22939</v>
      </c>
      <c r="K6103" s="451"/>
    </row>
    <row r="6104" spans="1:11">
      <c r="A6104" s="450" t="s">
        <v>36016</v>
      </c>
      <c r="B6104" s="450"/>
      <c r="C6104" s="450" t="s">
        <v>8796</v>
      </c>
      <c r="D6104" s="450"/>
      <c r="E6104" s="450"/>
      <c r="F6104" s="450"/>
      <c r="G6104" s="450" t="s">
        <v>22882</v>
      </c>
      <c r="H6104" s="450" t="s">
        <v>22883</v>
      </c>
      <c r="I6104" s="450" t="s">
        <v>36017</v>
      </c>
      <c r="J6104" s="450" t="s">
        <v>22943</v>
      </c>
      <c r="K6104" s="450"/>
    </row>
    <row r="6105" spans="1:11">
      <c r="A6105" s="451" t="s">
        <v>10073</v>
      </c>
      <c r="B6105" s="451"/>
      <c r="C6105" s="451" t="s">
        <v>8796</v>
      </c>
      <c r="D6105" s="451"/>
      <c r="E6105" s="451"/>
      <c r="F6105" s="451"/>
      <c r="G6105" s="451" t="s">
        <v>22882</v>
      </c>
      <c r="H6105" s="451" t="s">
        <v>22883</v>
      </c>
      <c r="I6105" s="451" t="s">
        <v>36017</v>
      </c>
      <c r="J6105" s="451" t="s">
        <v>22937</v>
      </c>
      <c r="K6105" s="451"/>
    </row>
    <row r="6106" spans="1:11">
      <c r="A6106" s="450" t="s">
        <v>10074</v>
      </c>
      <c r="B6106" s="450"/>
      <c r="C6106" s="450" t="s">
        <v>6305</v>
      </c>
      <c r="D6106" s="450"/>
      <c r="E6106" s="450"/>
      <c r="F6106" s="450"/>
      <c r="G6106" s="450" t="s">
        <v>22877</v>
      </c>
      <c r="H6106" s="450" t="s">
        <v>22878</v>
      </c>
      <c r="I6106" s="450" t="s">
        <v>36018</v>
      </c>
      <c r="J6106" s="450" t="s">
        <v>22997</v>
      </c>
      <c r="K6106" s="450"/>
    </row>
    <row r="6107" spans="1:11">
      <c r="A6107" s="451" t="s">
        <v>10075</v>
      </c>
      <c r="B6107" s="451"/>
      <c r="C6107" s="451" t="s">
        <v>10076</v>
      </c>
      <c r="D6107" s="451"/>
      <c r="E6107" s="451"/>
      <c r="F6107" s="451"/>
      <c r="G6107" s="451" t="s">
        <v>22877</v>
      </c>
      <c r="H6107" s="451" t="s">
        <v>22878</v>
      </c>
      <c r="I6107" s="451" t="s">
        <v>36019</v>
      </c>
      <c r="J6107" s="451" t="s">
        <v>23370</v>
      </c>
      <c r="K6107" s="451"/>
    </row>
    <row r="6108" spans="1:11">
      <c r="A6108" s="450" t="s">
        <v>10077</v>
      </c>
      <c r="B6108" s="450"/>
      <c r="C6108" s="450" t="s">
        <v>10078</v>
      </c>
      <c r="D6108" s="450"/>
      <c r="E6108" s="450"/>
      <c r="F6108" s="450"/>
      <c r="G6108" s="450" t="s">
        <v>22882</v>
      </c>
      <c r="H6108" s="450" t="s">
        <v>22883</v>
      </c>
      <c r="I6108" s="450" t="s">
        <v>36020</v>
      </c>
      <c r="J6108" s="450" t="s">
        <v>22937</v>
      </c>
      <c r="K6108" s="450"/>
    </row>
    <row r="6109" spans="1:11">
      <c r="A6109" s="451" t="s">
        <v>36021</v>
      </c>
      <c r="B6109" s="451"/>
      <c r="C6109" s="451" t="s">
        <v>10078</v>
      </c>
      <c r="D6109" s="451"/>
      <c r="E6109" s="451"/>
      <c r="F6109" s="451"/>
      <c r="G6109" s="451" t="s">
        <v>22882</v>
      </c>
      <c r="H6109" s="451" t="s">
        <v>22883</v>
      </c>
      <c r="I6109" s="451"/>
      <c r="J6109" s="451" t="s">
        <v>23370</v>
      </c>
      <c r="K6109" s="451"/>
    </row>
    <row r="6110" spans="1:11">
      <c r="A6110" s="450" t="s">
        <v>36022</v>
      </c>
      <c r="B6110" s="450"/>
      <c r="C6110" s="450" t="s">
        <v>10080</v>
      </c>
      <c r="D6110" s="450"/>
      <c r="E6110" s="450"/>
      <c r="F6110" s="450"/>
      <c r="G6110" s="450" t="s">
        <v>22882</v>
      </c>
      <c r="H6110" s="450" t="s">
        <v>22883</v>
      </c>
      <c r="I6110" s="450" t="s">
        <v>36023</v>
      </c>
      <c r="J6110" s="450" t="s">
        <v>22997</v>
      </c>
      <c r="K6110" s="450"/>
    </row>
    <row r="6111" spans="1:11">
      <c r="A6111" s="451" t="s">
        <v>10079</v>
      </c>
      <c r="B6111" s="451"/>
      <c r="C6111" s="451" t="s">
        <v>10080</v>
      </c>
      <c r="D6111" s="451"/>
      <c r="E6111" s="451"/>
      <c r="F6111" s="451"/>
      <c r="G6111" s="451" t="s">
        <v>22882</v>
      </c>
      <c r="H6111" s="451" t="s">
        <v>22883</v>
      </c>
      <c r="I6111" s="451" t="s">
        <v>36023</v>
      </c>
      <c r="J6111" s="451" t="s">
        <v>22939</v>
      </c>
      <c r="K6111" s="451"/>
    </row>
    <row r="6112" spans="1:11">
      <c r="A6112" s="450" t="s">
        <v>21762</v>
      </c>
      <c r="B6112" s="450"/>
      <c r="C6112" s="450" t="s">
        <v>3847</v>
      </c>
      <c r="D6112" s="450"/>
      <c r="E6112" s="450"/>
      <c r="F6112" s="450"/>
      <c r="G6112" s="450" t="s">
        <v>22882</v>
      </c>
      <c r="H6112" s="450" t="s">
        <v>22883</v>
      </c>
      <c r="I6112" s="450" t="s">
        <v>26442</v>
      </c>
      <c r="J6112" s="450" t="s">
        <v>22997</v>
      </c>
      <c r="K6112" s="450"/>
    </row>
    <row r="6113" spans="1:11">
      <c r="A6113" s="451" t="s">
        <v>10081</v>
      </c>
      <c r="B6113" s="451" t="s">
        <v>31622</v>
      </c>
      <c r="C6113" s="451" t="s">
        <v>10083</v>
      </c>
      <c r="D6113" s="451" t="s">
        <v>10084</v>
      </c>
      <c r="E6113" s="451"/>
      <c r="F6113" s="451"/>
      <c r="G6113" s="451" t="s">
        <v>22877</v>
      </c>
      <c r="H6113" s="451" t="s">
        <v>22878</v>
      </c>
      <c r="I6113" s="451" t="s">
        <v>10084</v>
      </c>
      <c r="J6113" s="451" t="s">
        <v>26443</v>
      </c>
      <c r="K6113" s="451"/>
    </row>
    <row r="6114" spans="1:11">
      <c r="A6114" s="450" t="s">
        <v>36024</v>
      </c>
      <c r="B6114" s="450"/>
      <c r="C6114" s="450" t="s">
        <v>2261</v>
      </c>
      <c r="D6114" s="450"/>
      <c r="E6114" s="450"/>
      <c r="F6114" s="450"/>
      <c r="G6114" s="450" t="s">
        <v>22877</v>
      </c>
      <c r="H6114" s="450" t="s">
        <v>22878</v>
      </c>
      <c r="I6114" s="450" t="s">
        <v>36025</v>
      </c>
      <c r="J6114" s="450" t="s">
        <v>22997</v>
      </c>
      <c r="K6114" s="450"/>
    </row>
    <row r="6115" spans="1:11">
      <c r="A6115" s="451" t="s">
        <v>10085</v>
      </c>
      <c r="B6115" s="451"/>
      <c r="C6115" s="451" t="s">
        <v>2261</v>
      </c>
      <c r="D6115" s="451"/>
      <c r="E6115" s="451"/>
      <c r="F6115" s="451"/>
      <c r="G6115" s="451" t="s">
        <v>22877</v>
      </c>
      <c r="H6115" s="451" t="s">
        <v>22878</v>
      </c>
      <c r="I6115" s="451"/>
      <c r="J6115" s="451" t="s">
        <v>22939</v>
      </c>
      <c r="K6115" s="451"/>
    </row>
    <row r="6116" spans="1:11">
      <c r="A6116" s="450" t="s">
        <v>10086</v>
      </c>
      <c r="B6116" s="450" t="s">
        <v>10087</v>
      </c>
      <c r="C6116" s="450" t="s">
        <v>10088</v>
      </c>
      <c r="D6116" s="450"/>
      <c r="E6116" s="450"/>
      <c r="F6116" s="450" t="s">
        <v>10089</v>
      </c>
      <c r="G6116" s="450" t="s">
        <v>22882</v>
      </c>
      <c r="H6116" s="450" t="s">
        <v>22883</v>
      </c>
      <c r="I6116" s="450" t="s">
        <v>26444</v>
      </c>
      <c r="J6116" s="450" t="s">
        <v>26445</v>
      </c>
      <c r="K6116" s="450"/>
    </row>
    <row r="6117" spans="1:11">
      <c r="A6117" s="451" t="s">
        <v>36026</v>
      </c>
      <c r="B6117" s="451"/>
      <c r="C6117" s="451" t="s">
        <v>10091</v>
      </c>
      <c r="D6117" s="451"/>
      <c r="E6117" s="451"/>
      <c r="F6117" s="451"/>
      <c r="G6117" s="451" t="s">
        <v>22877</v>
      </c>
      <c r="H6117" s="451" t="s">
        <v>22878</v>
      </c>
      <c r="I6117" s="451" t="s">
        <v>36027</v>
      </c>
      <c r="J6117" s="451" t="s">
        <v>22943</v>
      </c>
      <c r="K6117" s="451"/>
    </row>
    <row r="6118" spans="1:11">
      <c r="A6118" s="450" t="s">
        <v>10090</v>
      </c>
      <c r="B6118" s="450"/>
      <c r="C6118" s="450" t="s">
        <v>10091</v>
      </c>
      <c r="D6118" s="450"/>
      <c r="E6118" s="450"/>
      <c r="F6118" s="450"/>
      <c r="G6118" s="450" t="s">
        <v>22877</v>
      </c>
      <c r="H6118" s="450" t="s">
        <v>22878</v>
      </c>
      <c r="I6118" s="450" t="s">
        <v>36027</v>
      </c>
      <c r="J6118" s="450" t="s">
        <v>22939</v>
      </c>
      <c r="K6118" s="450"/>
    </row>
    <row r="6119" spans="1:11">
      <c r="A6119" s="451" t="s">
        <v>10092</v>
      </c>
      <c r="B6119" s="451"/>
      <c r="C6119" s="451" t="s">
        <v>7941</v>
      </c>
      <c r="D6119" s="451"/>
      <c r="E6119" s="451"/>
      <c r="F6119" s="451"/>
      <c r="G6119" s="451" t="s">
        <v>22882</v>
      </c>
      <c r="H6119" s="451" t="s">
        <v>22883</v>
      </c>
      <c r="I6119" s="451" t="s">
        <v>26446</v>
      </c>
      <c r="J6119" s="451" t="s">
        <v>23133</v>
      </c>
      <c r="K6119" s="451"/>
    </row>
    <row r="6120" spans="1:11">
      <c r="A6120" s="450" t="s">
        <v>36028</v>
      </c>
      <c r="B6120" s="450" t="s">
        <v>36029</v>
      </c>
      <c r="C6120" s="450" t="s">
        <v>10095</v>
      </c>
      <c r="D6120" s="450"/>
      <c r="E6120" s="450"/>
      <c r="F6120" s="450"/>
      <c r="G6120" s="450" t="s">
        <v>22882</v>
      </c>
      <c r="H6120" s="450" t="s">
        <v>22883</v>
      </c>
      <c r="I6120" s="450" t="s">
        <v>26447</v>
      </c>
      <c r="J6120" s="450" t="s">
        <v>36030</v>
      </c>
      <c r="K6120" s="450"/>
    </row>
    <row r="6121" spans="1:11">
      <c r="A6121" s="451" t="s">
        <v>10093</v>
      </c>
      <c r="B6121" s="451" t="s">
        <v>10094</v>
      </c>
      <c r="C6121" s="451" t="s">
        <v>10095</v>
      </c>
      <c r="D6121" s="451"/>
      <c r="E6121" s="451"/>
      <c r="F6121" s="451"/>
      <c r="G6121" s="451" t="s">
        <v>22882</v>
      </c>
      <c r="H6121" s="451" t="s">
        <v>22883</v>
      </c>
      <c r="I6121" s="451" t="s">
        <v>26447</v>
      </c>
      <c r="J6121" s="451" t="s">
        <v>31623</v>
      </c>
      <c r="K6121" s="451"/>
    </row>
    <row r="6122" spans="1:11">
      <c r="A6122" s="450" t="s">
        <v>36031</v>
      </c>
      <c r="B6122" s="450"/>
      <c r="C6122" s="450" t="s">
        <v>2954</v>
      </c>
      <c r="D6122" s="450"/>
      <c r="E6122" s="450"/>
      <c r="F6122" s="450"/>
      <c r="G6122" s="450" t="s">
        <v>22882</v>
      </c>
      <c r="H6122" s="450" t="s">
        <v>22883</v>
      </c>
      <c r="I6122" s="450" t="s">
        <v>36032</v>
      </c>
      <c r="J6122" s="450" t="s">
        <v>23185</v>
      </c>
      <c r="K6122" s="450"/>
    </row>
    <row r="6123" spans="1:11">
      <c r="A6123" s="451" t="s">
        <v>10096</v>
      </c>
      <c r="B6123" s="451"/>
      <c r="C6123" s="451" t="s">
        <v>2954</v>
      </c>
      <c r="D6123" s="451"/>
      <c r="E6123" s="451"/>
      <c r="F6123" s="451"/>
      <c r="G6123" s="451" t="s">
        <v>22882</v>
      </c>
      <c r="H6123" s="451" t="s">
        <v>22883</v>
      </c>
      <c r="I6123" s="451" t="s">
        <v>36032</v>
      </c>
      <c r="J6123" s="451" t="s">
        <v>22939</v>
      </c>
      <c r="K6123" s="451"/>
    </row>
    <row r="6124" spans="1:11">
      <c r="A6124" s="450" t="s">
        <v>36033</v>
      </c>
      <c r="B6124" s="450"/>
      <c r="C6124" s="450" t="s">
        <v>4999</v>
      </c>
      <c r="D6124" s="450"/>
      <c r="E6124" s="450"/>
      <c r="F6124" s="450"/>
      <c r="G6124" s="450" t="s">
        <v>22877</v>
      </c>
      <c r="H6124" s="450" t="s">
        <v>22878</v>
      </c>
      <c r="I6124" s="450"/>
      <c r="J6124" s="450" t="s">
        <v>22997</v>
      </c>
      <c r="K6124" s="450"/>
    </row>
    <row r="6125" spans="1:11">
      <c r="A6125" s="451" t="s">
        <v>10097</v>
      </c>
      <c r="B6125" s="451"/>
      <c r="C6125" s="451" t="s">
        <v>4999</v>
      </c>
      <c r="D6125" s="451"/>
      <c r="E6125" s="451"/>
      <c r="F6125" s="451"/>
      <c r="G6125" s="451" t="s">
        <v>22877</v>
      </c>
      <c r="H6125" s="451" t="s">
        <v>22878</v>
      </c>
      <c r="I6125" s="451" t="s">
        <v>36034</v>
      </c>
      <c r="J6125" s="451" t="s">
        <v>22939</v>
      </c>
      <c r="K6125" s="451"/>
    </row>
    <row r="6126" spans="1:11">
      <c r="A6126" s="450" t="s">
        <v>10098</v>
      </c>
      <c r="B6126" s="450"/>
      <c r="C6126" s="450" t="s">
        <v>10099</v>
      </c>
      <c r="D6126" s="450"/>
      <c r="E6126" s="450"/>
      <c r="F6126" s="450"/>
      <c r="G6126" s="450" t="s">
        <v>22882</v>
      </c>
      <c r="H6126" s="450" t="s">
        <v>22883</v>
      </c>
      <c r="I6126" s="450"/>
      <c r="J6126" s="450" t="s">
        <v>23121</v>
      </c>
      <c r="K6126" s="450"/>
    </row>
    <row r="6127" spans="1:11">
      <c r="A6127" s="451" t="s">
        <v>21763</v>
      </c>
      <c r="B6127" s="451"/>
      <c r="C6127" s="451" t="s">
        <v>10100</v>
      </c>
      <c r="D6127" s="451"/>
      <c r="E6127" s="451"/>
      <c r="F6127" s="451"/>
      <c r="G6127" s="451" t="s">
        <v>22877</v>
      </c>
      <c r="H6127" s="451" t="s">
        <v>22878</v>
      </c>
      <c r="I6127" s="451" t="s">
        <v>36035</v>
      </c>
      <c r="J6127" s="451" t="s">
        <v>22939</v>
      </c>
      <c r="K6127" s="451"/>
    </row>
    <row r="6128" spans="1:11">
      <c r="A6128" s="450" t="s">
        <v>36036</v>
      </c>
      <c r="B6128" s="450"/>
      <c r="C6128" s="450" t="s">
        <v>4152</v>
      </c>
      <c r="D6128" s="450"/>
      <c r="E6128" s="450"/>
      <c r="F6128" s="450"/>
      <c r="G6128" s="450" t="s">
        <v>22882</v>
      </c>
      <c r="H6128" s="450" t="s">
        <v>22883</v>
      </c>
      <c r="I6128" s="450"/>
      <c r="J6128" s="450" t="s">
        <v>22943</v>
      </c>
      <c r="K6128" s="450"/>
    </row>
    <row r="6129" spans="1:11">
      <c r="A6129" s="451" t="s">
        <v>10101</v>
      </c>
      <c r="B6129" s="451"/>
      <c r="C6129" s="451" t="s">
        <v>4152</v>
      </c>
      <c r="D6129" s="451"/>
      <c r="E6129" s="451"/>
      <c r="F6129" s="451"/>
      <c r="G6129" s="451" t="s">
        <v>22882</v>
      </c>
      <c r="H6129" s="451" t="s">
        <v>22883</v>
      </c>
      <c r="I6129" s="451"/>
      <c r="J6129" s="451" t="s">
        <v>22939</v>
      </c>
      <c r="K6129" s="451"/>
    </row>
    <row r="6130" spans="1:11">
      <c r="A6130" s="450" t="s">
        <v>36037</v>
      </c>
      <c r="B6130" s="450"/>
      <c r="C6130" s="450" t="s">
        <v>3208</v>
      </c>
      <c r="D6130" s="450"/>
      <c r="E6130" s="450"/>
      <c r="F6130" s="450"/>
      <c r="G6130" s="450" t="s">
        <v>22877</v>
      </c>
      <c r="H6130" s="450" t="s">
        <v>22878</v>
      </c>
      <c r="I6130" s="450" t="s">
        <v>36038</v>
      </c>
      <c r="J6130" s="450" t="s">
        <v>23370</v>
      </c>
      <c r="K6130" s="450"/>
    </row>
    <row r="6131" spans="1:11">
      <c r="A6131" s="451" t="s">
        <v>10102</v>
      </c>
      <c r="B6131" s="451"/>
      <c r="C6131" s="451" t="s">
        <v>3208</v>
      </c>
      <c r="D6131" s="451"/>
      <c r="E6131" s="451"/>
      <c r="F6131" s="451"/>
      <c r="G6131" s="451" t="s">
        <v>22877</v>
      </c>
      <c r="H6131" s="451" t="s">
        <v>22878</v>
      </c>
      <c r="I6131" s="451" t="s">
        <v>36038</v>
      </c>
      <c r="J6131" s="451" t="s">
        <v>22942</v>
      </c>
      <c r="K6131" s="451"/>
    </row>
    <row r="6132" spans="1:11">
      <c r="A6132" s="450" t="s">
        <v>10103</v>
      </c>
      <c r="B6132" s="450"/>
      <c r="C6132" s="450" t="s">
        <v>10104</v>
      </c>
      <c r="D6132" s="450"/>
      <c r="E6132" s="450"/>
      <c r="F6132" s="450"/>
      <c r="G6132" s="450" t="s">
        <v>22882</v>
      </c>
      <c r="H6132" s="450" t="s">
        <v>22883</v>
      </c>
      <c r="I6132" s="450"/>
      <c r="J6132" s="450" t="s">
        <v>22943</v>
      </c>
      <c r="K6132" s="450"/>
    </row>
    <row r="6133" spans="1:11">
      <c r="A6133" s="451" t="s">
        <v>36039</v>
      </c>
      <c r="B6133" s="451"/>
      <c r="C6133" s="451" t="s">
        <v>9503</v>
      </c>
      <c r="D6133" s="451"/>
      <c r="E6133" s="451"/>
      <c r="F6133" s="451"/>
      <c r="G6133" s="451" t="s">
        <v>22882</v>
      </c>
      <c r="H6133" s="451" t="s">
        <v>22883</v>
      </c>
      <c r="I6133" s="451"/>
      <c r="J6133" s="451" t="s">
        <v>22943</v>
      </c>
      <c r="K6133" s="451"/>
    </row>
    <row r="6134" spans="1:11">
      <c r="A6134" s="450" t="s">
        <v>21764</v>
      </c>
      <c r="B6134" s="450"/>
      <c r="C6134" s="450" t="s">
        <v>9503</v>
      </c>
      <c r="D6134" s="450"/>
      <c r="E6134" s="450"/>
      <c r="F6134" s="450"/>
      <c r="G6134" s="450" t="s">
        <v>22882</v>
      </c>
      <c r="H6134" s="450" t="s">
        <v>22883</v>
      </c>
      <c r="I6134" s="450"/>
      <c r="J6134" s="450" t="s">
        <v>22937</v>
      </c>
      <c r="K6134" s="450"/>
    </row>
    <row r="6135" spans="1:11">
      <c r="A6135" s="451" t="s">
        <v>10105</v>
      </c>
      <c r="B6135" s="451"/>
      <c r="C6135" s="451" t="s">
        <v>4003</v>
      </c>
      <c r="D6135" s="451"/>
      <c r="E6135" s="451"/>
      <c r="F6135" s="451"/>
      <c r="G6135" s="451" t="s">
        <v>22882</v>
      </c>
      <c r="H6135" s="451" t="s">
        <v>22883</v>
      </c>
      <c r="I6135" s="451" t="s">
        <v>26448</v>
      </c>
      <c r="J6135" s="451" t="s">
        <v>23133</v>
      </c>
      <c r="K6135" s="451"/>
    </row>
    <row r="6136" spans="1:11">
      <c r="A6136" s="450" t="s">
        <v>26449</v>
      </c>
      <c r="B6136" s="450" t="s">
        <v>26396</v>
      </c>
      <c r="C6136" s="450" t="s">
        <v>26450</v>
      </c>
      <c r="D6136" s="450"/>
      <c r="E6136" s="450"/>
      <c r="F6136" s="450"/>
      <c r="G6136" s="450" t="s">
        <v>22877</v>
      </c>
      <c r="H6136" s="450" t="s">
        <v>22878</v>
      </c>
      <c r="I6136" s="450" t="s">
        <v>26451</v>
      </c>
      <c r="J6136" s="450" t="s">
        <v>26399</v>
      </c>
      <c r="K6136" s="450"/>
    </row>
    <row r="6137" spans="1:11">
      <c r="A6137" s="451" t="s">
        <v>10106</v>
      </c>
      <c r="B6137" s="451"/>
      <c r="C6137" s="451" t="s">
        <v>10107</v>
      </c>
      <c r="D6137" s="451"/>
      <c r="E6137" s="451"/>
      <c r="F6137" s="451"/>
      <c r="G6137" s="451" t="s">
        <v>22882</v>
      </c>
      <c r="H6137" s="451" t="s">
        <v>22883</v>
      </c>
      <c r="I6137" s="451" t="s">
        <v>26452</v>
      </c>
      <c r="J6137" s="451" t="s">
        <v>22939</v>
      </c>
      <c r="K6137" s="451"/>
    </row>
    <row r="6138" spans="1:11">
      <c r="A6138" s="450" t="s">
        <v>10108</v>
      </c>
      <c r="B6138" s="450" t="s">
        <v>26453</v>
      </c>
      <c r="C6138" s="450" t="s">
        <v>26454</v>
      </c>
      <c r="D6138" s="450" t="s">
        <v>26455</v>
      </c>
      <c r="E6138" s="450"/>
      <c r="F6138" s="450"/>
      <c r="G6138" s="450" t="s">
        <v>22877</v>
      </c>
      <c r="H6138" s="450" t="s">
        <v>22878</v>
      </c>
      <c r="I6138" s="450" t="s">
        <v>26456</v>
      </c>
      <c r="J6138" s="450" t="s">
        <v>26457</v>
      </c>
      <c r="K6138" s="450"/>
    </row>
    <row r="6139" spans="1:11">
      <c r="A6139" s="451" t="s">
        <v>10108</v>
      </c>
      <c r="B6139" s="451" t="s">
        <v>10109</v>
      </c>
      <c r="C6139" s="451" t="s">
        <v>10110</v>
      </c>
      <c r="D6139" s="451" t="s">
        <v>10111</v>
      </c>
      <c r="E6139" s="451" t="s">
        <v>10112</v>
      </c>
      <c r="F6139" s="451"/>
      <c r="G6139" s="451" t="s">
        <v>22882</v>
      </c>
      <c r="H6139" s="451" t="s">
        <v>22883</v>
      </c>
      <c r="I6139" s="451" t="s">
        <v>10111</v>
      </c>
      <c r="J6139" s="451" t="s">
        <v>31624</v>
      </c>
      <c r="K6139" s="451"/>
    </row>
    <row r="6140" spans="1:11">
      <c r="A6140" s="450" t="s">
        <v>36040</v>
      </c>
      <c r="B6140" s="450" t="s">
        <v>10114</v>
      </c>
      <c r="C6140" s="450" t="s">
        <v>10115</v>
      </c>
      <c r="D6140" s="450" t="s">
        <v>10116</v>
      </c>
      <c r="E6140" s="450"/>
      <c r="F6140" s="450"/>
      <c r="G6140" s="450" t="s">
        <v>22877</v>
      </c>
      <c r="H6140" s="450" t="s">
        <v>22878</v>
      </c>
      <c r="I6140" s="450"/>
      <c r="J6140" s="450" t="s">
        <v>36041</v>
      </c>
      <c r="K6140" s="450"/>
    </row>
    <row r="6141" spans="1:11">
      <c r="A6141" s="451" t="s">
        <v>10113</v>
      </c>
      <c r="B6141" s="451" t="s">
        <v>10114</v>
      </c>
      <c r="C6141" s="451" t="s">
        <v>10115</v>
      </c>
      <c r="D6141" s="451" t="s">
        <v>10116</v>
      </c>
      <c r="E6141" s="451"/>
      <c r="F6141" s="451"/>
      <c r="G6141" s="451" t="s">
        <v>22877</v>
      </c>
      <c r="H6141" s="451" t="s">
        <v>22878</v>
      </c>
      <c r="I6141" s="451" t="s">
        <v>31625</v>
      </c>
      <c r="J6141" s="451" t="s">
        <v>31626</v>
      </c>
      <c r="K6141" s="451"/>
    </row>
    <row r="6142" spans="1:11">
      <c r="A6142" s="450" t="s">
        <v>10117</v>
      </c>
      <c r="B6142" s="450"/>
      <c r="C6142" s="450" t="s">
        <v>10118</v>
      </c>
      <c r="D6142" s="450"/>
      <c r="E6142" s="450"/>
      <c r="F6142" s="450"/>
      <c r="G6142" s="450" t="s">
        <v>22877</v>
      </c>
      <c r="H6142" s="450" t="s">
        <v>22878</v>
      </c>
      <c r="I6142" s="450" t="s">
        <v>36042</v>
      </c>
      <c r="J6142" s="450" t="s">
        <v>22939</v>
      </c>
      <c r="K6142" s="450"/>
    </row>
    <row r="6143" spans="1:11">
      <c r="A6143" s="451" t="s">
        <v>36043</v>
      </c>
      <c r="B6143" s="451"/>
      <c r="C6143" s="451" t="s">
        <v>10118</v>
      </c>
      <c r="D6143" s="451"/>
      <c r="E6143" s="451"/>
      <c r="F6143" s="451"/>
      <c r="G6143" s="451" t="s">
        <v>22877</v>
      </c>
      <c r="H6143" s="451" t="s">
        <v>22878</v>
      </c>
      <c r="I6143" s="451" t="s">
        <v>36042</v>
      </c>
      <c r="J6143" s="451" t="s">
        <v>22943</v>
      </c>
      <c r="K6143" s="451"/>
    </row>
    <row r="6144" spans="1:11">
      <c r="A6144" s="450" t="s">
        <v>10119</v>
      </c>
      <c r="B6144" s="450"/>
      <c r="C6144" s="450" t="s">
        <v>10120</v>
      </c>
      <c r="D6144" s="450"/>
      <c r="E6144" s="450"/>
      <c r="F6144" s="450"/>
      <c r="G6144" s="450" t="s">
        <v>22882</v>
      </c>
      <c r="H6144" s="450" t="s">
        <v>22883</v>
      </c>
      <c r="I6144" s="450" t="s">
        <v>26458</v>
      </c>
      <c r="J6144" s="450" t="s">
        <v>22939</v>
      </c>
      <c r="K6144" s="450"/>
    </row>
    <row r="6145" spans="1:11">
      <c r="A6145" s="451" t="s">
        <v>10121</v>
      </c>
      <c r="B6145" s="451" t="s">
        <v>10122</v>
      </c>
      <c r="C6145" s="451" t="s">
        <v>10123</v>
      </c>
      <c r="D6145" s="451"/>
      <c r="E6145" s="451"/>
      <c r="F6145" s="451"/>
      <c r="G6145" s="451" t="s">
        <v>22877</v>
      </c>
      <c r="H6145" s="451" t="s">
        <v>22878</v>
      </c>
      <c r="I6145" s="451" t="s">
        <v>31627</v>
      </c>
      <c r="J6145" s="451" t="s">
        <v>31628</v>
      </c>
      <c r="K6145" s="451"/>
    </row>
    <row r="6146" spans="1:11">
      <c r="A6146" s="450" t="s">
        <v>26459</v>
      </c>
      <c r="B6146" s="450" t="s">
        <v>26460</v>
      </c>
      <c r="C6146" s="450" t="s">
        <v>26461</v>
      </c>
      <c r="D6146" s="450"/>
      <c r="E6146" s="450"/>
      <c r="F6146" s="450"/>
      <c r="G6146" s="450" t="s">
        <v>22877</v>
      </c>
      <c r="H6146" s="450" t="s">
        <v>22878</v>
      </c>
      <c r="I6146" s="450"/>
      <c r="J6146" s="450" t="s">
        <v>26462</v>
      </c>
      <c r="K6146" s="450"/>
    </row>
    <row r="6147" spans="1:11">
      <c r="A6147" s="451" t="s">
        <v>36044</v>
      </c>
      <c r="B6147" s="451" t="s">
        <v>10125</v>
      </c>
      <c r="C6147" s="451" t="s">
        <v>10126</v>
      </c>
      <c r="D6147" s="451" t="s">
        <v>10127</v>
      </c>
      <c r="E6147" s="451"/>
      <c r="F6147" s="451"/>
      <c r="G6147" s="451" t="s">
        <v>22882</v>
      </c>
      <c r="H6147" s="451" t="s">
        <v>22883</v>
      </c>
      <c r="I6147" s="451" t="s">
        <v>36045</v>
      </c>
      <c r="J6147" s="451" t="s">
        <v>36046</v>
      </c>
      <c r="K6147" s="451"/>
    </row>
    <row r="6148" spans="1:11">
      <c r="A6148" s="450" t="s">
        <v>10124</v>
      </c>
      <c r="B6148" s="450" t="s">
        <v>10125</v>
      </c>
      <c r="C6148" s="450" t="s">
        <v>10126</v>
      </c>
      <c r="D6148" s="450" t="s">
        <v>10127</v>
      </c>
      <c r="E6148" s="450"/>
      <c r="F6148" s="450"/>
      <c r="G6148" s="450" t="s">
        <v>22882</v>
      </c>
      <c r="H6148" s="450" t="s">
        <v>22883</v>
      </c>
      <c r="I6148" s="450" t="s">
        <v>10127</v>
      </c>
      <c r="J6148" s="450" t="s">
        <v>31629</v>
      </c>
      <c r="K6148" s="450"/>
    </row>
    <row r="6149" spans="1:11">
      <c r="A6149" s="451" t="s">
        <v>10128</v>
      </c>
      <c r="B6149" s="451"/>
      <c r="C6149" s="451" t="s">
        <v>10129</v>
      </c>
      <c r="D6149" s="451"/>
      <c r="E6149" s="451"/>
      <c r="F6149" s="451"/>
      <c r="G6149" s="451" t="s">
        <v>22882</v>
      </c>
      <c r="H6149" s="451" t="s">
        <v>22883</v>
      </c>
      <c r="I6149" s="451" t="s">
        <v>26463</v>
      </c>
      <c r="J6149" s="451" t="s">
        <v>22997</v>
      </c>
      <c r="K6149" s="451"/>
    </row>
    <row r="6150" spans="1:11">
      <c r="A6150" s="450" t="s">
        <v>26464</v>
      </c>
      <c r="B6150" s="450" t="s">
        <v>26465</v>
      </c>
      <c r="C6150" s="450" t="s">
        <v>26466</v>
      </c>
      <c r="D6150" s="450" t="s">
        <v>26467</v>
      </c>
      <c r="E6150" s="450"/>
      <c r="F6150" s="450"/>
      <c r="G6150" s="450" t="s">
        <v>22877</v>
      </c>
      <c r="H6150" s="450" t="s">
        <v>22878</v>
      </c>
      <c r="I6150" s="450" t="s">
        <v>26467</v>
      </c>
      <c r="J6150" s="450" t="s">
        <v>26468</v>
      </c>
      <c r="K6150" s="450"/>
    </row>
    <row r="6151" spans="1:11">
      <c r="A6151" s="451" t="s">
        <v>10130</v>
      </c>
      <c r="B6151" s="451" t="s">
        <v>26469</v>
      </c>
      <c r="C6151" s="451" t="s">
        <v>10132</v>
      </c>
      <c r="D6151" s="451" t="s">
        <v>10133</v>
      </c>
      <c r="E6151" s="451"/>
      <c r="F6151" s="451"/>
      <c r="G6151" s="451" t="s">
        <v>22877</v>
      </c>
      <c r="H6151" s="451" t="s">
        <v>22878</v>
      </c>
      <c r="I6151" s="451" t="s">
        <v>26470</v>
      </c>
      <c r="J6151" s="451" t="s">
        <v>26471</v>
      </c>
      <c r="K6151" s="451"/>
    </row>
    <row r="6152" spans="1:11">
      <c r="A6152" s="450" t="s">
        <v>10130</v>
      </c>
      <c r="B6152" s="450" t="s">
        <v>10131</v>
      </c>
      <c r="C6152" s="450" t="s">
        <v>10132</v>
      </c>
      <c r="D6152" s="450" t="s">
        <v>10133</v>
      </c>
      <c r="E6152" s="450" t="s">
        <v>10134</v>
      </c>
      <c r="F6152" s="450"/>
      <c r="G6152" s="450" t="s">
        <v>22877</v>
      </c>
      <c r="H6152" s="450" t="s">
        <v>22878</v>
      </c>
      <c r="I6152" s="450" t="s">
        <v>10133</v>
      </c>
      <c r="J6152" s="450" t="s">
        <v>31630</v>
      </c>
      <c r="K6152" s="450"/>
    </row>
    <row r="6153" spans="1:11">
      <c r="A6153" s="451" t="s">
        <v>36047</v>
      </c>
      <c r="B6153" s="451"/>
      <c r="C6153" s="451" t="s">
        <v>10136</v>
      </c>
      <c r="D6153" s="451"/>
      <c r="E6153" s="451"/>
      <c r="F6153" s="451"/>
      <c r="G6153" s="451" t="s">
        <v>22877</v>
      </c>
      <c r="H6153" s="451" t="s">
        <v>22878</v>
      </c>
      <c r="I6153" s="451" t="s">
        <v>36048</v>
      </c>
      <c r="J6153" s="451" t="s">
        <v>23370</v>
      </c>
      <c r="K6153" s="451"/>
    </row>
    <row r="6154" spans="1:11">
      <c r="A6154" s="450" t="s">
        <v>10135</v>
      </c>
      <c r="B6154" s="450"/>
      <c r="C6154" s="450" t="s">
        <v>10136</v>
      </c>
      <c r="D6154" s="450"/>
      <c r="E6154" s="450"/>
      <c r="F6154" s="450"/>
      <c r="G6154" s="450" t="s">
        <v>22877</v>
      </c>
      <c r="H6154" s="450" t="s">
        <v>22878</v>
      </c>
      <c r="I6154" s="450" t="s">
        <v>36048</v>
      </c>
      <c r="J6154" s="450" t="s">
        <v>22958</v>
      </c>
      <c r="K6154" s="450"/>
    </row>
    <row r="6155" spans="1:11">
      <c r="A6155" s="451" t="s">
        <v>10137</v>
      </c>
      <c r="B6155" s="451"/>
      <c r="C6155" s="451" t="s">
        <v>10138</v>
      </c>
      <c r="D6155" s="451"/>
      <c r="E6155" s="451"/>
      <c r="F6155" s="451"/>
      <c r="G6155" s="451" t="s">
        <v>22882</v>
      </c>
      <c r="H6155" s="451" t="s">
        <v>22883</v>
      </c>
      <c r="I6155" s="451"/>
      <c r="J6155" s="451" t="s">
        <v>22939</v>
      </c>
      <c r="K6155" s="451"/>
    </row>
    <row r="6156" spans="1:11">
      <c r="A6156" s="450" t="s">
        <v>36049</v>
      </c>
      <c r="B6156" s="450"/>
      <c r="C6156" s="450" t="s">
        <v>10138</v>
      </c>
      <c r="D6156" s="450"/>
      <c r="E6156" s="450"/>
      <c r="F6156" s="450"/>
      <c r="G6156" s="450" t="s">
        <v>22882</v>
      </c>
      <c r="H6156" s="450" t="s">
        <v>22883</v>
      </c>
      <c r="I6156" s="450"/>
      <c r="J6156" s="450" t="s">
        <v>23133</v>
      </c>
      <c r="K6156" s="450"/>
    </row>
    <row r="6157" spans="1:11">
      <c r="A6157" s="451" t="s">
        <v>36050</v>
      </c>
      <c r="B6157" s="451"/>
      <c r="C6157" s="451" t="s">
        <v>10140</v>
      </c>
      <c r="D6157" s="451"/>
      <c r="E6157" s="451"/>
      <c r="F6157" s="451"/>
      <c r="G6157" s="451" t="s">
        <v>22882</v>
      </c>
      <c r="H6157" s="451" t="s">
        <v>22883</v>
      </c>
      <c r="I6157" s="451"/>
      <c r="J6157" s="451" t="s">
        <v>22943</v>
      </c>
      <c r="K6157" s="451"/>
    </row>
    <row r="6158" spans="1:11">
      <c r="A6158" s="450" t="s">
        <v>10139</v>
      </c>
      <c r="B6158" s="450"/>
      <c r="C6158" s="450" t="s">
        <v>10140</v>
      </c>
      <c r="D6158" s="450"/>
      <c r="E6158" s="450"/>
      <c r="F6158" s="450"/>
      <c r="G6158" s="450" t="s">
        <v>22882</v>
      </c>
      <c r="H6158" s="450" t="s">
        <v>22883</v>
      </c>
      <c r="I6158" s="450"/>
      <c r="J6158" s="450" t="s">
        <v>22937</v>
      </c>
      <c r="K6158" s="450"/>
    </row>
    <row r="6159" spans="1:11">
      <c r="A6159" s="451" t="s">
        <v>36051</v>
      </c>
      <c r="B6159" s="451"/>
      <c r="C6159" s="451" t="s">
        <v>4426</v>
      </c>
      <c r="D6159" s="451"/>
      <c r="E6159" s="451"/>
      <c r="F6159" s="451"/>
      <c r="G6159" s="451" t="s">
        <v>22877</v>
      </c>
      <c r="H6159" s="451" t="s">
        <v>22878</v>
      </c>
      <c r="I6159" s="451" t="s">
        <v>36052</v>
      </c>
      <c r="J6159" s="451" t="s">
        <v>22943</v>
      </c>
      <c r="K6159" s="451"/>
    </row>
    <row r="6160" spans="1:11">
      <c r="A6160" s="450" t="s">
        <v>10141</v>
      </c>
      <c r="B6160" s="450"/>
      <c r="C6160" s="450" t="s">
        <v>4426</v>
      </c>
      <c r="D6160" s="450"/>
      <c r="E6160" s="450"/>
      <c r="F6160" s="450"/>
      <c r="G6160" s="450" t="s">
        <v>22877</v>
      </c>
      <c r="H6160" s="450" t="s">
        <v>22878</v>
      </c>
      <c r="I6160" s="450" t="s">
        <v>36052</v>
      </c>
      <c r="J6160" s="450" t="s">
        <v>22937</v>
      </c>
      <c r="K6160" s="450"/>
    </row>
    <row r="6161" spans="1:11">
      <c r="A6161" s="451" t="s">
        <v>10142</v>
      </c>
      <c r="B6161" s="451"/>
      <c r="C6161" s="451" t="s">
        <v>3513</v>
      </c>
      <c r="D6161" s="451"/>
      <c r="E6161" s="451"/>
      <c r="F6161" s="451"/>
      <c r="G6161" s="451" t="s">
        <v>22877</v>
      </c>
      <c r="H6161" s="451" t="s">
        <v>22878</v>
      </c>
      <c r="I6161" s="451" t="s">
        <v>26472</v>
      </c>
      <c r="J6161" s="451" t="s">
        <v>23370</v>
      </c>
      <c r="K6161" s="451"/>
    </row>
    <row r="6162" spans="1:11">
      <c r="A6162" s="450" t="s">
        <v>10143</v>
      </c>
      <c r="B6162" s="450" t="s">
        <v>10144</v>
      </c>
      <c r="C6162" s="450" t="s">
        <v>10145</v>
      </c>
      <c r="D6162" s="450"/>
      <c r="E6162" s="450"/>
      <c r="F6162" s="450"/>
      <c r="G6162" s="450" t="s">
        <v>22882</v>
      </c>
      <c r="H6162" s="450" t="s">
        <v>22883</v>
      </c>
      <c r="I6162" s="450"/>
      <c r="J6162" s="450" t="s">
        <v>26473</v>
      </c>
      <c r="K6162" s="450"/>
    </row>
    <row r="6163" spans="1:11">
      <c r="A6163" s="451" t="s">
        <v>10146</v>
      </c>
      <c r="B6163" s="451"/>
      <c r="C6163" s="451" t="s">
        <v>3345</v>
      </c>
      <c r="D6163" s="451"/>
      <c r="E6163" s="451"/>
      <c r="F6163" s="451"/>
      <c r="G6163" s="451" t="s">
        <v>22877</v>
      </c>
      <c r="H6163" s="451" t="s">
        <v>22878</v>
      </c>
      <c r="I6163" s="451" t="s">
        <v>36053</v>
      </c>
      <c r="J6163" s="451" t="s">
        <v>22943</v>
      </c>
      <c r="K6163" s="451"/>
    </row>
    <row r="6164" spans="1:11">
      <c r="A6164" s="450" t="s">
        <v>10147</v>
      </c>
      <c r="B6164" s="450"/>
      <c r="C6164" s="450" t="s">
        <v>3010</v>
      </c>
      <c r="D6164" s="450"/>
      <c r="E6164" s="450"/>
      <c r="F6164" s="450"/>
      <c r="G6164" s="450" t="s">
        <v>22882</v>
      </c>
      <c r="H6164" s="450" t="s">
        <v>22883</v>
      </c>
      <c r="I6164" s="450" t="s">
        <v>36054</v>
      </c>
      <c r="J6164" s="450" t="s">
        <v>22943</v>
      </c>
      <c r="K6164" s="450"/>
    </row>
    <row r="6165" spans="1:11">
      <c r="A6165" s="451" t="s">
        <v>10148</v>
      </c>
      <c r="B6165" s="451"/>
      <c r="C6165" s="451" t="s">
        <v>9433</v>
      </c>
      <c r="D6165" s="451"/>
      <c r="E6165" s="451"/>
      <c r="F6165" s="451"/>
      <c r="G6165" s="451" t="s">
        <v>22882</v>
      </c>
      <c r="H6165" s="451" t="s">
        <v>22883</v>
      </c>
      <c r="I6165" s="451"/>
      <c r="J6165" s="451" t="s">
        <v>22943</v>
      </c>
      <c r="K6165" s="451"/>
    </row>
    <row r="6166" spans="1:11">
      <c r="A6166" s="450" t="s">
        <v>36055</v>
      </c>
      <c r="B6166" s="450"/>
      <c r="C6166" s="450" t="s">
        <v>10150</v>
      </c>
      <c r="D6166" s="450"/>
      <c r="E6166" s="450"/>
      <c r="F6166" s="450"/>
      <c r="G6166" s="450" t="s">
        <v>22877</v>
      </c>
      <c r="H6166" s="450" t="s">
        <v>22878</v>
      </c>
      <c r="I6166" s="450"/>
      <c r="J6166" s="450" t="s">
        <v>23370</v>
      </c>
      <c r="K6166" s="450"/>
    </row>
    <row r="6167" spans="1:11">
      <c r="A6167" s="451" t="s">
        <v>10149</v>
      </c>
      <c r="B6167" s="451"/>
      <c r="C6167" s="451" t="s">
        <v>10150</v>
      </c>
      <c r="D6167" s="451"/>
      <c r="E6167" s="451"/>
      <c r="F6167" s="451"/>
      <c r="G6167" s="451" t="s">
        <v>22877</v>
      </c>
      <c r="H6167" s="451" t="s">
        <v>22878</v>
      </c>
      <c r="I6167" s="451" t="s">
        <v>31631</v>
      </c>
      <c r="J6167" s="451" t="s">
        <v>22937</v>
      </c>
      <c r="K6167" s="451"/>
    </row>
    <row r="6168" spans="1:11">
      <c r="A6168" s="450" t="s">
        <v>26474</v>
      </c>
      <c r="B6168" s="450" t="s">
        <v>26475</v>
      </c>
      <c r="C6168" s="450" t="s">
        <v>10153</v>
      </c>
      <c r="D6168" s="450"/>
      <c r="E6168" s="450"/>
      <c r="F6168" s="450"/>
      <c r="G6168" s="450" t="s">
        <v>22882</v>
      </c>
      <c r="H6168" s="450" t="s">
        <v>22883</v>
      </c>
      <c r="I6168" s="450"/>
      <c r="J6168" s="450" t="s">
        <v>26476</v>
      </c>
      <c r="K6168" s="450"/>
    </row>
    <row r="6169" spans="1:11">
      <c r="A6169" s="451" t="s">
        <v>10151</v>
      </c>
      <c r="B6169" s="451" t="s">
        <v>10152</v>
      </c>
      <c r="C6169" s="451" t="s">
        <v>10153</v>
      </c>
      <c r="D6169" s="451"/>
      <c r="E6169" s="451"/>
      <c r="F6169" s="451"/>
      <c r="G6169" s="451" t="s">
        <v>22882</v>
      </c>
      <c r="H6169" s="451" t="s">
        <v>22883</v>
      </c>
      <c r="I6169" s="451" t="s">
        <v>31632</v>
      </c>
      <c r="J6169" s="451" t="s">
        <v>31633</v>
      </c>
      <c r="K6169" s="451"/>
    </row>
    <row r="6170" spans="1:11">
      <c r="A6170" s="450" t="s">
        <v>26477</v>
      </c>
      <c r="B6170" s="450" t="s">
        <v>26478</v>
      </c>
      <c r="C6170" s="450" t="s">
        <v>26479</v>
      </c>
      <c r="D6170" s="450"/>
      <c r="E6170" s="450"/>
      <c r="F6170" s="450"/>
      <c r="G6170" s="450" t="s">
        <v>22877</v>
      </c>
      <c r="H6170" s="450" t="s">
        <v>22878</v>
      </c>
      <c r="I6170" s="450" t="s">
        <v>26480</v>
      </c>
      <c r="J6170" s="450" t="s">
        <v>26481</v>
      </c>
      <c r="K6170" s="450"/>
    </row>
    <row r="6171" spans="1:11">
      <c r="A6171" s="451" t="s">
        <v>36056</v>
      </c>
      <c r="B6171" s="451" t="s">
        <v>36057</v>
      </c>
      <c r="C6171" s="451" t="s">
        <v>36058</v>
      </c>
      <c r="D6171" s="451" t="s">
        <v>36059</v>
      </c>
      <c r="E6171" s="451"/>
      <c r="F6171" s="451" t="s">
        <v>36060</v>
      </c>
      <c r="G6171" s="451" t="s">
        <v>22877</v>
      </c>
      <c r="H6171" s="451" t="s">
        <v>22878</v>
      </c>
      <c r="I6171" s="451"/>
      <c r="J6171" s="451" t="s">
        <v>36061</v>
      </c>
      <c r="K6171" s="451"/>
    </row>
    <row r="6172" spans="1:11">
      <c r="A6172" s="450" t="s">
        <v>36062</v>
      </c>
      <c r="B6172" s="450" t="s">
        <v>36063</v>
      </c>
      <c r="C6172" s="450" t="s">
        <v>36064</v>
      </c>
      <c r="D6172" s="450"/>
      <c r="E6172" s="450"/>
      <c r="F6172" s="450"/>
      <c r="G6172" s="450" t="s">
        <v>22877</v>
      </c>
      <c r="H6172" s="450" t="s">
        <v>22878</v>
      </c>
      <c r="I6172" s="450"/>
      <c r="J6172" s="450" t="s">
        <v>36065</v>
      </c>
      <c r="K6172" s="450"/>
    </row>
    <row r="6173" spans="1:11">
      <c r="A6173" s="451" t="s">
        <v>10154</v>
      </c>
      <c r="B6173" s="451"/>
      <c r="C6173" s="451" t="s">
        <v>10155</v>
      </c>
      <c r="D6173" s="451"/>
      <c r="E6173" s="451"/>
      <c r="F6173" s="451"/>
      <c r="G6173" s="451" t="s">
        <v>22877</v>
      </c>
      <c r="H6173" s="451" t="s">
        <v>22878</v>
      </c>
      <c r="I6173" s="451"/>
      <c r="J6173" s="451" t="s">
        <v>22943</v>
      </c>
      <c r="K6173" s="451"/>
    </row>
    <row r="6174" spans="1:11">
      <c r="A6174" s="450" t="s">
        <v>10156</v>
      </c>
      <c r="B6174" s="450"/>
      <c r="C6174" s="450" t="s">
        <v>10157</v>
      </c>
      <c r="D6174" s="450"/>
      <c r="E6174" s="450"/>
      <c r="F6174" s="450"/>
      <c r="G6174" s="450" t="s">
        <v>22882</v>
      </c>
      <c r="H6174" s="450" t="s">
        <v>22883</v>
      </c>
      <c r="I6174" s="450" t="s">
        <v>36066</v>
      </c>
      <c r="J6174" s="450" t="s">
        <v>23185</v>
      </c>
      <c r="K6174" s="450"/>
    </row>
    <row r="6175" spans="1:11">
      <c r="A6175" s="451" t="s">
        <v>10158</v>
      </c>
      <c r="B6175" s="451"/>
      <c r="C6175" s="451" t="s">
        <v>5582</v>
      </c>
      <c r="D6175" s="451"/>
      <c r="E6175" s="451"/>
      <c r="F6175" s="451"/>
      <c r="G6175" s="451" t="s">
        <v>22882</v>
      </c>
      <c r="H6175" s="451" t="s">
        <v>22883</v>
      </c>
      <c r="I6175" s="451" t="s">
        <v>36067</v>
      </c>
      <c r="J6175" s="451" t="s">
        <v>22939</v>
      </c>
      <c r="K6175" s="451"/>
    </row>
    <row r="6176" spans="1:11">
      <c r="A6176" s="450" t="s">
        <v>36068</v>
      </c>
      <c r="B6176" s="450"/>
      <c r="C6176" s="450" t="s">
        <v>5582</v>
      </c>
      <c r="D6176" s="450"/>
      <c r="E6176" s="450"/>
      <c r="F6176" s="450"/>
      <c r="G6176" s="450" t="s">
        <v>22882</v>
      </c>
      <c r="H6176" s="450" t="s">
        <v>22883</v>
      </c>
      <c r="I6176" s="450" t="s">
        <v>36069</v>
      </c>
      <c r="J6176" s="450" t="s">
        <v>22943</v>
      </c>
      <c r="K6176" s="450"/>
    </row>
    <row r="6177" spans="1:11">
      <c r="A6177" s="451" t="s">
        <v>36070</v>
      </c>
      <c r="B6177" s="451"/>
      <c r="C6177" s="451" t="s">
        <v>10159</v>
      </c>
      <c r="D6177" s="451"/>
      <c r="E6177" s="451"/>
      <c r="F6177" s="451"/>
      <c r="G6177" s="451" t="s">
        <v>22877</v>
      </c>
      <c r="H6177" s="451" t="s">
        <v>22878</v>
      </c>
      <c r="I6177" s="451" t="s">
        <v>36071</v>
      </c>
      <c r="J6177" s="451" t="s">
        <v>22943</v>
      </c>
      <c r="K6177" s="451"/>
    </row>
    <row r="6178" spans="1:11">
      <c r="A6178" s="450" t="s">
        <v>21765</v>
      </c>
      <c r="B6178" s="450"/>
      <c r="C6178" s="450" t="s">
        <v>10159</v>
      </c>
      <c r="D6178" s="450"/>
      <c r="E6178" s="450"/>
      <c r="F6178" s="450"/>
      <c r="G6178" s="450" t="s">
        <v>22877</v>
      </c>
      <c r="H6178" s="450" t="s">
        <v>22878</v>
      </c>
      <c r="I6178" s="450" t="s">
        <v>36071</v>
      </c>
      <c r="J6178" s="450" t="s">
        <v>22997</v>
      </c>
      <c r="K6178" s="450"/>
    </row>
    <row r="6179" spans="1:11">
      <c r="A6179" s="451" t="s">
        <v>10160</v>
      </c>
      <c r="B6179" s="451"/>
      <c r="C6179" s="451" t="s">
        <v>5421</v>
      </c>
      <c r="D6179" s="451"/>
      <c r="E6179" s="451"/>
      <c r="F6179" s="451"/>
      <c r="G6179" s="451" t="s">
        <v>22882</v>
      </c>
      <c r="H6179" s="451" t="s">
        <v>22883</v>
      </c>
      <c r="I6179" s="451" t="s">
        <v>36072</v>
      </c>
      <c r="J6179" s="451" t="s">
        <v>22943</v>
      </c>
      <c r="K6179" s="451"/>
    </row>
    <row r="6180" spans="1:11">
      <c r="A6180" s="450" t="s">
        <v>10161</v>
      </c>
      <c r="B6180" s="450"/>
      <c r="C6180" s="450" t="s">
        <v>10162</v>
      </c>
      <c r="D6180" s="450"/>
      <c r="E6180" s="450"/>
      <c r="F6180" s="450"/>
      <c r="G6180" s="450" t="s">
        <v>22877</v>
      </c>
      <c r="H6180" s="450" t="s">
        <v>22878</v>
      </c>
      <c r="I6180" s="450" t="s">
        <v>36073</v>
      </c>
      <c r="J6180" s="450" t="s">
        <v>22939</v>
      </c>
      <c r="K6180" s="450"/>
    </row>
    <row r="6181" spans="1:11">
      <c r="A6181" s="451" t="s">
        <v>10163</v>
      </c>
      <c r="B6181" s="451"/>
      <c r="C6181" s="451" t="s">
        <v>10164</v>
      </c>
      <c r="D6181" s="451"/>
      <c r="E6181" s="451"/>
      <c r="F6181" s="451"/>
      <c r="G6181" s="451" t="s">
        <v>22882</v>
      </c>
      <c r="H6181" s="451" t="s">
        <v>22883</v>
      </c>
      <c r="I6181" s="451" t="s">
        <v>36074</v>
      </c>
      <c r="J6181" s="451" t="s">
        <v>22942</v>
      </c>
      <c r="K6181" s="451"/>
    </row>
    <row r="6182" spans="1:11">
      <c r="A6182" s="450" t="s">
        <v>36075</v>
      </c>
      <c r="B6182" s="450"/>
      <c r="C6182" s="450" t="s">
        <v>10164</v>
      </c>
      <c r="D6182" s="450"/>
      <c r="E6182" s="450"/>
      <c r="F6182" s="450"/>
      <c r="G6182" s="450" t="s">
        <v>22882</v>
      </c>
      <c r="H6182" s="450" t="s">
        <v>22883</v>
      </c>
      <c r="I6182" s="450" t="s">
        <v>36074</v>
      </c>
      <c r="J6182" s="450" t="s">
        <v>22943</v>
      </c>
      <c r="K6182" s="450"/>
    </row>
    <row r="6183" spans="1:11">
      <c r="A6183" s="451" t="s">
        <v>26482</v>
      </c>
      <c r="B6183" s="451"/>
      <c r="C6183" s="451" t="s">
        <v>9814</v>
      </c>
      <c r="D6183" s="451"/>
      <c r="E6183" s="451"/>
      <c r="F6183" s="451"/>
      <c r="G6183" s="451" t="s">
        <v>22877</v>
      </c>
      <c r="H6183" s="451" t="s">
        <v>22878</v>
      </c>
      <c r="I6183" s="451" t="s">
        <v>26483</v>
      </c>
      <c r="J6183" s="451" t="s">
        <v>22943</v>
      </c>
      <c r="K6183" s="451"/>
    </row>
    <row r="6184" spans="1:11">
      <c r="A6184" s="450" t="s">
        <v>20148</v>
      </c>
      <c r="B6184" s="450" t="s">
        <v>20149</v>
      </c>
      <c r="C6184" s="450" t="s">
        <v>10167</v>
      </c>
      <c r="D6184" s="450" t="s">
        <v>20150</v>
      </c>
      <c r="E6184" s="450"/>
      <c r="F6184" s="450" t="s">
        <v>20151</v>
      </c>
      <c r="G6184" s="450" t="s">
        <v>22877</v>
      </c>
      <c r="H6184" s="450" t="s">
        <v>22878</v>
      </c>
      <c r="I6184" s="450" t="s">
        <v>26484</v>
      </c>
      <c r="J6184" s="450" t="s">
        <v>26485</v>
      </c>
      <c r="K6184" s="450"/>
    </row>
    <row r="6185" spans="1:11">
      <c r="A6185" s="451" t="s">
        <v>26486</v>
      </c>
      <c r="B6185" s="451"/>
      <c r="C6185" s="451" t="s">
        <v>10170</v>
      </c>
      <c r="D6185" s="451"/>
      <c r="E6185" s="451"/>
      <c r="F6185" s="451"/>
      <c r="G6185" s="451" t="s">
        <v>22877</v>
      </c>
      <c r="H6185" s="451" t="s">
        <v>22878</v>
      </c>
      <c r="I6185" s="451"/>
      <c r="J6185" s="451" t="s">
        <v>22943</v>
      </c>
      <c r="K6185" s="451"/>
    </row>
    <row r="6186" spans="1:11">
      <c r="A6186" s="450" t="s">
        <v>10165</v>
      </c>
      <c r="B6186" s="450" t="s">
        <v>10166</v>
      </c>
      <c r="C6186" s="450" t="s">
        <v>10167</v>
      </c>
      <c r="D6186" s="450"/>
      <c r="E6186" s="450"/>
      <c r="F6186" s="450" t="s">
        <v>10168</v>
      </c>
      <c r="G6186" s="450" t="s">
        <v>22877</v>
      </c>
      <c r="H6186" s="450" t="s">
        <v>22878</v>
      </c>
      <c r="I6186" s="450" t="s">
        <v>31634</v>
      </c>
      <c r="J6186" s="450" t="s">
        <v>31635</v>
      </c>
      <c r="K6186" s="450"/>
    </row>
    <row r="6187" spans="1:11">
      <c r="A6187" s="451" t="s">
        <v>10169</v>
      </c>
      <c r="B6187" s="451"/>
      <c r="C6187" s="451" t="s">
        <v>10170</v>
      </c>
      <c r="D6187" s="451"/>
      <c r="E6187" s="451"/>
      <c r="F6187" s="451"/>
      <c r="G6187" s="451" t="s">
        <v>22877</v>
      </c>
      <c r="H6187" s="451" t="s">
        <v>22878</v>
      </c>
      <c r="I6187" s="451" t="s">
        <v>36076</v>
      </c>
      <c r="J6187" s="451" t="s">
        <v>22942</v>
      </c>
      <c r="K6187" s="451"/>
    </row>
    <row r="6188" spans="1:11">
      <c r="A6188" s="450" t="s">
        <v>10171</v>
      </c>
      <c r="B6188" s="450"/>
      <c r="C6188" s="450" t="s">
        <v>8199</v>
      </c>
      <c r="D6188" s="450"/>
      <c r="E6188" s="450"/>
      <c r="F6188" s="450"/>
      <c r="G6188" s="450" t="s">
        <v>22877</v>
      </c>
      <c r="H6188" s="450" t="s">
        <v>22878</v>
      </c>
      <c r="I6188" s="450" t="s">
        <v>36077</v>
      </c>
      <c r="J6188" s="450" t="s">
        <v>22943</v>
      </c>
      <c r="K6188" s="450"/>
    </row>
    <row r="6189" spans="1:11">
      <c r="A6189" s="451" t="s">
        <v>10172</v>
      </c>
      <c r="B6189" s="451"/>
      <c r="C6189" s="451" t="s">
        <v>4458</v>
      </c>
      <c r="D6189" s="451"/>
      <c r="E6189" s="451"/>
      <c r="F6189" s="451"/>
      <c r="G6189" s="451" t="s">
        <v>22877</v>
      </c>
      <c r="H6189" s="451" t="s">
        <v>22878</v>
      </c>
      <c r="I6189" s="451" t="s">
        <v>26487</v>
      </c>
      <c r="J6189" s="451" t="s">
        <v>23121</v>
      </c>
      <c r="K6189" s="451"/>
    </row>
    <row r="6190" spans="1:11">
      <c r="A6190" s="450" t="s">
        <v>22048</v>
      </c>
      <c r="B6190" s="450" t="s">
        <v>22049</v>
      </c>
      <c r="C6190" s="450" t="s">
        <v>22050</v>
      </c>
      <c r="D6190" s="450"/>
      <c r="E6190" s="450"/>
      <c r="F6190" s="450"/>
      <c r="G6190" s="450" t="s">
        <v>22877</v>
      </c>
      <c r="H6190" s="450" t="s">
        <v>22878</v>
      </c>
      <c r="I6190" s="450" t="s">
        <v>36078</v>
      </c>
      <c r="J6190" s="450" t="s">
        <v>36079</v>
      </c>
      <c r="K6190" s="450"/>
    </row>
    <row r="6191" spans="1:11">
      <c r="A6191" s="451" t="s">
        <v>26488</v>
      </c>
      <c r="B6191" s="451" t="s">
        <v>26489</v>
      </c>
      <c r="C6191" s="451" t="s">
        <v>26490</v>
      </c>
      <c r="D6191" s="451"/>
      <c r="E6191" s="451"/>
      <c r="F6191" s="451"/>
      <c r="G6191" s="451" t="s">
        <v>22877</v>
      </c>
      <c r="H6191" s="451" t="s">
        <v>22878</v>
      </c>
      <c r="I6191" s="451"/>
      <c r="J6191" s="451" t="s">
        <v>26491</v>
      </c>
      <c r="K6191" s="451"/>
    </row>
    <row r="6192" spans="1:11">
      <c r="A6192" s="450" t="s">
        <v>36080</v>
      </c>
      <c r="B6192" s="450"/>
      <c r="C6192" s="450" t="s">
        <v>10174</v>
      </c>
      <c r="D6192" s="450"/>
      <c r="E6192" s="450"/>
      <c r="F6192" s="450"/>
      <c r="G6192" s="450" t="s">
        <v>22882</v>
      </c>
      <c r="H6192" s="450" t="s">
        <v>22883</v>
      </c>
      <c r="I6192" s="450" t="s">
        <v>36081</v>
      </c>
      <c r="J6192" s="450" t="s">
        <v>22943</v>
      </c>
      <c r="K6192" s="450"/>
    </row>
    <row r="6193" spans="1:11">
      <c r="A6193" s="451" t="s">
        <v>10173</v>
      </c>
      <c r="B6193" s="451"/>
      <c r="C6193" s="451" t="s">
        <v>10174</v>
      </c>
      <c r="D6193" s="451"/>
      <c r="E6193" s="451"/>
      <c r="F6193" s="451"/>
      <c r="G6193" s="451" t="s">
        <v>22882</v>
      </c>
      <c r="H6193" s="451" t="s">
        <v>22883</v>
      </c>
      <c r="I6193" s="451"/>
      <c r="J6193" s="451" t="s">
        <v>22937</v>
      </c>
      <c r="K6193" s="451"/>
    </row>
    <row r="6194" spans="1:11">
      <c r="A6194" s="450" t="s">
        <v>26492</v>
      </c>
      <c r="B6194" s="450" t="s">
        <v>26493</v>
      </c>
      <c r="C6194" s="450" t="s">
        <v>26494</v>
      </c>
      <c r="D6194" s="450"/>
      <c r="E6194" s="450"/>
      <c r="F6194" s="450"/>
      <c r="G6194" s="450" t="s">
        <v>22877</v>
      </c>
      <c r="H6194" s="450" t="s">
        <v>22878</v>
      </c>
      <c r="I6194" s="450" t="s">
        <v>26495</v>
      </c>
      <c r="J6194" s="450" t="s">
        <v>26496</v>
      </c>
      <c r="K6194" s="450"/>
    </row>
    <row r="6195" spans="1:11">
      <c r="A6195" s="451" t="s">
        <v>10175</v>
      </c>
      <c r="B6195" s="451"/>
      <c r="C6195" s="451" t="s">
        <v>7918</v>
      </c>
      <c r="D6195" s="451"/>
      <c r="E6195" s="451"/>
      <c r="F6195" s="451"/>
      <c r="G6195" s="451" t="s">
        <v>22877</v>
      </c>
      <c r="H6195" s="451" t="s">
        <v>22878</v>
      </c>
      <c r="I6195" s="451" t="s">
        <v>36082</v>
      </c>
      <c r="J6195" s="451" t="s">
        <v>22943</v>
      </c>
      <c r="K6195" s="451"/>
    </row>
    <row r="6196" spans="1:11">
      <c r="A6196" s="450" t="s">
        <v>21766</v>
      </c>
      <c r="B6196" s="450"/>
      <c r="C6196" s="450" t="s">
        <v>3205</v>
      </c>
      <c r="D6196" s="450"/>
      <c r="E6196" s="450"/>
      <c r="F6196" s="450"/>
      <c r="G6196" s="450" t="s">
        <v>22877</v>
      </c>
      <c r="H6196" s="450" t="s">
        <v>22878</v>
      </c>
      <c r="I6196" s="450" t="s">
        <v>36083</v>
      </c>
      <c r="J6196" s="450" t="s">
        <v>22943</v>
      </c>
      <c r="K6196" s="450"/>
    </row>
    <row r="6197" spans="1:11">
      <c r="A6197" s="451" t="s">
        <v>36084</v>
      </c>
      <c r="B6197" s="451" t="s">
        <v>36085</v>
      </c>
      <c r="C6197" s="451" t="s">
        <v>36086</v>
      </c>
      <c r="D6197" s="451"/>
      <c r="E6197" s="451"/>
      <c r="F6197" s="451"/>
      <c r="G6197" s="451" t="s">
        <v>22877</v>
      </c>
      <c r="H6197" s="451" t="s">
        <v>22878</v>
      </c>
      <c r="I6197" s="451"/>
      <c r="J6197" s="451" t="s">
        <v>36087</v>
      </c>
      <c r="K6197" s="451"/>
    </row>
    <row r="6198" spans="1:11">
      <c r="A6198" s="450" t="s">
        <v>10176</v>
      </c>
      <c r="B6198" s="450"/>
      <c r="C6198" s="450" t="s">
        <v>6141</v>
      </c>
      <c r="D6198" s="450"/>
      <c r="E6198" s="450"/>
      <c r="F6198" s="450"/>
      <c r="G6198" s="450" t="s">
        <v>22877</v>
      </c>
      <c r="H6198" s="450" t="s">
        <v>22878</v>
      </c>
      <c r="I6198" s="450"/>
      <c r="J6198" s="450" t="s">
        <v>22943</v>
      </c>
      <c r="K6198" s="450"/>
    </row>
    <row r="6199" spans="1:11">
      <c r="A6199" s="451" t="s">
        <v>36088</v>
      </c>
      <c r="B6199" s="451" t="s">
        <v>36085</v>
      </c>
      <c r="C6199" s="451" t="s">
        <v>36086</v>
      </c>
      <c r="D6199" s="451"/>
      <c r="E6199" s="451"/>
      <c r="F6199" s="451"/>
      <c r="G6199" s="451"/>
      <c r="H6199" s="451"/>
      <c r="I6199" s="451"/>
      <c r="J6199" s="451"/>
      <c r="K6199" s="451"/>
    </row>
    <row r="6200" spans="1:11">
      <c r="A6200" s="450" t="s">
        <v>36089</v>
      </c>
      <c r="B6200" s="450" t="s">
        <v>36090</v>
      </c>
      <c r="C6200" s="450" t="s">
        <v>36091</v>
      </c>
      <c r="D6200" s="450" t="s">
        <v>36092</v>
      </c>
      <c r="E6200" s="450"/>
      <c r="F6200" s="450"/>
      <c r="G6200" s="450" t="s">
        <v>22877</v>
      </c>
      <c r="H6200" s="450" t="s">
        <v>22878</v>
      </c>
      <c r="I6200" s="450"/>
      <c r="J6200" s="450" t="s">
        <v>36093</v>
      </c>
      <c r="K6200" s="450"/>
    </row>
    <row r="6201" spans="1:11">
      <c r="A6201" s="451" t="s">
        <v>10177</v>
      </c>
      <c r="B6201" s="451"/>
      <c r="C6201" s="451" t="s">
        <v>10076</v>
      </c>
      <c r="D6201" s="451"/>
      <c r="E6201" s="451"/>
      <c r="F6201" s="451"/>
      <c r="G6201" s="451" t="s">
        <v>22877</v>
      </c>
      <c r="H6201" s="451" t="s">
        <v>22878</v>
      </c>
      <c r="I6201" s="451"/>
      <c r="J6201" s="451" t="s">
        <v>22943</v>
      </c>
      <c r="K6201" s="451"/>
    </row>
    <row r="6202" spans="1:11">
      <c r="A6202" s="450" t="s">
        <v>10178</v>
      </c>
      <c r="B6202" s="450" t="s">
        <v>26497</v>
      </c>
      <c r="C6202" s="450" t="s">
        <v>10180</v>
      </c>
      <c r="D6202" s="450"/>
      <c r="E6202" s="450"/>
      <c r="F6202" s="450"/>
      <c r="G6202" s="450" t="s">
        <v>22882</v>
      </c>
      <c r="H6202" s="450" t="s">
        <v>22883</v>
      </c>
      <c r="I6202" s="450" t="s">
        <v>26498</v>
      </c>
      <c r="J6202" s="450" t="s">
        <v>26499</v>
      </c>
      <c r="K6202" s="450"/>
    </row>
    <row r="6203" spans="1:11">
      <c r="A6203" s="451" t="s">
        <v>10178</v>
      </c>
      <c r="B6203" s="451" t="s">
        <v>10179</v>
      </c>
      <c r="C6203" s="451" t="s">
        <v>10180</v>
      </c>
      <c r="D6203" s="451"/>
      <c r="E6203" s="451"/>
      <c r="F6203" s="451"/>
      <c r="G6203" s="451" t="s">
        <v>22882</v>
      </c>
      <c r="H6203" s="451" t="s">
        <v>22883</v>
      </c>
      <c r="I6203" s="451"/>
      <c r="J6203" s="451" t="s">
        <v>31636</v>
      </c>
      <c r="K6203" s="451"/>
    </row>
    <row r="6204" spans="1:11">
      <c r="A6204" s="450" t="s">
        <v>10181</v>
      </c>
      <c r="B6204" s="450"/>
      <c r="C6204" s="450" t="s">
        <v>10182</v>
      </c>
      <c r="D6204" s="450"/>
      <c r="E6204" s="450"/>
      <c r="F6204" s="450"/>
      <c r="G6204" s="450" t="s">
        <v>22877</v>
      </c>
      <c r="H6204" s="450" t="s">
        <v>22878</v>
      </c>
      <c r="I6204" s="450" t="s">
        <v>36094</v>
      </c>
      <c r="J6204" s="450" t="s">
        <v>22939</v>
      </c>
      <c r="K6204" s="450"/>
    </row>
    <row r="6205" spans="1:11">
      <c r="A6205" s="451" t="s">
        <v>10183</v>
      </c>
      <c r="B6205" s="451"/>
      <c r="C6205" s="451" t="s">
        <v>10184</v>
      </c>
      <c r="D6205" s="451"/>
      <c r="E6205" s="451"/>
      <c r="F6205" s="451"/>
      <c r="G6205" s="451" t="s">
        <v>22882</v>
      </c>
      <c r="H6205" s="451" t="s">
        <v>22883</v>
      </c>
      <c r="I6205" s="451"/>
      <c r="J6205" s="451" t="s">
        <v>22943</v>
      </c>
      <c r="K6205" s="451"/>
    </row>
    <row r="6206" spans="1:11">
      <c r="A6206" s="450" t="s">
        <v>10185</v>
      </c>
      <c r="B6206" s="450"/>
      <c r="C6206" s="450" t="s">
        <v>10186</v>
      </c>
      <c r="D6206" s="450"/>
      <c r="E6206" s="450"/>
      <c r="F6206" s="450"/>
      <c r="G6206" s="450" t="s">
        <v>22877</v>
      </c>
      <c r="H6206" s="450" t="s">
        <v>22878</v>
      </c>
      <c r="I6206" s="450" t="s">
        <v>26500</v>
      </c>
      <c r="J6206" s="450" t="s">
        <v>22939</v>
      </c>
      <c r="K6206" s="450"/>
    </row>
    <row r="6207" spans="1:11">
      <c r="A6207" s="451" t="s">
        <v>36095</v>
      </c>
      <c r="B6207" s="451" t="s">
        <v>10188</v>
      </c>
      <c r="C6207" s="451" t="s">
        <v>10189</v>
      </c>
      <c r="D6207" s="451" t="s">
        <v>10190</v>
      </c>
      <c r="E6207" s="451"/>
      <c r="F6207" s="451"/>
      <c r="G6207" s="451" t="s">
        <v>22877</v>
      </c>
      <c r="H6207" s="451" t="s">
        <v>22878</v>
      </c>
      <c r="I6207" s="451" t="s">
        <v>10190</v>
      </c>
      <c r="J6207" s="451" t="s">
        <v>26501</v>
      </c>
      <c r="K6207" s="451"/>
    </row>
    <row r="6208" spans="1:11">
      <c r="A6208" s="450" t="s">
        <v>10187</v>
      </c>
      <c r="B6208" s="450" t="s">
        <v>10188</v>
      </c>
      <c r="C6208" s="450" t="s">
        <v>10189</v>
      </c>
      <c r="D6208" s="450" t="s">
        <v>10190</v>
      </c>
      <c r="E6208" s="450" t="s">
        <v>10191</v>
      </c>
      <c r="F6208" s="450"/>
      <c r="G6208" s="450" t="s">
        <v>22877</v>
      </c>
      <c r="H6208" s="450" t="s">
        <v>22878</v>
      </c>
      <c r="I6208" s="450" t="s">
        <v>10190</v>
      </c>
      <c r="J6208" s="450" t="s">
        <v>26501</v>
      </c>
      <c r="K6208" s="450"/>
    </row>
    <row r="6209" spans="1:11">
      <c r="A6209" s="451" t="s">
        <v>21767</v>
      </c>
      <c r="B6209" s="451" t="s">
        <v>36096</v>
      </c>
      <c r="C6209" s="451" t="s">
        <v>10193</v>
      </c>
      <c r="D6209" s="451"/>
      <c r="E6209" s="451"/>
      <c r="F6209" s="451"/>
      <c r="G6209" s="451" t="s">
        <v>22882</v>
      </c>
      <c r="H6209" s="451" t="s">
        <v>22883</v>
      </c>
      <c r="I6209" s="451" t="s">
        <v>26502</v>
      </c>
      <c r="J6209" s="451" t="s">
        <v>26503</v>
      </c>
      <c r="K6209" s="451"/>
    </row>
    <row r="6210" spans="1:11">
      <c r="A6210" s="450" t="s">
        <v>21767</v>
      </c>
      <c r="B6210" s="450" t="s">
        <v>10192</v>
      </c>
      <c r="C6210" s="450" t="s">
        <v>10193</v>
      </c>
      <c r="D6210" s="450"/>
      <c r="E6210" s="450"/>
      <c r="F6210" s="450"/>
      <c r="G6210" s="450" t="s">
        <v>22882</v>
      </c>
      <c r="H6210" s="450" t="s">
        <v>22883</v>
      </c>
      <c r="I6210" s="450" t="s">
        <v>26502</v>
      </c>
      <c r="J6210" s="450" t="s">
        <v>26503</v>
      </c>
      <c r="K6210" s="450"/>
    </row>
    <row r="6211" spans="1:11">
      <c r="A6211" s="451" t="s">
        <v>10206</v>
      </c>
      <c r="B6211" s="451"/>
      <c r="C6211" s="451" t="s">
        <v>10207</v>
      </c>
      <c r="D6211" s="451"/>
      <c r="E6211" s="451"/>
      <c r="F6211" s="451"/>
      <c r="G6211" s="451" t="s">
        <v>22877</v>
      </c>
      <c r="H6211" s="451" t="s">
        <v>22878</v>
      </c>
      <c r="I6211" s="451"/>
      <c r="J6211" s="451" t="s">
        <v>23185</v>
      </c>
      <c r="K6211" s="451"/>
    </row>
    <row r="6212" spans="1:11">
      <c r="A6212" s="450" t="s">
        <v>10208</v>
      </c>
      <c r="B6212" s="450"/>
      <c r="C6212" s="450" t="s">
        <v>10209</v>
      </c>
      <c r="D6212" s="450"/>
      <c r="E6212" s="450"/>
      <c r="F6212" s="450"/>
      <c r="G6212" s="450" t="s">
        <v>22877</v>
      </c>
      <c r="H6212" s="450" t="s">
        <v>22878</v>
      </c>
      <c r="I6212" s="450"/>
      <c r="J6212" s="450" t="s">
        <v>22943</v>
      </c>
      <c r="K6212" s="450"/>
    </row>
    <row r="6213" spans="1:11">
      <c r="A6213" s="451" t="s">
        <v>10210</v>
      </c>
      <c r="B6213" s="451"/>
      <c r="C6213" s="451" t="s">
        <v>10211</v>
      </c>
      <c r="D6213" s="451"/>
      <c r="E6213" s="451"/>
      <c r="F6213" s="451"/>
      <c r="G6213" s="451" t="s">
        <v>36097</v>
      </c>
      <c r="H6213" s="451" t="s">
        <v>22878</v>
      </c>
      <c r="I6213" s="451"/>
      <c r="J6213" s="451"/>
      <c r="K6213" s="451"/>
    </row>
    <row r="6214" spans="1:11">
      <c r="A6214" s="450" t="s">
        <v>21768</v>
      </c>
      <c r="B6214" s="450"/>
      <c r="C6214" s="450" t="s">
        <v>4618</v>
      </c>
      <c r="D6214" s="450"/>
      <c r="E6214" s="450"/>
      <c r="F6214" s="450"/>
      <c r="G6214" s="450" t="s">
        <v>22877</v>
      </c>
      <c r="H6214" s="450" t="s">
        <v>22878</v>
      </c>
      <c r="I6214" s="450" t="s">
        <v>36098</v>
      </c>
      <c r="J6214" s="450" t="s">
        <v>22937</v>
      </c>
      <c r="K6214" s="450"/>
    </row>
    <row r="6215" spans="1:11">
      <c r="A6215" s="451" t="s">
        <v>31637</v>
      </c>
      <c r="B6215" s="451"/>
      <c r="C6215" s="451" t="s">
        <v>4618</v>
      </c>
      <c r="D6215" s="451"/>
      <c r="E6215" s="451"/>
      <c r="F6215" s="451"/>
      <c r="G6215" s="451" t="s">
        <v>22877</v>
      </c>
      <c r="H6215" s="451" t="s">
        <v>22878</v>
      </c>
      <c r="I6215" s="451"/>
      <c r="J6215" s="451" t="s">
        <v>22943</v>
      </c>
      <c r="K6215" s="451"/>
    </row>
    <row r="6216" spans="1:11">
      <c r="A6216" s="450" t="s">
        <v>36099</v>
      </c>
      <c r="B6216" s="450" t="s">
        <v>10194</v>
      </c>
      <c r="C6216" s="450" t="s">
        <v>10195</v>
      </c>
      <c r="D6216" s="450" t="s">
        <v>10196</v>
      </c>
      <c r="E6216" s="450"/>
      <c r="F6216" s="450"/>
      <c r="G6216" s="450" t="s">
        <v>22882</v>
      </c>
      <c r="H6216" s="450" t="s">
        <v>22883</v>
      </c>
      <c r="I6216" s="450" t="s">
        <v>10196</v>
      </c>
      <c r="J6216" s="450" t="s">
        <v>36100</v>
      </c>
      <c r="K6216" s="450"/>
    </row>
    <row r="6217" spans="1:11">
      <c r="A6217" s="451" t="s">
        <v>21769</v>
      </c>
      <c r="B6217" s="451" t="s">
        <v>10194</v>
      </c>
      <c r="C6217" s="451" t="s">
        <v>10195</v>
      </c>
      <c r="D6217" s="451" t="s">
        <v>10196</v>
      </c>
      <c r="E6217" s="451"/>
      <c r="F6217" s="451"/>
      <c r="G6217" s="451" t="s">
        <v>22882</v>
      </c>
      <c r="H6217" s="451" t="s">
        <v>22883</v>
      </c>
      <c r="I6217" s="451" t="s">
        <v>31638</v>
      </c>
      <c r="J6217" s="451" t="s">
        <v>31639</v>
      </c>
      <c r="K6217" s="451"/>
    </row>
    <row r="6218" spans="1:11">
      <c r="A6218" s="450" t="s">
        <v>36101</v>
      </c>
      <c r="B6218" s="450"/>
      <c r="C6218" s="450" t="s">
        <v>10197</v>
      </c>
      <c r="D6218" s="450"/>
      <c r="E6218" s="450"/>
      <c r="F6218" s="450"/>
      <c r="G6218" s="450" t="s">
        <v>22882</v>
      </c>
      <c r="H6218" s="450" t="s">
        <v>22883</v>
      </c>
      <c r="I6218" s="450"/>
      <c r="J6218" s="450" t="s">
        <v>22939</v>
      </c>
      <c r="K6218" s="450"/>
    </row>
    <row r="6219" spans="1:11">
      <c r="A6219" s="451" t="s">
        <v>21770</v>
      </c>
      <c r="B6219" s="451"/>
      <c r="C6219" s="451" t="s">
        <v>10197</v>
      </c>
      <c r="D6219" s="451"/>
      <c r="E6219" s="451"/>
      <c r="F6219" s="451"/>
      <c r="G6219" s="451" t="s">
        <v>22882</v>
      </c>
      <c r="H6219" s="451" t="s">
        <v>22883</v>
      </c>
      <c r="I6219" s="451"/>
      <c r="J6219" s="451" t="s">
        <v>22902</v>
      </c>
      <c r="K6219" s="451"/>
    </row>
    <row r="6220" spans="1:11">
      <c r="A6220" s="450" t="s">
        <v>36102</v>
      </c>
      <c r="B6220" s="450"/>
      <c r="C6220" s="450" t="s">
        <v>7777</v>
      </c>
      <c r="D6220" s="450"/>
      <c r="E6220" s="450"/>
      <c r="F6220" s="450"/>
      <c r="G6220" s="450" t="s">
        <v>22877</v>
      </c>
      <c r="H6220" s="450" t="s">
        <v>22878</v>
      </c>
      <c r="I6220" s="450"/>
      <c r="J6220" s="450" t="s">
        <v>22997</v>
      </c>
      <c r="K6220" s="450"/>
    </row>
    <row r="6221" spans="1:11">
      <c r="A6221" s="451" t="s">
        <v>21771</v>
      </c>
      <c r="B6221" s="451"/>
      <c r="C6221" s="451" t="s">
        <v>7777</v>
      </c>
      <c r="D6221" s="451"/>
      <c r="E6221" s="451"/>
      <c r="F6221" s="451"/>
      <c r="G6221" s="451" t="s">
        <v>22877</v>
      </c>
      <c r="H6221" s="451" t="s">
        <v>22878</v>
      </c>
      <c r="I6221" s="451" t="s">
        <v>36103</v>
      </c>
      <c r="J6221" s="451" t="s">
        <v>22939</v>
      </c>
      <c r="K6221" s="451"/>
    </row>
    <row r="6222" spans="1:11">
      <c r="A6222" s="450" t="s">
        <v>10212</v>
      </c>
      <c r="B6222" s="450"/>
      <c r="C6222" s="450" t="s">
        <v>1187</v>
      </c>
      <c r="D6222" s="450"/>
      <c r="E6222" s="450"/>
      <c r="F6222" s="450"/>
      <c r="G6222" s="450" t="s">
        <v>22877</v>
      </c>
      <c r="H6222" s="450" t="s">
        <v>22878</v>
      </c>
      <c r="I6222" s="450" t="s">
        <v>36104</v>
      </c>
      <c r="J6222" s="450" t="s">
        <v>22943</v>
      </c>
      <c r="K6222" s="450"/>
    </row>
    <row r="6223" spans="1:11">
      <c r="A6223" s="451" t="s">
        <v>10213</v>
      </c>
      <c r="B6223" s="451"/>
      <c r="C6223" s="451" t="s">
        <v>10214</v>
      </c>
      <c r="D6223" s="451"/>
      <c r="E6223" s="451"/>
      <c r="F6223" s="451"/>
      <c r="G6223" s="451" t="s">
        <v>22882</v>
      </c>
      <c r="H6223" s="451" t="s">
        <v>22883</v>
      </c>
      <c r="I6223" s="451" t="s">
        <v>36105</v>
      </c>
      <c r="J6223" s="451" t="s">
        <v>22997</v>
      </c>
      <c r="K6223" s="451"/>
    </row>
    <row r="6224" spans="1:11">
      <c r="A6224" s="450" t="s">
        <v>21772</v>
      </c>
      <c r="B6224" s="450"/>
      <c r="C6224" s="450" t="s">
        <v>10198</v>
      </c>
      <c r="D6224" s="450"/>
      <c r="E6224" s="450"/>
      <c r="F6224" s="450"/>
      <c r="G6224" s="450" t="s">
        <v>22877</v>
      </c>
      <c r="H6224" s="450" t="s">
        <v>22878</v>
      </c>
      <c r="I6224" s="450" t="s">
        <v>36106</v>
      </c>
      <c r="J6224" s="450" t="s">
        <v>22939</v>
      </c>
      <c r="K6224" s="450"/>
    </row>
    <row r="6225" spans="1:11">
      <c r="A6225" s="451" t="s">
        <v>21773</v>
      </c>
      <c r="B6225" s="451"/>
      <c r="C6225" s="451" t="s">
        <v>8165</v>
      </c>
      <c r="D6225" s="451"/>
      <c r="E6225" s="451"/>
      <c r="F6225" s="451"/>
      <c r="G6225" s="451" t="s">
        <v>22877</v>
      </c>
      <c r="H6225" s="451" t="s">
        <v>22878</v>
      </c>
      <c r="I6225" s="451" t="s">
        <v>26504</v>
      </c>
      <c r="J6225" s="451" t="s">
        <v>22943</v>
      </c>
      <c r="K6225" s="451"/>
    </row>
    <row r="6226" spans="1:11">
      <c r="A6226" s="450" t="s">
        <v>31640</v>
      </c>
      <c r="B6226" s="450" t="s">
        <v>10202</v>
      </c>
      <c r="C6226" s="450" t="s">
        <v>10203</v>
      </c>
      <c r="D6226" s="450" t="s">
        <v>10204</v>
      </c>
      <c r="E6226" s="450"/>
      <c r="F6226" s="450"/>
      <c r="G6226" s="450" t="s">
        <v>22877</v>
      </c>
      <c r="H6226" s="450" t="s">
        <v>22878</v>
      </c>
      <c r="I6226" s="450"/>
      <c r="J6226" s="450" t="s">
        <v>26505</v>
      </c>
      <c r="K6226" s="450"/>
    </row>
    <row r="6227" spans="1:11">
      <c r="A6227" s="451" t="s">
        <v>10215</v>
      </c>
      <c r="B6227" s="451" t="s">
        <v>10199</v>
      </c>
      <c r="C6227" s="451" t="s">
        <v>10200</v>
      </c>
      <c r="D6227" s="451" t="s">
        <v>10201</v>
      </c>
      <c r="E6227" s="451"/>
      <c r="F6227" s="451"/>
      <c r="G6227" s="451" t="s">
        <v>22877</v>
      </c>
      <c r="H6227" s="451" t="s">
        <v>22878</v>
      </c>
      <c r="I6227" s="451" t="s">
        <v>36107</v>
      </c>
      <c r="J6227" s="451" t="s">
        <v>36108</v>
      </c>
      <c r="K6227" s="451"/>
    </row>
    <row r="6228" spans="1:11">
      <c r="A6228" s="450" t="s">
        <v>10215</v>
      </c>
      <c r="B6228" s="450" t="s">
        <v>10216</v>
      </c>
      <c r="C6228" s="450" t="s">
        <v>4129</v>
      </c>
      <c r="D6228" s="450" t="s">
        <v>10217</v>
      </c>
      <c r="E6228" s="450"/>
      <c r="F6228" s="450"/>
      <c r="G6228" s="450" t="s">
        <v>22877</v>
      </c>
      <c r="H6228" s="450" t="s">
        <v>22878</v>
      </c>
      <c r="I6228" s="450" t="s">
        <v>36107</v>
      </c>
      <c r="J6228" s="450" t="s">
        <v>26506</v>
      </c>
      <c r="K6228" s="450"/>
    </row>
    <row r="6229" spans="1:11">
      <c r="A6229" s="451" t="s">
        <v>10215</v>
      </c>
      <c r="B6229" s="451" t="s">
        <v>10216</v>
      </c>
      <c r="C6229" s="451" t="s">
        <v>4129</v>
      </c>
      <c r="D6229" s="451" t="s">
        <v>10217</v>
      </c>
      <c r="E6229" s="451" t="s">
        <v>10218</v>
      </c>
      <c r="F6229" s="451"/>
      <c r="G6229" s="451" t="s">
        <v>22877</v>
      </c>
      <c r="H6229" s="451" t="s">
        <v>22878</v>
      </c>
      <c r="I6229" s="451" t="s">
        <v>31641</v>
      </c>
      <c r="J6229" s="451" t="s">
        <v>26506</v>
      </c>
      <c r="K6229" s="451"/>
    </row>
    <row r="6230" spans="1:11">
      <c r="A6230" s="450" t="s">
        <v>21774</v>
      </c>
      <c r="B6230" s="450" t="s">
        <v>10199</v>
      </c>
      <c r="C6230" s="450" t="s">
        <v>10200</v>
      </c>
      <c r="D6230" s="450" t="s">
        <v>10201</v>
      </c>
      <c r="E6230" s="450"/>
      <c r="F6230" s="450"/>
      <c r="G6230" s="450" t="s">
        <v>22877</v>
      </c>
      <c r="H6230" s="450" t="s">
        <v>22878</v>
      </c>
      <c r="I6230" s="450" t="s">
        <v>10201</v>
      </c>
      <c r="J6230" s="450" t="s">
        <v>31642</v>
      </c>
      <c r="K6230" s="450"/>
    </row>
    <row r="6231" spans="1:11">
      <c r="A6231" s="451" t="s">
        <v>21775</v>
      </c>
      <c r="B6231" s="451" t="s">
        <v>10202</v>
      </c>
      <c r="C6231" s="451" t="s">
        <v>10203</v>
      </c>
      <c r="D6231" s="451" t="s">
        <v>10204</v>
      </c>
      <c r="E6231" s="451" t="s">
        <v>10205</v>
      </c>
      <c r="F6231" s="451"/>
      <c r="G6231" s="451" t="s">
        <v>22877</v>
      </c>
      <c r="H6231" s="451" t="s">
        <v>22878</v>
      </c>
      <c r="I6231" s="451" t="s">
        <v>10204</v>
      </c>
      <c r="J6231" s="451" t="s">
        <v>31643</v>
      </c>
      <c r="K6231" s="451"/>
    </row>
    <row r="6232" spans="1:11">
      <c r="A6232" s="450" t="s">
        <v>21776</v>
      </c>
      <c r="B6232" s="450"/>
      <c r="C6232" s="450" t="s">
        <v>3643</v>
      </c>
      <c r="D6232" s="450"/>
      <c r="E6232" s="450"/>
      <c r="F6232" s="450"/>
      <c r="G6232" s="450" t="s">
        <v>22882</v>
      </c>
      <c r="H6232" s="450" t="s">
        <v>22883</v>
      </c>
      <c r="I6232" s="450"/>
      <c r="J6232" s="450" t="s">
        <v>22943</v>
      </c>
      <c r="K6232" s="450"/>
    </row>
    <row r="6233" spans="1:11">
      <c r="A6233" s="451" t="s">
        <v>10219</v>
      </c>
      <c r="B6233" s="451" t="s">
        <v>10220</v>
      </c>
      <c r="C6233" s="451" t="s">
        <v>10221</v>
      </c>
      <c r="D6233" s="451"/>
      <c r="E6233" s="451"/>
      <c r="F6233" s="451"/>
      <c r="G6233" s="451" t="s">
        <v>22877</v>
      </c>
      <c r="H6233" s="451" t="s">
        <v>22878</v>
      </c>
      <c r="I6233" s="451" t="s">
        <v>26556</v>
      </c>
      <c r="J6233" s="451" t="s">
        <v>26557</v>
      </c>
      <c r="K6233" s="451"/>
    </row>
    <row r="6234" spans="1:11">
      <c r="A6234" s="450" t="s">
        <v>10222</v>
      </c>
      <c r="B6234" s="450" t="s">
        <v>10223</v>
      </c>
      <c r="C6234" s="450" t="s">
        <v>10224</v>
      </c>
      <c r="D6234" s="450"/>
      <c r="E6234" s="450"/>
      <c r="F6234" s="450" t="s">
        <v>10225</v>
      </c>
      <c r="G6234" s="450" t="s">
        <v>22882</v>
      </c>
      <c r="H6234" s="450" t="s">
        <v>22883</v>
      </c>
      <c r="I6234" s="450" t="s">
        <v>31644</v>
      </c>
      <c r="J6234" s="450" t="s">
        <v>26708</v>
      </c>
      <c r="K6234" s="450"/>
    </row>
    <row r="6235" spans="1:11">
      <c r="A6235" s="451" t="s">
        <v>10226</v>
      </c>
      <c r="B6235" s="451"/>
      <c r="C6235" s="451" t="s">
        <v>10227</v>
      </c>
      <c r="D6235" s="451"/>
      <c r="E6235" s="451"/>
      <c r="F6235" s="451"/>
      <c r="G6235" s="451" t="s">
        <v>22882</v>
      </c>
      <c r="H6235" s="451" t="s">
        <v>22883</v>
      </c>
      <c r="I6235" s="451" t="s">
        <v>36109</v>
      </c>
      <c r="J6235" s="451" t="s">
        <v>23121</v>
      </c>
      <c r="K6235" s="451"/>
    </row>
    <row r="6236" spans="1:11">
      <c r="A6236" s="450" t="s">
        <v>10228</v>
      </c>
      <c r="B6236" s="450"/>
      <c r="C6236" s="450" t="s">
        <v>5503</v>
      </c>
      <c r="D6236" s="450"/>
      <c r="E6236" s="450"/>
      <c r="F6236" s="450"/>
      <c r="G6236" s="450" t="s">
        <v>22882</v>
      </c>
      <c r="H6236" s="450" t="s">
        <v>22883</v>
      </c>
      <c r="I6236" s="450"/>
      <c r="J6236" s="450" t="s">
        <v>22937</v>
      </c>
      <c r="K6236" s="450"/>
    </row>
    <row r="6237" spans="1:11">
      <c r="A6237" s="451" t="s">
        <v>21777</v>
      </c>
      <c r="B6237" s="451"/>
      <c r="C6237" s="451" t="s">
        <v>10229</v>
      </c>
      <c r="D6237" s="451"/>
      <c r="E6237" s="451"/>
      <c r="F6237" s="451"/>
      <c r="G6237" s="451" t="s">
        <v>22882</v>
      </c>
      <c r="H6237" s="451" t="s">
        <v>22883</v>
      </c>
      <c r="I6237" s="451"/>
      <c r="J6237" s="451" t="s">
        <v>22942</v>
      </c>
      <c r="K6237" s="451"/>
    </row>
    <row r="6238" spans="1:11">
      <c r="A6238" s="450" t="s">
        <v>21778</v>
      </c>
      <c r="B6238" s="450"/>
      <c r="C6238" s="450" t="s">
        <v>3124</v>
      </c>
      <c r="D6238" s="450"/>
      <c r="E6238" s="450"/>
      <c r="F6238" s="450"/>
      <c r="G6238" s="450" t="s">
        <v>22882</v>
      </c>
      <c r="H6238" s="450" t="s">
        <v>22883</v>
      </c>
      <c r="I6238" s="450"/>
      <c r="J6238" s="450" t="s">
        <v>22939</v>
      </c>
      <c r="K6238" s="450"/>
    </row>
    <row r="6239" spans="1:11">
      <c r="A6239" s="451" t="s">
        <v>10230</v>
      </c>
      <c r="B6239" s="451"/>
      <c r="C6239" s="451" t="s">
        <v>3643</v>
      </c>
      <c r="D6239" s="451"/>
      <c r="E6239" s="451"/>
      <c r="F6239" s="451"/>
      <c r="G6239" s="451" t="s">
        <v>36110</v>
      </c>
      <c r="H6239" s="451" t="s">
        <v>22878</v>
      </c>
      <c r="I6239" s="451" t="s">
        <v>22992</v>
      </c>
      <c r="J6239" s="451"/>
      <c r="K6239" s="451"/>
    </row>
    <row r="6240" spans="1:11">
      <c r="A6240" s="450" t="s">
        <v>10231</v>
      </c>
      <c r="B6240" s="450"/>
      <c r="C6240" s="450" t="s">
        <v>4290</v>
      </c>
      <c r="D6240" s="450"/>
      <c r="E6240" s="450"/>
      <c r="F6240" s="450"/>
      <c r="G6240" s="450" t="s">
        <v>22882</v>
      </c>
      <c r="H6240" s="450" t="s">
        <v>22883</v>
      </c>
      <c r="I6240" s="450" t="s">
        <v>36111</v>
      </c>
      <c r="J6240" s="450" t="s">
        <v>22942</v>
      </c>
      <c r="K6240" s="450"/>
    </row>
    <row r="6241" spans="1:11">
      <c r="A6241" s="451" t="s">
        <v>10232</v>
      </c>
      <c r="B6241" s="451"/>
      <c r="C6241" s="451" t="s">
        <v>10233</v>
      </c>
      <c r="D6241" s="451"/>
      <c r="E6241" s="451"/>
      <c r="F6241" s="451"/>
      <c r="G6241" s="451" t="s">
        <v>22882</v>
      </c>
      <c r="H6241" s="451" t="s">
        <v>22883</v>
      </c>
      <c r="I6241" s="451"/>
      <c r="J6241" s="451" t="s">
        <v>22943</v>
      </c>
      <c r="K6241" s="451"/>
    </row>
    <row r="6242" spans="1:11">
      <c r="A6242" s="450" t="s">
        <v>10234</v>
      </c>
      <c r="B6242" s="450"/>
      <c r="C6242" s="450" t="s">
        <v>10235</v>
      </c>
      <c r="D6242" s="450"/>
      <c r="E6242" s="450"/>
      <c r="F6242" s="450"/>
      <c r="G6242" s="450" t="s">
        <v>22882</v>
      </c>
      <c r="H6242" s="450" t="s">
        <v>22883</v>
      </c>
      <c r="I6242" s="450"/>
      <c r="J6242" s="450" t="s">
        <v>23185</v>
      </c>
      <c r="K6242" s="450"/>
    </row>
    <row r="6243" spans="1:11">
      <c r="A6243" s="451" t="s">
        <v>21779</v>
      </c>
      <c r="B6243" s="451"/>
      <c r="C6243" s="451" t="s">
        <v>10236</v>
      </c>
      <c r="D6243" s="451"/>
      <c r="E6243" s="451"/>
      <c r="F6243" s="451"/>
      <c r="G6243" s="451" t="s">
        <v>22882</v>
      </c>
      <c r="H6243" s="451" t="s">
        <v>22883</v>
      </c>
      <c r="I6243" s="451"/>
      <c r="J6243" s="451" t="s">
        <v>22939</v>
      </c>
      <c r="K6243" s="451"/>
    </row>
    <row r="6244" spans="1:11">
      <c r="A6244" s="450" t="s">
        <v>10237</v>
      </c>
      <c r="B6244" s="450"/>
      <c r="C6244" s="450" t="s">
        <v>10238</v>
      </c>
      <c r="D6244" s="450"/>
      <c r="E6244" s="450"/>
      <c r="F6244" s="450"/>
      <c r="G6244" s="450" t="s">
        <v>22882</v>
      </c>
      <c r="H6244" s="450" t="s">
        <v>22883</v>
      </c>
      <c r="I6244" s="450"/>
      <c r="J6244" s="450" t="s">
        <v>23121</v>
      </c>
      <c r="K6244" s="450"/>
    </row>
    <row r="6245" spans="1:11">
      <c r="A6245" s="451" t="s">
        <v>10239</v>
      </c>
      <c r="B6245" s="451"/>
      <c r="C6245" s="451" t="s">
        <v>10240</v>
      </c>
      <c r="D6245" s="451"/>
      <c r="E6245" s="451"/>
      <c r="F6245" s="451"/>
      <c r="G6245" s="451" t="s">
        <v>22877</v>
      </c>
      <c r="H6245" s="451" t="s">
        <v>22878</v>
      </c>
      <c r="I6245" s="451" t="s">
        <v>36112</v>
      </c>
      <c r="J6245" s="451" t="s">
        <v>22943</v>
      </c>
      <c r="K6245" s="451"/>
    </row>
    <row r="6246" spans="1:11">
      <c r="A6246" s="450" t="s">
        <v>10241</v>
      </c>
      <c r="B6246" s="450"/>
      <c r="C6246" s="450" t="s">
        <v>6305</v>
      </c>
      <c r="D6246" s="450"/>
      <c r="E6246" s="450"/>
      <c r="F6246" s="450"/>
      <c r="G6246" s="450" t="s">
        <v>22877</v>
      </c>
      <c r="H6246" s="450" t="s">
        <v>22878</v>
      </c>
      <c r="I6246" s="450" t="s">
        <v>36113</v>
      </c>
      <c r="J6246" s="450" t="s">
        <v>22939</v>
      </c>
      <c r="K6246" s="450"/>
    </row>
    <row r="6247" spans="1:11">
      <c r="A6247" s="451" t="s">
        <v>10242</v>
      </c>
      <c r="B6247" s="451"/>
      <c r="C6247" s="451" t="s">
        <v>10243</v>
      </c>
      <c r="D6247" s="451"/>
      <c r="E6247" s="451"/>
      <c r="F6247" s="451"/>
      <c r="G6247" s="451" t="s">
        <v>22877</v>
      </c>
      <c r="H6247" s="451" t="s">
        <v>22878</v>
      </c>
      <c r="I6247" s="451" t="s">
        <v>36114</v>
      </c>
      <c r="J6247" s="451" t="s">
        <v>22939</v>
      </c>
      <c r="K6247" s="451"/>
    </row>
    <row r="6248" spans="1:11">
      <c r="A6248" s="450" t="s">
        <v>36115</v>
      </c>
      <c r="B6248" s="450"/>
      <c r="C6248" s="450" t="s">
        <v>10243</v>
      </c>
      <c r="D6248" s="450"/>
      <c r="E6248" s="450"/>
      <c r="F6248" s="450"/>
      <c r="G6248" s="450" t="s">
        <v>22877</v>
      </c>
      <c r="H6248" s="450" t="s">
        <v>22878</v>
      </c>
      <c r="I6248" s="450" t="s">
        <v>36116</v>
      </c>
      <c r="J6248" s="450" t="s">
        <v>22943</v>
      </c>
      <c r="K6248" s="450"/>
    </row>
    <row r="6249" spans="1:11">
      <c r="A6249" s="451" t="s">
        <v>10244</v>
      </c>
      <c r="B6249" s="451"/>
      <c r="C6249" s="451" t="s">
        <v>10245</v>
      </c>
      <c r="D6249" s="451"/>
      <c r="E6249" s="451"/>
      <c r="F6249" s="451"/>
      <c r="G6249" s="451" t="s">
        <v>22877</v>
      </c>
      <c r="H6249" s="451" t="s">
        <v>22878</v>
      </c>
      <c r="I6249" s="451" t="s">
        <v>26507</v>
      </c>
      <c r="J6249" s="451" t="s">
        <v>22939</v>
      </c>
      <c r="K6249" s="451"/>
    </row>
    <row r="6250" spans="1:11">
      <c r="A6250" s="450" t="s">
        <v>10246</v>
      </c>
      <c r="B6250" s="450" t="s">
        <v>26508</v>
      </c>
      <c r="C6250" s="450" t="s">
        <v>10248</v>
      </c>
      <c r="D6250" s="450"/>
      <c r="E6250" s="450"/>
      <c r="F6250" s="450"/>
      <c r="G6250" s="450" t="s">
        <v>22877</v>
      </c>
      <c r="H6250" s="450" t="s">
        <v>22878</v>
      </c>
      <c r="I6250" s="450" t="s">
        <v>26509</v>
      </c>
      <c r="J6250" s="450" t="s">
        <v>26510</v>
      </c>
      <c r="K6250" s="450"/>
    </row>
    <row r="6251" spans="1:11">
      <c r="A6251" s="451" t="s">
        <v>10246</v>
      </c>
      <c r="B6251" s="451" t="s">
        <v>10247</v>
      </c>
      <c r="C6251" s="451" t="s">
        <v>10248</v>
      </c>
      <c r="D6251" s="451"/>
      <c r="E6251" s="451"/>
      <c r="F6251" s="451"/>
      <c r="G6251" s="451" t="s">
        <v>22877</v>
      </c>
      <c r="H6251" s="451" t="s">
        <v>22878</v>
      </c>
      <c r="I6251" s="451" t="s">
        <v>31645</v>
      </c>
      <c r="J6251" s="451" t="s">
        <v>31646</v>
      </c>
      <c r="K6251" s="451"/>
    </row>
    <row r="6252" spans="1:11">
      <c r="A6252" s="450" t="s">
        <v>10249</v>
      </c>
      <c r="B6252" s="450" t="s">
        <v>10250</v>
      </c>
      <c r="C6252" s="450" t="s">
        <v>10251</v>
      </c>
      <c r="D6252" s="450"/>
      <c r="E6252" s="450"/>
      <c r="F6252" s="450"/>
      <c r="G6252" s="450" t="s">
        <v>22882</v>
      </c>
      <c r="H6252" s="450" t="s">
        <v>22883</v>
      </c>
      <c r="I6252" s="450"/>
      <c r="J6252" s="450" t="s">
        <v>26511</v>
      </c>
      <c r="K6252" s="450"/>
    </row>
    <row r="6253" spans="1:11">
      <c r="A6253" s="451" t="s">
        <v>10252</v>
      </c>
      <c r="B6253" s="451"/>
      <c r="C6253" s="451" t="s">
        <v>2334</v>
      </c>
      <c r="D6253" s="451"/>
      <c r="E6253" s="451"/>
      <c r="F6253" s="451"/>
      <c r="G6253" s="451" t="s">
        <v>22882</v>
      </c>
      <c r="H6253" s="451" t="s">
        <v>22883</v>
      </c>
      <c r="I6253" s="451" t="s">
        <v>36117</v>
      </c>
      <c r="J6253" s="451" t="s">
        <v>22942</v>
      </c>
      <c r="K6253" s="451"/>
    </row>
    <row r="6254" spans="1:11">
      <c r="A6254" s="450" t="s">
        <v>36118</v>
      </c>
      <c r="B6254" s="450"/>
      <c r="C6254" s="450" t="s">
        <v>2334</v>
      </c>
      <c r="D6254" s="450"/>
      <c r="E6254" s="450"/>
      <c r="F6254" s="450"/>
      <c r="G6254" s="450" t="s">
        <v>22882</v>
      </c>
      <c r="H6254" s="450" t="s">
        <v>22883</v>
      </c>
      <c r="I6254" s="450"/>
      <c r="J6254" s="450" t="s">
        <v>22943</v>
      </c>
      <c r="K6254" s="450"/>
    </row>
    <row r="6255" spans="1:11">
      <c r="A6255" s="451" t="s">
        <v>36119</v>
      </c>
      <c r="B6255" s="451"/>
      <c r="C6255" s="451" t="s">
        <v>1213</v>
      </c>
      <c r="D6255" s="451"/>
      <c r="E6255" s="451"/>
      <c r="F6255" s="451"/>
      <c r="G6255" s="451" t="s">
        <v>22877</v>
      </c>
      <c r="H6255" s="451" t="s">
        <v>22878</v>
      </c>
      <c r="I6255" s="451" t="s">
        <v>36120</v>
      </c>
      <c r="J6255" s="451" t="s">
        <v>22948</v>
      </c>
      <c r="K6255" s="451"/>
    </row>
    <row r="6256" spans="1:11">
      <c r="A6256" s="450" t="s">
        <v>10253</v>
      </c>
      <c r="B6256" s="450"/>
      <c r="C6256" s="450" t="s">
        <v>3334</v>
      </c>
      <c r="D6256" s="450"/>
      <c r="E6256" s="450"/>
      <c r="F6256" s="450"/>
      <c r="G6256" s="450" t="s">
        <v>22877</v>
      </c>
      <c r="H6256" s="450" t="s">
        <v>22878</v>
      </c>
      <c r="I6256" s="450" t="s">
        <v>36121</v>
      </c>
      <c r="J6256" s="450" t="s">
        <v>23133</v>
      </c>
      <c r="K6256" s="450"/>
    </row>
    <row r="6257" spans="1:11">
      <c r="A6257" s="451" t="s">
        <v>36122</v>
      </c>
      <c r="B6257" s="451"/>
      <c r="C6257" s="451" t="s">
        <v>10255</v>
      </c>
      <c r="D6257" s="451"/>
      <c r="E6257" s="451"/>
      <c r="F6257" s="451"/>
      <c r="G6257" s="451" t="s">
        <v>22877</v>
      </c>
      <c r="H6257" s="451" t="s">
        <v>22878</v>
      </c>
      <c r="I6257" s="451" t="s">
        <v>36123</v>
      </c>
      <c r="J6257" s="451" t="s">
        <v>22943</v>
      </c>
      <c r="K6257" s="451"/>
    </row>
    <row r="6258" spans="1:11">
      <c r="A6258" s="450" t="s">
        <v>10254</v>
      </c>
      <c r="B6258" s="450"/>
      <c r="C6258" s="450" t="s">
        <v>10255</v>
      </c>
      <c r="D6258" s="450"/>
      <c r="E6258" s="450"/>
      <c r="F6258" s="450"/>
      <c r="G6258" s="450" t="s">
        <v>22877</v>
      </c>
      <c r="H6258" s="450" t="s">
        <v>22878</v>
      </c>
      <c r="I6258" s="450" t="s">
        <v>31647</v>
      </c>
      <c r="J6258" s="450" t="s">
        <v>22939</v>
      </c>
      <c r="K6258" s="450"/>
    </row>
    <row r="6259" spans="1:11">
      <c r="A6259" s="451" t="s">
        <v>10256</v>
      </c>
      <c r="B6259" s="451"/>
      <c r="C6259" s="451" t="s">
        <v>1213</v>
      </c>
      <c r="D6259" s="451"/>
      <c r="E6259" s="451"/>
      <c r="F6259" s="451"/>
      <c r="G6259" s="451" t="s">
        <v>22882</v>
      </c>
      <c r="H6259" s="451" t="s">
        <v>22883</v>
      </c>
      <c r="I6259" s="451"/>
      <c r="J6259" s="451" t="s">
        <v>22937</v>
      </c>
      <c r="K6259" s="451"/>
    </row>
    <row r="6260" spans="1:11">
      <c r="A6260" s="450" t="s">
        <v>26512</v>
      </c>
      <c r="B6260" s="450" t="s">
        <v>26513</v>
      </c>
      <c r="C6260" s="450" t="s">
        <v>10259</v>
      </c>
      <c r="D6260" s="450" t="s">
        <v>10260</v>
      </c>
      <c r="E6260" s="450"/>
      <c r="F6260" s="450"/>
      <c r="G6260" s="450" t="s">
        <v>22877</v>
      </c>
      <c r="H6260" s="450" t="s">
        <v>22878</v>
      </c>
      <c r="I6260" s="450"/>
      <c r="J6260" s="450" t="s">
        <v>26514</v>
      </c>
      <c r="K6260" s="450"/>
    </row>
    <row r="6261" spans="1:11">
      <c r="A6261" s="451" t="s">
        <v>10257</v>
      </c>
      <c r="B6261" s="451" t="s">
        <v>10258</v>
      </c>
      <c r="C6261" s="451" t="s">
        <v>10259</v>
      </c>
      <c r="D6261" s="451" t="s">
        <v>10260</v>
      </c>
      <c r="E6261" s="451" t="s">
        <v>10261</v>
      </c>
      <c r="F6261" s="451"/>
      <c r="G6261" s="451" t="s">
        <v>22877</v>
      </c>
      <c r="H6261" s="451" t="s">
        <v>22878</v>
      </c>
      <c r="I6261" s="451" t="s">
        <v>31648</v>
      </c>
      <c r="J6261" s="451" t="s">
        <v>31649</v>
      </c>
      <c r="K6261" s="451"/>
    </row>
    <row r="6262" spans="1:11">
      <c r="A6262" s="450" t="s">
        <v>36124</v>
      </c>
      <c r="B6262" s="450" t="s">
        <v>36125</v>
      </c>
      <c r="C6262" s="450" t="s">
        <v>10263</v>
      </c>
      <c r="D6262" s="450" t="s">
        <v>10264</v>
      </c>
      <c r="E6262" s="450"/>
      <c r="F6262" s="450"/>
      <c r="G6262" s="450" t="s">
        <v>22877</v>
      </c>
      <c r="H6262" s="450" t="s">
        <v>22878</v>
      </c>
      <c r="I6262" s="450" t="s">
        <v>10264</v>
      </c>
      <c r="J6262" s="450" t="s">
        <v>36126</v>
      </c>
      <c r="K6262" s="450"/>
    </row>
    <row r="6263" spans="1:11">
      <c r="A6263" s="451" t="s">
        <v>21780</v>
      </c>
      <c r="B6263" s="451" t="s">
        <v>10262</v>
      </c>
      <c r="C6263" s="451" t="s">
        <v>10263</v>
      </c>
      <c r="D6263" s="451" t="s">
        <v>10264</v>
      </c>
      <c r="E6263" s="451" t="s">
        <v>10265</v>
      </c>
      <c r="F6263" s="451"/>
      <c r="G6263" s="451" t="s">
        <v>22877</v>
      </c>
      <c r="H6263" s="451" t="s">
        <v>22878</v>
      </c>
      <c r="I6263" s="451" t="s">
        <v>10264</v>
      </c>
      <c r="J6263" s="451" t="s">
        <v>31650</v>
      </c>
      <c r="K6263" s="451"/>
    </row>
    <row r="6264" spans="1:11">
      <c r="A6264" s="450" t="s">
        <v>36127</v>
      </c>
      <c r="B6264" s="450" t="s">
        <v>10266</v>
      </c>
      <c r="C6264" s="450" t="s">
        <v>10267</v>
      </c>
      <c r="D6264" s="450"/>
      <c r="E6264" s="450"/>
      <c r="F6264" s="450"/>
      <c r="G6264" s="450" t="s">
        <v>22882</v>
      </c>
      <c r="H6264" s="450" t="s">
        <v>22883</v>
      </c>
      <c r="I6264" s="450"/>
      <c r="J6264" s="450" t="s">
        <v>26515</v>
      </c>
      <c r="K6264" s="450"/>
    </row>
    <row r="6265" spans="1:11">
      <c r="A6265" s="451" t="s">
        <v>21781</v>
      </c>
      <c r="B6265" s="451" t="s">
        <v>10266</v>
      </c>
      <c r="C6265" s="451" t="s">
        <v>10267</v>
      </c>
      <c r="D6265" s="451"/>
      <c r="E6265" s="451"/>
      <c r="F6265" s="451"/>
      <c r="G6265" s="451" t="s">
        <v>22882</v>
      </c>
      <c r="H6265" s="451" t="s">
        <v>22883</v>
      </c>
      <c r="I6265" s="451" t="s">
        <v>31651</v>
      </c>
      <c r="J6265" s="451" t="s">
        <v>26515</v>
      </c>
      <c r="K6265" s="451"/>
    </row>
    <row r="6266" spans="1:11">
      <c r="A6266" s="450" t="s">
        <v>36128</v>
      </c>
      <c r="B6266" s="450" t="s">
        <v>10269</v>
      </c>
      <c r="C6266" s="450" t="s">
        <v>6038</v>
      </c>
      <c r="D6266" s="450"/>
      <c r="E6266" s="450"/>
      <c r="F6266" s="450"/>
      <c r="G6266" s="450" t="s">
        <v>22877</v>
      </c>
      <c r="H6266" s="450" t="s">
        <v>22878</v>
      </c>
      <c r="I6266" s="450" t="s">
        <v>36129</v>
      </c>
      <c r="J6266" s="450" t="s">
        <v>36130</v>
      </c>
      <c r="K6266" s="450"/>
    </row>
    <row r="6267" spans="1:11">
      <c r="A6267" s="451" t="s">
        <v>10268</v>
      </c>
      <c r="B6267" s="451" t="s">
        <v>10269</v>
      </c>
      <c r="C6267" s="451" t="s">
        <v>6038</v>
      </c>
      <c r="D6267" s="451"/>
      <c r="E6267" s="451"/>
      <c r="F6267" s="451"/>
      <c r="G6267" s="451" t="s">
        <v>22882</v>
      </c>
      <c r="H6267" s="451" t="s">
        <v>22883</v>
      </c>
      <c r="I6267" s="451"/>
      <c r="J6267" s="451" t="s">
        <v>31652</v>
      </c>
      <c r="K6267" s="451"/>
    </row>
    <row r="6268" spans="1:11">
      <c r="A6268" s="450" t="s">
        <v>36131</v>
      </c>
      <c r="B6268" s="450"/>
      <c r="C6268" s="450" t="s">
        <v>10271</v>
      </c>
      <c r="D6268" s="450"/>
      <c r="E6268" s="450"/>
      <c r="F6268" s="450"/>
      <c r="G6268" s="450" t="s">
        <v>22877</v>
      </c>
      <c r="H6268" s="450" t="s">
        <v>22878</v>
      </c>
      <c r="I6268" s="450" t="s">
        <v>36132</v>
      </c>
      <c r="J6268" s="450" t="s">
        <v>22943</v>
      </c>
      <c r="K6268" s="450"/>
    </row>
    <row r="6269" spans="1:11">
      <c r="A6269" s="451" t="s">
        <v>10270</v>
      </c>
      <c r="B6269" s="451"/>
      <c r="C6269" s="451" t="s">
        <v>10271</v>
      </c>
      <c r="D6269" s="451"/>
      <c r="E6269" s="451"/>
      <c r="F6269" s="451"/>
      <c r="G6269" s="451" t="s">
        <v>22877</v>
      </c>
      <c r="H6269" s="451" t="s">
        <v>22878</v>
      </c>
      <c r="I6269" s="451" t="s">
        <v>36133</v>
      </c>
      <c r="J6269" s="451" t="s">
        <v>22937</v>
      </c>
      <c r="K6269" s="451"/>
    </row>
    <row r="6270" spans="1:11">
      <c r="A6270" s="450" t="s">
        <v>10272</v>
      </c>
      <c r="B6270" s="450"/>
      <c r="C6270" s="450" t="s">
        <v>10273</v>
      </c>
      <c r="D6270" s="450"/>
      <c r="E6270" s="450"/>
      <c r="F6270" s="450"/>
      <c r="G6270" s="450" t="s">
        <v>22882</v>
      </c>
      <c r="H6270" s="450" t="s">
        <v>22883</v>
      </c>
      <c r="I6270" s="450"/>
      <c r="J6270" s="450" t="s">
        <v>22943</v>
      </c>
      <c r="K6270" s="450"/>
    </row>
    <row r="6271" spans="1:11">
      <c r="A6271" s="451" t="s">
        <v>10274</v>
      </c>
      <c r="B6271" s="451"/>
      <c r="C6271" s="451" t="s">
        <v>10275</v>
      </c>
      <c r="D6271" s="451"/>
      <c r="E6271" s="451"/>
      <c r="F6271" s="451"/>
      <c r="G6271" s="451" t="s">
        <v>22877</v>
      </c>
      <c r="H6271" s="451" t="s">
        <v>22878</v>
      </c>
      <c r="I6271" s="451" t="s">
        <v>36134</v>
      </c>
      <c r="J6271" s="451" t="s">
        <v>23121</v>
      </c>
      <c r="K6271" s="451"/>
    </row>
    <row r="6272" spans="1:11">
      <c r="A6272" s="450" t="s">
        <v>36135</v>
      </c>
      <c r="B6272" s="450"/>
      <c r="C6272" s="450" t="s">
        <v>7199</v>
      </c>
      <c r="D6272" s="450"/>
      <c r="E6272" s="450"/>
      <c r="F6272" s="450"/>
      <c r="G6272" s="450" t="s">
        <v>22882</v>
      </c>
      <c r="H6272" s="450" t="s">
        <v>22883</v>
      </c>
      <c r="I6272" s="450"/>
      <c r="J6272" s="450" t="s">
        <v>23121</v>
      </c>
      <c r="K6272" s="450"/>
    </row>
    <row r="6273" spans="1:11">
      <c r="A6273" s="451" t="s">
        <v>10276</v>
      </c>
      <c r="B6273" s="451"/>
      <c r="C6273" s="451" t="s">
        <v>7199</v>
      </c>
      <c r="D6273" s="451"/>
      <c r="E6273" s="451"/>
      <c r="F6273" s="451"/>
      <c r="G6273" s="451" t="s">
        <v>22882</v>
      </c>
      <c r="H6273" s="451" t="s">
        <v>22883</v>
      </c>
      <c r="I6273" s="451"/>
      <c r="J6273" s="451" t="s">
        <v>22939</v>
      </c>
      <c r="K6273" s="451"/>
    </row>
    <row r="6274" spans="1:11">
      <c r="A6274" s="450" t="s">
        <v>10277</v>
      </c>
      <c r="B6274" s="450"/>
      <c r="C6274" s="450" t="s">
        <v>10278</v>
      </c>
      <c r="D6274" s="450"/>
      <c r="E6274" s="450"/>
      <c r="F6274" s="450"/>
      <c r="G6274" s="450" t="s">
        <v>22877</v>
      </c>
      <c r="H6274" s="450" t="s">
        <v>22878</v>
      </c>
      <c r="I6274" s="450" t="s">
        <v>36136</v>
      </c>
      <c r="J6274" s="450" t="s">
        <v>22939</v>
      </c>
      <c r="K6274" s="450"/>
    </row>
    <row r="6275" spans="1:11">
      <c r="A6275" s="451" t="s">
        <v>10279</v>
      </c>
      <c r="B6275" s="451"/>
      <c r="C6275" s="451" t="s">
        <v>3416</v>
      </c>
      <c r="D6275" s="451"/>
      <c r="E6275" s="451"/>
      <c r="F6275" s="451"/>
      <c r="G6275" s="451" t="s">
        <v>22877</v>
      </c>
      <c r="H6275" s="451" t="s">
        <v>22878</v>
      </c>
      <c r="I6275" s="451" t="s">
        <v>36137</v>
      </c>
      <c r="J6275" s="451" t="s">
        <v>22943</v>
      </c>
      <c r="K6275" s="451"/>
    </row>
    <row r="6276" spans="1:11">
      <c r="A6276" s="450" t="s">
        <v>10280</v>
      </c>
      <c r="B6276" s="450"/>
      <c r="C6276" s="450" t="s">
        <v>10281</v>
      </c>
      <c r="D6276" s="450"/>
      <c r="E6276" s="450"/>
      <c r="F6276" s="450"/>
      <c r="G6276" s="450" t="s">
        <v>22877</v>
      </c>
      <c r="H6276" s="450" t="s">
        <v>22878</v>
      </c>
      <c r="I6276" s="450" t="s">
        <v>36138</v>
      </c>
      <c r="J6276" s="450" t="s">
        <v>22997</v>
      </c>
      <c r="K6276" s="450"/>
    </row>
    <row r="6277" spans="1:11">
      <c r="A6277" s="451" t="s">
        <v>10282</v>
      </c>
      <c r="B6277" s="451"/>
      <c r="C6277" s="451" t="s">
        <v>9433</v>
      </c>
      <c r="D6277" s="451"/>
      <c r="E6277" s="451"/>
      <c r="F6277" s="451"/>
      <c r="G6277" s="451" t="s">
        <v>22877</v>
      </c>
      <c r="H6277" s="451" t="s">
        <v>22878</v>
      </c>
      <c r="I6277" s="451" t="s">
        <v>26516</v>
      </c>
      <c r="J6277" s="451" t="s">
        <v>22943</v>
      </c>
      <c r="K6277" s="451"/>
    </row>
    <row r="6278" spans="1:11">
      <c r="A6278" s="450" t="s">
        <v>21782</v>
      </c>
      <c r="B6278" s="450" t="s">
        <v>10283</v>
      </c>
      <c r="C6278" s="450" t="s">
        <v>10284</v>
      </c>
      <c r="D6278" s="450" t="s">
        <v>10285</v>
      </c>
      <c r="E6278" s="450"/>
      <c r="F6278" s="450"/>
      <c r="G6278" s="450" t="s">
        <v>22882</v>
      </c>
      <c r="H6278" s="450" t="s">
        <v>22883</v>
      </c>
      <c r="I6278" s="450"/>
      <c r="J6278" s="450" t="s">
        <v>36139</v>
      </c>
      <c r="K6278" s="450"/>
    </row>
    <row r="6279" spans="1:11">
      <c r="A6279" s="451" t="s">
        <v>21782</v>
      </c>
      <c r="B6279" s="451" t="s">
        <v>10283</v>
      </c>
      <c r="C6279" s="451" t="s">
        <v>10284</v>
      </c>
      <c r="D6279" s="451" t="s">
        <v>10285</v>
      </c>
      <c r="E6279" s="451" t="s">
        <v>10286</v>
      </c>
      <c r="F6279" s="451"/>
      <c r="G6279" s="451" t="s">
        <v>22877</v>
      </c>
      <c r="H6279" s="451" t="s">
        <v>22878</v>
      </c>
      <c r="I6279" s="451" t="s">
        <v>10285</v>
      </c>
      <c r="J6279" s="451" t="s">
        <v>31653</v>
      </c>
      <c r="K6279" s="451"/>
    </row>
    <row r="6280" spans="1:11">
      <c r="A6280" s="450" t="s">
        <v>36140</v>
      </c>
      <c r="B6280" s="450"/>
      <c r="C6280" s="450" t="s">
        <v>10288</v>
      </c>
      <c r="D6280" s="450"/>
      <c r="E6280" s="450"/>
      <c r="F6280" s="450"/>
      <c r="G6280" s="450" t="s">
        <v>22882</v>
      </c>
      <c r="H6280" s="450" t="s">
        <v>22883</v>
      </c>
      <c r="I6280" s="450"/>
      <c r="J6280" s="450" t="s">
        <v>22939</v>
      </c>
      <c r="K6280" s="450"/>
    </row>
    <row r="6281" spans="1:11">
      <c r="A6281" s="451" t="s">
        <v>10287</v>
      </c>
      <c r="B6281" s="451"/>
      <c r="C6281" s="451" t="s">
        <v>10288</v>
      </c>
      <c r="D6281" s="451"/>
      <c r="E6281" s="451"/>
      <c r="F6281" s="451"/>
      <c r="G6281" s="451" t="s">
        <v>22882</v>
      </c>
      <c r="H6281" s="451" t="s">
        <v>22883</v>
      </c>
      <c r="I6281" s="451" t="s">
        <v>36141</v>
      </c>
      <c r="J6281" s="451" t="s">
        <v>22939</v>
      </c>
      <c r="K6281" s="451"/>
    </row>
    <row r="6282" spans="1:11">
      <c r="A6282" s="450" t="s">
        <v>10289</v>
      </c>
      <c r="B6282" s="450"/>
      <c r="C6282" s="450" t="s">
        <v>10290</v>
      </c>
      <c r="D6282" s="450"/>
      <c r="E6282" s="450"/>
      <c r="F6282" s="450"/>
      <c r="G6282" s="450" t="s">
        <v>22877</v>
      </c>
      <c r="H6282" s="450" t="s">
        <v>22878</v>
      </c>
      <c r="I6282" s="450" t="s">
        <v>26517</v>
      </c>
      <c r="J6282" s="450" t="s">
        <v>22939</v>
      </c>
      <c r="K6282" s="450"/>
    </row>
    <row r="6283" spans="1:11">
      <c r="A6283" s="451" t="s">
        <v>36142</v>
      </c>
      <c r="B6283" s="451" t="s">
        <v>10292</v>
      </c>
      <c r="C6283" s="451" t="s">
        <v>10293</v>
      </c>
      <c r="D6283" s="451"/>
      <c r="E6283" s="451"/>
      <c r="F6283" s="451" t="s">
        <v>10294</v>
      </c>
      <c r="G6283" s="451" t="s">
        <v>22882</v>
      </c>
      <c r="H6283" s="451" t="s">
        <v>22883</v>
      </c>
      <c r="I6283" s="451"/>
      <c r="J6283" s="451" t="s">
        <v>36143</v>
      </c>
      <c r="K6283" s="451"/>
    </row>
    <row r="6284" spans="1:11">
      <c r="A6284" s="450" t="s">
        <v>10291</v>
      </c>
      <c r="B6284" s="450" t="s">
        <v>10292</v>
      </c>
      <c r="C6284" s="450" t="s">
        <v>10293</v>
      </c>
      <c r="D6284" s="450"/>
      <c r="E6284" s="450"/>
      <c r="F6284" s="450" t="s">
        <v>10294</v>
      </c>
      <c r="G6284" s="450" t="s">
        <v>22877</v>
      </c>
      <c r="H6284" s="450" t="s">
        <v>22878</v>
      </c>
      <c r="I6284" s="450" t="s">
        <v>31654</v>
      </c>
      <c r="J6284" s="450" t="s">
        <v>31655</v>
      </c>
      <c r="K6284" s="450"/>
    </row>
    <row r="6285" spans="1:11">
      <c r="A6285" s="451" t="s">
        <v>21783</v>
      </c>
      <c r="B6285" s="451"/>
      <c r="C6285" s="451" t="s">
        <v>9635</v>
      </c>
      <c r="D6285" s="451"/>
      <c r="E6285" s="451"/>
      <c r="F6285" s="451"/>
      <c r="G6285" s="451" t="s">
        <v>22877</v>
      </c>
      <c r="H6285" s="451" t="s">
        <v>22878</v>
      </c>
      <c r="I6285" s="451" t="s">
        <v>36144</v>
      </c>
      <c r="J6285" s="451" t="s">
        <v>22939</v>
      </c>
      <c r="K6285" s="451"/>
    </row>
    <row r="6286" spans="1:11">
      <c r="A6286" s="450" t="s">
        <v>36145</v>
      </c>
      <c r="B6286" s="450"/>
      <c r="C6286" s="450" t="s">
        <v>10296</v>
      </c>
      <c r="D6286" s="450"/>
      <c r="E6286" s="450"/>
      <c r="F6286" s="450"/>
      <c r="G6286" s="450" t="s">
        <v>22877</v>
      </c>
      <c r="H6286" s="450" t="s">
        <v>22878</v>
      </c>
      <c r="I6286" s="450" t="s">
        <v>36146</v>
      </c>
      <c r="J6286" s="450" t="s">
        <v>23121</v>
      </c>
      <c r="K6286" s="450"/>
    </row>
    <row r="6287" spans="1:11">
      <c r="A6287" s="451" t="s">
        <v>10295</v>
      </c>
      <c r="B6287" s="451"/>
      <c r="C6287" s="451" t="s">
        <v>10296</v>
      </c>
      <c r="D6287" s="451"/>
      <c r="E6287" s="451"/>
      <c r="F6287" s="451"/>
      <c r="G6287" s="451" t="s">
        <v>22877</v>
      </c>
      <c r="H6287" s="451" t="s">
        <v>22878</v>
      </c>
      <c r="I6287" s="451" t="s">
        <v>36147</v>
      </c>
      <c r="J6287" s="451" t="s">
        <v>22939</v>
      </c>
      <c r="K6287" s="451"/>
    </row>
    <row r="6288" spans="1:11">
      <c r="A6288" s="450" t="s">
        <v>10297</v>
      </c>
      <c r="B6288" s="450"/>
      <c r="C6288" s="450" t="s">
        <v>10298</v>
      </c>
      <c r="D6288" s="450"/>
      <c r="E6288" s="450"/>
      <c r="F6288" s="450"/>
      <c r="G6288" s="450" t="s">
        <v>22882</v>
      </c>
      <c r="H6288" s="450" t="s">
        <v>22883</v>
      </c>
      <c r="I6288" s="450"/>
      <c r="J6288" s="450" t="s">
        <v>22939</v>
      </c>
      <c r="K6288" s="450"/>
    </row>
    <row r="6289" spans="1:11">
      <c r="A6289" s="451" t="s">
        <v>10299</v>
      </c>
      <c r="B6289" s="451" t="s">
        <v>10300</v>
      </c>
      <c r="C6289" s="451" t="s">
        <v>10301</v>
      </c>
      <c r="D6289" s="451" t="s">
        <v>10302</v>
      </c>
      <c r="E6289" s="451"/>
      <c r="F6289" s="451"/>
      <c r="G6289" s="451" t="s">
        <v>22882</v>
      </c>
      <c r="H6289" s="451" t="s">
        <v>22883</v>
      </c>
      <c r="I6289" s="451" t="s">
        <v>24238</v>
      </c>
      <c r="J6289" s="451" t="s">
        <v>26518</v>
      </c>
      <c r="K6289" s="451"/>
    </row>
    <row r="6290" spans="1:11">
      <c r="A6290" s="450" t="s">
        <v>10299</v>
      </c>
      <c r="B6290" s="450" t="s">
        <v>10300</v>
      </c>
      <c r="C6290" s="450" t="s">
        <v>10301</v>
      </c>
      <c r="D6290" s="450" t="s">
        <v>10302</v>
      </c>
      <c r="E6290" s="450" t="s">
        <v>10303</v>
      </c>
      <c r="F6290" s="450"/>
      <c r="G6290" s="450" t="s">
        <v>22882</v>
      </c>
      <c r="H6290" s="450" t="s">
        <v>22883</v>
      </c>
      <c r="I6290" s="450" t="s">
        <v>24238</v>
      </c>
      <c r="J6290" s="450" t="s">
        <v>26518</v>
      </c>
      <c r="K6290" s="450"/>
    </row>
    <row r="6291" spans="1:11">
      <c r="A6291" s="451" t="s">
        <v>10304</v>
      </c>
      <c r="B6291" s="451"/>
      <c r="C6291" s="451" t="s">
        <v>10305</v>
      </c>
      <c r="D6291" s="451"/>
      <c r="E6291" s="451"/>
      <c r="F6291" s="451"/>
      <c r="G6291" s="451" t="s">
        <v>22882</v>
      </c>
      <c r="H6291" s="451" t="s">
        <v>22883</v>
      </c>
      <c r="I6291" s="451"/>
      <c r="J6291" s="451" t="s">
        <v>22943</v>
      </c>
      <c r="K6291" s="451"/>
    </row>
    <row r="6292" spans="1:11">
      <c r="A6292" s="450" t="s">
        <v>10306</v>
      </c>
      <c r="B6292" s="450"/>
      <c r="C6292" s="450" t="s">
        <v>2110</v>
      </c>
      <c r="D6292" s="450"/>
      <c r="E6292" s="450"/>
      <c r="F6292" s="450"/>
      <c r="G6292" s="450" t="s">
        <v>22882</v>
      </c>
      <c r="H6292" s="450" t="s">
        <v>22883</v>
      </c>
      <c r="I6292" s="450"/>
      <c r="J6292" s="450" t="s">
        <v>23121</v>
      </c>
      <c r="K6292" s="450"/>
    </row>
    <row r="6293" spans="1:11">
      <c r="A6293" s="451" t="s">
        <v>30026</v>
      </c>
      <c r="B6293" s="451" t="s">
        <v>30027</v>
      </c>
      <c r="C6293" s="451" t="s">
        <v>30028</v>
      </c>
      <c r="D6293" s="451"/>
      <c r="E6293" s="451"/>
      <c r="F6293" s="451"/>
      <c r="G6293" s="451"/>
      <c r="H6293" s="451"/>
      <c r="I6293" s="451"/>
      <c r="J6293" s="451"/>
      <c r="K6293" s="451"/>
    </row>
    <row r="6294" spans="1:11">
      <c r="A6294" s="450" t="s">
        <v>36148</v>
      </c>
      <c r="B6294" s="450"/>
      <c r="C6294" s="450" t="s">
        <v>4479</v>
      </c>
      <c r="D6294" s="450"/>
      <c r="E6294" s="450"/>
      <c r="F6294" s="450"/>
      <c r="G6294" s="450" t="s">
        <v>22877</v>
      </c>
      <c r="H6294" s="450" t="s">
        <v>22878</v>
      </c>
      <c r="I6294" s="450" t="s">
        <v>36149</v>
      </c>
      <c r="J6294" s="450" t="s">
        <v>22943</v>
      </c>
      <c r="K6294" s="450"/>
    </row>
    <row r="6295" spans="1:11">
      <c r="A6295" s="451" t="s">
        <v>10307</v>
      </c>
      <c r="B6295" s="451"/>
      <c r="C6295" s="451" t="s">
        <v>4479</v>
      </c>
      <c r="D6295" s="451"/>
      <c r="E6295" s="451"/>
      <c r="F6295" s="451"/>
      <c r="G6295" s="451" t="s">
        <v>22877</v>
      </c>
      <c r="H6295" s="451" t="s">
        <v>22878</v>
      </c>
      <c r="I6295" s="451" t="s">
        <v>36150</v>
      </c>
      <c r="J6295" s="451" t="s">
        <v>22997</v>
      </c>
      <c r="K6295" s="451"/>
    </row>
    <row r="6296" spans="1:11">
      <c r="A6296" s="450" t="s">
        <v>10308</v>
      </c>
      <c r="B6296" s="450"/>
      <c r="C6296" s="450" t="s">
        <v>10309</v>
      </c>
      <c r="D6296" s="450"/>
      <c r="E6296" s="450"/>
      <c r="F6296" s="450"/>
      <c r="G6296" s="450" t="s">
        <v>22877</v>
      </c>
      <c r="H6296" s="450" t="s">
        <v>22878</v>
      </c>
      <c r="I6296" s="450" t="s">
        <v>36151</v>
      </c>
      <c r="J6296" s="450" t="s">
        <v>22943</v>
      </c>
      <c r="K6296" s="450"/>
    </row>
    <row r="6297" spans="1:11">
      <c r="A6297" s="451" t="s">
        <v>10310</v>
      </c>
      <c r="B6297" s="451"/>
      <c r="C6297" s="451" t="s">
        <v>3910</v>
      </c>
      <c r="D6297" s="451"/>
      <c r="E6297" s="451"/>
      <c r="F6297" s="451"/>
      <c r="G6297" s="451" t="s">
        <v>22877</v>
      </c>
      <c r="H6297" s="451" t="s">
        <v>22878</v>
      </c>
      <c r="I6297" s="451" t="s">
        <v>36152</v>
      </c>
      <c r="J6297" s="451" t="s">
        <v>22943</v>
      </c>
      <c r="K6297" s="451"/>
    </row>
    <row r="6298" spans="1:11">
      <c r="A6298" s="450" t="s">
        <v>10311</v>
      </c>
      <c r="B6298" s="450"/>
      <c r="C6298" s="450" t="s">
        <v>10312</v>
      </c>
      <c r="D6298" s="450"/>
      <c r="E6298" s="450"/>
      <c r="F6298" s="450"/>
      <c r="G6298" s="450" t="s">
        <v>22882</v>
      </c>
      <c r="H6298" s="450" t="s">
        <v>22883</v>
      </c>
      <c r="I6298" s="450"/>
      <c r="J6298" s="450" t="s">
        <v>22942</v>
      </c>
      <c r="K6298" s="450"/>
    </row>
    <row r="6299" spans="1:11">
      <c r="A6299" s="451" t="s">
        <v>10313</v>
      </c>
      <c r="B6299" s="451"/>
      <c r="C6299" s="451" t="s">
        <v>9832</v>
      </c>
      <c r="D6299" s="451"/>
      <c r="E6299" s="451"/>
      <c r="F6299" s="451"/>
      <c r="G6299" s="451" t="s">
        <v>22882</v>
      </c>
      <c r="H6299" s="451" t="s">
        <v>22883</v>
      </c>
      <c r="I6299" s="451"/>
      <c r="J6299" s="451" t="s">
        <v>22943</v>
      </c>
      <c r="K6299" s="451"/>
    </row>
    <row r="6300" spans="1:11">
      <c r="A6300" s="450" t="s">
        <v>10314</v>
      </c>
      <c r="B6300" s="450"/>
      <c r="C6300" s="450" t="s">
        <v>10315</v>
      </c>
      <c r="D6300" s="450"/>
      <c r="E6300" s="450"/>
      <c r="F6300" s="450"/>
      <c r="G6300" s="450" t="s">
        <v>22877</v>
      </c>
      <c r="H6300" s="450" t="s">
        <v>22878</v>
      </c>
      <c r="I6300" s="450" t="s">
        <v>36153</v>
      </c>
      <c r="J6300" s="450" t="s">
        <v>22937</v>
      </c>
      <c r="K6300" s="450"/>
    </row>
    <row r="6301" spans="1:11">
      <c r="A6301" s="451" t="s">
        <v>26519</v>
      </c>
      <c r="B6301" s="451"/>
      <c r="C6301" s="451" t="s">
        <v>10315</v>
      </c>
      <c r="D6301" s="451"/>
      <c r="E6301" s="451"/>
      <c r="F6301" s="451"/>
      <c r="G6301" s="451" t="s">
        <v>22877</v>
      </c>
      <c r="H6301" s="451" t="s">
        <v>22878</v>
      </c>
      <c r="I6301" s="451" t="s">
        <v>26520</v>
      </c>
      <c r="J6301" s="451" t="s">
        <v>22943</v>
      </c>
      <c r="K6301" s="451"/>
    </row>
    <row r="6302" spans="1:11">
      <c r="A6302" s="450" t="s">
        <v>10316</v>
      </c>
      <c r="B6302" s="450" t="s">
        <v>10317</v>
      </c>
      <c r="C6302" s="450" t="s">
        <v>3100</v>
      </c>
      <c r="D6302" s="450" t="s">
        <v>10318</v>
      </c>
      <c r="E6302" s="450"/>
      <c r="F6302" s="450"/>
      <c r="G6302" s="450" t="s">
        <v>22877</v>
      </c>
      <c r="H6302" s="450" t="s">
        <v>22878</v>
      </c>
      <c r="I6302" s="450" t="s">
        <v>10318</v>
      </c>
      <c r="J6302" s="450" t="s">
        <v>26521</v>
      </c>
      <c r="K6302" s="450"/>
    </row>
    <row r="6303" spans="1:11">
      <c r="A6303" s="451" t="s">
        <v>10316</v>
      </c>
      <c r="B6303" s="451" t="s">
        <v>10317</v>
      </c>
      <c r="C6303" s="451" t="s">
        <v>3100</v>
      </c>
      <c r="D6303" s="451" t="s">
        <v>10318</v>
      </c>
      <c r="E6303" s="451" t="s">
        <v>10319</v>
      </c>
      <c r="F6303" s="451"/>
      <c r="G6303" s="451" t="s">
        <v>22877</v>
      </c>
      <c r="H6303" s="451" t="s">
        <v>22878</v>
      </c>
      <c r="I6303" s="451" t="s">
        <v>27383</v>
      </c>
      <c r="J6303" s="451" t="s">
        <v>26521</v>
      </c>
      <c r="K6303" s="451"/>
    </row>
    <row r="6304" spans="1:11">
      <c r="A6304" s="450" t="s">
        <v>36154</v>
      </c>
      <c r="B6304" s="450"/>
      <c r="C6304" s="450" t="s">
        <v>10321</v>
      </c>
      <c r="D6304" s="450"/>
      <c r="E6304" s="450"/>
      <c r="F6304" s="450"/>
      <c r="G6304" s="450" t="s">
        <v>22882</v>
      </c>
      <c r="H6304" s="450" t="s">
        <v>22883</v>
      </c>
      <c r="I6304" s="450"/>
      <c r="J6304" s="450" t="s">
        <v>22943</v>
      </c>
      <c r="K6304" s="450"/>
    </row>
    <row r="6305" spans="1:11">
      <c r="A6305" s="451" t="s">
        <v>10320</v>
      </c>
      <c r="B6305" s="451"/>
      <c r="C6305" s="451" t="s">
        <v>10321</v>
      </c>
      <c r="D6305" s="451"/>
      <c r="E6305" s="451"/>
      <c r="F6305" s="451"/>
      <c r="G6305" s="451" t="s">
        <v>22882</v>
      </c>
      <c r="H6305" s="451" t="s">
        <v>22883</v>
      </c>
      <c r="I6305" s="451" t="s">
        <v>31656</v>
      </c>
      <c r="J6305" s="451" t="s">
        <v>22942</v>
      </c>
      <c r="K6305" s="451"/>
    </row>
    <row r="6306" spans="1:11">
      <c r="A6306" s="450" t="s">
        <v>10322</v>
      </c>
      <c r="B6306" s="450" t="s">
        <v>10323</v>
      </c>
      <c r="C6306" s="450" t="s">
        <v>10324</v>
      </c>
      <c r="D6306" s="450" t="s">
        <v>10325</v>
      </c>
      <c r="E6306" s="450"/>
      <c r="F6306" s="450"/>
      <c r="G6306" s="450" t="s">
        <v>22882</v>
      </c>
      <c r="H6306" s="450" t="s">
        <v>22883</v>
      </c>
      <c r="I6306" s="450"/>
      <c r="J6306" s="450" t="s">
        <v>36155</v>
      </c>
      <c r="K6306" s="450"/>
    </row>
    <row r="6307" spans="1:11">
      <c r="A6307" s="451" t="s">
        <v>10322</v>
      </c>
      <c r="B6307" s="451" t="s">
        <v>10323</v>
      </c>
      <c r="C6307" s="451" t="s">
        <v>10324</v>
      </c>
      <c r="D6307" s="451" t="s">
        <v>10325</v>
      </c>
      <c r="E6307" s="451" t="s">
        <v>10326</v>
      </c>
      <c r="F6307" s="451"/>
      <c r="G6307" s="451" t="s">
        <v>22882</v>
      </c>
      <c r="H6307" s="451" t="s">
        <v>22883</v>
      </c>
      <c r="I6307" s="451"/>
      <c r="J6307" s="451" t="s">
        <v>36156</v>
      </c>
      <c r="K6307" s="451"/>
    </row>
    <row r="6308" spans="1:11">
      <c r="A6308" s="450" t="s">
        <v>10327</v>
      </c>
      <c r="B6308" s="450" t="s">
        <v>10328</v>
      </c>
      <c r="C6308" s="450" t="s">
        <v>10329</v>
      </c>
      <c r="D6308" s="450" t="s">
        <v>10330</v>
      </c>
      <c r="E6308" s="450"/>
      <c r="F6308" s="450"/>
      <c r="G6308" s="450" t="s">
        <v>22882</v>
      </c>
      <c r="H6308" s="450" t="s">
        <v>22883</v>
      </c>
      <c r="I6308" s="450"/>
      <c r="J6308" s="450" t="s">
        <v>36157</v>
      </c>
      <c r="K6308" s="450"/>
    </row>
    <row r="6309" spans="1:11">
      <c r="A6309" s="451" t="s">
        <v>10327</v>
      </c>
      <c r="B6309" s="451" t="s">
        <v>10328</v>
      </c>
      <c r="C6309" s="451" t="s">
        <v>10329</v>
      </c>
      <c r="D6309" s="451" t="s">
        <v>10330</v>
      </c>
      <c r="E6309" s="451" t="s">
        <v>10331</v>
      </c>
      <c r="F6309" s="451"/>
      <c r="G6309" s="451" t="s">
        <v>22882</v>
      </c>
      <c r="H6309" s="451" t="s">
        <v>22883</v>
      </c>
      <c r="I6309" s="451" t="s">
        <v>10330</v>
      </c>
      <c r="J6309" s="451" t="s">
        <v>31657</v>
      </c>
      <c r="K6309" s="451"/>
    </row>
    <row r="6310" spans="1:11">
      <c r="A6310" s="450" t="s">
        <v>10332</v>
      </c>
      <c r="B6310" s="450"/>
      <c r="C6310" s="450" t="s">
        <v>10333</v>
      </c>
      <c r="D6310" s="450"/>
      <c r="E6310" s="450"/>
      <c r="F6310" s="450"/>
      <c r="G6310" s="450" t="s">
        <v>22882</v>
      </c>
      <c r="H6310" s="450" t="s">
        <v>22883</v>
      </c>
      <c r="I6310" s="450" t="s">
        <v>36158</v>
      </c>
      <c r="J6310" s="450" t="s">
        <v>22942</v>
      </c>
      <c r="K6310" s="450"/>
    </row>
    <row r="6311" spans="1:11">
      <c r="A6311" s="451" t="s">
        <v>26522</v>
      </c>
      <c r="B6311" s="451"/>
      <c r="C6311" s="451" t="s">
        <v>10333</v>
      </c>
      <c r="D6311" s="451"/>
      <c r="E6311" s="451"/>
      <c r="F6311" s="451"/>
      <c r="G6311" s="451" t="s">
        <v>22882</v>
      </c>
      <c r="H6311" s="451" t="s">
        <v>22883</v>
      </c>
      <c r="I6311" s="451"/>
      <c r="J6311" s="451" t="s">
        <v>23370</v>
      </c>
      <c r="K6311" s="451"/>
    </row>
    <row r="6312" spans="1:11">
      <c r="A6312" s="450" t="s">
        <v>26523</v>
      </c>
      <c r="B6312" s="450" t="s">
        <v>10335</v>
      </c>
      <c r="C6312" s="450" t="s">
        <v>2690</v>
      </c>
      <c r="D6312" s="450"/>
      <c r="E6312" s="450"/>
      <c r="F6312" s="450"/>
      <c r="G6312" s="450" t="s">
        <v>22877</v>
      </c>
      <c r="H6312" s="450" t="s">
        <v>22878</v>
      </c>
      <c r="I6312" s="450" t="s">
        <v>26524</v>
      </c>
      <c r="J6312" s="450" t="s">
        <v>26525</v>
      </c>
      <c r="K6312" s="450"/>
    </row>
    <row r="6313" spans="1:11">
      <c r="A6313" s="451" t="s">
        <v>26526</v>
      </c>
      <c r="B6313" s="451" t="s">
        <v>26527</v>
      </c>
      <c r="C6313" s="451" t="s">
        <v>21058</v>
      </c>
      <c r="D6313" s="451"/>
      <c r="E6313" s="451"/>
      <c r="F6313" s="451"/>
      <c r="G6313" s="451" t="s">
        <v>22877</v>
      </c>
      <c r="H6313" s="451" t="s">
        <v>22878</v>
      </c>
      <c r="I6313" s="451" t="s">
        <v>26528</v>
      </c>
      <c r="J6313" s="451" t="s">
        <v>26529</v>
      </c>
      <c r="K6313" s="451"/>
    </row>
    <row r="6314" spans="1:11">
      <c r="A6314" s="450" t="s">
        <v>10334</v>
      </c>
      <c r="B6314" s="450" t="s">
        <v>10335</v>
      </c>
      <c r="C6314" s="450" t="s">
        <v>2690</v>
      </c>
      <c r="D6314" s="450"/>
      <c r="E6314" s="450"/>
      <c r="F6314" s="450"/>
      <c r="G6314" s="450" t="s">
        <v>22882</v>
      </c>
      <c r="H6314" s="450" t="s">
        <v>22883</v>
      </c>
      <c r="I6314" s="450" t="s">
        <v>30516</v>
      </c>
      <c r="J6314" s="450" t="s">
        <v>31658</v>
      </c>
      <c r="K6314" s="450"/>
    </row>
    <row r="6315" spans="1:11">
      <c r="A6315" s="451" t="s">
        <v>10336</v>
      </c>
      <c r="B6315" s="451"/>
      <c r="C6315" s="451" t="s">
        <v>10337</v>
      </c>
      <c r="D6315" s="451"/>
      <c r="E6315" s="451"/>
      <c r="F6315" s="451"/>
      <c r="G6315" s="451" t="s">
        <v>22877</v>
      </c>
      <c r="H6315" s="451" t="s">
        <v>22878</v>
      </c>
      <c r="I6315" s="451" t="s">
        <v>26530</v>
      </c>
      <c r="J6315" s="451" t="s">
        <v>23121</v>
      </c>
      <c r="K6315" s="451"/>
    </row>
    <row r="6316" spans="1:11">
      <c r="A6316" s="450" t="s">
        <v>26531</v>
      </c>
      <c r="B6316" s="450" t="s">
        <v>26532</v>
      </c>
      <c r="C6316" s="450" t="s">
        <v>26533</v>
      </c>
      <c r="D6316" s="450"/>
      <c r="E6316" s="450"/>
      <c r="F6316" s="450"/>
      <c r="G6316" s="450" t="s">
        <v>22877</v>
      </c>
      <c r="H6316" s="450" t="s">
        <v>22878</v>
      </c>
      <c r="I6316" s="450" t="s">
        <v>26534</v>
      </c>
      <c r="J6316" s="450" t="s">
        <v>26535</v>
      </c>
      <c r="K6316" s="450"/>
    </row>
    <row r="6317" spans="1:11">
      <c r="A6317" s="451" t="s">
        <v>21784</v>
      </c>
      <c r="B6317" s="451"/>
      <c r="C6317" s="451" t="s">
        <v>10338</v>
      </c>
      <c r="D6317" s="451"/>
      <c r="E6317" s="451"/>
      <c r="F6317" s="451"/>
      <c r="G6317" s="451" t="s">
        <v>22882</v>
      </c>
      <c r="H6317" s="451" t="s">
        <v>22883</v>
      </c>
      <c r="I6317" s="451"/>
      <c r="J6317" s="451" t="s">
        <v>22939</v>
      </c>
      <c r="K6317" s="451"/>
    </row>
    <row r="6318" spans="1:11" ht="15.5">
      <c r="A6318" s="448" t="s">
        <v>36159</v>
      </c>
      <c r="B6318" s="448" t="s">
        <v>36160</v>
      </c>
      <c r="C6318" s="448" t="s">
        <v>1039</v>
      </c>
      <c r="D6318" s="448" t="s">
        <v>36161</v>
      </c>
      <c r="E6318" s="448"/>
      <c r="F6318" s="448"/>
      <c r="G6318" s="448"/>
      <c r="H6318" s="448"/>
      <c r="I6318" s="448"/>
      <c r="J6318" s="448"/>
      <c r="K6318" s="448"/>
    </row>
    <row r="6319" spans="1:11">
      <c r="A6319" s="451" t="s">
        <v>21785</v>
      </c>
      <c r="B6319" s="451" t="s">
        <v>26536</v>
      </c>
      <c r="C6319" s="451" t="s">
        <v>10340</v>
      </c>
      <c r="D6319" s="451"/>
      <c r="E6319" s="451"/>
      <c r="F6319" s="451"/>
      <c r="G6319" s="451" t="s">
        <v>22882</v>
      </c>
      <c r="H6319" s="451" t="s">
        <v>22883</v>
      </c>
      <c r="I6319" s="451"/>
      <c r="J6319" s="451" t="s">
        <v>26537</v>
      </c>
      <c r="K6319" s="451"/>
    </row>
    <row r="6320" spans="1:11">
      <c r="A6320" s="450" t="s">
        <v>21785</v>
      </c>
      <c r="B6320" s="450" t="s">
        <v>10339</v>
      </c>
      <c r="C6320" s="450" t="s">
        <v>10340</v>
      </c>
      <c r="D6320" s="450"/>
      <c r="E6320" s="450"/>
      <c r="F6320" s="450"/>
      <c r="G6320" s="450" t="s">
        <v>22877</v>
      </c>
      <c r="H6320" s="450" t="s">
        <v>22878</v>
      </c>
      <c r="I6320" s="450" t="s">
        <v>31659</v>
      </c>
      <c r="J6320" s="450" t="s">
        <v>31660</v>
      </c>
      <c r="K6320" s="450"/>
    </row>
    <row r="6321" spans="1:11">
      <c r="A6321" s="451" t="s">
        <v>36162</v>
      </c>
      <c r="B6321" s="451" t="s">
        <v>10342</v>
      </c>
      <c r="C6321" s="451" t="s">
        <v>10343</v>
      </c>
      <c r="D6321" s="451"/>
      <c r="E6321" s="451"/>
      <c r="F6321" s="451"/>
      <c r="G6321" s="451" t="s">
        <v>22877</v>
      </c>
      <c r="H6321" s="451" t="s">
        <v>22878</v>
      </c>
      <c r="I6321" s="451" t="s">
        <v>36163</v>
      </c>
      <c r="J6321" s="451" t="s">
        <v>26538</v>
      </c>
      <c r="K6321" s="451"/>
    </row>
    <row r="6322" spans="1:11">
      <c r="A6322" s="450" t="s">
        <v>10341</v>
      </c>
      <c r="B6322" s="450" t="s">
        <v>10342</v>
      </c>
      <c r="C6322" s="450" t="s">
        <v>10343</v>
      </c>
      <c r="D6322" s="450"/>
      <c r="E6322" s="450"/>
      <c r="F6322" s="450"/>
      <c r="G6322" s="450" t="s">
        <v>22877</v>
      </c>
      <c r="H6322" s="450" t="s">
        <v>22878</v>
      </c>
      <c r="I6322" s="450" t="s">
        <v>31661</v>
      </c>
      <c r="J6322" s="450" t="s">
        <v>26538</v>
      </c>
      <c r="K6322" s="450"/>
    </row>
    <row r="6323" spans="1:11">
      <c r="A6323" s="451" t="s">
        <v>10344</v>
      </c>
      <c r="B6323" s="451"/>
      <c r="C6323" s="451" t="s">
        <v>7563</v>
      </c>
      <c r="D6323" s="451"/>
      <c r="E6323" s="451"/>
      <c r="F6323" s="451"/>
      <c r="G6323" s="451" t="s">
        <v>22882</v>
      </c>
      <c r="H6323" s="451" t="s">
        <v>22883</v>
      </c>
      <c r="I6323" s="451"/>
      <c r="J6323" s="451" t="s">
        <v>22939</v>
      </c>
      <c r="K6323" s="451"/>
    </row>
    <row r="6324" spans="1:11">
      <c r="A6324" s="450" t="s">
        <v>36164</v>
      </c>
      <c r="B6324" s="450"/>
      <c r="C6324" s="450" t="s">
        <v>10227</v>
      </c>
      <c r="D6324" s="450"/>
      <c r="E6324" s="450"/>
      <c r="F6324" s="450"/>
      <c r="G6324" s="450" t="s">
        <v>22882</v>
      </c>
      <c r="H6324" s="450" t="s">
        <v>22883</v>
      </c>
      <c r="I6324" s="450"/>
      <c r="J6324" s="450" t="s">
        <v>22943</v>
      </c>
      <c r="K6324" s="450"/>
    </row>
    <row r="6325" spans="1:11">
      <c r="A6325" s="451" t="s">
        <v>10345</v>
      </c>
      <c r="B6325" s="451"/>
      <c r="C6325" s="451" t="s">
        <v>10346</v>
      </c>
      <c r="D6325" s="451"/>
      <c r="E6325" s="451"/>
      <c r="F6325" s="451"/>
      <c r="G6325" s="451" t="s">
        <v>22882</v>
      </c>
      <c r="H6325" s="451" t="s">
        <v>22883</v>
      </c>
      <c r="I6325" s="451"/>
      <c r="J6325" s="451" t="s">
        <v>23121</v>
      </c>
      <c r="K6325" s="451"/>
    </row>
    <row r="6326" spans="1:11">
      <c r="A6326" s="450" t="s">
        <v>10347</v>
      </c>
      <c r="B6326" s="450"/>
      <c r="C6326" s="450" t="s">
        <v>10032</v>
      </c>
      <c r="D6326" s="450"/>
      <c r="E6326" s="450"/>
      <c r="F6326" s="450"/>
      <c r="G6326" s="450" t="s">
        <v>22882</v>
      </c>
      <c r="H6326" s="450" t="s">
        <v>22883</v>
      </c>
      <c r="I6326" s="450"/>
      <c r="J6326" s="450" t="s">
        <v>23185</v>
      </c>
      <c r="K6326" s="450"/>
    </row>
    <row r="6327" spans="1:11">
      <c r="A6327" s="451" t="s">
        <v>10348</v>
      </c>
      <c r="B6327" s="451"/>
      <c r="C6327" s="451" t="s">
        <v>10349</v>
      </c>
      <c r="D6327" s="451"/>
      <c r="E6327" s="451"/>
      <c r="F6327" s="451"/>
      <c r="G6327" s="451" t="s">
        <v>22877</v>
      </c>
      <c r="H6327" s="451" t="s">
        <v>22878</v>
      </c>
      <c r="I6327" s="451" t="s">
        <v>36165</v>
      </c>
      <c r="J6327" s="451" t="s">
        <v>22939</v>
      </c>
      <c r="K6327" s="451"/>
    </row>
    <row r="6328" spans="1:11">
      <c r="A6328" s="450" t="s">
        <v>36166</v>
      </c>
      <c r="B6328" s="450"/>
      <c r="C6328" s="450" t="s">
        <v>10351</v>
      </c>
      <c r="D6328" s="450"/>
      <c r="E6328" s="450"/>
      <c r="F6328" s="450"/>
      <c r="G6328" s="450" t="s">
        <v>22877</v>
      </c>
      <c r="H6328" s="450" t="s">
        <v>22878</v>
      </c>
      <c r="I6328" s="450" t="s">
        <v>36167</v>
      </c>
      <c r="J6328" s="450" t="s">
        <v>23370</v>
      </c>
      <c r="K6328" s="450"/>
    </row>
    <row r="6329" spans="1:11">
      <c r="A6329" s="451" t="s">
        <v>10350</v>
      </c>
      <c r="B6329" s="451"/>
      <c r="C6329" s="451" t="s">
        <v>10351</v>
      </c>
      <c r="D6329" s="451"/>
      <c r="E6329" s="451"/>
      <c r="F6329" s="451"/>
      <c r="G6329" s="451" t="s">
        <v>22877</v>
      </c>
      <c r="H6329" s="451" t="s">
        <v>22878</v>
      </c>
      <c r="I6329" s="451" t="s">
        <v>31662</v>
      </c>
      <c r="J6329" s="451" t="s">
        <v>22942</v>
      </c>
      <c r="K6329" s="451"/>
    </row>
    <row r="6330" spans="1:11">
      <c r="A6330" s="450" t="s">
        <v>10352</v>
      </c>
      <c r="B6330" s="450" t="s">
        <v>10353</v>
      </c>
      <c r="C6330" s="450" t="s">
        <v>10354</v>
      </c>
      <c r="D6330" s="450"/>
      <c r="E6330" s="450"/>
      <c r="F6330" s="450" t="s">
        <v>10355</v>
      </c>
      <c r="G6330" s="450" t="s">
        <v>22877</v>
      </c>
      <c r="H6330" s="450" t="s">
        <v>22878</v>
      </c>
      <c r="I6330" s="450" t="s">
        <v>26539</v>
      </c>
      <c r="J6330" s="450" t="s">
        <v>26540</v>
      </c>
      <c r="K6330" s="450"/>
    </row>
    <row r="6331" spans="1:11">
      <c r="A6331" s="451" t="s">
        <v>36168</v>
      </c>
      <c r="B6331" s="451"/>
      <c r="C6331" s="451" t="s">
        <v>10357</v>
      </c>
      <c r="D6331" s="451"/>
      <c r="E6331" s="451"/>
      <c r="F6331" s="451"/>
      <c r="G6331" s="451" t="s">
        <v>22882</v>
      </c>
      <c r="H6331" s="451" t="s">
        <v>22883</v>
      </c>
      <c r="I6331" s="451"/>
      <c r="J6331" s="451" t="s">
        <v>22943</v>
      </c>
      <c r="K6331" s="451"/>
    </row>
    <row r="6332" spans="1:11">
      <c r="A6332" s="450" t="s">
        <v>10356</v>
      </c>
      <c r="B6332" s="450"/>
      <c r="C6332" s="450" t="s">
        <v>10357</v>
      </c>
      <c r="D6332" s="450"/>
      <c r="E6332" s="450"/>
      <c r="F6332" s="450"/>
      <c r="G6332" s="450" t="s">
        <v>22882</v>
      </c>
      <c r="H6332" s="450" t="s">
        <v>22883</v>
      </c>
      <c r="I6332" s="450"/>
      <c r="J6332" s="450" t="s">
        <v>31663</v>
      </c>
      <c r="K6332" s="450"/>
    </row>
    <row r="6333" spans="1:11">
      <c r="A6333" s="451" t="s">
        <v>36169</v>
      </c>
      <c r="B6333" s="451"/>
      <c r="C6333" s="451" t="s">
        <v>4740</v>
      </c>
      <c r="D6333" s="451"/>
      <c r="E6333" s="451"/>
      <c r="F6333" s="451"/>
      <c r="G6333" s="451" t="s">
        <v>22877</v>
      </c>
      <c r="H6333" s="451" t="s">
        <v>22878</v>
      </c>
      <c r="I6333" s="451" t="s">
        <v>36170</v>
      </c>
      <c r="J6333" s="451" t="s">
        <v>22939</v>
      </c>
      <c r="K6333" s="451"/>
    </row>
    <row r="6334" spans="1:11">
      <c r="A6334" s="450" t="s">
        <v>10358</v>
      </c>
      <c r="B6334" s="450"/>
      <c r="C6334" s="450" t="s">
        <v>4740</v>
      </c>
      <c r="D6334" s="450"/>
      <c r="E6334" s="450"/>
      <c r="F6334" s="450"/>
      <c r="G6334" s="450" t="s">
        <v>22877</v>
      </c>
      <c r="H6334" s="450" t="s">
        <v>22878</v>
      </c>
      <c r="I6334" s="450" t="s">
        <v>36171</v>
      </c>
      <c r="J6334" s="450" t="s">
        <v>22939</v>
      </c>
      <c r="K6334" s="450"/>
    </row>
    <row r="6335" spans="1:11">
      <c r="A6335" s="451" t="s">
        <v>36172</v>
      </c>
      <c r="B6335" s="451"/>
      <c r="C6335" s="451" t="s">
        <v>10360</v>
      </c>
      <c r="D6335" s="451"/>
      <c r="E6335" s="451"/>
      <c r="F6335" s="451"/>
      <c r="G6335" s="451" t="s">
        <v>22877</v>
      </c>
      <c r="H6335" s="451" t="s">
        <v>22878</v>
      </c>
      <c r="I6335" s="451" t="s">
        <v>36173</v>
      </c>
      <c r="J6335" s="451" t="s">
        <v>23121</v>
      </c>
      <c r="K6335" s="451"/>
    </row>
    <row r="6336" spans="1:11">
      <c r="A6336" s="450" t="s">
        <v>10359</v>
      </c>
      <c r="B6336" s="450"/>
      <c r="C6336" s="450" t="s">
        <v>10360</v>
      </c>
      <c r="D6336" s="450"/>
      <c r="E6336" s="450"/>
      <c r="F6336" s="450"/>
      <c r="G6336" s="450" t="s">
        <v>22877</v>
      </c>
      <c r="H6336" s="450" t="s">
        <v>22878</v>
      </c>
      <c r="I6336" s="450" t="s">
        <v>36174</v>
      </c>
      <c r="J6336" s="450" t="s">
        <v>22939</v>
      </c>
      <c r="K6336" s="450"/>
    </row>
    <row r="6337" spans="1:11">
      <c r="A6337" s="451" t="s">
        <v>10361</v>
      </c>
      <c r="B6337" s="451" t="s">
        <v>36175</v>
      </c>
      <c r="C6337" s="451" t="s">
        <v>10363</v>
      </c>
      <c r="D6337" s="451"/>
      <c r="E6337" s="451"/>
      <c r="F6337" s="451"/>
      <c r="G6337" s="451" t="s">
        <v>22882</v>
      </c>
      <c r="H6337" s="451" t="s">
        <v>22883</v>
      </c>
      <c r="I6337" s="451"/>
      <c r="J6337" s="451" t="s">
        <v>36176</v>
      </c>
      <c r="K6337" s="451"/>
    </row>
    <row r="6338" spans="1:11">
      <c r="A6338" s="450" t="s">
        <v>10361</v>
      </c>
      <c r="B6338" s="450" t="s">
        <v>10362</v>
      </c>
      <c r="C6338" s="450" t="s">
        <v>10363</v>
      </c>
      <c r="D6338" s="450"/>
      <c r="E6338" s="450"/>
      <c r="F6338" s="450"/>
      <c r="G6338" s="450" t="s">
        <v>22882</v>
      </c>
      <c r="H6338" s="450" t="s">
        <v>22883</v>
      </c>
      <c r="I6338" s="450"/>
      <c r="J6338" s="450" t="s">
        <v>36177</v>
      </c>
      <c r="K6338" s="450"/>
    </row>
    <row r="6339" spans="1:11">
      <c r="A6339" s="451" t="s">
        <v>36178</v>
      </c>
      <c r="B6339" s="451"/>
      <c r="C6339" s="451" t="s">
        <v>10365</v>
      </c>
      <c r="D6339" s="451"/>
      <c r="E6339" s="451"/>
      <c r="F6339" s="451"/>
      <c r="G6339" s="451" t="s">
        <v>22882</v>
      </c>
      <c r="H6339" s="451" t="s">
        <v>22883</v>
      </c>
      <c r="I6339" s="451"/>
      <c r="J6339" s="451" t="s">
        <v>22943</v>
      </c>
      <c r="K6339" s="451"/>
    </row>
    <row r="6340" spans="1:11">
      <c r="A6340" s="450" t="s">
        <v>10364</v>
      </c>
      <c r="B6340" s="450"/>
      <c r="C6340" s="450" t="s">
        <v>10365</v>
      </c>
      <c r="D6340" s="450"/>
      <c r="E6340" s="450"/>
      <c r="F6340" s="450"/>
      <c r="G6340" s="450" t="s">
        <v>22882</v>
      </c>
      <c r="H6340" s="450" t="s">
        <v>22883</v>
      </c>
      <c r="I6340" s="450" t="s">
        <v>36179</v>
      </c>
      <c r="J6340" s="450" t="s">
        <v>22937</v>
      </c>
      <c r="K6340" s="450"/>
    </row>
    <row r="6341" spans="1:11">
      <c r="A6341" s="451" t="s">
        <v>36180</v>
      </c>
      <c r="B6341" s="451"/>
      <c r="C6341" s="451" t="s">
        <v>5503</v>
      </c>
      <c r="D6341" s="451"/>
      <c r="E6341" s="451"/>
      <c r="F6341" s="451"/>
      <c r="G6341" s="451" t="s">
        <v>22882</v>
      </c>
      <c r="H6341" s="451" t="s">
        <v>22883</v>
      </c>
      <c r="I6341" s="451"/>
      <c r="J6341" s="451" t="s">
        <v>22943</v>
      </c>
      <c r="K6341" s="451"/>
    </row>
    <row r="6342" spans="1:11">
      <c r="A6342" s="450" t="s">
        <v>10366</v>
      </c>
      <c r="B6342" s="450"/>
      <c r="C6342" s="450" t="s">
        <v>10367</v>
      </c>
      <c r="D6342" s="450"/>
      <c r="E6342" s="450"/>
      <c r="F6342" s="450"/>
      <c r="G6342" s="450" t="s">
        <v>22882</v>
      </c>
      <c r="H6342" s="450" t="s">
        <v>22883</v>
      </c>
      <c r="I6342" s="450"/>
      <c r="J6342" s="450" t="s">
        <v>22958</v>
      </c>
      <c r="K6342" s="450"/>
    </row>
    <row r="6343" spans="1:11">
      <c r="A6343" s="451" t="s">
        <v>36181</v>
      </c>
      <c r="B6343" s="451"/>
      <c r="C6343" s="451" t="s">
        <v>10367</v>
      </c>
      <c r="D6343" s="451"/>
      <c r="E6343" s="451"/>
      <c r="F6343" s="451"/>
      <c r="G6343" s="451" t="s">
        <v>22882</v>
      </c>
      <c r="H6343" s="451" t="s">
        <v>22883</v>
      </c>
      <c r="I6343" s="451"/>
      <c r="J6343" s="451" t="s">
        <v>24578</v>
      </c>
      <c r="K6343" s="451"/>
    </row>
    <row r="6344" spans="1:11">
      <c r="A6344" s="450" t="s">
        <v>36182</v>
      </c>
      <c r="B6344" s="450"/>
      <c r="C6344" s="450" t="s">
        <v>10369</v>
      </c>
      <c r="D6344" s="450"/>
      <c r="E6344" s="450"/>
      <c r="F6344" s="450"/>
      <c r="G6344" s="450" t="s">
        <v>22882</v>
      </c>
      <c r="H6344" s="450" t="s">
        <v>22883</v>
      </c>
      <c r="I6344" s="450"/>
      <c r="J6344" s="450" t="s">
        <v>23370</v>
      </c>
      <c r="K6344" s="450"/>
    </row>
    <row r="6345" spans="1:11">
      <c r="A6345" s="451" t="s">
        <v>10368</v>
      </c>
      <c r="B6345" s="451"/>
      <c r="C6345" s="451" t="s">
        <v>10369</v>
      </c>
      <c r="D6345" s="451"/>
      <c r="E6345" s="451"/>
      <c r="F6345" s="451"/>
      <c r="G6345" s="451" t="s">
        <v>22882</v>
      </c>
      <c r="H6345" s="451" t="s">
        <v>22883</v>
      </c>
      <c r="I6345" s="451" t="s">
        <v>36183</v>
      </c>
      <c r="J6345" s="451" t="s">
        <v>22937</v>
      </c>
      <c r="K6345" s="451"/>
    </row>
    <row r="6346" spans="1:11">
      <c r="A6346" s="450" t="s">
        <v>10370</v>
      </c>
      <c r="B6346" s="450"/>
      <c r="C6346" s="450" t="s">
        <v>10371</v>
      </c>
      <c r="D6346" s="450"/>
      <c r="E6346" s="450"/>
      <c r="F6346" s="450"/>
      <c r="G6346" s="450" t="s">
        <v>22877</v>
      </c>
      <c r="H6346" s="450" t="s">
        <v>22878</v>
      </c>
      <c r="I6346" s="450" t="s">
        <v>36184</v>
      </c>
      <c r="J6346" s="450" t="s">
        <v>22939</v>
      </c>
      <c r="K6346" s="450"/>
    </row>
    <row r="6347" spans="1:11">
      <c r="A6347" s="451" t="s">
        <v>10372</v>
      </c>
      <c r="B6347" s="451"/>
      <c r="C6347" s="451" t="s">
        <v>2149</v>
      </c>
      <c r="D6347" s="451"/>
      <c r="E6347" s="451"/>
      <c r="F6347" s="451"/>
      <c r="G6347" s="451" t="s">
        <v>22882</v>
      </c>
      <c r="H6347" s="451" t="s">
        <v>22883</v>
      </c>
      <c r="I6347" s="451"/>
      <c r="J6347" s="451" t="s">
        <v>22939</v>
      </c>
      <c r="K6347" s="451"/>
    </row>
    <row r="6348" spans="1:11">
      <c r="A6348" s="450" t="s">
        <v>36185</v>
      </c>
      <c r="B6348" s="450"/>
      <c r="C6348" s="450" t="s">
        <v>10374</v>
      </c>
      <c r="D6348" s="450"/>
      <c r="E6348" s="450"/>
      <c r="F6348" s="450"/>
      <c r="G6348" s="450" t="s">
        <v>22882</v>
      </c>
      <c r="H6348" s="450" t="s">
        <v>22883</v>
      </c>
      <c r="I6348" s="450"/>
      <c r="J6348" s="450" t="s">
        <v>23370</v>
      </c>
      <c r="K6348" s="450"/>
    </row>
    <row r="6349" spans="1:11">
      <c r="A6349" s="451" t="s">
        <v>10373</v>
      </c>
      <c r="B6349" s="451"/>
      <c r="C6349" s="451" t="s">
        <v>10374</v>
      </c>
      <c r="D6349" s="451"/>
      <c r="E6349" s="451"/>
      <c r="F6349" s="451"/>
      <c r="G6349" s="451" t="s">
        <v>22882</v>
      </c>
      <c r="H6349" s="451" t="s">
        <v>22883</v>
      </c>
      <c r="I6349" s="451" t="s">
        <v>36186</v>
      </c>
      <c r="J6349" s="451" t="s">
        <v>22937</v>
      </c>
      <c r="K6349" s="451"/>
    </row>
    <row r="6350" spans="1:11">
      <c r="A6350" s="450" t="s">
        <v>10375</v>
      </c>
      <c r="B6350" s="450"/>
      <c r="C6350" s="450" t="s">
        <v>10376</v>
      </c>
      <c r="D6350" s="450"/>
      <c r="E6350" s="450"/>
      <c r="F6350" s="450"/>
      <c r="G6350" s="450" t="s">
        <v>22882</v>
      </c>
      <c r="H6350" s="450" t="s">
        <v>22883</v>
      </c>
      <c r="I6350" s="450"/>
      <c r="J6350" s="450" t="s">
        <v>22942</v>
      </c>
      <c r="K6350" s="450"/>
    </row>
    <row r="6351" spans="1:11">
      <c r="A6351" s="451" t="s">
        <v>10377</v>
      </c>
      <c r="B6351" s="451"/>
      <c r="C6351" s="451" t="s">
        <v>10378</v>
      </c>
      <c r="D6351" s="451"/>
      <c r="E6351" s="451"/>
      <c r="F6351" s="451"/>
      <c r="G6351" s="451" t="s">
        <v>22882</v>
      </c>
      <c r="H6351" s="451" t="s">
        <v>22883</v>
      </c>
      <c r="I6351" s="451"/>
      <c r="J6351" s="451" t="s">
        <v>22937</v>
      </c>
      <c r="K6351" s="451"/>
    </row>
    <row r="6352" spans="1:11">
      <c r="A6352" s="450" t="s">
        <v>10379</v>
      </c>
      <c r="B6352" s="450"/>
      <c r="C6352" s="450" t="s">
        <v>9410</v>
      </c>
      <c r="D6352" s="450"/>
      <c r="E6352" s="450"/>
      <c r="F6352" s="450"/>
      <c r="G6352" s="450" t="s">
        <v>22877</v>
      </c>
      <c r="H6352" s="450" t="s">
        <v>22878</v>
      </c>
      <c r="I6352" s="450" t="s">
        <v>35739</v>
      </c>
      <c r="J6352" s="450" t="s">
        <v>22939</v>
      </c>
      <c r="K6352" s="450"/>
    </row>
    <row r="6353" spans="1:11">
      <c r="A6353" s="451" t="s">
        <v>10380</v>
      </c>
      <c r="B6353" s="451"/>
      <c r="C6353" s="451" t="s">
        <v>10381</v>
      </c>
      <c r="D6353" s="451"/>
      <c r="E6353" s="451"/>
      <c r="F6353" s="451"/>
      <c r="G6353" s="451" t="s">
        <v>22882</v>
      </c>
      <c r="H6353" s="451" t="s">
        <v>22883</v>
      </c>
      <c r="I6353" s="451"/>
      <c r="J6353" s="451" t="s">
        <v>22939</v>
      </c>
      <c r="K6353" s="451"/>
    </row>
    <row r="6354" spans="1:11">
      <c r="A6354" s="450" t="s">
        <v>10382</v>
      </c>
      <c r="B6354" s="450"/>
      <c r="C6354" s="450" t="s">
        <v>10383</v>
      </c>
      <c r="D6354" s="450"/>
      <c r="E6354" s="450"/>
      <c r="F6354" s="450"/>
      <c r="G6354" s="450" t="s">
        <v>22882</v>
      </c>
      <c r="H6354" s="450" t="s">
        <v>22883</v>
      </c>
      <c r="I6354" s="450"/>
      <c r="J6354" s="450" t="s">
        <v>22943</v>
      </c>
      <c r="K6354" s="450"/>
    </row>
    <row r="6355" spans="1:11">
      <c r="A6355" s="451" t="s">
        <v>10384</v>
      </c>
      <c r="B6355" s="451"/>
      <c r="C6355" s="451" t="s">
        <v>10385</v>
      </c>
      <c r="D6355" s="451"/>
      <c r="E6355" s="451"/>
      <c r="F6355" s="451"/>
      <c r="G6355" s="451" t="s">
        <v>22882</v>
      </c>
      <c r="H6355" s="451" t="s">
        <v>22883</v>
      </c>
      <c r="I6355" s="451"/>
      <c r="J6355" s="451" t="s">
        <v>22939</v>
      </c>
      <c r="K6355" s="451"/>
    </row>
    <row r="6356" spans="1:11">
      <c r="A6356" s="450" t="s">
        <v>36187</v>
      </c>
      <c r="B6356" s="450"/>
      <c r="C6356" s="450" t="s">
        <v>10385</v>
      </c>
      <c r="D6356" s="450"/>
      <c r="E6356" s="450"/>
      <c r="F6356" s="450"/>
      <c r="G6356" s="450" t="s">
        <v>22882</v>
      </c>
      <c r="H6356" s="450" t="s">
        <v>22883</v>
      </c>
      <c r="I6356" s="450"/>
      <c r="J6356" s="450" t="s">
        <v>22943</v>
      </c>
      <c r="K6356" s="450"/>
    </row>
    <row r="6357" spans="1:11">
      <c r="A6357" s="451" t="s">
        <v>36188</v>
      </c>
      <c r="B6357" s="451"/>
      <c r="C6357" s="451" t="s">
        <v>10376</v>
      </c>
      <c r="D6357" s="451"/>
      <c r="E6357" s="451"/>
      <c r="F6357" s="451"/>
      <c r="G6357" s="451" t="s">
        <v>22882</v>
      </c>
      <c r="H6357" s="451" t="s">
        <v>22883</v>
      </c>
      <c r="I6357" s="451"/>
      <c r="J6357" s="451" t="s">
        <v>23370</v>
      </c>
      <c r="K6357" s="451"/>
    </row>
    <row r="6358" spans="1:11">
      <c r="A6358" s="450" t="s">
        <v>36189</v>
      </c>
      <c r="B6358" s="450"/>
      <c r="C6358" s="450" t="s">
        <v>10378</v>
      </c>
      <c r="D6358" s="450"/>
      <c r="E6358" s="450"/>
      <c r="F6358" s="450"/>
      <c r="G6358" s="450" t="s">
        <v>22882</v>
      </c>
      <c r="H6358" s="450" t="s">
        <v>22883</v>
      </c>
      <c r="I6358" s="450"/>
      <c r="J6358" s="450" t="s">
        <v>22943</v>
      </c>
      <c r="K6358" s="450"/>
    </row>
    <row r="6359" spans="1:11">
      <c r="A6359" s="451" t="s">
        <v>36190</v>
      </c>
      <c r="B6359" s="451"/>
      <c r="C6359" s="451" t="s">
        <v>9410</v>
      </c>
      <c r="D6359" s="451"/>
      <c r="E6359" s="451"/>
      <c r="F6359" s="451"/>
      <c r="G6359" s="451" t="s">
        <v>22882</v>
      </c>
      <c r="H6359" s="451" t="s">
        <v>22883</v>
      </c>
      <c r="I6359" s="451"/>
      <c r="J6359" s="451" t="s">
        <v>22943</v>
      </c>
      <c r="K6359" s="451"/>
    </row>
    <row r="6360" spans="1:11">
      <c r="A6360" s="450" t="s">
        <v>36191</v>
      </c>
      <c r="B6360" s="450"/>
      <c r="C6360" s="450" t="s">
        <v>10381</v>
      </c>
      <c r="D6360" s="450"/>
      <c r="E6360" s="450"/>
      <c r="F6360" s="450"/>
      <c r="G6360" s="450" t="s">
        <v>22882</v>
      </c>
      <c r="H6360" s="450" t="s">
        <v>22883</v>
      </c>
      <c r="I6360" s="450"/>
      <c r="J6360" s="450" t="s">
        <v>22997</v>
      </c>
      <c r="K6360" s="450"/>
    </row>
    <row r="6361" spans="1:11">
      <c r="A6361" s="451" t="s">
        <v>36192</v>
      </c>
      <c r="B6361" s="451"/>
      <c r="C6361" s="451" t="s">
        <v>10387</v>
      </c>
      <c r="D6361" s="451"/>
      <c r="E6361" s="451"/>
      <c r="F6361" s="451"/>
      <c r="G6361" s="451" t="s">
        <v>22882</v>
      </c>
      <c r="H6361" s="451" t="s">
        <v>22883</v>
      </c>
      <c r="I6361" s="451"/>
      <c r="J6361" s="451" t="s">
        <v>22943</v>
      </c>
      <c r="K6361" s="451"/>
    </row>
    <row r="6362" spans="1:11">
      <c r="A6362" s="450" t="s">
        <v>10386</v>
      </c>
      <c r="B6362" s="450"/>
      <c r="C6362" s="450" t="s">
        <v>10387</v>
      </c>
      <c r="D6362" s="450"/>
      <c r="E6362" s="450"/>
      <c r="F6362" s="450"/>
      <c r="G6362" s="450" t="s">
        <v>22882</v>
      </c>
      <c r="H6362" s="450" t="s">
        <v>22883</v>
      </c>
      <c r="I6362" s="450"/>
      <c r="J6362" s="450" t="s">
        <v>22997</v>
      </c>
      <c r="K6362" s="450"/>
    </row>
    <row r="6363" spans="1:11">
      <c r="A6363" s="451" t="s">
        <v>10388</v>
      </c>
      <c r="B6363" s="451"/>
      <c r="C6363" s="451" t="s">
        <v>2995</v>
      </c>
      <c r="D6363" s="451"/>
      <c r="E6363" s="451"/>
      <c r="F6363" s="451"/>
      <c r="G6363" s="451" t="s">
        <v>22877</v>
      </c>
      <c r="H6363" s="451" t="s">
        <v>22878</v>
      </c>
      <c r="I6363" s="451" t="s">
        <v>26541</v>
      </c>
      <c r="J6363" s="451" t="s">
        <v>23121</v>
      </c>
      <c r="K6363" s="451"/>
    </row>
    <row r="6364" spans="1:11">
      <c r="A6364" s="450" t="s">
        <v>36193</v>
      </c>
      <c r="B6364" s="450" t="s">
        <v>10390</v>
      </c>
      <c r="C6364" s="450" t="s">
        <v>10391</v>
      </c>
      <c r="D6364" s="450" t="s">
        <v>10392</v>
      </c>
      <c r="E6364" s="450"/>
      <c r="F6364" s="450"/>
      <c r="G6364" s="450" t="s">
        <v>22877</v>
      </c>
      <c r="H6364" s="450" t="s">
        <v>22878</v>
      </c>
      <c r="I6364" s="450" t="s">
        <v>36194</v>
      </c>
      <c r="J6364" s="450" t="s">
        <v>36195</v>
      </c>
      <c r="K6364" s="450"/>
    </row>
    <row r="6365" spans="1:11">
      <c r="A6365" s="451" t="s">
        <v>10389</v>
      </c>
      <c r="B6365" s="451" t="s">
        <v>10390</v>
      </c>
      <c r="C6365" s="451" t="s">
        <v>10391</v>
      </c>
      <c r="D6365" s="451" t="s">
        <v>10392</v>
      </c>
      <c r="E6365" s="451" t="s">
        <v>10393</v>
      </c>
      <c r="F6365" s="451"/>
      <c r="G6365" s="451" t="s">
        <v>22882</v>
      </c>
      <c r="H6365" s="451" t="s">
        <v>22883</v>
      </c>
      <c r="I6365" s="451" t="s">
        <v>10392</v>
      </c>
      <c r="J6365" s="451" t="s">
        <v>31664</v>
      </c>
      <c r="K6365" s="451"/>
    </row>
    <row r="6366" spans="1:11">
      <c r="A6366" s="450" t="s">
        <v>36196</v>
      </c>
      <c r="B6366" s="450"/>
      <c r="C6366" s="450" t="s">
        <v>10229</v>
      </c>
      <c r="D6366" s="450"/>
      <c r="E6366" s="450"/>
      <c r="F6366" s="450"/>
      <c r="G6366" s="450" t="s">
        <v>22882</v>
      </c>
      <c r="H6366" s="450" t="s">
        <v>22883</v>
      </c>
      <c r="I6366" s="450"/>
      <c r="J6366" s="450" t="s">
        <v>22943</v>
      </c>
      <c r="K6366" s="450"/>
    </row>
    <row r="6367" spans="1:11">
      <c r="A6367" s="451" t="s">
        <v>21786</v>
      </c>
      <c r="B6367" s="451"/>
      <c r="C6367" s="451" t="s">
        <v>10394</v>
      </c>
      <c r="D6367" s="451"/>
      <c r="E6367" s="451"/>
      <c r="F6367" s="451"/>
      <c r="G6367" s="451" t="s">
        <v>22882</v>
      </c>
      <c r="H6367" s="451" t="s">
        <v>22883</v>
      </c>
      <c r="I6367" s="451"/>
      <c r="J6367" s="451" t="s">
        <v>22943</v>
      </c>
      <c r="K6367" s="451"/>
    </row>
    <row r="6368" spans="1:11">
      <c r="A6368" s="450" t="s">
        <v>10395</v>
      </c>
      <c r="B6368" s="450"/>
      <c r="C6368" s="450" t="s">
        <v>3100</v>
      </c>
      <c r="D6368" s="450"/>
      <c r="E6368" s="450"/>
      <c r="F6368" s="450"/>
      <c r="G6368" s="450" t="s">
        <v>22877</v>
      </c>
      <c r="H6368" s="450" t="s">
        <v>22878</v>
      </c>
      <c r="I6368" s="450" t="s">
        <v>36197</v>
      </c>
      <c r="J6368" s="450" t="s">
        <v>22943</v>
      </c>
      <c r="K6368" s="450"/>
    </row>
    <row r="6369" spans="1:11">
      <c r="A6369" s="451" t="s">
        <v>10396</v>
      </c>
      <c r="B6369" s="451"/>
      <c r="C6369" s="451" t="s">
        <v>10397</v>
      </c>
      <c r="D6369" s="451"/>
      <c r="E6369" s="451"/>
      <c r="F6369" s="451"/>
      <c r="G6369" s="451" t="s">
        <v>22877</v>
      </c>
      <c r="H6369" s="451" t="s">
        <v>22878</v>
      </c>
      <c r="I6369" s="451" t="s">
        <v>36198</v>
      </c>
      <c r="J6369" s="451" t="s">
        <v>22939</v>
      </c>
      <c r="K6369" s="451"/>
    </row>
    <row r="6370" spans="1:11">
      <c r="A6370" s="450" t="s">
        <v>36199</v>
      </c>
      <c r="B6370" s="450"/>
      <c r="C6370" s="450" t="s">
        <v>10397</v>
      </c>
      <c r="D6370" s="450"/>
      <c r="E6370" s="450"/>
      <c r="F6370" s="450"/>
      <c r="G6370" s="450" t="s">
        <v>22877</v>
      </c>
      <c r="H6370" s="450" t="s">
        <v>22878</v>
      </c>
      <c r="I6370" s="450" t="s">
        <v>36200</v>
      </c>
      <c r="J6370" s="450" t="s">
        <v>22943</v>
      </c>
      <c r="K6370" s="450"/>
    </row>
    <row r="6371" spans="1:11">
      <c r="A6371" s="451" t="s">
        <v>36201</v>
      </c>
      <c r="B6371" s="451"/>
      <c r="C6371" s="451" t="s">
        <v>7586</v>
      </c>
      <c r="D6371" s="451"/>
      <c r="E6371" s="451"/>
      <c r="F6371" s="451"/>
      <c r="G6371" s="451" t="s">
        <v>22882</v>
      </c>
      <c r="H6371" s="451" t="s">
        <v>22883</v>
      </c>
      <c r="I6371" s="451"/>
      <c r="J6371" s="451" t="s">
        <v>22943</v>
      </c>
      <c r="K6371" s="451"/>
    </row>
    <row r="6372" spans="1:11">
      <c r="A6372" s="450" t="s">
        <v>21787</v>
      </c>
      <c r="B6372" s="450"/>
      <c r="C6372" s="450" t="s">
        <v>7586</v>
      </c>
      <c r="D6372" s="450"/>
      <c r="E6372" s="450"/>
      <c r="F6372" s="450"/>
      <c r="G6372" s="450" t="s">
        <v>22877</v>
      </c>
      <c r="H6372" s="450" t="s">
        <v>22878</v>
      </c>
      <c r="I6372" s="450" t="s">
        <v>36202</v>
      </c>
      <c r="J6372" s="450" t="s">
        <v>22942</v>
      </c>
      <c r="K6372" s="450"/>
    </row>
    <row r="6373" spans="1:11">
      <c r="A6373" s="451" t="s">
        <v>10398</v>
      </c>
      <c r="B6373" s="451"/>
      <c r="C6373" s="451" t="s">
        <v>10399</v>
      </c>
      <c r="D6373" s="451"/>
      <c r="E6373" s="451"/>
      <c r="F6373" s="451"/>
      <c r="G6373" s="451" t="s">
        <v>22882</v>
      </c>
      <c r="H6373" s="451" t="s">
        <v>22883</v>
      </c>
      <c r="I6373" s="451"/>
      <c r="J6373" s="451" t="s">
        <v>22997</v>
      </c>
      <c r="K6373" s="451"/>
    </row>
    <row r="6374" spans="1:11">
      <c r="A6374" s="450" t="s">
        <v>36203</v>
      </c>
      <c r="B6374" s="450"/>
      <c r="C6374" s="450" t="s">
        <v>10401</v>
      </c>
      <c r="D6374" s="450"/>
      <c r="E6374" s="450"/>
      <c r="F6374" s="450"/>
      <c r="G6374" s="450" t="s">
        <v>22882</v>
      </c>
      <c r="H6374" s="450" t="s">
        <v>22883</v>
      </c>
      <c r="I6374" s="450"/>
      <c r="J6374" s="450" t="s">
        <v>22948</v>
      </c>
      <c r="K6374" s="450"/>
    </row>
    <row r="6375" spans="1:11">
      <c r="A6375" s="451" t="s">
        <v>10400</v>
      </c>
      <c r="B6375" s="451"/>
      <c r="C6375" s="451" t="s">
        <v>10401</v>
      </c>
      <c r="D6375" s="451"/>
      <c r="E6375" s="451"/>
      <c r="F6375" s="451"/>
      <c r="G6375" s="451" t="s">
        <v>22877</v>
      </c>
      <c r="H6375" s="451" t="s">
        <v>22878</v>
      </c>
      <c r="I6375" s="451" t="s">
        <v>36204</v>
      </c>
      <c r="J6375" s="451" t="s">
        <v>22942</v>
      </c>
      <c r="K6375" s="451"/>
    </row>
    <row r="6376" spans="1:11">
      <c r="A6376" s="450" t="s">
        <v>36205</v>
      </c>
      <c r="B6376" s="450"/>
      <c r="C6376" s="450" t="s">
        <v>2778</v>
      </c>
      <c r="D6376" s="450"/>
      <c r="E6376" s="450"/>
      <c r="F6376" s="450"/>
      <c r="G6376" s="450" t="s">
        <v>22877</v>
      </c>
      <c r="H6376" s="450" t="s">
        <v>22878</v>
      </c>
      <c r="I6376" s="450" t="s">
        <v>36206</v>
      </c>
      <c r="J6376" s="450" t="s">
        <v>23121</v>
      </c>
      <c r="K6376" s="450"/>
    </row>
    <row r="6377" spans="1:11">
      <c r="A6377" s="451" t="s">
        <v>10402</v>
      </c>
      <c r="B6377" s="451"/>
      <c r="C6377" s="451" t="s">
        <v>2778</v>
      </c>
      <c r="D6377" s="451"/>
      <c r="E6377" s="451"/>
      <c r="F6377" s="451"/>
      <c r="G6377" s="451" t="s">
        <v>22877</v>
      </c>
      <c r="H6377" s="451" t="s">
        <v>22878</v>
      </c>
      <c r="I6377" s="451" t="s">
        <v>36207</v>
      </c>
      <c r="J6377" s="451" t="s">
        <v>22937</v>
      </c>
      <c r="K6377" s="451"/>
    </row>
    <row r="6378" spans="1:11">
      <c r="A6378" s="450" t="s">
        <v>21788</v>
      </c>
      <c r="B6378" s="450"/>
      <c r="C6378" s="450" t="s">
        <v>10403</v>
      </c>
      <c r="D6378" s="450"/>
      <c r="E6378" s="450"/>
      <c r="F6378" s="450"/>
      <c r="G6378" s="450" t="s">
        <v>22882</v>
      </c>
      <c r="H6378" s="450" t="s">
        <v>22883</v>
      </c>
      <c r="I6378" s="450"/>
      <c r="J6378" s="450" t="s">
        <v>22943</v>
      </c>
      <c r="K6378" s="450"/>
    </row>
    <row r="6379" spans="1:11">
      <c r="A6379" s="451" t="s">
        <v>10404</v>
      </c>
      <c r="B6379" s="451"/>
      <c r="C6379" s="451"/>
      <c r="D6379" s="451"/>
      <c r="E6379" s="451"/>
      <c r="F6379" s="451" t="s">
        <v>36208</v>
      </c>
      <c r="G6379" s="451" t="s">
        <v>22882</v>
      </c>
      <c r="H6379" s="451" t="s">
        <v>22883</v>
      </c>
      <c r="I6379" s="451" t="s">
        <v>36209</v>
      </c>
      <c r="J6379" s="451" t="s">
        <v>23370</v>
      </c>
      <c r="K6379" s="451"/>
    </row>
    <row r="6380" spans="1:11">
      <c r="A6380" s="450" t="s">
        <v>10404</v>
      </c>
      <c r="B6380" s="450"/>
      <c r="C6380" s="450"/>
      <c r="D6380" s="450"/>
      <c r="E6380" s="450"/>
      <c r="F6380" s="450" t="s">
        <v>10405</v>
      </c>
      <c r="G6380" s="450" t="s">
        <v>22877</v>
      </c>
      <c r="H6380" s="450" t="s">
        <v>22878</v>
      </c>
      <c r="I6380" s="450" t="s">
        <v>36210</v>
      </c>
      <c r="J6380" s="450" t="s">
        <v>22958</v>
      </c>
      <c r="K6380" s="450"/>
    </row>
    <row r="6381" spans="1:11">
      <c r="A6381" s="451" t="s">
        <v>10406</v>
      </c>
      <c r="B6381" s="451"/>
      <c r="C6381" s="451" t="s">
        <v>10407</v>
      </c>
      <c r="D6381" s="451"/>
      <c r="E6381" s="451"/>
      <c r="F6381" s="451"/>
      <c r="G6381" s="451" t="s">
        <v>22882</v>
      </c>
      <c r="H6381" s="451" t="s">
        <v>22883</v>
      </c>
      <c r="I6381" s="451" t="s">
        <v>26542</v>
      </c>
      <c r="J6381" s="451" t="s">
        <v>23185</v>
      </c>
      <c r="K6381" s="451"/>
    </row>
    <row r="6382" spans="1:11">
      <c r="A6382" s="450" t="s">
        <v>36211</v>
      </c>
      <c r="B6382" s="450" t="s">
        <v>10408</v>
      </c>
      <c r="C6382" s="450" t="s">
        <v>10409</v>
      </c>
      <c r="D6382" s="450" t="s">
        <v>10410</v>
      </c>
      <c r="E6382" s="450"/>
      <c r="F6382" s="450"/>
      <c r="G6382" s="450" t="s">
        <v>22882</v>
      </c>
      <c r="H6382" s="450" t="s">
        <v>22883</v>
      </c>
      <c r="I6382" s="450"/>
      <c r="J6382" s="450" t="s">
        <v>36212</v>
      </c>
      <c r="K6382" s="450"/>
    </row>
    <row r="6383" spans="1:11">
      <c r="A6383" s="451" t="s">
        <v>21789</v>
      </c>
      <c r="B6383" s="451" t="s">
        <v>10408</v>
      </c>
      <c r="C6383" s="451" t="s">
        <v>10409</v>
      </c>
      <c r="D6383" s="451" t="s">
        <v>10410</v>
      </c>
      <c r="E6383" s="451"/>
      <c r="F6383" s="451"/>
      <c r="G6383" s="451" t="s">
        <v>22882</v>
      </c>
      <c r="H6383" s="451" t="s">
        <v>22883</v>
      </c>
      <c r="I6383" s="451" t="s">
        <v>10410</v>
      </c>
      <c r="J6383" s="451" t="s">
        <v>31665</v>
      </c>
      <c r="K6383" s="451"/>
    </row>
    <row r="6384" spans="1:11">
      <c r="A6384" s="450" t="s">
        <v>10411</v>
      </c>
      <c r="B6384" s="450"/>
      <c r="C6384" s="450" t="s">
        <v>7390</v>
      </c>
      <c r="D6384" s="450"/>
      <c r="E6384" s="450"/>
      <c r="F6384" s="450"/>
      <c r="G6384" s="450" t="s">
        <v>22877</v>
      </c>
      <c r="H6384" s="450" t="s">
        <v>22878</v>
      </c>
      <c r="I6384" s="450" t="s">
        <v>36213</v>
      </c>
      <c r="J6384" s="450" t="s">
        <v>22937</v>
      </c>
      <c r="K6384" s="450"/>
    </row>
    <row r="6385" spans="1:11">
      <c r="A6385" s="451" t="s">
        <v>36214</v>
      </c>
      <c r="B6385" s="451"/>
      <c r="C6385" s="451" t="s">
        <v>7390</v>
      </c>
      <c r="D6385" s="451"/>
      <c r="E6385" s="451"/>
      <c r="F6385" s="451"/>
      <c r="G6385" s="451" t="s">
        <v>22877</v>
      </c>
      <c r="H6385" s="451" t="s">
        <v>22878</v>
      </c>
      <c r="I6385" s="451" t="s">
        <v>36215</v>
      </c>
      <c r="J6385" s="451" t="s">
        <v>22943</v>
      </c>
      <c r="K6385" s="451"/>
    </row>
    <row r="6386" spans="1:11">
      <c r="A6386" s="450" t="s">
        <v>10412</v>
      </c>
      <c r="B6386" s="450"/>
      <c r="C6386" s="450" t="s">
        <v>10413</v>
      </c>
      <c r="D6386" s="450"/>
      <c r="E6386" s="450"/>
      <c r="F6386" s="450"/>
      <c r="G6386" s="450" t="s">
        <v>22882</v>
      </c>
      <c r="H6386" s="450" t="s">
        <v>22883</v>
      </c>
      <c r="I6386" s="450"/>
      <c r="J6386" s="450" t="s">
        <v>22943</v>
      </c>
      <c r="K6386" s="450"/>
    </row>
    <row r="6387" spans="1:11">
      <c r="A6387" s="451" t="s">
        <v>10414</v>
      </c>
      <c r="B6387" s="451"/>
      <c r="C6387" s="451" t="s">
        <v>10415</v>
      </c>
      <c r="D6387" s="451"/>
      <c r="E6387" s="451"/>
      <c r="F6387" s="451"/>
      <c r="G6387" s="451" t="s">
        <v>22882</v>
      </c>
      <c r="H6387" s="451" t="s">
        <v>22883</v>
      </c>
      <c r="I6387" s="451" t="s">
        <v>26543</v>
      </c>
      <c r="J6387" s="451" t="s">
        <v>22939</v>
      </c>
      <c r="K6387" s="451"/>
    </row>
    <row r="6388" spans="1:11">
      <c r="A6388" s="450" t="s">
        <v>26544</v>
      </c>
      <c r="B6388" s="450" t="s">
        <v>26545</v>
      </c>
      <c r="C6388" s="450" t="s">
        <v>26546</v>
      </c>
      <c r="D6388" s="450"/>
      <c r="E6388" s="450"/>
      <c r="F6388" s="450"/>
      <c r="G6388" s="450" t="s">
        <v>23084</v>
      </c>
      <c r="H6388" s="450" t="s">
        <v>22878</v>
      </c>
      <c r="I6388" s="450" t="s">
        <v>26547</v>
      </c>
      <c r="J6388" s="450" t="s">
        <v>26545</v>
      </c>
      <c r="K6388" s="450"/>
    </row>
    <row r="6389" spans="1:11">
      <c r="A6389" s="451" t="s">
        <v>10416</v>
      </c>
      <c r="B6389" s="451"/>
      <c r="C6389" s="451" t="s">
        <v>10417</v>
      </c>
      <c r="D6389" s="451"/>
      <c r="E6389" s="451"/>
      <c r="F6389" s="451"/>
      <c r="G6389" s="451" t="s">
        <v>22877</v>
      </c>
      <c r="H6389" s="451" t="s">
        <v>22878</v>
      </c>
      <c r="I6389" s="451" t="s">
        <v>26548</v>
      </c>
      <c r="J6389" s="451" t="s">
        <v>26549</v>
      </c>
      <c r="K6389" s="451"/>
    </row>
    <row r="6390" spans="1:11">
      <c r="A6390" s="450" t="s">
        <v>10418</v>
      </c>
      <c r="B6390" s="450" t="s">
        <v>10419</v>
      </c>
      <c r="C6390" s="450" t="s">
        <v>10420</v>
      </c>
      <c r="D6390" s="450" t="s">
        <v>10421</v>
      </c>
      <c r="E6390" s="450"/>
      <c r="F6390" s="450"/>
      <c r="G6390" s="450" t="s">
        <v>22882</v>
      </c>
      <c r="H6390" s="450" t="s">
        <v>22883</v>
      </c>
      <c r="I6390" s="450" t="s">
        <v>10421</v>
      </c>
      <c r="J6390" s="450" t="s">
        <v>36216</v>
      </c>
      <c r="K6390" s="450"/>
    </row>
    <row r="6391" spans="1:11">
      <c r="A6391" s="451" t="s">
        <v>10418</v>
      </c>
      <c r="B6391" s="451" t="s">
        <v>10419</v>
      </c>
      <c r="C6391" s="451" t="s">
        <v>10420</v>
      </c>
      <c r="D6391" s="451" t="s">
        <v>10421</v>
      </c>
      <c r="E6391" s="451" t="s">
        <v>10422</v>
      </c>
      <c r="F6391" s="451"/>
      <c r="G6391" s="451" t="s">
        <v>22882</v>
      </c>
      <c r="H6391" s="451" t="s">
        <v>22883</v>
      </c>
      <c r="I6391" s="451" t="s">
        <v>10421</v>
      </c>
      <c r="J6391" s="451" t="s">
        <v>31666</v>
      </c>
      <c r="K6391" s="451"/>
    </row>
    <row r="6392" spans="1:11">
      <c r="A6392" s="450" t="s">
        <v>36217</v>
      </c>
      <c r="B6392" s="450"/>
      <c r="C6392" s="450" t="s">
        <v>10424</v>
      </c>
      <c r="D6392" s="450"/>
      <c r="E6392" s="450"/>
      <c r="F6392" s="450"/>
      <c r="G6392" s="450" t="s">
        <v>22882</v>
      </c>
      <c r="H6392" s="450" t="s">
        <v>22883</v>
      </c>
      <c r="I6392" s="450" t="s">
        <v>36218</v>
      </c>
      <c r="J6392" s="450" t="s">
        <v>22939</v>
      </c>
      <c r="K6392" s="450"/>
    </row>
    <row r="6393" spans="1:11">
      <c r="A6393" s="451" t="s">
        <v>10423</v>
      </c>
      <c r="B6393" s="451"/>
      <c r="C6393" s="451" t="s">
        <v>10424</v>
      </c>
      <c r="D6393" s="451"/>
      <c r="E6393" s="451"/>
      <c r="F6393" s="451"/>
      <c r="G6393" s="451" t="s">
        <v>22882</v>
      </c>
      <c r="H6393" s="451" t="s">
        <v>22883</v>
      </c>
      <c r="I6393" s="451" t="s">
        <v>36218</v>
      </c>
      <c r="J6393" s="451" t="s">
        <v>22939</v>
      </c>
      <c r="K6393" s="451"/>
    </row>
    <row r="6394" spans="1:11">
      <c r="A6394" s="450" t="s">
        <v>36219</v>
      </c>
      <c r="B6394" s="450"/>
      <c r="C6394" s="450" t="s">
        <v>36220</v>
      </c>
      <c r="D6394" s="450"/>
      <c r="E6394" s="450"/>
      <c r="F6394" s="450"/>
      <c r="G6394" s="450" t="s">
        <v>22882</v>
      </c>
      <c r="H6394" s="450" t="s">
        <v>22883</v>
      </c>
      <c r="I6394" s="450" t="s">
        <v>26550</v>
      </c>
      <c r="J6394" s="450" t="s">
        <v>22943</v>
      </c>
      <c r="K6394" s="450"/>
    </row>
    <row r="6395" spans="1:11">
      <c r="A6395" s="451" t="s">
        <v>10425</v>
      </c>
      <c r="B6395" s="451"/>
      <c r="C6395" s="451" t="s">
        <v>10426</v>
      </c>
      <c r="D6395" s="451"/>
      <c r="E6395" s="451"/>
      <c r="F6395" s="451"/>
      <c r="G6395" s="451" t="s">
        <v>22877</v>
      </c>
      <c r="H6395" s="451" t="s">
        <v>22878</v>
      </c>
      <c r="I6395" s="451" t="s">
        <v>31667</v>
      </c>
      <c r="J6395" s="451" t="s">
        <v>22939</v>
      </c>
      <c r="K6395" s="451"/>
    </row>
    <row r="6396" spans="1:11">
      <c r="A6396" s="450" t="s">
        <v>10427</v>
      </c>
      <c r="B6396" s="450" t="s">
        <v>10428</v>
      </c>
      <c r="C6396" s="450" t="s">
        <v>26551</v>
      </c>
      <c r="D6396" s="450"/>
      <c r="E6396" s="450"/>
      <c r="F6396" s="450"/>
      <c r="G6396" s="450" t="s">
        <v>22882</v>
      </c>
      <c r="H6396" s="450" t="s">
        <v>22883</v>
      </c>
      <c r="I6396" s="450" t="s">
        <v>26550</v>
      </c>
      <c r="J6396" s="450" t="s">
        <v>36221</v>
      </c>
      <c r="K6396" s="450"/>
    </row>
    <row r="6397" spans="1:11">
      <c r="A6397" s="451" t="s">
        <v>10427</v>
      </c>
      <c r="B6397" s="451" t="s">
        <v>10428</v>
      </c>
      <c r="C6397" s="451" t="s">
        <v>10429</v>
      </c>
      <c r="D6397" s="451"/>
      <c r="E6397" s="451"/>
      <c r="F6397" s="451"/>
      <c r="G6397" s="451" t="s">
        <v>22877</v>
      </c>
      <c r="H6397" s="451" t="s">
        <v>22878</v>
      </c>
      <c r="I6397" s="451" t="s">
        <v>26550</v>
      </c>
      <c r="J6397" s="451" t="s">
        <v>31668</v>
      </c>
      <c r="K6397" s="451"/>
    </row>
    <row r="6398" spans="1:11">
      <c r="A6398" s="450" t="s">
        <v>10430</v>
      </c>
      <c r="B6398" s="450"/>
      <c r="C6398" s="450" t="s">
        <v>10431</v>
      </c>
      <c r="D6398" s="450"/>
      <c r="E6398" s="450"/>
      <c r="F6398" s="450"/>
      <c r="G6398" s="450" t="s">
        <v>22882</v>
      </c>
      <c r="H6398" s="450" t="s">
        <v>22883</v>
      </c>
      <c r="I6398" s="450" t="s">
        <v>36222</v>
      </c>
      <c r="J6398" s="450" t="s">
        <v>22943</v>
      </c>
      <c r="K6398" s="450"/>
    </row>
    <row r="6399" spans="1:11">
      <c r="A6399" s="451" t="s">
        <v>10432</v>
      </c>
      <c r="B6399" s="451"/>
      <c r="C6399" s="451" t="s">
        <v>10433</v>
      </c>
      <c r="D6399" s="451"/>
      <c r="E6399" s="451"/>
      <c r="F6399" s="451"/>
      <c r="G6399" s="451" t="s">
        <v>22882</v>
      </c>
      <c r="H6399" s="451" t="s">
        <v>22883</v>
      </c>
      <c r="I6399" s="451"/>
      <c r="J6399" s="451" t="s">
        <v>22943</v>
      </c>
      <c r="K6399" s="451"/>
    </row>
    <row r="6400" spans="1:11">
      <c r="A6400" s="450" t="s">
        <v>36223</v>
      </c>
      <c r="B6400" s="450"/>
      <c r="C6400" s="450" t="s">
        <v>2942</v>
      </c>
      <c r="D6400" s="450"/>
      <c r="E6400" s="450"/>
      <c r="F6400" s="450"/>
      <c r="G6400" s="450" t="s">
        <v>22882</v>
      </c>
      <c r="H6400" s="450" t="s">
        <v>22883</v>
      </c>
      <c r="I6400" s="450" t="s">
        <v>36224</v>
      </c>
      <c r="J6400" s="450" t="s">
        <v>23370</v>
      </c>
      <c r="K6400" s="450"/>
    </row>
    <row r="6401" spans="1:11">
      <c r="A6401" s="451" t="s">
        <v>10434</v>
      </c>
      <c r="B6401" s="451"/>
      <c r="C6401" s="451" t="s">
        <v>2942</v>
      </c>
      <c r="D6401" s="451"/>
      <c r="E6401" s="451"/>
      <c r="F6401" s="451"/>
      <c r="G6401" s="451" t="s">
        <v>22877</v>
      </c>
      <c r="H6401" s="451" t="s">
        <v>22878</v>
      </c>
      <c r="I6401" s="451" t="s">
        <v>36225</v>
      </c>
      <c r="J6401" s="451" t="s">
        <v>22937</v>
      </c>
      <c r="K6401" s="451"/>
    </row>
    <row r="6402" spans="1:11">
      <c r="A6402" s="450" t="s">
        <v>10435</v>
      </c>
      <c r="B6402" s="450"/>
      <c r="C6402" s="450" t="s">
        <v>7660</v>
      </c>
      <c r="D6402" s="450"/>
      <c r="E6402" s="450"/>
      <c r="F6402" s="450"/>
      <c r="G6402" s="450" t="s">
        <v>22882</v>
      </c>
      <c r="H6402" s="450" t="s">
        <v>22883</v>
      </c>
      <c r="I6402" s="450"/>
      <c r="J6402" s="450" t="s">
        <v>22943</v>
      </c>
      <c r="K6402" s="450"/>
    </row>
    <row r="6403" spans="1:11">
      <c r="A6403" s="451" t="s">
        <v>36226</v>
      </c>
      <c r="B6403" s="451"/>
      <c r="C6403" s="451" t="s">
        <v>7755</v>
      </c>
      <c r="D6403" s="451"/>
      <c r="E6403" s="451"/>
      <c r="F6403" s="451"/>
      <c r="G6403" s="451" t="s">
        <v>22877</v>
      </c>
      <c r="H6403" s="451" t="s">
        <v>22878</v>
      </c>
      <c r="I6403" s="451" t="s">
        <v>36227</v>
      </c>
      <c r="J6403" s="451" t="s">
        <v>22943</v>
      </c>
      <c r="K6403" s="451"/>
    </row>
    <row r="6404" spans="1:11">
      <c r="A6404" s="450" t="s">
        <v>10436</v>
      </c>
      <c r="B6404" s="450"/>
      <c r="C6404" s="450" t="s">
        <v>7755</v>
      </c>
      <c r="D6404" s="450"/>
      <c r="E6404" s="450"/>
      <c r="F6404" s="450"/>
      <c r="G6404" s="450" t="s">
        <v>22877</v>
      </c>
      <c r="H6404" s="450" t="s">
        <v>22878</v>
      </c>
      <c r="I6404" s="450" t="s">
        <v>36227</v>
      </c>
      <c r="J6404" s="450" t="s">
        <v>22937</v>
      </c>
      <c r="K6404" s="450"/>
    </row>
    <row r="6405" spans="1:11">
      <c r="A6405" s="451" t="s">
        <v>10437</v>
      </c>
      <c r="B6405" s="451"/>
      <c r="C6405" s="451" t="s">
        <v>4667</v>
      </c>
      <c r="D6405" s="451"/>
      <c r="E6405" s="451"/>
      <c r="F6405" s="451"/>
      <c r="G6405" s="451" t="s">
        <v>22877</v>
      </c>
      <c r="H6405" s="451" t="s">
        <v>22878</v>
      </c>
      <c r="I6405" s="451" t="s">
        <v>36228</v>
      </c>
      <c r="J6405" s="451" t="s">
        <v>22939</v>
      </c>
      <c r="K6405" s="451"/>
    </row>
    <row r="6406" spans="1:11">
      <c r="A6406" s="450" t="s">
        <v>36229</v>
      </c>
      <c r="B6406" s="450"/>
      <c r="C6406" s="450" t="s">
        <v>4667</v>
      </c>
      <c r="D6406" s="450"/>
      <c r="E6406" s="450"/>
      <c r="F6406" s="450"/>
      <c r="G6406" s="450" t="s">
        <v>22877</v>
      </c>
      <c r="H6406" s="450" t="s">
        <v>22878</v>
      </c>
      <c r="I6406" s="450" t="s">
        <v>36228</v>
      </c>
      <c r="J6406" s="450" t="s">
        <v>22943</v>
      </c>
      <c r="K6406" s="450"/>
    </row>
    <row r="6407" spans="1:11">
      <c r="A6407" s="451" t="s">
        <v>10438</v>
      </c>
      <c r="B6407" s="451"/>
      <c r="C6407" s="451" t="s">
        <v>10439</v>
      </c>
      <c r="D6407" s="451"/>
      <c r="E6407" s="451"/>
      <c r="F6407" s="451"/>
      <c r="G6407" s="451" t="s">
        <v>22877</v>
      </c>
      <c r="H6407" s="451" t="s">
        <v>22878</v>
      </c>
      <c r="I6407" s="451" t="s">
        <v>36228</v>
      </c>
      <c r="J6407" s="451" t="s">
        <v>22937</v>
      </c>
      <c r="K6407" s="451"/>
    </row>
    <row r="6408" spans="1:11">
      <c r="A6408" s="450" t="s">
        <v>36230</v>
      </c>
      <c r="B6408" s="450"/>
      <c r="C6408" s="450" t="s">
        <v>10439</v>
      </c>
      <c r="D6408" s="450"/>
      <c r="E6408" s="450"/>
      <c r="F6408" s="450"/>
      <c r="G6408" s="450" t="s">
        <v>22882</v>
      </c>
      <c r="H6408" s="450" t="s">
        <v>22883</v>
      </c>
      <c r="I6408" s="450"/>
      <c r="J6408" s="450" t="s">
        <v>22943</v>
      </c>
      <c r="K6408" s="450"/>
    </row>
    <row r="6409" spans="1:11">
      <c r="A6409" s="451" t="s">
        <v>21790</v>
      </c>
      <c r="B6409" s="451"/>
      <c r="C6409" s="451" t="s">
        <v>10440</v>
      </c>
      <c r="D6409" s="451"/>
      <c r="E6409" s="451"/>
      <c r="F6409" s="451"/>
      <c r="G6409" s="451" t="s">
        <v>22877</v>
      </c>
      <c r="H6409" s="451" t="s">
        <v>22878</v>
      </c>
      <c r="I6409" s="451" t="s">
        <v>26552</v>
      </c>
      <c r="J6409" s="451" t="s">
        <v>22943</v>
      </c>
      <c r="K6409" s="451"/>
    </row>
    <row r="6410" spans="1:11">
      <c r="A6410" s="450" t="s">
        <v>36231</v>
      </c>
      <c r="B6410" s="450" t="s">
        <v>10442</v>
      </c>
      <c r="C6410" s="450" t="s">
        <v>10443</v>
      </c>
      <c r="D6410" s="450"/>
      <c r="E6410" s="450"/>
      <c r="F6410" s="450"/>
      <c r="G6410" s="450" t="s">
        <v>36110</v>
      </c>
      <c r="H6410" s="450" t="s">
        <v>22878</v>
      </c>
      <c r="I6410" s="450"/>
      <c r="J6410" s="450" t="s">
        <v>10442</v>
      </c>
      <c r="K6410" s="450"/>
    </row>
    <row r="6411" spans="1:11">
      <c r="A6411" s="451" t="s">
        <v>10441</v>
      </c>
      <c r="B6411" s="451" t="s">
        <v>10442</v>
      </c>
      <c r="C6411" s="451" t="s">
        <v>10443</v>
      </c>
      <c r="D6411" s="451"/>
      <c r="E6411" s="451"/>
      <c r="F6411" s="451"/>
      <c r="G6411" s="451" t="s">
        <v>23824</v>
      </c>
      <c r="H6411" s="451" t="s">
        <v>22878</v>
      </c>
      <c r="I6411" s="451" t="s">
        <v>25619</v>
      </c>
      <c r="J6411" s="451" t="s">
        <v>10442</v>
      </c>
      <c r="K6411" s="451"/>
    </row>
    <row r="6412" spans="1:11">
      <c r="A6412" s="450" t="s">
        <v>10444</v>
      </c>
      <c r="B6412" s="450"/>
      <c r="C6412" s="450" t="s">
        <v>10445</v>
      </c>
      <c r="D6412" s="450"/>
      <c r="E6412" s="450"/>
      <c r="F6412" s="450"/>
      <c r="G6412" s="450" t="s">
        <v>22882</v>
      </c>
      <c r="H6412" s="450" t="s">
        <v>22883</v>
      </c>
      <c r="I6412" s="450"/>
      <c r="J6412" s="450" t="s">
        <v>22939</v>
      </c>
      <c r="K6412" s="450"/>
    </row>
    <row r="6413" spans="1:11">
      <c r="A6413" s="451" t="s">
        <v>36232</v>
      </c>
      <c r="B6413" s="451" t="s">
        <v>10446</v>
      </c>
      <c r="C6413" s="451" t="s">
        <v>10447</v>
      </c>
      <c r="D6413" s="451" t="s">
        <v>10448</v>
      </c>
      <c r="E6413" s="451"/>
      <c r="F6413" s="451"/>
      <c r="G6413" s="451" t="s">
        <v>22877</v>
      </c>
      <c r="H6413" s="451" t="s">
        <v>22878</v>
      </c>
      <c r="I6413" s="451" t="s">
        <v>26553</v>
      </c>
      <c r="J6413" s="451" t="s">
        <v>36233</v>
      </c>
      <c r="K6413" s="451"/>
    </row>
    <row r="6414" spans="1:11">
      <c r="A6414" s="450" t="s">
        <v>21791</v>
      </c>
      <c r="B6414" s="450" t="s">
        <v>10446</v>
      </c>
      <c r="C6414" s="450" t="s">
        <v>10447</v>
      </c>
      <c r="D6414" s="450" t="s">
        <v>10448</v>
      </c>
      <c r="E6414" s="450" t="s">
        <v>10449</v>
      </c>
      <c r="F6414" s="450"/>
      <c r="G6414" s="450" t="s">
        <v>22877</v>
      </c>
      <c r="H6414" s="450" t="s">
        <v>22878</v>
      </c>
      <c r="I6414" s="450" t="s">
        <v>26553</v>
      </c>
      <c r="J6414" s="450" t="s">
        <v>31669</v>
      </c>
      <c r="K6414" s="450"/>
    </row>
    <row r="6415" spans="1:11">
      <c r="A6415" s="451" t="s">
        <v>36234</v>
      </c>
      <c r="B6415" s="451" t="s">
        <v>10451</v>
      </c>
      <c r="C6415" s="451" t="s">
        <v>10452</v>
      </c>
      <c r="D6415" s="451" t="s">
        <v>10453</v>
      </c>
      <c r="E6415" s="451"/>
      <c r="F6415" s="451"/>
      <c r="G6415" s="451" t="s">
        <v>22882</v>
      </c>
      <c r="H6415" s="451" t="s">
        <v>22883</v>
      </c>
      <c r="I6415" s="451" t="s">
        <v>26554</v>
      </c>
      <c r="J6415" s="451" t="s">
        <v>36235</v>
      </c>
      <c r="K6415" s="451"/>
    </row>
    <row r="6416" spans="1:11">
      <c r="A6416" s="450" t="s">
        <v>10450</v>
      </c>
      <c r="B6416" s="450" t="s">
        <v>10451</v>
      </c>
      <c r="C6416" s="450" t="s">
        <v>10452</v>
      </c>
      <c r="D6416" s="450" t="s">
        <v>10453</v>
      </c>
      <c r="E6416" s="450" t="s">
        <v>10454</v>
      </c>
      <c r="F6416" s="450"/>
      <c r="G6416" s="450" t="s">
        <v>22877</v>
      </c>
      <c r="H6416" s="450" t="s">
        <v>22878</v>
      </c>
      <c r="I6416" s="450" t="s">
        <v>26554</v>
      </c>
      <c r="J6416" s="450" t="s">
        <v>31670</v>
      </c>
      <c r="K6416" s="450"/>
    </row>
    <row r="6417" spans="1:11">
      <c r="A6417" s="451" t="s">
        <v>10455</v>
      </c>
      <c r="B6417" s="451"/>
      <c r="C6417" s="451" t="s">
        <v>10456</v>
      </c>
      <c r="D6417" s="451"/>
      <c r="E6417" s="451"/>
      <c r="F6417" s="451"/>
      <c r="G6417" s="451" t="s">
        <v>22882</v>
      </c>
      <c r="H6417" s="451" t="s">
        <v>22883</v>
      </c>
      <c r="I6417" s="451" t="s">
        <v>36236</v>
      </c>
      <c r="J6417" s="451" t="s">
        <v>22939</v>
      </c>
      <c r="K6417" s="451"/>
    </row>
    <row r="6418" spans="1:11">
      <c r="A6418" s="450" t="s">
        <v>10457</v>
      </c>
      <c r="B6418" s="450"/>
      <c r="C6418" s="450" t="s">
        <v>10458</v>
      </c>
      <c r="D6418" s="450"/>
      <c r="E6418" s="450"/>
      <c r="F6418" s="450"/>
      <c r="G6418" s="450" t="s">
        <v>22877</v>
      </c>
      <c r="H6418" s="450" t="s">
        <v>22878</v>
      </c>
      <c r="I6418" s="450" t="s">
        <v>36237</v>
      </c>
      <c r="J6418" s="450" t="s">
        <v>22939</v>
      </c>
      <c r="K6418" s="450"/>
    </row>
    <row r="6419" spans="1:11">
      <c r="A6419" s="451" t="s">
        <v>10459</v>
      </c>
      <c r="B6419" s="451"/>
      <c r="C6419" s="451" t="s">
        <v>10460</v>
      </c>
      <c r="D6419" s="451"/>
      <c r="E6419" s="451"/>
      <c r="F6419" s="451"/>
      <c r="G6419" s="451" t="s">
        <v>22882</v>
      </c>
      <c r="H6419" s="451" t="s">
        <v>22883</v>
      </c>
      <c r="I6419" s="451"/>
      <c r="J6419" s="451" t="s">
        <v>22939</v>
      </c>
      <c r="K6419" s="451"/>
    </row>
    <row r="6420" spans="1:11">
      <c r="A6420" s="450" t="s">
        <v>26555</v>
      </c>
      <c r="B6420" s="450" t="s">
        <v>10220</v>
      </c>
      <c r="C6420" s="450" t="s">
        <v>10221</v>
      </c>
      <c r="D6420" s="450"/>
      <c r="E6420" s="450"/>
      <c r="F6420" s="450"/>
      <c r="G6420" s="450" t="s">
        <v>22877</v>
      </c>
      <c r="H6420" s="450" t="s">
        <v>22878</v>
      </c>
      <c r="I6420" s="450" t="s">
        <v>26556</v>
      </c>
      <c r="J6420" s="450" t="s">
        <v>26557</v>
      </c>
      <c r="K6420" s="450"/>
    </row>
    <row r="6421" spans="1:11">
      <c r="A6421" s="451" t="s">
        <v>26558</v>
      </c>
      <c r="B6421" s="451" t="s">
        <v>26559</v>
      </c>
      <c r="C6421" s="451" t="s">
        <v>26560</v>
      </c>
      <c r="D6421" s="451" t="s">
        <v>26561</v>
      </c>
      <c r="E6421" s="451"/>
      <c r="F6421" s="451"/>
      <c r="G6421" s="451" t="s">
        <v>22877</v>
      </c>
      <c r="H6421" s="451" t="s">
        <v>22878</v>
      </c>
      <c r="I6421" s="451" t="s">
        <v>26561</v>
      </c>
      <c r="J6421" s="451" t="s">
        <v>26562</v>
      </c>
      <c r="K6421" s="451"/>
    </row>
    <row r="6422" spans="1:11">
      <c r="A6422" s="450" t="s">
        <v>26563</v>
      </c>
      <c r="B6422" s="450" t="s">
        <v>26564</v>
      </c>
      <c r="C6422" s="450" t="s">
        <v>26565</v>
      </c>
      <c r="D6422" s="450"/>
      <c r="E6422" s="450"/>
      <c r="F6422" s="450"/>
      <c r="G6422" s="450" t="s">
        <v>22877</v>
      </c>
      <c r="H6422" s="450" t="s">
        <v>22878</v>
      </c>
      <c r="I6422" s="450" t="s">
        <v>26566</v>
      </c>
      <c r="J6422" s="450" t="s">
        <v>26567</v>
      </c>
      <c r="K6422" s="450"/>
    </row>
    <row r="6423" spans="1:11">
      <c r="A6423" s="451" t="s">
        <v>10461</v>
      </c>
      <c r="B6423" s="451"/>
      <c r="C6423" s="451" t="s">
        <v>10462</v>
      </c>
      <c r="D6423" s="451"/>
      <c r="E6423" s="451"/>
      <c r="F6423" s="451"/>
      <c r="G6423" s="451" t="s">
        <v>22882</v>
      </c>
      <c r="H6423" s="451" t="s">
        <v>22883</v>
      </c>
      <c r="I6423" s="451"/>
      <c r="J6423" s="451" t="s">
        <v>22997</v>
      </c>
      <c r="K6423" s="451"/>
    </row>
    <row r="6424" spans="1:11">
      <c r="A6424" s="450" t="s">
        <v>10463</v>
      </c>
      <c r="B6424" s="450"/>
      <c r="C6424" s="450" t="s">
        <v>10464</v>
      </c>
      <c r="D6424" s="450"/>
      <c r="E6424" s="450"/>
      <c r="F6424" s="450"/>
      <c r="G6424" s="450" t="s">
        <v>22882</v>
      </c>
      <c r="H6424" s="450" t="s">
        <v>22883</v>
      </c>
      <c r="I6424" s="450" t="s">
        <v>36238</v>
      </c>
      <c r="J6424" s="450" t="s">
        <v>22943</v>
      </c>
      <c r="K6424" s="450"/>
    </row>
    <row r="6425" spans="1:11">
      <c r="A6425" s="451" t="s">
        <v>10465</v>
      </c>
      <c r="B6425" s="451"/>
      <c r="C6425" s="451" t="s">
        <v>10466</v>
      </c>
      <c r="D6425" s="451"/>
      <c r="E6425" s="451"/>
      <c r="F6425" s="451"/>
      <c r="G6425" s="451" t="s">
        <v>22882</v>
      </c>
      <c r="H6425" s="451" t="s">
        <v>22883</v>
      </c>
      <c r="I6425" s="451" t="s">
        <v>26568</v>
      </c>
      <c r="J6425" s="451" t="s">
        <v>22939</v>
      </c>
      <c r="K6425" s="451"/>
    </row>
    <row r="6426" spans="1:11">
      <c r="A6426" s="450" t="s">
        <v>26569</v>
      </c>
      <c r="B6426" s="450" t="s">
        <v>26570</v>
      </c>
      <c r="C6426" s="450" t="s">
        <v>10469</v>
      </c>
      <c r="D6426" s="450" t="s">
        <v>10470</v>
      </c>
      <c r="E6426" s="450"/>
      <c r="F6426" s="450"/>
      <c r="G6426" s="450" t="s">
        <v>22882</v>
      </c>
      <c r="H6426" s="450" t="s">
        <v>22883</v>
      </c>
      <c r="I6426" s="450" t="s">
        <v>26571</v>
      </c>
      <c r="J6426" s="450" t="s">
        <v>26572</v>
      </c>
      <c r="K6426" s="450"/>
    </row>
    <row r="6427" spans="1:11">
      <c r="A6427" s="451" t="s">
        <v>10467</v>
      </c>
      <c r="B6427" s="451" t="s">
        <v>10468</v>
      </c>
      <c r="C6427" s="451" t="s">
        <v>10469</v>
      </c>
      <c r="D6427" s="451" t="s">
        <v>10470</v>
      </c>
      <c r="E6427" s="451" t="s">
        <v>10471</v>
      </c>
      <c r="F6427" s="451"/>
      <c r="G6427" s="451" t="s">
        <v>22882</v>
      </c>
      <c r="H6427" s="451" t="s">
        <v>22883</v>
      </c>
      <c r="I6427" s="451" t="s">
        <v>31671</v>
      </c>
      <c r="J6427" s="451" t="s">
        <v>31672</v>
      </c>
      <c r="K6427" s="451"/>
    </row>
    <row r="6428" spans="1:11">
      <c r="A6428" s="450" t="s">
        <v>10472</v>
      </c>
      <c r="B6428" s="450" t="s">
        <v>10473</v>
      </c>
      <c r="C6428" s="450" t="s">
        <v>10474</v>
      </c>
      <c r="D6428" s="450" t="s">
        <v>10475</v>
      </c>
      <c r="E6428" s="450"/>
      <c r="F6428" s="450"/>
      <c r="G6428" s="450" t="s">
        <v>22877</v>
      </c>
      <c r="H6428" s="450" t="s">
        <v>22878</v>
      </c>
      <c r="I6428" s="450" t="s">
        <v>36239</v>
      </c>
      <c r="J6428" s="450" t="s">
        <v>36240</v>
      </c>
      <c r="K6428" s="450"/>
    </row>
    <row r="6429" spans="1:11">
      <c r="A6429" s="451" t="s">
        <v>10472</v>
      </c>
      <c r="B6429" s="451" t="s">
        <v>10473</v>
      </c>
      <c r="C6429" s="451" t="s">
        <v>10474</v>
      </c>
      <c r="D6429" s="451" t="s">
        <v>10475</v>
      </c>
      <c r="E6429" s="451" t="s">
        <v>10476</v>
      </c>
      <c r="F6429" s="451"/>
      <c r="G6429" s="451" t="s">
        <v>22877</v>
      </c>
      <c r="H6429" s="451" t="s">
        <v>22878</v>
      </c>
      <c r="I6429" s="451" t="s">
        <v>31673</v>
      </c>
      <c r="J6429" s="451" t="s">
        <v>31674</v>
      </c>
      <c r="K6429" s="451"/>
    </row>
    <row r="6430" spans="1:11">
      <c r="A6430" s="450" t="s">
        <v>10477</v>
      </c>
      <c r="B6430" s="450"/>
      <c r="C6430" s="450" t="s">
        <v>10478</v>
      </c>
      <c r="D6430" s="450"/>
      <c r="E6430" s="450"/>
      <c r="F6430" s="450"/>
      <c r="G6430" s="450" t="s">
        <v>22877</v>
      </c>
      <c r="H6430" s="450" t="s">
        <v>22878</v>
      </c>
      <c r="I6430" s="450" t="s">
        <v>26574</v>
      </c>
      <c r="J6430" s="450" t="s">
        <v>22937</v>
      </c>
      <c r="K6430" s="450"/>
    </row>
    <row r="6431" spans="1:11">
      <c r="A6431" s="451" t="s">
        <v>26573</v>
      </c>
      <c r="B6431" s="451"/>
      <c r="C6431" s="451" t="s">
        <v>10478</v>
      </c>
      <c r="D6431" s="451"/>
      <c r="E6431" s="451"/>
      <c r="F6431" s="451"/>
      <c r="G6431" s="451" t="s">
        <v>22877</v>
      </c>
      <c r="H6431" s="451" t="s">
        <v>22878</v>
      </c>
      <c r="I6431" s="451" t="s">
        <v>26574</v>
      </c>
      <c r="J6431" s="451" t="s">
        <v>22943</v>
      </c>
      <c r="K6431" s="451"/>
    </row>
    <row r="6432" spans="1:11">
      <c r="A6432" s="450" t="s">
        <v>10479</v>
      </c>
      <c r="B6432" s="450" t="s">
        <v>10480</v>
      </c>
      <c r="C6432" s="450" t="s">
        <v>6345</v>
      </c>
      <c r="D6432" s="450"/>
      <c r="E6432" s="450"/>
      <c r="F6432" s="450"/>
      <c r="G6432" s="450" t="s">
        <v>22877</v>
      </c>
      <c r="H6432" s="450" t="s">
        <v>22878</v>
      </c>
      <c r="I6432" s="450" t="s">
        <v>26575</v>
      </c>
      <c r="J6432" s="450" t="s">
        <v>26576</v>
      </c>
      <c r="K6432" s="450"/>
    </row>
    <row r="6433" spans="1:11">
      <c r="A6433" s="451" t="s">
        <v>10481</v>
      </c>
      <c r="B6433" s="451"/>
      <c r="C6433" s="451" t="s">
        <v>10238</v>
      </c>
      <c r="D6433" s="451"/>
      <c r="E6433" s="451"/>
      <c r="F6433" s="451"/>
      <c r="G6433" s="451" t="s">
        <v>22882</v>
      </c>
      <c r="H6433" s="451" t="s">
        <v>22883</v>
      </c>
      <c r="I6433" s="451"/>
      <c r="J6433" s="451" t="s">
        <v>22997</v>
      </c>
      <c r="K6433" s="451"/>
    </row>
    <row r="6434" spans="1:11">
      <c r="A6434" s="450" t="s">
        <v>10482</v>
      </c>
      <c r="B6434" s="450"/>
      <c r="C6434" s="450" t="s">
        <v>10483</v>
      </c>
      <c r="D6434" s="450"/>
      <c r="E6434" s="450"/>
      <c r="F6434" s="450"/>
      <c r="G6434" s="450" t="s">
        <v>22877</v>
      </c>
      <c r="H6434" s="450" t="s">
        <v>22878</v>
      </c>
      <c r="I6434" s="450" t="s">
        <v>26578</v>
      </c>
      <c r="J6434" s="450" t="s">
        <v>22937</v>
      </c>
      <c r="K6434" s="450"/>
    </row>
    <row r="6435" spans="1:11">
      <c r="A6435" s="451" t="s">
        <v>26577</v>
      </c>
      <c r="B6435" s="451"/>
      <c r="C6435" s="451" t="s">
        <v>10483</v>
      </c>
      <c r="D6435" s="451"/>
      <c r="E6435" s="451"/>
      <c r="F6435" s="451"/>
      <c r="G6435" s="451" t="s">
        <v>22877</v>
      </c>
      <c r="H6435" s="451" t="s">
        <v>22878</v>
      </c>
      <c r="I6435" s="451" t="s">
        <v>26578</v>
      </c>
      <c r="J6435" s="451" t="s">
        <v>22943</v>
      </c>
      <c r="K6435" s="451"/>
    </row>
    <row r="6436" spans="1:11">
      <c r="A6436" s="450" t="s">
        <v>10484</v>
      </c>
      <c r="B6436" s="450" t="s">
        <v>10485</v>
      </c>
      <c r="C6436" s="450" t="s">
        <v>10486</v>
      </c>
      <c r="D6436" s="450" t="s">
        <v>10487</v>
      </c>
      <c r="E6436" s="450"/>
      <c r="F6436" s="450"/>
      <c r="G6436" s="450" t="s">
        <v>22877</v>
      </c>
      <c r="H6436" s="450" t="s">
        <v>22878</v>
      </c>
      <c r="I6436" s="450" t="s">
        <v>26579</v>
      </c>
      <c r="J6436" s="450" t="s">
        <v>36241</v>
      </c>
      <c r="K6436" s="450"/>
    </row>
    <row r="6437" spans="1:11">
      <c r="A6437" s="451" t="s">
        <v>10484</v>
      </c>
      <c r="B6437" s="451" t="s">
        <v>10485</v>
      </c>
      <c r="C6437" s="451" t="s">
        <v>10486</v>
      </c>
      <c r="D6437" s="451" t="s">
        <v>10487</v>
      </c>
      <c r="E6437" s="451" t="s">
        <v>10488</v>
      </c>
      <c r="F6437" s="451"/>
      <c r="G6437" s="451" t="s">
        <v>22877</v>
      </c>
      <c r="H6437" s="451" t="s">
        <v>22878</v>
      </c>
      <c r="I6437" s="451" t="s">
        <v>26579</v>
      </c>
      <c r="J6437" s="451" t="s">
        <v>36242</v>
      </c>
      <c r="K6437" s="451"/>
    </row>
    <row r="6438" spans="1:11">
      <c r="A6438" s="450" t="s">
        <v>10489</v>
      </c>
      <c r="B6438" s="450" t="s">
        <v>10490</v>
      </c>
      <c r="C6438" s="450" t="s">
        <v>10491</v>
      </c>
      <c r="D6438" s="450" t="s">
        <v>10487</v>
      </c>
      <c r="E6438" s="450" t="s">
        <v>10488</v>
      </c>
      <c r="F6438" s="450"/>
      <c r="G6438" s="450" t="s">
        <v>22877</v>
      </c>
      <c r="H6438" s="450" t="s">
        <v>22878</v>
      </c>
      <c r="I6438" s="450" t="s">
        <v>26579</v>
      </c>
      <c r="J6438" s="450" t="s">
        <v>31675</v>
      </c>
      <c r="K6438" s="450"/>
    </row>
    <row r="6439" spans="1:11">
      <c r="A6439" s="451" t="s">
        <v>10492</v>
      </c>
      <c r="B6439" s="451"/>
      <c r="C6439" s="451" t="s">
        <v>10493</v>
      </c>
      <c r="D6439" s="451"/>
      <c r="E6439" s="451"/>
      <c r="F6439" s="451"/>
      <c r="G6439" s="451" t="s">
        <v>22877</v>
      </c>
      <c r="H6439" s="451" t="s">
        <v>22878</v>
      </c>
      <c r="I6439" s="451" t="s">
        <v>36243</v>
      </c>
      <c r="J6439" s="451" t="s">
        <v>22939</v>
      </c>
      <c r="K6439" s="451"/>
    </row>
    <row r="6440" spans="1:11">
      <c r="A6440" s="450" t="s">
        <v>36244</v>
      </c>
      <c r="B6440" s="450"/>
      <c r="C6440" s="450" t="s">
        <v>10493</v>
      </c>
      <c r="D6440" s="450"/>
      <c r="E6440" s="450"/>
      <c r="F6440" s="450"/>
      <c r="G6440" s="450" t="s">
        <v>22877</v>
      </c>
      <c r="H6440" s="450" t="s">
        <v>22878</v>
      </c>
      <c r="I6440" s="450" t="s">
        <v>36243</v>
      </c>
      <c r="J6440" s="450" t="s">
        <v>22943</v>
      </c>
      <c r="K6440" s="450"/>
    </row>
    <row r="6441" spans="1:11">
      <c r="A6441" s="451" t="s">
        <v>10494</v>
      </c>
      <c r="B6441" s="451"/>
      <c r="C6441" s="451" t="s">
        <v>3752</v>
      </c>
      <c r="D6441" s="451"/>
      <c r="E6441" s="451"/>
      <c r="F6441" s="451"/>
      <c r="G6441" s="451" t="s">
        <v>22882</v>
      </c>
      <c r="H6441" s="451" t="s">
        <v>22883</v>
      </c>
      <c r="I6441" s="451" t="s">
        <v>26580</v>
      </c>
      <c r="J6441" s="451" t="s">
        <v>22939</v>
      </c>
      <c r="K6441" s="451"/>
    </row>
    <row r="6442" spans="1:11">
      <c r="A6442" s="450" t="s">
        <v>10495</v>
      </c>
      <c r="B6442" s="450" t="s">
        <v>36245</v>
      </c>
      <c r="C6442" s="450" t="s">
        <v>10497</v>
      </c>
      <c r="D6442" s="450" t="s">
        <v>10498</v>
      </c>
      <c r="E6442" s="450"/>
      <c r="F6442" s="450"/>
      <c r="G6442" s="450" t="s">
        <v>22877</v>
      </c>
      <c r="H6442" s="450" t="s">
        <v>22878</v>
      </c>
      <c r="I6442" s="450" t="s">
        <v>26581</v>
      </c>
      <c r="J6442" s="450" t="s">
        <v>36246</v>
      </c>
      <c r="K6442" s="450"/>
    </row>
    <row r="6443" spans="1:11">
      <c r="A6443" s="451" t="s">
        <v>10495</v>
      </c>
      <c r="B6443" s="451" t="s">
        <v>10496</v>
      </c>
      <c r="C6443" s="451" t="s">
        <v>10497</v>
      </c>
      <c r="D6443" s="451" t="s">
        <v>10498</v>
      </c>
      <c r="E6443" s="451" t="s">
        <v>10499</v>
      </c>
      <c r="F6443" s="451"/>
      <c r="G6443" s="451" t="s">
        <v>22877</v>
      </c>
      <c r="H6443" s="451" t="s">
        <v>22878</v>
      </c>
      <c r="I6443" s="451" t="s">
        <v>26581</v>
      </c>
      <c r="J6443" s="451" t="s">
        <v>31676</v>
      </c>
      <c r="K6443" s="451"/>
    </row>
    <row r="6444" spans="1:11">
      <c r="A6444" s="450" t="s">
        <v>21792</v>
      </c>
      <c r="B6444" s="450"/>
      <c r="C6444" s="450" t="s">
        <v>10500</v>
      </c>
      <c r="D6444" s="450"/>
      <c r="E6444" s="450"/>
      <c r="F6444" s="450"/>
      <c r="G6444" s="450" t="s">
        <v>22882</v>
      </c>
      <c r="H6444" s="450" t="s">
        <v>22883</v>
      </c>
      <c r="I6444" s="450"/>
      <c r="J6444" s="450" t="s">
        <v>22939</v>
      </c>
      <c r="K6444" s="450"/>
    </row>
    <row r="6445" spans="1:11">
      <c r="A6445" s="451" t="s">
        <v>36247</v>
      </c>
      <c r="B6445" s="451"/>
      <c r="C6445" s="451" t="s">
        <v>10502</v>
      </c>
      <c r="D6445" s="451"/>
      <c r="E6445" s="451"/>
      <c r="F6445" s="451"/>
      <c r="G6445" s="451" t="s">
        <v>22882</v>
      </c>
      <c r="H6445" s="451" t="s">
        <v>22883</v>
      </c>
      <c r="I6445" s="451" t="s">
        <v>36248</v>
      </c>
      <c r="J6445" s="451" t="s">
        <v>22943</v>
      </c>
      <c r="K6445" s="451"/>
    </row>
    <row r="6446" spans="1:11">
      <c r="A6446" s="450" t="s">
        <v>10501</v>
      </c>
      <c r="B6446" s="450"/>
      <c r="C6446" s="450" t="s">
        <v>10502</v>
      </c>
      <c r="D6446" s="450"/>
      <c r="E6446" s="450"/>
      <c r="F6446" s="450"/>
      <c r="G6446" s="450" t="s">
        <v>22882</v>
      </c>
      <c r="H6446" s="450" t="s">
        <v>22883</v>
      </c>
      <c r="I6446" s="450" t="s">
        <v>36248</v>
      </c>
      <c r="J6446" s="450" t="s">
        <v>22937</v>
      </c>
      <c r="K6446" s="450"/>
    </row>
    <row r="6447" spans="1:11">
      <c r="A6447" s="451" t="s">
        <v>36249</v>
      </c>
      <c r="B6447" s="451"/>
      <c r="C6447" s="451" t="s">
        <v>1997</v>
      </c>
      <c r="D6447" s="451"/>
      <c r="E6447" s="451"/>
      <c r="F6447" s="451"/>
      <c r="G6447" s="451" t="s">
        <v>22882</v>
      </c>
      <c r="H6447" s="451" t="s">
        <v>22883</v>
      </c>
      <c r="I6447" s="451"/>
      <c r="J6447" s="451" t="s">
        <v>22997</v>
      </c>
      <c r="K6447" s="451"/>
    </row>
    <row r="6448" spans="1:11">
      <c r="A6448" s="450" t="s">
        <v>10503</v>
      </c>
      <c r="B6448" s="450"/>
      <c r="C6448" s="450" t="s">
        <v>1997</v>
      </c>
      <c r="D6448" s="450"/>
      <c r="E6448" s="450"/>
      <c r="F6448" s="450"/>
      <c r="G6448" s="450" t="s">
        <v>23108</v>
      </c>
      <c r="H6448" s="450" t="s">
        <v>22878</v>
      </c>
      <c r="I6448" s="450"/>
      <c r="J6448" s="450"/>
      <c r="K6448" s="450" t="s">
        <v>23726</v>
      </c>
    </row>
    <row r="6449" spans="1:11">
      <c r="A6449" s="451" t="s">
        <v>10504</v>
      </c>
      <c r="B6449" s="451" t="s">
        <v>10505</v>
      </c>
      <c r="C6449" s="451" t="s">
        <v>6046</v>
      </c>
      <c r="D6449" s="451" t="s">
        <v>10506</v>
      </c>
      <c r="E6449" s="451"/>
      <c r="F6449" s="451"/>
      <c r="G6449" s="451" t="s">
        <v>22877</v>
      </c>
      <c r="H6449" s="451" t="s">
        <v>22878</v>
      </c>
      <c r="I6449" s="451" t="s">
        <v>26582</v>
      </c>
      <c r="J6449" s="451" t="s">
        <v>26583</v>
      </c>
      <c r="K6449" s="451"/>
    </row>
    <row r="6450" spans="1:11">
      <c r="A6450" s="450" t="s">
        <v>10504</v>
      </c>
      <c r="B6450" s="450" t="s">
        <v>10505</v>
      </c>
      <c r="C6450" s="450" t="s">
        <v>6046</v>
      </c>
      <c r="D6450" s="450" t="s">
        <v>10506</v>
      </c>
      <c r="E6450" s="450" t="s">
        <v>10507</v>
      </c>
      <c r="F6450" s="450"/>
      <c r="G6450" s="450" t="s">
        <v>22877</v>
      </c>
      <c r="H6450" s="450" t="s">
        <v>22878</v>
      </c>
      <c r="I6450" s="450" t="s">
        <v>26582</v>
      </c>
      <c r="J6450" s="450" t="s">
        <v>26583</v>
      </c>
      <c r="K6450" s="450"/>
    </row>
    <row r="6451" spans="1:11">
      <c r="A6451" s="451" t="s">
        <v>10508</v>
      </c>
      <c r="B6451" s="451"/>
      <c r="C6451" s="451" t="s">
        <v>10509</v>
      </c>
      <c r="D6451" s="451"/>
      <c r="E6451" s="451"/>
      <c r="F6451" s="451"/>
      <c r="G6451" s="451" t="s">
        <v>22882</v>
      </c>
      <c r="H6451" s="451" t="s">
        <v>22883</v>
      </c>
      <c r="I6451" s="451" t="s">
        <v>36250</v>
      </c>
      <c r="J6451" s="451" t="s">
        <v>22997</v>
      </c>
      <c r="K6451" s="451"/>
    </row>
    <row r="6452" spans="1:11">
      <c r="A6452" s="450" t="s">
        <v>10510</v>
      </c>
      <c r="B6452" s="450"/>
      <c r="C6452" s="450" t="s">
        <v>10511</v>
      </c>
      <c r="D6452" s="450"/>
      <c r="E6452" s="450"/>
      <c r="F6452" s="450"/>
      <c r="G6452" s="450" t="s">
        <v>22882</v>
      </c>
      <c r="H6452" s="450" t="s">
        <v>22883</v>
      </c>
      <c r="I6452" s="450"/>
      <c r="J6452" s="450" t="s">
        <v>22997</v>
      </c>
      <c r="K6452" s="450"/>
    </row>
    <row r="6453" spans="1:11">
      <c r="A6453" s="451" t="s">
        <v>10512</v>
      </c>
      <c r="B6453" s="451"/>
      <c r="C6453" s="451" t="s">
        <v>2692</v>
      </c>
      <c r="D6453" s="451"/>
      <c r="E6453" s="451"/>
      <c r="F6453" s="451"/>
      <c r="G6453" s="451" t="s">
        <v>22882</v>
      </c>
      <c r="H6453" s="451" t="s">
        <v>22883</v>
      </c>
      <c r="I6453" s="451" t="s">
        <v>36251</v>
      </c>
      <c r="J6453" s="451" t="s">
        <v>22939</v>
      </c>
      <c r="K6453" s="451"/>
    </row>
    <row r="6454" spans="1:11">
      <c r="A6454" s="450" t="s">
        <v>21793</v>
      </c>
      <c r="B6454" s="450"/>
      <c r="C6454" s="450" t="s">
        <v>10513</v>
      </c>
      <c r="D6454" s="450"/>
      <c r="E6454" s="450"/>
      <c r="F6454" s="450"/>
      <c r="G6454" s="450" t="s">
        <v>22882</v>
      </c>
      <c r="H6454" s="450" t="s">
        <v>22883</v>
      </c>
      <c r="I6454" s="450" t="s">
        <v>36252</v>
      </c>
      <c r="J6454" s="450" t="s">
        <v>22997</v>
      </c>
      <c r="K6454" s="450"/>
    </row>
    <row r="6455" spans="1:11">
      <c r="A6455" s="451" t="s">
        <v>36253</v>
      </c>
      <c r="B6455" s="451"/>
      <c r="C6455" s="451" t="s">
        <v>36254</v>
      </c>
      <c r="D6455" s="451"/>
      <c r="E6455" s="451"/>
      <c r="F6455" s="451"/>
      <c r="G6455" s="451" t="s">
        <v>22877</v>
      </c>
      <c r="H6455" s="451" t="s">
        <v>22878</v>
      </c>
      <c r="I6455" s="451" t="s">
        <v>36255</v>
      </c>
      <c r="J6455" s="451" t="s">
        <v>22948</v>
      </c>
      <c r="K6455" s="451"/>
    </row>
    <row r="6456" spans="1:11">
      <c r="A6456" s="450" t="s">
        <v>10514</v>
      </c>
      <c r="B6456" s="450"/>
      <c r="C6456" s="450" t="s">
        <v>10515</v>
      </c>
      <c r="D6456" s="450"/>
      <c r="E6456" s="450"/>
      <c r="F6456" s="450"/>
      <c r="G6456" s="450" t="s">
        <v>22877</v>
      </c>
      <c r="H6456" s="450" t="s">
        <v>22878</v>
      </c>
      <c r="I6456" s="450" t="s">
        <v>36255</v>
      </c>
      <c r="J6456" s="450" t="s">
        <v>22942</v>
      </c>
      <c r="K6456" s="450"/>
    </row>
    <row r="6457" spans="1:11">
      <c r="A6457" s="451" t="s">
        <v>10516</v>
      </c>
      <c r="B6457" s="451"/>
      <c r="C6457" s="451" t="s">
        <v>5256</v>
      </c>
      <c r="D6457" s="451"/>
      <c r="E6457" s="451"/>
      <c r="F6457" s="451"/>
      <c r="G6457" s="451" t="s">
        <v>22882</v>
      </c>
      <c r="H6457" s="451" t="s">
        <v>22883</v>
      </c>
      <c r="I6457" s="451"/>
      <c r="J6457" s="451" t="s">
        <v>22939</v>
      </c>
      <c r="K6457" s="451"/>
    </row>
    <row r="6458" spans="1:11">
      <c r="A6458" s="450" t="s">
        <v>10517</v>
      </c>
      <c r="B6458" s="450"/>
      <c r="C6458" s="450" t="s">
        <v>10518</v>
      </c>
      <c r="D6458" s="450"/>
      <c r="E6458" s="450"/>
      <c r="F6458" s="450"/>
      <c r="G6458" s="450" t="s">
        <v>22877</v>
      </c>
      <c r="H6458" s="450" t="s">
        <v>22878</v>
      </c>
      <c r="I6458" s="450" t="s">
        <v>26584</v>
      </c>
      <c r="J6458" s="450" t="s">
        <v>22943</v>
      </c>
      <c r="K6458" s="450"/>
    </row>
    <row r="6459" spans="1:11">
      <c r="A6459" s="451" t="s">
        <v>26585</v>
      </c>
      <c r="B6459" s="451" t="s">
        <v>26586</v>
      </c>
      <c r="C6459" s="451" t="s">
        <v>26587</v>
      </c>
      <c r="D6459" s="451">
        <v>4138134316</v>
      </c>
      <c r="E6459" s="451"/>
      <c r="F6459" s="451"/>
      <c r="G6459" s="451" t="s">
        <v>22882</v>
      </c>
      <c r="H6459" s="451" t="s">
        <v>22883</v>
      </c>
      <c r="I6459" s="451" t="s">
        <v>26588</v>
      </c>
      <c r="J6459" s="451" t="s">
        <v>26589</v>
      </c>
      <c r="K6459" s="451"/>
    </row>
    <row r="6460" spans="1:11">
      <c r="A6460" s="450" t="s">
        <v>36256</v>
      </c>
      <c r="B6460" s="450"/>
      <c r="C6460" s="450" t="s">
        <v>10520</v>
      </c>
      <c r="D6460" s="450"/>
      <c r="E6460" s="450"/>
      <c r="F6460" s="450"/>
      <c r="G6460" s="450" t="s">
        <v>22877</v>
      </c>
      <c r="H6460" s="450" t="s">
        <v>22878</v>
      </c>
      <c r="I6460" s="450" t="s">
        <v>36257</v>
      </c>
      <c r="J6460" s="450" t="s">
        <v>22943</v>
      </c>
      <c r="K6460" s="450"/>
    </row>
    <row r="6461" spans="1:11">
      <c r="A6461" s="451" t="s">
        <v>10519</v>
      </c>
      <c r="B6461" s="451"/>
      <c r="C6461" s="451" t="s">
        <v>10520</v>
      </c>
      <c r="D6461" s="451"/>
      <c r="E6461" s="451"/>
      <c r="F6461" s="451"/>
      <c r="G6461" s="451" t="s">
        <v>22877</v>
      </c>
      <c r="H6461" s="451" t="s">
        <v>22878</v>
      </c>
      <c r="I6461" s="451" t="s">
        <v>36258</v>
      </c>
      <c r="J6461" s="451" t="s">
        <v>22937</v>
      </c>
      <c r="K6461" s="451"/>
    </row>
    <row r="6462" spans="1:11">
      <c r="A6462" s="450" t="s">
        <v>10521</v>
      </c>
      <c r="B6462" s="450"/>
      <c r="C6462" s="450" t="s">
        <v>10522</v>
      </c>
      <c r="D6462" s="450"/>
      <c r="E6462" s="450"/>
      <c r="F6462" s="450"/>
      <c r="G6462" s="450" t="s">
        <v>22882</v>
      </c>
      <c r="H6462" s="450" t="s">
        <v>22883</v>
      </c>
      <c r="I6462" s="450"/>
      <c r="J6462" s="450" t="s">
        <v>22939</v>
      </c>
      <c r="K6462" s="450"/>
    </row>
    <row r="6463" spans="1:11">
      <c r="A6463" s="451" t="s">
        <v>10523</v>
      </c>
      <c r="B6463" s="451" t="s">
        <v>10524</v>
      </c>
      <c r="C6463" s="451" t="s">
        <v>10525</v>
      </c>
      <c r="D6463" s="451"/>
      <c r="E6463" s="451"/>
      <c r="F6463" s="451"/>
      <c r="G6463" s="451" t="s">
        <v>22877</v>
      </c>
      <c r="H6463" s="451" t="s">
        <v>22878</v>
      </c>
      <c r="I6463" s="451" t="s">
        <v>26590</v>
      </c>
      <c r="J6463" s="451" t="s">
        <v>26591</v>
      </c>
      <c r="K6463" s="451"/>
    </row>
    <row r="6464" spans="1:11">
      <c r="A6464" s="450" t="s">
        <v>10526</v>
      </c>
      <c r="B6464" s="450"/>
      <c r="C6464" s="450" t="s">
        <v>10527</v>
      </c>
      <c r="D6464" s="450"/>
      <c r="E6464" s="450"/>
      <c r="F6464" s="450"/>
      <c r="G6464" s="450" t="s">
        <v>22882</v>
      </c>
      <c r="H6464" s="450" t="s">
        <v>22883</v>
      </c>
      <c r="I6464" s="450"/>
      <c r="J6464" s="450" t="s">
        <v>22939</v>
      </c>
      <c r="K6464" s="450"/>
    </row>
    <row r="6465" spans="1:11">
      <c r="A6465" s="451" t="s">
        <v>36259</v>
      </c>
      <c r="B6465" s="451"/>
      <c r="C6465" s="451" t="s">
        <v>10527</v>
      </c>
      <c r="D6465" s="451"/>
      <c r="E6465" s="451"/>
      <c r="F6465" s="451"/>
      <c r="G6465" s="451" t="s">
        <v>22882</v>
      </c>
      <c r="H6465" s="451" t="s">
        <v>22883</v>
      </c>
      <c r="I6465" s="451" t="s">
        <v>36260</v>
      </c>
      <c r="J6465" s="451" t="s">
        <v>22939</v>
      </c>
      <c r="K6465" s="451"/>
    </row>
    <row r="6466" spans="1:11">
      <c r="A6466" s="450" t="s">
        <v>10528</v>
      </c>
      <c r="B6466" s="450"/>
      <c r="C6466" s="450" t="s">
        <v>10529</v>
      </c>
      <c r="D6466" s="450"/>
      <c r="E6466" s="450"/>
      <c r="F6466" s="450"/>
      <c r="G6466" s="450" t="s">
        <v>22882</v>
      </c>
      <c r="H6466" s="450" t="s">
        <v>22883</v>
      </c>
      <c r="I6466" s="450"/>
      <c r="J6466" s="450" t="s">
        <v>22939</v>
      </c>
      <c r="K6466" s="450"/>
    </row>
    <row r="6467" spans="1:11">
      <c r="A6467" s="451" t="s">
        <v>26592</v>
      </c>
      <c r="B6467" s="451"/>
      <c r="C6467" s="451" t="s">
        <v>10529</v>
      </c>
      <c r="D6467" s="451"/>
      <c r="E6467" s="451"/>
      <c r="F6467" s="451"/>
      <c r="G6467" s="451" t="s">
        <v>22882</v>
      </c>
      <c r="H6467" s="451" t="s">
        <v>22883</v>
      </c>
      <c r="I6467" s="451"/>
      <c r="J6467" s="451" t="s">
        <v>23121</v>
      </c>
      <c r="K6467" s="451"/>
    </row>
    <row r="6468" spans="1:11">
      <c r="A6468" s="450" t="s">
        <v>36261</v>
      </c>
      <c r="B6468" s="450" t="s">
        <v>10531</v>
      </c>
      <c r="C6468" s="450" t="s">
        <v>10532</v>
      </c>
      <c r="D6468" s="450" t="s">
        <v>10533</v>
      </c>
      <c r="E6468" s="450"/>
      <c r="F6468" s="450"/>
      <c r="G6468" s="450" t="s">
        <v>22877</v>
      </c>
      <c r="H6468" s="450" t="s">
        <v>22878</v>
      </c>
      <c r="I6468" s="450" t="s">
        <v>36262</v>
      </c>
      <c r="J6468" s="450" t="s">
        <v>36263</v>
      </c>
      <c r="K6468" s="450"/>
    </row>
    <row r="6469" spans="1:11">
      <c r="A6469" s="451" t="s">
        <v>10530</v>
      </c>
      <c r="B6469" s="451" t="s">
        <v>10531</v>
      </c>
      <c r="C6469" s="451" t="s">
        <v>10532</v>
      </c>
      <c r="D6469" s="451" t="s">
        <v>10533</v>
      </c>
      <c r="E6469" s="451" t="s">
        <v>10534</v>
      </c>
      <c r="F6469" s="451"/>
      <c r="G6469" s="451" t="s">
        <v>22877</v>
      </c>
      <c r="H6469" s="451" t="s">
        <v>22878</v>
      </c>
      <c r="I6469" s="451" t="s">
        <v>10533</v>
      </c>
      <c r="J6469" s="451" t="s">
        <v>31677</v>
      </c>
      <c r="K6469" s="451"/>
    </row>
    <row r="6470" spans="1:11">
      <c r="A6470" s="450" t="s">
        <v>26593</v>
      </c>
      <c r="B6470" s="450" t="s">
        <v>10541</v>
      </c>
      <c r="C6470" s="450" t="s">
        <v>10542</v>
      </c>
      <c r="D6470" s="450" t="s">
        <v>10543</v>
      </c>
      <c r="E6470" s="450"/>
      <c r="F6470" s="450"/>
      <c r="G6470" s="450" t="s">
        <v>22882</v>
      </c>
      <c r="H6470" s="450" t="s">
        <v>22883</v>
      </c>
      <c r="I6470" s="450" t="s">
        <v>26594</v>
      </c>
      <c r="J6470" s="450" t="s">
        <v>26595</v>
      </c>
      <c r="K6470" s="450"/>
    </row>
    <row r="6471" spans="1:11">
      <c r="A6471" s="451" t="s">
        <v>10535</v>
      </c>
      <c r="B6471" s="451" t="s">
        <v>10536</v>
      </c>
      <c r="C6471" s="451" t="s">
        <v>10537</v>
      </c>
      <c r="D6471" s="451" t="s">
        <v>10538</v>
      </c>
      <c r="E6471" s="451" t="s">
        <v>10539</v>
      </c>
      <c r="F6471" s="451"/>
      <c r="G6471" s="451" t="s">
        <v>22882</v>
      </c>
      <c r="H6471" s="451" t="s">
        <v>22883</v>
      </c>
      <c r="I6471" s="451" t="s">
        <v>31678</v>
      </c>
      <c r="J6471" s="451" t="s">
        <v>31679</v>
      </c>
      <c r="K6471" s="451"/>
    </row>
    <row r="6472" spans="1:11">
      <c r="A6472" s="450" t="s">
        <v>10540</v>
      </c>
      <c r="B6472" s="450" t="s">
        <v>10541</v>
      </c>
      <c r="C6472" s="450" t="s">
        <v>10542</v>
      </c>
      <c r="D6472" s="450" t="s">
        <v>10543</v>
      </c>
      <c r="E6472" s="450"/>
      <c r="F6472" s="450"/>
      <c r="G6472" s="450" t="s">
        <v>22882</v>
      </c>
      <c r="H6472" s="450" t="s">
        <v>22883</v>
      </c>
      <c r="I6472" s="450" t="s">
        <v>26594</v>
      </c>
      <c r="J6472" s="450" t="s">
        <v>31680</v>
      </c>
      <c r="K6472" s="450"/>
    </row>
    <row r="6473" spans="1:11">
      <c r="A6473" s="451" t="s">
        <v>26596</v>
      </c>
      <c r="B6473" s="451" t="s">
        <v>10536</v>
      </c>
      <c r="C6473" s="451" t="s">
        <v>10537</v>
      </c>
      <c r="D6473" s="451" t="s">
        <v>10538</v>
      </c>
      <c r="E6473" s="451"/>
      <c r="F6473" s="451"/>
      <c r="G6473" s="451" t="s">
        <v>22882</v>
      </c>
      <c r="H6473" s="451" t="s">
        <v>22883</v>
      </c>
      <c r="I6473" s="451" t="s">
        <v>26597</v>
      </c>
      <c r="J6473" s="451" t="s">
        <v>26598</v>
      </c>
      <c r="K6473" s="451"/>
    </row>
    <row r="6474" spans="1:11">
      <c r="A6474" s="450" t="s">
        <v>10544</v>
      </c>
      <c r="B6474" s="450"/>
      <c r="C6474" s="450" t="s">
        <v>9161</v>
      </c>
      <c r="D6474" s="450"/>
      <c r="E6474" s="450"/>
      <c r="F6474" s="450"/>
      <c r="G6474" s="450" t="s">
        <v>22877</v>
      </c>
      <c r="H6474" s="450" t="s">
        <v>22878</v>
      </c>
      <c r="I6474" s="450" t="s">
        <v>26599</v>
      </c>
      <c r="J6474" s="450" t="s">
        <v>22943</v>
      </c>
      <c r="K6474" s="450"/>
    </row>
    <row r="6475" spans="1:11">
      <c r="A6475" s="451" t="s">
        <v>36264</v>
      </c>
      <c r="B6475" s="451" t="s">
        <v>10546</v>
      </c>
      <c r="C6475" s="451" t="s">
        <v>10547</v>
      </c>
      <c r="D6475" s="451" t="s">
        <v>10548</v>
      </c>
      <c r="E6475" s="451"/>
      <c r="F6475" s="451"/>
      <c r="G6475" s="451" t="s">
        <v>22877</v>
      </c>
      <c r="H6475" s="451" t="s">
        <v>22878</v>
      </c>
      <c r="I6475" s="451" t="s">
        <v>10548</v>
      </c>
      <c r="J6475" s="451" t="s">
        <v>36265</v>
      </c>
      <c r="K6475" s="451"/>
    </row>
    <row r="6476" spans="1:11">
      <c r="A6476" s="450" t="s">
        <v>10545</v>
      </c>
      <c r="B6476" s="450" t="s">
        <v>10546</v>
      </c>
      <c r="C6476" s="450" t="s">
        <v>10547</v>
      </c>
      <c r="D6476" s="450" t="s">
        <v>10548</v>
      </c>
      <c r="E6476" s="450" t="s">
        <v>10549</v>
      </c>
      <c r="F6476" s="450"/>
      <c r="G6476" s="450" t="s">
        <v>22877</v>
      </c>
      <c r="H6476" s="450" t="s">
        <v>22878</v>
      </c>
      <c r="I6476" s="450" t="s">
        <v>10548</v>
      </c>
      <c r="J6476" s="450" t="s">
        <v>31681</v>
      </c>
      <c r="K6476" s="450"/>
    </row>
    <row r="6477" spans="1:11">
      <c r="A6477" s="451" t="s">
        <v>10550</v>
      </c>
      <c r="B6477" s="451" t="s">
        <v>10551</v>
      </c>
      <c r="C6477" s="451" t="s">
        <v>10552</v>
      </c>
      <c r="D6477" s="451" t="s">
        <v>10553</v>
      </c>
      <c r="E6477" s="451"/>
      <c r="F6477" s="451" t="s">
        <v>36266</v>
      </c>
      <c r="G6477" s="451" t="s">
        <v>22877</v>
      </c>
      <c r="H6477" s="451" t="s">
        <v>22878</v>
      </c>
      <c r="I6477" s="451" t="s">
        <v>10553</v>
      </c>
      <c r="J6477" s="451" t="s">
        <v>36267</v>
      </c>
      <c r="K6477" s="451"/>
    </row>
    <row r="6478" spans="1:11">
      <c r="A6478" s="450" t="s">
        <v>10550</v>
      </c>
      <c r="B6478" s="450" t="s">
        <v>10551</v>
      </c>
      <c r="C6478" s="450" t="s">
        <v>10552</v>
      </c>
      <c r="D6478" s="450" t="s">
        <v>10553</v>
      </c>
      <c r="E6478" s="450"/>
      <c r="F6478" s="450" t="s">
        <v>10554</v>
      </c>
      <c r="G6478" s="450" t="s">
        <v>22877</v>
      </c>
      <c r="H6478" s="450" t="s">
        <v>22878</v>
      </c>
      <c r="I6478" s="450" t="s">
        <v>31682</v>
      </c>
      <c r="J6478" s="450" t="s">
        <v>31683</v>
      </c>
      <c r="K6478" s="450"/>
    </row>
    <row r="6479" spans="1:11">
      <c r="A6479" s="451" t="s">
        <v>10555</v>
      </c>
      <c r="B6479" s="451"/>
      <c r="C6479" s="451" t="s">
        <v>5380</v>
      </c>
      <c r="D6479" s="451"/>
      <c r="E6479" s="451"/>
      <c r="F6479" s="451"/>
      <c r="G6479" s="451" t="s">
        <v>22882</v>
      </c>
      <c r="H6479" s="451" t="s">
        <v>22883</v>
      </c>
      <c r="I6479" s="451" t="s">
        <v>26600</v>
      </c>
      <c r="J6479" s="451" t="s">
        <v>22939</v>
      </c>
      <c r="K6479" s="451"/>
    </row>
    <row r="6480" spans="1:11">
      <c r="A6480" s="450" t="s">
        <v>26601</v>
      </c>
      <c r="B6480" s="450" t="s">
        <v>26602</v>
      </c>
      <c r="C6480" s="450" t="s">
        <v>26603</v>
      </c>
      <c r="D6480" s="450"/>
      <c r="E6480" s="450"/>
      <c r="F6480" s="450"/>
      <c r="G6480" s="450" t="s">
        <v>22882</v>
      </c>
      <c r="H6480" s="450" t="s">
        <v>22883</v>
      </c>
      <c r="I6480" s="450" t="s">
        <v>26604</v>
      </c>
      <c r="J6480" s="450" t="s">
        <v>26605</v>
      </c>
      <c r="K6480" s="450"/>
    </row>
    <row r="6481" spans="1:11">
      <c r="A6481" s="451" t="s">
        <v>36268</v>
      </c>
      <c r="B6481" s="451" t="s">
        <v>10557</v>
      </c>
      <c r="C6481" s="451" t="s">
        <v>10558</v>
      </c>
      <c r="D6481" s="451" t="s">
        <v>10559</v>
      </c>
      <c r="E6481" s="451"/>
      <c r="F6481" s="451" t="s">
        <v>10561</v>
      </c>
      <c r="G6481" s="451" t="s">
        <v>22882</v>
      </c>
      <c r="H6481" s="451" t="s">
        <v>22883</v>
      </c>
      <c r="I6481" s="451" t="s">
        <v>36269</v>
      </c>
      <c r="J6481" s="451" t="s">
        <v>36270</v>
      </c>
      <c r="K6481" s="451"/>
    </row>
    <row r="6482" spans="1:11">
      <c r="A6482" s="450" t="s">
        <v>10556</v>
      </c>
      <c r="B6482" s="450" t="s">
        <v>10557</v>
      </c>
      <c r="C6482" s="450" t="s">
        <v>10558</v>
      </c>
      <c r="D6482" s="450" t="s">
        <v>10559</v>
      </c>
      <c r="E6482" s="450" t="s">
        <v>10560</v>
      </c>
      <c r="F6482" s="450" t="s">
        <v>10561</v>
      </c>
      <c r="G6482" s="450" t="s">
        <v>22882</v>
      </c>
      <c r="H6482" s="450" t="s">
        <v>22883</v>
      </c>
      <c r="I6482" s="450" t="s">
        <v>10559</v>
      </c>
      <c r="J6482" s="450" t="s">
        <v>31684</v>
      </c>
      <c r="K6482" s="450"/>
    </row>
    <row r="6483" spans="1:11">
      <c r="A6483" s="451" t="s">
        <v>10562</v>
      </c>
      <c r="B6483" s="451" t="s">
        <v>10563</v>
      </c>
      <c r="C6483" s="451" t="s">
        <v>10564</v>
      </c>
      <c r="D6483" s="451" t="s">
        <v>10565</v>
      </c>
      <c r="E6483" s="451" t="s">
        <v>10566</v>
      </c>
      <c r="F6483" s="451"/>
      <c r="G6483" s="451" t="s">
        <v>22877</v>
      </c>
      <c r="H6483" s="451" t="s">
        <v>22878</v>
      </c>
      <c r="I6483" s="451" t="s">
        <v>26607</v>
      </c>
      <c r="J6483" s="451" t="s">
        <v>36271</v>
      </c>
      <c r="K6483" s="451"/>
    </row>
    <row r="6484" spans="1:11">
      <c r="A6484" s="450" t="s">
        <v>26606</v>
      </c>
      <c r="B6484" s="450" t="s">
        <v>10563</v>
      </c>
      <c r="C6484" s="450" t="s">
        <v>10564</v>
      </c>
      <c r="D6484" s="450" t="s">
        <v>10565</v>
      </c>
      <c r="E6484" s="450"/>
      <c r="F6484" s="450"/>
      <c r="G6484" s="450" t="s">
        <v>22877</v>
      </c>
      <c r="H6484" s="450" t="s">
        <v>22878</v>
      </c>
      <c r="I6484" s="450" t="s">
        <v>26607</v>
      </c>
      <c r="J6484" s="450" t="s">
        <v>26608</v>
      </c>
      <c r="K6484" s="450"/>
    </row>
    <row r="6485" spans="1:11">
      <c r="A6485" s="451" t="s">
        <v>10567</v>
      </c>
      <c r="B6485" s="451"/>
      <c r="C6485" s="451" t="s">
        <v>10568</v>
      </c>
      <c r="D6485" s="451"/>
      <c r="E6485" s="451"/>
      <c r="F6485" s="451"/>
      <c r="G6485" s="451" t="s">
        <v>22882</v>
      </c>
      <c r="H6485" s="451" t="s">
        <v>22883</v>
      </c>
      <c r="I6485" s="451" t="s">
        <v>26609</v>
      </c>
      <c r="J6485" s="451" t="s">
        <v>22943</v>
      </c>
      <c r="K6485" s="451"/>
    </row>
    <row r="6486" spans="1:11">
      <c r="A6486" s="450" t="s">
        <v>36272</v>
      </c>
      <c r="B6486" s="450" t="s">
        <v>10570</v>
      </c>
      <c r="C6486" s="450" t="s">
        <v>9769</v>
      </c>
      <c r="D6486" s="450" t="s">
        <v>10571</v>
      </c>
      <c r="E6486" s="450"/>
      <c r="F6486" s="450"/>
      <c r="G6486" s="450" t="s">
        <v>22877</v>
      </c>
      <c r="H6486" s="450" t="s">
        <v>22878</v>
      </c>
      <c r="I6486" s="450" t="s">
        <v>26610</v>
      </c>
      <c r="J6486" s="450" t="s">
        <v>36273</v>
      </c>
      <c r="K6486" s="450"/>
    </row>
    <row r="6487" spans="1:11">
      <c r="A6487" s="451" t="s">
        <v>10569</v>
      </c>
      <c r="B6487" s="451" t="s">
        <v>10570</v>
      </c>
      <c r="C6487" s="451" t="s">
        <v>9769</v>
      </c>
      <c r="D6487" s="451" t="s">
        <v>10571</v>
      </c>
      <c r="E6487" s="451"/>
      <c r="F6487" s="451"/>
      <c r="G6487" s="451" t="s">
        <v>22877</v>
      </c>
      <c r="H6487" s="451" t="s">
        <v>22878</v>
      </c>
      <c r="I6487" s="451" t="s">
        <v>10571</v>
      </c>
      <c r="J6487" s="451" t="s">
        <v>31685</v>
      </c>
      <c r="K6487" s="451"/>
    </row>
    <row r="6488" spans="1:11">
      <c r="A6488" s="450" t="s">
        <v>10572</v>
      </c>
      <c r="B6488" s="450" t="s">
        <v>10573</v>
      </c>
      <c r="C6488" s="450" t="s">
        <v>2168</v>
      </c>
      <c r="D6488" s="450" t="s">
        <v>10574</v>
      </c>
      <c r="E6488" s="450"/>
      <c r="F6488" s="450"/>
      <c r="G6488" s="450" t="s">
        <v>22877</v>
      </c>
      <c r="H6488" s="450" t="s">
        <v>22878</v>
      </c>
      <c r="I6488" s="450" t="s">
        <v>10574</v>
      </c>
      <c r="J6488" s="450" t="s">
        <v>36274</v>
      </c>
      <c r="K6488" s="450"/>
    </row>
    <row r="6489" spans="1:11">
      <c r="A6489" s="451" t="s">
        <v>10572</v>
      </c>
      <c r="B6489" s="451" t="s">
        <v>10573</v>
      </c>
      <c r="C6489" s="451" t="s">
        <v>2168</v>
      </c>
      <c r="D6489" s="451" t="s">
        <v>10574</v>
      </c>
      <c r="E6489" s="451" t="s">
        <v>10575</v>
      </c>
      <c r="F6489" s="451"/>
      <c r="G6489" s="451" t="s">
        <v>22877</v>
      </c>
      <c r="H6489" s="451" t="s">
        <v>22878</v>
      </c>
      <c r="I6489" s="451" t="s">
        <v>10574</v>
      </c>
      <c r="J6489" s="451" t="s">
        <v>36274</v>
      </c>
      <c r="K6489" s="451"/>
    </row>
    <row r="6490" spans="1:11">
      <c r="A6490" s="450" t="s">
        <v>10576</v>
      </c>
      <c r="B6490" s="450" t="s">
        <v>10573</v>
      </c>
      <c r="C6490" s="450" t="s">
        <v>10577</v>
      </c>
      <c r="D6490" s="450" t="s">
        <v>10578</v>
      </c>
      <c r="E6490" s="450"/>
      <c r="F6490" s="450"/>
      <c r="G6490" s="450" t="s">
        <v>22877</v>
      </c>
      <c r="H6490" s="450" t="s">
        <v>22878</v>
      </c>
      <c r="I6490" s="450" t="s">
        <v>24418</v>
      </c>
      <c r="J6490" s="450" t="s">
        <v>26611</v>
      </c>
      <c r="K6490" s="450"/>
    </row>
    <row r="6491" spans="1:11">
      <c r="A6491" s="451" t="s">
        <v>10576</v>
      </c>
      <c r="B6491" s="451" t="s">
        <v>10573</v>
      </c>
      <c r="C6491" s="451" t="s">
        <v>10577</v>
      </c>
      <c r="D6491" s="451" t="s">
        <v>10578</v>
      </c>
      <c r="E6491" s="451" t="s">
        <v>10579</v>
      </c>
      <c r="F6491" s="451"/>
      <c r="G6491" s="451" t="s">
        <v>22877</v>
      </c>
      <c r="H6491" s="451" t="s">
        <v>22878</v>
      </c>
      <c r="I6491" s="451" t="s">
        <v>24418</v>
      </c>
      <c r="J6491" s="451" t="s">
        <v>26611</v>
      </c>
      <c r="K6491" s="451"/>
    </row>
    <row r="6492" spans="1:11">
      <c r="A6492" s="450" t="s">
        <v>21794</v>
      </c>
      <c r="B6492" s="450" t="s">
        <v>10580</v>
      </c>
      <c r="C6492" s="450" t="s">
        <v>2650</v>
      </c>
      <c r="D6492" s="450" t="s">
        <v>10581</v>
      </c>
      <c r="E6492" s="450"/>
      <c r="F6492" s="450"/>
      <c r="G6492" s="450" t="s">
        <v>22877</v>
      </c>
      <c r="H6492" s="450" t="s">
        <v>22878</v>
      </c>
      <c r="I6492" s="450" t="s">
        <v>26612</v>
      </c>
      <c r="J6492" s="450" t="s">
        <v>26613</v>
      </c>
      <c r="K6492" s="450"/>
    </row>
    <row r="6493" spans="1:11">
      <c r="A6493" s="451" t="s">
        <v>21795</v>
      </c>
      <c r="B6493" s="451" t="s">
        <v>10582</v>
      </c>
      <c r="C6493" s="451" t="s">
        <v>10583</v>
      </c>
      <c r="D6493" s="451" t="s">
        <v>10584</v>
      </c>
      <c r="E6493" s="451"/>
      <c r="F6493" s="451"/>
      <c r="G6493" s="451" t="s">
        <v>22882</v>
      </c>
      <c r="H6493" s="451" t="s">
        <v>22883</v>
      </c>
      <c r="I6493" s="451"/>
      <c r="J6493" s="451" t="s">
        <v>26614</v>
      </c>
      <c r="K6493" s="451"/>
    </row>
    <row r="6494" spans="1:11">
      <c r="A6494" s="450" t="s">
        <v>21796</v>
      </c>
      <c r="B6494" s="450" t="s">
        <v>10585</v>
      </c>
      <c r="C6494" s="450" t="s">
        <v>1815</v>
      </c>
      <c r="D6494" s="450" t="s">
        <v>10586</v>
      </c>
      <c r="E6494" s="450"/>
      <c r="F6494" s="450"/>
      <c r="G6494" s="450" t="s">
        <v>22882</v>
      </c>
      <c r="H6494" s="450" t="s">
        <v>22883</v>
      </c>
      <c r="I6494" s="450" t="s">
        <v>10586</v>
      </c>
      <c r="J6494" s="450" t="s">
        <v>26615</v>
      </c>
      <c r="K6494" s="450"/>
    </row>
    <row r="6495" spans="1:11">
      <c r="A6495" s="451" t="s">
        <v>31686</v>
      </c>
      <c r="B6495" s="451"/>
      <c r="C6495" s="451" t="s">
        <v>3124</v>
      </c>
      <c r="D6495" s="451"/>
      <c r="E6495" s="451"/>
      <c r="F6495" s="451"/>
      <c r="G6495" s="451" t="s">
        <v>22882</v>
      </c>
      <c r="H6495" s="451" t="s">
        <v>22883</v>
      </c>
      <c r="I6495" s="451" t="s">
        <v>26616</v>
      </c>
      <c r="J6495" s="451" t="s">
        <v>22939</v>
      </c>
      <c r="K6495" s="451"/>
    </row>
    <row r="6496" spans="1:11">
      <c r="A6496" s="450" t="s">
        <v>10587</v>
      </c>
      <c r="B6496" s="450" t="s">
        <v>21797</v>
      </c>
      <c r="C6496" s="450" t="s">
        <v>10588</v>
      </c>
      <c r="D6496" s="450"/>
      <c r="E6496" s="450"/>
      <c r="F6496" s="450"/>
      <c r="G6496" s="450" t="s">
        <v>22877</v>
      </c>
      <c r="H6496" s="450" t="s">
        <v>22878</v>
      </c>
      <c r="I6496" s="450" t="s">
        <v>26617</v>
      </c>
      <c r="J6496" s="450" t="s">
        <v>31687</v>
      </c>
      <c r="K6496" s="450"/>
    </row>
    <row r="6497" spans="1:11">
      <c r="A6497" s="451" t="s">
        <v>36275</v>
      </c>
      <c r="B6497" s="451"/>
      <c r="C6497" s="451" t="s">
        <v>10590</v>
      </c>
      <c r="D6497" s="451"/>
      <c r="E6497" s="451"/>
      <c r="F6497" s="451"/>
      <c r="G6497" s="451" t="s">
        <v>22877</v>
      </c>
      <c r="H6497" s="451" t="s">
        <v>22878</v>
      </c>
      <c r="I6497" s="451" t="s">
        <v>26618</v>
      </c>
      <c r="J6497" s="451" t="s">
        <v>22943</v>
      </c>
      <c r="K6497" s="451"/>
    </row>
    <row r="6498" spans="1:11">
      <c r="A6498" s="450" t="s">
        <v>10589</v>
      </c>
      <c r="B6498" s="450"/>
      <c r="C6498" s="450" t="s">
        <v>10590</v>
      </c>
      <c r="D6498" s="450"/>
      <c r="E6498" s="450"/>
      <c r="F6498" s="450"/>
      <c r="G6498" s="450" t="s">
        <v>22877</v>
      </c>
      <c r="H6498" s="450" t="s">
        <v>22878</v>
      </c>
      <c r="I6498" s="450" t="s">
        <v>26618</v>
      </c>
      <c r="J6498" s="450" t="s">
        <v>22939</v>
      </c>
      <c r="K6498" s="450"/>
    </row>
    <row r="6499" spans="1:11">
      <c r="A6499" s="451" t="s">
        <v>26619</v>
      </c>
      <c r="B6499" s="451" t="s">
        <v>26620</v>
      </c>
      <c r="C6499" s="451" t="s">
        <v>26621</v>
      </c>
      <c r="D6499" s="451"/>
      <c r="E6499" s="451"/>
      <c r="F6499" s="451"/>
      <c r="G6499" s="451" t="s">
        <v>22877</v>
      </c>
      <c r="H6499" s="451" t="s">
        <v>22878</v>
      </c>
      <c r="I6499" s="451" t="s">
        <v>26622</v>
      </c>
      <c r="J6499" s="451" t="s">
        <v>26623</v>
      </c>
      <c r="K6499" s="451"/>
    </row>
    <row r="6500" spans="1:11">
      <c r="A6500" s="450" t="s">
        <v>26624</v>
      </c>
      <c r="B6500" s="450" t="s">
        <v>26625</v>
      </c>
      <c r="C6500" s="450" t="s">
        <v>26626</v>
      </c>
      <c r="D6500" s="450" t="s">
        <v>26627</v>
      </c>
      <c r="E6500" s="450"/>
      <c r="F6500" s="450"/>
      <c r="G6500" s="450" t="s">
        <v>22877</v>
      </c>
      <c r="H6500" s="450" t="s">
        <v>22878</v>
      </c>
      <c r="I6500" s="450" t="s">
        <v>26628</v>
      </c>
      <c r="J6500" s="450" t="s">
        <v>26629</v>
      </c>
      <c r="K6500" s="450"/>
    </row>
    <row r="6501" spans="1:11">
      <c r="A6501" s="451" t="s">
        <v>26630</v>
      </c>
      <c r="B6501" s="451" t="s">
        <v>22424</v>
      </c>
      <c r="C6501" s="451" t="s">
        <v>26631</v>
      </c>
      <c r="D6501" s="451"/>
      <c r="E6501" s="451"/>
      <c r="F6501" s="451"/>
      <c r="G6501" s="451" t="s">
        <v>22877</v>
      </c>
      <c r="H6501" s="451" t="s">
        <v>22878</v>
      </c>
      <c r="I6501" s="451" t="s">
        <v>24090</v>
      </c>
      <c r="J6501" s="451" t="s">
        <v>26632</v>
      </c>
      <c r="K6501" s="451"/>
    </row>
    <row r="6502" spans="1:11">
      <c r="A6502" s="450" t="s">
        <v>36276</v>
      </c>
      <c r="B6502" s="450" t="s">
        <v>10592</v>
      </c>
      <c r="C6502" s="450" t="s">
        <v>10593</v>
      </c>
      <c r="D6502" s="450" t="s">
        <v>10594</v>
      </c>
      <c r="E6502" s="450"/>
      <c r="F6502" s="450"/>
      <c r="G6502" s="450" t="s">
        <v>22882</v>
      </c>
      <c r="H6502" s="450" t="s">
        <v>22883</v>
      </c>
      <c r="I6502" s="450" t="s">
        <v>10594</v>
      </c>
      <c r="J6502" s="450" t="s">
        <v>36277</v>
      </c>
      <c r="K6502" s="450"/>
    </row>
    <row r="6503" spans="1:11">
      <c r="A6503" s="451" t="s">
        <v>10591</v>
      </c>
      <c r="B6503" s="451" t="s">
        <v>10592</v>
      </c>
      <c r="C6503" s="451" t="s">
        <v>10593</v>
      </c>
      <c r="D6503" s="451" t="s">
        <v>10594</v>
      </c>
      <c r="E6503" s="451" t="s">
        <v>10595</v>
      </c>
      <c r="F6503" s="451"/>
      <c r="G6503" s="451" t="s">
        <v>22882</v>
      </c>
      <c r="H6503" s="451" t="s">
        <v>22883</v>
      </c>
      <c r="I6503" s="451" t="s">
        <v>10594</v>
      </c>
      <c r="J6503" s="451" t="s">
        <v>31688</v>
      </c>
      <c r="K6503" s="451"/>
    </row>
    <row r="6504" spans="1:11">
      <c r="A6504" s="450" t="s">
        <v>10596</v>
      </c>
      <c r="B6504" s="450" t="s">
        <v>10597</v>
      </c>
      <c r="C6504" s="450" t="s">
        <v>10598</v>
      </c>
      <c r="D6504" s="450"/>
      <c r="E6504" s="450"/>
      <c r="F6504" s="450"/>
      <c r="G6504" s="450" t="s">
        <v>22877</v>
      </c>
      <c r="H6504" s="450" t="s">
        <v>22878</v>
      </c>
      <c r="I6504" s="450" t="s">
        <v>26633</v>
      </c>
      <c r="J6504" s="450" t="s">
        <v>26634</v>
      </c>
      <c r="K6504" s="450"/>
    </row>
    <row r="6505" spans="1:11">
      <c r="A6505" s="451" t="s">
        <v>10599</v>
      </c>
      <c r="B6505" s="451" t="s">
        <v>21798</v>
      </c>
      <c r="C6505" s="451" t="s">
        <v>10600</v>
      </c>
      <c r="D6505" s="451"/>
      <c r="E6505" s="451"/>
      <c r="F6505" s="451"/>
      <c r="G6505" s="451" t="s">
        <v>22877</v>
      </c>
      <c r="H6505" s="451" t="s">
        <v>22878</v>
      </c>
      <c r="I6505" s="451" t="s">
        <v>26617</v>
      </c>
      <c r="J6505" s="451" t="s">
        <v>31689</v>
      </c>
      <c r="K6505" s="451"/>
    </row>
    <row r="6506" spans="1:11">
      <c r="A6506" s="450" t="s">
        <v>10601</v>
      </c>
      <c r="B6506" s="450"/>
      <c r="C6506" s="450" t="s">
        <v>7055</v>
      </c>
      <c r="D6506" s="450"/>
      <c r="E6506" s="450"/>
      <c r="F6506" s="450"/>
      <c r="G6506" s="450" t="s">
        <v>22882</v>
      </c>
      <c r="H6506" s="450" t="s">
        <v>22883</v>
      </c>
      <c r="I6506" s="450" t="s">
        <v>36278</v>
      </c>
      <c r="J6506" s="450" t="s">
        <v>22997</v>
      </c>
      <c r="K6506" s="450"/>
    </row>
    <row r="6507" spans="1:11">
      <c r="A6507" s="451" t="s">
        <v>10602</v>
      </c>
      <c r="B6507" s="451"/>
      <c r="C6507" s="451" t="s">
        <v>10603</v>
      </c>
      <c r="D6507" s="451"/>
      <c r="E6507" s="451"/>
      <c r="F6507" s="451"/>
      <c r="G6507" s="451" t="s">
        <v>22877</v>
      </c>
      <c r="H6507" s="451" t="s">
        <v>22878</v>
      </c>
      <c r="I6507" s="451" t="s">
        <v>26636</v>
      </c>
      <c r="J6507" s="451" t="s">
        <v>22939</v>
      </c>
      <c r="K6507" s="451"/>
    </row>
    <row r="6508" spans="1:11">
      <c r="A6508" s="450" t="s">
        <v>26635</v>
      </c>
      <c r="B6508" s="450"/>
      <c r="C6508" s="450" t="s">
        <v>10603</v>
      </c>
      <c r="D6508" s="450"/>
      <c r="E6508" s="450"/>
      <c r="F6508" s="450"/>
      <c r="G6508" s="450" t="s">
        <v>22877</v>
      </c>
      <c r="H6508" s="450" t="s">
        <v>22878</v>
      </c>
      <c r="I6508" s="450" t="s">
        <v>26636</v>
      </c>
      <c r="J6508" s="450" t="s">
        <v>23121</v>
      </c>
      <c r="K6508" s="450"/>
    </row>
    <row r="6509" spans="1:11">
      <c r="A6509" s="451" t="s">
        <v>26637</v>
      </c>
      <c r="B6509" s="451" t="s">
        <v>22424</v>
      </c>
      <c r="C6509" s="451" t="s">
        <v>26631</v>
      </c>
      <c r="D6509" s="451"/>
      <c r="E6509" s="451"/>
      <c r="F6509" s="451"/>
      <c r="G6509" s="451" t="s">
        <v>22877</v>
      </c>
      <c r="H6509" s="451" t="s">
        <v>22878</v>
      </c>
      <c r="I6509" s="451" t="s">
        <v>24090</v>
      </c>
      <c r="J6509" s="451" t="s">
        <v>24091</v>
      </c>
      <c r="K6509" s="451"/>
    </row>
    <row r="6510" spans="1:11">
      <c r="A6510" s="450" t="s">
        <v>10604</v>
      </c>
      <c r="B6510" s="450"/>
      <c r="C6510" s="450" t="s">
        <v>10605</v>
      </c>
      <c r="D6510" s="450"/>
      <c r="E6510" s="450"/>
      <c r="F6510" s="450"/>
      <c r="G6510" s="450" t="s">
        <v>22877</v>
      </c>
      <c r="H6510" s="450" t="s">
        <v>22878</v>
      </c>
      <c r="I6510" s="450" t="s">
        <v>36279</v>
      </c>
      <c r="J6510" s="450" t="s">
        <v>36280</v>
      </c>
      <c r="K6510" s="450"/>
    </row>
    <row r="6511" spans="1:11">
      <c r="A6511" s="451" t="s">
        <v>36281</v>
      </c>
      <c r="B6511" s="451"/>
      <c r="C6511" s="451" t="s">
        <v>10605</v>
      </c>
      <c r="D6511" s="451"/>
      <c r="E6511" s="451"/>
      <c r="F6511" s="451"/>
      <c r="G6511" s="451" t="s">
        <v>22877</v>
      </c>
      <c r="H6511" s="451" t="s">
        <v>22878</v>
      </c>
      <c r="I6511" s="451" t="s">
        <v>36279</v>
      </c>
      <c r="J6511" s="451" t="s">
        <v>22997</v>
      </c>
      <c r="K6511" s="451"/>
    </row>
    <row r="6512" spans="1:11">
      <c r="A6512" s="450" t="s">
        <v>36282</v>
      </c>
      <c r="B6512" s="450"/>
      <c r="C6512" s="450" t="s">
        <v>9584</v>
      </c>
      <c r="D6512" s="450"/>
      <c r="E6512" s="450"/>
      <c r="F6512" s="450"/>
      <c r="G6512" s="450" t="s">
        <v>22882</v>
      </c>
      <c r="H6512" s="450" t="s">
        <v>22883</v>
      </c>
      <c r="I6512" s="450"/>
      <c r="J6512" s="450" t="s">
        <v>22939</v>
      </c>
      <c r="K6512" s="450"/>
    </row>
    <row r="6513" spans="1:11">
      <c r="A6513" s="451" t="s">
        <v>10606</v>
      </c>
      <c r="B6513" s="451"/>
      <c r="C6513" s="451" t="s">
        <v>3684</v>
      </c>
      <c r="D6513" s="451"/>
      <c r="E6513" s="451"/>
      <c r="F6513" s="451"/>
      <c r="G6513" s="451" t="s">
        <v>22877</v>
      </c>
      <c r="H6513" s="451" t="s">
        <v>22878</v>
      </c>
      <c r="I6513" s="451" t="s">
        <v>26638</v>
      </c>
      <c r="J6513" s="451" t="s">
        <v>22939</v>
      </c>
      <c r="K6513" s="451"/>
    </row>
    <row r="6514" spans="1:11">
      <c r="A6514" s="450" t="s">
        <v>26639</v>
      </c>
      <c r="B6514" s="450" t="s">
        <v>26640</v>
      </c>
      <c r="C6514" s="450" t="s">
        <v>26641</v>
      </c>
      <c r="D6514" s="450"/>
      <c r="E6514" s="450"/>
      <c r="F6514" s="450"/>
      <c r="G6514" s="450" t="s">
        <v>22877</v>
      </c>
      <c r="H6514" s="450" t="s">
        <v>22878</v>
      </c>
      <c r="I6514" s="450" t="s">
        <v>26642</v>
      </c>
      <c r="J6514" s="450" t="s">
        <v>26643</v>
      </c>
      <c r="K6514" s="450"/>
    </row>
    <row r="6515" spans="1:11">
      <c r="A6515" s="451" t="s">
        <v>21260</v>
      </c>
      <c r="B6515" s="451" t="s">
        <v>21259</v>
      </c>
      <c r="C6515" s="451" t="s">
        <v>21261</v>
      </c>
      <c r="D6515" s="451" t="s">
        <v>21262</v>
      </c>
      <c r="E6515" s="451"/>
      <c r="F6515" s="451"/>
      <c r="G6515" s="451" t="s">
        <v>22877</v>
      </c>
      <c r="H6515" s="451" t="s">
        <v>22878</v>
      </c>
      <c r="I6515" s="451" t="s">
        <v>31690</v>
      </c>
      <c r="J6515" s="451" t="s">
        <v>31691</v>
      </c>
      <c r="K6515" s="451"/>
    </row>
    <row r="6516" spans="1:11">
      <c r="A6516" s="450" t="s">
        <v>36283</v>
      </c>
      <c r="B6516" s="450" t="s">
        <v>10608</v>
      </c>
      <c r="C6516" s="450" t="s">
        <v>10609</v>
      </c>
      <c r="D6516" s="450"/>
      <c r="E6516" s="450"/>
      <c r="F6516" s="450"/>
      <c r="G6516" s="450" t="s">
        <v>22877</v>
      </c>
      <c r="H6516" s="450" t="s">
        <v>22878</v>
      </c>
      <c r="I6516" s="450" t="s">
        <v>26644</v>
      </c>
      <c r="J6516" s="450" t="s">
        <v>36284</v>
      </c>
      <c r="K6516" s="450"/>
    </row>
    <row r="6517" spans="1:11">
      <c r="A6517" s="451" t="s">
        <v>10607</v>
      </c>
      <c r="B6517" s="451" t="s">
        <v>10608</v>
      </c>
      <c r="C6517" s="451" t="s">
        <v>10609</v>
      </c>
      <c r="D6517" s="451"/>
      <c r="E6517" s="451"/>
      <c r="F6517" s="451"/>
      <c r="G6517" s="451" t="s">
        <v>22877</v>
      </c>
      <c r="H6517" s="451" t="s">
        <v>22878</v>
      </c>
      <c r="I6517" s="451" t="s">
        <v>26644</v>
      </c>
      <c r="J6517" s="451" t="s">
        <v>31692</v>
      </c>
      <c r="K6517" s="451"/>
    </row>
    <row r="6518" spans="1:11">
      <c r="A6518" s="450" t="s">
        <v>10610</v>
      </c>
      <c r="B6518" s="450"/>
      <c r="C6518" s="450" t="s">
        <v>10611</v>
      </c>
      <c r="D6518" s="450"/>
      <c r="E6518" s="450"/>
      <c r="F6518" s="450"/>
      <c r="G6518" s="450" t="s">
        <v>22882</v>
      </c>
      <c r="H6518" s="450" t="s">
        <v>22883</v>
      </c>
      <c r="I6518" s="450" t="s">
        <v>36285</v>
      </c>
      <c r="J6518" s="450" t="s">
        <v>22997</v>
      </c>
      <c r="K6518" s="450"/>
    </row>
    <row r="6519" spans="1:11">
      <c r="A6519" s="451" t="s">
        <v>36286</v>
      </c>
      <c r="B6519" s="451"/>
      <c r="C6519" s="451" t="s">
        <v>7897</v>
      </c>
      <c r="D6519" s="451"/>
      <c r="E6519" s="451"/>
      <c r="F6519" s="451"/>
      <c r="G6519" s="451" t="s">
        <v>22877</v>
      </c>
      <c r="H6519" s="451" t="s">
        <v>22878</v>
      </c>
      <c r="I6519" s="451" t="s">
        <v>26645</v>
      </c>
      <c r="J6519" s="451" t="s">
        <v>22943</v>
      </c>
      <c r="K6519" s="451"/>
    </row>
    <row r="6520" spans="1:11">
      <c r="A6520" s="450" t="s">
        <v>10612</v>
      </c>
      <c r="B6520" s="450"/>
      <c r="C6520" s="450" t="s">
        <v>7897</v>
      </c>
      <c r="D6520" s="450"/>
      <c r="E6520" s="450"/>
      <c r="F6520" s="450"/>
      <c r="G6520" s="450" t="s">
        <v>22877</v>
      </c>
      <c r="H6520" s="450" t="s">
        <v>22878</v>
      </c>
      <c r="I6520" s="450" t="s">
        <v>26645</v>
      </c>
      <c r="J6520" s="450" t="s">
        <v>22939</v>
      </c>
      <c r="K6520" s="450"/>
    </row>
    <row r="6521" spans="1:11">
      <c r="A6521" s="451" t="s">
        <v>21013</v>
      </c>
      <c r="B6521" s="451" t="s">
        <v>26646</v>
      </c>
      <c r="C6521" s="451" t="s">
        <v>26647</v>
      </c>
      <c r="D6521" s="451"/>
      <c r="E6521" s="451"/>
      <c r="F6521" s="451"/>
      <c r="G6521" s="451" t="s">
        <v>22877</v>
      </c>
      <c r="H6521" s="451" t="s">
        <v>22878</v>
      </c>
      <c r="I6521" s="451" t="s">
        <v>26648</v>
      </c>
      <c r="J6521" s="451" t="s">
        <v>26649</v>
      </c>
      <c r="K6521" s="451"/>
    </row>
    <row r="6522" spans="1:11">
      <c r="A6522" s="450" t="s">
        <v>21013</v>
      </c>
      <c r="B6522" s="450" t="s">
        <v>21014</v>
      </c>
      <c r="C6522" s="450" t="s">
        <v>21015</v>
      </c>
      <c r="D6522" s="450" t="s">
        <v>21016</v>
      </c>
      <c r="E6522" s="450"/>
      <c r="F6522" s="450"/>
      <c r="G6522" s="450" t="s">
        <v>22877</v>
      </c>
      <c r="H6522" s="450" t="s">
        <v>22878</v>
      </c>
      <c r="I6522" s="450" t="s">
        <v>21016</v>
      </c>
      <c r="J6522" s="450" t="s">
        <v>21014</v>
      </c>
      <c r="K6522" s="450"/>
    </row>
    <row r="6523" spans="1:11">
      <c r="A6523" s="451" t="s">
        <v>36287</v>
      </c>
      <c r="B6523" s="451"/>
      <c r="C6523" s="451" t="s">
        <v>10614</v>
      </c>
      <c r="D6523" s="451"/>
      <c r="E6523" s="451"/>
      <c r="F6523" s="451"/>
      <c r="G6523" s="451" t="s">
        <v>22882</v>
      </c>
      <c r="H6523" s="451" t="s">
        <v>22883</v>
      </c>
      <c r="I6523" s="451" t="s">
        <v>36288</v>
      </c>
      <c r="J6523" s="451" t="s">
        <v>22943</v>
      </c>
      <c r="K6523" s="451"/>
    </row>
    <row r="6524" spans="1:11">
      <c r="A6524" s="450" t="s">
        <v>10613</v>
      </c>
      <c r="B6524" s="450"/>
      <c r="C6524" s="450" t="s">
        <v>10614</v>
      </c>
      <c r="D6524" s="450"/>
      <c r="E6524" s="450"/>
      <c r="F6524" s="450"/>
      <c r="G6524" s="450" t="s">
        <v>22882</v>
      </c>
      <c r="H6524" s="450" t="s">
        <v>22883</v>
      </c>
      <c r="I6524" s="450" t="s">
        <v>36289</v>
      </c>
      <c r="J6524" s="450" t="s">
        <v>22939</v>
      </c>
      <c r="K6524" s="450"/>
    </row>
    <row r="6525" spans="1:11">
      <c r="A6525" s="451" t="s">
        <v>36290</v>
      </c>
      <c r="B6525" s="451"/>
      <c r="C6525" s="451" t="s">
        <v>10616</v>
      </c>
      <c r="D6525" s="451"/>
      <c r="E6525" s="451"/>
      <c r="F6525" s="451"/>
      <c r="G6525" s="451" t="s">
        <v>22877</v>
      </c>
      <c r="H6525" s="451" t="s">
        <v>22878</v>
      </c>
      <c r="I6525" s="451" t="s">
        <v>36291</v>
      </c>
      <c r="J6525" s="451" t="s">
        <v>22943</v>
      </c>
      <c r="K6525" s="451"/>
    </row>
    <row r="6526" spans="1:11">
      <c r="A6526" s="450" t="s">
        <v>10615</v>
      </c>
      <c r="B6526" s="450"/>
      <c r="C6526" s="450" t="s">
        <v>10616</v>
      </c>
      <c r="D6526" s="450"/>
      <c r="E6526" s="450"/>
      <c r="F6526" s="450"/>
      <c r="G6526" s="450" t="s">
        <v>22882</v>
      </c>
      <c r="H6526" s="450" t="s">
        <v>22883</v>
      </c>
      <c r="I6526" s="450"/>
      <c r="J6526" s="450" t="s">
        <v>22942</v>
      </c>
      <c r="K6526" s="450"/>
    </row>
    <row r="6527" spans="1:11">
      <c r="A6527" s="451" t="s">
        <v>10617</v>
      </c>
      <c r="B6527" s="451"/>
      <c r="C6527" s="451" t="s">
        <v>10618</v>
      </c>
      <c r="D6527" s="451"/>
      <c r="E6527" s="451"/>
      <c r="F6527" s="451"/>
      <c r="G6527" s="451" t="s">
        <v>22882</v>
      </c>
      <c r="H6527" s="451" t="s">
        <v>22883</v>
      </c>
      <c r="I6527" s="451" t="s">
        <v>36292</v>
      </c>
      <c r="J6527" s="451" t="s">
        <v>22997</v>
      </c>
      <c r="K6527" s="451"/>
    </row>
    <row r="6528" spans="1:11">
      <c r="A6528" s="450" t="s">
        <v>36293</v>
      </c>
      <c r="B6528" s="450"/>
      <c r="C6528" s="450" t="s">
        <v>10620</v>
      </c>
      <c r="D6528" s="450"/>
      <c r="E6528" s="450"/>
      <c r="F6528" s="450"/>
      <c r="G6528" s="450" t="s">
        <v>22882</v>
      </c>
      <c r="H6528" s="450" t="s">
        <v>22883</v>
      </c>
      <c r="I6528" s="450" t="s">
        <v>36294</v>
      </c>
      <c r="J6528" s="450" t="s">
        <v>22997</v>
      </c>
      <c r="K6528" s="450"/>
    </row>
    <row r="6529" spans="1:11">
      <c r="A6529" s="451" t="s">
        <v>10619</v>
      </c>
      <c r="B6529" s="451"/>
      <c r="C6529" s="451" t="s">
        <v>10620</v>
      </c>
      <c r="D6529" s="451"/>
      <c r="E6529" s="451"/>
      <c r="F6529" s="451"/>
      <c r="G6529" s="451" t="s">
        <v>22882</v>
      </c>
      <c r="H6529" s="451" t="s">
        <v>22883</v>
      </c>
      <c r="I6529" s="451"/>
      <c r="J6529" s="451" t="s">
        <v>23190</v>
      </c>
      <c r="K6529" s="451"/>
    </row>
    <row r="6530" spans="1:11">
      <c r="A6530" s="450" t="s">
        <v>10621</v>
      </c>
      <c r="B6530" s="450"/>
      <c r="C6530" s="450" t="s">
        <v>10622</v>
      </c>
      <c r="D6530" s="450"/>
      <c r="E6530" s="450"/>
      <c r="F6530" s="450"/>
      <c r="G6530" s="450" t="s">
        <v>22877</v>
      </c>
      <c r="H6530" s="450" t="s">
        <v>22878</v>
      </c>
      <c r="I6530" s="450" t="s">
        <v>36295</v>
      </c>
      <c r="J6530" s="450" t="s">
        <v>23133</v>
      </c>
      <c r="K6530" s="450"/>
    </row>
    <row r="6531" spans="1:11">
      <c r="A6531" s="451" t="s">
        <v>10623</v>
      </c>
      <c r="B6531" s="451"/>
      <c r="C6531" s="451" t="s">
        <v>3643</v>
      </c>
      <c r="D6531" s="451"/>
      <c r="E6531" s="451"/>
      <c r="F6531" s="451"/>
      <c r="G6531" s="451" t="s">
        <v>22877</v>
      </c>
      <c r="H6531" s="451" t="s">
        <v>22878</v>
      </c>
      <c r="I6531" s="451" t="s">
        <v>26650</v>
      </c>
      <c r="J6531" s="451" t="s">
        <v>22943</v>
      </c>
      <c r="K6531" s="451"/>
    </row>
    <row r="6532" spans="1:11">
      <c r="A6532" s="450" t="s">
        <v>36296</v>
      </c>
      <c r="B6532" s="450" t="s">
        <v>10625</v>
      </c>
      <c r="C6532" s="450" t="s">
        <v>4073</v>
      </c>
      <c r="D6532" s="450" t="s">
        <v>10626</v>
      </c>
      <c r="E6532" s="450"/>
      <c r="F6532" s="450"/>
      <c r="G6532" s="450" t="s">
        <v>22882</v>
      </c>
      <c r="H6532" s="450" t="s">
        <v>22883</v>
      </c>
      <c r="I6532" s="450" t="s">
        <v>10626</v>
      </c>
      <c r="J6532" s="450" t="s">
        <v>36297</v>
      </c>
      <c r="K6532" s="450"/>
    </row>
    <row r="6533" spans="1:11">
      <c r="A6533" s="451" t="s">
        <v>10624</v>
      </c>
      <c r="B6533" s="451" t="s">
        <v>10625</v>
      </c>
      <c r="C6533" s="451" t="s">
        <v>4073</v>
      </c>
      <c r="D6533" s="451" t="s">
        <v>10626</v>
      </c>
      <c r="E6533" s="451" t="s">
        <v>10627</v>
      </c>
      <c r="F6533" s="451"/>
      <c r="G6533" s="451" t="s">
        <v>22882</v>
      </c>
      <c r="H6533" s="451" t="s">
        <v>22883</v>
      </c>
      <c r="I6533" s="451" t="s">
        <v>31693</v>
      </c>
      <c r="J6533" s="451" t="s">
        <v>31694</v>
      </c>
      <c r="K6533" s="451"/>
    </row>
    <row r="6534" spans="1:11">
      <c r="A6534" s="450" t="s">
        <v>26651</v>
      </c>
      <c r="B6534" s="450" t="s">
        <v>26652</v>
      </c>
      <c r="C6534" s="450" t="s">
        <v>26653</v>
      </c>
      <c r="D6534" s="450"/>
      <c r="E6534" s="450"/>
      <c r="F6534" s="450"/>
      <c r="G6534" s="450" t="s">
        <v>22877</v>
      </c>
      <c r="H6534" s="450" t="s">
        <v>22878</v>
      </c>
      <c r="I6534" s="450" t="s">
        <v>26654</v>
      </c>
      <c r="J6534" s="450" t="s">
        <v>26655</v>
      </c>
      <c r="K6534" s="450"/>
    </row>
    <row r="6535" spans="1:11">
      <c r="A6535" s="451" t="s">
        <v>10628</v>
      </c>
      <c r="B6535" s="451"/>
      <c r="C6535" s="451" t="s">
        <v>10629</v>
      </c>
      <c r="D6535" s="451"/>
      <c r="E6535" s="451"/>
      <c r="F6535" s="451"/>
      <c r="G6535" s="451" t="s">
        <v>22877</v>
      </c>
      <c r="H6535" s="451" t="s">
        <v>22878</v>
      </c>
      <c r="I6535" s="451" t="s">
        <v>36298</v>
      </c>
      <c r="J6535" s="451" t="s">
        <v>23370</v>
      </c>
      <c r="K6535" s="451"/>
    </row>
    <row r="6536" spans="1:11">
      <c r="A6536" s="450" t="s">
        <v>10630</v>
      </c>
      <c r="B6536" s="450"/>
      <c r="C6536" s="450" t="s">
        <v>10631</v>
      </c>
      <c r="D6536" s="450"/>
      <c r="E6536" s="450"/>
      <c r="F6536" s="450"/>
      <c r="G6536" s="450" t="s">
        <v>22882</v>
      </c>
      <c r="H6536" s="450" t="s">
        <v>22883</v>
      </c>
      <c r="I6536" s="450" t="s">
        <v>36299</v>
      </c>
      <c r="J6536" s="450" t="s">
        <v>36300</v>
      </c>
      <c r="K6536" s="450"/>
    </row>
    <row r="6537" spans="1:11">
      <c r="A6537" s="451" t="s">
        <v>10632</v>
      </c>
      <c r="B6537" s="451"/>
      <c r="C6537" s="451" t="s">
        <v>1150</v>
      </c>
      <c r="D6537" s="451"/>
      <c r="E6537" s="451"/>
      <c r="F6537" s="451"/>
      <c r="G6537" s="451" t="s">
        <v>22882</v>
      </c>
      <c r="H6537" s="451" t="s">
        <v>22883</v>
      </c>
      <c r="I6537" s="451"/>
      <c r="J6537" s="451" t="s">
        <v>22997</v>
      </c>
      <c r="K6537" s="451"/>
    </row>
    <row r="6538" spans="1:11">
      <c r="A6538" s="450" t="s">
        <v>10633</v>
      </c>
      <c r="B6538" s="450"/>
      <c r="C6538" s="450" t="s">
        <v>10634</v>
      </c>
      <c r="D6538" s="450"/>
      <c r="E6538" s="450"/>
      <c r="F6538" s="450"/>
      <c r="G6538" s="450" t="s">
        <v>22877</v>
      </c>
      <c r="H6538" s="450" t="s">
        <v>22878</v>
      </c>
      <c r="I6538" s="450" t="s">
        <v>36301</v>
      </c>
      <c r="J6538" s="450" t="s">
        <v>22939</v>
      </c>
      <c r="K6538" s="450"/>
    </row>
    <row r="6539" spans="1:11">
      <c r="A6539" s="451" t="s">
        <v>36302</v>
      </c>
      <c r="B6539" s="451"/>
      <c r="C6539" s="451" t="s">
        <v>10634</v>
      </c>
      <c r="D6539" s="451"/>
      <c r="E6539" s="451"/>
      <c r="F6539" s="451"/>
      <c r="G6539" s="451" t="s">
        <v>22882</v>
      </c>
      <c r="H6539" s="451" t="s">
        <v>22883</v>
      </c>
      <c r="I6539" s="451" t="s">
        <v>36301</v>
      </c>
      <c r="J6539" s="451" t="s">
        <v>22997</v>
      </c>
      <c r="K6539" s="451"/>
    </row>
    <row r="6540" spans="1:11">
      <c r="A6540" s="450" t="s">
        <v>26656</v>
      </c>
      <c r="B6540" s="450"/>
      <c r="C6540" s="450" t="s">
        <v>1150</v>
      </c>
      <c r="D6540" s="450"/>
      <c r="E6540" s="450"/>
      <c r="F6540" s="450"/>
      <c r="G6540" s="450" t="s">
        <v>22882</v>
      </c>
      <c r="H6540" s="450" t="s">
        <v>22883</v>
      </c>
      <c r="I6540" s="450"/>
      <c r="J6540" s="450" t="s">
        <v>22943</v>
      </c>
      <c r="K6540" s="450"/>
    </row>
    <row r="6541" spans="1:11">
      <c r="A6541" s="451" t="s">
        <v>26657</v>
      </c>
      <c r="B6541" s="451" t="s">
        <v>26658</v>
      </c>
      <c r="C6541" s="451" t="s">
        <v>26659</v>
      </c>
      <c r="D6541" s="451"/>
      <c r="E6541" s="451"/>
      <c r="F6541" s="451"/>
      <c r="G6541" s="451" t="s">
        <v>22877</v>
      </c>
      <c r="H6541" s="451" t="s">
        <v>22878</v>
      </c>
      <c r="I6541" s="451" t="s">
        <v>26660</v>
      </c>
      <c r="J6541" s="451" t="s">
        <v>26661</v>
      </c>
      <c r="K6541" s="451"/>
    </row>
    <row r="6542" spans="1:11">
      <c r="A6542" s="450" t="s">
        <v>10635</v>
      </c>
      <c r="B6542" s="450"/>
      <c r="C6542" s="450" t="s">
        <v>10636</v>
      </c>
      <c r="D6542" s="450"/>
      <c r="E6542" s="450"/>
      <c r="F6542" s="450"/>
      <c r="G6542" s="450" t="s">
        <v>22877</v>
      </c>
      <c r="H6542" s="450" t="s">
        <v>22878</v>
      </c>
      <c r="I6542" s="450" t="s">
        <v>26662</v>
      </c>
      <c r="J6542" s="450" t="s">
        <v>23121</v>
      </c>
      <c r="K6542" s="450"/>
    </row>
    <row r="6543" spans="1:11">
      <c r="A6543" s="451" t="s">
        <v>20489</v>
      </c>
      <c r="B6543" s="451" t="s">
        <v>36303</v>
      </c>
      <c r="C6543" s="451" t="s">
        <v>36304</v>
      </c>
      <c r="D6543" s="451" t="s">
        <v>26663</v>
      </c>
      <c r="E6543" s="451"/>
      <c r="F6543" s="451"/>
      <c r="G6543" s="451" t="s">
        <v>22877</v>
      </c>
      <c r="H6543" s="451" t="s">
        <v>22878</v>
      </c>
      <c r="I6543" s="451" t="s">
        <v>26663</v>
      </c>
      <c r="J6543" s="451" t="s">
        <v>36305</v>
      </c>
      <c r="K6543" s="451"/>
    </row>
    <row r="6544" spans="1:11">
      <c r="A6544" s="450" t="s">
        <v>20489</v>
      </c>
      <c r="B6544" s="450" t="s">
        <v>20488</v>
      </c>
      <c r="C6544" s="450" t="s">
        <v>20490</v>
      </c>
      <c r="D6544" s="450" t="s">
        <v>20491</v>
      </c>
      <c r="E6544" s="450"/>
      <c r="F6544" s="450"/>
      <c r="G6544" s="450" t="s">
        <v>22877</v>
      </c>
      <c r="H6544" s="450" t="s">
        <v>22878</v>
      </c>
      <c r="I6544" s="450" t="s">
        <v>26663</v>
      </c>
      <c r="J6544" s="450" t="s">
        <v>31695</v>
      </c>
      <c r="K6544" s="450"/>
    </row>
    <row r="6545" spans="1:11">
      <c r="A6545" s="451" t="s">
        <v>10637</v>
      </c>
      <c r="B6545" s="451" t="s">
        <v>10638</v>
      </c>
      <c r="C6545" s="451" t="s">
        <v>10639</v>
      </c>
      <c r="D6545" s="451" t="s">
        <v>10640</v>
      </c>
      <c r="E6545" s="451"/>
      <c r="F6545" s="451"/>
      <c r="G6545" s="451" t="s">
        <v>22877</v>
      </c>
      <c r="H6545" s="451" t="s">
        <v>22878</v>
      </c>
      <c r="I6545" s="451" t="s">
        <v>26664</v>
      </c>
      <c r="J6545" s="451" t="s">
        <v>26665</v>
      </c>
      <c r="K6545" s="451"/>
    </row>
    <row r="6546" spans="1:11">
      <c r="A6546" s="450" t="s">
        <v>10637</v>
      </c>
      <c r="B6546" s="450" t="s">
        <v>10638</v>
      </c>
      <c r="C6546" s="450" t="s">
        <v>10639</v>
      </c>
      <c r="D6546" s="450" t="s">
        <v>10640</v>
      </c>
      <c r="E6546" s="450" t="s">
        <v>10641</v>
      </c>
      <c r="F6546" s="450"/>
      <c r="G6546" s="450" t="s">
        <v>22877</v>
      </c>
      <c r="H6546" s="450" t="s">
        <v>22878</v>
      </c>
      <c r="I6546" s="450" t="s">
        <v>26666</v>
      </c>
      <c r="J6546" s="450" t="s">
        <v>36306</v>
      </c>
      <c r="K6546" s="450"/>
    </row>
    <row r="6547" spans="1:11">
      <c r="A6547" s="451" t="s">
        <v>10642</v>
      </c>
      <c r="B6547" s="451"/>
      <c r="C6547" s="451" t="s">
        <v>10643</v>
      </c>
      <c r="D6547" s="451"/>
      <c r="E6547" s="451"/>
      <c r="F6547" s="451"/>
      <c r="G6547" s="451" t="s">
        <v>22877</v>
      </c>
      <c r="H6547" s="451" t="s">
        <v>22878</v>
      </c>
      <c r="I6547" s="451" t="s">
        <v>26666</v>
      </c>
      <c r="J6547" s="451" t="s">
        <v>22939</v>
      </c>
      <c r="K6547" s="451"/>
    </row>
    <row r="6548" spans="1:11">
      <c r="A6548" s="450" t="s">
        <v>10644</v>
      </c>
      <c r="B6548" s="450" t="s">
        <v>36307</v>
      </c>
      <c r="C6548" s="450" t="s">
        <v>10646</v>
      </c>
      <c r="D6548" s="450"/>
      <c r="E6548" s="450"/>
      <c r="F6548" s="450"/>
      <c r="G6548" s="450" t="s">
        <v>22877</v>
      </c>
      <c r="H6548" s="450" t="s">
        <v>22878</v>
      </c>
      <c r="I6548" s="450" t="s">
        <v>26667</v>
      </c>
      <c r="J6548" s="450" t="s">
        <v>36308</v>
      </c>
      <c r="K6548" s="450"/>
    </row>
    <row r="6549" spans="1:11">
      <c r="A6549" s="451" t="s">
        <v>10644</v>
      </c>
      <c r="B6549" s="451" t="s">
        <v>10645</v>
      </c>
      <c r="C6549" s="451" t="s">
        <v>10646</v>
      </c>
      <c r="D6549" s="451"/>
      <c r="E6549" s="451"/>
      <c r="F6549" s="451"/>
      <c r="G6549" s="451" t="s">
        <v>22877</v>
      </c>
      <c r="H6549" s="451" t="s">
        <v>22878</v>
      </c>
      <c r="I6549" s="451" t="s">
        <v>26667</v>
      </c>
      <c r="J6549" s="451" t="s">
        <v>31696</v>
      </c>
      <c r="K6549" s="451"/>
    </row>
    <row r="6550" spans="1:11">
      <c r="A6550" s="450" t="s">
        <v>10647</v>
      </c>
      <c r="B6550" s="450" t="s">
        <v>10648</v>
      </c>
      <c r="C6550" s="450" t="s">
        <v>7258</v>
      </c>
      <c r="D6550" s="450"/>
      <c r="E6550" s="450"/>
      <c r="F6550" s="450"/>
      <c r="G6550" s="450" t="s">
        <v>22882</v>
      </c>
      <c r="H6550" s="450" t="s">
        <v>22883</v>
      </c>
      <c r="I6550" s="450"/>
      <c r="J6550" s="450" t="s">
        <v>26668</v>
      </c>
      <c r="K6550" s="450"/>
    </row>
    <row r="6551" spans="1:11">
      <c r="A6551" s="451" t="s">
        <v>10649</v>
      </c>
      <c r="B6551" s="451"/>
      <c r="C6551" s="451" t="s">
        <v>10650</v>
      </c>
      <c r="D6551" s="451"/>
      <c r="E6551" s="451"/>
      <c r="F6551" s="451"/>
      <c r="G6551" s="451" t="s">
        <v>22877</v>
      </c>
      <c r="H6551" s="451" t="s">
        <v>22878</v>
      </c>
      <c r="I6551" s="451" t="s">
        <v>36309</v>
      </c>
      <c r="J6551" s="451" t="s">
        <v>22997</v>
      </c>
      <c r="K6551" s="451"/>
    </row>
    <row r="6552" spans="1:11">
      <c r="A6552" s="450" t="s">
        <v>10651</v>
      </c>
      <c r="B6552" s="450"/>
      <c r="C6552" s="450" t="s">
        <v>10652</v>
      </c>
      <c r="D6552" s="450"/>
      <c r="E6552" s="450"/>
      <c r="F6552" s="450"/>
      <c r="G6552" s="450" t="s">
        <v>22882</v>
      </c>
      <c r="H6552" s="450" t="s">
        <v>22883</v>
      </c>
      <c r="I6552" s="450"/>
      <c r="J6552" s="450" t="s">
        <v>22997</v>
      </c>
      <c r="K6552" s="450"/>
    </row>
    <row r="6553" spans="1:11">
      <c r="A6553" s="451" t="s">
        <v>10653</v>
      </c>
      <c r="B6553" s="451" t="s">
        <v>26669</v>
      </c>
      <c r="C6553" s="451" t="s">
        <v>26670</v>
      </c>
      <c r="D6553" s="451"/>
      <c r="E6553" s="451"/>
      <c r="F6553" s="451"/>
      <c r="G6553" s="451" t="s">
        <v>22877</v>
      </c>
      <c r="H6553" s="451" t="s">
        <v>22878</v>
      </c>
      <c r="I6553" s="451" t="s">
        <v>26671</v>
      </c>
      <c r="J6553" s="451" t="s">
        <v>26672</v>
      </c>
      <c r="K6553" s="451"/>
    </row>
    <row r="6554" spans="1:11">
      <c r="A6554" s="450" t="s">
        <v>10653</v>
      </c>
      <c r="B6554" s="450"/>
      <c r="C6554" s="450" t="s">
        <v>10654</v>
      </c>
      <c r="D6554" s="450"/>
      <c r="E6554" s="450"/>
      <c r="F6554" s="450"/>
      <c r="G6554" s="450" t="s">
        <v>22877</v>
      </c>
      <c r="H6554" s="450" t="s">
        <v>22878</v>
      </c>
      <c r="I6554" s="450" t="s">
        <v>31697</v>
      </c>
      <c r="J6554" s="450" t="s">
        <v>22937</v>
      </c>
      <c r="K6554" s="450"/>
    </row>
    <row r="6555" spans="1:11">
      <c r="A6555" s="451" t="s">
        <v>26673</v>
      </c>
      <c r="B6555" s="451" t="s">
        <v>26674</v>
      </c>
      <c r="C6555" s="451" t="s">
        <v>26675</v>
      </c>
      <c r="D6555" s="451"/>
      <c r="E6555" s="451"/>
      <c r="F6555" s="451"/>
      <c r="G6555" s="451" t="s">
        <v>22877</v>
      </c>
      <c r="H6555" s="451" t="s">
        <v>22878</v>
      </c>
      <c r="I6555" s="451" t="s">
        <v>26676</v>
      </c>
      <c r="J6555" s="451" t="s">
        <v>26677</v>
      </c>
      <c r="K6555" s="451"/>
    </row>
    <row r="6556" spans="1:11">
      <c r="A6556" s="450" t="s">
        <v>10655</v>
      </c>
      <c r="B6556" s="450" t="s">
        <v>10656</v>
      </c>
      <c r="C6556" s="450" t="s">
        <v>10657</v>
      </c>
      <c r="D6556" s="450" t="s">
        <v>10658</v>
      </c>
      <c r="E6556" s="450"/>
      <c r="F6556" s="450"/>
      <c r="G6556" s="450" t="s">
        <v>22877</v>
      </c>
      <c r="H6556" s="450" t="s">
        <v>22878</v>
      </c>
      <c r="I6556" s="450" t="s">
        <v>26678</v>
      </c>
      <c r="J6556" s="450" t="s">
        <v>36310</v>
      </c>
      <c r="K6556" s="450"/>
    </row>
    <row r="6557" spans="1:11">
      <c r="A6557" s="451" t="s">
        <v>10655</v>
      </c>
      <c r="B6557" s="451" t="s">
        <v>10656</v>
      </c>
      <c r="C6557" s="451" t="s">
        <v>10657</v>
      </c>
      <c r="D6557" s="451" t="s">
        <v>10658</v>
      </c>
      <c r="E6557" s="451" t="s">
        <v>10659</v>
      </c>
      <c r="F6557" s="451"/>
      <c r="G6557" s="451" t="s">
        <v>22877</v>
      </c>
      <c r="H6557" s="451" t="s">
        <v>22878</v>
      </c>
      <c r="I6557" s="451" t="s">
        <v>26678</v>
      </c>
      <c r="J6557" s="451" t="s">
        <v>31698</v>
      </c>
      <c r="K6557" s="451"/>
    </row>
    <row r="6558" spans="1:11">
      <c r="A6558" s="450" t="s">
        <v>26679</v>
      </c>
      <c r="B6558" s="450" t="s">
        <v>26680</v>
      </c>
      <c r="C6558" s="450" t="s">
        <v>26681</v>
      </c>
      <c r="D6558" s="450"/>
      <c r="E6558" s="450"/>
      <c r="F6558" s="450"/>
      <c r="G6558" s="450" t="s">
        <v>22877</v>
      </c>
      <c r="H6558" s="450" t="s">
        <v>22878</v>
      </c>
      <c r="I6558" s="450" t="s">
        <v>26682</v>
      </c>
      <c r="J6558" s="450" t="s">
        <v>26683</v>
      </c>
      <c r="K6558" s="450"/>
    </row>
    <row r="6559" spans="1:11">
      <c r="A6559" s="451" t="s">
        <v>10660</v>
      </c>
      <c r="B6559" s="451"/>
      <c r="C6559" s="451" t="s">
        <v>10661</v>
      </c>
      <c r="D6559" s="451"/>
      <c r="E6559" s="451"/>
      <c r="F6559" s="451"/>
      <c r="G6559" s="451" t="s">
        <v>22882</v>
      </c>
      <c r="H6559" s="451" t="s">
        <v>22883</v>
      </c>
      <c r="I6559" s="451"/>
      <c r="J6559" s="451" t="s">
        <v>22943</v>
      </c>
      <c r="K6559" s="451"/>
    </row>
    <row r="6560" spans="1:11">
      <c r="A6560" s="450" t="s">
        <v>10662</v>
      </c>
      <c r="B6560" s="450" t="s">
        <v>10663</v>
      </c>
      <c r="C6560" s="450" t="s">
        <v>1192</v>
      </c>
      <c r="D6560" s="450"/>
      <c r="E6560" s="450"/>
      <c r="F6560" s="450"/>
      <c r="G6560" s="450" t="s">
        <v>22882</v>
      </c>
      <c r="H6560" s="450" t="s">
        <v>22883</v>
      </c>
      <c r="I6560" s="450"/>
      <c r="J6560" s="450" t="s">
        <v>26684</v>
      </c>
      <c r="K6560" s="450"/>
    </row>
    <row r="6561" spans="1:11">
      <c r="A6561" s="451" t="s">
        <v>36311</v>
      </c>
      <c r="B6561" s="451"/>
      <c r="C6561" s="451" t="s">
        <v>10665</v>
      </c>
      <c r="D6561" s="451"/>
      <c r="E6561" s="451"/>
      <c r="F6561" s="451"/>
      <c r="G6561" s="451" t="s">
        <v>22877</v>
      </c>
      <c r="H6561" s="451" t="s">
        <v>22878</v>
      </c>
      <c r="I6561" s="451" t="s">
        <v>36312</v>
      </c>
      <c r="J6561" s="451" t="s">
        <v>22939</v>
      </c>
      <c r="K6561" s="451"/>
    </row>
    <row r="6562" spans="1:11">
      <c r="A6562" s="450" t="s">
        <v>10664</v>
      </c>
      <c r="B6562" s="450"/>
      <c r="C6562" s="450" t="s">
        <v>10665</v>
      </c>
      <c r="D6562" s="450"/>
      <c r="E6562" s="450"/>
      <c r="F6562" s="450"/>
      <c r="G6562" s="450" t="s">
        <v>22877</v>
      </c>
      <c r="H6562" s="450" t="s">
        <v>22878</v>
      </c>
      <c r="I6562" s="450" t="s">
        <v>31699</v>
      </c>
      <c r="J6562" s="450" t="s">
        <v>22939</v>
      </c>
      <c r="K6562" s="450"/>
    </row>
    <row r="6563" spans="1:11">
      <c r="A6563" s="451" t="s">
        <v>10666</v>
      </c>
      <c r="B6563" s="451" t="s">
        <v>10667</v>
      </c>
      <c r="C6563" s="451" t="s">
        <v>10668</v>
      </c>
      <c r="D6563" s="451"/>
      <c r="E6563" s="451"/>
      <c r="F6563" s="451" t="s">
        <v>36313</v>
      </c>
      <c r="G6563" s="451" t="s">
        <v>22882</v>
      </c>
      <c r="H6563" s="451" t="s">
        <v>22883</v>
      </c>
      <c r="I6563" s="451"/>
      <c r="J6563" s="451" t="s">
        <v>36314</v>
      </c>
      <c r="K6563" s="451"/>
    </row>
    <row r="6564" spans="1:11">
      <c r="A6564" s="450" t="s">
        <v>10666</v>
      </c>
      <c r="B6564" s="450" t="s">
        <v>10667</v>
      </c>
      <c r="C6564" s="450" t="s">
        <v>10668</v>
      </c>
      <c r="D6564" s="450"/>
      <c r="E6564" s="450"/>
      <c r="F6564" s="450" t="s">
        <v>10669</v>
      </c>
      <c r="G6564" s="450" t="s">
        <v>22882</v>
      </c>
      <c r="H6564" s="450" t="s">
        <v>22883</v>
      </c>
      <c r="I6564" s="450"/>
      <c r="J6564" s="450" t="s">
        <v>31700</v>
      </c>
      <c r="K6564" s="450"/>
    </row>
    <row r="6565" spans="1:11">
      <c r="A6565" s="451" t="s">
        <v>10670</v>
      </c>
      <c r="B6565" s="451" t="s">
        <v>36307</v>
      </c>
      <c r="C6565" s="451" t="s">
        <v>10646</v>
      </c>
      <c r="D6565" s="451"/>
      <c r="E6565" s="451"/>
      <c r="F6565" s="451"/>
      <c r="G6565" s="451" t="s">
        <v>22877</v>
      </c>
      <c r="H6565" s="451" t="s">
        <v>22878</v>
      </c>
      <c r="I6565" s="451" t="s">
        <v>26667</v>
      </c>
      <c r="J6565" s="451" t="s">
        <v>36315</v>
      </c>
      <c r="K6565" s="451"/>
    </row>
    <row r="6566" spans="1:11">
      <c r="A6566" s="450" t="s">
        <v>10670</v>
      </c>
      <c r="B6566" s="450" t="s">
        <v>10645</v>
      </c>
      <c r="C6566" s="450" t="s">
        <v>10646</v>
      </c>
      <c r="D6566" s="450"/>
      <c r="E6566" s="450"/>
      <c r="F6566" s="450"/>
      <c r="G6566" s="450" t="s">
        <v>22877</v>
      </c>
      <c r="H6566" s="450" t="s">
        <v>22878</v>
      </c>
      <c r="I6566" s="450" t="s">
        <v>26667</v>
      </c>
      <c r="J6566" s="450" t="s">
        <v>31701</v>
      </c>
      <c r="K6566" s="450"/>
    </row>
    <row r="6567" spans="1:11">
      <c r="A6567" s="451" t="s">
        <v>21799</v>
      </c>
      <c r="B6567" s="451" t="s">
        <v>10671</v>
      </c>
      <c r="C6567" s="451" t="s">
        <v>10672</v>
      </c>
      <c r="D6567" s="451"/>
      <c r="E6567" s="451"/>
      <c r="F6567" s="451"/>
      <c r="G6567" s="451" t="s">
        <v>22877</v>
      </c>
      <c r="H6567" s="451" t="s">
        <v>22878</v>
      </c>
      <c r="I6567" s="451" t="s">
        <v>26685</v>
      </c>
      <c r="J6567" s="451" t="s">
        <v>26686</v>
      </c>
      <c r="K6567" s="451"/>
    </row>
    <row r="6568" spans="1:11">
      <c r="A6568" s="450" t="s">
        <v>21800</v>
      </c>
      <c r="B6568" s="450" t="s">
        <v>10673</v>
      </c>
      <c r="C6568" s="450" t="s">
        <v>10674</v>
      </c>
      <c r="D6568" s="450" t="s">
        <v>10675</v>
      </c>
      <c r="E6568" s="450"/>
      <c r="F6568" s="450"/>
      <c r="G6568" s="450" t="s">
        <v>22877</v>
      </c>
      <c r="H6568" s="450" t="s">
        <v>22878</v>
      </c>
      <c r="I6568" s="450" t="s">
        <v>10675</v>
      </c>
      <c r="J6568" s="450" t="s">
        <v>26687</v>
      </c>
      <c r="K6568" s="450"/>
    </row>
    <row r="6569" spans="1:11">
      <c r="A6569" s="451" t="s">
        <v>21800</v>
      </c>
      <c r="B6569" s="451" t="s">
        <v>10673</v>
      </c>
      <c r="C6569" s="451" t="s">
        <v>10674</v>
      </c>
      <c r="D6569" s="451" t="s">
        <v>10675</v>
      </c>
      <c r="E6569" s="451" t="s">
        <v>10676</v>
      </c>
      <c r="F6569" s="451"/>
      <c r="G6569" s="451" t="s">
        <v>22882</v>
      </c>
      <c r="H6569" s="451" t="s">
        <v>22883</v>
      </c>
      <c r="I6569" s="451" t="s">
        <v>10675</v>
      </c>
      <c r="J6569" s="451" t="s">
        <v>26687</v>
      </c>
      <c r="K6569" s="451"/>
    </row>
    <row r="6570" spans="1:11">
      <c r="A6570" s="450" t="s">
        <v>36316</v>
      </c>
      <c r="B6570" s="450"/>
      <c r="C6570" s="450" t="s">
        <v>10678</v>
      </c>
      <c r="D6570" s="450"/>
      <c r="E6570" s="450"/>
      <c r="F6570" s="450"/>
      <c r="G6570" s="450" t="s">
        <v>22882</v>
      </c>
      <c r="H6570" s="450" t="s">
        <v>22883</v>
      </c>
      <c r="I6570" s="450"/>
      <c r="J6570" s="450" t="s">
        <v>22943</v>
      </c>
      <c r="K6570" s="450"/>
    </row>
    <row r="6571" spans="1:11">
      <c r="A6571" s="451" t="s">
        <v>10677</v>
      </c>
      <c r="B6571" s="451"/>
      <c r="C6571" s="451" t="s">
        <v>10678</v>
      </c>
      <c r="D6571" s="451"/>
      <c r="E6571" s="451"/>
      <c r="F6571" s="451"/>
      <c r="G6571" s="451" t="s">
        <v>22882</v>
      </c>
      <c r="H6571" s="451" t="s">
        <v>22883</v>
      </c>
      <c r="I6571" s="451" t="s">
        <v>36317</v>
      </c>
      <c r="J6571" s="451" t="s">
        <v>22939</v>
      </c>
      <c r="K6571" s="451"/>
    </row>
    <row r="6572" spans="1:11">
      <c r="A6572" s="450" t="s">
        <v>10679</v>
      </c>
      <c r="B6572" s="450"/>
      <c r="C6572" s="450" t="s">
        <v>10680</v>
      </c>
      <c r="D6572" s="450"/>
      <c r="E6572" s="450"/>
      <c r="F6572" s="450"/>
      <c r="G6572" s="450" t="s">
        <v>22877</v>
      </c>
      <c r="H6572" s="450" t="s">
        <v>22878</v>
      </c>
      <c r="I6572" s="450" t="s">
        <v>36318</v>
      </c>
      <c r="J6572" s="450" t="s">
        <v>23121</v>
      </c>
      <c r="K6572" s="450"/>
    </row>
    <row r="6573" spans="1:11">
      <c r="A6573" s="451" t="s">
        <v>36319</v>
      </c>
      <c r="B6573" s="451"/>
      <c r="C6573" s="451" t="s">
        <v>10680</v>
      </c>
      <c r="D6573" s="451"/>
      <c r="E6573" s="451"/>
      <c r="F6573" s="451"/>
      <c r="G6573" s="451" t="s">
        <v>22877</v>
      </c>
      <c r="H6573" s="451" t="s">
        <v>22878</v>
      </c>
      <c r="I6573" s="451" t="s">
        <v>36318</v>
      </c>
      <c r="J6573" s="451" t="s">
        <v>22943</v>
      </c>
      <c r="K6573" s="451"/>
    </row>
    <row r="6574" spans="1:11">
      <c r="A6574" s="450" t="s">
        <v>26688</v>
      </c>
      <c r="B6574" s="450"/>
      <c r="C6574" s="450" t="s">
        <v>3643</v>
      </c>
      <c r="D6574" s="450"/>
      <c r="E6574" s="450"/>
      <c r="F6574" s="450"/>
      <c r="G6574" s="450" t="s">
        <v>22877</v>
      </c>
      <c r="H6574" s="450" t="s">
        <v>22878</v>
      </c>
      <c r="I6574" s="450" t="s">
        <v>26689</v>
      </c>
      <c r="J6574" s="450" t="s">
        <v>22943</v>
      </c>
      <c r="K6574" s="450"/>
    </row>
    <row r="6575" spans="1:11">
      <c r="A6575" s="451" t="s">
        <v>36320</v>
      </c>
      <c r="B6575" s="451"/>
      <c r="C6575" s="451" t="s">
        <v>4290</v>
      </c>
      <c r="D6575" s="451"/>
      <c r="E6575" s="451"/>
      <c r="F6575" s="451"/>
      <c r="G6575" s="451" t="s">
        <v>22882</v>
      </c>
      <c r="H6575" s="451" t="s">
        <v>22883</v>
      </c>
      <c r="I6575" s="451"/>
      <c r="J6575" s="451" t="s">
        <v>23370</v>
      </c>
      <c r="K6575" s="451"/>
    </row>
    <row r="6576" spans="1:11">
      <c r="A6576" s="450" t="s">
        <v>36321</v>
      </c>
      <c r="B6576" s="450" t="s">
        <v>21801</v>
      </c>
      <c r="C6576" s="450" t="s">
        <v>10682</v>
      </c>
      <c r="D6576" s="450" t="s">
        <v>10683</v>
      </c>
      <c r="E6576" s="450"/>
      <c r="F6576" s="450"/>
      <c r="G6576" s="450" t="s">
        <v>22882</v>
      </c>
      <c r="H6576" s="450" t="s">
        <v>22883</v>
      </c>
      <c r="I6576" s="450"/>
      <c r="J6576" s="450" t="s">
        <v>36322</v>
      </c>
      <c r="K6576" s="450"/>
    </row>
    <row r="6577" spans="1:11">
      <c r="A6577" s="451" t="s">
        <v>10681</v>
      </c>
      <c r="B6577" s="451" t="s">
        <v>21801</v>
      </c>
      <c r="C6577" s="451" t="s">
        <v>10682</v>
      </c>
      <c r="D6577" s="451" t="s">
        <v>10683</v>
      </c>
      <c r="E6577" s="451" t="s">
        <v>10684</v>
      </c>
      <c r="F6577" s="451"/>
      <c r="G6577" s="451" t="s">
        <v>22882</v>
      </c>
      <c r="H6577" s="451" t="s">
        <v>22883</v>
      </c>
      <c r="I6577" s="451" t="s">
        <v>10683</v>
      </c>
      <c r="J6577" s="451" t="s">
        <v>31702</v>
      </c>
      <c r="K6577" s="451"/>
    </row>
    <row r="6578" spans="1:11">
      <c r="A6578" s="450" t="s">
        <v>36323</v>
      </c>
      <c r="B6578" s="450" t="s">
        <v>10686</v>
      </c>
      <c r="C6578" s="450" t="s">
        <v>10687</v>
      </c>
      <c r="D6578" s="450"/>
      <c r="E6578" s="450"/>
      <c r="F6578" s="450"/>
      <c r="G6578" s="450" t="s">
        <v>22877</v>
      </c>
      <c r="H6578" s="450" t="s">
        <v>22878</v>
      </c>
      <c r="I6578" s="450" t="s">
        <v>26690</v>
      </c>
      <c r="J6578" s="450" t="s">
        <v>36324</v>
      </c>
      <c r="K6578" s="450"/>
    </row>
    <row r="6579" spans="1:11">
      <c r="A6579" s="451" t="s">
        <v>10685</v>
      </c>
      <c r="B6579" s="451" t="s">
        <v>10686</v>
      </c>
      <c r="C6579" s="451" t="s">
        <v>10687</v>
      </c>
      <c r="D6579" s="451"/>
      <c r="E6579" s="451"/>
      <c r="F6579" s="451"/>
      <c r="G6579" s="451" t="s">
        <v>22877</v>
      </c>
      <c r="H6579" s="451" t="s">
        <v>22878</v>
      </c>
      <c r="I6579" s="451" t="s">
        <v>26690</v>
      </c>
      <c r="J6579" s="451" t="s">
        <v>31703</v>
      </c>
      <c r="K6579" s="451"/>
    </row>
    <row r="6580" spans="1:11">
      <c r="A6580" s="450" t="s">
        <v>10688</v>
      </c>
      <c r="B6580" s="450"/>
      <c r="C6580" s="450" t="s">
        <v>10689</v>
      </c>
      <c r="D6580" s="450"/>
      <c r="E6580" s="450"/>
      <c r="F6580" s="450"/>
      <c r="G6580" s="450" t="s">
        <v>22877</v>
      </c>
      <c r="H6580" s="450" t="s">
        <v>22878</v>
      </c>
      <c r="I6580" s="450" t="s">
        <v>26691</v>
      </c>
      <c r="J6580" s="450" t="s">
        <v>22939</v>
      </c>
      <c r="K6580" s="450"/>
    </row>
    <row r="6581" spans="1:11">
      <c r="A6581" s="451" t="s">
        <v>10690</v>
      </c>
      <c r="B6581" s="451" t="s">
        <v>10691</v>
      </c>
      <c r="C6581" s="451" t="s">
        <v>7875</v>
      </c>
      <c r="D6581" s="451" t="s">
        <v>10692</v>
      </c>
      <c r="E6581" s="451"/>
      <c r="F6581" s="451"/>
      <c r="G6581" s="451" t="s">
        <v>22882</v>
      </c>
      <c r="H6581" s="451" t="s">
        <v>22883</v>
      </c>
      <c r="I6581" s="451" t="s">
        <v>27311</v>
      </c>
      <c r="J6581" s="451" t="s">
        <v>31704</v>
      </c>
      <c r="K6581" s="451"/>
    </row>
    <row r="6582" spans="1:11">
      <c r="A6582" s="450" t="s">
        <v>26692</v>
      </c>
      <c r="B6582" s="450" t="s">
        <v>26693</v>
      </c>
      <c r="C6582" s="450" t="s">
        <v>7875</v>
      </c>
      <c r="D6582" s="450" t="s">
        <v>10692</v>
      </c>
      <c r="E6582" s="450"/>
      <c r="F6582" s="450"/>
      <c r="G6582" s="450" t="s">
        <v>22877</v>
      </c>
      <c r="H6582" s="450" t="s">
        <v>22878</v>
      </c>
      <c r="I6582" s="450" t="s">
        <v>26694</v>
      </c>
      <c r="J6582" s="450" t="s">
        <v>26695</v>
      </c>
      <c r="K6582" s="450"/>
    </row>
    <row r="6583" spans="1:11">
      <c r="A6583" s="451" t="s">
        <v>10693</v>
      </c>
      <c r="B6583" s="451"/>
      <c r="C6583" s="451" t="s">
        <v>1929</v>
      </c>
      <c r="D6583" s="451"/>
      <c r="E6583" s="451"/>
      <c r="F6583" s="451"/>
      <c r="G6583" s="451" t="s">
        <v>22877</v>
      </c>
      <c r="H6583" s="451" t="s">
        <v>22878</v>
      </c>
      <c r="I6583" s="451" t="s">
        <v>36325</v>
      </c>
      <c r="J6583" s="451" t="s">
        <v>22943</v>
      </c>
      <c r="K6583" s="451"/>
    </row>
    <row r="6584" spans="1:11">
      <c r="A6584" s="450" t="s">
        <v>36326</v>
      </c>
      <c r="B6584" s="450"/>
      <c r="C6584" s="450" t="s">
        <v>10695</v>
      </c>
      <c r="D6584" s="450"/>
      <c r="E6584" s="450"/>
      <c r="F6584" s="450"/>
      <c r="G6584" s="450" t="s">
        <v>22877</v>
      </c>
      <c r="H6584" s="450" t="s">
        <v>22878</v>
      </c>
      <c r="I6584" s="450" t="s">
        <v>36327</v>
      </c>
      <c r="J6584" s="450" t="s">
        <v>22948</v>
      </c>
      <c r="K6584" s="450"/>
    </row>
    <row r="6585" spans="1:11">
      <c r="A6585" s="451" t="s">
        <v>10694</v>
      </c>
      <c r="B6585" s="451"/>
      <c r="C6585" s="451" t="s">
        <v>10695</v>
      </c>
      <c r="D6585" s="451"/>
      <c r="E6585" s="451"/>
      <c r="F6585" s="451"/>
      <c r="G6585" s="451" t="s">
        <v>22877</v>
      </c>
      <c r="H6585" s="451" t="s">
        <v>22878</v>
      </c>
      <c r="I6585" s="451" t="s">
        <v>36327</v>
      </c>
      <c r="J6585" s="451" t="s">
        <v>22958</v>
      </c>
      <c r="K6585" s="451"/>
    </row>
    <row r="6586" spans="1:11">
      <c r="A6586" s="450" t="s">
        <v>36328</v>
      </c>
      <c r="B6586" s="450"/>
      <c r="C6586" s="450" t="s">
        <v>10697</v>
      </c>
      <c r="D6586" s="450"/>
      <c r="E6586" s="450"/>
      <c r="F6586" s="450"/>
      <c r="G6586" s="450" t="s">
        <v>22877</v>
      </c>
      <c r="H6586" s="450" t="s">
        <v>22878</v>
      </c>
      <c r="I6586" s="450" t="s">
        <v>26696</v>
      </c>
      <c r="J6586" s="450" t="s">
        <v>22948</v>
      </c>
      <c r="K6586" s="450"/>
    </row>
    <row r="6587" spans="1:11">
      <c r="A6587" s="451" t="s">
        <v>10696</v>
      </c>
      <c r="B6587" s="451"/>
      <c r="C6587" s="451" t="s">
        <v>10697</v>
      </c>
      <c r="D6587" s="451"/>
      <c r="E6587" s="451"/>
      <c r="F6587" s="451"/>
      <c r="G6587" s="451" t="s">
        <v>22877</v>
      </c>
      <c r="H6587" s="451" t="s">
        <v>22878</v>
      </c>
      <c r="I6587" s="451" t="s">
        <v>26696</v>
      </c>
      <c r="J6587" s="451" t="s">
        <v>22958</v>
      </c>
      <c r="K6587" s="451"/>
    </row>
    <row r="6588" spans="1:11">
      <c r="A6588" s="450" t="s">
        <v>26697</v>
      </c>
      <c r="B6588" s="450" t="s">
        <v>26698</v>
      </c>
      <c r="C6588" s="450" t="s">
        <v>26699</v>
      </c>
      <c r="D6588" s="450"/>
      <c r="E6588" s="450"/>
      <c r="F6588" s="450"/>
      <c r="G6588" s="450" t="s">
        <v>22877</v>
      </c>
      <c r="H6588" s="450" t="s">
        <v>22878</v>
      </c>
      <c r="I6588" s="450" t="s">
        <v>26700</v>
      </c>
      <c r="J6588" s="450" t="s">
        <v>26701</v>
      </c>
      <c r="K6588" s="450"/>
    </row>
    <row r="6589" spans="1:11">
      <c r="A6589" s="451" t="s">
        <v>36329</v>
      </c>
      <c r="B6589" s="451"/>
      <c r="C6589" s="451" t="s">
        <v>10703</v>
      </c>
      <c r="D6589" s="451"/>
      <c r="E6589" s="451"/>
      <c r="F6589" s="451"/>
      <c r="G6589" s="451" t="s">
        <v>22882</v>
      </c>
      <c r="H6589" s="451" t="s">
        <v>22883</v>
      </c>
      <c r="I6589" s="451"/>
      <c r="J6589" s="451" t="s">
        <v>22943</v>
      </c>
      <c r="K6589" s="451"/>
    </row>
    <row r="6590" spans="1:11">
      <c r="A6590" s="450" t="s">
        <v>10698</v>
      </c>
      <c r="B6590" s="450"/>
      <c r="C6590" s="450" t="s">
        <v>10699</v>
      </c>
      <c r="D6590" s="450"/>
      <c r="E6590" s="450"/>
      <c r="F6590" s="450"/>
      <c r="G6590" s="450" t="s">
        <v>22877</v>
      </c>
      <c r="H6590" s="450" t="s">
        <v>22878</v>
      </c>
      <c r="I6590" s="450" t="s">
        <v>26702</v>
      </c>
      <c r="J6590" s="450" t="s">
        <v>22942</v>
      </c>
      <c r="K6590" s="450"/>
    </row>
    <row r="6591" spans="1:11">
      <c r="A6591" s="451" t="s">
        <v>10700</v>
      </c>
      <c r="B6591" s="451"/>
      <c r="C6591" s="451" t="s">
        <v>10701</v>
      </c>
      <c r="D6591" s="451"/>
      <c r="E6591" s="451"/>
      <c r="F6591" s="451"/>
      <c r="G6591" s="451" t="s">
        <v>22877</v>
      </c>
      <c r="H6591" s="451" t="s">
        <v>22878</v>
      </c>
      <c r="I6591" s="451"/>
      <c r="J6591" s="451" t="s">
        <v>22939</v>
      </c>
      <c r="K6591" s="451"/>
    </row>
    <row r="6592" spans="1:11">
      <c r="A6592" s="450" t="s">
        <v>10702</v>
      </c>
      <c r="B6592" s="450"/>
      <c r="C6592" s="450" t="s">
        <v>10703</v>
      </c>
      <c r="D6592" s="450"/>
      <c r="E6592" s="450"/>
      <c r="F6592" s="450"/>
      <c r="G6592" s="450" t="s">
        <v>22882</v>
      </c>
      <c r="H6592" s="450" t="s">
        <v>22883</v>
      </c>
      <c r="I6592" s="450"/>
      <c r="J6592" s="450" t="s">
        <v>22937</v>
      </c>
      <c r="K6592" s="450"/>
    </row>
    <row r="6593" spans="1:11">
      <c r="A6593" s="451" t="s">
        <v>36330</v>
      </c>
      <c r="B6593" s="451"/>
      <c r="C6593" s="451" t="s">
        <v>10699</v>
      </c>
      <c r="D6593" s="451"/>
      <c r="E6593" s="451"/>
      <c r="F6593" s="451"/>
      <c r="G6593" s="451" t="s">
        <v>22877</v>
      </c>
      <c r="H6593" s="451" t="s">
        <v>22878</v>
      </c>
      <c r="I6593" s="451" t="s">
        <v>26702</v>
      </c>
      <c r="J6593" s="451" t="s">
        <v>22943</v>
      </c>
      <c r="K6593" s="451"/>
    </row>
    <row r="6594" spans="1:11">
      <c r="A6594" s="450" t="s">
        <v>36331</v>
      </c>
      <c r="B6594" s="450"/>
      <c r="C6594" s="450" t="s">
        <v>10701</v>
      </c>
      <c r="D6594" s="450"/>
      <c r="E6594" s="450"/>
      <c r="F6594" s="450"/>
      <c r="G6594" s="450" t="s">
        <v>22877</v>
      </c>
      <c r="H6594" s="450" t="s">
        <v>22878</v>
      </c>
      <c r="I6594" s="450" t="s">
        <v>36332</v>
      </c>
      <c r="J6594" s="450" t="s">
        <v>23121</v>
      </c>
      <c r="K6594" s="450"/>
    </row>
    <row r="6595" spans="1:11">
      <c r="A6595" s="451" t="s">
        <v>36333</v>
      </c>
      <c r="B6595" s="451"/>
      <c r="C6595" s="451" t="s">
        <v>10705</v>
      </c>
      <c r="D6595" s="451"/>
      <c r="E6595" s="451"/>
      <c r="F6595" s="451"/>
      <c r="G6595" s="451" t="s">
        <v>22882</v>
      </c>
      <c r="H6595" s="451" t="s">
        <v>22883</v>
      </c>
      <c r="I6595" s="451"/>
      <c r="J6595" s="451" t="s">
        <v>23370</v>
      </c>
      <c r="K6595" s="451"/>
    </row>
    <row r="6596" spans="1:11">
      <c r="A6596" s="450" t="s">
        <v>10704</v>
      </c>
      <c r="B6596" s="450"/>
      <c r="C6596" s="450" t="s">
        <v>10705</v>
      </c>
      <c r="D6596" s="450"/>
      <c r="E6596" s="450"/>
      <c r="F6596" s="450"/>
      <c r="G6596" s="450" t="s">
        <v>22882</v>
      </c>
      <c r="H6596" s="450" t="s">
        <v>22883</v>
      </c>
      <c r="I6596" s="450"/>
      <c r="J6596" s="450" t="s">
        <v>22942</v>
      </c>
      <c r="K6596" s="450"/>
    </row>
    <row r="6597" spans="1:11">
      <c r="A6597" s="451" t="s">
        <v>10706</v>
      </c>
      <c r="B6597" s="451"/>
      <c r="C6597" s="451" t="s">
        <v>10707</v>
      </c>
      <c r="D6597" s="451"/>
      <c r="E6597" s="451"/>
      <c r="F6597" s="451"/>
      <c r="G6597" s="451" t="s">
        <v>22882</v>
      </c>
      <c r="H6597" s="451" t="s">
        <v>22883</v>
      </c>
      <c r="I6597" s="451" t="s">
        <v>36334</v>
      </c>
      <c r="J6597" s="451" t="s">
        <v>22939</v>
      </c>
      <c r="K6597" s="451"/>
    </row>
    <row r="6598" spans="1:11">
      <c r="A6598" s="450" t="s">
        <v>26703</v>
      </c>
      <c r="B6598" s="450"/>
      <c r="C6598" s="450" t="s">
        <v>10707</v>
      </c>
      <c r="D6598" s="450"/>
      <c r="E6598" s="450"/>
      <c r="F6598" s="450"/>
      <c r="G6598" s="450" t="s">
        <v>22882</v>
      </c>
      <c r="H6598" s="450" t="s">
        <v>22883</v>
      </c>
      <c r="I6598" s="450"/>
      <c r="J6598" s="450" t="s">
        <v>22943</v>
      </c>
      <c r="K6598" s="450"/>
    </row>
    <row r="6599" spans="1:11">
      <c r="A6599" s="451" t="s">
        <v>10708</v>
      </c>
      <c r="B6599" s="451" t="s">
        <v>10709</v>
      </c>
      <c r="C6599" s="451" t="s">
        <v>2528</v>
      </c>
      <c r="D6599" s="451"/>
      <c r="E6599" s="451"/>
      <c r="F6599" s="451" t="s">
        <v>10710</v>
      </c>
      <c r="G6599" s="451" t="s">
        <v>22877</v>
      </c>
      <c r="H6599" s="451" t="s">
        <v>22878</v>
      </c>
      <c r="I6599" s="451" t="s">
        <v>26704</v>
      </c>
      <c r="J6599" s="451" t="s">
        <v>26705</v>
      </c>
      <c r="K6599" s="451"/>
    </row>
    <row r="6600" spans="1:11">
      <c r="A6600" s="450" t="s">
        <v>36335</v>
      </c>
      <c r="B6600" s="450"/>
      <c r="C6600" s="450" t="s">
        <v>5297</v>
      </c>
      <c r="D6600" s="450"/>
      <c r="E6600" s="450"/>
      <c r="F6600" s="450"/>
      <c r="G6600" s="450" t="s">
        <v>22877</v>
      </c>
      <c r="H6600" s="450" t="s">
        <v>22878</v>
      </c>
      <c r="I6600" s="450" t="s">
        <v>36336</v>
      </c>
      <c r="J6600" s="450" t="s">
        <v>22939</v>
      </c>
      <c r="K6600" s="450"/>
    </row>
    <row r="6601" spans="1:11">
      <c r="A6601" s="451" t="s">
        <v>10711</v>
      </c>
      <c r="B6601" s="451"/>
      <c r="C6601" s="451" t="s">
        <v>5297</v>
      </c>
      <c r="D6601" s="451"/>
      <c r="E6601" s="451"/>
      <c r="F6601" s="451"/>
      <c r="G6601" s="451" t="s">
        <v>22877</v>
      </c>
      <c r="H6601" s="451" t="s">
        <v>22878</v>
      </c>
      <c r="I6601" s="451" t="s">
        <v>31705</v>
      </c>
      <c r="J6601" s="451" t="s">
        <v>22939</v>
      </c>
      <c r="K6601" s="451"/>
    </row>
    <row r="6602" spans="1:11">
      <c r="A6602" s="450" t="s">
        <v>26706</v>
      </c>
      <c r="B6602" s="450" t="s">
        <v>10223</v>
      </c>
      <c r="C6602" s="450" t="s">
        <v>10224</v>
      </c>
      <c r="D6602" s="450"/>
      <c r="E6602" s="450"/>
      <c r="F6602" s="450" t="s">
        <v>10225</v>
      </c>
      <c r="G6602" s="450" t="s">
        <v>22877</v>
      </c>
      <c r="H6602" s="450" t="s">
        <v>22878</v>
      </c>
      <c r="I6602" s="450" t="s">
        <v>26707</v>
      </c>
      <c r="J6602" s="450" t="s">
        <v>26708</v>
      </c>
      <c r="K6602" s="450"/>
    </row>
    <row r="6603" spans="1:11">
      <c r="A6603" s="451" t="s">
        <v>36337</v>
      </c>
      <c r="B6603" s="451"/>
      <c r="C6603" s="451" t="s">
        <v>3643</v>
      </c>
      <c r="D6603" s="451"/>
      <c r="E6603" s="451"/>
      <c r="F6603" s="451"/>
      <c r="G6603" s="451" t="s">
        <v>22882</v>
      </c>
      <c r="H6603" s="451" t="s">
        <v>22883</v>
      </c>
      <c r="I6603" s="451"/>
      <c r="J6603" s="451" t="s">
        <v>23370</v>
      </c>
      <c r="K6603" s="451"/>
    </row>
    <row r="6604" spans="1:11">
      <c r="A6604" s="450" t="s">
        <v>10712</v>
      </c>
      <c r="B6604" s="450"/>
      <c r="C6604" s="450" t="s">
        <v>3643</v>
      </c>
      <c r="D6604" s="450"/>
      <c r="E6604" s="450"/>
      <c r="F6604" s="450"/>
      <c r="G6604" s="450" t="s">
        <v>22877</v>
      </c>
      <c r="H6604" s="450" t="s">
        <v>22878</v>
      </c>
      <c r="I6604" s="450" t="s">
        <v>3644</v>
      </c>
      <c r="J6604" s="450" t="s">
        <v>22937</v>
      </c>
      <c r="K6604" s="450"/>
    </row>
    <row r="6605" spans="1:11">
      <c r="A6605" s="451" t="s">
        <v>10713</v>
      </c>
      <c r="B6605" s="451" t="s">
        <v>10714</v>
      </c>
      <c r="C6605" s="451" t="s">
        <v>10715</v>
      </c>
      <c r="D6605" s="451" t="s">
        <v>10716</v>
      </c>
      <c r="E6605" s="451"/>
      <c r="F6605" s="451"/>
      <c r="G6605" s="451" t="s">
        <v>22882</v>
      </c>
      <c r="H6605" s="451" t="s">
        <v>22883</v>
      </c>
      <c r="I6605" s="451"/>
      <c r="J6605" s="451" t="s">
        <v>36338</v>
      </c>
      <c r="K6605" s="451"/>
    </row>
    <row r="6606" spans="1:11">
      <c r="A6606" s="450" t="s">
        <v>10713</v>
      </c>
      <c r="B6606" s="450" t="s">
        <v>10714</v>
      </c>
      <c r="C6606" s="450" t="s">
        <v>10715</v>
      </c>
      <c r="D6606" s="450" t="s">
        <v>10716</v>
      </c>
      <c r="E6606" s="450" t="s">
        <v>10717</v>
      </c>
      <c r="F6606" s="450"/>
      <c r="G6606" s="450" t="s">
        <v>22877</v>
      </c>
      <c r="H6606" s="450" t="s">
        <v>22878</v>
      </c>
      <c r="I6606" s="450" t="s">
        <v>10716</v>
      </c>
      <c r="J6606" s="450" t="s">
        <v>31706</v>
      </c>
      <c r="K6606" s="450"/>
    </row>
    <row r="6607" spans="1:11">
      <c r="A6607" s="451" t="s">
        <v>10718</v>
      </c>
      <c r="B6607" s="451"/>
      <c r="C6607" s="451" t="s">
        <v>3526</v>
      </c>
      <c r="D6607" s="451"/>
      <c r="E6607" s="451"/>
      <c r="F6607" s="451"/>
      <c r="G6607" s="451" t="s">
        <v>22877</v>
      </c>
      <c r="H6607" s="451" t="s">
        <v>22878</v>
      </c>
      <c r="I6607" s="451" t="s">
        <v>36339</v>
      </c>
      <c r="J6607" s="451" t="s">
        <v>23121</v>
      </c>
      <c r="K6607" s="451"/>
    </row>
    <row r="6608" spans="1:11">
      <c r="A6608" s="450" t="s">
        <v>10719</v>
      </c>
      <c r="B6608" s="450"/>
      <c r="C6608" s="450" t="s">
        <v>3205</v>
      </c>
      <c r="D6608" s="450"/>
      <c r="E6608" s="450"/>
      <c r="F6608" s="450"/>
      <c r="G6608" s="450" t="s">
        <v>22877</v>
      </c>
      <c r="H6608" s="450" t="s">
        <v>22878</v>
      </c>
      <c r="I6608" s="450"/>
      <c r="J6608" s="450" t="s">
        <v>23133</v>
      </c>
      <c r="K6608" s="450"/>
    </row>
    <row r="6609" spans="1:11">
      <c r="A6609" s="451" t="s">
        <v>10720</v>
      </c>
      <c r="B6609" s="451"/>
      <c r="C6609" s="451" t="s">
        <v>3991</v>
      </c>
      <c r="D6609" s="451"/>
      <c r="E6609" s="451"/>
      <c r="F6609" s="451"/>
      <c r="G6609" s="451" t="s">
        <v>22882</v>
      </c>
      <c r="H6609" s="451" t="s">
        <v>22883</v>
      </c>
      <c r="I6609" s="451"/>
      <c r="J6609" s="451" t="s">
        <v>22943</v>
      </c>
      <c r="K6609" s="451"/>
    </row>
    <row r="6610" spans="1:11">
      <c r="A6610" s="450" t="s">
        <v>10730</v>
      </c>
      <c r="B6610" s="450" t="s">
        <v>26709</v>
      </c>
      <c r="C6610" s="450" t="s">
        <v>10732</v>
      </c>
      <c r="D6610" s="450"/>
      <c r="E6610" s="450"/>
      <c r="F6610" s="450"/>
      <c r="G6610" s="450" t="s">
        <v>22877</v>
      </c>
      <c r="H6610" s="450" t="s">
        <v>22878</v>
      </c>
      <c r="I6610" s="450" t="s">
        <v>26710</v>
      </c>
      <c r="J6610" s="450" t="s">
        <v>26711</v>
      </c>
      <c r="K6610" s="450"/>
    </row>
    <row r="6611" spans="1:11">
      <c r="A6611" s="451" t="s">
        <v>10730</v>
      </c>
      <c r="B6611" s="451" t="s">
        <v>10731</v>
      </c>
      <c r="C6611" s="451" t="s">
        <v>10732</v>
      </c>
      <c r="D6611" s="451"/>
      <c r="E6611" s="451"/>
      <c r="F6611" s="451"/>
      <c r="G6611" s="451" t="s">
        <v>22882</v>
      </c>
      <c r="H6611" s="451" t="s">
        <v>22883</v>
      </c>
      <c r="I6611" s="451"/>
      <c r="J6611" s="451" t="s">
        <v>31707</v>
      </c>
      <c r="K6611" s="451"/>
    </row>
    <row r="6612" spans="1:11">
      <c r="A6612" s="450" t="s">
        <v>36340</v>
      </c>
      <c r="B6612" s="450"/>
      <c r="C6612" s="450" t="s">
        <v>1815</v>
      </c>
      <c r="D6612" s="450"/>
      <c r="E6612" s="450"/>
      <c r="F6612" s="450"/>
      <c r="G6612" s="450" t="s">
        <v>22877</v>
      </c>
      <c r="H6612" s="450" t="s">
        <v>22878</v>
      </c>
      <c r="I6612" s="450" t="s">
        <v>36341</v>
      </c>
      <c r="J6612" s="450" t="s">
        <v>22943</v>
      </c>
      <c r="K6612" s="450"/>
    </row>
    <row r="6613" spans="1:11">
      <c r="A6613" s="451" t="s">
        <v>10733</v>
      </c>
      <c r="B6613" s="451"/>
      <c r="C6613" s="451" t="s">
        <v>1815</v>
      </c>
      <c r="D6613" s="451"/>
      <c r="E6613" s="451"/>
      <c r="F6613" s="451"/>
      <c r="G6613" s="451" t="s">
        <v>22877</v>
      </c>
      <c r="H6613" s="451" t="s">
        <v>22878</v>
      </c>
      <c r="I6613" s="451" t="s">
        <v>36341</v>
      </c>
      <c r="J6613" s="451" t="s">
        <v>22937</v>
      </c>
      <c r="K6613" s="451"/>
    </row>
    <row r="6614" spans="1:11">
      <c r="A6614" s="450" t="s">
        <v>36342</v>
      </c>
      <c r="B6614" s="450"/>
      <c r="C6614" s="450" t="s">
        <v>10735</v>
      </c>
      <c r="D6614" s="450"/>
      <c r="E6614" s="450"/>
      <c r="F6614" s="450"/>
      <c r="G6614" s="450" t="s">
        <v>22877</v>
      </c>
      <c r="H6614" s="450" t="s">
        <v>22878</v>
      </c>
      <c r="I6614" s="450" t="s">
        <v>26712</v>
      </c>
      <c r="J6614" s="450" t="s">
        <v>23121</v>
      </c>
      <c r="K6614" s="450"/>
    </row>
    <row r="6615" spans="1:11">
      <c r="A6615" s="451" t="s">
        <v>10734</v>
      </c>
      <c r="B6615" s="451"/>
      <c r="C6615" s="451" t="s">
        <v>10735</v>
      </c>
      <c r="D6615" s="451"/>
      <c r="E6615" s="451"/>
      <c r="F6615" s="451"/>
      <c r="G6615" s="451" t="s">
        <v>22877</v>
      </c>
      <c r="H6615" s="451" t="s">
        <v>22878</v>
      </c>
      <c r="I6615" s="451" t="s">
        <v>5737</v>
      </c>
      <c r="J6615" s="451" t="s">
        <v>22939</v>
      </c>
      <c r="K6615" s="451"/>
    </row>
    <row r="6616" spans="1:11">
      <c r="A6616" s="450" t="s">
        <v>36343</v>
      </c>
      <c r="B6616" s="450"/>
      <c r="C6616" s="450" t="s">
        <v>10737</v>
      </c>
      <c r="D6616" s="450"/>
      <c r="E6616" s="450"/>
      <c r="F6616" s="450"/>
      <c r="G6616" s="450" t="s">
        <v>22877</v>
      </c>
      <c r="H6616" s="450" t="s">
        <v>22878</v>
      </c>
      <c r="I6616" s="450" t="s">
        <v>36344</v>
      </c>
      <c r="J6616" s="450" t="s">
        <v>23370</v>
      </c>
      <c r="K6616" s="450"/>
    </row>
    <row r="6617" spans="1:11">
      <c r="A6617" s="451" t="s">
        <v>10736</v>
      </c>
      <c r="B6617" s="451"/>
      <c r="C6617" s="451" t="s">
        <v>10737</v>
      </c>
      <c r="D6617" s="451"/>
      <c r="E6617" s="451"/>
      <c r="F6617" s="451"/>
      <c r="G6617" s="451" t="s">
        <v>22877</v>
      </c>
      <c r="H6617" s="451" t="s">
        <v>22878</v>
      </c>
      <c r="I6617" s="451" t="s">
        <v>36344</v>
      </c>
      <c r="J6617" s="451" t="s">
        <v>22937</v>
      </c>
      <c r="K6617" s="451"/>
    </row>
    <row r="6618" spans="1:11">
      <c r="A6618" s="450" t="s">
        <v>36345</v>
      </c>
      <c r="B6618" s="450"/>
      <c r="C6618" s="450" t="s">
        <v>10739</v>
      </c>
      <c r="D6618" s="450"/>
      <c r="E6618" s="450"/>
      <c r="F6618" s="450"/>
      <c r="G6618" s="450" t="s">
        <v>22877</v>
      </c>
      <c r="H6618" s="450" t="s">
        <v>22878</v>
      </c>
      <c r="I6618" s="450" t="s">
        <v>36346</v>
      </c>
      <c r="J6618" s="450" t="s">
        <v>22943</v>
      </c>
      <c r="K6618" s="450"/>
    </row>
    <row r="6619" spans="1:11">
      <c r="A6619" s="451" t="s">
        <v>10738</v>
      </c>
      <c r="B6619" s="451"/>
      <c r="C6619" s="451" t="s">
        <v>10739</v>
      </c>
      <c r="D6619" s="451"/>
      <c r="E6619" s="451"/>
      <c r="F6619" s="451"/>
      <c r="G6619" s="451" t="s">
        <v>36347</v>
      </c>
      <c r="H6619" s="451" t="s">
        <v>22878</v>
      </c>
      <c r="I6619" s="451" t="s">
        <v>36346</v>
      </c>
      <c r="J6619" s="451" t="s">
        <v>36348</v>
      </c>
      <c r="K6619" s="451"/>
    </row>
    <row r="6620" spans="1:11">
      <c r="A6620" s="450" t="s">
        <v>36349</v>
      </c>
      <c r="B6620" s="450"/>
      <c r="C6620" s="450" t="s">
        <v>1441</v>
      </c>
      <c r="D6620" s="450"/>
      <c r="E6620" s="450"/>
      <c r="F6620" s="450"/>
      <c r="G6620" s="450" t="s">
        <v>22877</v>
      </c>
      <c r="H6620" s="450" t="s">
        <v>22878</v>
      </c>
      <c r="I6620" s="450" t="s">
        <v>36350</v>
      </c>
      <c r="J6620" s="450" t="s">
        <v>23370</v>
      </c>
      <c r="K6620" s="450"/>
    </row>
    <row r="6621" spans="1:11">
      <c r="A6621" s="451" t="s">
        <v>10740</v>
      </c>
      <c r="B6621" s="451"/>
      <c r="C6621" s="451" t="s">
        <v>1441</v>
      </c>
      <c r="D6621" s="451"/>
      <c r="E6621" s="451"/>
      <c r="F6621" s="451"/>
      <c r="G6621" s="451" t="s">
        <v>22877</v>
      </c>
      <c r="H6621" s="451" t="s">
        <v>22878</v>
      </c>
      <c r="I6621" s="451" t="s">
        <v>36351</v>
      </c>
      <c r="J6621" s="451" t="s">
        <v>22958</v>
      </c>
      <c r="K6621" s="451"/>
    </row>
    <row r="6622" spans="1:11">
      <c r="A6622" s="450" t="s">
        <v>21807</v>
      </c>
      <c r="B6622" s="450"/>
      <c r="C6622" s="450" t="s">
        <v>10741</v>
      </c>
      <c r="D6622" s="450"/>
      <c r="E6622" s="450"/>
      <c r="F6622" s="450"/>
      <c r="G6622" s="450" t="s">
        <v>22882</v>
      </c>
      <c r="H6622" s="450" t="s">
        <v>22883</v>
      </c>
      <c r="I6622" s="450"/>
      <c r="J6622" s="450" t="s">
        <v>22939</v>
      </c>
      <c r="K6622" s="450"/>
    </row>
    <row r="6623" spans="1:11">
      <c r="A6623" s="451" t="s">
        <v>21802</v>
      </c>
      <c r="B6623" s="451" t="s">
        <v>26713</v>
      </c>
      <c r="C6623" s="451" t="s">
        <v>10722</v>
      </c>
      <c r="D6623" s="451" t="s">
        <v>10723</v>
      </c>
      <c r="E6623" s="451"/>
      <c r="F6623" s="451"/>
      <c r="G6623" s="451" t="s">
        <v>22877</v>
      </c>
      <c r="H6623" s="451" t="s">
        <v>22878</v>
      </c>
      <c r="I6623" s="451" t="s">
        <v>26714</v>
      </c>
      <c r="J6623" s="451" t="s">
        <v>26715</v>
      </c>
      <c r="K6623" s="451"/>
    </row>
    <row r="6624" spans="1:11">
      <c r="A6624" s="450" t="s">
        <v>21802</v>
      </c>
      <c r="B6624" s="450" t="s">
        <v>10721</v>
      </c>
      <c r="C6624" s="450" t="s">
        <v>10722</v>
      </c>
      <c r="D6624" s="450" t="s">
        <v>10723</v>
      </c>
      <c r="E6624" s="450" t="s">
        <v>10724</v>
      </c>
      <c r="F6624" s="450"/>
      <c r="G6624" s="450" t="s">
        <v>22877</v>
      </c>
      <c r="H6624" s="450" t="s">
        <v>22878</v>
      </c>
      <c r="I6624" s="450" t="s">
        <v>10723</v>
      </c>
      <c r="J6624" s="450" t="s">
        <v>31708</v>
      </c>
      <c r="K6624" s="450"/>
    </row>
    <row r="6625" spans="1:11">
      <c r="A6625" s="451" t="s">
        <v>21803</v>
      </c>
      <c r="B6625" s="451" t="s">
        <v>10725</v>
      </c>
      <c r="C6625" s="451" t="s">
        <v>4032</v>
      </c>
      <c r="D6625" s="451" t="s">
        <v>10726</v>
      </c>
      <c r="E6625" s="451"/>
      <c r="F6625" s="451"/>
      <c r="G6625" s="451" t="s">
        <v>22877</v>
      </c>
      <c r="H6625" s="451" t="s">
        <v>22878</v>
      </c>
      <c r="I6625" s="451" t="s">
        <v>36352</v>
      </c>
      <c r="J6625" s="451" t="s">
        <v>26716</v>
      </c>
      <c r="K6625" s="451"/>
    </row>
    <row r="6626" spans="1:11">
      <c r="A6626" s="450" t="s">
        <v>21803</v>
      </c>
      <c r="B6626" s="450" t="s">
        <v>10725</v>
      </c>
      <c r="C6626" s="450" t="s">
        <v>4032</v>
      </c>
      <c r="D6626" s="450" t="s">
        <v>10726</v>
      </c>
      <c r="E6626" s="450" t="s">
        <v>10727</v>
      </c>
      <c r="F6626" s="450"/>
      <c r="G6626" s="450" t="s">
        <v>22877</v>
      </c>
      <c r="H6626" s="450" t="s">
        <v>22878</v>
      </c>
      <c r="I6626" s="450" t="s">
        <v>10726</v>
      </c>
      <c r="J6626" s="450" t="s">
        <v>26716</v>
      </c>
      <c r="K6626" s="450"/>
    </row>
    <row r="6627" spans="1:11">
      <c r="A6627" s="451" t="s">
        <v>21804</v>
      </c>
      <c r="B6627" s="451"/>
      <c r="C6627" s="451" t="s">
        <v>10728</v>
      </c>
      <c r="D6627" s="451"/>
      <c r="E6627" s="451"/>
      <c r="F6627" s="451"/>
      <c r="G6627" s="451" t="s">
        <v>22877</v>
      </c>
      <c r="H6627" s="451" t="s">
        <v>22878</v>
      </c>
      <c r="I6627" s="451" t="s">
        <v>36353</v>
      </c>
      <c r="J6627" s="451" t="s">
        <v>23370</v>
      </c>
      <c r="K6627" s="451"/>
    </row>
    <row r="6628" spans="1:11">
      <c r="A6628" s="450" t="s">
        <v>21805</v>
      </c>
      <c r="B6628" s="450"/>
      <c r="C6628" s="450" t="s">
        <v>5448</v>
      </c>
      <c r="D6628" s="450"/>
      <c r="E6628" s="450"/>
      <c r="F6628" s="450"/>
      <c r="G6628" s="450" t="s">
        <v>22877</v>
      </c>
      <c r="H6628" s="450" t="s">
        <v>22878</v>
      </c>
      <c r="I6628" s="450" t="s">
        <v>36354</v>
      </c>
      <c r="J6628" s="450" t="s">
        <v>22943</v>
      </c>
      <c r="K6628" s="450"/>
    </row>
    <row r="6629" spans="1:11">
      <c r="A6629" s="451" t="s">
        <v>10742</v>
      </c>
      <c r="B6629" s="451"/>
      <c r="C6629" s="451" t="s">
        <v>10743</v>
      </c>
      <c r="D6629" s="451"/>
      <c r="E6629" s="451"/>
      <c r="F6629" s="451"/>
      <c r="G6629" s="451" t="s">
        <v>22877</v>
      </c>
      <c r="H6629" s="451" t="s">
        <v>22878</v>
      </c>
      <c r="I6629" s="451" t="s">
        <v>24152</v>
      </c>
      <c r="J6629" s="451" t="s">
        <v>22939</v>
      </c>
      <c r="K6629" s="451"/>
    </row>
    <row r="6630" spans="1:11">
      <c r="A6630" s="450" t="s">
        <v>31709</v>
      </c>
      <c r="B6630" s="450" t="s">
        <v>26717</v>
      </c>
      <c r="C6630" s="450" t="s">
        <v>10746</v>
      </c>
      <c r="D6630" s="450"/>
      <c r="E6630" s="450"/>
      <c r="F6630" s="450" t="s">
        <v>21808</v>
      </c>
      <c r="G6630" s="450" t="s">
        <v>22877</v>
      </c>
      <c r="H6630" s="450" t="s">
        <v>22878</v>
      </c>
      <c r="I6630" s="450" t="s">
        <v>26718</v>
      </c>
      <c r="J6630" s="450" t="s">
        <v>26719</v>
      </c>
      <c r="K6630" s="450"/>
    </row>
    <row r="6631" spans="1:11">
      <c r="A6631" s="451" t="s">
        <v>10744</v>
      </c>
      <c r="B6631" s="451" t="s">
        <v>10745</v>
      </c>
      <c r="C6631" s="451" t="s">
        <v>10746</v>
      </c>
      <c r="D6631" s="451"/>
      <c r="E6631" s="451"/>
      <c r="F6631" s="451" t="s">
        <v>21808</v>
      </c>
      <c r="G6631" s="451" t="s">
        <v>22877</v>
      </c>
      <c r="H6631" s="451" t="s">
        <v>22878</v>
      </c>
      <c r="I6631" s="451" t="s">
        <v>31710</v>
      </c>
      <c r="J6631" s="451" t="s">
        <v>31711</v>
      </c>
      <c r="K6631" s="451"/>
    </row>
    <row r="6632" spans="1:11">
      <c r="A6632" s="450" t="s">
        <v>21806</v>
      </c>
      <c r="B6632" s="450"/>
      <c r="C6632" s="450" t="s">
        <v>10729</v>
      </c>
      <c r="D6632" s="450"/>
      <c r="E6632" s="450"/>
      <c r="F6632" s="450"/>
      <c r="G6632" s="450" t="s">
        <v>22877</v>
      </c>
      <c r="H6632" s="450" t="s">
        <v>22878</v>
      </c>
      <c r="I6632" s="450" t="s">
        <v>26720</v>
      </c>
      <c r="J6632" s="450" t="s">
        <v>22942</v>
      </c>
      <c r="K6632" s="450"/>
    </row>
    <row r="6633" spans="1:11">
      <c r="A6633" s="451" t="s">
        <v>31712</v>
      </c>
      <c r="B6633" s="451"/>
      <c r="C6633" s="451" t="s">
        <v>10729</v>
      </c>
      <c r="D6633" s="451"/>
      <c r="E6633" s="451"/>
      <c r="F6633" s="451"/>
      <c r="G6633" s="451" t="s">
        <v>22877</v>
      </c>
      <c r="H6633" s="451" t="s">
        <v>22878</v>
      </c>
      <c r="I6633" s="451" t="s">
        <v>26720</v>
      </c>
      <c r="J6633" s="451" t="s">
        <v>23370</v>
      </c>
      <c r="K6633" s="451"/>
    </row>
    <row r="6634" spans="1:11">
      <c r="A6634" s="450" t="s">
        <v>36355</v>
      </c>
      <c r="B6634" s="450" t="s">
        <v>10748</v>
      </c>
      <c r="C6634" s="450" t="s">
        <v>1263</v>
      </c>
      <c r="D6634" s="450" t="s">
        <v>10749</v>
      </c>
      <c r="E6634" s="450"/>
      <c r="F6634" s="450"/>
      <c r="G6634" s="450" t="s">
        <v>22877</v>
      </c>
      <c r="H6634" s="450" t="s">
        <v>22878</v>
      </c>
      <c r="I6634" s="450" t="s">
        <v>10749</v>
      </c>
      <c r="J6634" s="450" t="s">
        <v>36356</v>
      </c>
      <c r="K6634" s="450"/>
    </row>
    <row r="6635" spans="1:11">
      <c r="A6635" s="451" t="s">
        <v>10747</v>
      </c>
      <c r="B6635" s="451" t="s">
        <v>10748</v>
      </c>
      <c r="C6635" s="451" t="s">
        <v>1263</v>
      </c>
      <c r="D6635" s="451" t="s">
        <v>10749</v>
      </c>
      <c r="E6635" s="451" t="s">
        <v>10750</v>
      </c>
      <c r="F6635" s="451"/>
      <c r="G6635" s="451" t="s">
        <v>22877</v>
      </c>
      <c r="H6635" s="451" t="s">
        <v>22878</v>
      </c>
      <c r="I6635" s="451" t="s">
        <v>25711</v>
      </c>
      <c r="J6635" s="451" t="s">
        <v>31713</v>
      </c>
      <c r="K6635" s="451"/>
    </row>
    <row r="6636" spans="1:11">
      <c r="A6636" s="450" t="s">
        <v>21809</v>
      </c>
      <c r="B6636" s="450"/>
      <c r="C6636" s="450" t="s">
        <v>10751</v>
      </c>
      <c r="D6636" s="450"/>
      <c r="E6636" s="450"/>
      <c r="F6636" s="450"/>
      <c r="G6636" s="450" t="s">
        <v>22877</v>
      </c>
      <c r="H6636" s="450" t="s">
        <v>22878</v>
      </c>
      <c r="I6636" s="450" t="s">
        <v>36357</v>
      </c>
      <c r="J6636" s="450" t="s">
        <v>22937</v>
      </c>
      <c r="K6636" s="450"/>
    </row>
    <row r="6637" spans="1:11">
      <c r="A6637" s="451" t="s">
        <v>10752</v>
      </c>
      <c r="B6637" s="451"/>
      <c r="C6637" s="451" t="s">
        <v>5024</v>
      </c>
      <c r="D6637" s="451"/>
      <c r="E6637" s="451"/>
      <c r="F6637" s="451"/>
      <c r="G6637" s="451" t="s">
        <v>22882</v>
      </c>
      <c r="H6637" s="451" t="s">
        <v>22883</v>
      </c>
      <c r="I6637" s="451" t="s">
        <v>36358</v>
      </c>
      <c r="J6637" s="451" t="s">
        <v>22942</v>
      </c>
      <c r="K6637" s="451"/>
    </row>
    <row r="6638" spans="1:11">
      <c r="A6638" s="450" t="s">
        <v>10753</v>
      </c>
      <c r="B6638" s="450"/>
      <c r="C6638" s="450" t="s">
        <v>1815</v>
      </c>
      <c r="D6638" s="450"/>
      <c r="E6638" s="450"/>
      <c r="F6638" s="450"/>
      <c r="G6638" s="450" t="s">
        <v>22877</v>
      </c>
      <c r="H6638" s="450" t="s">
        <v>22878</v>
      </c>
      <c r="I6638" s="450" t="s">
        <v>36341</v>
      </c>
      <c r="J6638" s="450" t="s">
        <v>22939</v>
      </c>
      <c r="K6638" s="450"/>
    </row>
    <row r="6639" spans="1:11">
      <c r="A6639" s="451" t="s">
        <v>10754</v>
      </c>
      <c r="B6639" s="451"/>
      <c r="C6639" s="451" t="s">
        <v>9602</v>
      </c>
      <c r="D6639" s="451"/>
      <c r="E6639" s="451"/>
      <c r="F6639" s="451"/>
      <c r="G6639" s="451" t="s">
        <v>22877</v>
      </c>
      <c r="H6639" s="451" t="s">
        <v>22878</v>
      </c>
      <c r="I6639" s="451" t="s">
        <v>36359</v>
      </c>
      <c r="J6639" s="451" t="s">
        <v>22939</v>
      </c>
      <c r="K6639" s="451"/>
    </row>
    <row r="6640" spans="1:11">
      <c r="A6640" s="450" t="s">
        <v>10755</v>
      </c>
      <c r="B6640" s="450"/>
      <c r="C6640" s="450" t="s">
        <v>5736</v>
      </c>
      <c r="D6640" s="450"/>
      <c r="E6640" s="450"/>
      <c r="F6640" s="450"/>
      <c r="G6640" s="450" t="s">
        <v>22877</v>
      </c>
      <c r="H6640" s="450" t="s">
        <v>22878</v>
      </c>
      <c r="I6640" s="450" t="s">
        <v>5737</v>
      </c>
      <c r="J6640" s="450" t="s">
        <v>22937</v>
      </c>
      <c r="K6640" s="450"/>
    </row>
    <row r="6641" spans="1:11">
      <c r="A6641" s="451" t="s">
        <v>10756</v>
      </c>
      <c r="B6641" s="451" t="s">
        <v>10757</v>
      </c>
      <c r="C6641" s="451" t="s">
        <v>3124</v>
      </c>
      <c r="D6641" s="451" t="s">
        <v>10758</v>
      </c>
      <c r="E6641" s="451" t="s">
        <v>10759</v>
      </c>
      <c r="F6641" s="451"/>
      <c r="G6641" s="451" t="s">
        <v>22877</v>
      </c>
      <c r="H6641" s="451" t="s">
        <v>22878</v>
      </c>
      <c r="I6641" s="451" t="s">
        <v>31714</v>
      </c>
      <c r="J6641" s="451" t="s">
        <v>31715</v>
      </c>
      <c r="K6641" s="451"/>
    </row>
    <row r="6642" spans="1:11">
      <c r="A6642" s="450" t="s">
        <v>26721</v>
      </c>
      <c r="B6642" s="450" t="s">
        <v>26722</v>
      </c>
      <c r="C6642" s="450" t="s">
        <v>21304</v>
      </c>
      <c r="D6642" s="450" t="s">
        <v>26723</v>
      </c>
      <c r="E6642" s="450"/>
      <c r="F6642" s="450"/>
      <c r="G6642" s="450" t="s">
        <v>22877</v>
      </c>
      <c r="H6642" s="450" t="s">
        <v>22878</v>
      </c>
      <c r="I6642" s="450" t="s">
        <v>26723</v>
      </c>
      <c r="J6642" s="450" t="s">
        <v>26724</v>
      </c>
      <c r="K6642" s="450"/>
    </row>
    <row r="6643" spans="1:11">
      <c r="A6643" s="451" t="s">
        <v>21810</v>
      </c>
      <c r="B6643" s="451"/>
      <c r="C6643" s="451" t="s">
        <v>2166</v>
      </c>
      <c r="D6643" s="451"/>
      <c r="E6643" s="451"/>
      <c r="F6643" s="451"/>
      <c r="G6643" s="451" t="s">
        <v>22882</v>
      </c>
      <c r="H6643" s="451" t="s">
        <v>22883</v>
      </c>
      <c r="I6643" s="451" t="s">
        <v>36360</v>
      </c>
      <c r="J6643" s="451" t="s">
        <v>22997</v>
      </c>
      <c r="K6643" s="451"/>
    </row>
    <row r="6644" spans="1:11">
      <c r="A6644" s="450" t="s">
        <v>10760</v>
      </c>
      <c r="B6644" s="450"/>
      <c r="C6644" s="450" t="s">
        <v>10761</v>
      </c>
      <c r="D6644" s="450"/>
      <c r="E6644" s="450"/>
      <c r="F6644" s="450"/>
      <c r="G6644" s="450" t="s">
        <v>22877</v>
      </c>
      <c r="H6644" s="450" t="s">
        <v>22878</v>
      </c>
      <c r="I6644" s="450" t="s">
        <v>31716</v>
      </c>
      <c r="J6644" s="450" t="s">
        <v>22958</v>
      </c>
      <c r="K6644" s="450"/>
    </row>
    <row r="6645" spans="1:11">
      <c r="A6645" s="451" t="s">
        <v>10762</v>
      </c>
      <c r="B6645" s="451" t="s">
        <v>10763</v>
      </c>
      <c r="C6645" s="451" t="s">
        <v>9687</v>
      </c>
      <c r="D6645" s="451" t="s">
        <v>10764</v>
      </c>
      <c r="E6645" s="451" t="s">
        <v>10765</v>
      </c>
      <c r="F6645" s="451"/>
      <c r="G6645" s="451" t="s">
        <v>22877</v>
      </c>
      <c r="H6645" s="451" t="s">
        <v>22878</v>
      </c>
      <c r="I6645" s="451" t="s">
        <v>27667</v>
      </c>
      <c r="J6645" s="451" t="s">
        <v>31717</v>
      </c>
      <c r="K6645" s="451"/>
    </row>
    <row r="6646" spans="1:11">
      <c r="A6646" s="450" t="s">
        <v>36361</v>
      </c>
      <c r="B6646" s="450"/>
      <c r="C6646" s="450" t="s">
        <v>10767</v>
      </c>
      <c r="D6646" s="450"/>
      <c r="E6646" s="450"/>
      <c r="F6646" s="450"/>
      <c r="G6646" s="450" t="s">
        <v>22882</v>
      </c>
      <c r="H6646" s="450" t="s">
        <v>22883</v>
      </c>
      <c r="I6646" s="450"/>
      <c r="J6646" s="450" t="s">
        <v>22943</v>
      </c>
      <c r="K6646" s="450"/>
    </row>
    <row r="6647" spans="1:11">
      <c r="A6647" s="451" t="s">
        <v>10766</v>
      </c>
      <c r="B6647" s="451"/>
      <c r="C6647" s="451" t="s">
        <v>10767</v>
      </c>
      <c r="D6647" s="451"/>
      <c r="E6647" s="451"/>
      <c r="F6647" s="451"/>
      <c r="G6647" s="451" t="s">
        <v>22877</v>
      </c>
      <c r="H6647" s="451" t="s">
        <v>22878</v>
      </c>
      <c r="I6647" s="451" t="s">
        <v>36362</v>
      </c>
      <c r="J6647" s="451" t="s">
        <v>22937</v>
      </c>
      <c r="K6647" s="451"/>
    </row>
    <row r="6648" spans="1:11">
      <c r="A6648" s="450" t="s">
        <v>10768</v>
      </c>
      <c r="B6648" s="450"/>
      <c r="C6648" s="450" t="s">
        <v>10769</v>
      </c>
      <c r="D6648" s="450"/>
      <c r="E6648" s="450"/>
      <c r="F6648" s="450"/>
      <c r="G6648" s="450" t="s">
        <v>22877</v>
      </c>
      <c r="H6648" s="450" t="s">
        <v>22878</v>
      </c>
      <c r="I6648" s="450" t="s">
        <v>26744</v>
      </c>
      <c r="J6648" s="450" t="s">
        <v>22939</v>
      </c>
      <c r="K6648" s="450"/>
    </row>
    <row r="6649" spans="1:11">
      <c r="A6649" s="451" t="s">
        <v>10770</v>
      </c>
      <c r="B6649" s="451"/>
      <c r="C6649" s="451" t="s">
        <v>10771</v>
      </c>
      <c r="D6649" s="451"/>
      <c r="E6649" s="451"/>
      <c r="F6649" s="451"/>
      <c r="G6649" s="451" t="s">
        <v>22877</v>
      </c>
      <c r="H6649" s="451" t="s">
        <v>22878</v>
      </c>
      <c r="I6649" s="451" t="s">
        <v>36363</v>
      </c>
      <c r="J6649" s="451" t="s">
        <v>22939</v>
      </c>
      <c r="K6649" s="451"/>
    </row>
    <row r="6650" spans="1:11">
      <c r="A6650" s="450" t="s">
        <v>36364</v>
      </c>
      <c r="B6650" s="450"/>
      <c r="C6650" s="450" t="s">
        <v>9853</v>
      </c>
      <c r="D6650" s="450"/>
      <c r="E6650" s="450"/>
      <c r="F6650" s="450"/>
      <c r="G6650" s="450" t="s">
        <v>22882</v>
      </c>
      <c r="H6650" s="450" t="s">
        <v>22883</v>
      </c>
      <c r="I6650" s="450" t="s">
        <v>36365</v>
      </c>
      <c r="J6650" s="450" t="s">
        <v>22943</v>
      </c>
      <c r="K6650" s="450"/>
    </row>
    <row r="6651" spans="1:11">
      <c r="A6651" s="451" t="s">
        <v>10772</v>
      </c>
      <c r="B6651" s="451"/>
      <c r="C6651" s="451" t="s">
        <v>9853</v>
      </c>
      <c r="D6651" s="451"/>
      <c r="E6651" s="451"/>
      <c r="F6651" s="451"/>
      <c r="G6651" s="451" t="s">
        <v>22882</v>
      </c>
      <c r="H6651" s="451" t="s">
        <v>22883</v>
      </c>
      <c r="I6651" s="451"/>
      <c r="J6651" s="451" t="s">
        <v>23190</v>
      </c>
      <c r="K6651" s="451"/>
    </row>
    <row r="6652" spans="1:11">
      <c r="A6652" s="450" t="s">
        <v>10773</v>
      </c>
      <c r="B6652" s="450" t="s">
        <v>10774</v>
      </c>
      <c r="C6652" s="450" t="s">
        <v>10775</v>
      </c>
      <c r="D6652" s="450"/>
      <c r="E6652" s="450"/>
      <c r="F6652" s="450"/>
      <c r="G6652" s="450" t="s">
        <v>22877</v>
      </c>
      <c r="H6652" s="450" t="s">
        <v>22878</v>
      </c>
      <c r="I6652" s="450" t="s">
        <v>26725</v>
      </c>
      <c r="J6652" s="450" t="s">
        <v>26726</v>
      </c>
      <c r="K6652" s="450"/>
    </row>
    <row r="6653" spans="1:11">
      <c r="A6653" s="451" t="s">
        <v>36366</v>
      </c>
      <c r="B6653" s="451"/>
      <c r="C6653" s="451" t="s">
        <v>5031</v>
      </c>
      <c r="D6653" s="451"/>
      <c r="E6653" s="451"/>
      <c r="F6653" s="451"/>
      <c r="G6653" s="451" t="s">
        <v>22877</v>
      </c>
      <c r="H6653" s="451" t="s">
        <v>22878</v>
      </c>
      <c r="I6653" s="451" t="s">
        <v>26727</v>
      </c>
      <c r="J6653" s="451" t="s">
        <v>22939</v>
      </c>
      <c r="K6653" s="451"/>
    </row>
    <row r="6654" spans="1:11">
      <c r="A6654" s="450" t="s">
        <v>10776</v>
      </c>
      <c r="B6654" s="450"/>
      <c r="C6654" s="450" t="s">
        <v>5031</v>
      </c>
      <c r="D6654" s="450"/>
      <c r="E6654" s="450"/>
      <c r="F6654" s="450"/>
      <c r="G6654" s="450" t="s">
        <v>22877</v>
      </c>
      <c r="H6654" s="450" t="s">
        <v>22878</v>
      </c>
      <c r="I6654" s="450" t="s">
        <v>26727</v>
      </c>
      <c r="J6654" s="450" t="s">
        <v>22939</v>
      </c>
      <c r="K6654" s="450"/>
    </row>
    <row r="6655" spans="1:11">
      <c r="A6655" s="451" t="s">
        <v>10777</v>
      </c>
      <c r="B6655" s="451" t="s">
        <v>10778</v>
      </c>
      <c r="C6655" s="451" t="s">
        <v>10779</v>
      </c>
      <c r="D6655" s="451" t="s">
        <v>10780</v>
      </c>
      <c r="E6655" s="451" t="s">
        <v>10781</v>
      </c>
      <c r="F6655" s="451"/>
      <c r="G6655" s="451" t="s">
        <v>22877</v>
      </c>
      <c r="H6655" s="451" t="s">
        <v>22878</v>
      </c>
      <c r="I6655" s="451" t="s">
        <v>31718</v>
      </c>
      <c r="J6655" s="451" t="s">
        <v>31719</v>
      </c>
      <c r="K6655" s="451"/>
    </row>
    <row r="6656" spans="1:11">
      <c r="A6656" s="450" t="s">
        <v>36367</v>
      </c>
      <c r="B6656" s="450" t="s">
        <v>10783</v>
      </c>
      <c r="C6656" s="450" t="s">
        <v>10784</v>
      </c>
      <c r="D6656" s="450" t="s">
        <v>10785</v>
      </c>
      <c r="E6656" s="450"/>
      <c r="F6656" s="450"/>
      <c r="G6656" s="450" t="s">
        <v>22877</v>
      </c>
      <c r="H6656" s="450" t="s">
        <v>22878</v>
      </c>
      <c r="I6656" s="450" t="s">
        <v>26728</v>
      </c>
      <c r="J6656" s="450" t="s">
        <v>36368</v>
      </c>
      <c r="K6656" s="450"/>
    </row>
    <row r="6657" spans="1:11">
      <c r="A6657" s="451" t="s">
        <v>10782</v>
      </c>
      <c r="B6657" s="451" t="s">
        <v>10783</v>
      </c>
      <c r="C6657" s="451" t="s">
        <v>10784</v>
      </c>
      <c r="D6657" s="451" t="s">
        <v>10785</v>
      </c>
      <c r="E6657" s="451"/>
      <c r="F6657" s="451"/>
      <c r="G6657" s="451" t="s">
        <v>22877</v>
      </c>
      <c r="H6657" s="451" t="s">
        <v>22878</v>
      </c>
      <c r="I6657" s="451" t="s">
        <v>26728</v>
      </c>
      <c r="J6657" s="451" t="s">
        <v>31720</v>
      </c>
      <c r="K6657" s="451"/>
    </row>
    <row r="6658" spans="1:11">
      <c r="A6658" s="450" t="s">
        <v>10786</v>
      </c>
      <c r="B6658" s="450"/>
      <c r="C6658" s="450" t="s">
        <v>10787</v>
      </c>
      <c r="D6658" s="450"/>
      <c r="E6658" s="450"/>
      <c r="F6658" s="450"/>
      <c r="G6658" s="450" t="s">
        <v>22882</v>
      </c>
      <c r="H6658" s="450" t="s">
        <v>22883</v>
      </c>
      <c r="I6658" s="450"/>
      <c r="J6658" s="450" t="s">
        <v>22937</v>
      </c>
      <c r="K6658" s="450"/>
    </row>
    <row r="6659" spans="1:11">
      <c r="A6659" s="451" t="s">
        <v>36369</v>
      </c>
      <c r="B6659" s="451"/>
      <c r="C6659" s="451" t="s">
        <v>10787</v>
      </c>
      <c r="D6659" s="451"/>
      <c r="E6659" s="451"/>
      <c r="F6659" s="451"/>
      <c r="G6659" s="451" t="s">
        <v>22882</v>
      </c>
      <c r="H6659" s="451" t="s">
        <v>22883</v>
      </c>
      <c r="I6659" s="451"/>
      <c r="J6659" s="451" t="s">
        <v>23121</v>
      </c>
      <c r="K6659" s="451"/>
    </row>
    <row r="6660" spans="1:11">
      <c r="A6660" s="450" t="s">
        <v>10788</v>
      </c>
      <c r="B6660" s="450"/>
      <c r="C6660" s="450" t="s">
        <v>10789</v>
      </c>
      <c r="D6660" s="450"/>
      <c r="E6660" s="450"/>
      <c r="F6660" s="450"/>
      <c r="G6660" s="450" t="s">
        <v>22877</v>
      </c>
      <c r="H6660" s="450" t="s">
        <v>22878</v>
      </c>
      <c r="I6660" s="450" t="s">
        <v>36370</v>
      </c>
      <c r="J6660" s="450" t="s">
        <v>22939</v>
      </c>
      <c r="K6660" s="450"/>
    </row>
    <row r="6661" spans="1:11">
      <c r="A6661" s="451" t="s">
        <v>10790</v>
      </c>
      <c r="B6661" s="451"/>
      <c r="C6661" s="451" t="s">
        <v>10791</v>
      </c>
      <c r="D6661" s="451"/>
      <c r="E6661" s="451"/>
      <c r="F6661" s="451"/>
      <c r="G6661" s="451" t="s">
        <v>22877</v>
      </c>
      <c r="H6661" s="451" t="s">
        <v>22878</v>
      </c>
      <c r="I6661" s="451" t="s">
        <v>36371</v>
      </c>
      <c r="J6661" s="451" t="s">
        <v>22939</v>
      </c>
      <c r="K6661" s="451"/>
    </row>
    <row r="6662" spans="1:11">
      <c r="A6662" s="450" t="s">
        <v>36372</v>
      </c>
      <c r="B6662" s="450"/>
      <c r="C6662" s="450" t="s">
        <v>4226</v>
      </c>
      <c r="D6662" s="450"/>
      <c r="E6662" s="450"/>
      <c r="F6662" s="450"/>
      <c r="G6662" s="450" t="s">
        <v>22877</v>
      </c>
      <c r="H6662" s="450" t="s">
        <v>22878</v>
      </c>
      <c r="I6662" s="450" t="s">
        <v>36373</v>
      </c>
      <c r="J6662" s="450" t="s">
        <v>23121</v>
      </c>
      <c r="K6662" s="450"/>
    </row>
    <row r="6663" spans="1:11">
      <c r="A6663" s="451" t="s">
        <v>10792</v>
      </c>
      <c r="B6663" s="451"/>
      <c r="C6663" s="451" t="s">
        <v>4226</v>
      </c>
      <c r="D6663" s="451"/>
      <c r="E6663" s="451"/>
      <c r="F6663" s="451"/>
      <c r="G6663" s="451" t="s">
        <v>22882</v>
      </c>
      <c r="H6663" s="451" t="s">
        <v>22883</v>
      </c>
      <c r="I6663" s="451" t="s">
        <v>36374</v>
      </c>
      <c r="J6663" s="451" t="s">
        <v>22939</v>
      </c>
      <c r="K6663" s="451"/>
    </row>
    <row r="6664" spans="1:11">
      <c r="A6664" s="450" t="s">
        <v>10793</v>
      </c>
      <c r="B6664" s="450"/>
      <c r="C6664" s="450" t="s">
        <v>4935</v>
      </c>
      <c r="D6664" s="450"/>
      <c r="E6664" s="450"/>
      <c r="F6664" s="450"/>
      <c r="G6664" s="450" t="s">
        <v>22877</v>
      </c>
      <c r="H6664" s="450" t="s">
        <v>22878</v>
      </c>
      <c r="I6664" s="450" t="s">
        <v>36375</v>
      </c>
      <c r="J6664" s="450" t="s">
        <v>22943</v>
      </c>
      <c r="K6664" s="450"/>
    </row>
    <row r="6665" spans="1:11">
      <c r="A6665" s="451" t="s">
        <v>10794</v>
      </c>
      <c r="B6665" s="451"/>
      <c r="C6665" s="451" t="s">
        <v>2788</v>
      </c>
      <c r="D6665" s="451"/>
      <c r="E6665" s="451"/>
      <c r="F6665" s="451"/>
      <c r="G6665" s="451" t="s">
        <v>22882</v>
      </c>
      <c r="H6665" s="451" t="s">
        <v>22883</v>
      </c>
      <c r="I6665" s="451" t="s">
        <v>36376</v>
      </c>
      <c r="J6665" s="451" t="s">
        <v>22939</v>
      </c>
      <c r="K6665" s="451"/>
    </row>
    <row r="6666" spans="1:11">
      <c r="A6666" s="450" t="s">
        <v>26729</v>
      </c>
      <c r="B6666" s="450"/>
      <c r="C6666" s="450" t="s">
        <v>2788</v>
      </c>
      <c r="D6666" s="450"/>
      <c r="E6666" s="450"/>
      <c r="F6666" s="450"/>
      <c r="G6666" s="450" t="s">
        <v>22877</v>
      </c>
      <c r="H6666" s="450" t="s">
        <v>22878</v>
      </c>
      <c r="I6666" s="450" t="s">
        <v>26730</v>
      </c>
      <c r="J6666" s="450" t="s">
        <v>22943</v>
      </c>
      <c r="K6666" s="450"/>
    </row>
    <row r="6667" spans="1:11">
      <c r="A6667" s="451" t="s">
        <v>10795</v>
      </c>
      <c r="B6667" s="451" t="s">
        <v>10796</v>
      </c>
      <c r="C6667" s="451" t="s">
        <v>10797</v>
      </c>
      <c r="D6667" s="451"/>
      <c r="E6667" s="451"/>
      <c r="F6667" s="451" t="s">
        <v>22123</v>
      </c>
      <c r="G6667" s="451" t="s">
        <v>22877</v>
      </c>
      <c r="H6667" s="451" t="s">
        <v>22878</v>
      </c>
      <c r="I6667" s="451" t="s">
        <v>26731</v>
      </c>
      <c r="J6667" s="451" t="s">
        <v>26732</v>
      </c>
      <c r="K6667" s="451"/>
    </row>
    <row r="6668" spans="1:11">
      <c r="A6668" s="450" t="s">
        <v>10798</v>
      </c>
      <c r="B6668" s="450"/>
      <c r="C6668" s="450" t="s">
        <v>10799</v>
      </c>
      <c r="D6668" s="450"/>
      <c r="E6668" s="450"/>
      <c r="F6668" s="450"/>
      <c r="G6668" s="450" t="s">
        <v>22882</v>
      </c>
      <c r="H6668" s="450" t="s">
        <v>22883</v>
      </c>
      <c r="I6668" s="450" t="s">
        <v>26733</v>
      </c>
      <c r="J6668" s="450" t="s">
        <v>22939</v>
      </c>
      <c r="K6668" s="450"/>
    </row>
    <row r="6669" spans="1:11">
      <c r="A6669" s="451" t="s">
        <v>10800</v>
      </c>
      <c r="B6669" s="451" t="s">
        <v>10801</v>
      </c>
      <c r="C6669" s="451" t="s">
        <v>10802</v>
      </c>
      <c r="D6669" s="451"/>
      <c r="E6669" s="451"/>
      <c r="F6669" s="451"/>
      <c r="G6669" s="451" t="s">
        <v>22877</v>
      </c>
      <c r="H6669" s="451" t="s">
        <v>22878</v>
      </c>
      <c r="I6669" s="451" t="s">
        <v>26734</v>
      </c>
      <c r="J6669" s="451" t="s">
        <v>26735</v>
      </c>
      <c r="K6669" s="451"/>
    </row>
    <row r="6670" spans="1:11">
      <c r="A6670" s="450" t="s">
        <v>10803</v>
      </c>
      <c r="B6670" s="450" t="s">
        <v>10801</v>
      </c>
      <c r="C6670" s="450" t="s">
        <v>10802</v>
      </c>
      <c r="D6670" s="450"/>
      <c r="E6670" s="450"/>
      <c r="F6670" s="450"/>
      <c r="G6670" s="450" t="s">
        <v>22882</v>
      </c>
      <c r="H6670" s="450" t="s">
        <v>22883</v>
      </c>
      <c r="I6670" s="450"/>
      <c r="J6670" s="450" t="s">
        <v>36377</v>
      </c>
      <c r="K6670" s="450"/>
    </row>
    <row r="6671" spans="1:11">
      <c r="A6671" s="451" t="s">
        <v>36378</v>
      </c>
      <c r="B6671" s="451"/>
      <c r="C6671" s="451" t="s">
        <v>10804</v>
      </c>
      <c r="D6671" s="451"/>
      <c r="E6671" s="451"/>
      <c r="F6671" s="451"/>
      <c r="G6671" s="451" t="s">
        <v>22882</v>
      </c>
      <c r="H6671" s="451" t="s">
        <v>22883</v>
      </c>
      <c r="I6671" s="451"/>
      <c r="J6671" s="451" t="s">
        <v>22997</v>
      </c>
      <c r="K6671" s="451"/>
    </row>
    <row r="6672" spans="1:11">
      <c r="A6672" s="450" t="s">
        <v>10805</v>
      </c>
      <c r="B6672" s="450"/>
      <c r="C6672" s="450" t="s">
        <v>10806</v>
      </c>
      <c r="D6672" s="450"/>
      <c r="E6672" s="450"/>
      <c r="F6672" s="450"/>
      <c r="G6672" s="450" t="s">
        <v>22882</v>
      </c>
      <c r="H6672" s="450" t="s">
        <v>22883</v>
      </c>
      <c r="I6672" s="450"/>
      <c r="J6672" s="450" t="s">
        <v>22997</v>
      </c>
      <c r="K6672" s="450"/>
    </row>
    <row r="6673" spans="1:11">
      <c r="A6673" s="451" t="s">
        <v>21811</v>
      </c>
      <c r="B6673" s="451"/>
      <c r="C6673" s="451" t="s">
        <v>10804</v>
      </c>
      <c r="D6673" s="451"/>
      <c r="E6673" s="451"/>
      <c r="F6673" s="451"/>
      <c r="G6673" s="451" t="s">
        <v>22882</v>
      </c>
      <c r="H6673" s="451" t="s">
        <v>22883</v>
      </c>
      <c r="I6673" s="451"/>
      <c r="J6673" s="451" t="s">
        <v>23143</v>
      </c>
      <c r="K6673" s="451"/>
    </row>
    <row r="6674" spans="1:11">
      <c r="A6674" s="450" t="s">
        <v>10807</v>
      </c>
      <c r="B6674" s="450" t="s">
        <v>10808</v>
      </c>
      <c r="C6674" s="450" t="s">
        <v>10809</v>
      </c>
      <c r="D6674" s="450" t="s">
        <v>10810</v>
      </c>
      <c r="E6674" s="450" t="s">
        <v>10811</v>
      </c>
      <c r="F6674" s="450"/>
      <c r="G6674" s="450" t="s">
        <v>22877</v>
      </c>
      <c r="H6674" s="450" t="s">
        <v>22878</v>
      </c>
      <c r="I6674" s="450" t="s">
        <v>36379</v>
      </c>
      <c r="J6674" s="450" t="s">
        <v>36380</v>
      </c>
      <c r="K6674" s="450"/>
    </row>
    <row r="6675" spans="1:11">
      <c r="A6675" s="451" t="s">
        <v>26736</v>
      </c>
      <c r="B6675" s="451" t="s">
        <v>10808</v>
      </c>
      <c r="C6675" s="451" t="s">
        <v>10809</v>
      </c>
      <c r="D6675" s="451" t="s">
        <v>10810</v>
      </c>
      <c r="E6675" s="451"/>
      <c r="F6675" s="451"/>
      <c r="G6675" s="451" t="s">
        <v>22877</v>
      </c>
      <c r="H6675" s="451" t="s">
        <v>22878</v>
      </c>
      <c r="I6675" s="451" t="s">
        <v>26737</v>
      </c>
      <c r="J6675" s="451" t="s">
        <v>26738</v>
      </c>
      <c r="K6675" s="451"/>
    </row>
    <row r="6676" spans="1:11">
      <c r="A6676" s="450" t="s">
        <v>10812</v>
      </c>
      <c r="B6676" s="450"/>
      <c r="C6676" s="450" t="s">
        <v>7832</v>
      </c>
      <c r="D6676" s="450"/>
      <c r="E6676" s="450"/>
      <c r="F6676" s="450"/>
      <c r="G6676" s="450" t="s">
        <v>22877</v>
      </c>
      <c r="H6676" s="450" t="s">
        <v>22878</v>
      </c>
      <c r="I6676" s="450" t="s">
        <v>26740</v>
      </c>
      <c r="J6676" s="450" t="s">
        <v>22937</v>
      </c>
      <c r="K6676" s="450"/>
    </row>
    <row r="6677" spans="1:11">
      <c r="A6677" s="451" t="s">
        <v>26739</v>
      </c>
      <c r="B6677" s="451"/>
      <c r="C6677" s="451" t="s">
        <v>7832</v>
      </c>
      <c r="D6677" s="451"/>
      <c r="E6677" s="451"/>
      <c r="F6677" s="451"/>
      <c r="G6677" s="451" t="s">
        <v>22877</v>
      </c>
      <c r="H6677" s="451" t="s">
        <v>22878</v>
      </c>
      <c r="I6677" s="451" t="s">
        <v>26740</v>
      </c>
      <c r="J6677" s="451" t="s">
        <v>23370</v>
      </c>
      <c r="K6677" s="451"/>
    </row>
    <row r="6678" spans="1:11">
      <c r="A6678" s="450" t="s">
        <v>10813</v>
      </c>
      <c r="B6678" s="450" t="s">
        <v>10814</v>
      </c>
      <c r="C6678" s="450" t="s">
        <v>10815</v>
      </c>
      <c r="D6678" s="450"/>
      <c r="E6678" s="450"/>
      <c r="F6678" s="450"/>
      <c r="G6678" s="450" t="s">
        <v>22877</v>
      </c>
      <c r="H6678" s="450" t="s">
        <v>22878</v>
      </c>
      <c r="I6678" s="450" t="s">
        <v>26741</v>
      </c>
      <c r="J6678" s="450" t="s">
        <v>26742</v>
      </c>
      <c r="K6678" s="450"/>
    </row>
    <row r="6679" spans="1:11">
      <c r="A6679" s="451" t="s">
        <v>26743</v>
      </c>
      <c r="B6679" s="451"/>
      <c r="C6679" s="451" t="s">
        <v>10769</v>
      </c>
      <c r="D6679" s="451"/>
      <c r="E6679" s="451"/>
      <c r="F6679" s="451"/>
      <c r="G6679" s="451" t="s">
        <v>22877</v>
      </c>
      <c r="H6679" s="451" t="s">
        <v>22878</v>
      </c>
      <c r="I6679" s="451" t="s">
        <v>26744</v>
      </c>
      <c r="J6679" s="451" t="s">
        <v>22943</v>
      </c>
      <c r="K6679" s="451"/>
    </row>
    <row r="6680" spans="1:11">
      <c r="A6680" s="450" t="s">
        <v>21073</v>
      </c>
      <c r="B6680" s="450" t="s">
        <v>36381</v>
      </c>
      <c r="C6680" s="450" t="s">
        <v>21074</v>
      </c>
      <c r="D6680" s="450"/>
      <c r="E6680" s="450"/>
      <c r="F6680" s="450"/>
      <c r="G6680" s="450" t="s">
        <v>22877</v>
      </c>
      <c r="H6680" s="450" t="s">
        <v>22878</v>
      </c>
      <c r="I6680" s="450" t="s">
        <v>21076</v>
      </c>
      <c r="J6680" s="450" t="s">
        <v>36382</v>
      </c>
      <c r="K6680" s="450"/>
    </row>
    <row r="6681" spans="1:11">
      <c r="A6681" s="451" t="s">
        <v>21073</v>
      </c>
      <c r="B6681" s="451" t="s">
        <v>21075</v>
      </c>
      <c r="C6681" s="451" t="s">
        <v>21074</v>
      </c>
      <c r="D6681" s="451" t="s">
        <v>21076</v>
      </c>
      <c r="E6681" s="451"/>
      <c r="F6681" s="451" t="s">
        <v>21077</v>
      </c>
      <c r="G6681" s="451" t="s">
        <v>22877</v>
      </c>
      <c r="H6681" s="451" t="s">
        <v>22878</v>
      </c>
      <c r="I6681" s="451" t="s">
        <v>21076</v>
      </c>
      <c r="J6681" s="451" t="s">
        <v>36383</v>
      </c>
      <c r="K6681" s="451"/>
    </row>
    <row r="6682" spans="1:11">
      <c r="A6682" s="450" t="s">
        <v>20512</v>
      </c>
      <c r="B6682" s="450" t="s">
        <v>20513</v>
      </c>
      <c r="C6682" s="450" t="s">
        <v>20514</v>
      </c>
      <c r="D6682" s="450" t="s">
        <v>20515</v>
      </c>
      <c r="E6682" s="450"/>
      <c r="F6682" s="450"/>
      <c r="G6682" s="450" t="s">
        <v>22877</v>
      </c>
      <c r="H6682" s="450" t="s">
        <v>22878</v>
      </c>
      <c r="I6682" s="450" t="s">
        <v>21076</v>
      </c>
      <c r="J6682" s="450" t="s">
        <v>31721</v>
      </c>
      <c r="K6682" s="450"/>
    </row>
    <row r="6683" spans="1:11">
      <c r="A6683" s="451" t="s">
        <v>36384</v>
      </c>
      <c r="B6683" s="451"/>
      <c r="C6683" s="451" t="s">
        <v>36385</v>
      </c>
      <c r="D6683" s="451"/>
      <c r="E6683" s="451"/>
      <c r="F6683" s="451"/>
      <c r="G6683" s="451" t="s">
        <v>22882</v>
      </c>
      <c r="H6683" s="451" t="s">
        <v>22883</v>
      </c>
      <c r="I6683" s="451"/>
      <c r="J6683" s="451" t="s">
        <v>22943</v>
      </c>
      <c r="K6683" s="451"/>
    </row>
    <row r="6684" spans="1:11">
      <c r="A6684" s="450" t="s">
        <v>10816</v>
      </c>
      <c r="B6684" s="450"/>
      <c r="C6684" s="450" t="s">
        <v>10817</v>
      </c>
      <c r="D6684" s="450"/>
      <c r="E6684" s="450"/>
      <c r="F6684" s="450"/>
      <c r="G6684" s="450" t="s">
        <v>22877</v>
      </c>
      <c r="H6684" s="450" t="s">
        <v>22878</v>
      </c>
      <c r="I6684" s="450" t="s">
        <v>36386</v>
      </c>
      <c r="J6684" s="450" t="s">
        <v>22939</v>
      </c>
      <c r="K6684" s="450"/>
    </row>
    <row r="6685" spans="1:11">
      <c r="A6685" s="451" t="s">
        <v>36387</v>
      </c>
      <c r="B6685" s="451"/>
      <c r="C6685" s="451" t="s">
        <v>2564</v>
      </c>
      <c r="D6685" s="451"/>
      <c r="E6685" s="451"/>
      <c r="F6685" s="451"/>
      <c r="G6685" s="451" t="s">
        <v>22877</v>
      </c>
      <c r="H6685" s="451" t="s">
        <v>22878</v>
      </c>
      <c r="I6685" s="451" t="s">
        <v>36388</v>
      </c>
      <c r="J6685" s="451" t="s">
        <v>23370</v>
      </c>
      <c r="K6685" s="451"/>
    </row>
    <row r="6686" spans="1:11">
      <c r="A6686" s="450" t="s">
        <v>10818</v>
      </c>
      <c r="B6686" s="450"/>
      <c r="C6686" s="450" t="s">
        <v>2564</v>
      </c>
      <c r="D6686" s="450"/>
      <c r="E6686" s="450"/>
      <c r="F6686" s="450"/>
      <c r="G6686" s="450" t="s">
        <v>23776</v>
      </c>
      <c r="H6686" s="450" t="s">
        <v>22878</v>
      </c>
      <c r="I6686" s="450"/>
      <c r="J6686" s="450"/>
      <c r="K6686" s="450"/>
    </row>
    <row r="6687" spans="1:11">
      <c r="A6687" s="451" t="s">
        <v>36389</v>
      </c>
      <c r="B6687" s="451" t="s">
        <v>36390</v>
      </c>
      <c r="C6687" s="451" t="s">
        <v>36391</v>
      </c>
      <c r="D6687" s="451"/>
      <c r="E6687" s="451"/>
      <c r="F6687" s="451"/>
      <c r="G6687" s="451" t="s">
        <v>22882</v>
      </c>
      <c r="H6687" s="451" t="s">
        <v>22883</v>
      </c>
      <c r="I6687" s="451"/>
      <c r="J6687" s="451" t="s">
        <v>36392</v>
      </c>
      <c r="K6687" s="451"/>
    </row>
    <row r="6688" spans="1:11">
      <c r="A6688" s="450" t="s">
        <v>10819</v>
      </c>
      <c r="B6688" s="450"/>
      <c r="C6688" s="450" t="s">
        <v>1213</v>
      </c>
      <c r="D6688" s="450"/>
      <c r="E6688" s="450"/>
      <c r="F6688" s="450"/>
      <c r="G6688" s="450" t="s">
        <v>22882</v>
      </c>
      <c r="H6688" s="450" t="s">
        <v>22883</v>
      </c>
      <c r="I6688" s="450"/>
      <c r="J6688" s="450" t="s">
        <v>23370</v>
      </c>
      <c r="K6688" s="450"/>
    </row>
    <row r="6689" spans="1:11">
      <c r="A6689" s="451" t="s">
        <v>10820</v>
      </c>
      <c r="B6689" s="451"/>
      <c r="C6689" s="451" t="s">
        <v>10821</v>
      </c>
      <c r="D6689" s="451"/>
      <c r="E6689" s="451"/>
      <c r="F6689" s="451"/>
      <c r="G6689" s="451" t="s">
        <v>22882</v>
      </c>
      <c r="H6689" s="451" t="s">
        <v>22883</v>
      </c>
      <c r="I6689" s="451"/>
      <c r="J6689" s="451" t="s">
        <v>23370</v>
      </c>
      <c r="K6689" s="451"/>
    </row>
    <row r="6690" spans="1:11">
      <c r="A6690" s="450" t="s">
        <v>10822</v>
      </c>
      <c r="B6690" s="450"/>
      <c r="C6690" s="450" t="s">
        <v>10823</v>
      </c>
      <c r="D6690" s="450"/>
      <c r="E6690" s="450"/>
      <c r="F6690" s="450"/>
      <c r="G6690" s="450" t="s">
        <v>22877</v>
      </c>
      <c r="H6690" s="450" t="s">
        <v>22878</v>
      </c>
      <c r="I6690" s="450" t="s">
        <v>26745</v>
      </c>
      <c r="J6690" s="450" t="s">
        <v>26746</v>
      </c>
      <c r="K6690" s="450"/>
    </row>
    <row r="6691" spans="1:11">
      <c r="A6691" s="451" t="s">
        <v>10824</v>
      </c>
      <c r="B6691" s="451" t="s">
        <v>10825</v>
      </c>
      <c r="C6691" s="451" t="s">
        <v>10826</v>
      </c>
      <c r="D6691" s="451"/>
      <c r="E6691" s="451"/>
      <c r="F6691" s="451" t="s">
        <v>10827</v>
      </c>
      <c r="G6691" s="451" t="s">
        <v>22877</v>
      </c>
      <c r="H6691" s="451" t="s">
        <v>22878</v>
      </c>
      <c r="I6691" s="451" t="s">
        <v>26747</v>
      </c>
      <c r="J6691" s="451" t="s">
        <v>26748</v>
      </c>
      <c r="K6691" s="451"/>
    </row>
    <row r="6692" spans="1:11">
      <c r="A6692" s="450" t="s">
        <v>10828</v>
      </c>
      <c r="B6692" s="450"/>
      <c r="C6692" s="450" t="s">
        <v>10829</v>
      </c>
      <c r="D6692" s="450"/>
      <c r="E6692" s="450"/>
      <c r="F6692" s="450"/>
      <c r="G6692" s="450" t="s">
        <v>22877</v>
      </c>
      <c r="H6692" s="450" t="s">
        <v>22878</v>
      </c>
      <c r="I6692" s="450" t="s">
        <v>36393</v>
      </c>
      <c r="J6692" s="450" t="s">
        <v>22997</v>
      </c>
      <c r="K6692" s="450"/>
    </row>
    <row r="6693" spans="1:11">
      <c r="A6693" s="451" t="s">
        <v>36394</v>
      </c>
      <c r="B6693" s="451"/>
      <c r="C6693" s="451" t="s">
        <v>10830</v>
      </c>
      <c r="D6693" s="451"/>
      <c r="E6693" s="451"/>
      <c r="F6693" s="451"/>
      <c r="G6693" s="451" t="s">
        <v>22882</v>
      </c>
      <c r="H6693" s="451" t="s">
        <v>22883</v>
      </c>
      <c r="I6693" s="451"/>
      <c r="J6693" s="451" t="s">
        <v>22939</v>
      </c>
      <c r="K6693" s="451"/>
    </row>
    <row r="6694" spans="1:11">
      <c r="A6694" s="450" t="s">
        <v>21813</v>
      </c>
      <c r="B6694" s="450"/>
      <c r="C6694" s="450" t="s">
        <v>10830</v>
      </c>
      <c r="D6694" s="450"/>
      <c r="E6694" s="450"/>
      <c r="F6694" s="450"/>
      <c r="G6694" s="450" t="s">
        <v>22882</v>
      </c>
      <c r="H6694" s="450" t="s">
        <v>22883</v>
      </c>
      <c r="I6694" s="450"/>
      <c r="J6694" s="450" t="s">
        <v>22939</v>
      </c>
      <c r="K6694" s="450"/>
    </row>
    <row r="6695" spans="1:11">
      <c r="A6695" s="451" t="s">
        <v>10831</v>
      </c>
      <c r="B6695" s="451"/>
      <c r="C6695" s="451" t="s">
        <v>10832</v>
      </c>
      <c r="D6695" s="451"/>
      <c r="E6695" s="451"/>
      <c r="F6695" s="451"/>
      <c r="G6695" s="451" t="s">
        <v>22877</v>
      </c>
      <c r="H6695" s="451" t="s">
        <v>22878</v>
      </c>
      <c r="I6695" s="451" t="s">
        <v>36395</v>
      </c>
      <c r="J6695" s="451" t="s">
        <v>23185</v>
      </c>
      <c r="K6695" s="451"/>
    </row>
    <row r="6696" spans="1:11">
      <c r="A6696" s="450" t="s">
        <v>21812</v>
      </c>
      <c r="B6696" s="450"/>
      <c r="C6696" s="450" t="s">
        <v>10631</v>
      </c>
      <c r="D6696" s="450"/>
      <c r="E6696" s="450"/>
      <c r="F6696" s="450"/>
      <c r="G6696" s="450" t="s">
        <v>22882</v>
      </c>
      <c r="H6696" s="450" t="s">
        <v>22883</v>
      </c>
      <c r="I6696" s="450"/>
      <c r="J6696" s="450" t="s">
        <v>22939</v>
      </c>
      <c r="K6696" s="450"/>
    </row>
    <row r="6697" spans="1:11">
      <c r="A6697" s="451" t="s">
        <v>36396</v>
      </c>
      <c r="B6697" s="451"/>
      <c r="C6697" s="451" t="s">
        <v>5024</v>
      </c>
      <c r="D6697" s="451"/>
      <c r="E6697" s="451"/>
      <c r="F6697" s="451"/>
      <c r="G6697" s="451" t="s">
        <v>22877</v>
      </c>
      <c r="H6697" s="451" t="s">
        <v>22878</v>
      </c>
      <c r="I6697" s="451" t="s">
        <v>36397</v>
      </c>
      <c r="J6697" s="451" t="s">
        <v>22943</v>
      </c>
      <c r="K6697" s="451"/>
    </row>
    <row r="6698" spans="1:11">
      <c r="A6698" s="450" t="s">
        <v>36398</v>
      </c>
      <c r="B6698" s="450"/>
      <c r="C6698" s="450" t="s">
        <v>1815</v>
      </c>
      <c r="D6698" s="450"/>
      <c r="E6698" s="450"/>
      <c r="F6698" s="450"/>
      <c r="G6698" s="450" t="s">
        <v>32634</v>
      </c>
      <c r="H6698" s="450" t="s">
        <v>22878</v>
      </c>
      <c r="I6698" s="450"/>
      <c r="J6698" s="450"/>
      <c r="K6698" s="450"/>
    </row>
    <row r="6699" spans="1:11">
      <c r="A6699" s="451" t="s">
        <v>10833</v>
      </c>
      <c r="B6699" s="451"/>
      <c r="C6699" s="451" t="s">
        <v>10834</v>
      </c>
      <c r="D6699" s="451"/>
      <c r="E6699" s="451"/>
      <c r="F6699" s="451"/>
      <c r="G6699" s="451" t="s">
        <v>22877</v>
      </c>
      <c r="H6699" s="451" t="s">
        <v>22878</v>
      </c>
      <c r="I6699" s="451" t="s">
        <v>36399</v>
      </c>
      <c r="J6699" s="451" t="s">
        <v>36400</v>
      </c>
      <c r="K6699" s="451"/>
    </row>
    <row r="6700" spans="1:11">
      <c r="A6700" s="450" t="s">
        <v>10835</v>
      </c>
      <c r="B6700" s="450"/>
      <c r="C6700" s="450" t="s">
        <v>3672</v>
      </c>
      <c r="D6700" s="450"/>
      <c r="E6700" s="450"/>
      <c r="F6700" s="450"/>
      <c r="G6700" s="450" t="s">
        <v>22882</v>
      </c>
      <c r="H6700" s="450" t="s">
        <v>22883</v>
      </c>
      <c r="I6700" s="450" t="s">
        <v>36401</v>
      </c>
      <c r="J6700" s="450" t="s">
        <v>22937</v>
      </c>
      <c r="K6700" s="450"/>
    </row>
    <row r="6701" spans="1:11">
      <c r="A6701" s="451" t="s">
        <v>36402</v>
      </c>
      <c r="B6701" s="451"/>
      <c r="C6701" s="451" t="s">
        <v>3672</v>
      </c>
      <c r="D6701" s="451"/>
      <c r="E6701" s="451"/>
      <c r="F6701" s="451"/>
      <c r="G6701" s="451" t="s">
        <v>22882</v>
      </c>
      <c r="H6701" s="451" t="s">
        <v>22883</v>
      </c>
      <c r="I6701" s="451"/>
      <c r="J6701" s="451" t="s">
        <v>22943</v>
      </c>
      <c r="K6701" s="451"/>
    </row>
    <row r="6702" spans="1:11">
      <c r="A6702" s="450" t="s">
        <v>10836</v>
      </c>
      <c r="B6702" s="450"/>
      <c r="C6702" s="450" t="s">
        <v>10837</v>
      </c>
      <c r="D6702" s="450"/>
      <c r="E6702" s="450"/>
      <c r="F6702" s="450"/>
      <c r="G6702" s="450" t="s">
        <v>22877</v>
      </c>
      <c r="H6702" s="450" t="s">
        <v>22878</v>
      </c>
      <c r="I6702" s="450" t="s">
        <v>36403</v>
      </c>
      <c r="J6702" s="450" t="s">
        <v>22997</v>
      </c>
      <c r="K6702" s="450"/>
    </row>
    <row r="6703" spans="1:11">
      <c r="A6703" s="451" t="s">
        <v>10838</v>
      </c>
      <c r="B6703" s="451"/>
      <c r="C6703" s="451" t="s">
        <v>10839</v>
      </c>
      <c r="D6703" s="451"/>
      <c r="E6703" s="451"/>
      <c r="F6703" s="451"/>
      <c r="G6703" s="451" t="s">
        <v>22877</v>
      </c>
      <c r="H6703" s="451" t="s">
        <v>22878</v>
      </c>
      <c r="I6703" s="451" t="s">
        <v>26749</v>
      </c>
      <c r="J6703" s="451" t="s">
        <v>22939</v>
      </c>
      <c r="K6703" s="451"/>
    </row>
    <row r="6704" spans="1:11">
      <c r="A6704" s="450" t="s">
        <v>21228</v>
      </c>
      <c r="B6704" s="450" t="s">
        <v>21227</v>
      </c>
      <c r="C6704" s="450" t="s">
        <v>21226</v>
      </c>
      <c r="D6704" s="450"/>
      <c r="E6704" s="450"/>
      <c r="F6704" s="450"/>
      <c r="G6704" s="450" t="s">
        <v>22877</v>
      </c>
      <c r="H6704" s="450" t="s">
        <v>22878</v>
      </c>
      <c r="I6704" s="450" t="s">
        <v>36404</v>
      </c>
      <c r="J6704" s="450" t="s">
        <v>36405</v>
      </c>
      <c r="K6704" s="450"/>
    </row>
    <row r="6705" spans="1:11">
      <c r="A6705" s="451" t="s">
        <v>21228</v>
      </c>
      <c r="B6705" s="451" t="s">
        <v>21227</v>
      </c>
      <c r="C6705" s="451" t="s">
        <v>21226</v>
      </c>
      <c r="D6705" s="451" t="s">
        <v>21229</v>
      </c>
      <c r="E6705" s="451"/>
      <c r="F6705" s="451"/>
      <c r="G6705" s="451" t="s">
        <v>22877</v>
      </c>
      <c r="H6705" s="451" t="s">
        <v>22878</v>
      </c>
      <c r="I6705" s="451" t="s">
        <v>21229</v>
      </c>
      <c r="J6705" s="451" t="s">
        <v>31722</v>
      </c>
      <c r="K6705" s="451"/>
    </row>
    <row r="6706" spans="1:11">
      <c r="A6706" s="450" t="s">
        <v>10840</v>
      </c>
      <c r="B6706" s="450"/>
      <c r="C6706" s="450" t="s">
        <v>10841</v>
      </c>
      <c r="D6706" s="450"/>
      <c r="E6706" s="450"/>
      <c r="F6706" s="450"/>
      <c r="G6706" s="450" t="s">
        <v>22877</v>
      </c>
      <c r="H6706" s="450" t="s">
        <v>22878</v>
      </c>
      <c r="I6706" s="450" t="s">
        <v>36406</v>
      </c>
      <c r="J6706" s="450" t="s">
        <v>22942</v>
      </c>
      <c r="K6706" s="450"/>
    </row>
    <row r="6707" spans="1:11">
      <c r="A6707" s="451" t="s">
        <v>26750</v>
      </c>
      <c r="B6707" s="451"/>
      <c r="C6707" s="451" t="s">
        <v>10841</v>
      </c>
      <c r="D6707" s="451"/>
      <c r="E6707" s="451"/>
      <c r="F6707" s="451"/>
      <c r="G6707" s="451" t="s">
        <v>22877</v>
      </c>
      <c r="H6707" s="451" t="s">
        <v>22878</v>
      </c>
      <c r="I6707" s="451" t="s">
        <v>26751</v>
      </c>
      <c r="J6707" s="451" t="s">
        <v>22943</v>
      </c>
      <c r="K6707" s="451"/>
    </row>
    <row r="6708" spans="1:11">
      <c r="A6708" s="450" t="s">
        <v>10842</v>
      </c>
      <c r="B6708" s="450" t="s">
        <v>10843</v>
      </c>
      <c r="C6708" s="450" t="s">
        <v>10844</v>
      </c>
      <c r="D6708" s="450"/>
      <c r="E6708" s="450"/>
      <c r="F6708" s="450" t="s">
        <v>10845</v>
      </c>
      <c r="G6708" s="450" t="s">
        <v>22877</v>
      </c>
      <c r="H6708" s="450" t="s">
        <v>22878</v>
      </c>
      <c r="I6708" s="450" t="s">
        <v>26752</v>
      </c>
      <c r="J6708" s="450" t="s">
        <v>26753</v>
      </c>
      <c r="K6708" s="450"/>
    </row>
    <row r="6709" spans="1:11">
      <c r="A6709" s="451" t="s">
        <v>36407</v>
      </c>
      <c r="B6709" s="451"/>
      <c r="C6709" s="451" t="s">
        <v>10847</v>
      </c>
      <c r="D6709" s="451"/>
      <c r="E6709" s="451"/>
      <c r="F6709" s="451"/>
      <c r="G6709" s="451" t="s">
        <v>22877</v>
      </c>
      <c r="H6709" s="451" t="s">
        <v>22878</v>
      </c>
      <c r="I6709" s="451" t="s">
        <v>36408</v>
      </c>
      <c r="J6709" s="451" t="s">
        <v>22997</v>
      </c>
      <c r="K6709" s="451"/>
    </row>
    <row r="6710" spans="1:11">
      <c r="A6710" s="450" t="s">
        <v>10846</v>
      </c>
      <c r="B6710" s="450"/>
      <c r="C6710" s="450" t="s">
        <v>10847</v>
      </c>
      <c r="D6710" s="450"/>
      <c r="E6710" s="450"/>
      <c r="F6710" s="450"/>
      <c r="G6710" s="450" t="s">
        <v>22882</v>
      </c>
      <c r="H6710" s="450" t="s">
        <v>22883</v>
      </c>
      <c r="I6710" s="450"/>
      <c r="J6710" s="450" t="s">
        <v>22939</v>
      </c>
      <c r="K6710" s="450"/>
    </row>
    <row r="6711" spans="1:11">
      <c r="A6711" s="451" t="s">
        <v>21814</v>
      </c>
      <c r="B6711" s="451"/>
      <c r="C6711" s="451" t="s">
        <v>6510</v>
      </c>
      <c r="D6711" s="451"/>
      <c r="E6711" s="451"/>
      <c r="F6711" s="451"/>
      <c r="G6711" s="451" t="s">
        <v>22877</v>
      </c>
      <c r="H6711" s="451" t="s">
        <v>22878</v>
      </c>
      <c r="I6711" s="451" t="s">
        <v>36409</v>
      </c>
      <c r="J6711" s="451" t="s">
        <v>22939</v>
      </c>
      <c r="K6711" s="451"/>
    </row>
    <row r="6712" spans="1:11">
      <c r="A6712" s="450" t="s">
        <v>36410</v>
      </c>
      <c r="B6712" s="450"/>
      <c r="C6712" s="450" t="s">
        <v>36411</v>
      </c>
      <c r="D6712" s="450"/>
      <c r="E6712" s="450"/>
      <c r="F6712" s="450"/>
      <c r="G6712" s="450" t="s">
        <v>22882</v>
      </c>
      <c r="H6712" s="450" t="s">
        <v>22883</v>
      </c>
      <c r="I6712" s="450" t="s">
        <v>36412</v>
      </c>
      <c r="J6712" s="450" t="s">
        <v>22943</v>
      </c>
      <c r="K6712" s="450"/>
    </row>
    <row r="6713" spans="1:11">
      <c r="A6713" s="451" t="s">
        <v>10848</v>
      </c>
      <c r="B6713" s="451"/>
      <c r="C6713" s="451" t="s">
        <v>10849</v>
      </c>
      <c r="D6713" s="451"/>
      <c r="E6713" s="451"/>
      <c r="F6713" s="451"/>
      <c r="G6713" s="451" t="s">
        <v>22882</v>
      </c>
      <c r="H6713" s="451" t="s">
        <v>22883</v>
      </c>
      <c r="I6713" s="451" t="s">
        <v>36413</v>
      </c>
      <c r="J6713" s="451" t="s">
        <v>22939</v>
      </c>
      <c r="K6713" s="451"/>
    </row>
    <row r="6714" spans="1:11">
      <c r="A6714" s="450" t="s">
        <v>36414</v>
      </c>
      <c r="B6714" s="450"/>
      <c r="C6714" s="450" t="s">
        <v>10851</v>
      </c>
      <c r="D6714" s="450"/>
      <c r="E6714" s="450"/>
      <c r="F6714" s="450"/>
      <c r="G6714" s="450" t="s">
        <v>22882</v>
      </c>
      <c r="H6714" s="450" t="s">
        <v>22883</v>
      </c>
      <c r="I6714" s="450"/>
      <c r="J6714" s="450" t="s">
        <v>23121</v>
      </c>
      <c r="K6714" s="450"/>
    </row>
    <row r="6715" spans="1:11">
      <c r="A6715" s="451" t="s">
        <v>10850</v>
      </c>
      <c r="B6715" s="451"/>
      <c r="C6715" s="451" t="s">
        <v>10851</v>
      </c>
      <c r="D6715" s="451"/>
      <c r="E6715" s="451"/>
      <c r="F6715" s="451"/>
      <c r="G6715" s="451" t="s">
        <v>22882</v>
      </c>
      <c r="H6715" s="451" t="s">
        <v>22883</v>
      </c>
      <c r="I6715" s="451"/>
      <c r="J6715" s="451" t="s">
        <v>22937</v>
      </c>
      <c r="K6715" s="451"/>
    </row>
    <row r="6716" spans="1:11">
      <c r="A6716" s="450" t="s">
        <v>36415</v>
      </c>
      <c r="B6716" s="450"/>
      <c r="C6716" s="450" t="s">
        <v>10853</v>
      </c>
      <c r="D6716" s="450"/>
      <c r="E6716" s="450"/>
      <c r="F6716" s="450"/>
      <c r="G6716" s="450" t="s">
        <v>22877</v>
      </c>
      <c r="H6716" s="450" t="s">
        <v>22878</v>
      </c>
      <c r="I6716" s="450" t="s">
        <v>36416</v>
      </c>
      <c r="J6716" s="450" t="s">
        <v>23185</v>
      </c>
      <c r="K6716" s="450"/>
    </row>
    <row r="6717" spans="1:11">
      <c r="A6717" s="451" t="s">
        <v>10852</v>
      </c>
      <c r="B6717" s="451"/>
      <c r="C6717" s="451" t="s">
        <v>10853</v>
      </c>
      <c r="D6717" s="451"/>
      <c r="E6717" s="451"/>
      <c r="F6717" s="451"/>
      <c r="G6717" s="451" t="s">
        <v>22877</v>
      </c>
      <c r="H6717" s="451" t="s">
        <v>22878</v>
      </c>
      <c r="I6717" s="451" t="s">
        <v>36417</v>
      </c>
      <c r="J6717" s="451" t="s">
        <v>22939</v>
      </c>
      <c r="K6717" s="451"/>
    </row>
    <row r="6718" spans="1:11">
      <c r="A6718" s="450" t="s">
        <v>10854</v>
      </c>
      <c r="B6718" s="450"/>
      <c r="C6718" s="450" t="s">
        <v>10855</v>
      </c>
      <c r="D6718" s="450"/>
      <c r="E6718" s="450"/>
      <c r="F6718" s="450"/>
      <c r="G6718" s="450" t="s">
        <v>22877</v>
      </c>
      <c r="H6718" s="450" t="s">
        <v>22878</v>
      </c>
      <c r="I6718" s="450" t="s">
        <v>36399</v>
      </c>
      <c r="J6718" s="450" t="s">
        <v>22939</v>
      </c>
      <c r="K6718" s="450"/>
    </row>
    <row r="6719" spans="1:11">
      <c r="A6719" s="451" t="s">
        <v>10856</v>
      </c>
      <c r="B6719" s="451"/>
      <c r="C6719" s="451" t="s">
        <v>5204</v>
      </c>
      <c r="D6719" s="451"/>
      <c r="E6719" s="451"/>
      <c r="F6719" s="451"/>
      <c r="G6719" s="451" t="s">
        <v>22882</v>
      </c>
      <c r="H6719" s="451" t="s">
        <v>22883</v>
      </c>
      <c r="I6719" s="451"/>
      <c r="J6719" s="451" t="s">
        <v>22939</v>
      </c>
      <c r="K6719" s="451"/>
    </row>
    <row r="6720" spans="1:11">
      <c r="A6720" s="450" t="s">
        <v>10857</v>
      </c>
      <c r="B6720" s="450"/>
      <c r="C6720" s="450" t="s">
        <v>2138</v>
      </c>
      <c r="D6720" s="450"/>
      <c r="E6720" s="450"/>
      <c r="F6720" s="450"/>
      <c r="G6720" s="450" t="s">
        <v>22882</v>
      </c>
      <c r="H6720" s="450" t="s">
        <v>22883</v>
      </c>
      <c r="I6720" s="450" t="s">
        <v>36418</v>
      </c>
      <c r="J6720" s="450" t="s">
        <v>22997</v>
      </c>
      <c r="K6720" s="450"/>
    </row>
    <row r="6721" spans="1:11">
      <c r="A6721" s="451" t="s">
        <v>10858</v>
      </c>
      <c r="B6721" s="451"/>
      <c r="C6721" s="451" t="s">
        <v>10859</v>
      </c>
      <c r="D6721" s="451"/>
      <c r="E6721" s="451"/>
      <c r="F6721" s="451"/>
      <c r="G6721" s="451" t="s">
        <v>22882</v>
      </c>
      <c r="H6721" s="451" t="s">
        <v>22883</v>
      </c>
      <c r="I6721" s="451" t="s">
        <v>36419</v>
      </c>
      <c r="J6721" s="451" t="s">
        <v>22939</v>
      </c>
      <c r="K6721" s="451"/>
    </row>
    <row r="6722" spans="1:11">
      <c r="A6722" s="450" t="s">
        <v>10860</v>
      </c>
      <c r="B6722" s="450"/>
      <c r="C6722" s="450" t="s">
        <v>10861</v>
      </c>
      <c r="D6722" s="450"/>
      <c r="E6722" s="450"/>
      <c r="F6722" s="450"/>
      <c r="G6722" s="450" t="s">
        <v>22882</v>
      </c>
      <c r="H6722" s="450" t="s">
        <v>22883</v>
      </c>
      <c r="I6722" s="450" t="s">
        <v>36420</v>
      </c>
      <c r="J6722" s="450" t="s">
        <v>22942</v>
      </c>
      <c r="K6722" s="450"/>
    </row>
    <row r="6723" spans="1:11">
      <c r="A6723" s="451" t="s">
        <v>26754</v>
      </c>
      <c r="B6723" s="451"/>
      <c r="C6723" s="451" t="s">
        <v>10861</v>
      </c>
      <c r="D6723" s="451"/>
      <c r="E6723" s="451"/>
      <c r="F6723" s="451"/>
      <c r="G6723" s="451" t="s">
        <v>22882</v>
      </c>
      <c r="H6723" s="451" t="s">
        <v>22883</v>
      </c>
      <c r="I6723" s="451" t="s">
        <v>26755</v>
      </c>
      <c r="J6723" s="451" t="s">
        <v>23370</v>
      </c>
      <c r="K6723" s="451"/>
    </row>
    <row r="6724" spans="1:11">
      <c r="A6724" s="450" t="s">
        <v>26756</v>
      </c>
      <c r="B6724" s="450" t="s">
        <v>26757</v>
      </c>
      <c r="C6724" s="450" t="s">
        <v>26758</v>
      </c>
      <c r="D6724" s="450"/>
      <c r="E6724" s="450"/>
      <c r="F6724" s="450"/>
      <c r="G6724" s="450" t="s">
        <v>22877</v>
      </c>
      <c r="H6724" s="450" t="s">
        <v>22878</v>
      </c>
      <c r="I6724" s="450" t="s">
        <v>26759</v>
      </c>
      <c r="J6724" s="450" t="s">
        <v>26760</v>
      </c>
      <c r="K6724" s="450"/>
    </row>
    <row r="6725" spans="1:11">
      <c r="A6725" s="451" t="s">
        <v>21815</v>
      </c>
      <c r="B6725" s="451"/>
      <c r="C6725" s="451" t="s">
        <v>4277</v>
      </c>
      <c r="D6725" s="451"/>
      <c r="E6725" s="451"/>
      <c r="F6725" s="451"/>
      <c r="G6725" s="451" t="s">
        <v>36421</v>
      </c>
      <c r="H6725" s="451" t="s">
        <v>22878</v>
      </c>
      <c r="I6725" s="451"/>
      <c r="J6725" s="451"/>
      <c r="K6725" s="451"/>
    </row>
    <row r="6726" spans="1:11">
      <c r="A6726" s="450" t="s">
        <v>10862</v>
      </c>
      <c r="B6726" s="450"/>
      <c r="C6726" s="450" t="s">
        <v>10863</v>
      </c>
      <c r="D6726" s="450"/>
      <c r="E6726" s="450"/>
      <c r="F6726" s="450"/>
      <c r="G6726" s="450" t="s">
        <v>22882</v>
      </c>
      <c r="H6726" s="450" t="s">
        <v>22883</v>
      </c>
      <c r="I6726" s="450"/>
      <c r="J6726" s="450" t="s">
        <v>23133</v>
      </c>
      <c r="K6726" s="450"/>
    </row>
    <row r="6727" spans="1:11">
      <c r="A6727" s="451" t="s">
        <v>10864</v>
      </c>
      <c r="B6727" s="451"/>
      <c r="C6727" s="451" t="s">
        <v>10865</v>
      </c>
      <c r="D6727" s="451"/>
      <c r="E6727" s="451"/>
      <c r="F6727" s="451"/>
      <c r="G6727" s="451" t="s">
        <v>22877</v>
      </c>
      <c r="H6727" s="451" t="s">
        <v>22878</v>
      </c>
      <c r="I6727" s="451" t="s">
        <v>36422</v>
      </c>
      <c r="J6727" s="451" t="s">
        <v>22939</v>
      </c>
      <c r="K6727" s="451"/>
    </row>
    <row r="6728" spans="1:11">
      <c r="A6728" s="450" t="s">
        <v>26761</v>
      </c>
      <c r="B6728" s="450"/>
      <c r="C6728" s="450" t="s">
        <v>10865</v>
      </c>
      <c r="D6728" s="450"/>
      <c r="E6728" s="450"/>
      <c r="F6728" s="450"/>
      <c r="G6728" s="450" t="s">
        <v>22882</v>
      </c>
      <c r="H6728" s="450" t="s">
        <v>22883</v>
      </c>
      <c r="I6728" s="450" t="s">
        <v>26762</v>
      </c>
      <c r="J6728" s="450" t="s">
        <v>22943</v>
      </c>
      <c r="K6728" s="450"/>
    </row>
    <row r="6729" spans="1:11">
      <c r="A6729" s="451" t="s">
        <v>20342</v>
      </c>
      <c r="B6729" s="451" t="s">
        <v>26763</v>
      </c>
      <c r="C6729" s="451" t="s">
        <v>20343</v>
      </c>
      <c r="D6729" s="451"/>
      <c r="E6729" s="451"/>
      <c r="F6729" s="451"/>
      <c r="G6729" s="451" t="s">
        <v>22877</v>
      </c>
      <c r="H6729" s="451" t="s">
        <v>22878</v>
      </c>
      <c r="I6729" s="451" t="s">
        <v>26764</v>
      </c>
      <c r="J6729" s="451" t="s">
        <v>26765</v>
      </c>
      <c r="K6729" s="451"/>
    </row>
    <row r="6730" spans="1:11">
      <c r="A6730" s="450" t="s">
        <v>20342</v>
      </c>
      <c r="B6730" s="450" t="s">
        <v>20349</v>
      </c>
      <c r="C6730" s="450" t="s">
        <v>20343</v>
      </c>
      <c r="D6730" s="450" t="s">
        <v>20350</v>
      </c>
      <c r="E6730" s="450"/>
      <c r="F6730" s="450"/>
      <c r="G6730" s="450" t="s">
        <v>22877</v>
      </c>
      <c r="H6730" s="450" t="s">
        <v>22878</v>
      </c>
      <c r="I6730" s="450" t="s">
        <v>20350</v>
      </c>
      <c r="J6730" s="450" t="s">
        <v>31723</v>
      </c>
      <c r="K6730" s="450"/>
    </row>
    <row r="6731" spans="1:11">
      <c r="A6731" s="451" t="s">
        <v>36423</v>
      </c>
      <c r="B6731" s="451" t="s">
        <v>10867</v>
      </c>
      <c r="C6731" s="451" t="s">
        <v>10868</v>
      </c>
      <c r="D6731" s="451" t="s">
        <v>10869</v>
      </c>
      <c r="E6731" s="451"/>
      <c r="F6731" s="451"/>
      <c r="G6731" s="451" t="s">
        <v>22877</v>
      </c>
      <c r="H6731" s="451" t="s">
        <v>22878</v>
      </c>
      <c r="I6731" s="451"/>
      <c r="J6731" s="451" t="s">
        <v>26766</v>
      </c>
      <c r="K6731" s="451"/>
    </row>
    <row r="6732" spans="1:11">
      <c r="A6732" s="450" t="s">
        <v>10866</v>
      </c>
      <c r="B6732" s="450" t="s">
        <v>10867</v>
      </c>
      <c r="C6732" s="450" t="s">
        <v>10868</v>
      </c>
      <c r="D6732" s="450" t="s">
        <v>10869</v>
      </c>
      <c r="E6732" s="450" t="s">
        <v>10870</v>
      </c>
      <c r="F6732" s="450"/>
      <c r="G6732" s="450" t="s">
        <v>22877</v>
      </c>
      <c r="H6732" s="450" t="s">
        <v>22878</v>
      </c>
      <c r="I6732" s="450" t="s">
        <v>31724</v>
      </c>
      <c r="J6732" s="450" t="s">
        <v>26766</v>
      </c>
      <c r="K6732" s="450"/>
    </row>
    <row r="6733" spans="1:11">
      <c r="A6733" s="451" t="s">
        <v>10871</v>
      </c>
      <c r="B6733" s="451" t="s">
        <v>10872</v>
      </c>
      <c r="C6733" s="451" t="s">
        <v>10873</v>
      </c>
      <c r="D6733" s="451"/>
      <c r="E6733" s="451"/>
      <c r="F6733" s="451"/>
      <c r="G6733" s="451" t="s">
        <v>22877</v>
      </c>
      <c r="H6733" s="451" t="s">
        <v>22878</v>
      </c>
      <c r="I6733" s="451"/>
      <c r="J6733" s="451" t="s">
        <v>26767</v>
      </c>
      <c r="K6733" s="451"/>
    </row>
    <row r="6734" spans="1:11">
      <c r="A6734" s="450" t="s">
        <v>10874</v>
      </c>
      <c r="B6734" s="450"/>
      <c r="C6734" s="450" t="s">
        <v>10875</v>
      </c>
      <c r="D6734" s="450"/>
      <c r="E6734" s="450"/>
      <c r="F6734" s="450"/>
      <c r="G6734" s="450" t="s">
        <v>22877</v>
      </c>
      <c r="H6734" s="450" t="s">
        <v>22878</v>
      </c>
      <c r="I6734" s="450" t="s">
        <v>36424</v>
      </c>
      <c r="J6734" s="450" t="s">
        <v>22939</v>
      </c>
      <c r="K6734" s="450"/>
    </row>
    <row r="6735" spans="1:11">
      <c r="A6735" s="451" t="s">
        <v>36425</v>
      </c>
      <c r="B6735" s="451"/>
      <c r="C6735" s="451" t="s">
        <v>10875</v>
      </c>
      <c r="D6735" s="451"/>
      <c r="E6735" s="451"/>
      <c r="F6735" s="451"/>
      <c r="G6735" s="451" t="s">
        <v>22877</v>
      </c>
      <c r="H6735" s="451" t="s">
        <v>22878</v>
      </c>
      <c r="I6735" s="451" t="s">
        <v>36426</v>
      </c>
      <c r="J6735" s="451" t="s">
        <v>22939</v>
      </c>
      <c r="K6735" s="451"/>
    </row>
    <row r="6736" spans="1:11">
      <c r="A6736" s="450" t="s">
        <v>36427</v>
      </c>
      <c r="B6736" s="450"/>
      <c r="C6736" s="450" t="s">
        <v>10877</v>
      </c>
      <c r="D6736" s="450"/>
      <c r="E6736" s="450"/>
      <c r="F6736" s="450"/>
      <c r="G6736" s="450" t="s">
        <v>22877</v>
      </c>
      <c r="H6736" s="450" t="s">
        <v>22878</v>
      </c>
      <c r="I6736" s="450" t="s">
        <v>36428</v>
      </c>
      <c r="J6736" s="450" t="s">
        <v>22997</v>
      </c>
      <c r="K6736" s="450"/>
    </row>
    <row r="6737" spans="1:11">
      <c r="A6737" s="451" t="s">
        <v>10876</v>
      </c>
      <c r="B6737" s="451"/>
      <c r="C6737" s="451" t="s">
        <v>10877</v>
      </c>
      <c r="D6737" s="451"/>
      <c r="E6737" s="451"/>
      <c r="F6737" s="451"/>
      <c r="G6737" s="451" t="s">
        <v>22877</v>
      </c>
      <c r="H6737" s="451" t="s">
        <v>22878</v>
      </c>
      <c r="I6737" s="451" t="s">
        <v>31725</v>
      </c>
      <c r="J6737" s="451" t="s">
        <v>22939</v>
      </c>
      <c r="K6737" s="451"/>
    </row>
    <row r="6738" spans="1:11">
      <c r="A6738" s="450" t="s">
        <v>21289</v>
      </c>
      <c r="B6738" s="450" t="s">
        <v>21288</v>
      </c>
      <c r="C6738" s="450" t="s">
        <v>21287</v>
      </c>
      <c r="D6738" s="450" t="s">
        <v>21290</v>
      </c>
      <c r="E6738" s="450"/>
      <c r="F6738" s="450"/>
      <c r="G6738" s="450" t="s">
        <v>22877</v>
      </c>
      <c r="H6738" s="450" t="s">
        <v>22878</v>
      </c>
      <c r="I6738" s="450" t="s">
        <v>31726</v>
      </c>
      <c r="J6738" s="450" t="s">
        <v>31727</v>
      </c>
      <c r="K6738" s="450"/>
    </row>
    <row r="6739" spans="1:11">
      <c r="A6739" s="451" t="s">
        <v>36429</v>
      </c>
      <c r="B6739" s="451"/>
      <c r="C6739" s="451" t="s">
        <v>10879</v>
      </c>
      <c r="D6739" s="451"/>
      <c r="E6739" s="451"/>
      <c r="F6739" s="451"/>
      <c r="G6739" s="451" t="s">
        <v>22877</v>
      </c>
      <c r="H6739" s="451" t="s">
        <v>22878</v>
      </c>
      <c r="I6739" s="451" t="s">
        <v>36430</v>
      </c>
      <c r="J6739" s="451" t="s">
        <v>22943</v>
      </c>
      <c r="K6739" s="451"/>
    </row>
    <row r="6740" spans="1:11">
      <c r="A6740" s="450" t="s">
        <v>10878</v>
      </c>
      <c r="B6740" s="450"/>
      <c r="C6740" s="450" t="s">
        <v>10879</v>
      </c>
      <c r="D6740" s="450"/>
      <c r="E6740" s="450"/>
      <c r="F6740" s="450"/>
      <c r="G6740" s="450" t="s">
        <v>22877</v>
      </c>
      <c r="H6740" s="450" t="s">
        <v>22878</v>
      </c>
      <c r="I6740" s="450" t="s">
        <v>36431</v>
      </c>
      <c r="J6740" s="450" t="s">
        <v>22939</v>
      </c>
      <c r="K6740" s="450"/>
    </row>
    <row r="6741" spans="1:11">
      <c r="A6741" s="451" t="s">
        <v>36432</v>
      </c>
      <c r="B6741" s="451"/>
      <c r="C6741" s="451" t="s">
        <v>10883</v>
      </c>
      <c r="D6741" s="451"/>
      <c r="E6741" s="451"/>
      <c r="F6741" s="451"/>
      <c r="G6741" s="451" t="s">
        <v>22877</v>
      </c>
      <c r="H6741" s="451" t="s">
        <v>22878</v>
      </c>
      <c r="I6741" s="451" t="s">
        <v>36433</v>
      </c>
      <c r="J6741" s="451" t="s">
        <v>24578</v>
      </c>
      <c r="K6741" s="451"/>
    </row>
    <row r="6742" spans="1:11">
      <c r="A6742" s="450" t="s">
        <v>36434</v>
      </c>
      <c r="B6742" s="450"/>
      <c r="C6742" s="450" t="s">
        <v>10881</v>
      </c>
      <c r="D6742" s="450"/>
      <c r="E6742" s="450"/>
      <c r="F6742" s="450"/>
      <c r="G6742" s="450" t="s">
        <v>22882</v>
      </c>
      <c r="H6742" s="450" t="s">
        <v>22883</v>
      </c>
      <c r="I6742" s="450"/>
      <c r="J6742" s="450" t="s">
        <v>22943</v>
      </c>
      <c r="K6742" s="450"/>
    </row>
    <row r="6743" spans="1:11">
      <c r="A6743" s="451" t="s">
        <v>10880</v>
      </c>
      <c r="B6743" s="451"/>
      <c r="C6743" s="451" t="s">
        <v>10881</v>
      </c>
      <c r="D6743" s="451"/>
      <c r="E6743" s="451"/>
      <c r="F6743" s="451"/>
      <c r="G6743" s="451" t="s">
        <v>36435</v>
      </c>
      <c r="H6743" s="451" t="s">
        <v>22878</v>
      </c>
      <c r="I6743" s="451"/>
      <c r="J6743" s="451"/>
      <c r="K6743" s="451"/>
    </row>
    <row r="6744" spans="1:11">
      <c r="A6744" s="450" t="s">
        <v>10882</v>
      </c>
      <c r="B6744" s="450"/>
      <c r="C6744" s="450" t="s">
        <v>10883</v>
      </c>
      <c r="D6744" s="450"/>
      <c r="E6744" s="450"/>
      <c r="F6744" s="450"/>
      <c r="G6744" s="450" t="s">
        <v>22877</v>
      </c>
      <c r="H6744" s="450" t="s">
        <v>22878</v>
      </c>
      <c r="I6744" s="450" t="s">
        <v>36436</v>
      </c>
      <c r="J6744" s="450" t="s">
        <v>36437</v>
      </c>
      <c r="K6744" s="450"/>
    </row>
    <row r="6745" spans="1:11">
      <c r="A6745" s="451" t="s">
        <v>10884</v>
      </c>
      <c r="B6745" s="451"/>
      <c r="C6745" s="451" t="s">
        <v>10885</v>
      </c>
      <c r="D6745" s="451"/>
      <c r="E6745" s="451"/>
      <c r="F6745" s="451"/>
      <c r="G6745" s="451" t="s">
        <v>22882</v>
      </c>
      <c r="H6745" s="451" t="s">
        <v>22883</v>
      </c>
      <c r="I6745" s="451"/>
      <c r="J6745" s="451" t="s">
        <v>22939</v>
      </c>
      <c r="K6745" s="451"/>
    </row>
    <row r="6746" spans="1:11">
      <c r="A6746" s="450" t="s">
        <v>36438</v>
      </c>
      <c r="B6746" s="450" t="s">
        <v>36439</v>
      </c>
      <c r="C6746" s="450" t="s">
        <v>1946</v>
      </c>
      <c r="D6746" s="450" t="s">
        <v>10887</v>
      </c>
      <c r="E6746" s="450"/>
      <c r="F6746" s="450"/>
      <c r="G6746" s="450" t="s">
        <v>22882</v>
      </c>
      <c r="H6746" s="450" t="s">
        <v>22883</v>
      </c>
      <c r="I6746" s="450" t="s">
        <v>10887</v>
      </c>
      <c r="J6746" s="450" t="s">
        <v>36440</v>
      </c>
      <c r="K6746" s="450"/>
    </row>
    <row r="6747" spans="1:11">
      <c r="A6747" s="451" t="s">
        <v>21816</v>
      </c>
      <c r="B6747" s="451" t="s">
        <v>10886</v>
      </c>
      <c r="C6747" s="451" t="s">
        <v>1946</v>
      </c>
      <c r="D6747" s="451" t="s">
        <v>10887</v>
      </c>
      <c r="E6747" s="451" t="s">
        <v>10888</v>
      </c>
      <c r="F6747" s="451"/>
      <c r="G6747" s="451" t="s">
        <v>22877</v>
      </c>
      <c r="H6747" s="451" t="s">
        <v>22878</v>
      </c>
      <c r="I6747" s="451" t="s">
        <v>10887</v>
      </c>
      <c r="J6747" s="451" t="s">
        <v>31728</v>
      </c>
      <c r="K6747" s="451"/>
    </row>
    <row r="6748" spans="1:11">
      <c r="A6748" s="450" t="s">
        <v>10889</v>
      </c>
      <c r="B6748" s="450" t="s">
        <v>10890</v>
      </c>
      <c r="C6748" s="450" t="s">
        <v>10891</v>
      </c>
      <c r="D6748" s="450" t="s">
        <v>10892</v>
      </c>
      <c r="E6748" s="450"/>
      <c r="F6748" s="450" t="s">
        <v>1063</v>
      </c>
      <c r="G6748" s="450" t="s">
        <v>36441</v>
      </c>
      <c r="H6748" s="450" t="s">
        <v>22878</v>
      </c>
      <c r="I6748" s="450" t="s">
        <v>10892</v>
      </c>
      <c r="J6748" s="450" t="s">
        <v>10890</v>
      </c>
      <c r="K6748" s="450"/>
    </row>
    <row r="6749" spans="1:11">
      <c r="A6749" s="451" t="s">
        <v>10889</v>
      </c>
      <c r="B6749" s="451" t="s">
        <v>10890</v>
      </c>
      <c r="C6749" s="451" t="s">
        <v>10891</v>
      </c>
      <c r="D6749" s="451" t="s">
        <v>10892</v>
      </c>
      <c r="E6749" s="451" t="s">
        <v>10893</v>
      </c>
      <c r="F6749" s="451" t="s">
        <v>1063</v>
      </c>
      <c r="G6749" s="451" t="s">
        <v>23108</v>
      </c>
      <c r="H6749" s="451" t="s">
        <v>22878</v>
      </c>
      <c r="I6749" s="451" t="s">
        <v>10892</v>
      </c>
      <c r="J6749" s="451" t="s">
        <v>31729</v>
      </c>
      <c r="K6749" s="451" t="s">
        <v>23726</v>
      </c>
    </row>
    <row r="6750" spans="1:11">
      <c r="A6750" s="450" t="s">
        <v>20960</v>
      </c>
      <c r="B6750" s="450" t="s">
        <v>20961</v>
      </c>
      <c r="C6750" s="450" t="s">
        <v>26018</v>
      </c>
      <c r="D6750" s="450"/>
      <c r="E6750" s="450"/>
      <c r="F6750" s="450"/>
      <c r="G6750" s="450" t="s">
        <v>22877</v>
      </c>
      <c r="H6750" s="450" t="s">
        <v>22878</v>
      </c>
      <c r="I6750" s="450" t="s">
        <v>36442</v>
      </c>
      <c r="J6750" s="450" t="s">
        <v>36443</v>
      </c>
      <c r="K6750" s="450"/>
    </row>
    <row r="6751" spans="1:11">
      <c r="A6751" s="451" t="s">
        <v>20960</v>
      </c>
      <c r="B6751" s="451" t="s">
        <v>20961</v>
      </c>
      <c r="C6751" s="451" t="s">
        <v>20962</v>
      </c>
      <c r="D6751" s="451" t="s">
        <v>20302</v>
      </c>
      <c r="E6751" s="451" t="s">
        <v>20303</v>
      </c>
      <c r="F6751" s="451" t="s">
        <v>20304</v>
      </c>
      <c r="G6751" s="451" t="s">
        <v>22877</v>
      </c>
      <c r="H6751" s="451" t="s">
        <v>22878</v>
      </c>
      <c r="I6751" s="451" t="s">
        <v>20302</v>
      </c>
      <c r="J6751" s="451" t="s">
        <v>31730</v>
      </c>
      <c r="K6751" s="451"/>
    </row>
    <row r="6752" spans="1:11">
      <c r="A6752" s="450" t="s">
        <v>10894</v>
      </c>
      <c r="B6752" s="450"/>
      <c r="C6752" s="450" t="s">
        <v>10895</v>
      </c>
      <c r="D6752" s="450"/>
      <c r="E6752" s="450"/>
      <c r="F6752" s="450"/>
      <c r="G6752" s="450" t="s">
        <v>22882</v>
      </c>
      <c r="H6752" s="450" t="s">
        <v>22883</v>
      </c>
      <c r="I6752" s="450"/>
      <c r="J6752" s="450" t="s">
        <v>22943</v>
      </c>
      <c r="K6752" s="450"/>
    </row>
    <row r="6753" spans="1:11">
      <c r="A6753" s="451" t="s">
        <v>36444</v>
      </c>
      <c r="B6753" s="451"/>
      <c r="C6753" s="451" t="s">
        <v>7546</v>
      </c>
      <c r="D6753" s="451"/>
      <c r="E6753" s="451"/>
      <c r="F6753" s="451"/>
      <c r="G6753" s="451" t="s">
        <v>22882</v>
      </c>
      <c r="H6753" s="451" t="s">
        <v>22883</v>
      </c>
      <c r="I6753" s="451" t="s">
        <v>36445</v>
      </c>
      <c r="J6753" s="451" t="s">
        <v>22997</v>
      </c>
      <c r="K6753" s="451"/>
    </row>
    <row r="6754" spans="1:11">
      <c r="A6754" s="450" t="s">
        <v>10896</v>
      </c>
      <c r="B6754" s="450"/>
      <c r="C6754" s="450" t="s">
        <v>7546</v>
      </c>
      <c r="D6754" s="450"/>
      <c r="E6754" s="450"/>
      <c r="F6754" s="450"/>
      <c r="G6754" s="450" t="s">
        <v>22882</v>
      </c>
      <c r="H6754" s="450" t="s">
        <v>22883</v>
      </c>
      <c r="I6754" s="450" t="s">
        <v>36446</v>
      </c>
      <c r="J6754" s="450" t="s">
        <v>22939</v>
      </c>
      <c r="K6754" s="450"/>
    </row>
    <row r="6755" spans="1:11">
      <c r="A6755" s="451" t="s">
        <v>36447</v>
      </c>
      <c r="B6755" s="451"/>
      <c r="C6755" s="451" t="s">
        <v>9961</v>
      </c>
      <c r="D6755" s="451"/>
      <c r="E6755" s="451"/>
      <c r="F6755" s="451"/>
      <c r="G6755" s="451" t="s">
        <v>22877</v>
      </c>
      <c r="H6755" s="451" t="s">
        <v>22878</v>
      </c>
      <c r="I6755" s="451" t="s">
        <v>36448</v>
      </c>
      <c r="J6755" s="451" t="s">
        <v>23370</v>
      </c>
      <c r="K6755" s="451"/>
    </row>
    <row r="6756" spans="1:11">
      <c r="A6756" s="450" t="s">
        <v>10897</v>
      </c>
      <c r="B6756" s="450"/>
      <c r="C6756" s="450" t="s">
        <v>9961</v>
      </c>
      <c r="D6756" s="450"/>
      <c r="E6756" s="450"/>
      <c r="F6756" s="450"/>
      <c r="G6756" s="450" t="s">
        <v>22877</v>
      </c>
      <c r="H6756" s="450" t="s">
        <v>22878</v>
      </c>
      <c r="I6756" s="450" t="s">
        <v>36449</v>
      </c>
      <c r="J6756" s="450" t="s">
        <v>22942</v>
      </c>
      <c r="K6756" s="450"/>
    </row>
    <row r="6757" spans="1:11">
      <c r="A6757" s="451" t="s">
        <v>36450</v>
      </c>
      <c r="B6757" s="451"/>
      <c r="C6757" s="451" t="s">
        <v>3550</v>
      </c>
      <c r="D6757" s="451"/>
      <c r="E6757" s="451"/>
      <c r="F6757" s="451"/>
      <c r="G6757" s="451" t="s">
        <v>22877</v>
      </c>
      <c r="H6757" s="451" t="s">
        <v>22878</v>
      </c>
      <c r="I6757" s="451" t="s">
        <v>36451</v>
      </c>
      <c r="J6757" s="451" t="s">
        <v>23133</v>
      </c>
      <c r="K6757" s="451"/>
    </row>
    <row r="6758" spans="1:11">
      <c r="A6758" s="450" t="s">
        <v>10898</v>
      </c>
      <c r="B6758" s="450"/>
      <c r="C6758" s="450" t="s">
        <v>3550</v>
      </c>
      <c r="D6758" s="450"/>
      <c r="E6758" s="450"/>
      <c r="F6758" s="450"/>
      <c r="G6758" s="450" t="s">
        <v>22877</v>
      </c>
      <c r="H6758" s="450" t="s">
        <v>22878</v>
      </c>
      <c r="I6758" s="450" t="s">
        <v>36452</v>
      </c>
      <c r="J6758" s="450" t="s">
        <v>22939</v>
      </c>
      <c r="K6758" s="450"/>
    </row>
    <row r="6759" spans="1:11">
      <c r="A6759" s="451" t="s">
        <v>36453</v>
      </c>
      <c r="B6759" s="451"/>
      <c r="C6759" s="451" t="s">
        <v>10900</v>
      </c>
      <c r="D6759" s="451"/>
      <c r="E6759" s="451"/>
      <c r="F6759" s="451"/>
      <c r="G6759" s="451" t="s">
        <v>22882</v>
      </c>
      <c r="H6759" s="451" t="s">
        <v>22883</v>
      </c>
      <c r="I6759" s="451" t="s">
        <v>36454</v>
      </c>
      <c r="J6759" s="451" t="s">
        <v>22997</v>
      </c>
      <c r="K6759" s="451"/>
    </row>
    <row r="6760" spans="1:11">
      <c r="A6760" s="450" t="s">
        <v>10899</v>
      </c>
      <c r="B6760" s="450"/>
      <c r="C6760" s="450" t="s">
        <v>10900</v>
      </c>
      <c r="D6760" s="450"/>
      <c r="E6760" s="450"/>
      <c r="F6760" s="450"/>
      <c r="G6760" s="450" t="s">
        <v>22882</v>
      </c>
      <c r="H6760" s="450" t="s">
        <v>22883</v>
      </c>
      <c r="I6760" s="450" t="s">
        <v>36455</v>
      </c>
      <c r="J6760" s="450" t="s">
        <v>22939</v>
      </c>
      <c r="K6760" s="450"/>
    </row>
    <row r="6761" spans="1:11">
      <c r="A6761" s="451" t="s">
        <v>10901</v>
      </c>
      <c r="B6761" s="451"/>
      <c r="C6761" s="451" t="s">
        <v>10902</v>
      </c>
      <c r="D6761" s="451"/>
      <c r="E6761" s="451"/>
      <c r="F6761" s="451"/>
      <c r="G6761" s="451" t="s">
        <v>22877</v>
      </c>
      <c r="H6761" s="451" t="s">
        <v>22878</v>
      </c>
      <c r="I6761" s="451" t="s">
        <v>36456</v>
      </c>
      <c r="J6761" s="451" t="s">
        <v>22939</v>
      </c>
      <c r="K6761" s="451"/>
    </row>
    <row r="6762" spans="1:11">
      <c r="A6762" s="450" t="s">
        <v>10903</v>
      </c>
      <c r="B6762" s="450"/>
      <c r="C6762" s="450" t="s">
        <v>1421</v>
      </c>
      <c r="D6762" s="450"/>
      <c r="E6762" s="450"/>
      <c r="F6762" s="450"/>
      <c r="G6762" s="450" t="s">
        <v>22877</v>
      </c>
      <c r="H6762" s="450" t="s">
        <v>22878</v>
      </c>
      <c r="I6762" s="450" t="s">
        <v>26768</v>
      </c>
      <c r="J6762" s="450" t="s">
        <v>22939</v>
      </c>
      <c r="K6762" s="450"/>
    </row>
    <row r="6763" spans="1:11">
      <c r="A6763" s="451" t="s">
        <v>10904</v>
      </c>
      <c r="B6763" s="451" t="s">
        <v>10905</v>
      </c>
      <c r="C6763" s="451" t="s">
        <v>10906</v>
      </c>
      <c r="D6763" s="451"/>
      <c r="E6763" s="451"/>
      <c r="F6763" s="451"/>
      <c r="G6763" s="451" t="s">
        <v>22877</v>
      </c>
      <c r="H6763" s="451" t="s">
        <v>22878</v>
      </c>
      <c r="I6763" s="451" t="s">
        <v>36457</v>
      </c>
      <c r="J6763" s="451" t="s">
        <v>36458</v>
      </c>
      <c r="K6763" s="451"/>
    </row>
    <row r="6764" spans="1:11">
      <c r="A6764" s="450" t="s">
        <v>26769</v>
      </c>
      <c r="B6764" s="450" t="s">
        <v>10905</v>
      </c>
      <c r="C6764" s="450" t="s">
        <v>10906</v>
      </c>
      <c r="D6764" s="450"/>
      <c r="E6764" s="450"/>
      <c r="F6764" s="450"/>
      <c r="G6764" s="450" t="s">
        <v>22877</v>
      </c>
      <c r="H6764" s="450" t="s">
        <v>22878</v>
      </c>
      <c r="I6764" s="450" t="s">
        <v>26770</v>
      </c>
      <c r="J6764" s="450" t="s">
        <v>26771</v>
      </c>
      <c r="K6764" s="450"/>
    </row>
    <row r="6765" spans="1:11">
      <c r="A6765" s="451" t="s">
        <v>26772</v>
      </c>
      <c r="B6765" s="451" t="s">
        <v>26773</v>
      </c>
      <c r="C6765" s="451" t="s">
        <v>26774</v>
      </c>
      <c r="D6765" s="451" t="s">
        <v>26775</v>
      </c>
      <c r="E6765" s="451"/>
      <c r="F6765" s="451"/>
      <c r="G6765" s="451" t="s">
        <v>22877</v>
      </c>
      <c r="H6765" s="451" t="s">
        <v>22878</v>
      </c>
      <c r="I6765" s="451" t="s">
        <v>26775</v>
      </c>
      <c r="J6765" s="451" t="s">
        <v>26776</v>
      </c>
      <c r="K6765" s="451"/>
    </row>
    <row r="6766" spans="1:11">
      <c r="A6766" s="450" t="s">
        <v>10907</v>
      </c>
      <c r="B6766" s="450" t="s">
        <v>36459</v>
      </c>
      <c r="C6766" s="450" t="s">
        <v>10909</v>
      </c>
      <c r="D6766" s="450" t="s">
        <v>10910</v>
      </c>
      <c r="E6766" s="450"/>
      <c r="F6766" s="450"/>
      <c r="G6766" s="450" t="s">
        <v>22882</v>
      </c>
      <c r="H6766" s="450" t="s">
        <v>22883</v>
      </c>
      <c r="I6766" s="450" t="s">
        <v>10910</v>
      </c>
      <c r="J6766" s="450" t="s">
        <v>36460</v>
      </c>
      <c r="K6766" s="450"/>
    </row>
    <row r="6767" spans="1:11">
      <c r="A6767" s="451" t="s">
        <v>10907</v>
      </c>
      <c r="B6767" s="451" t="s">
        <v>10908</v>
      </c>
      <c r="C6767" s="451" t="s">
        <v>10909</v>
      </c>
      <c r="D6767" s="451" t="s">
        <v>10910</v>
      </c>
      <c r="E6767" s="451" t="s">
        <v>10911</v>
      </c>
      <c r="F6767" s="451"/>
      <c r="G6767" s="451" t="s">
        <v>22877</v>
      </c>
      <c r="H6767" s="451" t="s">
        <v>22878</v>
      </c>
      <c r="I6767" s="451" t="s">
        <v>10910</v>
      </c>
      <c r="J6767" s="451" t="s">
        <v>31731</v>
      </c>
      <c r="K6767" s="451"/>
    </row>
    <row r="6768" spans="1:11">
      <c r="A6768" s="450" t="s">
        <v>10912</v>
      </c>
      <c r="B6768" s="450"/>
      <c r="C6768" s="450" t="s">
        <v>10913</v>
      </c>
      <c r="D6768" s="450"/>
      <c r="E6768" s="450"/>
      <c r="F6768" s="450"/>
      <c r="G6768" s="450" t="s">
        <v>22882</v>
      </c>
      <c r="H6768" s="450" t="s">
        <v>22883</v>
      </c>
      <c r="I6768" s="450"/>
      <c r="J6768" s="450" t="s">
        <v>22943</v>
      </c>
      <c r="K6768" s="450"/>
    </row>
    <row r="6769" spans="1:11">
      <c r="A6769" s="451" t="s">
        <v>21817</v>
      </c>
      <c r="B6769" s="451"/>
      <c r="C6769" s="451" t="s">
        <v>10914</v>
      </c>
      <c r="D6769" s="451"/>
      <c r="E6769" s="451"/>
      <c r="F6769" s="451"/>
      <c r="G6769" s="451" t="s">
        <v>22877</v>
      </c>
      <c r="H6769" s="451" t="s">
        <v>22878</v>
      </c>
      <c r="I6769" s="451" t="s">
        <v>10916</v>
      </c>
      <c r="J6769" s="451" t="s">
        <v>22939</v>
      </c>
      <c r="K6769" s="451"/>
    </row>
    <row r="6770" spans="1:11">
      <c r="A6770" s="450" t="s">
        <v>36461</v>
      </c>
      <c r="B6770" s="450" t="s">
        <v>10915</v>
      </c>
      <c r="C6770" s="450" t="s">
        <v>3762</v>
      </c>
      <c r="D6770" s="450" t="s">
        <v>10916</v>
      </c>
      <c r="E6770" s="450"/>
      <c r="F6770" s="450"/>
      <c r="G6770" s="450" t="s">
        <v>22877</v>
      </c>
      <c r="H6770" s="450" t="s">
        <v>22878</v>
      </c>
      <c r="I6770" s="450" t="s">
        <v>10916</v>
      </c>
      <c r="J6770" s="450" t="s">
        <v>36462</v>
      </c>
      <c r="K6770" s="450"/>
    </row>
    <row r="6771" spans="1:11">
      <c r="A6771" s="451" t="s">
        <v>21818</v>
      </c>
      <c r="B6771" s="451" t="s">
        <v>10915</v>
      </c>
      <c r="C6771" s="451" t="s">
        <v>3762</v>
      </c>
      <c r="D6771" s="451" t="s">
        <v>10916</v>
      </c>
      <c r="E6771" s="451" t="s">
        <v>10917</v>
      </c>
      <c r="F6771" s="451"/>
      <c r="G6771" s="451" t="s">
        <v>22877</v>
      </c>
      <c r="H6771" s="451" t="s">
        <v>22878</v>
      </c>
      <c r="I6771" s="451" t="s">
        <v>31732</v>
      </c>
      <c r="J6771" s="451" t="s">
        <v>31733</v>
      </c>
      <c r="K6771" s="451"/>
    </row>
    <row r="6772" spans="1:11">
      <c r="A6772" s="450" t="s">
        <v>10918</v>
      </c>
      <c r="B6772" s="450"/>
      <c r="C6772" s="450" t="s">
        <v>10919</v>
      </c>
      <c r="D6772" s="450"/>
      <c r="E6772" s="450"/>
      <c r="F6772" s="450"/>
      <c r="G6772" s="450" t="s">
        <v>22877</v>
      </c>
      <c r="H6772" s="450" t="s">
        <v>22878</v>
      </c>
      <c r="I6772" s="450" t="s">
        <v>36463</v>
      </c>
      <c r="J6772" s="450" t="s">
        <v>22943</v>
      </c>
      <c r="K6772" s="450"/>
    </row>
    <row r="6773" spans="1:11">
      <c r="A6773" s="451" t="s">
        <v>10920</v>
      </c>
      <c r="B6773" s="451"/>
      <c r="C6773" s="451" t="s">
        <v>10921</v>
      </c>
      <c r="D6773" s="451"/>
      <c r="E6773" s="451"/>
      <c r="F6773" s="451"/>
      <c r="G6773" s="451" t="s">
        <v>22882</v>
      </c>
      <c r="H6773" s="451" t="s">
        <v>22883</v>
      </c>
      <c r="I6773" s="451"/>
      <c r="J6773" s="451" t="s">
        <v>22939</v>
      </c>
      <c r="K6773" s="451"/>
    </row>
    <row r="6774" spans="1:11">
      <c r="A6774" s="450" t="s">
        <v>26777</v>
      </c>
      <c r="B6774" s="450"/>
      <c r="C6774" s="450" t="s">
        <v>26778</v>
      </c>
      <c r="D6774" s="450"/>
      <c r="E6774" s="450"/>
      <c r="F6774" s="450"/>
      <c r="G6774" s="450" t="s">
        <v>22882</v>
      </c>
      <c r="H6774" s="450" t="s">
        <v>22883</v>
      </c>
      <c r="I6774" s="450"/>
      <c r="J6774" s="450" t="s">
        <v>22939</v>
      </c>
      <c r="K6774" s="450"/>
    </row>
    <row r="6775" spans="1:11">
      <c r="A6775" s="451" t="s">
        <v>21819</v>
      </c>
      <c r="B6775" s="451" t="s">
        <v>26779</v>
      </c>
      <c r="C6775" s="451" t="s">
        <v>10923</v>
      </c>
      <c r="D6775" s="451" t="s">
        <v>10924</v>
      </c>
      <c r="E6775" s="451"/>
      <c r="F6775" s="451"/>
      <c r="G6775" s="451" t="s">
        <v>22877</v>
      </c>
      <c r="H6775" s="451" t="s">
        <v>22878</v>
      </c>
      <c r="I6775" s="451" t="s">
        <v>10924</v>
      </c>
      <c r="J6775" s="451" t="s">
        <v>26780</v>
      </c>
      <c r="K6775" s="451"/>
    </row>
    <row r="6776" spans="1:11">
      <c r="A6776" s="450" t="s">
        <v>21819</v>
      </c>
      <c r="B6776" s="450" t="s">
        <v>10922</v>
      </c>
      <c r="C6776" s="450" t="s">
        <v>10923</v>
      </c>
      <c r="D6776" s="450" t="s">
        <v>10924</v>
      </c>
      <c r="E6776" s="450"/>
      <c r="F6776" s="450"/>
      <c r="G6776" s="450" t="s">
        <v>22877</v>
      </c>
      <c r="H6776" s="450" t="s">
        <v>22878</v>
      </c>
      <c r="I6776" s="450" t="s">
        <v>31734</v>
      </c>
      <c r="J6776" s="450" t="s">
        <v>31735</v>
      </c>
      <c r="K6776" s="450"/>
    </row>
    <row r="6777" spans="1:11">
      <c r="A6777" s="451" t="s">
        <v>10925</v>
      </c>
      <c r="B6777" s="451"/>
      <c r="C6777" s="451" t="s">
        <v>10926</v>
      </c>
      <c r="D6777" s="451"/>
      <c r="E6777" s="451"/>
      <c r="F6777" s="451"/>
      <c r="G6777" s="451" t="s">
        <v>22882</v>
      </c>
      <c r="H6777" s="451" t="s">
        <v>22883</v>
      </c>
      <c r="I6777" s="451"/>
      <c r="J6777" s="451" t="s">
        <v>22939</v>
      </c>
      <c r="K6777" s="451"/>
    </row>
    <row r="6778" spans="1:11">
      <c r="A6778" s="450" t="s">
        <v>10927</v>
      </c>
      <c r="B6778" s="450"/>
      <c r="C6778" s="450" t="s">
        <v>6305</v>
      </c>
      <c r="D6778" s="450"/>
      <c r="E6778" s="450"/>
      <c r="F6778" s="450"/>
      <c r="G6778" s="450" t="s">
        <v>22882</v>
      </c>
      <c r="H6778" s="450" t="s">
        <v>22883</v>
      </c>
      <c r="I6778" s="450"/>
      <c r="J6778" s="450" t="s">
        <v>22939</v>
      </c>
      <c r="K6778" s="450"/>
    </row>
    <row r="6779" spans="1:11">
      <c r="A6779" s="451" t="s">
        <v>10928</v>
      </c>
      <c r="B6779" s="451"/>
      <c r="C6779" s="451" t="s">
        <v>36464</v>
      </c>
      <c r="D6779" s="451" t="s">
        <v>10930</v>
      </c>
      <c r="E6779" s="451"/>
      <c r="F6779" s="451"/>
      <c r="G6779" s="451" t="s">
        <v>22877</v>
      </c>
      <c r="H6779" s="451" t="s">
        <v>22878</v>
      </c>
      <c r="I6779" s="451" t="s">
        <v>10930</v>
      </c>
      <c r="J6779" s="451" t="s">
        <v>36465</v>
      </c>
      <c r="K6779" s="451"/>
    </row>
    <row r="6780" spans="1:11">
      <c r="A6780" s="450" t="s">
        <v>10928</v>
      </c>
      <c r="B6780" s="450"/>
      <c r="C6780" s="450" t="s">
        <v>10929</v>
      </c>
      <c r="D6780" s="450" t="s">
        <v>10930</v>
      </c>
      <c r="E6780" s="450" t="s">
        <v>10931</v>
      </c>
      <c r="F6780" s="450"/>
      <c r="G6780" s="450" t="s">
        <v>22877</v>
      </c>
      <c r="H6780" s="450" t="s">
        <v>22878</v>
      </c>
      <c r="I6780" s="450" t="s">
        <v>36466</v>
      </c>
      <c r="J6780" s="450" t="s">
        <v>36467</v>
      </c>
      <c r="K6780" s="450"/>
    </row>
    <row r="6781" spans="1:11">
      <c r="A6781" s="451" t="s">
        <v>10932</v>
      </c>
      <c r="B6781" s="451"/>
      <c r="C6781" s="451" t="s">
        <v>2731</v>
      </c>
      <c r="D6781" s="451"/>
      <c r="E6781" s="451"/>
      <c r="F6781" s="451"/>
      <c r="G6781" s="451" t="s">
        <v>22877</v>
      </c>
      <c r="H6781" s="451" t="s">
        <v>22878</v>
      </c>
      <c r="I6781" s="451" t="s">
        <v>26781</v>
      </c>
      <c r="J6781" s="451" t="s">
        <v>22939</v>
      </c>
      <c r="K6781" s="451"/>
    </row>
    <row r="6782" spans="1:11">
      <c r="A6782" s="450" t="s">
        <v>26782</v>
      </c>
      <c r="B6782" s="450" t="s">
        <v>26783</v>
      </c>
      <c r="C6782" s="450" t="s">
        <v>26784</v>
      </c>
      <c r="D6782" s="450"/>
      <c r="E6782" s="450"/>
      <c r="F6782" s="450"/>
      <c r="G6782" s="450" t="s">
        <v>22877</v>
      </c>
      <c r="H6782" s="450" t="s">
        <v>22878</v>
      </c>
      <c r="I6782" s="450" t="s">
        <v>26785</v>
      </c>
      <c r="J6782" s="450" t="s">
        <v>26786</v>
      </c>
      <c r="K6782" s="450"/>
    </row>
    <row r="6783" spans="1:11">
      <c r="A6783" s="451" t="s">
        <v>10933</v>
      </c>
      <c r="B6783" s="451"/>
      <c r="C6783" s="451" t="s">
        <v>3938</v>
      </c>
      <c r="D6783" s="451"/>
      <c r="E6783" s="451"/>
      <c r="F6783" s="451"/>
      <c r="G6783" s="451" t="s">
        <v>22882</v>
      </c>
      <c r="H6783" s="451" t="s">
        <v>22883</v>
      </c>
      <c r="I6783" s="451"/>
      <c r="J6783" s="451" t="s">
        <v>22939</v>
      </c>
      <c r="K6783" s="451"/>
    </row>
    <row r="6784" spans="1:11">
      <c r="A6784" s="450" t="s">
        <v>10934</v>
      </c>
      <c r="B6784" s="450"/>
      <c r="C6784" s="450" t="s">
        <v>3528</v>
      </c>
      <c r="D6784" s="450"/>
      <c r="E6784" s="450"/>
      <c r="F6784" s="450"/>
      <c r="G6784" s="450" t="s">
        <v>22882</v>
      </c>
      <c r="H6784" s="450" t="s">
        <v>22883</v>
      </c>
      <c r="I6784" s="450"/>
      <c r="J6784" s="450" t="s">
        <v>22939</v>
      </c>
      <c r="K6784" s="450"/>
    </row>
    <row r="6785" spans="1:11">
      <c r="A6785" s="451" t="s">
        <v>36468</v>
      </c>
      <c r="B6785" s="451"/>
      <c r="C6785" s="451" t="s">
        <v>9602</v>
      </c>
      <c r="D6785" s="451"/>
      <c r="E6785" s="451"/>
      <c r="F6785" s="451"/>
      <c r="G6785" s="451" t="s">
        <v>22877</v>
      </c>
      <c r="H6785" s="451" t="s">
        <v>22878</v>
      </c>
      <c r="I6785" s="451" t="s">
        <v>36359</v>
      </c>
      <c r="J6785" s="451" t="s">
        <v>22943</v>
      </c>
      <c r="K6785" s="451"/>
    </row>
    <row r="6786" spans="1:11">
      <c r="A6786" s="450" t="s">
        <v>10935</v>
      </c>
      <c r="B6786" s="450"/>
      <c r="C6786" s="450" t="s">
        <v>4653</v>
      </c>
      <c r="D6786" s="450"/>
      <c r="E6786" s="450"/>
      <c r="F6786" s="450"/>
      <c r="G6786" s="450" t="s">
        <v>22877</v>
      </c>
      <c r="H6786" s="450" t="s">
        <v>22878</v>
      </c>
      <c r="I6786" s="450" t="s">
        <v>36469</v>
      </c>
      <c r="J6786" s="450" t="s">
        <v>23185</v>
      </c>
      <c r="K6786" s="450"/>
    </row>
    <row r="6787" spans="1:11">
      <c r="A6787" s="451" t="s">
        <v>10936</v>
      </c>
      <c r="B6787" s="451"/>
      <c r="C6787" s="451" t="s">
        <v>4935</v>
      </c>
      <c r="D6787" s="451"/>
      <c r="E6787" s="451"/>
      <c r="F6787" s="451"/>
      <c r="G6787" s="451" t="s">
        <v>22877</v>
      </c>
      <c r="H6787" s="451" t="s">
        <v>22878</v>
      </c>
      <c r="I6787" s="451" t="s">
        <v>26787</v>
      </c>
      <c r="J6787" s="451" t="s">
        <v>22939</v>
      </c>
      <c r="K6787" s="451"/>
    </row>
    <row r="6788" spans="1:11">
      <c r="A6788" s="450" t="s">
        <v>10937</v>
      </c>
      <c r="B6788" s="450"/>
      <c r="C6788" s="450" t="s">
        <v>10938</v>
      </c>
      <c r="D6788" s="450"/>
      <c r="E6788" s="450"/>
      <c r="F6788" s="450"/>
      <c r="G6788" s="450" t="s">
        <v>22882</v>
      </c>
      <c r="H6788" s="450" t="s">
        <v>22883</v>
      </c>
      <c r="I6788" s="450"/>
      <c r="J6788" s="450" t="s">
        <v>23121</v>
      </c>
      <c r="K6788" s="450"/>
    </row>
    <row r="6789" spans="1:11">
      <c r="A6789" s="451" t="s">
        <v>36470</v>
      </c>
      <c r="B6789" s="451"/>
      <c r="C6789" s="451" t="s">
        <v>7950</v>
      </c>
      <c r="D6789" s="451"/>
      <c r="E6789" s="451"/>
      <c r="F6789" s="451"/>
      <c r="G6789" s="451" t="s">
        <v>22877</v>
      </c>
      <c r="H6789" s="451" t="s">
        <v>22878</v>
      </c>
      <c r="I6789" s="451" t="s">
        <v>36471</v>
      </c>
      <c r="J6789" s="451" t="s">
        <v>22997</v>
      </c>
      <c r="K6789" s="451"/>
    </row>
    <row r="6790" spans="1:11">
      <c r="A6790" s="450" t="s">
        <v>10939</v>
      </c>
      <c r="B6790" s="450"/>
      <c r="C6790" s="450" t="s">
        <v>7950</v>
      </c>
      <c r="D6790" s="450"/>
      <c r="E6790" s="450"/>
      <c r="F6790" s="450"/>
      <c r="G6790" s="450" t="s">
        <v>22877</v>
      </c>
      <c r="H6790" s="450" t="s">
        <v>22878</v>
      </c>
      <c r="I6790" s="450" t="s">
        <v>31736</v>
      </c>
      <c r="J6790" s="450" t="s">
        <v>22939</v>
      </c>
      <c r="K6790" s="450"/>
    </row>
    <row r="6791" spans="1:11">
      <c r="A6791" s="451" t="s">
        <v>36472</v>
      </c>
      <c r="B6791" s="451" t="s">
        <v>10941</v>
      </c>
      <c r="C6791" s="451" t="s">
        <v>10942</v>
      </c>
      <c r="D6791" s="451" t="s">
        <v>10943</v>
      </c>
      <c r="E6791" s="451"/>
      <c r="F6791" s="451"/>
      <c r="G6791" s="451" t="s">
        <v>22877</v>
      </c>
      <c r="H6791" s="451" t="s">
        <v>22878</v>
      </c>
      <c r="I6791" s="451" t="s">
        <v>36473</v>
      </c>
      <c r="J6791" s="451" t="s">
        <v>36474</v>
      </c>
      <c r="K6791" s="451"/>
    </row>
    <row r="6792" spans="1:11">
      <c r="A6792" s="450" t="s">
        <v>10940</v>
      </c>
      <c r="B6792" s="450" t="s">
        <v>10941</v>
      </c>
      <c r="C6792" s="450" t="s">
        <v>10942</v>
      </c>
      <c r="D6792" s="450" t="s">
        <v>10943</v>
      </c>
      <c r="E6792" s="450"/>
      <c r="F6792" s="450"/>
      <c r="G6792" s="450" t="s">
        <v>22877</v>
      </c>
      <c r="H6792" s="450" t="s">
        <v>22878</v>
      </c>
      <c r="I6792" s="450" t="s">
        <v>10943</v>
      </c>
      <c r="J6792" s="450" t="s">
        <v>31737</v>
      </c>
      <c r="K6792" s="450"/>
    </row>
    <row r="6793" spans="1:11">
      <c r="A6793" s="451" t="s">
        <v>10944</v>
      </c>
      <c r="B6793" s="451"/>
      <c r="C6793" s="451" t="s">
        <v>10945</v>
      </c>
      <c r="D6793" s="451"/>
      <c r="E6793" s="451"/>
      <c r="F6793" s="451"/>
      <c r="G6793" s="451" t="s">
        <v>22877</v>
      </c>
      <c r="H6793" s="451" t="s">
        <v>22878</v>
      </c>
      <c r="I6793" s="451" t="s">
        <v>36475</v>
      </c>
      <c r="J6793" s="451" t="s">
        <v>23185</v>
      </c>
      <c r="K6793" s="451"/>
    </row>
    <row r="6794" spans="1:11">
      <c r="A6794" s="450" t="s">
        <v>36476</v>
      </c>
      <c r="B6794" s="450"/>
      <c r="C6794" s="450" t="s">
        <v>7960</v>
      </c>
      <c r="D6794" s="450"/>
      <c r="E6794" s="450"/>
      <c r="F6794" s="450"/>
      <c r="G6794" s="450" t="s">
        <v>22882</v>
      </c>
      <c r="H6794" s="450" t="s">
        <v>22883</v>
      </c>
      <c r="I6794" s="450" t="s">
        <v>36477</v>
      </c>
      <c r="J6794" s="450" t="s">
        <v>22997</v>
      </c>
      <c r="K6794" s="450"/>
    </row>
    <row r="6795" spans="1:11">
      <c r="A6795" s="451" t="s">
        <v>10946</v>
      </c>
      <c r="B6795" s="451"/>
      <c r="C6795" s="451" t="s">
        <v>7960</v>
      </c>
      <c r="D6795" s="451"/>
      <c r="E6795" s="451"/>
      <c r="F6795" s="451"/>
      <c r="G6795" s="451" t="s">
        <v>22882</v>
      </c>
      <c r="H6795" s="451" t="s">
        <v>22883</v>
      </c>
      <c r="I6795" s="451" t="s">
        <v>36478</v>
      </c>
      <c r="J6795" s="451" t="s">
        <v>22939</v>
      </c>
      <c r="K6795" s="451"/>
    </row>
    <row r="6796" spans="1:11">
      <c r="A6796" s="450" t="s">
        <v>10947</v>
      </c>
      <c r="B6796" s="450"/>
      <c r="C6796" s="450" t="s">
        <v>2570</v>
      </c>
      <c r="D6796" s="450"/>
      <c r="E6796" s="450"/>
      <c r="F6796" s="450"/>
      <c r="G6796" s="450" t="s">
        <v>22882</v>
      </c>
      <c r="H6796" s="450" t="s">
        <v>22883</v>
      </c>
      <c r="I6796" s="450"/>
      <c r="J6796" s="450" t="s">
        <v>22943</v>
      </c>
      <c r="K6796" s="450"/>
    </row>
    <row r="6797" spans="1:11">
      <c r="A6797" s="451" t="s">
        <v>10948</v>
      </c>
      <c r="B6797" s="451"/>
      <c r="C6797" s="451" t="s">
        <v>4935</v>
      </c>
      <c r="D6797" s="451"/>
      <c r="E6797" s="451"/>
      <c r="F6797" s="451"/>
      <c r="G6797" s="451" t="s">
        <v>22877</v>
      </c>
      <c r="H6797" s="451" t="s">
        <v>22878</v>
      </c>
      <c r="I6797" s="451" t="s">
        <v>26787</v>
      </c>
      <c r="J6797" s="451" t="s">
        <v>22943</v>
      </c>
      <c r="K6797" s="451"/>
    </row>
    <row r="6798" spans="1:11">
      <c r="A6798" s="450" t="s">
        <v>10949</v>
      </c>
      <c r="B6798" s="450" t="s">
        <v>31738</v>
      </c>
      <c r="C6798" s="450" t="s">
        <v>2487</v>
      </c>
      <c r="D6798" s="450" t="s">
        <v>10951</v>
      </c>
      <c r="E6798" s="450"/>
      <c r="F6798" s="450"/>
      <c r="G6798" s="450" t="s">
        <v>22877</v>
      </c>
      <c r="H6798" s="450" t="s">
        <v>22878</v>
      </c>
      <c r="I6798" s="450" t="s">
        <v>26788</v>
      </c>
      <c r="J6798" s="450" t="s">
        <v>26789</v>
      </c>
      <c r="K6798" s="450"/>
    </row>
    <row r="6799" spans="1:11">
      <c r="A6799" s="451" t="s">
        <v>10949</v>
      </c>
      <c r="B6799" s="451" t="s">
        <v>31739</v>
      </c>
      <c r="C6799" s="451" t="s">
        <v>2487</v>
      </c>
      <c r="D6799" s="451" t="s">
        <v>10951</v>
      </c>
      <c r="E6799" s="451" t="s">
        <v>10952</v>
      </c>
      <c r="F6799" s="451"/>
      <c r="G6799" s="451" t="s">
        <v>22877</v>
      </c>
      <c r="H6799" s="451" t="s">
        <v>22878</v>
      </c>
      <c r="I6799" s="451" t="s">
        <v>10951</v>
      </c>
      <c r="J6799" s="451" t="s">
        <v>31740</v>
      </c>
      <c r="K6799" s="451"/>
    </row>
    <row r="6800" spans="1:11">
      <c r="A6800" s="450" t="s">
        <v>10953</v>
      </c>
      <c r="B6800" s="450"/>
      <c r="C6800" s="450" t="s">
        <v>10954</v>
      </c>
      <c r="D6800" s="450"/>
      <c r="E6800" s="450"/>
      <c r="F6800" s="450"/>
      <c r="G6800" s="450" t="s">
        <v>22882</v>
      </c>
      <c r="H6800" s="450" t="s">
        <v>22883</v>
      </c>
      <c r="I6800" s="450"/>
      <c r="J6800" s="450" t="s">
        <v>22943</v>
      </c>
      <c r="K6800" s="450"/>
    </row>
    <row r="6801" spans="1:11">
      <c r="A6801" s="451" t="s">
        <v>26790</v>
      </c>
      <c r="B6801" s="451" t="s">
        <v>26791</v>
      </c>
      <c r="C6801" s="451" t="s">
        <v>10957</v>
      </c>
      <c r="D6801" s="451" t="s">
        <v>10958</v>
      </c>
      <c r="E6801" s="451"/>
      <c r="F6801" s="451"/>
      <c r="G6801" s="451" t="s">
        <v>22877</v>
      </c>
      <c r="H6801" s="451" t="s">
        <v>22878</v>
      </c>
      <c r="I6801" s="451" t="s">
        <v>10958</v>
      </c>
      <c r="J6801" s="451" t="s">
        <v>26792</v>
      </c>
      <c r="K6801" s="451"/>
    </row>
    <row r="6802" spans="1:11">
      <c r="A6802" s="450" t="s">
        <v>10955</v>
      </c>
      <c r="B6802" s="450" t="s">
        <v>10956</v>
      </c>
      <c r="C6802" s="450" t="s">
        <v>10957</v>
      </c>
      <c r="D6802" s="450" t="s">
        <v>10958</v>
      </c>
      <c r="E6802" s="450"/>
      <c r="F6802" s="450"/>
      <c r="G6802" s="450" t="s">
        <v>22877</v>
      </c>
      <c r="H6802" s="450" t="s">
        <v>22878</v>
      </c>
      <c r="I6802" s="450" t="s">
        <v>31741</v>
      </c>
      <c r="J6802" s="450" t="s">
        <v>31742</v>
      </c>
      <c r="K6802" s="450"/>
    </row>
    <row r="6803" spans="1:11">
      <c r="A6803" s="451" t="s">
        <v>10959</v>
      </c>
      <c r="B6803" s="451"/>
      <c r="C6803" s="451" t="s">
        <v>10960</v>
      </c>
      <c r="D6803" s="451"/>
      <c r="E6803" s="451"/>
      <c r="F6803" s="451"/>
      <c r="G6803" s="451" t="s">
        <v>22877</v>
      </c>
      <c r="H6803" s="451" t="s">
        <v>22878</v>
      </c>
      <c r="I6803" s="451" t="s">
        <v>26793</v>
      </c>
      <c r="J6803" s="451" t="s">
        <v>22997</v>
      </c>
      <c r="K6803" s="451"/>
    </row>
    <row r="6804" spans="1:11">
      <c r="A6804" s="450" t="s">
        <v>10961</v>
      </c>
      <c r="B6804" s="450" t="s">
        <v>10962</v>
      </c>
      <c r="C6804" s="450" t="s">
        <v>10963</v>
      </c>
      <c r="D6804" s="450" t="s">
        <v>10964</v>
      </c>
      <c r="E6804" s="450"/>
      <c r="F6804" s="450"/>
      <c r="G6804" s="450" t="s">
        <v>22877</v>
      </c>
      <c r="H6804" s="450" t="s">
        <v>22878</v>
      </c>
      <c r="I6804" s="450" t="s">
        <v>36479</v>
      </c>
      <c r="J6804" s="450" t="s">
        <v>26794</v>
      </c>
      <c r="K6804" s="450"/>
    </row>
    <row r="6805" spans="1:11">
      <c r="A6805" s="451" t="s">
        <v>10961</v>
      </c>
      <c r="B6805" s="451" t="s">
        <v>10962</v>
      </c>
      <c r="C6805" s="451" t="s">
        <v>10963</v>
      </c>
      <c r="D6805" s="451" t="s">
        <v>10964</v>
      </c>
      <c r="E6805" s="451" t="s">
        <v>10965</v>
      </c>
      <c r="F6805" s="451"/>
      <c r="G6805" s="451" t="s">
        <v>22877</v>
      </c>
      <c r="H6805" s="451" t="s">
        <v>22878</v>
      </c>
      <c r="I6805" s="451" t="s">
        <v>10964</v>
      </c>
      <c r="J6805" s="451" t="s">
        <v>26794</v>
      </c>
      <c r="K6805" s="451"/>
    </row>
    <row r="6806" spans="1:11">
      <c r="A6806" s="450" t="s">
        <v>36480</v>
      </c>
      <c r="B6806" s="450" t="s">
        <v>10967</v>
      </c>
      <c r="C6806" s="450" t="s">
        <v>10968</v>
      </c>
      <c r="D6806" s="450" t="s">
        <v>10969</v>
      </c>
      <c r="E6806" s="450"/>
      <c r="F6806" s="450"/>
      <c r="G6806" s="450" t="s">
        <v>22877</v>
      </c>
      <c r="H6806" s="450" t="s">
        <v>22878</v>
      </c>
      <c r="I6806" s="450" t="s">
        <v>26795</v>
      </c>
      <c r="J6806" s="450" t="s">
        <v>36481</v>
      </c>
      <c r="K6806" s="450"/>
    </row>
    <row r="6807" spans="1:11">
      <c r="A6807" s="451" t="s">
        <v>10966</v>
      </c>
      <c r="B6807" s="451" t="s">
        <v>10967</v>
      </c>
      <c r="C6807" s="451" t="s">
        <v>10968</v>
      </c>
      <c r="D6807" s="451" t="s">
        <v>10969</v>
      </c>
      <c r="E6807" s="451" t="s">
        <v>10970</v>
      </c>
      <c r="F6807" s="451"/>
      <c r="G6807" s="451" t="s">
        <v>22877</v>
      </c>
      <c r="H6807" s="451" t="s">
        <v>22878</v>
      </c>
      <c r="I6807" s="451" t="s">
        <v>26795</v>
      </c>
      <c r="J6807" s="451" t="s">
        <v>31743</v>
      </c>
      <c r="K6807" s="451"/>
    </row>
    <row r="6808" spans="1:11">
      <c r="A6808" s="450" t="s">
        <v>36482</v>
      </c>
      <c r="B6808" s="450" t="s">
        <v>10972</v>
      </c>
      <c r="C6808" s="450" t="s">
        <v>10973</v>
      </c>
      <c r="D6808" s="450" t="s">
        <v>10974</v>
      </c>
      <c r="E6808" s="450"/>
      <c r="F6808" s="450"/>
      <c r="G6808" s="450" t="s">
        <v>22882</v>
      </c>
      <c r="H6808" s="450" t="s">
        <v>22883</v>
      </c>
      <c r="I6808" s="450" t="s">
        <v>36483</v>
      </c>
      <c r="J6808" s="450" t="s">
        <v>36484</v>
      </c>
      <c r="K6808" s="450"/>
    </row>
    <row r="6809" spans="1:11">
      <c r="A6809" s="451" t="s">
        <v>10971</v>
      </c>
      <c r="B6809" s="451" t="s">
        <v>10972</v>
      </c>
      <c r="C6809" s="451" t="s">
        <v>10973</v>
      </c>
      <c r="D6809" s="451" t="s">
        <v>10974</v>
      </c>
      <c r="E6809" s="451" t="s">
        <v>10975</v>
      </c>
      <c r="F6809" s="451"/>
      <c r="G6809" s="451" t="s">
        <v>22882</v>
      </c>
      <c r="H6809" s="451" t="s">
        <v>22883</v>
      </c>
      <c r="I6809" s="451"/>
      <c r="J6809" s="451" t="s">
        <v>31744</v>
      </c>
      <c r="K6809" s="451"/>
    </row>
    <row r="6810" spans="1:11">
      <c r="A6810" s="450" t="s">
        <v>10976</v>
      </c>
      <c r="B6810" s="450"/>
      <c r="C6810" s="450" t="s">
        <v>6106</v>
      </c>
      <c r="D6810" s="450"/>
      <c r="E6810" s="450"/>
      <c r="F6810" s="450"/>
      <c r="G6810" s="450" t="s">
        <v>22877</v>
      </c>
      <c r="H6810" s="450" t="s">
        <v>22878</v>
      </c>
      <c r="I6810" s="450" t="s">
        <v>36485</v>
      </c>
      <c r="J6810" s="450" t="s">
        <v>22997</v>
      </c>
      <c r="K6810" s="450"/>
    </row>
    <row r="6811" spans="1:11">
      <c r="A6811" s="451" t="s">
        <v>36486</v>
      </c>
      <c r="B6811" s="451"/>
      <c r="C6811" s="451" t="s">
        <v>10978</v>
      </c>
      <c r="D6811" s="451"/>
      <c r="E6811" s="451"/>
      <c r="F6811" s="451"/>
      <c r="G6811" s="451" t="s">
        <v>22882</v>
      </c>
      <c r="H6811" s="451" t="s">
        <v>22883</v>
      </c>
      <c r="I6811" s="451"/>
      <c r="J6811" s="451" t="s">
        <v>22997</v>
      </c>
      <c r="K6811" s="451"/>
    </row>
    <row r="6812" spans="1:11">
      <c r="A6812" s="450" t="s">
        <v>10977</v>
      </c>
      <c r="B6812" s="450"/>
      <c r="C6812" s="450" t="s">
        <v>10978</v>
      </c>
      <c r="D6812" s="450"/>
      <c r="E6812" s="450"/>
      <c r="F6812" s="450"/>
      <c r="G6812" s="450" t="s">
        <v>22882</v>
      </c>
      <c r="H6812" s="450" t="s">
        <v>22883</v>
      </c>
      <c r="I6812" s="450"/>
      <c r="J6812" s="450" t="s">
        <v>22939</v>
      </c>
      <c r="K6812" s="450"/>
    </row>
    <row r="6813" spans="1:11">
      <c r="A6813" s="451" t="s">
        <v>10979</v>
      </c>
      <c r="B6813" s="451"/>
      <c r="C6813" s="451" t="s">
        <v>10980</v>
      </c>
      <c r="D6813" s="451"/>
      <c r="E6813" s="451"/>
      <c r="F6813" s="451"/>
      <c r="G6813" s="451" t="s">
        <v>22882</v>
      </c>
      <c r="H6813" s="451" t="s">
        <v>22883</v>
      </c>
      <c r="I6813" s="451"/>
      <c r="J6813" s="451" t="s">
        <v>22939</v>
      </c>
      <c r="K6813" s="451"/>
    </row>
    <row r="6814" spans="1:11">
      <c r="A6814" s="450" t="s">
        <v>10981</v>
      </c>
      <c r="B6814" s="450"/>
      <c r="C6814" s="450" t="s">
        <v>10982</v>
      </c>
      <c r="D6814" s="450"/>
      <c r="E6814" s="450"/>
      <c r="F6814" s="450"/>
      <c r="G6814" s="450" t="s">
        <v>22877</v>
      </c>
      <c r="H6814" s="450" t="s">
        <v>22878</v>
      </c>
      <c r="I6814" s="450" t="s">
        <v>36487</v>
      </c>
      <c r="J6814" s="450" t="s">
        <v>23133</v>
      </c>
      <c r="K6814" s="450"/>
    </row>
    <row r="6815" spans="1:11">
      <c r="A6815" s="451" t="s">
        <v>10983</v>
      </c>
      <c r="B6815" s="451"/>
      <c r="C6815" s="451" t="s">
        <v>3355</v>
      </c>
      <c r="D6815" s="451"/>
      <c r="E6815" s="451"/>
      <c r="F6815" s="451"/>
      <c r="G6815" s="451" t="s">
        <v>22877</v>
      </c>
      <c r="H6815" s="451" t="s">
        <v>22878</v>
      </c>
      <c r="I6815" s="451" t="s">
        <v>36488</v>
      </c>
      <c r="J6815" s="451" t="s">
        <v>33326</v>
      </c>
      <c r="K6815" s="451"/>
    </row>
    <row r="6816" spans="1:11">
      <c r="A6816" s="450" t="s">
        <v>36489</v>
      </c>
      <c r="B6816" s="450"/>
      <c r="C6816" s="450" t="s">
        <v>3355</v>
      </c>
      <c r="D6816" s="450"/>
      <c r="E6816" s="450"/>
      <c r="F6816" s="450"/>
      <c r="G6816" s="450" t="s">
        <v>22877</v>
      </c>
      <c r="H6816" s="450" t="s">
        <v>22878</v>
      </c>
      <c r="I6816" s="450" t="s">
        <v>36490</v>
      </c>
      <c r="J6816" s="450" t="s">
        <v>22939</v>
      </c>
      <c r="K6816" s="450"/>
    </row>
    <row r="6817" spans="1:11">
      <c r="A6817" s="451" t="s">
        <v>36491</v>
      </c>
      <c r="B6817" s="451"/>
      <c r="C6817" s="451" t="s">
        <v>10985</v>
      </c>
      <c r="D6817" s="451"/>
      <c r="E6817" s="451"/>
      <c r="F6817" s="451"/>
      <c r="G6817" s="451" t="s">
        <v>22882</v>
      </c>
      <c r="H6817" s="451" t="s">
        <v>22883</v>
      </c>
      <c r="I6817" s="451" t="s">
        <v>36492</v>
      </c>
      <c r="J6817" s="451" t="s">
        <v>22943</v>
      </c>
      <c r="K6817" s="451"/>
    </row>
    <row r="6818" spans="1:11">
      <c r="A6818" s="450" t="s">
        <v>10984</v>
      </c>
      <c r="B6818" s="450"/>
      <c r="C6818" s="450" t="s">
        <v>10985</v>
      </c>
      <c r="D6818" s="450"/>
      <c r="E6818" s="450"/>
      <c r="F6818" s="450"/>
      <c r="G6818" s="450" t="s">
        <v>22882</v>
      </c>
      <c r="H6818" s="450" t="s">
        <v>22883</v>
      </c>
      <c r="I6818" s="450" t="s">
        <v>36493</v>
      </c>
      <c r="J6818" s="450" t="s">
        <v>22937</v>
      </c>
      <c r="K6818" s="450"/>
    </row>
    <row r="6819" spans="1:11">
      <c r="A6819" s="451" t="s">
        <v>36494</v>
      </c>
      <c r="B6819" s="451"/>
      <c r="C6819" s="451" t="s">
        <v>10987</v>
      </c>
      <c r="D6819" s="451"/>
      <c r="E6819" s="451"/>
      <c r="F6819" s="451"/>
      <c r="G6819" s="451" t="s">
        <v>22877</v>
      </c>
      <c r="H6819" s="451" t="s">
        <v>22878</v>
      </c>
      <c r="I6819" s="451" t="s">
        <v>26796</v>
      </c>
      <c r="J6819" s="451" t="s">
        <v>23370</v>
      </c>
      <c r="K6819" s="451"/>
    </row>
    <row r="6820" spans="1:11">
      <c r="A6820" s="450" t="s">
        <v>10986</v>
      </c>
      <c r="B6820" s="450"/>
      <c r="C6820" s="450" t="s">
        <v>10987</v>
      </c>
      <c r="D6820" s="450"/>
      <c r="E6820" s="450"/>
      <c r="F6820" s="450"/>
      <c r="G6820" s="450" t="s">
        <v>22877</v>
      </c>
      <c r="H6820" s="450" t="s">
        <v>22878</v>
      </c>
      <c r="I6820" s="450" t="s">
        <v>10991</v>
      </c>
      <c r="J6820" s="450" t="s">
        <v>22942</v>
      </c>
      <c r="K6820" s="450"/>
    </row>
    <row r="6821" spans="1:11">
      <c r="A6821" s="451" t="s">
        <v>10988</v>
      </c>
      <c r="B6821" s="451" t="s">
        <v>26797</v>
      </c>
      <c r="C6821" s="451" t="s">
        <v>10990</v>
      </c>
      <c r="D6821" s="451" t="s">
        <v>10991</v>
      </c>
      <c r="E6821" s="451"/>
      <c r="F6821" s="451"/>
      <c r="G6821" s="451" t="s">
        <v>22877</v>
      </c>
      <c r="H6821" s="451" t="s">
        <v>22878</v>
      </c>
      <c r="I6821" s="451" t="s">
        <v>26796</v>
      </c>
      <c r="J6821" s="451" t="s">
        <v>26798</v>
      </c>
      <c r="K6821" s="451"/>
    </row>
    <row r="6822" spans="1:11">
      <c r="A6822" s="450" t="s">
        <v>10988</v>
      </c>
      <c r="B6822" s="450" t="s">
        <v>10989</v>
      </c>
      <c r="C6822" s="450" t="s">
        <v>10990</v>
      </c>
      <c r="D6822" s="450" t="s">
        <v>10991</v>
      </c>
      <c r="E6822" s="450" t="s">
        <v>10992</v>
      </c>
      <c r="F6822" s="450"/>
      <c r="G6822" s="450" t="s">
        <v>22877</v>
      </c>
      <c r="H6822" s="450" t="s">
        <v>22878</v>
      </c>
      <c r="I6822" s="450" t="s">
        <v>31745</v>
      </c>
      <c r="J6822" s="450" t="s">
        <v>31746</v>
      </c>
      <c r="K6822" s="450"/>
    </row>
    <row r="6823" spans="1:11">
      <c r="A6823" s="451" t="s">
        <v>10993</v>
      </c>
      <c r="B6823" s="451" t="s">
        <v>10994</v>
      </c>
      <c r="C6823" s="451" t="s">
        <v>10995</v>
      </c>
      <c r="D6823" s="451"/>
      <c r="E6823" s="451"/>
      <c r="F6823" s="451"/>
      <c r="G6823" s="451" t="s">
        <v>22877</v>
      </c>
      <c r="H6823" s="451" t="s">
        <v>22878</v>
      </c>
      <c r="I6823" s="451" t="s">
        <v>26799</v>
      </c>
      <c r="J6823" s="451" t="s">
        <v>26800</v>
      </c>
      <c r="K6823" s="451"/>
    </row>
    <row r="6824" spans="1:11">
      <c r="A6824" s="450" t="s">
        <v>36495</v>
      </c>
      <c r="B6824" s="450"/>
      <c r="C6824" s="450" t="s">
        <v>10997</v>
      </c>
      <c r="D6824" s="450"/>
      <c r="E6824" s="450"/>
      <c r="F6824" s="450"/>
      <c r="G6824" s="450" t="s">
        <v>22877</v>
      </c>
      <c r="H6824" s="450" t="s">
        <v>22878</v>
      </c>
      <c r="I6824" s="450" t="s">
        <v>36496</v>
      </c>
      <c r="J6824" s="450" t="s">
        <v>22943</v>
      </c>
      <c r="K6824" s="450"/>
    </row>
    <row r="6825" spans="1:11">
      <c r="A6825" s="451" t="s">
        <v>10996</v>
      </c>
      <c r="B6825" s="451"/>
      <c r="C6825" s="451" t="s">
        <v>10997</v>
      </c>
      <c r="D6825" s="451"/>
      <c r="E6825" s="451"/>
      <c r="F6825" s="451"/>
      <c r="G6825" s="451" t="s">
        <v>22882</v>
      </c>
      <c r="H6825" s="451" t="s">
        <v>22883</v>
      </c>
      <c r="I6825" s="451" t="s">
        <v>31747</v>
      </c>
      <c r="J6825" s="451" t="s">
        <v>22937</v>
      </c>
      <c r="K6825" s="451"/>
    </row>
    <row r="6826" spans="1:11">
      <c r="A6826" s="450" t="s">
        <v>10998</v>
      </c>
      <c r="B6826" s="450" t="s">
        <v>10999</v>
      </c>
      <c r="C6826" s="450" t="s">
        <v>7715</v>
      </c>
      <c r="D6826" s="450" t="s">
        <v>11000</v>
      </c>
      <c r="E6826" s="450"/>
      <c r="F6826" s="450"/>
      <c r="G6826" s="450" t="s">
        <v>22877</v>
      </c>
      <c r="H6826" s="450" t="s">
        <v>22878</v>
      </c>
      <c r="I6826" s="450" t="s">
        <v>36497</v>
      </c>
      <c r="J6826" s="450" t="s">
        <v>26801</v>
      </c>
      <c r="K6826" s="450"/>
    </row>
    <row r="6827" spans="1:11">
      <c r="A6827" s="451" t="s">
        <v>10998</v>
      </c>
      <c r="B6827" s="451" t="s">
        <v>10999</v>
      </c>
      <c r="C6827" s="451" t="s">
        <v>7715</v>
      </c>
      <c r="D6827" s="451" t="s">
        <v>11000</v>
      </c>
      <c r="E6827" s="451" t="s">
        <v>11001</v>
      </c>
      <c r="F6827" s="451"/>
      <c r="G6827" s="451" t="s">
        <v>22877</v>
      </c>
      <c r="H6827" s="451" t="s">
        <v>22878</v>
      </c>
      <c r="I6827" s="451" t="s">
        <v>11000</v>
      </c>
      <c r="J6827" s="451" t="s">
        <v>26801</v>
      </c>
      <c r="K6827" s="451"/>
    </row>
    <row r="6828" spans="1:11">
      <c r="A6828" s="450" t="s">
        <v>11002</v>
      </c>
      <c r="B6828" s="450" t="s">
        <v>26802</v>
      </c>
      <c r="C6828" s="450" t="s">
        <v>11004</v>
      </c>
      <c r="D6828" s="450"/>
      <c r="E6828" s="450"/>
      <c r="F6828" s="450" t="s">
        <v>11005</v>
      </c>
      <c r="G6828" s="450" t="s">
        <v>22877</v>
      </c>
      <c r="H6828" s="450" t="s">
        <v>22878</v>
      </c>
      <c r="I6828" s="450" t="s">
        <v>26803</v>
      </c>
      <c r="J6828" s="450" t="s">
        <v>26804</v>
      </c>
      <c r="K6828" s="450"/>
    </row>
    <row r="6829" spans="1:11">
      <c r="A6829" s="451" t="s">
        <v>11002</v>
      </c>
      <c r="B6829" s="451" t="s">
        <v>11003</v>
      </c>
      <c r="C6829" s="451" t="s">
        <v>11004</v>
      </c>
      <c r="D6829" s="451"/>
      <c r="E6829" s="451"/>
      <c r="F6829" s="451" t="s">
        <v>11005</v>
      </c>
      <c r="G6829" s="451" t="s">
        <v>22877</v>
      </c>
      <c r="H6829" s="451" t="s">
        <v>22878</v>
      </c>
      <c r="I6829" s="451" t="s">
        <v>31748</v>
      </c>
      <c r="J6829" s="451" t="s">
        <v>31749</v>
      </c>
      <c r="K6829" s="451"/>
    </row>
    <row r="6830" spans="1:11">
      <c r="A6830" s="450" t="s">
        <v>11006</v>
      </c>
      <c r="B6830" s="450" t="s">
        <v>11007</v>
      </c>
      <c r="C6830" s="450" t="s">
        <v>11008</v>
      </c>
      <c r="D6830" s="450"/>
      <c r="E6830" s="450"/>
      <c r="F6830" s="450"/>
      <c r="G6830" s="450" t="s">
        <v>22877</v>
      </c>
      <c r="H6830" s="450" t="s">
        <v>22878</v>
      </c>
      <c r="I6830" s="450" t="s">
        <v>26805</v>
      </c>
      <c r="J6830" s="450" t="s">
        <v>26806</v>
      </c>
      <c r="K6830" s="450"/>
    </row>
    <row r="6831" spans="1:11">
      <c r="A6831" s="451" t="s">
        <v>11009</v>
      </c>
      <c r="B6831" s="451" t="s">
        <v>11010</v>
      </c>
      <c r="C6831" s="451" t="s">
        <v>11011</v>
      </c>
      <c r="D6831" s="451"/>
      <c r="E6831" s="451"/>
      <c r="F6831" s="451"/>
      <c r="G6831" s="451" t="s">
        <v>22877</v>
      </c>
      <c r="H6831" s="451" t="s">
        <v>22878</v>
      </c>
      <c r="I6831" s="451" t="s">
        <v>26807</v>
      </c>
      <c r="J6831" s="451" t="s">
        <v>26808</v>
      </c>
      <c r="K6831" s="451"/>
    </row>
    <row r="6832" spans="1:11">
      <c r="A6832" s="450" t="s">
        <v>11012</v>
      </c>
      <c r="B6832" s="450"/>
      <c r="C6832" s="450" t="s">
        <v>11013</v>
      </c>
      <c r="D6832" s="450"/>
      <c r="E6832" s="450"/>
      <c r="F6832" s="450"/>
      <c r="G6832" s="450" t="s">
        <v>22882</v>
      </c>
      <c r="H6832" s="450" t="s">
        <v>22883</v>
      </c>
      <c r="I6832" s="450"/>
      <c r="J6832" s="450" t="s">
        <v>22942</v>
      </c>
      <c r="K6832" s="450"/>
    </row>
    <row r="6833" spans="1:11">
      <c r="A6833" s="451" t="s">
        <v>26809</v>
      </c>
      <c r="B6833" s="451"/>
      <c r="C6833" s="451" t="s">
        <v>11013</v>
      </c>
      <c r="D6833" s="451"/>
      <c r="E6833" s="451"/>
      <c r="F6833" s="451"/>
      <c r="G6833" s="451" t="s">
        <v>22877</v>
      </c>
      <c r="H6833" s="451" t="s">
        <v>22878</v>
      </c>
      <c r="I6833" s="451" t="s">
        <v>26807</v>
      </c>
      <c r="J6833" s="451" t="s">
        <v>23370</v>
      </c>
      <c r="K6833" s="451"/>
    </row>
    <row r="6834" spans="1:11">
      <c r="A6834" s="450" t="s">
        <v>11014</v>
      </c>
      <c r="B6834" s="450" t="s">
        <v>11015</v>
      </c>
      <c r="C6834" s="450" t="s">
        <v>11016</v>
      </c>
      <c r="D6834" s="450"/>
      <c r="E6834" s="450"/>
      <c r="F6834" s="450"/>
      <c r="G6834" s="450" t="s">
        <v>22877</v>
      </c>
      <c r="H6834" s="450" t="s">
        <v>22878</v>
      </c>
      <c r="I6834" s="450" t="s">
        <v>26810</v>
      </c>
      <c r="J6834" s="450" t="s">
        <v>26811</v>
      </c>
      <c r="K6834" s="450"/>
    </row>
    <row r="6835" spans="1:11">
      <c r="A6835" s="451" t="s">
        <v>11017</v>
      </c>
      <c r="B6835" s="451" t="s">
        <v>11007</v>
      </c>
      <c r="C6835" s="451" t="s">
        <v>11008</v>
      </c>
      <c r="D6835" s="451"/>
      <c r="E6835" s="451"/>
      <c r="F6835" s="451" t="s">
        <v>36498</v>
      </c>
      <c r="G6835" s="451" t="s">
        <v>22877</v>
      </c>
      <c r="H6835" s="451" t="s">
        <v>22878</v>
      </c>
      <c r="I6835" s="451" t="s">
        <v>26805</v>
      </c>
      <c r="J6835" s="451" t="s">
        <v>26812</v>
      </c>
      <c r="K6835" s="451"/>
    </row>
    <row r="6836" spans="1:11">
      <c r="A6836" s="450" t="s">
        <v>11017</v>
      </c>
      <c r="B6836" s="450" t="s">
        <v>11007</v>
      </c>
      <c r="C6836" s="450" t="s">
        <v>11008</v>
      </c>
      <c r="D6836" s="450"/>
      <c r="E6836" s="450"/>
      <c r="F6836" s="450" t="s">
        <v>11018</v>
      </c>
      <c r="G6836" s="450" t="s">
        <v>22877</v>
      </c>
      <c r="H6836" s="450" t="s">
        <v>22878</v>
      </c>
      <c r="I6836" s="450" t="s">
        <v>31750</v>
      </c>
      <c r="J6836" s="450" t="s">
        <v>26812</v>
      </c>
      <c r="K6836" s="450"/>
    </row>
    <row r="6837" spans="1:11">
      <c r="A6837" s="451" t="s">
        <v>11019</v>
      </c>
      <c r="B6837" s="451"/>
      <c r="C6837" s="451" t="s">
        <v>11020</v>
      </c>
      <c r="D6837" s="451"/>
      <c r="E6837" s="451"/>
      <c r="F6837" s="451"/>
      <c r="G6837" s="451" t="s">
        <v>22877</v>
      </c>
      <c r="H6837" s="451" t="s">
        <v>22878</v>
      </c>
      <c r="I6837" s="451" t="s">
        <v>26810</v>
      </c>
      <c r="J6837" s="451" t="s">
        <v>22997</v>
      </c>
      <c r="K6837" s="451"/>
    </row>
    <row r="6838" spans="1:11">
      <c r="A6838" s="450" t="s">
        <v>20976</v>
      </c>
      <c r="B6838" s="450" t="s">
        <v>20977</v>
      </c>
      <c r="C6838" s="450" t="s">
        <v>20978</v>
      </c>
      <c r="D6838" s="450" t="s">
        <v>20979</v>
      </c>
      <c r="E6838" s="450"/>
      <c r="F6838" s="450"/>
      <c r="G6838" s="450" t="s">
        <v>22877</v>
      </c>
      <c r="H6838" s="450" t="s">
        <v>22878</v>
      </c>
      <c r="I6838" s="450" t="s">
        <v>36499</v>
      </c>
      <c r="J6838" s="450" t="s">
        <v>36500</v>
      </c>
      <c r="K6838" s="450"/>
    </row>
    <row r="6839" spans="1:11">
      <c r="A6839" s="451" t="s">
        <v>26813</v>
      </c>
      <c r="B6839" s="451" t="s">
        <v>20977</v>
      </c>
      <c r="C6839" s="451" t="s">
        <v>26814</v>
      </c>
      <c r="D6839" s="451"/>
      <c r="E6839" s="451"/>
      <c r="F6839" s="451"/>
      <c r="G6839" s="451" t="s">
        <v>22877</v>
      </c>
      <c r="H6839" s="451" t="s">
        <v>22878</v>
      </c>
      <c r="I6839" s="451" t="s">
        <v>20979</v>
      </c>
      <c r="J6839" s="451" t="s">
        <v>26815</v>
      </c>
      <c r="K6839" s="451"/>
    </row>
    <row r="6840" spans="1:11">
      <c r="A6840" s="450" t="s">
        <v>11021</v>
      </c>
      <c r="B6840" s="450"/>
      <c r="C6840" s="450" t="s">
        <v>11022</v>
      </c>
      <c r="D6840" s="450"/>
      <c r="E6840" s="450"/>
      <c r="F6840" s="450"/>
      <c r="G6840" s="450" t="s">
        <v>36501</v>
      </c>
      <c r="H6840" s="450" t="s">
        <v>22878</v>
      </c>
      <c r="I6840" s="450"/>
      <c r="J6840" s="450"/>
      <c r="K6840" s="450"/>
    </row>
    <row r="6841" spans="1:11">
      <c r="A6841" s="451" t="s">
        <v>26816</v>
      </c>
      <c r="B6841" s="451"/>
      <c r="C6841" s="451" t="s">
        <v>11022</v>
      </c>
      <c r="D6841" s="451"/>
      <c r="E6841" s="451"/>
      <c r="F6841" s="451"/>
      <c r="G6841" s="451" t="s">
        <v>22882</v>
      </c>
      <c r="H6841" s="451" t="s">
        <v>22883</v>
      </c>
      <c r="I6841" s="451" t="s">
        <v>26817</v>
      </c>
      <c r="J6841" s="451" t="s">
        <v>22943</v>
      </c>
      <c r="K6841" s="451"/>
    </row>
    <row r="6842" spans="1:11">
      <c r="A6842" s="450" t="s">
        <v>11023</v>
      </c>
      <c r="B6842" s="450" t="s">
        <v>36502</v>
      </c>
      <c r="C6842" s="450" t="s">
        <v>11025</v>
      </c>
      <c r="D6842" s="450" t="s">
        <v>11026</v>
      </c>
      <c r="E6842" s="450"/>
      <c r="F6842" s="450"/>
      <c r="G6842" s="450" t="s">
        <v>22882</v>
      </c>
      <c r="H6842" s="450" t="s">
        <v>22883</v>
      </c>
      <c r="I6842" s="450"/>
      <c r="J6842" s="450" t="s">
        <v>36503</v>
      </c>
      <c r="K6842" s="450"/>
    </row>
    <row r="6843" spans="1:11">
      <c r="A6843" s="451" t="s">
        <v>11023</v>
      </c>
      <c r="B6843" s="451" t="s">
        <v>11024</v>
      </c>
      <c r="C6843" s="451" t="s">
        <v>11025</v>
      </c>
      <c r="D6843" s="451" t="s">
        <v>11026</v>
      </c>
      <c r="E6843" s="451" t="s">
        <v>11027</v>
      </c>
      <c r="F6843" s="451"/>
      <c r="G6843" s="451" t="s">
        <v>31751</v>
      </c>
      <c r="H6843" s="451" t="s">
        <v>22878</v>
      </c>
      <c r="I6843" s="451"/>
      <c r="J6843" s="451" t="s">
        <v>31752</v>
      </c>
      <c r="K6843" s="451"/>
    </row>
    <row r="6844" spans="1:11">
      <c r="A6844" s="450" t="s">
        <v>26818</v>
      </c>
      <c r="B6844" s="450" t="s">
        <v>26819</v>
      </c>
      <c r="C6844" s="450" t="s">
        <v>26820</v>
      </c>
      <c r="D6844" s="450"/>
      <c r="E6844" s="450"/>
      <c r="F6844" s="450"/>
      <c r="G6844" s="450" t="s">
        <v>22877</v>
      </c>
      <c r="H6844" s="450" t="s">
        <v>22878</v>
      </c>
      <c r="I6844" s="450" t="s">
        <v>26821</v>
      </c>
      <c r="J6844" s="450" t="s">
        <v>26822</v>
      </c>
      <c r="K6844" s="450"/>
    </row>
    <row r="6845" spans="1:11">
      <c r="A6845" s="451" t="s">
        <v>11028</v>
      </c>
      <c r="B6845" s="451"/>
      <c r="C6845" s="451" t="s">
        <v>11029</v>
      </c>
      <c r="D6845" s="451"/>
      <c r="E6845" s="451"/>
      <c r="F6845" s="451"/>
      <c r="G6845" s="451" t="s">
        <v>22877</v>
      </c>
      <c r="H6845" s="451" t="s">
        <v>22878</v>
      </c>
      <c r="I6845" s="451" t="s">
        <v>26823</v>
      </c>
      <c r="J6845" s="451" t="s">
        <v>22939</v>
      </c>
      <c r="K6845" s="451"/>
    </row>
    <row r="6846" spans="1:11">
      <c r="A6846" s="450" t="s">
        <v>11030</v>
      </c>
      <c r="B6846" s="450" t="s">
        <v>11031</v>
      </c>
      <c r="C6846" s="450" t="s">
        <v>11032</v>
      </c>
      <c r="D6846" s="450"/>
      <c r="E6846" s="450"/>
      <c r="F6846" s="450" t="s">
        <v>11033</v>
      </c>
      <c r="G6846" s="450" t="s">
        <v>22877</v>
      </c>
      <c r="H6846" s="450" t="s">
        <v>22878</v>
      </c>
      <c r="I6846" s="450" t="s">
        <v>26824</v>
      </c>
      <c r="J6846" s="450" t="s">
        <v>26825</v>
      </c>
      <c r="K6846" s="450"/>
    </row>
    <row r="6847" spans="1:11">
      <c r="A6847" s="451" t="s">
        <v>11034</v>
      </c>
      <c r="B6847" s="451"/>
      <c r="C6847" s="451" t="s">
        <v>11035</v>
      </c>
      <c r="D6847" s="451"/>
      <c r="E6847" s="451"/>
      <c r="F6847" s="451"/>
      <c r="G6847" s="451" t="s">
        <v>22882</v>
      </c>
      <c r="H6847" s="451" t="s">
        <v>22883</v>
      </c>
      <c r="I6847" s="451"/>
      <c r="J6847" s="451" t="s">
        <v>22943</v>
      </c>
      <c r="K6847" s="451"/>
    </row>
    <row r="6848" spans="1:11">
      <c r="A6848" s="450" t="s">
        <v>20152</v>
      </c>
      <c r="B6848" s="450" t="s">
        <v>20153</v>
      </c>
      <c r="C6848" s="450" t="s">
        <v>20154</v>
      </c>
      <c r="D6848" s="450"/>
      <c r="E6848" s="450"/>
      <c r="F6848" s="450"/>
      <c r="G6848" s="450"/>
      <c r="H6848" s="450" t="s">
        <v>22878</v>
      </c>
      <c r="I6848" s="450"/>
      <c r="J6848" s="450" t="s">
        <v>20153</v>
      </c>
      <c r="K6848" s="450"/>
    </row>
    <row r="6849" spans="1:11">
      <c r="A6849" s="451" t="s">
        <v>20155</v>
      </c>
      <c r="B6849" s="451" t="s">
        <v>26826</v>
      </c>
      <c r="C6849" s="451" t="s">
        <v>11036</v>
      </c>
      <c r="D6849" s="451" t="s">
        <v>11037</v>
      </c>
      <c r="E6849" s="451"/>
      <c r="F6849" s="451" t="s">
        <v>20156</v>
      </c>
      <c r="G6849" s="451" t="s">
        <v>22877</v>
      </c>
      <c r="H6849" s="451" t="s">
        <v>22878</v>
      </c>
      <c r="I6849" s="451" t="s">
        <v>11037</v>
      </c>
      <c r="J6849" s="451" t="s">
        <v>26827</v>
      </c>
      <c r="K6849" s="451"/>
    </row>
    <row r="6850" spans="1:11">
      <c r="A6850" s="450" t="s">
        <v>20155</v>
      </c>
      <c r="B6850" s="450"/>
      <c r="C6850" s="450" t="s">
        <v>11036</v>
      </c>
      <c r="D6850" s="450" t="s">
        <v>11037</v>
      </c>
      <c r="E6850" s="450" t="s">
        <v>11038</v>
      </c>
      <c r="F6850" s="450" t="s">
        <v>20156</v>
      </c>
      <c r="G6850" s="450" t="s">
        <v>22877</v>
      </c>
      <c r="H6850" s="450" t="s">
        <v>22878</v>
      </c>
      <c r="I6850" s="450" t="s">
        <v>31753</v>
      </c>
      <c r="J6850" s="450" t="s">
        <v>31754</v>
      </c>
      <c r="K6850" s="450"/>
    </row>
    <row r="6851" spans="1:11">
      <c r="A6851" s="451" t="s">
        <v>20155</v>
      </c>
      <c r="B6851" s="451" t="s">
        <v>13935</v>
      </c>
      <c r="C6851" s="451" t="s">
        <v>11036</v>
      </c>
      <c r="D6851" s="451" t="s">
        <v>11037</v>
      </c>
      <c r="E6851" s="451" t="s">
        <v>11038</v>
      </c>
      <c r="F6851" s="451" t="s">
        <v>13936</v>
      </c>
      <c r="G6851" s="451" t="s">
        <v>22877</v>
      </c>
      <c r="H6851" s="451" t="s">
        <v>22878</v>
      </c>
      <c r="I6851" s="451" t="s">
        <v>11037</v>
      </c>
      <c r="J6851" s="451" t="s">
        <v>27654</v>
      </c>
      <c r="K6851" s="451"/>
    </row>
    <row r="6852" spans="1:11">
      <c r="A6852" s="450" t="s">
        <v>36504</v>
      </c>
      <c r="B6852" s="450" t="s">
        <v>26828</v>
      </c>
      <c r="C6852" s="450" t="s">
        <v>11040</v>
      </c>
      <c r="D6852" s="450" t="s">
        <v>11037</v>
      </c>
      <c r="E6852" s="450"/>
      <c r="F6852" s="450"/>
      <c r="G6852" s="450" t="s">
        <v>22877</v>
      </c>
      <c r="H6852" s="450" t="s">
        <v>22878</v>
      </c>
      <c r="I6852" s="450" t="s">
        <v>11037</v>
      </c>
      <c r="J6852" s="450" t="s">
        <v>36505</v>
      </c>
      <c r="K6852" s="450"/>
    </row>
    <row r="6853" spans="1:11">
      <c r="A6853" s="451" t="s">
        <v>20157</v>
      </c>
      <c r="B6853" s="451" t="s">
        <v>11039</v>
      </c>
      <c r="C6853" s="451" t="s">
        <v>11040</v>
      </c>
      <c r="D6853" s="451" t="s">
        <v>11037</v>
      </c>
      <c r="E6853" s="451"/>
      <c r="F6853" s="451"/>
      <c r="G6853" s="451" t="s">
        <v>22877</v>
      </c>
      <c r="H6853" s="451" t="s">
        <v>22878</v>
      </c>
      <c r="I6853" s="451" t="s">
        <v>11037</v>
      </c>
      <c r="J6853" s="451" t="s">
        <v>31755</v>
      </c>
      <c r="K6853" s="451"/>
    </row>
    <row r="6854" spans="1:11">
      <c r="A6854" s="450" t="s">
        <v>36506</v>
      </c>
      <c r="B6854" s="450"/>
      <c r="C6854" s="450" t="s">
        <v>11042</v>
      </c>
      <c r="D6854" s="450"/>
      <c r="E6854" s="450"/>
      <c r="F6854" s="450"/>
      <c r="G6854" s="450" t="s">
        <v>22877</v>
      </c>
      <c r="H6854" s="450" t="s">
        <v>22878</v>
      </c>
      <c r="I6854" s="450" t="s">
        <v>36507</v>
      </c>
      <c r="J6854" s="450" t="s">
        <v>22943</v>
      </c>
      <c r="K6854" s="450"/>
    </row>
    <row r="6855" spans="1:11">
      <c r="A6855" s="451" t="s">
        <v>11041</v>
      </c>
      <c r="B6855" s="451"/>
      <c r="C6855" s="451" t="s">
        <v>11042</v>
      </c>
      <c r="D6855" s="451"/>
      <c r="E6855" s="451"/>
      <c r="F6855" s="451"/>
      <c r="G6855" s="451" t="s">
        <v>22877</v>
      </c>
      <c r="H6855" s="451" t="s">
        <v>22878</v>
      </c>
      <c r="I6855" s="451" t="s">
        <v>31756</v>
      </c>
      <c r="J6855" s="451" t="s">
        <v>22937</v>
      </c>
      <c r="K6855" s="451"/>
    </row>
    <row r="6856" spans="1:11">
      <c r="A6856" s="450" t="s">
        <v>26829</v>
      </c>
      <c r="B6856" s="450" t="s">
        <v>26830</v>
      </c>
      <c r="C6856" s="450" t="s">
        <v>26831</v>
      </c>
      <c r="D6856" s="450"/>
      <c r="E6856" s="450"/>
      <c r="F6856" s="450"/>
      <c r="G6856" s="450" t="s">
        <v>22877</v>
      </c>
      <c r="H6856" s="450" t="s">
        <v>22878</v>
      </c>
      <c r="I6856" s="450" t="s">
        <v>11037</v>
      </c>
      <c r="J6856" s="450" t="s">
        <v>26832</v>
      </c>
      <c r="K6856" s="450"/>
    </row>
    <row r="6857" spans="1:11">
      <c r="A6857" s="451" t="s">
        <v>36508</v>
      </c>
      <c r="B6857" s="451" t="s">
        <v>20159</v>
      </c>
      <c r="C6857" s="451" t="s">
        <v>10363</v>
      </c>
      <c r="D6857" s="451" t="s">
        <v>20160</v>
      </c>
      <c r="E6857" s="451"/>
      <c r="F6857" s="451"/>
      <c r="G6857" s="451" t="s">
        <v>22877</v>
      </c>
      <c r="H6857" s="451" t="s">
        <v>22878</v>
      </c>
      <c r="I6857" s="451" t="s">
        <v>36509</v>
      </c>
      <c r="J6857" s="451" t="s">
        <v>36510</v>
      </c>
      <c r="K6857" s="451"/>
    </row>
    <row r="6858" spans="1:11">
      <c r="A6858" s="450" t="s">
        <v>20158</v>
      </c>
      <c r="B6858" s="450" t="s">
        <v>20159</v>
      </c>
      <c r="C6858" s="450" t="s">
        <v>10363</v>
      </c>
      <c r="D6858" s="450" t="s">
        <v>20160</v>
      </c>
      <c r="E6858" s="450"/>
      <c r="F6858" s="450"/>
      <c r="G6858" s="450" t="s">
        <v>22877</v>
      </c>
      <c r="H6858" s="450" t="s">
        <v>22878</v>
      </c>
      <c r="I6858" s="450" t="s">
        <v>31757</v>
      </c>
      <c r="J6858" s="450" t="s">
        <v>31758</v>
      </c>
      <c r="K6858" s="450"/>
    </row>
    <row r="6859" spans="1:11">
      <c r="A6859" s="451" t="s">
        <v>21820</v>
      </c>
      <c r="B6859" s="451" t="s">
        <v>11043</v>
      </c>
      <c r="C6859" s="451" t="s">
        <v>11044</v>
      </c>
      <c r="D6859" s="451" t="s">
        <v>11045</v>
      </c>
      <c r="E6859" s="451"/>
      <c r="F6859" s="451"/>
      <c r="G6859" s="451" t="s">
        <v>22877</v>
      </c>
      <c r="H6859" s="451" t="s">
        <v>22878</v>
      </c>
      <c r="I6859" s="451" t="s">
        <v>11045</v>
      </c>
      <c r="J6859" s="451" t="s">
        <v>26833</v>
      </c>
      <c r="K6859" s="451"/>
    </row>
    <row r="6860" spans="1:11">
      <c r="A6860" s="450" t="s">
        <v>21820</v>
      </c>
      <c r="B6860" s="450" t="s">
        <v>11043</v>
      </c>
      <c r="C6860" s="450" t="s">
        <v>11044</v>
      </c>
      <c r="D6860" s="450" t="s">
        <v>11045</v>
      </c>
      <c r="E6860" s="450" t="s">
        <v>11046</v>
      </c>
      <c r="F6860" s="450"/>
      <c r="G6860" s="450" t="s">
        <v>22877</v>
      </c>
      <c r="H6860" s="450" t="s">
        <v>22878</v>
      </c>
      <c r="I6860" s="450" t="s">
        <v>11045</v>
      </c>
      <c r="J6860" s="450" t="s">
        <v>26833</v>
      </c>
      <c r="K6860" s="450"/>
    </row>
    <row r="6861" spans="1:11">
      <c r="A6861" s="451" t="s">
        <v>36511</v>
      </c>
      <c r="B6861" s="451" t="s">
        <v>11048</v>
      </c>
      <c r="C6861" s="451" t="s">
        <v>11049</v>
      </c>
      <c r="D6861" s="451"/>
      <c r="E6861" s="451"/>
      <c r="F6861" s="451"/>
      <c r="G6861" s="451" t="s">
        <v>22877</v>
      </c>
      <c r="H6861" s="451" t="s">
        <v>22878</v>
      </c>
      <c r="I6861" s="451" t="s">
        <v>36512</v>
      </c>
      <c r="J6861" s="451" t="s">
        <v>36513</v>
      </c>
      <c r="K6861" s="451"/>
    </row>
    <row r="6862" spans="1:11">
      <c r="A6862" s="450" t="s">
        <v>11047</v>
      </c>
      <c r="B6862" s="450" t="s">
        <v>11048</v>
      </c>
      <c r="C6862" s="450" t="s">
        <v>11049</v>
      </c>
      <c r="D6862" s="450"/>
      <c r="E6862" s="450"/>
      <c r="F6862" s="450"/>
      <c r="G6862" s="450" t="s">
        <v>22877</v>
      </c>
      <c r="H6862" s="450" t="s">
        <v>22878</v>
      </c>
      <c r="I6862" s="450" t="s">
        <v>31759</v>
      </c>
      <c r="J6862" s="450" t="s">
        <v>31760</v>
      </c>
      <c r="K6862" s="450"/>
    </row>
    <row r="6863" spans="1:11">
      <c r="A6863" s="451" t="s">
        <v>11050</v>
      </c>
      <c r="B6863" s="451" t="s">
        <v>11051</v>
      </c>
      <c r="C6863" s="451" t="s">
        <v>11052</v>
      </c>
      <c r="D6863" s="451"/>
      <c r="E6863" s="451"/>
      <c r="F6863" s="451"/>
      <c r="G6863" s="451" t="s">
        <v>22877</v>
      </c>
      <c r="H6863" s="451" t="s">
        <v>22878</v>
      </c>
      <c r="I6863" s="451" t="s">
        <v>26834</v>
      </c>
      <c r="J6863" s="451" t="s">
        <v>26835</v>
      </c>
      <c r="K6863" s="451"/>
    </row>
    <row r="6864" spans="1:11">
      <c r="A6864" s="450" t="s">
        <v>11053</v>
      </c>
      <c r="B6864" s="450"/>
      <c r="C6864" s="450" t="s">
        <v>11054</v>
      </c>
      <c r="D6864" s="450"/>
      <c r="E6864" s="450"/>
      <c r="F6864" s="450"/>
      <c r="G6864" s="450" t="s">
        <v>22877</v>
      </c>
      <c r="H6864" s="450" t="s">
        <v>22878</v>
      </c>
      <c r="I6864" s="450" t="s">
        <v>26836</v>
      </c>
      <c r="J6864" s="450" t="s">
        <v>22939</v>
      </c>
      <c r="K6864" s="450"/>
    </row>
    <row r="6865" spans="1:11">
      <c r="A6865" s="451" t="s">
        <v>26837</v>
      </c>
      <c r="B6865" s="451" t="s">
        <v>26838</v>
      </c>
      <c r="C6865" s="451" t="s">
        <v>26839</v>
      </c>
      <c r="D6865" s="451"/>
      <c r="E6865" s="451"/>
      <c r="F6865" s="451"/>
      <c r="G6865" s="451" t="s">
        <v>22877</v>
      </c>
      <c r="H6865" s="451" t="s">
        <v>22878</v>
      </c>
      <c r="I6865" s="451" t="s">
        <v>26840</v>
      </c>
      <c r="J6865" s="451" t="s">
        <v>26841</v>
      </c>
      <c r="K6865" s="451"/>
    </row>
    <row r="6866" spans="1:11">
      <c r="A6866" s="450" t="s">
        <v>11055</v>
      </c>
      <c r="B6866" s="450"/>
      <c r="C6866" s="450" t="s">
        <v>5018</v>
      </c>
      <c r="D6866" s="450"/>
      <c r="E6866" s="450"/>
      <c r="F6866" s="450"/>
      <c r="G6866" s="450" t="s">
        <v>22882</v>
      </c>
      <c r="H6866" s="450" t="s">
        <v>22883</v>
      </c>
      <c r="I6866" s="450" t="s">
        <v>36514</v>
      </c>
      <c r="J6866" s="450" t="s">
        <v>22939</v>
      </c>
      <c r="K6866" s="450"/>
    </row>
    <row r="6867" spans="1:11">
      <c r="A6867" s="451" t="s">
        <v>11056</v>
      </c>
      <c r="B6867" s="451"/>
      <c r="C6867" s="451" t="s">
        <v>11057</v>
      </c>
      <c r="D6867" s="451"/>
      <c r="E6867" s="451"/>
      <c r="F6867" s="451"/>
      <c r="G6867" s="451" t="s">
        <v>22877</v>
      </c>
      <c r="H6867" s="451" t="s">
        <v>22878</v>
      </c>
      <c r="I6867" s="451" t="s">
        <v>26842</v>
      </c>
      <c r="J6867" s="451" t="s">
        <v>23121</v>
      </c>
      <c r="K6867" s="451"/>
    </row>
    <row r="6868" spans="1:11">
      <c r="A6868" s="450" t="s">
        <v>11059</v>
      </c>
      <c r="B6868" s="450" t="s">
        <v>11060</v>
      </c>
      <c r="C6868" s="450" t="s">
        <v>11061</v>
      </c>
      <c r="D6868" s="450" t="s">
        <v>11062</v>
      </c>
      <c r="E6868" s="450" t="s">
        <v>11063</v>
      </c>
      <c r="F6868" s="450"/>
      <c r="G6868" s="450" t="s">
        <v>22877</v>
      </c>
      <c r="H6868" s="450" t="s">
        <v>22878</v>
      </c>
      <c r="I6868" s="450" t="s">
        <v>31761</v>
      </c>
      <c r="J6868" s="450" t="s">
        <v>31762</v>
      </c>
      <c r="K6868" s="450"/>
    </row>
    <row r="6869" spans="1:11">
      <c r="A6869" s="451" t="s">
        <v>26843</v>
      </c>
      <c r="B6869" s="451" t="s">
        <v>26844</v>
      </c>
      <c r="C6869" s="451" t="s">
        <v>26845</v>
      </c>
      <c r="D6869" s="451" t="s">
        <v>26846</v>
      </c>
      <c r="E6869" s="451"/>
      <c r="F6869" s="451"/>
      <c r="G6869" s="451" t="s">
        <v>22877</v>
      </c>
      <c r="H6869" s="451" t="s">
        <v>22878</v>
      </c>
      <c r="I6869" s="451" t="s">
        <v>26847</v>
      </c>
      <c r="J6869" s="451" t="s">
        <v>26848</v>
      </c>
      <c r="K6869" s="451"/>
    </row>
    <row r="6870" spans="1:11">
      <c r="A6870" s="450" t="s">
        <v>11064</v>
      </c>
      <c r="B6870" s="450"/>
      <c r="C6870" s="450" t="s">
        <v>11065</v>
      </c>
      <c r="D6870" s="450"/>
      <c r="E6870" s="450"/>
      <c r="F6870" s="450"/>
      <c r="G6870" s="450" t="s">
        <v>22882</v>
      </c>
      <c r="H6870" s="450" t="s">
        <v>22883</v>
      </c>
      <c r="I6870" s="450" t="s">
        <v>36515</v>
      </c>
      <c r="J6870" s="450" t="s">
        <v>22997</v>
      </c>
      <c r="K6870" s="450"/>
    </row>
    <row r="6871" spans="1:11">
      <c r="A6871" s="451" t="s">
        <v>21821</v>
      </c>
      <c r="B6871" s="451"/>
      <c r="C6871" s="451" t="s">
        <v>11058</v>
      </c>
      <c r="D6871" s="451"/>
      <c r="E6871" s="451"/>
      <c r="F6871" s="451"/>
      <c r="G6871" s="451" t="s">
        <v>22877</v>
      </c>
      <c r="H6871" s="451" t="s">
        <v>22878</v>
      </c>
      <c r="I6871" s="451" t="s">
        <v>36516</v>
      </c>
      <c r="J6871" s="451" t="s">
        <v>22997</v>
      </c>
      <c r="K6871" s="451"/>
    </row>
    <row r="6872" spans="1:11">
      <c r="A6872" s="450" t="s">
        <v>11066</v>
      </c>
      <c r="B6872" s="450"/>
      <c r="C6872" s="450" t="s">
        <v>11067</v>
      </c>
      <c r="D6872" s="450"/>
      <c r="E6872" s="450"/>
      <c r="F6872" s="450"/>
      <c r="G6872" s="450" t="s">
        <v>22882</v>
      </c>
      <c r="H6872" s="450" t="s">
        <v>22883</v>
      </c>
      <c r="I6872" s="450" t="s">
        <v>36517</v>
      </c>
      <c r="J6872" s="450" t="s">
        <v>22943</v>
      </c>
      <c r="K6872" s="450"/>
    </row>
    <row r="6873" spans="1:11">
      <c r="A6873" s="451" t="s">
        <v>36518</v>
      </c>
      <c r="B6873" s="451"/>
      <c r="C6873" s="451" t="s">
        <v>11070</v>
      </c>
      <c r="D6873" s="451"/>
      <c r="E6873" s="451"/>
      <c r="F6873" s="451"/>
      <c r="G6873" s="451" t="s">
        <v>22877</v>
      </c>
      <c r="H6873" s="451" t="s">
        <v>22878</v>
      </c>
      <c r="I6873" s="451" t="s">
        <v>36519</v>
      </c>
      <c r="J6873" s="451" t="s">
        <v>23370</v>
      </c>
      <c r="K6873" s="451"/>
    </row>
    <row r="6874" spans="1:11">
      <c r="A6874" s="450" t="s">
        <v>11068</v>
      </c>
      <c r="B6874" s="450"/>
      <c r="C6874" s="450" t="s">
        <v>6495</v>
      </c>
      <c r="D6874" s="450"/>
      <c r="E6874" s="450"/>
      <c r="F6874" s="450"/>
      <c r="G6874" s="450" t="s">
        <v>22882</v>
      </c>
      <c r="H6874" s="450" t="s">
        <v>22883</v>
      </c>
      <c r="I6874" s="450"/>
      <c r="J6874" s="450" t="s">
        <v>22943</v>
      </c>
      <c r="K6874" s="450"/>
    </row>
    <row r="6875" spans="1:11">
      <c r="A6875" s="451" t="s">
        <v>11069</v>
      </c>
      <c r="B6875" s="451"/>
      <c r="C6875" s="451" t="s">
        <v>11070</v>
      </c>
      <c r="D6875" s="451"/>
      <c r="E6875" s="451"/>
      <c r="F6875" s="451"/>
      <c r="G6875" s="451" t="s">
        <v>22877</v>
      </c>
      <c r="H6875" s="451" t="s">
        <v>22878</v>
      </c>
      <c r="I6875" s="451" t="s">
        <v>36520</v>
      </c>
      <c r="J6875" s="451" t="s">
        <v>22943</v>
      </c>
      <c r="K6875" s="451"/>
    </row>
    <row r="6876" spans="1:11">
      <c r="A6876" s="450" t="s">
        <v>36521</v>
      </c>
      <c r="B6876" s="450"/>
      <c r="C6876" s="450" t="s">
        <v>6495</v>
      </c>
      <c r="D6876" s="450"/>
      <c r="E6876" s="450"/>
      <c r="F6876" s="450"/>
      <c r="G6876" s="450" t="s">
        <v>22882</v>
      </c>
      <c r="H6876" s="450" t="s">
        <v>22883</v>
      </c>
      <c r="I6876" s="450"/>
      <c r="J6876" s="450" t="s">
        <v>23370</v>
      </c>
      <c r="K6876" s="450"/>
    </row>
    <row r="6877" spans="1:11">
      <c r="A6877" s="451" t="s">
        <v>36522</v>
      </c>
      <c r="B6877" s="451"/>
      <c r="C6877" s="451" t="s">
        <v>11072</v>
      </c>
      <c r="D6877" s="451" t="s">
        <v>11073</v>
      </c>
      <c r="E6877" s="451"/>
      <c r="F6877" s="451"/>
      <c r="G6877" s="451" t="s">
        <v>22877</v>
      </c>
      <c r="H6877" s="451" t="s">
        <v>22878</v>
      </c>
      <c r="I6877" s="451" t="s">
        <v>36523</v>
      </c>
      <c r="J6877" s="451" t="s">
        <v>36524</v>
      </c>
      <c r="K6877" s="451"/>
    </row>
    <row r="6878" spans="1:11">
      <c r="A6878" s="450" t="s">
        <v>11071</v>
      </c>
      <c r="B6878" s="450"/>
      <c r="C6878" s="450" t="s">
        <v>11072</v>
      </c>
      <c r="D6878" s="450" t="s">
        <v>11073</v>
      </c>
      <c r="E6878" s="450"/>
      <c r="F6878" s="450"/>
      <c r="G6878" s="450" t="s">
        <v>22877</v>
      </c>
      <c r="H6878" s="450" t="s">
        <v>22878</v>
      </c>
      <c r="I6878" s="450" t="s">
        <v>36525</v>
      </c>
      <c r="J6878" s="450" t="s">
        <v>36526</v>
      </c>
      <c r="K6878" s="450"/>
    </row>
    <row r="6879" spans="1:11">
      <c r="A6879" s="451" t="s">
        <v>11074</v>
      </c>
      <c r="B6879" s="451"/>
      <c r="C6879" s="451" t="s">
        <v>11075</v>
      </c>
      <c r="D6879" s="451"/>
      <c r="E6879" s="451"/>
      <c r="F6879" s="451"/>
      <c r="G6879" s="451" t="s">
        <v>22882</v>
      </c>
      <c r="H6879" s="451" t="s">
        <v>22883</v>
      </c>
      <c r="I6879" s="451" t="s">
        <v>36527</v>
      </c>
      <c r="J6879" s="451" t="s">
        <v>22943</v>
      </c>
      <c r="K6879" s="451"/>
    </row>
    <row r="6880" spans="1:11">
      <c r="A6880" s="450" t="s">
        <v>36528</v>
      </c>
      <c r="B6880" s="450"/>
      <c r="C6880" s="450" t="s">
        <v>6587</v>
      </c>
      <c r="D6880" s="450"/>
      <c r="E6880" s="450"/>
      <c r="F6880" s="450"/>
      <c r="G6880" s="450" t="s">
        <v>22877</v>
      </c>
      <c r="H6880" s="450" t="s">
        <v>22878</v>
      </c>
      <c r="I6880" s="450" t="s">
        <v>36529</v>
      </c>
      <c r="J6880" s="450" t="s">
        <v>23133</v>
      </c>
      <c r="K6880" s="450"/>
    </row>
    <row r="6881" spans="1:11">
      <c r="A6881" s="451" t="s">
        <v>11076</v>
      </c>
      <c r="B6881" s="451"/>
      <c r="C6881" s="451" t="s">
        <v>6587</v>
      </c>
      <c r="D6881" s="451"/>
      <c r="E6881" s="451"/>
      <c r="F6881" s="451"/>
      <c r="G6881" s="451" t="s">
        <v>36530</v>
      </c>
      <c r="H6881" s="451" t="s">
        <v>22878</v>
      </c>
      <c r="I6881" s="451"/>
      <c r="J6881" s="451" t="s">
        <v>36531</v>
      </c>
      <c r="K6881" s="451"/>
    </row>
    <row r="6882" spans="1:11">
      <c r="A6882" s="450" t="s">
        <v>11077</v>
      </c>
      <c r="B6882" s="450"/>
      <c r="C6882" s="450" t="s">
        <v>11078</v>
      </c>
      <c r="D6882" s="450"/>
      <c r="E6882" s="450"/>
      <c r="F6882" s="450"/>
      <c r="G6882" s="450" t="s">
        <v>22877</v>
      </c>
      <c r="H6882" s="450" t="s">
        <v>22878</v>
      </c>
      <c r="I6882" s="450" t="s">
        <v>26849</v>
      </c>
      <c r="J6882" s="450" t="s">
        <v>22997</v>
      </c>
      <c r="K6882" s="450"/>
    </row>
    <row r="6883" spans="1:11">
      <c r="A6883" s="451" t="s">
        <v>11079</v>
      </c>
      <c r="B6883" s="451" t="s">
        <v>11080</v>
      </c>
      <c r="C6883" s="451" t="s">
        <v>11081</v>
      </c>
      <c r="D6883" s="451" t="s">
        <v>11082</v>
      </c>
      <c r="E6883" s="451"/>
      <c r="F6883" s="451" t="s">
        <v>36532</v>
      </c>
      <c r="G6883" s="451" t="s">
        <v>22877</v>
      </c>
      <c r="H6883" s="451" t="s">
        <v>22878</v>
      </c>
      <c r="I6883" s="451" t="s">
        <v>36533</v>
      </c>
      <c r="J6883" s="451" t="s">
        <v>36534</v>
      </c>
      <c r="K6883" s="451"/>
    </row>
    <row r="6884" spans="1:11">
      <c r="A6884" s="450" t="s">
        <v>11079</v>
      </c>
      <c r="B6884" s="450" t="s">
        <v>11080</v>
      </c>
      <c r="C6884" s="450" t="s">
        <v>11081</v>
      </c>
      <c r="D6884" s="450" t="s">
        <v>11082</v>
      </c>
      <c r="E6884" s="450"/>
      <c r="F6884" s="450" t="s">
        <v>21822</v>
      </c>
      <c r="G6884" s="450" t="s">
        <v>22877</v>
      </c>
      <c r="H6884" s="450" t="s">
        <v>22878</v>
      </c>
      <c r="I6884" s="450" t="s">
        <v>31466</v>
      </c>
      <c r="J6884" s="450" t="s">
        <v>31763</v>
      </c>
      <c r="K6884" s="450"/>
    </row>
    <row r="6885" spans="1:11">
      <c r="A6885" s="451" t="s">
        <v>11083</v>
      </c>
      <c r="B6885" s="451" t="s">
        <v>36535</v>
      </c>
      <c r="C6885" s="451" t="s">
        <v>11085</v>
      </c>
      <c r="D6885" s="451" t="s">
        <v>11086</v>
      </c>
      <c r="E6885" s="451"/>
      <c r="F6885" s="451"/>
      <c r="G6885" s="451" t="s">
        <v>22877</v>
      </c>
      <c r="H6885" s="451" t="s">
        <v>22878</v>
      </c>
      <c r="I6885" s="451" t="s">
        <v>26850</v>
      </c>
      <c r="J6885" s="451" t="s">
        <v>36536</v>
      </c>
      <c r="K6885" s="451"/>
    </row>
    <row r="6886" spans="1:11">
      <c r="A6886" s="450" t="s">
        <v>11083</v>
      </c>
      <c r="B6886" s="450" t="s">
        <v>11084</v>
      </c>
      <c r="C6886" s="450" t="s">
        <v>11085</v>
      </c>
      <c r="D6886" s="450" t="s">
        <v>11086</v>
      </c>
      <c r="E6886" s="450" t="s">
        <v>11087</v>
      </c>
      <c r="F6886" s="450"/>
      <c r="G6886" s="450" t="s">
        <v>22882</v>
      </c>
      <c r="H6886" s="450" t="s">
        <v>22883</v>
      </c>
      <c r="I6886" s="450" t="s">
        <v>26850</v>
      </c>
      <c r="J6886" s="450" t="s">
        <v>31764</v>
      </c>
      <c r="K6886" s="450"/>
    </row>
    <row r="6887" spans="1:11">
      <c r="A6887" s="451" t="s">
        <v>11088</v>
      </c>
      <c r="B6887" s="451"/>
      <c r="C6887" s="451" t="s">
        <v>11078</v>
      </c>
      <c r="D6887" s="451"/>
      <c r="E6887" s="451"/>
      <c r="F6887" s="451"/>
      <c r="G6887" s="451" t="s">
        <v>22877</v>
      </c>
      <c r="H6887" s="451" t="s">
        <v>22878</v>
      </c>
      <c r="I6887" s="451" t="s">
        <v>26849</v>
      </c>
      <c r="J6887" s="451" t="s">
        <v>23121</v>
      </c>
      <c r="K6887" s="451"/>
    </row>
    <row r="6888" spans="1:11">
      <c r="A6888" s="450" t="s">
        <v>11089</v>
      </c>
      <c r="B6888" s="450"/>
      <c r="C6888" s="450" t="s">
        <v>11090</v>
      </c>
      <c r="D6888" s="450"/>
      <c r="E6888" s="450"/>
      <c r="F6888" s="450"/>
      <c r="G6888" s="450" t="s">
        <v>22877</v>
      </c>
      <c r="H6888" s="450" t="s">
        <v>22878</v>
      </c>
      <c r="I6888" s="450" t="s">
        <v>26851</v>
      </c>
      <c r="J6888" s="450" t="s">
        <v>22939</v>
      </c>
      <c r="K6888" s="450"/>
    </row>
    <row r="6889" spans="1:11">
      <c r="A6889" s="451" t="s">
        <v>11091</v>
      </c>
      <c r="B6889" s="451" t="s">
        <v>36537</v>
      </c>
      <c r="C6889" s="451" t="s">
        <v>11093</v>
      </c>
      <c r="D6889" s="451"/>
      <c r="E6889" s="451"/>
      <c r="F6889" s="451"/>
      <c r="G6889" s="451" t="s">
        <v>22882</v>
      </c>
      <c r="H6889" s="451" t="s">
        <v>22883</v>
      </c>
      <c r="I6889" s="451" t="s">
        <v>26852</v>
      </c>
      <c r="J6889" s="451" t="s">
        <v>36538</v>
      </c>
      <c r="K6889" s="451"/>
    </row>
    <row r="6890" spans="1:11">
      <c r="A6890" s="450" t="s">
        <v>11091</v>
      </c>
      <c r="B6890" s="450" t="s">
        <v>11092</v>
      </c>
      <c r="C6890" s="450" t="s">
        <v>11093</v>
      </c>
      <c r="D6890" s="450"/>
      <c r="E6890" s="450"/>
      <c r="F6890" s="450"/>
      <c r="G6890" s="450" t="s">
        <v>22882</v>
      </c>
      <c r="H6890" s="450" t="s">
        <v>22883</v>
      </c>
      <c r="I6890" s="450" t="s">
        <v>26852</v>
      </c>
      <c r="J6890" s="450" t="s">
        <v>31765</v>
      </c>
      <c r="K6890" s="450"/>
    </row>
    <row r="6891" spans="1:11">
      <c r="A6891" s="451" t="s">
        <v>26853</v>
      </c>
      <c r="B6891" s="451" t="s">
        <v>26854</v>
      </c>
      <c r="C6891" s="451" t="s">
        <v>26855</v>
      </c>
      <c r="D6891" s="451"/>
      <c r="E6891" s="451"/>
      <c r="F6891" s="451"/>
      <c r="G6891" s="451" t="s">
        <v>22877</v>
      </c>
      <c r="H6891" s="451" t="s">
        <v>22878</v>
      </c>
      <c r="I6891" s="451" t="s">
        <v>26856</v>
      </c>
      <c r="J6891" s="451" t="s">
        <v>26857</v>
      </c>
      <c r="K6891" s="451"/>
    </row>
    <row r="6892" spans="1:11">
      <c r="A6892" s="450" t="s">
        <v>26858</v>
      </c>
      <c r="B6892" s="450" t="s">
        <v>20223</v>
      </c>
      <c r="C6892" s="450" t="s">
        <v>20224</v>
      </c>
      <c r="D6892" s="450" t="s">
        <v>20225</v>
      </c>
      <c r="E6892" s="450"/>
      <c r="F6892" s="450"/>
      <c r="G6892" s="450" t="s">
        <v>22877</v>
      </c>
      <c r="H6892" s="450" t="s">
        <v>22878</v>
      </c>
      <c r="I6892" s="450" t="s">
        <v>20225</v>
      </c>
      <c r="J6892" s="450" t="s">
        <v>26859</v>
      </c>
      <c r="K6892" s="450"/>
    </row>
    <row r="6893" spans="1:11">
      <c r="A6893" s="451" t="s">
        <v>26860</v>
      </c>
      <c r="B6893" s="451" t="s">
        <v>26861</v>
      </c>
      <c r="C6893" s="451" t="s">
        <v>20227</v>
      </c>
      <c r="D6893" s="451" t="s">
        <v>20228</v>
      </c>
      <c r="E6893" s="451"/>
      <c r="F6893" s="451"/>
      <c r="G6893" s="451" t="s">
        <v>22877</v>
      </c>
      <c r="H6893" s="451" t="s">
        <v>22878</v>
      </c>
      <c r="I6893" s="451" t="s">
        <v>20228</v>
      </c>
      <c r="J6893" s="451" t="s">
        <v>26862</v>
      </c>
      <c r="K6893" s="451"/>
    </row>
    <row r="6894" spans="1:11">
      <c r="A6894" s="450" t="s">
        <v>26863</v>
      </c>
      <c r="B6894" s="450" t="s">
        <v>26864</v>
      </c>
      <c r="C6894" s="450" t="s">
        <v>20230</v>
      </c>
      <c r="D6894" s="450" t="s">
        <v>20231</v>
      </c>
      <c r="E6894" s="450"/>
      <c r="F6894" s="450"/>
      <c r="G6894" s="450" t="s">
        <v>22877</v>
      </c>
      <c r="H6894" s="450" t="s">
        <v>22878</v>
      </c>
      <c r="I6894" s="450" t="s">
        <v>20231</v>
      </c>
      <c r="J6894" s="450" t="s">
        <v>26865</v>
      </c>
      <c r="K6894" s="450"/>
    </row>
    <row r="6895" spans="1:11">
      <c r="A6895" s="451" t="s">
        <v>26866</v>
      </c>
      <c r="B6895" s="451" t="s">
        <v>20232</v>
      </c>
      <c r="C6895" s="451" t="s">
        <v>4863</v>
      </c>
      <c r="D6895" s="451" t="s">
        <v>20233</v>
      </c>
      <c r="E6895" s="451"/>
      <c r="F6895" s="451"/>
      <c r="G6895" s="451" t="s">
        <v>22877</v>
      </c>
      <c r="H6895" s="451" t="s">
        <v>22878</v>
      </c>
      <c r="I6895" s="451" t="s">
        <v>20233</v>
      </c>
      <c r="J6895" s="451" t="s">
        <v>26867</v>
      </c>
      <c r="K6895" s="451"/>
    </row>
    <row r="6896" spans="1:11">
      <c r="A6896" s="450" t="s">
        <v>26868</v>
      </c>
      <c r="B6896" s="450" t="s">
        <v>21019</v>
      </c>
      <c r="C6896" s="450" t="s">
        <v>21018</v>
      </c>
      <c r="D6896" s="450" t="s">
        <v>21020</v>
      </c>
      <c r="E6896" s="450"/>
      <c r="F6896" s="450"/>
      <c r="G6896" s="450" t="s">
        <v>22877</v>
      </c>
      <c r="H6896" s="450" t="s">
        <v>22878</v>
      </c>
      <c r="I6896" s="450" t="s">
        <v>21020</v>
      </c>
      <c r="J6896" s="450" t="s">
        <v>26869</v>
      </c>
      <c r="K6896" s="450"/>
    </row>
    <row r="6897" spans="1:11">
      <c r="A6897" s="451" t="s">
        <v>26870</v>
      </c>
      <c r="B6897" s="451" t="s">
        <v>20476</v>
      </c>
      <c r="C6897" s="451" t="s">
        <v>20475</v>
      </c>
      <c r="D6897" s="451" t="s">
        <v>26871</v>
      </c>
      <c r="E6897" s="451"/>
      <c r="F6897" s="451"/>
      <c r="G6897" s="451" t="s">
        <v>22877</v>
      </c>
      <c r="H6897" s="451" t="s">
        <v>22878</v>
      </c>
      <c r="I6897" s="451" t="s">
        <v>26872</v>
      </c>
      <c r="J6897" s="451" t="s">
        <v>26873</v>
      </c>
      <c r="K6897" s="451"/>
    </row>
    <row r="6898" spans="1:11">
      <c r="A6898" s="450" t="s">
        <v>26874</v>
      </c>
      <c r="B6898" s="450" t="s">
        <v>26875</v>
      </c>
      <c r="C6898" s="450" t="s">
        <v>21058</v>
      </c>
      <c r="D6898" s="450"/>
      <c r="E6898" s="450"/>
      <c r="F6898" s="450" t="s">
        <v>26876</v>
      </c>
      <c r="G6898" s="450" t="s">
        <v>22877</v>
      </c>
      <c r="H6898" s="450" t="s">
        <v>22878</v>
      </c>
      <c r="I6898" s="450" t="s">
        <v>26877</v>
      </c>
      <c r="J6898" s="450" t="s">
        <v>26878</v>
      </c>
      <c r="K6898" s="450"/>
    </row>
    <row r="6899" spans="1:11">
      <c r="A6899" s="451" t="s">
        <v>26879</v>
      </c>
      <c r="B6899" s="451" t="s">
        <v>20237</v>
      </c>
      <c r="C6899" s="451" t="s">
        <v>20238</v>
      </c>
      <c r="D6899" s="451" t="s">
        <v>20239</v>
      </c>
      <c r="E6899" s="451"/>
      <c r="F6899" s="451"/>
      <c r="G6899" s="451" t="s">
        <v>22877</v>
      </c>
      <c r="H6899" s="451" t="s">
        <v>22878</v>
      </c>
      <c r="I6899" s="451" t="s">
        <v>20239</v>
      </c>
      <c r="J6899" s="451" t="s">
        <v>26880</v>
      </c>
      <c r="K6899" s="451"/>
    </row>
    <row r="6900" spans="1:11">
      <c r="A6900" s="450" t="s">
        <v>26881</v>
      </c>
      <c r="B6900" s="450" t="s">
        <v>26882</v>
      </c>
      <c r="C6900" s="450" t="s">
        <v>26883</v>
      </c>
      <c r="D6900" s="450" t="s">
        <v>26884</v>
      </c>
      <c r="E6900" s="450"/>
      <c r="F6900" s="450"/>
      <c r="G6900" s="450" t="s">
        <v>22877</v>
      </c>
      <c r="H6900" s="450" t="s">
        <v>22878</v>
      </c>
      <c r="I6900" s="450" t="s">
        <v>26885</v>
      </c>
      <c r="J6900" s="450" t="s">
        <v>26886</v>
      </c>
      <c r="K6900" s="450"/>
    </row>
    <row r="6901" spans="1:11">
      <c r="A6901" s="451" t="s">
        <v>26887</v>
      </c>
      <c r="B6901" s="451" t="s">
        <v>20240</v>
      </c>
      <c r="C6901" s="451" t="s">
        <v>20241</v>
      </c>
      <c r="D6901" s="451" t="s">
        <v>20242</v>
      </c>
      <c r="E6901" s="451"/>
      <c r="F6901" s="451"/>
      <c r="G6901" s="451" t="s">
        <v>22877</v>
      </c>
      <c r="H6901" s="451" t="s">
        <v>22878</v>
      </c>
      <c r="I6901" s="451" t="s">
        <v>26888</v>
      </c>
      <c r="J6901" s="451" t="s">
        <v>26889</v>
      </c>
      <c r="K6901" s="451"/>
    </row>
    <row r="6902" spans="1:11">
      <c r="A6902" s="450" t="s">
        <v>26890</v>
      </c>
      <c r="B6902" s="450" t="s">
        <v>20243</v>
      </c>
      <c r="C6902" s="450" t="s">
        <v>20244</v>
      </c>
      <c r="D6902" s="450" t="s">
        <v>20245</v>
      </c>
      <c r="E6902" s="450"/>
      <c r="F6902" s="450"/>
      <c r="G6902" s="450" t="s">
        <v>22877</v>
      </c>
      <c r="H6902" s="450" t="s">
        <v>22878</v>
      </c>
      <c r="I6902" s="450" t="s">
        <v>26891</v>
      </c>
      <c r="J6902" s="450" t="s">
        <v>26892</v>
      </c>
      <c r="K6902" s="450"/>
    </row>
    <row r="6903" spans="1:11">
      <c r="A6903" s="451" t="s">
        <v>26893</v>
      </c>
      <c r="B6903" s="451" t="s">
        <v>20246</v>
      </c>
      <c r="C6903" s="451" t="s">
        <v>20247</v>
      </c>
      <c r="D6903" s="451" t="s">
        <v>20248</v>
      </c>
      <c r="E6903" s="451"/>
      <c r="F6903" s="451"/>
      <c r="G6903" s="451" t="s">
        <v>22877</v>
      </c>
      <c r="H6903" s="451" t="s">
        <v>22878</v>
      </c>
      <c r="I6903" s="451" t="s">
        <v>20248</v>
      </c>
      <c r="J6903" s="451" t="s">
        <v>26894</v>
      </c>
      <c r="K6903" s="451"/>
    </row>
    <row r="6904" spans="1:11">
      <c r="A6904" s="450" t="s">
        <v>26895</v>
      </c>
      <c r="B6904" s="450" t="s">
        <v>26896</v>
      </c>
      <c r="C6904" s="450" t="s">
        <v>26897</v>
      </c>
      <c r="D6904" s="450" t="s">
        <v>26898</v>
      </c>
      <c r="E6904" s="450"/>
      <c r="F6904" s="450" t="s">
        <v>26899</v>
      </c>
      <c r="G6904" s="450" t="s">
        <v>22877</v>
      </c>
      <c r="H6904" s="450" t="s">
        <v>22878</v>
      </c>
      <c r="I6904" s="450" t="s">
        <v>26900</v>
      </c>
      <c r="J6904" s="450" t="s">
        <v>26901</v>
      </c>
      <c r="K6904" s="450"/>
    </row>
    <row r="6905" spans="1:11">
      <c r="A6905" s="451" t="s">
        <v>26902</v>
      </c>
      <c r="B6905" s="451" t="s">
        <v>26903</v>
      </c>
      <c r="C6905" s="451" t="s">
        <v>26904</v>
      </c>
      <c r="D6905" s="451" t="s">
        <v>26905</v>
      </c>
      <c r="E6905" s="451"/>
      <c r="F6905" s="451"/>
      <c r="G6905" s="451" t="s">
        <v>22877</v>
      </c>
      <c r="H6905" s="451" t="s">
        <v>22878</v>
      </c>
      <c r="I6905" s="451" t="s">
        <v>26905</v>
      </c>
      <c r="J6905" s="451" t="s">
        <v>26906</v>
      </c>
      <c r="K6905" s="451"/>
    </row>
    <row r="6906" spans="1:11">
      <c r="A6906" s="450" t="s">
        <v>26907</v>
      </c>
      <c r="B6906" s="450" t="s">
        <v>20249</v>
      </c>
      <c r="C6906" s="450" t="s">
        <v>20250</v>
      </c>
      <c r="D6906" s="450" t="s">
        <v>20251</v>
      </c>
      <c r="E6906" s="450"/>
      <c r="F6906" s="450"/>
      <c r="G6906" s="450" t="s">
        <v>22877</v>
      </c>
      <c r="H6906" s="450" t="s">
        <v>22878</v>
      </c>
      <c r="I6906" s="450" t="s">
        <v>20251</v>
      </c>
      <c r="J6906" s="450" t="s">
        <v>26908</v>
      </c>
      <c r="K6906" s="450"/>
    </row>
    <row r="6907" spans="1:11">
      <c r="A6907" s="451" t="s">
        <v>26909</v>
      </c>
      <c r="B6907" s="451" t="s">
        <v>20252</v>
      </c>
      <c r="C6907" s="451" t="s">
        <v>20253</v>
      </c>
      <c r="D6907" s="451" t="s">
        <v>20254</v>
      </c>
      <c r="E6907" s="451"/>
      <c r="F6907" s="451"/>
      <c r="G6907" s="451" t="s">
        <v>22877</v>
      </c>
      <c r="H6907" s="451" t="s">
        <v>22878</v>
      </c>
      <c r="I6907" s="451" t="s">
        <v>26910</v>
      </c>
      <c r="J6907" s="451" t="s">
        <v>26911</v>
      </c>
      <c r="K6907" s="451"/>
    </row>
    <row r="6908" spans="1:11">
      <c r="A6908" s="450" t="s">
        <v>11094</v>
      </c>
      <c r="B6908" s="450"/>
      <c r="C6908" s="450" t="s">
        <v>4935</v>
      </c>
      <c r="D6908" s="450"/>
      <c r="E6908" s="450"/>
      <c r="F6908" s="450"/>
      <c r="G6908" s="450" t="s">
        <v>22882</v>
      </c>
      <c r="H6908" s="450" t="s">
        <v>22883</v>
      </c>
      <c r="I6908" s="450" t="s">
        <v>36539</v>
      </c>
      <c r="J6908" s="450" t="s">
        <v>22997</v>
      </c>
      <c r="K6908" s="450"/>
    </row>
    <row r="6909" spans="1:11">
      <c r="A6909" s="451" t="s">
        <v>11095</v>
      </c>
      <c r="B6909" s="451"/>
      <c r="C6909" s="451" t="s">
        <v>3635</v>
      </c>
      <c r="D6909" s="451"/>
      <c r="E6909" s="451"/>
      <c r="F6909" s="451"/>
      <c r="G6909" s="451" t="s">
        <v>22877</v>
      </c>
      <c r="H6909" s="451" t="s">
        <v>22878</v>
      </c>
      <c r="I6909" s="451" t="s">
        <v>36540</v>
      </c>
      <c r="J6909" s="451" t="s">
        <v>23185</v>
      </c>
      <c r="K6909" s="451"/>
    </row>
    <row r="6910" spans="1:11">
      <c r="A6910" s="450" t="s">
        <v>36541</v>
      </c>
      <c r="B6910" s="450"/>
      <c r="C6910" s="450" t="s">
        <v>1081</v>
      </c>
      <c r="D6910" s="450"/>
      <c r="E6910" s="450"/>
      <c r="F6910" s="450"/>
      <c r="G6910" s="450" t="s">
        <v>22882</v>
      </c>
      <c r="H6910" s="450" t="s">
        <v>22883</v>
      </c>
      <c r="I6910" s="450"/>
      <c r="J6910" s="450" t="s">
        <v>22943</v>
      </c>
      <c r="K6910" s="450"/>
    </row>
    <row r="6911" spans="1:11">
      <c r="A6911" s="451" t="s">
        <v>11096</v>
      </c>
      <c r="B6911" s="451"/>
      <c r="C6911" s="451" t="s">
        <v>1081</v>
      </c>
      <c r="D6911" s="451"/>
      <c r="E6911" s="451"/>
      <c r="F6911" s="451"/>
      <c r="G6911" s="451" t="s">
        <v>22882</v>
      </c>
      <c r="H6911" s="451" t="s">
        <v>22883</v>
      </c>
      <c r="I6911" s="451"/>
      <c r="J6911" s="451" t="s">
        <v>31663</v>
      </c>
      <c r="K6911" s="451"/>
    </row>
    <row r="6912" spans="1:11">
      <c r="A6912" s="450" t="s">
        <v>36542</v>
      </c>
      <c r="B6912" s="450" t="s">
        <v>11098</v>
      </c>
      <c r="C6912" s="450" t="s">
        <v>11099</v>
      </c>
      <c r="D6912" s="450" t="s">
        <v>11100</v>
      </c>
      <c r="E6912" s="450"/>
      <c r="F6912" s="450"/>
      <c r="G6912" s="450" t="s">
        <v>22877</v>
      </c>
      <c r="H6912" s="450" t="s">
        <v>22878</v>
      </c>
      <c r="I6912" s="450" t="s">
        <v>11100</v>
      </c>
      <c r="J6912" s="450" t="s">
        <v>36543</v>
      </c>
      <c r="K6912" s="450"/>
    </row>
    <row r="6913" spans="1:11">
      <c r="A6913" s="451" t="s">
        <v>11097</v>
      </c>
      <c r="B6913" s="451" t="s">
        <v>11098</v>
      </c>
      <c r="C6913" s="451" t="s">
        <v>11099</v>
      </c>
      <c r="D6913" s="451" t="s">
        <v>11100</v>
      </c>
      <c r="E6913" s="451" t="s">
        <v>11101</v>
      </c>
      <c r="F6913" s="451"/>
      <c r="G6913" s="451" t="s">
        <v>22877</v>
      </c>
      <c r="H6913" s="451" t="s">
        <v>22878</v>
      </c>
      <c r="I6913" s="451" t="s">
        <v>11100</v>
      </c>
      <c r="J6913" s="451" t="s">
        <v>31766</v>
      </c>
      <c r="K6913" s="451"/>
    </row>
    <row r="6914" spans="1:11">
      <c r="A6914" s="450" t="s">
        <v>11102</v>
      </c>
      <c r="B6914" s="450"/>
      <c r="C6914" s="450" t="s">
        <v>11103</v>
      </c>
      <c r="D6914" s="450"/>
      <c r="E6914" s="450"/>
      <c r="F6914" s="450"/>
      <c r="G6914" s="450" t="s">
        <v>22882</v>
      </c>
      <c r="H6914" s="450" t="s">
        <v>22883</v>
      </c>
      <c r="I6914" s="450" t="s">
        <v>26912</v>
      </c>
      <c r="J6914" s="450" t="s">
        <v>22939</v>
      </c>
      <c r="K6914" s="450"/>
    </row>
    <row r="6915" spans="1:11">
      <c r="A6915" s="451" t="s">
        <v>21237</v>
      </c>
      <c r="B6915" s="451" t="s">
        <v>21238</v>
      </c>
      <c r="C6915" s="451" t="s">
        <v>12763</v>
      </c>
      <c r="D6915" s="451" t="s">
        <v>21239</v>
      </c>
      <c r="E6915" s="451"/>
      <c r="F6915" s="451"/>
      <c r="G6915" s="451" t="s">
        <v>22877</v>
      </c>
      <c r="H6915" s="451" t="s">
        <v>22878</v>
      </c>
      <c r="I6915" s="451" t="s">
        <v>21239</v>
      </c>
      <c r="J6915" s="451" t="s">
        <v>31767</v>
      </c>
      <c r="K6915" s="451"/>
    </row>
    <row r="6916" spans="1:11">
      <c r="A6916" s="450" t="s">
        <v>26913</v>
      </c>
      <c r="B6916" s="450" t="s">
        <v>26914</v>
      </c>
      <c r="C6916" s="450" t="s">
        <v>26915</v>
      </c>
      <c r="D6916" s="450" t="s">
        <v>26916</v>
      </c>
      <c r="E6916" s="450"/>
      <c r="F6916" s="450"/>
      <c r="G6916" s="450" t="s">
        <v>22877</v>
      </c>
      <c r="H6916" s="450" t="s">
        <v>22878</v>
      </c>
      <c r="I6916" s="450" t="s">
        <v>26916</v>
      </c>
      <c r="J6916" s="450" t="s">
        <v>26917</v>
      </c>
      <c r="K6916" s="450"/>
    </row>
    <row r="6917" spans="1:11">
      <c r="A6917" s="451" t="s">
        <v>11104</v>
      </c>
      <c r="B6917" s="451"/>
      <c r="C6917" s="451" t="s">
        <v>11105</v>
      </c>
      <c r="D6917" s="451"/>
      <c r="E6917" s="451"/>
      <c r="F6917" s="451"/>
      <c r="G6917" s="451" t="s">
        <v>22882</v>
      </c>
      <c r="H6917" s="451" t="s">
        <v>22883</v>
      </c>
      <c r="I6917" s="451"/>
      <c r="J6917" s="451" t="s">
        <v>22939</v>
      </c>
      <c r="K6917" s="451"/>
    </row>
    <row r="6918" spans="1:11">
      <c r="A6918" s="450" t="s">
        <v>30029</v>
      </c>
      <c r="B6918" s="450" t="s">
        <v>30030</v>
      </c>
      <c r="C6918" s="450" t="s">
        <v>30031</v>
      </c>
      <c r="D6918" s="450"/>
      <c r="E6918" s="450"/>
      <c r="F6918" s="450"/>
      <c r="G6918" s="450"/>
      <c r="H6918" s="450"/>
      <c r="I6918" s="450"/>
      <c r="J6918" s="450"/>
      <c r="K6918" s="450"/>
    </row>
    <row r="6919" spans="1:11">
      <c r="A6919" s="451" t="s">
        <v>11106</v>
      </c>
      <c r="B6919" s="451"/>
      <c r="C6919" s="451" t="s">
        <v>2957</v>
      </c>
      <c r="D6919" s="451"/>
      <c r="E6919" s="451"/>
      <c r="F6919" s="451"/>
      <c r="G6919" s="451" t="s">
        <v>22877</v>
      </c>
      <c r="H6919" s="451" t="s">
        <v>22878</v>
      </c>
      <c r="I6919" s="451" t="s">
        <v>36544</v>
      </c>
      <c r="J6919" s="451" t="s">
        <v>22943</v>
      </c>
      <c r="K6919" s="451"/>
    </row>
    <row r="6920" spans="1:11">
      <c r="A6920" s="450" t="s">
        <v>36545</v>
      </c>
      <c r="B6920" s="450"/>
      <c r="C6920" s="450" t="s">
        <v>11108</v>
      </c>
      <c r="D6920" s="450"/>
      <c r="E6920" s="450"/>
      <c r="F6920" s="450"/>
      <c r="G6920" s="450" t="s">
        <v>22882</v>
      </c>
      <c r="H6920" s="450" t="s">
        <v>22883</v>
      </c>
      <c r="I6920" s="450" t="s">
        <v>36546</v>
      </c>
      <c r="J6920" s="450" t="s">
        <v>22943</v>
      </c>
      <c r="K6920" s="450"/>
    </row>
    <row r="6921" spans="1:11">
      <c r="A6921" s="451" t="s">
        <v>11107</v>
      </c>
      <c r="B6921" s="451"/>
      <c r="C6921" s="451" t="s">
        <v>11108</v>
      </c>
      <c r="D6921" s="451"/>
      <c r="E6921" s="451"/>
      <c r="F6921" s="451"/>
      <c r="G6921" s="451" t="s">
        <v>22882</v>
      </c>
      <c r="H6921" s="451" t="s">
        <v>22883</v>
      </c>
      <c r="I6921" s="451" t="s">
        <v>31768</v>
      </c>
      <c r="J6921" s="451" t="s">
        <v>22937</v>
      </c>
      <c r="K6921" s="451"/>
    </row>
    <row r="6922" spans="1:11">
      <c r="A6922" s="450" t="s">
        <v>26918</v>
      </c>
      <c r="B6922" s="450" t="s">
        <v>26919</v>
      </c>
      <c r="C6922" s="450" t="s">
        <v>26920</v>
      </c>
      <c r="D6922" s="450"/>
      <c r="E6922" s="450"/>
      <c r="F6922" s="450"/>
      <c r="G6922" s="450" t="s">
        <v>22877</v>
      </c>
      <c r="H6922" s="450" t="s">
        <v>22878</v>
      </c>
      <c r="I6922" s="450" t="s">
        <v>26921</v>
      </c>
      <c r="J6922" s="450" t="s">
        <v>26922</v>
      </c>
      <c r="K6922" s="450"/>
    </row>
    <row r="6923" spans="1:11">
      <c r="A6923" s="451" t="s">
        <v>36547</v>
      </c>
      <c r="B6923" s="451"/>
      <c r="C6923" s="451" t="s">
        <v>2045</v>
      </c>
      <c r="D6923" s="451"/>
      <c r="E6923" s="451"/>
      <c r="F6923" s="451"/>
      <c r="G6923" s="451" t="s">
        <v>22877</v>
      </c>
      <c r="H6923" s="451" t="s">
        <v>22878</v>
      </c>
      <c r="I6923" s="451" t="s">
        <v>26923</v>
      </c>
      <c r="J6923" s="451" t="s">
        <v>23370</v>
      </c>
      <c r="K6923" s="451"/>
    </row>
    <row r="6924" spans="1:11">
      <c r="A6924" s="450" t="s">
        <v>11109</v>
      </c>
      <c r="B6924" s="450"/>
      <c r="C6924" s="450" t="s">
        <v>2045</v>
      </c>
      <c r="D6924" s="450"/>
      <c r="E6924" s="450"/>
      <c r="F6924" s="450"/>
      <c r="G6924" s="450" t="s">
        <v>22877</v>
      </c>
      <c r="H6924" s="450" t="s">
        <v>22878</v>
      </c>
      <c r="I6924" s="450" t="s">
        <v>26923</v>
      </c>
      <c r="J6924" s="450" t="s">
        <v>22937</v>
      </c>
      <c r="K6924" s="450"/>
    </row>
    <row r="6925" spans="1:11">
      <c r="A6925" s="451" t="s">
        <v>26924</v>
      </c>
      <c r="B6925" s="451" t="s">
        <v>11113</v>
      </c>
      <c r="C6925" s="451" t="s">
        <v>11114</v>
      </c>
      <c r="D6925" s="451" t="s">
        <v>11115</v>
      </c>
      <c r="E6925" s="451"/>
      <c r="F6925" s="451"/>
      <c r="G6925" s="451" t="s">
        <v>22882</v>
      </c>
      <c r="H6925" s="451" t="s">
        <v>22883</v>
      </c>
      <c r="I6925" s="451" t="s">
        <v>11115</v>
      </c>
      <c r="J6925" s="451" t="s">
        <v>26925</v>
      </c>
      <c r="K6925" s="451"/>
    </row>
    <row r="6926" spans="1:11">
      <c r="A6926" s="450" t="s">
        <v>11110</v>
      </c>
      <c r="B6926" s="450"/>
      <c r="C6926" s="450" t="s">
        <v>3814</v>
      </c>
      <c r="D6926" s="450" t="s">
        <v>11111</v>
      </c>
      <c r="E6926" s="450"/>
      <c r="F6926" s="450"/>
      <c r="G6926" s="450" t="s">
        <v>22882</v>
      </c>
      <c r="H6926" s="450" t="s">
        <v>22883</v>
      </c>
      <c r="I6926" s="450" t="s">
        <v>11111</v>
      </c>
      <c r="J6926" s="450" t="s">
        <v>26926</v>
      </c>
      <c r="K6926" s="450"/>
    </row>
    <row r="6927" spans="1:11">
      <c r="A6927" s="451" t="s">
        <v>11112</v>
      </c>
      <c r="B6927" s="451" t="s">
        <v>11113</v>
      </c>
      <c r="C6927" s="451" t="s">
        <v>11114</v>
      </c>
      <c r="D6927" s="451" t="s">
        <v>11115</v>
      </c>
      <c r="E6927" s="451"/>
      <c r="F6927" s="451"/>
      <c r="G6927" s="451" t="s">
        <v>22882</v>
      </c>
      <c r="H6927" s="451" t="s">
        <v>22883</v>
      </c>
      <c r="I6927" s="451"/>
      <c r="J6927" s="451" t="s">
        <v>31769</v>
      </c>
      <c r="K6927" s="451"/>
    </row>
    <row r="6928" spans="1:11">
      <c r="A6928" s="450" t="s">
        <v>11116</v>
      </c>
      <c r="B6928" s="450"/>
      <c r="C6928" s="450" t="s">
        <v>11117</v>
      </c>
      <c r="D6928" s="450"/>
      <c r="E6928" s="450"/>
      <c r="F6928" s="450"/>
      <c r="G6928" s="450" t="s">
        <v>22877</v>
      </c>
      <c r="H6928" s="450" t="s">
        <v>22878</v>
      </c>
      <c r="I6928" s="450" t="s">
        <v>26927</v>
      </c>
      <c r="J6928" s="450" t="s">
        <v>22939</v>
      </c>
      <c r="K6928" s="450"/>
    </row>
    <row r="6929" spans="1:11">
      <c r="A6929" s="451" t="s">
        <v>26928</v>
      </c>
      <c r="B6929" s="451" t="s">
        <v>26929</v>
      </c>
      <c r="C6929" s="451" t="s">
        <v>1039</v>
      </c>
      <c r="D6929" s="451" t="s">
        <v>26930</v>
      </c>
      <c r="E6929" s="451"/>
      <c r="F6929" s="451" t="s">
        <v>26931</v>
      </c>
      <c r="G6929" s="451" t="s">
        <v>22882</v>
      </c>
      <c r="H6929" s="451" t="s">
        <v>22883</v>
      </c>
      <c r="I6929" s="451" t="s">
        <v>26930</v>
      </c>
      <c r="J6929" s="451" t="s">
        <v>26932</v>
      </c>
      <c r="K6929" s="451"/>
    </row>
    <row r="6930" spans="1:11">
      <c r="A6930" s="450" t="s">
        <v>36548</v>
      </c>
      <c r="B6930" s="450"/>
      <c r="C6930" s="450" t="s">
        <v>3834</v>
      </c>
      <c r="D6930" s="450"/>
      <c r="E6930" s="450"/>
      <c r="F6930" s="450"/>
      <c r="G6930" s="450" t="s">
        <v>22882</v>
      </c>
      <c r="H6930" s="450" t="s">
        <v>22883</v>
      </c>
      <c r="I6930" s="450" t="s">
        <v>36549</v>
      </c>
      <c r="J6930" s="450" t="s">
        <v>22943</v>
      </c>
      <c r="K6930" s="450"/>
    </row>
    <row r="6931" spans="1:11">
      <c r="A6931" s="451" t="s">
        <v>11118</v>
      </c>
      <c r="B6931" s="451"/>
      <c r="C6931" s="451" t="s">
        <v>3834</v>
      </c>
      <c r="D6931" s="451"/>
      <c r="E6931" s="451"/>
      <c r="F6931" s="451"/>
      <c r="G6931" s="451" t="s">
        <v>22882</v>
      </c>
      <c r="H6931" s="451" t="s">
        <v>22883</v>
      </c>
      <c r="I6931" s="451"/>
      <c r="J6931" s="451" t="s">
        <v>22937</v>
      </c>
      <c r="K6931" s="451"/>
    </row>
    <row r="6932" spans="1:11">
      <c r="A6932" s="450" t="s">
        <v>36550</v>
      </c>
      <c r="B6932" s="450"/>
      <c r="C6932" s="450" t="s">
        <v>11120</v>
      </c>
      <c r="D6932" s="450"/>
      <c r="E6932" s="450"/>
      <c r="F6932" s="450"/>
      <c r="G6932" s="450" t="s">
        <v>22882</v>
      </c>
      <c r="H6932" s="450" t="s">
        <v>22883</v>
      </c>
      <c r="I6932" s="450"/>
      <c r="J6932" s="450" t="s">
        <v>23370</v>
      </c>
      <c r="K6932" s="450"/>
    </row>
    <row r="6933" spans="1:11">
      <c r="A6933" s="451" t="s">
        <v>11119</v>
      </c>
      <c r="B6933" s="451"/>
      <c r="C6933" s="451" t="s">
        <v>11120</v>
      </c>
      <c r="D6933" s="451"/>
      <c r="E6933" s="451"/>
      <c r="F6933" s="451"/>
      <c r="G6933" s="451" t="s">
        <v>22882</v>
      </c>
      <c r="H6933" s="451" t="s">
        <v>22883</v>
      </c>
      <c r="I6933" s="451"/>
      <c r="J6933" s="451" t="s">
        <v>22942</v>
      </c>
      <c r="K6933" s="451"/>
    </row>
    <row r="6934" spans="1:11">
      <c r="A6934" s="450" t="s">
        <v>11121</v>
      </c>
      <c r="B6934" s="450"/>
      <c r="C6934" s="450" t="s">
        <v>11122</v>
      </c>
      <c r="D6934" s="450"/>
      <c r="E6934" s="450"/>
      <c r="F6934" s="450"/>
      <c r="G6934" s="450" t="s">
        <v>22877</v>
      </c>
      <c r="H6934" s="450" t="s">
        <v>22878</v>
      </c>
      <c r="I6934" s="450" t="s">
        <v>36551</v>
      </c>
      <c r="J6934" s="450" t="s">
        <v>22939</v>
      </c>
      <c r="K6934" s="450"/>
    </row>
    <row r="6935" spans="1:11">
      <c r="A6935" s="451" t="s">
        <v>11123</v>
      </c>
      <c r="B6935" s="451"/>
      <c r="C6935" s="451" t="s">
        <v>11124</v>
      </c>
      <c r="D6935" s="451" t="s">
        <v>11125</v>
      </c>
      <c r="E6935" s="451"/>
      <c r="F6935" s="451"/>
      <c r="G6935" s="451" t="s">
        <v>22877</v>
      </c>
      <c r="H6935" s="451" t="s">
        <v>22878</v>
      </c>
      <c r="I6935" s="451" t="s">
        <v>36552</v>
      </c>
      <c r="J6935" s="451" t="s">
        <v>22902</v>
      </c>
      <c r="K6935" s="451"/>
    </row>
    <row r="6936" spans="1:11">
      <c r="A6936" s="450" t="s">
        <v>36553</v>
      </c>
      <c r="B6936" s="450"/>
      <c r="C6936" s="450" t="s">
        <v>11133</v>
      </c>
      <c r="D6936" s="450"/>
      <c r="E6936" s="450"/>
      <c r="F6936" s="450"/>
      <c r="G6936" s="450" t="s">
        <v>22877</v>
      </c>
      <c r="H6936" s="450" t="s">
        <v>22878</v>
      </c>
      <c r="I6936" s="450" t="s">
        <v>36554</v>
      </c>
      <c r="J6936" s="450" t="s">
        <v>23370</v>
      </c>
      <c r="K6936" s="450"/>
    </row>
    <row r="6937" spans="1:11">
      <c r="A6937" s="451" t="s">
        <v>11126</v>
      </c>
      <c r="B6937" s="451"/>
      <c r="C6937" s="451" t="s">
        <v>1929</v>
      </c>
      <c r="D6937" s="451"/>
      <c r="E6937" s="451"/>
      <c r="F6937" s="451"/>
      <c r="G6937" s="451" t="s">
        <v>22877</v>
      </c>
      <c r="H6937" s="451" t="s">
        <v>22878</v>
      </c>
      <c r="I6937" s="451" t="s">
        <v>26933</v>
      </c>
      <c r="J6937" s="451" t="s">
        <v>22943</v>
      </c>
      <c r="K6937" s="451"/>
    </row>
    <row r="6938" spans="1:11">
      <c r="A6938" s="450" t="s">
        <v>11127</v>
      </c>
      <c r="B6938" s="450"/>
      <c r="C6938" s="450" t="s">
        <v>11128</v>
      </c>
      <c r="D6938" s="450"/>
      <c r="E6938" s="450"/>
      <c r="F6938" s="450"/>
      <c r="G6938" s="450" t="s">
        <v>22877</v>
      </c>
      <c r="H6938" s="450" t="s">
        <v>22878</v>
      </c>
      <c r="I6938" s="450" t="s">
        <v>11166</v>
      </c>
      <c r="J6938" s="450" t="s">
        <v>23121</v>
      </c>
      <c r="K6938" s="450"/>
    </row>
    <row r="6939" spans="1:11">
      <c r="A6939" s="451" t="s">
        <v>11129</v>
      </c>
      <c r="B6939" s="451"/>
      <c r="C6939" s="451" t="s">
        <v>1650</v>
      </c>
      <c r="D6939" s="451"/>
      <c r="E6939" s="451"/>
      <c r="F6939" s="451"/>
      <c r="G6939" s="451" t="s">
        <v>22877</v>
      </c>
      <c r="H6939" s="451" t="s">
        <v>22878</v>
      </c>
      <c r="I6939" s="451" t="s">
        <v>36555</v>
      </c>
      <c r="J6939" s="451" t="s">
        <v>22997</v>
      </c>
      <c r="K6939" s="451"/>
    </row>
    <row r="6940" spans="1:11">
      <c r="A6940" s="450" t="s">
        <v>11130</v>
      </c>
      <c r="B6940" s="450"/>
      <c r="C6940" s="450" t="s">
        <v>11131</v>
      </c>
      <c r="D6940" s="450"/>
      <c r="E6940" s="450"/>
      <c r="F6940" s="450"/>
      <c r="G6940" s="450" t="s">
        <v>22877</v>
      </c>
      <c r="H6940" s="450" t="s">
        <v>22878</v>
      </c>
      <c r="I6940" s="450" t="s">
        <v>36556</v>
      </c>
      <c r="J6940" s="450" t="s">
        <v>22943</v>
      </c>
      <c r="K6940" s="450"/>
    </row>
    <row r="6941" spans="1:11">
      <c r="A6941" s="451" t="s">
        <v>11132</v>
      </c>
      <c r="B6941" s="451"/>
      <c r="C6941" s="451" t="s">
        <v>11133</v>
      </c>
      <c r="D6941" s="451"/>
      <c r="E6941" s="451"/>
      <c r="F6941" s="451"/>
      <c r="G6941" s="451" t="s">
        <v>22877</v>
      </c>
      <c r="H6941" s="451" t="s">
        <v>22878</v>
      </c>
      <c r="I6941" s="451" t="s">
        <v>36557</v>
      </c>
      <c r="J6941" s="451" t="s">
        <v>22942</v>
      </c>
      <c r="K6941" s="451"/>
    </row>
    <row r="6942" spans="1:11">
      <c r="A6942" s="450" t="s">
        <v>21823</v>
      </c>
      <c r="B6942" s="450"/>
      <c r="C6942" s="450" t="s">
        <v>11134</v>
      </c>
      <c r="D6942" s="450"/>
      <c r="E6942" s="450"/>
      <c r="F6942" s="450"/>
      <c r="G6942" s="450" t="s">
        <v>22877</v>
      </c>
      <c r="H6942" s="450" t="s">
        <v>22878</v>
      </c>
      <c r="I6942" s="450" t="s">
        <v>36558</v>
      </c>
      <c r="J6942" s="450" t="s">
        <v>23133</v>
      </c>
      <c r="K6942" s="450"/>
    </row>
    <row r="6943" spans="1:11">
      <c r="A6943" s="451" t="s">
        <v>11135</v>
      </c>
      <c r="B6943" s="451"/>
      <c r="C6943" s="451" t="s">
        <v>11136</v>
      </c>
      <c r="D6943" s="451"/>
      <c r="E6943" s="451"/>
      <c r="F6943" s="451"/>
      <c r="G6943" s="451" t="s">
        <v>22877</v>
      </c>
      <c r="H6943" s="451" t="s">
        <v>22878</v>
      </c>
      <c r="I6943" s="451" t="s">
        <v>26934</v>
      </c>
      <c r="J6943" s="451" t="s">
        <v>22997</v>
      </c>
      <c r="K6943" s="451"/>
    </row>
    <row r="6944" spans="1:11">
      <c r="A6944" s="450" t="s">
        <v>26935</v>
      </c>
      <c r="B6944" s="450" t="s">
        <v>26936</v>
      </c>
      <c r="C6944" s="450" t="s">
        <v>26937</v>
      </c>
      <c r="D6944" s="450"/>
      <c r="E6944" s="450"/>
      <c r="F6944" s="450"/>
      <c r="G6944" s="450" t="s">
        <v>22877</v>
      </c>
      <c r="H6944" s="450" t="s">
        <v>22878</v>
      </c>
      <c r="I6944" s="450" t="s">
        <v>26938</v>
      </c>
      <c r="J6944" s="450" t="s">
        <v>26939</v>
      </c>
      <c r="K6944" s="450"/>
    </row>
    <row r="6945" spans="1:11">
      <c r="A6945" s="451" t="s">
        <v>26940</v>
      </c>
      <c r="B6945" s="451" t="s">
        <v>8665</v>
      </c>
      <c r="C6945" s="451" t="s">
        <v>4073</v>
      </c>
      <c r="D6945" s="451" t="s">
        <v>8666</v>
      </c>
      <c r="E6945" s="451"/>
      <c r="F6945" s="451"/>
      <c r="G6945" s="451" t="s">
        <v>22882</v>
      </c>
      <c r="H6945" s="451" t="s">
        <v>22883</v>
      </c>
      <c r="I6945" s="451" t="s">
        <v>26941</v>
      </c>
      <c r="J6945" s="451" t="s">
        <v>26942</v>
      </c>
      <c r="K6945" s="451"/>
    </row>
    <row r="6946" spans="1:11">
      <c r="A6946" s="450" t="s">
        <v>26940</v>
      </c>
      <c r="B6946" s="450" t="s">
        <v>26943</v>
      </c>
      <c r="C6946" s="450" t="s">
        <v>5199</v>
      </c>
      <c r="D6946" s="450" t="s">
        <v>11139</v>
      </c>
      <c r="E6946" s="450"/>
      <c r="F6946" s="450"/>
      <c r="G6946" s="450" t="s">
        <v>22882</v>
      </c>
      <c r="H6946" s="450" t="s">
        <v>22883</v>
      </c>
      <c r="I6946" s="450" t="s">
        <v>26944</v>
      </c>
      <c r="J6946" s="450" t="s">
        <v>26945</v>
      </c>
      <c r="K6946" s="450"/>
    </row>
    <row r="6947" spans="1:11">
      <c r="A6947" s="451" t="s">
        <v>11137</v>
      </c>
      <c r="B6947" s="451" t="s">
        <v>11138</v>
      </c>
      <c r="C6947" s="451" t="s">
        <v>5199</v>
      </c>
      <c r="D6947" s="451" t="s">
        <v>11139</v>
      </c>
      <c r="E6947" s="451" t="s">
        <v>8667</v>
      </c>
      <c r="F6947" s="451"/>
      <c r="G6947" s="451" t="s">
        <v>22877</v>
      </c>
      <c r="H6947" s="451" t="s">
        <v>22878</v>
      </c>
      <c r="I6947" s="451" t="s">
        <v>31770</v>
      </c>
      <c r="J6947" s="451" t="s">
        <v>31771</v>
      </c>
      <c r="K6947" s="451"/>
    </row>
    <row r="6948" spans="1:11">
      <c r="A6948" s="450" t="s">
        <v>36559</v>
      </c>
      <c r="B6948" s="450"/>
      <c r="C6948" s="450" t="s">
        <v>4129</v>
      </c>
      <c r="D6948" s="450"/>
      <c r="E6948" s="450"/>
      <c r="F6948" s="450"/>
      <c r="G6948" s="450" t="s">
        <v>22877</v>
      </c>
      <c r="H6948" s="450" t="s">
        <v>22878</v>
      </c>
      <c r="I6948" s="450" t="s">
        <v>36560</v>
      </c>
      <c r="J6948" s="450" t="s">
        <v>23121</v>
      </c>
      <c r="K6948" s="450"/>
    </row>
    <row r="6949" spans="1:11">
      <c r="A6949" s="451" t="s">
        <v>11140</v>
      </c>
      <c r="B6949" s="451"/>
      <c r="C6949" s="451" t="s">
        <v>4129</v>
      </c>
      <c r="D6949" s="451"/>
      <c r="E6949" s="451"/>
      <c r="F6949" s="451"/>
      <c r="G6949" s="451" t="s">
        <v>22877</v>
      </c>
      <c r="H6949" s="451" t="s">
        <v>22878</v>
      </c>
      <c r="I6949" s="451" t="s">
        <v>36560</v>
      </c>
      <c r="J6949" s="451" t="s">
        <v>22939</v>
      </c>
      <c r="K6949" s="451"/>
    </row>
    <row r="6950" spans="1:11">
      <c r="A6950" s="450" t="s">
        <v>11141</v>
      </c>
      <c r="B6950" s="450"/>
      <c r="C6950" s="450" t="s">
        <v>5102</v>
      </c>
      <c r="D6950" s="450"/>
      <c r="E6950" s="450"/>
      <c r="F6950" s="450"/>
      <c r="G6950" s="450" t="s">
        <v>22882</v>
      </c>
      <c r="H6950" s="450" t="s">
        <v>22883</v>
      </c>
      <c r="I6950" s="450" t="s">
        <v>26946</v>
      </c>
      <c r="J6950" s="450" t="s">
        <v>22939</v>
      </c>
      <c r="K6950" s="450"/>
    </row>
    <row r="6951" spans="1:11">
      <c r="A6951" s="451" t="s">
        <v>11142</v>
      </c>
      <c r="B6951" s="451" t="s">
        <v>11143</v>
      </c>
      <c r="C6951" s="451" t="s">
        <v>11144</v>
      </c>
      <c r="D6951" s="451" t="s">
        <v>11145</v>
      </c>
      <c r="E6951" s="451"/>
      <c r="F6951" s="451"/>
      <c r="G6951" s="451" t="s">
        <v>22882</v>
      </c>
      <c r="H6951" s="451" t="s">
        <v>22883</v>
      </c>
      <c r="I6951" s="451" t="s">
        <v>11145</v>
      </c>
      <c r="J6951" s="451" t="s">
        <v>26947</v>
      </c>
      <c r="K6951" s="451"/>
    </row>
    <row r="6952" spans="1:11">
      <c r="A6952" s="450" t="s">
        <v>26948</v>
      </c>
      <c r="B6952" s="450" t="s">
        <v>26949</v>
      </c>
      <c r="C6952" s="450" t="s">
        <v>26950</v>
      </c>
      <c r="D6952" s="450"/>
      <c r="E6952" s="450"/>
      <c r="F6952" s="450"/>
      <c r="G6952" s="450" t="s">
        <v>22877</v>
      </c>
      <c r="H6952" s="450" t="s">
        <v>22878</v>
      </c>
      <c r="I6952" s="450" t="s">
        <v>26951</v>
      </c>
      <c r="J6952" s="450" t="s">
        <v>26952</v>
      </c>
      <c r="K6952" s="450"/>
    </row>
    <row r="6953" spans="1:11">
      <c r="A6953" s="451" t="s">
        <v>11146</v>
      </c>
      <c r="B6953" s="451"/>
      <c r="C6953" s="451" t="s">
        <v>11147</v>
      </c>
      <c r="D6953" s="451"/>
      <c r="E6953" s="451"/>
      <c r="F6953" s="451"/>
      <c r="G6953" s="451" t="s">
        <v>22882</v>
      </c>
      <c r="H6953" s="451" t="s">
        <v>22883</v>
      </c>
      <c r="I6953" s="451" t="s">
        <v>36561</v>
      </c>
      <c r="J6953" s="451" t="s">
        <v>23121</v>
      </c>
      <c r="K6953" s="451"/>
    </row>
    <row r="6954" spans="1:11">
      <c r="A6954" s="450" t="s">
        <v>36562</v>
      </c>
      <c r="B6954" s="450"/>
      <c r="C6954" s="450" t="s">
        <v>11149</v>
      </c>
      <c r="D6954" s="450"/>
      <c r="E6954" s="450"/>
      <c r="F6954" s="450"/>
      <c r="G6954" s="450" t="s">
        <v>22882</v>
      </c>
      <c r="H6954" s="450" t="s">
        <v>22883</v>
      </c>
      <c r="I6954" s="450" t="s">
        <v>36563</v>
      </c>
      <c r="J6954" s="450" t="s">
        <v>22943</v>
      </c>
      <c r="K6954" s="450"/>
    </row>
    <row r="6955" spans="1:11">
      <c r="A6955" s="451" t="s">
        <v>11148</v>
      </c>
      <c r="B6955" s="451"/>
      <c r="C6955" s="451" t="s">
        <v>11149</v>
      </c>
      <c r="D6955" s="451"/>
      <c r="E6955" s="451"/>
      <c r="F6955" s="451"/>
      <c r="G6955" s="451" t="s">
        <v>22877</v>
      </c>
      <c r="H6955" s="451" t="s">
        <v>22878</v>
      </c>
      <c r="I6955" s="451" t="s">
        <v>36564</v>
      </c>
      <c r="J6955" s="451" t="s">
        <v>22942</v>
      </c>
      <c r="K6955" s="451"/>
    </row>
    <row r="6956" spans="1:11">
      <c r="A6956" s="450" t="s">
        <v>11150</v>
      </c>
      <c r="B6956" s="450"/>
      <c r="C6956" s="450" t="s">
        <v>11151</v>
      </c>
      <c r="D6956" s="450"/>
      <c r="E6956" s="450"/>
      <c r="F6956" s="450"/>
      <c r="G6956" s="450" t="s">
        <v>22882</v>
      </c>
      <c r="H6956" s="450" t="s">
        <v>22883</v>
      </c>
      <c r="I6956" s="450" t="s">
        <v>26953</v>
      </c>
      <c r="J6956" s="450" t="s">
        <v>22939</v>
      </c>
      <c r="K6956" s="450"/>
    </row>
    <row r="6957" spans="1:11">
      <c r="A6957" s="451" t="s">
        <v>11152</v>
      </c>
      <c r="B6957" s="451" t="s">
        <v>11153</v>
      </c>
      <c r="C6957" s="451" t="s">
        <v>11154</v>
      </c>
      <c r="D6957" s="451"/>
      <c r="E6957" s="451"/>
      <c r="F6957" s="451"/>
      <c r="G6957" s="451" t="s">
        <v>22877</v>
      </c>
      <c r="H6957" s="451" t="s">
        <v>22878</v>
      </c>
      <c r="I6957" s="451" t="s">
        <v>26954</v>
      </c>
      <c r="J6957" s="451" t="s">
        <v>26955</v>
      </c>
      <c r="K6957" s="451"/>
    </row>
    <row r="6958" spans="1:11">
      <c r="A6958" s="450" t="s">
        <v>31772</v>
      </c>
      <c r="B6958" s="450" t="s">
        <v>26956</v>
      </c>
      <c r="C6958" s="450" t="s">
        <v>26957</v>
      </c>
      <c r="D6958" s="450"/>
      <c r="E6958" s="450"/>
      <c r="F6958" s="450"/>
      <c r="G6958" s="450" t="s">
        <v>22877</v>
      </c>
      <c r="H6958" s="450" t="s">
        <v>22878</v>
      </c>
      <c r="I6958" s="450" t="s">
        <v>26958</v>
      </c>
      <c r="J6958" s="450" t="s">
        <v>26959</v>
      </c>
      <c r="K6958" s="450"/>
    </row>
    <row r="6959" spans="1:11">
      <c r="A6959" s="451" t="s">
        <v>36565</v>
      </c>
      <c r="B6959" s="451" t="s">
        <v>11156</v>
      </c>
      <c r="C6959" s="451" t="s">
        <v>11157</v>
      </c>
      <c r="D6959" s="451" t="s">
        <v>11158</v>
      </c>
      <c r="E6959" s="451"/>
      <c r="F6959" s="451"/>
      <c r="G6959" s="451" t="s">
        <v>22877</v>
      </c>
      <c r="H6959" s="451" t="s">
        <v>22878</v>
      </c>
      <c r="I6959" s="451" t="s">
        <v>36566</v>
      </c>
      <c r="J6959" s="451" t="s">
        <v>36567</v>
      </c>
      <c r="K6959" s="451"/>
    </row>
    <row r="6960" spans="1:11">
      <c r="A6960" s="450" t="s">
        <v>11155</v>
      </c>
      <c r="B6960" s="450" t="s">
        <v>11156</v>
      </c>
      <c r="C6960" s="450" t="s">
        <v>11157</v>
      </c>
      <c r="D6960" s="450" t="s">
        <v>11158</v>
      </c>
      <c r="E6960" s="450" t="s">
        <v>11159</v>
      </c>
      <c r="F6960" s="450"/>
      <c r="G6960" s="450" t="s">
        <v>22877</v>
      </c>
      <c r="H6960" s="450" t="s">
        <v>22878</v>
      </c>
      <c r="I6960" s="450" t="s">
        <v>26933</v>
      </c>
      <c r="J6960" s="450" t="s">
        <v>31773</v>
      </c>
      <c r="K6960" s="450"/>
    </row>
    <row r="6961" spans="1:11">
      <c r="A6961" s="451" t="s">
        <v>11160</v>
      </c>
      <c r="B6961" s="451"/>
      <c r="C6961" s="451" t="s">
        <v>7988</v>
      </c>
      <c r="D6961" s="451"/>
      <c r="E6961" s="451"/>
      <c r="F6961" s="451"/>
      <c r="G6961" s="451" t="s">
        <v>36568</v>
      </c>
      <c r="H6961" s="451" t="s">
        <v>22878</v>
      </c>
      <c r="I6961" s="451"/>
      <c r="J6961" s="451"/>
      <c r="K6961" s="451"/>
    </row>
    <row r="6962" spans="1:11">
      <c r="A6962" s="450" t="s">
        <v>36569</v>
      </c>
      <c r="B6962" s="450"/>
      <c r="C6962" s="450" t="s">
        <v>7988</v>
      </c>
      <c r="D6962" s="450"/>
      <c r="E6962" s="450"/>
      <c r="F6962" s="450"/>
      <c r="G6962" s="450" t="s">
        <v>22882</v>
      </c>
      <c r="H6962" s="450" t="s">
        <v>22883</v>
      </c>
      <c r="I6962" s="450"/>
      <c r="J6962" s="450" t="s">
        <v>22943</v>
      </c>
      <c r="K6962" s="450"/>
    </row>
    <row r="6963" spans="1:11">
      <c r="A6963" s="451" t="s">
        <v>11161</v>
      </c>
      <c r="B6963" s="451"/>
      <c r="C6963" s="451" t="s">
        <v>11162</v>
      </c>
      <c r="D6963" s="451"/>
      <c r="E6963" s="451"/>
      <c r="F6963" s="451"/>
      <c r="G6963" s="451" t="s">
        <v>22877</v>
      </c>
      <c r="H6963" s="451" t="s">
        <v>22878</v>
      </c>
      <c r="I6963" s="451" t="s">
        <v>36570</v>
      </c>
      <c r="J6963" s="451" t="s">
        <v>22939</v>
      </c>
      <c r="K6963" s="451"/>
    </row>
    <row r="6964" spans="1:11">
      <c r="A6964" s="450" t="s">
        <v>21824</v>
      </c>
      <c r="B6964" s="450"/>
      <c r="C6964" s="450" t="s">
        <v>11163</v>
      </c>
      <c r="D6964" s="450"/>
      <c r="E6964" s="450"/>
      <c r="F6964" s="450"/>
      <c r="G6964" s="450" t="s">
        <v>22882</v>
      </c>
      <c r="H6964" s="450" t="s">
        <v>22883</v>
      </c>
      <c r="I6964" s="450" t="s">
        <v>36571</v>
      </c>
      <c r="J6964" s="450" t="s">
        <v>23133</v>
      </c>
      <c r="K6964" s="450"/>
    </row>
    <row r="6965" spans="1:11">
      <c r="A6965" s="451" t="s">
        <v>26960</v>
      </c>
      <c r="B6965" s="451"/>
      <c r="C6965" s="451" t="s">
        <v>5736</v>
      </c>
      <c r="D6965" s="451"/>
      <c r="E6965" s="451"/>
      <c r="F6965" s="451"/>
      <c r="G6965" s="451" t="s">
        <v>22882</v>
      </c>
      <c r="H6965" s="451" t="s">
        <v>22883</v>
      </c>
      <c r="I6965" s="451" t="s">
        <v>26712</v>
      </c>
      <c r="J6965" s="451" t="s">
        <v>22943</v>
      </c>
      <c r="K6965" s="451"/>
    </row>
    <row r="6966" spans="1:11">
      <c r="A6966" s="450" t="s">
        <v>11164</v>
      </c>
      <c r="B6966" s="450" t="s">
        <v>11165</v>
      </c>
      <c r="C6966" s="450" t="s">
        <v>11128</v>
      </c>
      <c r="D6966" s="450" t="s">
        <v>11166</v>
      </c>
      <c r="E6966" s="450" t="s">
        <v>11167</v>
      </c>
      <c r="F6966" s="450"/>
      <c r="G6966" s="450" t="s">
        <v>22877</v>
      </c>
      <c r="H6966" s="450" t="s">
        <v>22878</v>
      </c>
      <c r="I6966" s="450" t="s">
        <v>11166</v>
      </c>
      <c r="J6966" s="450" t="s">
        <v>36572</v>
      </c>
      <c r="K6966" s="450"/>
    </row>
    <row r="6967" spans="1:11">
      <c r="A6967" s="451" t="s">
        <v>26961</v>
      </c>
      <c r="B6967" s="451" t="s">
        <v>11165</v>
      </c>
      <c r="C6967" s="451" t="s">
        <v>11128</v>
      </c>
      <c r="D6967" s="451" t="s">
        <v>11166</v>
      </c>
      <c r="E6967" s="451"/>
      <c r="F6967" s="451"/>
      <c r="G6967" s="451" t="s">
        <v>22877</v>
      </c>
      <c r="H6967" s="451" t="s">
        <v>22878</v>
      </c>
      <c r="I6967" s="451" t="s">
        <v>26962</v>
      </c>
      <c r="J6967" s="451" t="s">
        <v>26963</v>
      </c>
      <c r="K6967" s="451"/>
    </row>
    <row r="6968" spans="1:11">
      <c r="A6968" s="450" t="s">
        <v>36573</v>
      </c>
      <c r="B6968" s="450"/>
      <c r="C6968" s="450" t="s">
        <v>11169</v>
      </c>
      <c r="D6968" s="450"/>
      <c r="E6968" s="450"/>
      <c r="F6968" s="450"/>
      <c r="G6968" s="450" t="s">
        <v>22877</v>
      </c>
      <c r="H6968" s="450" t="s">
        <v>22878</v>
      </c>
      <c r="I6968" s="450" t="s">
        <v>36574</v>
      </c>
      <c r="J6968" s="450" t="s">
        <v>23121</v>
      </c>
      <c r="K6968" s="450"/>
    </row>
    <row r="6969" spans="1:11">
      <c r="A6969" s="451" t="s">
        <v>11168</v>
      </c>
      <c r="B6969" s="451"/>
      <c r="C6969" s="451" t="s">
        <v>11169</v>
      </c>
      <c r="D6969" s="451"/>
      <c r="E6969" s="451"/>
      <c r="F6969" s="451"/>
      <c r="G6969" s="451" t="s">
        <v>22877</v>
      </c>
      <c r="H6969" s="451" t="s">
        <v>22878</v>
      </c>
      <c r="I6969" s="451" t="s">
        <v>36575</v>
      </c>
      <c r="J6969" s="451" t="s">
        <v>22939</v>
      </c>
      <c r="K6969" s="451"/>
    </row>
    <row r="6970" spans="1:11">
      <c r="A6970" s="450" t="s">
        <v>36576</v>
      </c>
      <c r="B6970" s="450"/>
      <c r="C6970" s="450" t="s">
        <v>8126</v>
      </c>
      <c r="D6970" s="450"/>
      <c r="E6970" s="450"/>
      <c r="F6970" s="450"/>
      <c r="G6970" s="450" t="s">
        <v>22877</v>
      </c>
      <c r="H6970" s="450" t="s">
        <v>22878</v>
      </c>
      <c r="I6970" s="450" t="s">
        <v>36577</v>
      </c>
      <c r="J6970" s="450" t="s">
        <v>22939</v>
      </c>
      <c r="K6970" s="450"/>
    </row>
    <row r="6971" spans="1:11">
      <c r="A6971" s="451" t="s">
        <v>11170</v>
      </c>
      <c r="B6971" s="451"/>
      <c r="C6971" s="451" t="s">
        <v>8126</v>
      </c>
      <c r="D6971" s="451"/>
      <c r="E6971" s="451"/>
      <c r="F6971" s="451"/>
      <c r="G6971" s="451" t="s">
        <v>22877</v>
      </c>
      <c r="H6971" s="451" t="s">
        <v>22878</v>
      </c>
      <c r="I6971" s="451" t="s">
        <v>36578</v>
      </c>
      <c r="J6971" s="451" t="s">
        <v>22939</v>
      </c>
      <c r="K6971" s="451"/>
    </row>
    <row r="6972" spans="1:11">
      <c r="A6972" s="450" t="s">
        <v>36579</v>
      </c>
      <c r="B6972" s="450"/>
      <c r="C6972" s="450" t="s">
        <v>2778</v>
      </c>
      <c r="D6972" s="450"/>
      <c r="E6972" s="450"/>
      <c r="F6972" s="450"/>
      <c r="G6972" s="450" t="s">
        <v>22882</v>
      </c>
      <c r="H6972" s="450" t="s">
        <v>22883</v>
      </c>
      <c r="I6972" s="450" t="s">
        <v>36580</v>
      </c>
      <c r="J6972" s="450" t="s">
        <v>22939</v>
      </c>
      <c r="K6972" s="450"/>
    </row>
    <row r="6973" spans="1:11">
      <c r="A6973" s="451" t="s">
        <v>11171</v>
      </c>
      <c r="B6973" s="451"/>
      <c r="C6973" s="451" t="s">
        <v>2778</v>
      </c>
      <c r="D6973" s="451"/>
      <c r="E6973" s="451"/>
      <c r="F6973" s="451"/>
      <c r="G6973" s="451" t="s">
        <v>22882</v>
      </c>
      <c r="H6973" s="451" t="s">
        <v>22883</v>
      </c>
      <c r="I6973" s="451"/>
      <c r="J6973" s="451" t="s">
        <v>23179</v>
      </c>
      <c r="K6973" s="451"/>
    </row>
    <row r="6974" spans="1:11">
      <c r="A6974" s="450" t="s">
        <v>26964</v>
      </c>
      <c r="B6974" s="450" t="s">
        <v>11173</v>
      </c>
      <c r="C6974" s="450" t="s">
        <v>11174</v>
      </c>
      <c r="D6974" s="450" t="s">
        <v>11175</v>
      </c>
      <c r="E6974" s="450"/>
      <c r="F6974" s="450"/>
      <c r="G6974" s="450" t="s">
        <v>22882</v>
      </c>
      <c r="H6974" s="450" t="s">
        <v>22883</v>
      </c>
      <c r="I6974" s="450" t="s">
        <v>26965</v>
      </c>
      <c r="J6974" s="450" t="s">
        <v>26966</v>
      </c>
      <c r="K6974" s="450"/>
    </row>
    <row r="6975" spans="1:11">
      <c r="A6975" s="451" t="s">
        <v>26967</v>
      </c>
      <c r="B6975" s="451" t="s">
        <v>11178</v>
      </c>
      <c r="C6975" s="451" t="s">
        <v>11179</v>
      </c>
      <c r="D6975" s="451" t="s">
        <v>11180</v>
      </c>
      <c r="E6975" s="451"/>
      <c r="F6975" s="451"/>
      <c r="G6975" s="451" t="s">
        <v>22882</v>
      </c>
      <c r="H6975" s="451" t="s">
        <v>22883</v>
      </c>
      <c r="I6975" s="451" t="s">
        <v>11180</v>
      </c>
      <c r="J6975" s="451" t="s">
        <v>26968</v>
      </c>
      <c r="K6975" s="451"/>
    </row>
    <row r="6976" spans="1:11">
      <c r="A6976" s="450" t="s">
        <v>11172</v>
      </c>
      <c r="B6976" s="450" t="s">
        <v>11173</v>
      </c>
      <c r="C6976" s="450" t="s">
        <v>11174</v>
      </c>
      <c r="D6976" s="450" t="s">
        <v>11175</v>
      </c>
      <c r="E6976" s="450" t="s">
        <v>11176</v>
      </c>
      <c r="F6976" s="450"/>
      <c r="G6976" s="450" t="s">
        <v>22877</v>
      </c>
      <c r="H6976" s="450" t="s">
        <v>22878</v>
      </c>
      <c r="I6976" s="450" t="s">
        <v>11175</v>
      </c>
      <c r="J6976" s="450" t="s">
        <v>31774</v>
      </c>
      <c r="K6976" s="450"/>
    </row>
    <row r="6977" spans="1:11">
      <c r="A6977" s="451" t="s">
        <v>11177</v>
      </c>
      <c r="B6977" s="451" t="s">
        <v>11178</v>
      </c>
      <c r="C6977" s="451" t="s">
        <v>11179</v>
      </c>
      <c r="D6977" s="451" t="s">
        <v>11180</v>
      </c>
      <c r="E6977" s="451"/>
      <c r="F6977" s="451"/>
      <c r="G6977" s="451" t="s">
        <v>22882</v>
      </c>
      <c r="H6977" s="451" t="s">
        <v>22883</v>
      </c>
      <c r="I6977" s="451"/>
      <c r="J6977" s="451" t="s">
        <v>31775</v>
      </c>
      <c r="K6977" s="451"/>
    </row>
    <row r="6978" spans="1:11">
      <c r="A6978" s="450" t="s">
        <v>36581</v>
      </c>
      <c r="B6978" s="450"/>
      <c r="C6978" s="450" t="s">
        <v>6495</v>
      </c>
      <c r="D6978" s="450"/>
      <c r="E6978" s="450"/>
      <c r="F6978" s="450"/>
      <c r="G6978" s="450" t="s">
        <v>22882</v>
      </c>
      <c r="H6978" s="450" t="s">
        <v>22883</v>
      </c>
      <c r="I6978" s="450" t="s">
        <v>36582</v>
      </c>
      <c r="J6978" s="450" t="s">
        <v>22943</v>
      </c>
      <c r="K6978" s="450"/>
    </row>
    <row r="6979" spans="1:11">
      <c r="A6979" s="451" t="s">
        <v>11181</v>
      </c>
      <c r="B6979" s="451"/>
      <c r="C6979" s="451" t="s">
        <v>6495</v>
      </c>
      <c r="D6979" s="451"/>
      <c r="E6979" s="451"/>
      <c r="F6979" s="451"/>
      <c r="G6979" s="451" t="s">
        <v>22882</v>
      </c>
      <c r="H6979" s="451" t="s">
        <v>22883</v>
      </c>
      <c r="I6979" s="451"/>
      <c r="J6979" s="451" t="s">
        <v>22939</v>
      </c>
      <c r="K6979" s="451"/>
    </row>
    <row r="6980" spans="1:11">
      <c r="A6980" s="450" t="s">
        <v>36583</v>
      </c>
      <c r="B6980" s="450"/>
      <c r="C6980" s="450" t="s">
        <v>11183</v>
      </c>
      <c r="D6980" s="450"/>
      <c r="E6980" s="450"/>
      <c r="F6980" s="450"/>
      <c r="G6980" s="450" t="s">
        <v>22882</v>
      </c>
      <c r="H6980" s="450" t="s">
        <v>22883</v>
      </c>
      <c r="I6980" s="450" t="s">
        <v>36584</v>
      </c>
      <c r="J6980" s="450" t="s">
        <v>22943</v>
      </c>
      <c r="K6980" s="450"/>
    </row>
    <row r="6981" spans="1:11">
      <c r="A6981" s="451" t="s">
        <v>11182</v>
      </c>
      <c r="B6981" s="451"/>
      <c r="C6981" s="451" t="s">
        <v>11183</v>
      </c>
      <c r="D6981" s="451"/>
      <c r="E6981" s="451"/>
      <c r="F6981" s="451"/>
      <c r="G6981" s="451" t="s">
        <v>22877</v>
      </c>
      <c r="H6981" s="451" t="s">
        <v>22878</v>
      </c>
      <c r="I6981" s="451" t="s">
        <v>36585</v>
      </c>
      <c r="J6981" s="451" t="s">
        <v>22939</v>
      </c>
      <c r="K6981" s="451"/>
    </row>
    <row r="6982" spans="1:11">
      <c r="A6982" s="450" t="s">
        <v>11184</v>
      </c>
      <c r="B6982" s="450"/>
      <c r="C6982" s="450" t="s">
        <v>11185</v>
      </c>
      <c r="D6982" s="450"/>
      <c r="E6982" s="450"/>
      <c r="F6982" s="450"/>
      <c r="G6982" s="450" t="s">
        <v>22882</v>
      </c>
      <c r="H6982" s="450" t="s">
        <v>22883</v>
      </c>
      <c r="I6982" s="450"/>
      <c r="J6982" s="450" t="s">
        <v>23121</v>
      </c>
      <c r="K6982" s="450"/>
    </row>
    <row r="6983" spans="1:11">
      <c r="A6983" s="451" t="s">
        <v>11186</v>
      </c>
      <c r="B6983" s="451" t="s">
        <v>26969</v>
      </c>
      <c r="C6983" s="451" t="s">
        <v>11188</v>
      </c>
      <c r="D6983" s="451"/>
      <c r="E6983" s="451"/>
      <c r="F6983" s="451"/>
      <c r="G6983" s="451" t="s">
        <v>22877</v>
      </c>
      <c r="H6983" s="451" t="s">
        <v>22878</v>
      </c>
      <c r="I6983" s="451" t="s">
        <v>26970</v>
      </c>
      <c r="J6983" s="451" t="s">
        <v>26971</v>
      </c>
      <c r="K6983" s="451"/>
    </row>
    <row r="6984" spans="1:11">
      <c r="A6984" s="450" t="s">
        <v>11186</v>
      </c>
      <c r="B6984" s="450" t="s">
        <v>11187</v>
      </c>
      <c r="C6984" s="450" t="s">
        <v>11188</v>
      </c>
      <c r="D6984" s="450"/>
      <c r="E6984" s="450"/>
      <c r="F6984" s="450"/>
      <c r="G6984" s="450" t="s">
        <v>22877</v>
      </c>
      <c r="H6984" s="450" t="s">
        <v>22878</v>
      </c>
      <c r="I6984" s="450" t="s">
        <v>31776</v>
      </c>
      <c r="J6984" s="450" t="s">
        <v>31777</v>
      </c>
      <c r="K6984" s="450"/>
    </row>
    <row r="6985" spans="1:11">
      <c r="A6985" s="451" t="s">
        <v>11189</v>
      </c>
      <c r="B6985" s="451"/>
      <c r="C6985" s="451" t="s">
        <v>3127</v>
      </c>
      <c r="D6985" s="451"/>
      <c r="E6985" s="451"/>
      <c r="F6985" s="451"/>
      <c r="G6985" s="451" t="s">
        <v>22877</v>
      </c>
      <c r="H6985" s="451" t="s">
        <v>22878</v>
      </c>
      <c r="I6985" s="451" t="s">
        <v>26972</v>
      </c>
      <c r="J6985" s="451" t="s">
        <v>22997</v>
      </c>
      <c r="K6985" s="451"/>
    </row>
    <row r="6986" spans="1:11">
      <c r="A6986" s="450" t="s">
        <v>26973</v>
      </c>
      <c r="B6986" s="450" t="s">
        <v>26974</v>
      </c>
      <c r="C6986" s="450" t="s">
        <v>11192</v>
      </c>
      <c r="D6986" s="450"/>
      <c r="E6986" s="450"/>
      <c r="F6986" s="450"/>
      <c r="G6986" s="450" t="s">
        <v>22877</v>
      </c>
      <c r="H6986" s="450" t="s">
        <v>22878</v>
      </c>
      <c r="I6986" s="450" t="s">
        <v>26975</v>
      </c>
      <c r="J6986" s="450" t="s">
        <v>26976</v>
      </c>
      <c r="K6986" s="450"/>
    </row>
    <row r="6987" spans="1:11">
      <c r="A6987" s="451" t="s">
        <v>11190</v>
      </c>
      <c r="B6987" s="451" t="s">
        <v>11191</v>
      </c>
      <c r="C6987" s="451" t="s">
        <v>11192</v>
      </c>
      <c r="D6987" s="451"/>
      <c r="E6987" s="451"/>
      <c r="F6987" s="451"/>
      <c r="G6987" s="451" t="s">
        <v>22877</v>
      </c>
      <c r="H6987" s="451" t="s">
        <v>22878</v>
      </c>
      <c r="I6987" s="451" t="s">
        <v>31778</v>
      </c>
      <c r="J6987" s="451" t="s">
        <v>31779</v>
      </c>
      <c r="K6987" s="451"/>
    </row>
    <row r="6988" spans="1:11">
      <c r="A6988" s="450" t="s">
        <v>11193</v>
      </c>
      <c r="B6988" s="450" t="s">
        <v>11194</v>
      </c>
      <c r="C6988" s="450" t="s">
        <v>11195</v>
      </c>
      <c r="D6988" s="450"/>
      <c r="E6988" s="450"/>
      <c r="F6988" s="450"/>
      <c r="G6988" s="450" t="s">
        <v>22882</v>
      </c>
      <c r="H6988" s="450" t="s">
        <v>22883</v>
      </c>
      <c r="I6988" s="450"/>
      <c r="J6988" s="450" t="s">
        <v>31780</v>
      </c>
      <c r="K6988" s="450"/>
    </row>
    <row r="6989" spans="1:11">
      <c r="A6989" s="451" t="s">
        <v>11196</v>
      </c>
      <c r="B6989" s="451"/>
      <c r="C6989" s="451" t="s">
        <v>10817</v>
      </c>
      <c r="D6989" s="451"/>
      <c r="E6989" s="451"/>
      <c r="F6989" s="451"/>
      <c r="G6989" s="451" t="s">
        <v>22877</v>
      </c>
      <c r="H6989" s="451" t="s">
        <v>22878</v>
      </c>
      <c r="I6989" s="451" t="s">
        <v>36586</v>
      </c>
      <c r="J6989" s="451" t="s">
        <v>22939</v>
      </c>
      <c r="K6989" s="451"/>
    </row>
    <row r="6990" spans="1:11">
      <c r="A6990" s="450" t="s">
        <v>11197</v>
      </c>
      <c r="B6990" s="450"/>
      <c r="C6990" s="450" t="s">
        <v>11198</v>
      </c>
      <c r="D6990" s="450"/>
      <c r="E6990" s="450"/>
      <c r="F6990" s="450"/>
      <c r="G6990" s="450" t="s">
        <v>22882</v>
      </c>
      <c r="H6990" s="450" t="s">
        <v>22883</v>
      </c>
      <c r="I6990" s="450"/>
      <c r="J6990" s="450" t="s">
        <v>22942</v>
      </c>
      <c r="K6990" s="450"/>
    </row>
    <row r="6991" spans="1:11">
      <c r="A6991" s="451" t="s">
        <v>11199</v>
      </c>
      <c r="B6991" s="451"/>
      <c r="C6991" s="451" t="s">
        <v>9637</v>
      </c>
      <c r="D6991" s="451"/>
      <c r="E6991" s="451"/>
      <c r="F6991" s="451"/>
      <c r="G6991" s="451" t="s">
        <v>22877</v>
      </c>
      <c r="H6991" s="451" t="s">
        <v>22878</v>
      </c>
      <c r="I6991" s="451" t="s">
        <v>36587</v>
      </c>
      <c r="J6991" s="451" t="s">
        <v>22939</v>
      </c>
      <c r="K6991" s="451"/>
    </row>
    <row r="6992" spans="1:11">
      <c r="A6992" s="450" t="s">
        <v>26977</v>
      </c>
      <c r="B6992" s="450"/>
      <c r="C6992" s="450" t="s">
        <v>11198</v>
      </c>
      <c r="D6992" s="450"/>
      <c r="E6992" s="450"/>
      <c r="F6992" s="450"/>
      <c r="G6992" s="450" t="s">
        <v>23776</v>
      </c>
      <c r="H6992" s="450" t="s">
        <v>22878</v>
      </c>
      <c r="I6992" s="450" t="s">
        <v>26978</v>
      </c>
      <c r="J6992" s="450"/>
      <c r="K6992" s="450"/>
    </row>
    <row r="6993" spans="1:11">
      <c r="A6993" s="451" t="s">
        <v>11200</v>
      </c>
      <c r="B6993" s="451" t="s">
        <v>26979</v>
      </c>
      <c r="C6993" s="451" t="s">
        <v>26980</v>
      </c>
      <c r="D6993" s="451" t="s">
        <v>26981</v>
      </c>
      <c r="E6993" s="451"/>
      <c r="F6993" s="451"/>
      <c r="G6993" s="451" t="s">
        <v>22877</v>
      </c>
      <c r="H6993" s="451" t="s">
        <v>22878</v>
      </c>
      <c r="I6993" s="451" t="s">
        <v>26981</v>
      </c>
      <c r="J6993" s="451" t="s">
        <v>26982</v>
      </c>
      <c r="K6993" s="451"/>
    </row>
    <row r="6994" spans="1:11">
      <c r="A6994" s="450" t="s">
        <v>11200</v>
      </c>
      <c r="B6994" s="450" t="s">
        <v>11201</v>
      </c>
      <c r="C6994" s="450" t="s">
        <v>11202</v>
      </c>
      <c r="D6994" s="450"/>
      <c r="E6994" s="450"/>
      <c r="F6994" s="450"/>
      <c r="G6994" s="450" t="s">
        <v>22882</v>
      </c>
      <c r="H6994" s="450" t="s">
        <v>22883</v>
      </c>
      <c r="I6994" s="450"/>
      <c r="J6994" s="450" t="s">
        <v>36588</v>
      </c>
      <c r="K6994" s="450"/>
    </row>
    <row r="6995" spans="1:11">
      <c r="A6995" s="451" t="s">
        <v>36589</v>
      </c>
      <c r="B6995" s="451"/>
      <c r="C6995" s="451" t="s">
        <v>9637</v>
      </c>
      <c r="D6995" s="451"/>
      <c r="E6995" s="451"/>
      <c r="F6995" s="451"/>
      <c r="G6995" s="451" t="s">
        <v>22877</v>
      </c>
      <c r="H6995" s="451" t="s">
        <v>22878</v>
      </c>
      <c r="I6995" s="451"/>
      <c r="J6995" s="451" t="s">
        <v>22997</v>
      </c>
      <c r="K6995" s="451"/>
    </row>
    <row r="6996" spans="1:11">
      <c r="A6996" s="450" t="s">
        <v>36590</v>
      </c>
      <c r="B6996" s="450"/>
      <c r="C6996" s="450" t="s">
        <v>11204</v>
      </c>
      <c r="D6996" s="450"/>
      <c r="E6996" s="450"/>
      <c r="F6996" s="450"/>
      <c r="G6996" s="450" t="s">
        <v>22877</v>
      </c>
      <c r="H6996" s="450" t="s">
        <v>22878</v>
      </c>
      <c r="I6996" s="450" t="s">
        <v>36591</v>
      </c>
      <c r="J6996" s="450" t="s">
        <v>22943</v>
      </c>
      <c r="K6996" s="450"/>
    </row>
    <row r="6997" spans="1:11">
      <c r="A6997" s="451" t="s">
        <v>11203</v>
      </c>
      <c r="B6997" s="451"/>
      <c r="C6997" s="451" t="s">
        <v>11204</v>
      </c>
      <c r="D6997" s="451"/>
      <c r="E6997" s="451"/>
      <c r="F6997" s="451"/>
      <c r="G6997" s="451" t="s">
        <v>22877</v>
      </c>
      <c r="H6997" s="451" t="s">
        <v>22878</v>
      </c>
      <c r="I6997" s="451" t="s">
        <v>36592</v>
      </c>
      <c r="J6997" s="451" t="s">
        <v>22937</v>
      </c>
      <c r="K6997" s="451"/>
    </row>
    <row r="6998" spans="1:11">
      <c r="A6998" s="450" t="s">
        <v>36593</v>
      </c>
      <c r="B6998" s="450"/>
      <c r="C6998" s="450" t="s">
        <v>11206</v>
      </c>
      <c r="D6998" s="450"/>
      <c r="E6998" s="450"/>
      <c r="F6998" s="450"/>
      <c r="G6998" s="450" t="s">
        <v>22877</v>
      </c>
      <c r="H6998" s="450" t="s">
        <v>22878</v>
      </c>
      <c r="I6998" s="450" t="s">
        <v>36594</v>
      </c>
      <c r="J6998" s="450" t="s">
        <v>23133</v>
      </c>
      <c r="K6998" s="450"/>
    </row>
    <row r="6999" spans="1:11">
      <c r="A6999" s="451" t="s">
        <v>11205</v>
      </c>
      <c r="B6999" s="451"/>
      <c r="C6999" s="451" t="s">
        <v>11206</v>
      </c>
      <c r="D6999" s="451"/>
      <c r="E6999" s="451"/>
      <c r="F6999" s="451"/>
      <c r="G6999" s="451" t="s">
        <v>22882</v>
      </c>
      <c r="H6999" s="451" t="s">
        <v>22883</v>
      </c>
      <c r="I6999" s="451" t="s">
        <v>36595</v>
      </c>
      <c r="J6999" s="451" t="s">
        <v>22939</v>
      </c>
      <c r="K6999" s="451"/>
    </row>
    <row r="7000" spans="1:11">
      <c r="A7000" s="450" t="s">
        <v>11207</v>
      </c>
      <c r="B7000" s="450"/>
      <c r="C7000" s="450" t="s">
        <v>11208</v>
      </c>
      <c r="D7000" s="450"/>
      <c r="E7000" s="450"/>
      <c r="F7000" s="450"/>
      <c r="G7000" s="450" t="s">
        <v>22877</v>
      </c>
      <c r="H7000" s="450" t="s">
        <v>22878</v>
      </c>
      <c r="I7000" s="450" t="s">
        <v>36596</v>
      </c>
      <c r="J7000" s="450" t="s">
        <v>22939</v>
      </c>
      <c r="K7000" s="450"/>
    </row>
    <row r="7001" spans="1:11">
      <c r="A7001" s="451" t="s">
        <v>11209</v>
      </c>
      <c r="B7001" s="451"/>
      <c r="C7001" s="451" t="s">
        <v>11210</v>
      </c>
      <c r="D7001" s="451"/>
      <c r="E7001" s="451"/>
      <c r="F7001" s="451"/>
      <c r="G7001" s="451" t="s">
        <v>22877</v>
      </c>
      <c r="H7001" s="451" t="s">
        <v>22878</v>
      </c>
      <c r="I7001" s="451" t="s">
        <v>26983</v>
      </c>
      <c r="J7001" s="451" t="s">
        <v>22939</v>
      </c>
      <c r="K7001" s="451"/>
    </row>
    <row r="7002" spans="1:11">
      <c r="A7002" s="450" t="s">
        <v>26984</v>
      </c>
      <c r="B7002" s="450" t="s">
        <v>26985</v>
      </c>
      <c r="C7002" s="450" t="s">
        <v>26986</v>
      </c>
      <c r="D7002" s="450"/>
      <c r="E7002" s="450"/>
      <c r="F7002" s="450"/>
      <c r="G7002" s="450" t="s">
        <v>22877</v>
      </c>
      <c r="H7002" s="450" t="s">
        <v>22878</v>
      </c>
      <c r="I7002" s="450" t="s">
        <v>26987</v>
      </c>
      <c r="J7002" s="450" t="s">
        <v>26988</v>
      </c>
      <c r="K7002" s="450"/>
    </row>
    <row r="7003" spans="1:11">
      <c r="A7003" s="451" t="s">
        <v>11211</v>
      </c>
      <c r="B7003" s="451"/>
      <c r="C7003" s="451" t="s">
        <v>8370</v>
      </c>
      <c r="D7003" s="451"/>
      <c r="E7003" s="451"/>
      <c r="F7003" s="451"/>
      <c r="G7003" s="451" t="s">
        <v>22877</v>
      </c>
      <c r="H7003" s="451" t="s">
        <v>22878</v>
      </c>
      <c r="I7003" s="451" t="s">
        <v>26989</v>
      </c>
      <c r="J7003" s="451" t="s">
        <v>22943</v>
      </c>
      <c r="K7003" s="451"/>
    </row>
    <row r="7004" spans="1:11">
      <c r="A7004" s="450" t="s">
        <v>26990</v>
      </c>
      <c r="B7004" s="450" t="s">
        <v>26991</v>
      </c>
      <c r="C7004" s="450" t="s">
        <v>26992</v>
      </c>
      <c r="D7004" s="450"/>
      <c r="E7004" s="450"/>
      <c r="F7004" s="450"/>
      <c r="G7004" s="450" t="s">
        <v>22877</v>
      </c>
      <c r="H7004" s="450" t="s">
        <v>22878</v>
      </c>
      <c r="I7004" s="450" t="s">
        <v>26993</v>
      </c>
      <c r="J7004" s="450" t="s">
        <v>26994</v>
      </c>
      <c r="K7004" s="450"/>
    </row>
    <row r="7005" spans="1:11">
      <c r="A7005" s="451" t="s">
        <v>11212</v>
      </c>
      <c r="B7005" s="451"/>
      <c r="C7005" s="451" t="s">
        <v>5204</v>
      </c>
      <c r="D7005" s="451"/>
      <c r="E7005" s="451"/>
      <c r="F7005" s="451"/>
      <c r="G7005" s="451" t="s">
        <v>22882</v>
      </c>
      <c r="H7005" s="451" t="s">
        <v>22883</v>
      </c>
      <c r="I7005" s="451" t="s">
        <v>36597</v>
      </c>
      <c r="J7005" s="451" t="s">
        <v>22939</v>
      </c>
      <c r="K7005" s="451"/>
    </row>
    <row r="7006" spans="1:11">
      <c r="A7006" s="450" t="s">
        <v>36598</v>
      </c>
      <c r="B7006" s="450"/>
      <c r="C7006" s="450" t="s">
        <v>11214</v>
      </c>
      <c r="D7006" s="450"/>
      <c r="E7006" s="450"/>
      <c r="F7006" s="450"/>
      <c r="G7006" s="450" t="s">
        <v>22877</v>
      </c>
      <c r="H7006" s="450" t="s">
        <v>22878</v>
      </c>
      <c r="I7006" s="450" t="s">
        <v>36599</v>
      </c>
      <c r="J7006" s="450" t="s">
        <v>23370</v>
      </c>
      <c r="K7006" s="450"/>
    </row>
    <row r="7007" spans="1:11">
      <c r="A7007" s="451" t="s">
        <v>11213</v>
      </c>
      <c r="B7007" s="451"/>
      <c r="C7007" s="451" t="s">
        <v>11214</v>
      </c>
      <c r="D7007" s="451"/>
      <c r="E7007" s="451"/>
      <c r="F7007" s="451"/>
      <c r="G7007" s="451" t="s">
        <v>22877</v>
      </c>
      <c r="H7007" s="451" t="s">
        <v>22878</v>
      </c>
      <c r="I7007" s="451" t="s">
        <v>31781</v>
      </c>
      <c r="J7007" s="451" t="s">
        <v>22942</v>
      </c>
      <c r="K7007" s="451"/>
    </row>
    <row r="7008" spans="1:11">
      <c r="A7008" s="450" t="s">
        <v>26995</v>
      </c>
      <c r="B7008" s="450" t="s">
        <v>26996</v>
      </c>
      <c r="C7008" s="450" t="s">
        <v>26997</v>
      </c>
      <c r="D7008" s="450"/>
      <c r="E7008" s="450"/>
      <c r="F7008" s="450"/>
      <c r="G7008" s="450" t="s">
        <v>22877</v>
      </c>
      <c r="H7008" s="450" t="s">
        <v>22878</v>
      </c>
      <c r="I7008" s="450" t="s">
        <v>26998</v>
      </c>
      <c r="J7008" s="450" t="s">
        <v>26999</v>
      </c>
      <c r="K7008" s="450"/>
    </row>
    <row r="7009" spans="1:11">
      <c r="A7009" s="451" t="s">
        <v>11215</v>
      </c>
      <c r="B7009" s="451" t="s">
        <v>27000</v>
      </c>
      <c r="C7009" s="451" t="s">
        <v>2323</v>
      </c>
      <c r="D7009" s="451" t="s">
        <v>11217</v>
      </c>
      <c r="E7009" s="451"/>
      <c r="F7009" s="451"/>
      <c r="G7009" s="451" t="s">
        <v>22877</v>
      </c>
      <c r="H7009" s="451" t="s">
        <v>22878</v>
      </c>
      <c r="I7009" s="451" t="s">
        <v>11217</v>
      </c>
      <c r="J7009" s="451" t="s">
        <v>27001</v>
      </c>
      <c r="K7009" s="451"/>
    </row>
    <row r="7010" spans="1:11">
      <c r="A7010" s="450" t="s">
        <v>11215</v>
      </c>
      <c r="B7010" s="450" t="s">
        <v>11216</v>
      </c>
      <c r="C7010" s="450" t="s">
        <v>2323</v>
      </c>
      <c r="D7010" s="450" t="s">
        <v>11217</v>
      </c>
      <c r="E7010" s="450" t="s">
        <v>11218</v>
      </c>
      <c r="F7010" s="450"/>
      <c r="G7010" s="450" t="s">
        <v>22877</v>
      </c>
      <c r="H7010" s="450" t="s">
        <v>22878</v>
      </c>
      <c r="I7010" s="450" t="s">
        <v>31782</v>
      </c>
      <c r="J7010" s="450" t="s">
        <v>31783</v>
      </c>
      <c r="K7010" s="450"/>
    </row>
    <row r="7011" spans="1:11">
      <c r="A7011" s="451" t="s">
        <v>27002</v>
      </c>
      <c r="B7011" s="451" t="s">
        <v>27003</v>
      </c>
      <c r="C7011" s="451" t="s">
        <v>27004</v>
      </c>
      <c r="D7011" s="451"/>
      <c r="E7011" s="451"/>
      <c r="F7011" s="451" t="s">
        <v>27005</v>
      </c>
      <c r="G7011" s="451" t="s">
        <v>22877</v>
      </c>
      <c r="H7011" s="451" t="s">
        <v>22878</v>
      </c>
      <c r="I7011" s="451" t="s">
        <v>27006</v>
      </c>
      <c r="J7011" s="451" t="s">
        <v>27007</v>
      </c>
      <c r="K7011" s="451"/>
    </row>
    <row r="7012" spans="1:11">
      <c r="A7012" s="450" t="s">
        <v>11219</v>
      </c>
      <c r="B7012" s="450"/>
      <c r="C7012" s="450" t="s">
        <v>11220</v>
      </c>
      <c r="D7012" s="450"/>
      <c r="E7012" s="450"/>
      <c r="F7012" s="450"/>
      <c r="G7012" s="450" t="s">
        <v>22877</v>
      </c>
      <c r="H7012" s="450" t="s">
        <v>22878</v>
      </c>
      <c r="I7012" s="450" t="s">
        <v>27008</v>
      </c>
      <c r="J7012" s="450" t="s">
        <v>22939</v>
      </c>
      <c r="K7012" s="450"/>
    </row>
    <row r="7013" spans="1:11">
      <c r="A7013" s="451" t="s">
        <v>11221</v>
      </c>
      <c r="B7013" s="451" t="s">
        <v>11222</v>
      </c>
      <c r="C7013" s="451" t="s">
        <v>11223</v>
      </c>
      <c r="D7013" s="451" t="s">
        <v>11224</v>
      </c>
      <c r="E7013" s="451"/>
      <c r="F7013" s="451" t="s">
        <v>1375</v>
      </c>
      <c r="G7013" s="451" t="s">
        <v>22877</v>
      </c>
      <c r="H7013" s="451" t="s">
        <v>22878</v>
      </c>
      <c r="I7013" s="451" t="s">
        <v>11224</v>
      </c>
      <c r="J7013" s="451" t="s">
        <v>27009</v>
      </c>
      <c r="K7013" s="451"/>
    </row>
    <row r="7014" spans="1:11">
      <c r="A7014" s="450" t="s">
        <v>11221</v>
      </c>
      <c r="B7014" s="450" t="s">
        <v>11222</v>
      </c>
      <c r="C7014" s="450" t="s">
        <v>11223</v>
      </c>
      <c r="D7014" s="450" t="s">
        <v>11224</v>
      </c>
      <c r="E7014" s="450" t="s">
        <v>11225</v>
      </c>
      <c r="F7014" s="450" t="s">
        <v>1375</v>
      </c>
      <c r="G7014" s="450" t="s">
        <v>22882</v>
      </c>
      <c r="H7014" s="450" t="s">
        <v>22883</v>
      </c>
      <c r="I7014" s="450" t="s">
        <v>31784</v>
      </c>
      <c r="J7014" s="450" t="s">
        <v>27009</v>
      </c>
      <c r="K7014" s="450"/>
    </row>
    <row r="7015" spans="1:11">
      <c r="A7015" s="451" t="s">
        <v>31785</v>
      </c>
      <c r="B7015" s="451"/>
      <c r="C7015" s="451" t="s">
        <v>10751</v>
      </c>
      <c r="D7015" s="451"/>
      <c r="E7015" s="451"/>
      <c r="F7015" s="451"/>
      <c r="G7015" s="451" t="s">
        <v>22877</v>
      </c>
      <c r="H7015" s="451" t="s">
        <v>22878</v>
      </c>
      <c r="I7015" s="451" t="s">
        <v>27010</v>
      </c>
      <c r="J7015" s="451" t="s">
        <v>22997</v>
      </c>
      <c r="K7015" s="451"/>
    </row>
    <row r="7016" spans="1:11">
      <c r="A7016" s="450" t="s">
        <v>11226</v>
      </c>
      <c r="B7016" s="450" t="s">
        <v>11227</v>
      </c>
      <c r="C7016" s="450" t="s">
        <v>11228</v>
      </c>
      <c r="D7016" s="450" t="s">
        <v>11229</v>
      </c>
      <c r="E7016" s="450"/>
      <c r="F7016" s="450"/>
      <c r="G7016" s="450" t="s">
        <v>22877</v>
      </c>
      <c r="H7016" s="450" t="s">
        <v>22878</v>
      </c>
      <c r="I7016" s="450"/>
      <c r="J7016" s="450" t="s">
        <v>36600</v>
      </c>
      <c r="K7016" s="450"/>
    </row>
    <row r="7017" spans="1:11">
      <c r="A7017" s="451" t="s">
        <v>11226</v>
      </c>
      <c r="B7017" s="451" t="s">
        <v>11227</v>
      </c>
      <c r="C7017" s="451" t="s">
        <v>11228</v>
      </c>
      <c r="D7017" s="451" t="s">
        <v>11229</v>
      </c>
      <c r="E7017" s="451" t="s">
        <v>11230</v>
      </c>
      <c r="F7017" s="451"/>
      <c r="G7017" s="451" t="s">
        <v>22877</v>
      </c>
      <c r="H7017" s="451" t="s">
        <v>22878</v>
      </c>
      <c r="I7017" s="451" t="s">
        <v>31786</v>
      </c>
      <c r="J7017" s="451" t="s">
        <v>31787</v>
      </c>
      <c r="K7017" s="451"/>
    </row>
    <row r="7018" spans="1:11">
      <c r="A7018" s="450" t="s">
        <v>11231</v>
      </c>
      <c r="B7018" s="450"/>
      <c r="C7018" s="450" t="s">
        <v>1104</v>
      </c>
      <c r="D7018" s="450"/>
      <c r="E7018" s="450"/>
      <c r="F7018" s="450"/>
      <c r="G7018" s="450" t="s">
        <v>22877</v>
      </c>
      <c r="H7018" s="450" t="s">
        <v>22878</v>
      </c>
      <c r="I7018" s="450" t="s">
        <v>36601</v>
      </c>
      <c r="J7018" s="450" t="s">
        <v>22997</v>
      </c>
      <c r="K7018" s="450"/>
    </row>
    <row r="7019" spans="1:11">
      <c r="A7019" s="451" t="s">
        <v>11232</v>
      </c>
      <c r="B7019" s="451"/>
      <c r="C7019" s="451" t="s">
        <v>11233</v>
      </c>
      <c r="D7019" s="451"/>
      <c r="E7019" s="451"/>
      <c r="F7019" s="451"/>
      <c r="G7019" s="451" t="s">
        <v>22882</v>
      </c>
      <c r="H7019" s="451" t="s">
        <v>22883</v>
      </c>
      <c r="I7019" s="451" t="s">
        <v>36602</v>
      </c>
      <c r="J7019" s="451" t="s">
        <v>22943</v>
      </c>
      <c r="K7019" s="451"/>
    </row>
    <row r="7020" spans="1:11">
      <c r="A7020" s="450" t="s">
        <v>11234</v>
      </c>
      <c r="B7020" s="450"/>
      <c r="C7020" s="450" t="s">
        <v>3426</v>
      </c>
      <c r="D7020" s="450"/>
      <c r="E7020" s="450"/>
      <c r="F7020" s="450"/>
      <c r="G7020" s="450" t="s">
        <v>22877</v>
      </c>
      <c r="H7020" s="450" t="s">
        <v>22878</v>
      </c>
      <c r="I7020" s="450" t="s">
        <v>27011</v>
      </c>
      <c r="J7020" s="450" t="s">
        <v>23133</v>
      </c>
      <c r="K7020" s="450"/>
    </row>
    <row r="7021" spans="1:11">
      <c r="A7021" s="451" t="s">
        <v>27012</v>
      </c>
      <c r="B7021" s="451" t="s">
        <v>27013</v>
      </c>
      <c r="C7021" s="451" t="s">
        <v>27014</v>
      </c>
      <c r="D7021" s="451"/>
      <c r="E7021" s="451"/>
      <c r="F7021" s="451"/>
      <c r="G7021" s="451" t="s">
        <v>22882</v>
      </c>
      <c r="H7021" s="451" t="s">
        <v>22883</v>
      </c>
      <c r="I7021" s="451" t="s">
        <v>27015</v>
      </c>
      <c r="J7021" s="451" t="s">
        <v>27016</v>
      </c>
      <c r="K7021" s="451"/>
    </row>
    <row r="7022" spans="1:11">
      <c r="A7022" s="450" t="s">
        <v>11235</v>
      </c>
      <c r="B7022" s="450"/>
      <c r="C7022" s="450" t="s">
        <v>5522</v>
      </c>
      <c r="D7022" s="450"/>
      <c r="E7022" s="450"/>
      <c r="F7022" s="450"/>
      <c r="G7022" s="450" t="s">
        <v>22877</v>
      </c>
      <c r="H7022" s="450" t="s">
        <v>22878</v>
      </c>
      <c r="I7022" s="450" t="s">
        <v>36603</v>
      </c>
      <c r="J7022" s="450" t="s">
        <v>22939</v>
      </c>
      <c r="K7022" s="450"/>
    </row>
    <row r="7023" spans="1:11">
      <c r="A7023" s="451" t="s">
        <v>11236</v>
      </c>
      <c r="B7023" s="451"/>
      <c r="C7023" s="451" t="s">
        <v>11237</v>
      </c>
      <c r="D7023" s="451"/>
      <c r="E7023" s="451"/>
      <c r="F7023" s="451"/>
      <c r="G7023" s="451" t="s">
        <v>22882</v>
      </c>
      <c r="H7023" s="451" t="s">
        <v>22883</v>
      </c>
      <c r="I7023" s="451"/>
      <c r="J7023" s="451" t="s">
        <v>22997</v>
      </c>
      <c r="K7023" s="451"/>
    </row>
    <row r="7024" spans="1:11">
      <c r="A7024" s="450" t="s">
        <v>27017</v>
      </c>
      <c r="B7024" s="450" t="s">
        <v>10757</v>
      </c>
      <c r="C7024" s="450" t="s">
        <v>3124</v>
      </c>
      <c r="D7024" s="450" t="s">
        <v>10758</v>
      </c>
      <c r="E7024" s="450"/>
      <c r="F7024" s="450"/>
      <c r="G7024" s="450" t="s">
        <v>22877</v>
      </c>
      <c r="H7024" s="450" t="s">
        <v>22878</v>
      </c>
      <c r="I7024" s="450" t="s">
        <v>23389</v>
      </c>
      <c r="J7024" s="450" t="s">
        <v>27018</v>
      </c>
      <c r="K7024" s="450"/>
    </row>
    <row r="7025" spans="1:11">
      <c r="A7025" s="451" t="s">
        <v>11238</v>
      </c>
      <c r="B7025" s="451"/>
      <c r="C7025" s="451" t="s">
        <v>2692</v>
      </c>
      <c r="D7025" s="451"/>
      <c r="E7025" s="451"/>
      <c r="F7025" s="451"/>
      <c r="G7025" s="451" t="s">
        <v>22877</v>
      </c>
      <c r="H7025" s="451" t="s">
        <v>22878</v>
      </c>
      <c r="I7025" s="451" t="s">
        <v>27019</v>
      </c>
      <c r="J7025" s="451" t="s">
        <v>23185</v>
      </c>
      <c r="K7025" s="451"/>
    </row>
    <row r="7026" spans="1:11">
      <c r="A7026" s="450" t="s">
        <v>36604</v>
      </c>
      <c r="B7026" s="450" t="s">
        <v>21825</v>
      </c>
      <c r="C7026" s="450" t="s">
        <v>2699</v>
      </c>
      <c r="D7026" s="450" t="s">
        <v>11240</v>
      </c>
      <c r="E7026" s="450"/>
      <c r="F7026" s="450"/>
      <c r="G7026" s="450" t="s">
        <v>22882</v>
      </c>
      <c r="H7026" s="450" t="s">
        <v>22883</v>
      </c>
      <c r="I7026" s="450" t="s">
        <v>11240</v>
      </c>
      <c r="J7026" s="450" t="s">
        <v>36605</v>
      </c>
      <c r="K7026" s="450"/>
    </row>
    <row r="7027" spans="1:11">
      <c r="A7027" s="451" t="s">
        <v>36606</v>
      </c>
      <c r="B7027" s="451" t="s">
        <v>11243</v>
      </c>
      <c r="C7027" s="451" t="s">
        <v>11244</v>
      </c>
      <c r="D7027" s="451" t="s">
        <v>11240</v>
      </c>
      <c r="E7027" s="451"/>
      <c r="F7027" s="451" t="s">
        <v>11245</v>
      </c>
      <c r="G7027" s="451" t="s">
        <v>22882</v>
      </c>
      <c r="H7027" s="451" t="s">
        <v>22883</v>
      </c>
      <c r="I7027" s="451" t="s">
        <v>11240</v>
      </c>
      <c r="J7027" s="451" t="s">
        <v>36607</v>
      </c>
      <c r="K7027" s="451"/>
    </row>
    <row r="7028" spans="1:11">
      <c r="A7028" s="450" t="s">
        <v>11239</v>
      </c>
      <c r="B7028" s="450" t="s">
        <v>21825</v>
      </c>
      <c r="C7028" s="450" t="s">
        <v>2699</v>
      </c>
      <c r="D7028" s="450" t="s">
        <v>11240</v>
      </c>
      <c r="E7028" s="450" t="s">
        <v>11241</v>
      </c>
      <c r="F7028" s="450"/>
      <c r="G7028" s="450" t="s">
        <v>22882</v>
      </c>
      <c r="H7028" s="450" t="s">
        <v>22883</v>
      </c>
      <c r="I7028" s="450" t="s">
        <v>11240</v>
      </c>
      <c r="J7028" s="450" t="s">
        <v>31788</v>
      </c>
      <c r="K7028" s="450"/>
    </row>
    <row r="7029" spans="1:11">
      <c r="A7029" s="451" t="s">
        <v>11242</v>
      </c>
      <c r="B7029" s="451" t="s">
        <v>11243</v>
      </c>
      <c r="C7029" s="451" t="s">
        <v>11244</v>
      </c>
      <c r="D7029" s="451" t="s">
        <v>11240</v>
      </c>
      <c r="E7029" s="451" t="s">
        <v>11241</v>
      </c>
      <c r="F7029" s="451" t="s">
        <v>11245</v>
      </c>
      <c r="G7029" s="451" t="s">
        <v>22882</v>
      </c>
      <c r="H7029" s="451" t="s">
        <v>22883</v>
      </c>
      <c r="I7029" s="451" t="s">
        <v>31789</v>
      </c>
      <c r="J7029" s="451" t="s">
        <v>31790</v>
      </c>
      <c r="K7029" s="451"/>
    </row>
    <row r="7030" spans="1:11">
      <c r="A7030" s="450" t="s">
        <v>36608</v>
      </c>
      <c r="B7030" s="450" t="s">
        <v>11247</v>
      </c>
      <c r="C7030" s="450" t="s">
        <v>11248</v>
      </c>
      <c r="D7030" s="450" t="s">
        <v>11249</v>
      </c>
      <c r="E7030" s="450"/>
      <c r="F7030" s="450"/>
      <c r="G7030" s="450" t="s">
        <v>22877</v>
      </c>
      <c r="H7030" s="450" t="s">
        <v>22878</v>
      </c>
      <c r="I7030" s="450" t="s">
        <v>11249</v>
      </c>
      <c r="J7030" s="450" t="s">
        <v>36609</v>
      </c>
      <c r="K7030" s="450"/>
    </row>
    <row r="7031" spans="1:11">
      <c r="A7031" s="451" t="s">
        <v>11246</v>
      </c>
      <c r="B7031" s="451" t="s">
        <v>11247</v>
      </c>
      <c r="C7031" s="451" t="s">
        <v>11248</v>
      </c>
      <c r="D7031" s="451" t="s">
        <v>11249</v>
      </c>
      <c r="E7031" s="451" t="s">
        <v>11250</v>
      </c>
      <c r="F7031" s="451"/>
      <c r="G7031" s="451" t="s">
        <v>22877</v>
      </c>
      <c r="H7031" s="451" t="s">
        <v>22878</v>
      </c>
      <c r="I7031" s="451" t="s">
        <v>11249</v>
      </c>
      <c r="J7031" s="451" t="s">
        <v>31791</v>
      </c>
      <c r="K7031" s="451"/>
    </row>
    <row r="7032" spans="1:11">
      <c r="A7032" s="450" t="s">
        <v>36610</v>
      </c>
      <c r="B7032" s="450" t="s">
        <v>11252</v>
      </c>
      <c r="C7032" s="450" t="s">
        <v>11253</v>
      </c>
      <c r="D7032" s="450" t="s">
        <v>11254</v>
      </c>
      <c r="E7032" s="450"/>
      <c r="F7032" s="450"/>
      <c r="G7032" s="450" t="s">
        <v>22877</v>
      </c>
      <c r="H7032" s="450" t="s">
        <v>22878</v>
      </c>
      <c r="I7032" s="450" t="s">
        <v>11254</v>
      </c>
      <c r="J7032" s="450" t="s">
        <v>36611</v>
      </c>
      <c r="K7032" s="450"/>
    </row>
    <row r="7033" spans="1:11">
      <c r="A7033" s="451" t="s">
        <v>11251</v>
      </c>
      <c r="B7033" s="451" t="s">
        <v>11252</v>
      </c>
      <c r="C7033" s="451" t="s">
        <v>11253</v>
      </c>
      <c r="D7033" s="451" t="s">
        <v>11254</v>
      </c>
      <c r="E7033" s="451" t="s">
        <v>11255</v>
      </c>
      <c r="F7033" s="451"/>
      <c r="G7033" s="451" t="s">
        <v>22882</v>
      </c>
      <c r="H7033" s="451" t="s">
        <v>22883</v>
      </c>
      <c r="I7033" s="451" t="s">
        <v>31792</v>
      </c>
      <c r="J7033" s="451" t="s">
        <v>31793</v>
      </c>
      <c r="K7033" s="451"/>
    </row>
    <row r="7034" spans="1:11">
      <c r="A7034" s="450" t="s">
        <v>11256</v>
      </c>
      <c r="B7034" s="450"/>
      <c r="C7034" s="450" t="s">
        <v>11257</v>
      </c>
      <c r="D7034" s="450"/>
      <c r="E7034" s="450"/>
      <c r="F7034" s="450"/>
      <c r="G7034" s="450" t="s">
        <v>22877</v>
      </c>
      <c r="H7034" s="450" t="s">
        <v>22878</v>
      </c>
      <c r="I7034" s="450" t="s">
        <v>36612</v>
      </c>
      <c r="J7034" s="450" t="s">
        <v>22939</v>
      </c>
      <c r="K7034" s="450"/>
    </row>
    <row r="7035" spans="1:11">
      <c r="A7035" s="451" t="s">
        <v>11258</v>
      </c>
      <c r="B7035" s="451"/>
      <c r="C7035" s="451" t="s">
        <v>2228</v>
      </c>
      <c r="D7035" s="451"/>
      <c r="E7035" s="451"/>
      <c r="F7035" s="451"/>
      <c r="G7035" s="451" t="s">
        <v>22877</v>
      </c>
      <c r="H7035" s="451" t="s">
        <v>22878</v>
      </c>
      <c r="I7035" s="451" t="s">
        <v>36613</v>
      </c>
      <c r="J7035" s="451" t="s">
        <v>22939</v>
      </c>
      <c r="K7035" s="451"/>
    </row>
    <row r="7036" spans="1:11">
      <c r="A7036" s="450" t="s">
        <v>11259</v>
      </c>
      <c r="B7036" s="450"/>
      <c r="C7036" s="450" t="s">
        <v>11260</v>
      </c>
      <c r="D7036" s="450"/>
      <c r="E7036" s="450"/>
      <c r="F7036" s="450"/>
      <c r="G7036" s="450" t="s">
        <v>22877</v>
      </c>
      <c r="H7036" s="450" t="s">
        <v>22878</v>
      </c>
      <c r="I7036" s="450" t="s">
        <v>27020</v>
      </c>
      <c r="J7036" s="450" t="s">
        <v>22939</v>
      </c>
      <c r="K7036" s="450"/>
    </row>
    <row r="7037" spans="1:11">
      <c r="A7037" s="451" t="s">
        <v>11261</v>
      </c>
      <c r="B7037" s="451"/>
      <c r="C7037" s="451"/>
      <c r="D7037" s="451" t="s">
        <v>11262</v>
      </c>
      <c r="E7037" s="451"/>
      <c r="F7037" s="451"/>
      <c r="G7037" s="451" t="s">
        <v>22877</v>
      </c>
      <c r="H7037" s="451" t="s">
        <v>22878</v>
      </c>
      <c r="I7037" s="451" t="s">
        <v>11262</v>
      </c>
      <c r="J7037" s="451" t="s">
        <v>36614</v>
      </c>
      <c r="K7037" s="451"/>
    </row>
    <row r="7038" spans="1:11">
      <c r="A7038" s="450" t="s">
        <v>11261</v>
      </c>
      <c r="B7038" s="450"/>
      <c r="C7038" s="450"/>
      <c r="D7038" s="450" t="s">
        <v>11262</v>
      </c>
      <c r="E7038" s="450" t="s">
        <v>11263</v>
      </c>
      <c r="F7038" s="450"/>
      <c r="G7038" s="450" t="s">
        <v>22882</v>
      </c>
      <c r="H7038" s="450" t="s">
        <v>22883</v>
      </c>
      <c r="I7038" s="450" t="s">
        <v>36615</v>
      </c>
      <c r="J7038" s="450" t="s">
        <v>36616</v>
      </c>
      <c r="K7038" s="450"/>
    </row>
    <row r="7039" spans="1:11">
      <c r="A7039" s="451" t="s">
        <v>11264</v>
      </c>
      <c r="B7039" s="451"/>
      <c r="C7039" s="451" t="s">
        <v>11265</v>
      </c>
      <c r="D7039" s="451"/>
      <c r="E7039" s="451"/>
      <c r="F7039" s="451"/>
      <c r="G7039" s="451" t="s">
        <v>22877</v>
      </c>
      <c r="H7039" s="451" t="s">
        <v>22878</v>
      </c>
      <c r="I7039" s="451" t="s">
        <v>36617</v>
      </c>
      <c r="J7039" s="451" t="s">
        <v>22939</v>
      </c>
      <c r="K7039" s="451"/>
    </row>
    <row r="7040" spans="1:11">
      <c r="A7040" s="450" t="s">
        <v>36618</v>
      </c>
      <c r="B7040" s="450"/>
      <c r="C7040" s="450" t="s">
        <v>11267</v>
      </c>
      <c r="D7040" s="450"/>
      <c r="E7040" s="450"/>
      <c r="F7040" s="450"/>
      <c r="G7040" s="450" t="s">
        <v>22882</v>
      </c>
      <c r="H7040" s="450" t="s">
        <v>22883</v>
      </c>
      <c r="I7040" s="450" t="s">
        <v>36619</v>
      </c>
      <c r="J7040" s="450" t="s">
        <v>22943</v>
      </c>
      <c r="K7040" s="450"/>
    </row>
    <row r="7041" spans="1:11">
      <c r="A7041" s="451" t="s">
        <v>11266</v>
      </c>
      <c r="B7041" s="451"/>
      <c r="C7041" s="451" t="s">
        <v>11267</v>
      </c>
      <c r="D7041" s="451"/>
      <c r="E7041" s="451"/>
      <c r="F7041" s="451"/>
      <c r="G7041" s="451" t="s">
        <v>22882</v>
      </c>
      <c r="H7041" s="451" t="s">
        <v>22883</v>
      </c>
      <c r="I7041" s="451" t="s">
        <v>36620</v>
      </c>
      <c r="J7041" s="451" t="s">
        <v>22942</v>
      </c>
      <c r="K7041" s="451"/>
    </row>
    <row r="7042" spans="1:11">
      <c r="A7042" s="450" t="s">
        <v>36621</v>
      </c>
      <c r="B7042" s="450"/>
      <c r="C7042" s="450" t="s">
        <v>11269</v>
      </c>
      <c r="D7042" s="450"/>
      <c r="E7042" s="450"/>
      <c r="F7042" s="450"/>
      <c r="G7042" s="450" t="s">
        <v>22877</v>
      </c>
      <c r="H7042" s="450" t="s">
        <v>22878</v>
      </c>
      <c r="I7042" s="450" t="s">
        <v>36622</v>
      </c>
      <c r="J7042" s="450" t="s">
        <v>22943</v>
      </c>
      <c r="K7042" s="450"/>
    </row>
    <row r="7043" spans="1:11">
      <c r="A7043" s="451" t="s">
        <v>11268</v>
      </c>
      <c r="B7043" s="451"/>
      <c r="C7043" s="451" t="s">
        <v>11269</v>
      </c>
      <c r="D7043" s="451"/>
      <c r="E7043" s="451"/>
      <c r="F7043" s="451"/>
      <c r="G7043" s="451" t="s">
        <v>22877</v>
      </c>
      <c r="H7043" s="451" t="s">
        <v>22878</v>
      </c>
      <c r="I7043" s="451"/>
      <c r="J7043" s="451" t="s">
        <v>22942</v>
      </c>
      <c r="K7043" s="451"/>
    </row>
    <row r="7044" spans="1:11">
      <c r="A7044" s="450" t="s">
        <v>11270</v>
      </c>
      <c r="B7044" s="450" t="s">
        <v>11271</v>
      </c>
      <c r="C7044" s="450" t="s">
        <v>11272</v>
      </c>
      <c r="D7044" s="450" t="s">
        <v>11273</v>
      </c>
      <c r="E7044" s="450" t="s">
        <v>11274</v>
      </c>
      <c r="F7044" s="450"/>
      <c r="G7044" s="450" t="s">
        <v>22882</v>
      </c>
      <c r="H7044" s="450" t="s">
        <v>22883</v>
      </c>
      <c r="I7044" s="450" t="s">
        <v>11273</v>
      </c>
      <c r="J7044" s="450" t="s">
        <v>31794</v>
      </c>
      <c r="K7044" s="450"/>
    </row>
    <row r="7045" spans="1:11">
      <c r="A7045" s="451" t="s">
        <v>27021</v>
      </c>
      <c r="B7045" s="451" t="s">
        <v>27022</v>
      </c>
      <c r="C7045" s="451" t="s">
        <v>11272</v>
      </c>
      <c r="D7045" s="451" t="s">
        <v>11273</v>
      </c>
      <c r="E7045" s="451"/>
      <c r="F7045" s="451"/>
      <c r="G7045" s="451" t="s">
        <v>22877</v>
      </c>
      <c r="H7045" s="451" t="s">
        <v>22878</v>
      </c>
      <c r="I7045" s="451" t="s">
        <v>27023</v>
      </c>
      <c r="J7045" s="451" t="s">
        <v>27024</v>
      </c>
      <c r="K7045" s="451"/>
    </row>
    <row r="7046" spans="1:11">
      <c r="A7046" s="450" t="s">
        <v>11275</v>
      </c>
      <c r="B7046" s="450"/>
      <c r="C7046" s="450" t="s">
        <v>11276</v>
      </c>
      <c r="D7046" s="450"/>
      <c r="E7046" s="450"/>
      <c r="F7046" s="450"/>
      <c r="G7046" s="450" t="s">
        <v>22877</v>
      </c>
      <c r="H7046" s="450" t="s">
        <v>22878</v>
      </c>
      <c r="I7046" s="450" t="s">
        <v>27025</v>
      </c>
      <c r="J7046" s="450" t="s">
        <v>22943</v>
      </c>
      <c r="K7046" s="450"/>
    </row>
    <row r="7047" spans="1:11">
      <c r="A7047" s="451" t="s">
        <v>27026</v>
      </c>
      <c r="B7047" s="451" t="s">
        <v>27027</v>
      </c>
      <c r="C7047" s="451" t="s">
        <v>20469</v>
      </c>
      <c r="D7047" s="451"/>
      <c r="E7047" s="451"/>
      <c r="F7047" s="451"/>
      <c r="G7047" s="451" t="s">
        <v>22877</v>
      </c>
      <c r="H7047" s="451" t="s">
        <v>22878</v>
      </c>
      <c r="I7047" s="451" t="s">
        <v>25476</v>
      </c>
      <c r="J7047" s="451" t="s">
        <v>27028</v>
      </c>
      <c r="K7047" s="451"/>
    </row>
    <row r="7048" spans="1:11">
      <c r="A7048" s="450" t="s">
        <v>27026</v>
      </c>
      <c r="B7048" s="450" t="s">
        <v>27027</v>
      </c>
      <c r="C7048" s="450" t="s">
        <v>27029</v>
      </c>
      <c r="D7048" s="450"/>
      <c r="E7048" s="450"/>
      <c r="F7048" s="450"/>
      <c r="G7048" s="450" t="s">
        <v>22877</v>
      </c>
      <c r="H7048" s="450" t="s">
        <v>22878</v>
      </c>
      <c r="I7048" s="450" t="s">
        <v>25476</v>
      </c>
      <c r="J7048" s="450" t="s">
        <v>27028</v>
      </c>
      <c r="K7048" s="450"/>
    </row>
    <row r="7049" spans="1:11">
      <c r="A7049" s="451" t="s">
        <v>36623</v>
      </c>
      <c r="B7049" s="451" t="s">
        <v>36624</v>
      </c>
      <c r="C7049" s="451" t="s">
        <v>11279</v>
      </c>
      <c r="D7049" s="451"/>
      <c r="E7049" s="451"/>
      <c r="F7049" s="451"/>
      <c r="G7049" s="451" t="s">
        <v>22877</v>
      </c>
      <c r="H7049" s="451" t="s">
        <v>22878</v>
      </c>
      <c r="I7049" s="451"/>
      <c r="J7049" s="451" t="s">
        <v>36625</v>
      </c>
      <c r="K7049" s="451"/>
    </row>
    <row r="7050" spans="1:11">
      <c r="A7050" s="450" t="s">
        <v>11277</v>
      </c>
      <c r="B7050" s="450" t="s">
        <v>11278</v>
      </c>
      <c r="C7050" s="450" t="s">
        <v>11279</v>
      </c>
      <c r="D7050" s="450"/>
      <c r="E7050" s="450"/>
      <c r="F7050" s="450"/>
      <c r="G7050" s="450" t="s">
        <v>22882</v>
      </c>
      <c r="H7050" s="450" t="s">
        <v>22883</v>
      </c>
      <c r="I7050" s="450"/>
      <c r="J7050" s="450" t="s">
        <v>31795</v>
      </c>
      <c r="K7050" s="450"/>
    </row>
    <row r="7051" spans="1:11">
      <c r="A7051" s="451" t="s">
        <v>36626</v>
      </c>
      <c r="B7051" s="451"/>
      <c r="C7051" s="451" t="s">
        <v>11280</v>
      </c>
      <c r="D7051" s="451"/>
      <c r="E7051" s="451"/>
      <c r="F7051" s="451"/>
      <c r="G7051" s="451" t="s">
        <v>22877</v>
      </c>
      <c r="H7051" s="451" t="s">
        <v>22878</v>
      </c>
      <c r="I7051" s="451" t="s">
        <v>36627</v>
      </c>
      <c r="J7051" s="451" t="s">
        <v>22939</v>
      </c>
      <c r="K7051" s="451"/>
    </row>
    <row r="7052" spans="1:11">
      <c r="A7052" s="450" t="s">
        <v>21826</v>
      </c>
      <c r="B7052" s="450"/>
      <c r="C7052" s="450" t="s">
        <v>11280</v>
      </c>
      <c r="D7052" s="450"/>
      <c r="E7052" s="450"/>
      <c r="F7052" s="450"/>
      <c r="G7052" s="450" t="s">
        <v>22877</v>
      </c>
      <c r="H7052" s="450" t="s">
        <v>22878</v>
      </c>
      <c r="I7052" s="450" t="s">
        <v>36628</v>
      </c>
      <c r="J7052" s="450" t="s">
        <v>22939</v>
      </c>
      <c r="K7052" s="450"/>
    </row>
    <row r="7053" spans="1:11">
      <c r="A7053" s="451" t="s">
        <v>11281</v>
      </c>
      <c r="B7053" s="451"/>
      <c r="C7053" s="451" t="s">
        <v>7039</v>
      </c>
      <c r="D7053" s="451"/>
      <c r="E7053" s="451"/>
      <c r="F7053" s="451"/>
      <c r="G7053" s="451" t="s">
        <v>22877</v>
      </c>
      <c r="H7053" s="451" t="s">
        <v>22878</v>
      </c>
      <c r="I7053" s="451" t="s">
        <v>36629</v>
      </c>
      <c r="J7053" s="451" t="s">
        <v>22939</v>
      </c>
      <c r="K7053" s="451"/>
    </row>
    <row r="7054" spans="1:11">
      <c r="A7054" s="450" t="s">
        <v>36630</v>
      </c>
      <c r="B7054" s="450"/>
      <c r="C7054" s="450" t="s">
        <v>11283</v>
      </c>
      <c r="D7054" s="450"/>
      <c r="E7054" s="450"/>
      <c r="F7054" s="450"/>
      <c r="G7054" s="450" t="s">
        <v>22882</v>
      </c>
      <c r="H7054" s="450" t="s">
        <v>22883</v>
      </c>
      <c r="I7054" s="450"/>
      <c r="J7054" s="450" t="s">
        <v>22943</v>
      </c>
      <c r="K7054" s="450"/>
    </row>
    <row r="7055" spans="1:11">
      <c r="A7055" s="451" t="s">
        <v>11282</v>
      </c>
      <c r="B7055" s="451"/>
      <c r="C7055" s="451" t="s">
        <v>11283</v>
      </c>
      <c r="D7055" s="451"/>
      <c r="E7055" s="451"/>
      <c r="F7055" s="451"/>
      <c r="G7055" s="451" t="s">
        <v>22882</v>
      </c>
      <c r="H7055" s="451" t="s">
        <v>22883</v>
      </c>
      <c r="I7055" s="451"/>
      <c r="J7055" s="451" t="s">
        <v>22997</v>
      </c>
      <c r="K7055" s="451"/>
    </row>
    <row r="7056" spans="1:11">
      <c r="A7056" s="450" t="s">
        <v>11284</v>
      </c>
      <c r="B7056" s="450" t="s">
        <v>11285</v>
      </c>
      <c r="C7056" s="450" t="s">
        <v>8111</v>
      </c>
      <c r="D7056" s="450" t="s">
        <v>11286</v>
      </c>
      <c r="E7056" s="450" t="s">
        <v>11287</v>
      </c>
      <c r="F7056" s="450"/>
      <c r="G7056" s="450" t="s">
        <v>22882</v>
      </c>
      <c r="H7056" s="450" t="s">
        <v>22883</v>
      </c>
      <c r="I7056" s="450" t="s">
        <v>31796</v>
      </c>
      <c r="J7056" s="450" t="s">
        <v>31797</v>
      </c>
      <c r="K7056" s="450"/>
    </row>
    <row r="7057" spans="1:11">
      <c r="A7057" s="451" t="s">
        <v>11288</v>
      </c>
      <c r="B7057" s="451"/>
      <c r="C7057" s="451" t="s">
        <v>11289</v>
      </c>
      <c r="D7057" s="451"/>
      <c r="E7057" s="451"/>
      <c r="F7057" s="451"/>
      <c r="G7057" s="451" t="s">
        <v>22877</v>
      </c>
      <c r="H7057" s="451" t="s">
        <v>22878</v>
      </c>
      <c r="I7057" s="451" t="s">
        <v>36631</v>
      </c>
      <c r="J7057" s="451" t="s">
        <v>22939</v>
      </c>
      <c r="K7057" s="451"/>
    </row>
    <row r="7058" spans="1:11">
      <c r="A7058" s="450" t="s">
        <v>11290</v>
      </c>
      <c r="B7058" s="450"/>
      <c r="C7058" s="450" t="s">
        <v>11291</v>
      </c>
      <c r="D7058" s="450"/>
      <c r="E7058" s="450"/>
      <c r="F7058" s="450"/>
      <c r="G7058" s="450" t="s">
        <v>22877</v>
      </c>
      <c r="H7058" s="450" t="s">
        <v>22878</v>
      </c>
      <c r="I7058" s="450" t="s">
        <v>36632</v>
      </c>
      <c r="J7058" s="450" t="s">
        <v>23179</v>
      </c>
      <c r="K7058" s="450"/>
    </row>
    <row r="7059" spans="1:11">
      <c r="A7059" s="451" t="s">
        <v>11292</v>
      </c>
      <c r="B7059" s="451"/>
      <c r="C7059" s="451" t="s">
        <v>11293</v>
      </c>
      <c r="D7059" s="451"/>
      <c r="E7059" s="451"/>
      <c r="F7059" s="451"/>
      <c r="G7059" s="451" t="s">
        <v>22882</v>
      </c>
      <c r="H7059" s="451" t="s">
        <v>22883</v>
      </c>
      <c r="I7059" s="451" t="s">
        <v>27030</v>
      </c>
      <c r="J7059" s="451" t="s">
        <v>22997</v>
      </c>
      <c r="K7059" s="451"/>
    </row>
    <row r="7060" spans="1:11">
      <c r="A7060" s="450" t="s">
        <v>11294</v>
      </c>
      <c r="B7060" s="450" t="s">
        <v>27031</v>
      </c>
      <c r="C7060" s="450" t="s">
        <v>11296</v>
      </c>
      <c r="D7060" s="450"/>
      <c r="E7060" s="450"/>
      <c r="F7060" s="450"/>
      <c r="G7060" s="450" t="s">
        <v>22877</v>
      </c>
      <c r="H7060" s="450" t="s">
        <v>22878</v>
      </c>
      <c r="I7060" s="450" t="s">
        <v>27032</v>
      </c>
      <c r="J7060" s="450" t="s">
        <v>27033</v>
      </c>
      <c r="K7060" s="450"/>
    </row>
    <row r="7061" spans="1:11">
      <c r="A7061" s="451" t="s">
        <v>11294</v>
      </c>
      <c r="B7061" s="451" t="s">
        <v>11295</v>
      </c>
      <c r="C7061" s="451" t="s">
        <v>11296</v>
      </c>
      <c r="D7061" s="451"/>
      <c r="E7061" s="451" t="s">
        <v>11297</v>
      </c>
      <c r="F7061" s="451"/>
      <c r="G7061" s="451" t="s">
        <v>22877</v>
      </c>
      <c r="H7061" s="451" t="s">
        <v>22878</v>
      </c>
      <c r="I7061" s="451" t="s">
        <v>31798</v>
      </c>
      <c r="J7061" s="451" t="s">
        <v>31799</v>
      </c>
      <c r="K7061" s="451"/>
    </row>
    <row r="7062" spans="1:11">
      <c r="A7062" s="450" t="s">
        <v>21827</v>
      </c>
      <c r="B7062" s="450" t="s">
        <v>11298</v>
      </c>
      <c r="C7062" s="450" t="s">
        <v>11299</v>
      </c>
      <c r="D7062" s="450" t="s">
        <v>11300</v>
      </c>
      <c r="E7062" s="450"/>
      <c r="F7062" s="450"/>
      <c r="G7062" s="450" t="s">
        <v>22877</v>
      </c>
      <c r="H7062" s="450" t="s">
        <v>22878</v>
      </c>
      <c r="I7062" s="450" t="s">
        <v>36633</v>
      </c>
      <c r="J7062" s="450" t="s">
        <v>27034</v>
      </c>
      <c r="K7062" s="450"/>
    </row>
    <row r="7063" spans="1:11">
      <c r="A7063" s="451" t="s">
        <v>21827</v>
      </c>
      <c r="B7063" s="451" t="s">
        <v>11298</v>
      </c>
      <c r="C7063" s="451" t="s">
        <v>11299</v>
      </c>
      <c r="D7063" s="451" t="s">
        <v>11300</v>
      </c>
      <c r="E7063" s="451" t="s">
        <v>11301</v>
      </c>
      <c r="F7063" s="451"/>
      <c r="G7063" s="451" t="s">
        <v>22877</v>
      </c>
      <c r="H7063" s="451" t="s">
        <v>22878</v>
      </c>
      <c r="I7063" s="451" t="s">
        <v>11300</v>
      </c>
      <c r="J7063" s="451" t="s">
        <v>27034</v>
      </c>
      <c r="K7063" s="451"/>
    </row>
    <row r="7064" spans="1:11">
      <c r="A7064" s="450" t="s">
        <v>21828</v>
      </c>
      <c r="B7064" s="450" t="s">
        <v>11302</v>
      </c>
      <c r="C7064" s="450" t="s">
        <v>11303</v>
      </c>
      <c r="D7064" s="450"/>
      <c r="E7064" s="450"/>
      <c r="F7064" s="450"/>
      <c r="G7064" s="450" t="s">
        <v>22877</v>
      </c>
      <c r="H7064" s="450" t="s">
        <v>22878</v>
      </c>
      <c r="I7064" s="450" t="s">
        <v>36634</v>
      </c>
      <c r="J7064" s="450" t="s">
        <v>36635</v>
      </c>
      <c r="K7064" s="450"/>
    </row>
    <row r="7065" spans="1:11">
      <c r="A7065" s="451" t="s">
        <v>27035</v>
      </c>
      <c r="B7065" s="451" t="s">
        <v>11302</v>
      </c>
      <c r="C7065" s="451" t="s">
        <v>27036</v>
      </c>
      <c r="D7065" s="451"/>
      <c r="E7065" s="451"/>
      <c r="F7065" s="451"/>
      <c r="G7065" s="451" t="s">
        <v>22877</v>
      </c>
      <c r="H7065" s="451" t="s">
        <v>22878</v>
      </c>
      <c r="I7065" s="451" t="s">
        <v>27037</v>
      </c>
      <c r="J7065" s="451" t="s">
        <v>27038</v>
      </c>
      <c r="K7065" s="451"/>
    </row>
    <row r="7066" spans="1:11">
      <c r="A7066" s="450" t="s">
        <v>11304</v>
      </c>
      <c r="B7066" s="450"/>
      <c r="C7066" s="450" t="s">
        <v>11305</v>
      </c>
      <c r="D7066" s="450"/>
      <c r="E7066" s="450"/>
      <c r="F7066" s="450"/>
      <c r="G7066" s="450" t="s">
        <v>22882</v>
      </c>
      <c r="H7066" s="450" t="s">
        <v>22883</v>
      </c>
      <c r="I7066" s="450" t="s">
        <v>36636</v>
      </c>
      <c r="J7066" s="450" t="s">
        <v>22943</v>
      </c>
      <c r="K7066" s="450"/>
    </row>
    <row r="7067" spans="1:11">
      <c r="A7067" s="451" t="s">
        <v>11306</v>
      </c>
      <c r="B7067" s="451"/>
      <c r="C7067" s="451" t="s">
        <v>11260</v>
      </c>
      <c r="D7067" s="451"/>
      <c r="E7067" s="451"/>
      <c r="F7067" s="451"/>
      <c r="G7067" s="451" t="s">
        <v>22877</v>
      </c>
      <c r="H7067" s="451" t="s">
        <v>22878</v>
      </c>
      <c r="I7067" s="451" t="s">
        <v>27020</v>
      </c>
      <c r="J7067" s="451" t="s">
        <v>23185</v>
      </c>
      <c r="K7067" s="451"/>
    </row>
    <row r="7068" spans="1:11">
      <c r="A7068" s="450" t="s">
        <v>36637</v>
      </c>
      <c r="B7068" s="450" t="s">
        <v>11308</v>
      </c>
      <c r="C7068" s="450" t="s">
        <v>11309</v>
      </c>
      <c r="D7068" s="450"/>
      <c r="E7068" s="450"/>
      <c r="F7068" s="450" t="s">
        <v>5778</v>
      </c>
      <c r="G7068" s="450" t="s">
        <v>22877</v>
      </c>
      <c r="H7068" s="450" t="s">
        <v>22878</v>
      </c>
      <c r="I7068" s="450"/>
      <c r="J7068" s="450" t="s">
        <v>36638</v>
      </c>
      <c r="K7068" s="450"/>
    </row>
    <row r="7069" spans="1:11">
      <c r="A7069" s="451" t="s">
        <v>11307</v>
      </c>
      <c r="B7069" s="451" t="s">
        <v>11308</v>
      </c>
      <c r="C7069" s="451" t="s">
        <v>11309</v>
      </c>
      <c r="D7069" s="451"/>
      <c r="E7069" s="451"/>
      <c r="F7069" s="451" t="s">
        <v>5778</v>
      </c>
      <c r="G7069" s="451" t="s">
        <v>22877</v>
      </c>
      <c r="H7069" s="451" t="s">
        <v>22878</v>
      </c>
      <c r="I7069" s="451" t="s">
        <v>31800</v>
      </c>
      <c r="J7069" s="451" t="s">
        <v>31801</v>
      </c>
      <c r="K7069" s="451"/>
    </row>
    <row r="7070" spans="1:11">
      <c r="A7070" s="450" t="s">
        <v>11310</v>
      </c>
      <c r="B7070" s="450" t="s">
        <v>27039</v>
      </c>
      <c r="C7070" s="450" t="s">
        <v>11312</v>
      </c>
      <c r="D7070" s="450"/>
      <c r="E7070" s="450"/>
      <c r="F7070" s="450"/>
      <c r="G7070" s="450" t="s">
        <v>22877</v>
      </c>
      <c r="H7070" s="450" t="s">
        <v>22878</v>
      </c>
      <c r="I7070" s="450" t="s">
        <v>27040</v>
      </c>
      <c r="J7070" s="450" t="s">
        <v>27041</v>
      </c>
      <c r="K7070" s="450"/>
    </row>
    <row r="7071" spans="1:11">
      <c r="A7071" s="451" t="s">
        <v>11310</v>
      </c>
      <c r="B7071" s="451" t="s">
        <v>11311</v>
      </c>
      <c r="C7071" s="451" t="s">
        <v>11312</v>
      </c>
      <c r="D7071" s="451"/>
      <c r="E7071" s="451"/>
      <c r="F7071" s="451"/>
      <c r="G7071" s="451" t="s">
        <v>22882</v>
      </c>
      <c r="H7071" s="451" t="s">
        <v>22883</v>
      </c>
      <c r="I7071" s="451"/>
      <c r="J7071" s="451" t="s">
        <v>36639</v>
      </c>
      <c r="K7071" s="451"/>
    </row>
    <row r="7072" spans="1:11">
      <c r="A7072" s="450" t="s">
        <v>11313</v>
      </c>
      <c r="B7072" s="450"/>
      <c r="C7072" s="450" t="s">
        <v>11314</v>
      </c>
      <c r="D7072" s="450"/>
      <c r="E7072" s="450"/>
      <c r="F7072" s="450"/>
      <c r="G7072" s="450" t="s">
        <v>22882</v>
      </c>
      <c r="H7072" s="450" t="s">
        <v>22883</v>
      </c>
      <c r="I7072" s="450"/>
      <c r="J7072" s="450" t="s">
        <v>22939</v>
      </c>
      <c r="K7072" s="450"/>
    </row>
    <row r="7073" spans="1:11">
      <c r="A7073" s="451" t="s">
        <v>36640</v>
      </c>
      <c r="B7073" s="451"/>
      <c r="C7073" s="451" t="s">
        <v>11314</v>
      </c>
      <c r="D7073" s="451"/>
      <c r="E7073" s="451"/>
      <c r="F7073" s="451"/>
      <c r="G7073" s="451" t="s">
        <v>22882</v>
      </c>
      <c r="H7073" s="451" t="s">
        <v>22883</v>
      </c>
      <c r="I7073" s="451" t="s">
        <v>36641</v>
      </c>
      <c r="J7073" s="451" t="s">
        <v>22943</v>
      </c>
      <c r="K7073" s="451"/>
    </row>
    <row r="7074" spans="1:11">
      <c r="A7074" s="450" t="s">
        <v>11315</v>
      </c>
      <c r="B7074" s="450"/>
      <c r="C7074" s="450" t="s">
        <v>10834</v>
      </c>
      <c r="D7074" s="450"/>
      <c r="E7074" s="450"/>
      <c r="F7074" s="450"/>
      <c r="G7074" s="450" t="s">
        <v>22877</v>
      </c>
      <c r="H7074" s="450" t="s">
        <v>22878</v>
      </c>
      <c r="I7074" s="450" t="s">
        <v>36399</v>
      </c>
      <c r="J7074" s="450" t="s">
        <v>22939</v>
      </c>
      <c r="K7074" s="450"/>
    </row>
    <row r="7075" spans="1:11">
      <c r="A7075" s="451" t="s">
        <v>36642</v>
      </c>
      <c r="B7075" s="451"/>
      <c r="C7075" s="451" t="s">
        <v>11317</v>
      </c>
      <c r="D7075" s="451"/>
      <c r="E7075" s="451"/>
      <c r="F7075" s="451"/>
      <c r="G7075" s="451" t="s">
        <v>22877</v>
      </c>
      <c r="H7075" s="451" t="s">
        <v>22878</v>
      </c>
      <c r="I7075" s="451" t="s">
        <v>36643</v>
      </c>
      <c r="J7075" s="451" t="s">
        <v>22943</v>
      </c>
      <c r="K7075" s="451"/>
    </row>
    <row r="7076" spans="1:11">
      <c r="A7076" s="450" t="s">
        <v>11316</v>
      </c>
      <c r="B7076" s="450"/>
      <c r="C7076" s="450" t="s">
        <v>11317</v>
      </c>
      <c r="D7076" s="450"/>
      <c r="E7076" s="450"/>
      <c r="F7076" s="450"/>
      <c r="G7076" s="450" t="s">
        <v>22882</v>
      </c>
      <c r="H7076" s="450" t="s">
        <v>22883</v>
      </c>
      <c r="I7076" s="450" t="s">
        <v>36644</v>
      </c>
      <c r="J7076" s="450" t="s">
        <v>22942</v>
      </c>
      <c r="K7076" s="450"/>
    </row>
    <row r="7077" spans="1:11">
      <c r="A7077" s="451" t="s">
        <v>11318</v>
      </c>
      <c r="B7077" s="451"/>
      <c r="C7077" s="451" t="s">
        <v>11319</v>
      </c>
      <c r="D7077" s="451"/>
      <c r="E7077" s="451"/>
      <c r="F7077" s="451"/>
      <c r="G7077" s="451" t="s">
        <v>22877</v>
      </c>
      <c r="H7077" s="451" t="s">
        <v>22878</v>
      </c>
      <c r="I7077" s="451" t="s">
        <v>36645</v>
      </c>
      <c r="J7077" s="451" t="s">
        <v>22939</v>
      </c>
      <c r="K7077" s="451"/>
    </row>
    <row r="7078" spans="1:11">
      <c r="A7078" s="450" t="s">
        <v>36646</v>
      </c>
      <c r="B7078" s="450"/>
      <c r="C7078" s="450" t="s">
        <v>11321</v>
      </c>
      <c r="D7078" s="450"/>
      <c r="E7078" s="450"/>
      <c r="F7078" s="450"/>
      <c r="G7078" s="450" t="s">
        <v>22877</v>
      </c>
      <c r="H7078" s="450" t="s">
        <v>22878</v>
      </c>
      <c r="I7078" s="450" t="s">
        <v>36647</v>
      </c>
      <c r="J7078" s="450" t="s">
        <v>22943</v>
      </c>
      <c r="K7078" s="450"/>
    </row>
    <row r="7079" spans="1:11">
      <c r="A7079" s="451" t="s">
        <v>11320</v>
      </c>
      <c r="B7079" s="451"/>
      <c r="C7079" s="451" t="s">
        <v>11321</v>
      </c>
      <c r="D7079" s="451"/>
      <c r="E7079" s="451"/>
      <c r="F7079" s="451"/>
      <c r="G7079" s="451" t="s">
        <v>22882</v>
      </c>
      <c r="H7079" s="451" t="s">
        <v>22883</v>
      </c>
      <c r="I7079" s="451" t="s">
        <v>36648</v>
      </c>
      <c r="J7079" s="451" t="s">
        <v>22943</v>
      </c>
      <c r="K7079" s="451"/>
    </row>
    <row r="7080" spans="1:11">
      <c r="A7080" s="450" t="s">
        <v>11322</v>
      </c>
      <c r="B7080" s="450"/>
      <c r="C7080" s="450" t="s">
        <v>4023</v>
      </c>
      <c r="D7080" s="450"/>
      <c r="E7080" s="450"/>
      <c r="F7080" s="450"/>
      <c r="G7080" s="450" t="s">
        <v>22877</v>
      </c>
      <c r="H7080" s="450" t="s">
        <v>22878</v>
      </c>
      <c r="I7080" s="450" t="s">
        <v>27042</v>
      </c>
      <c r="J7080" s="450" t="s">
        <v>22997</v>
      </c>
      <c r="K7080" s="450"/>
    </row>
    <row r="7081" spans="1:11">
      <c r="A7081" s="451" t="s">
        <v>11323</v>
      </c>
      <c r="B7081" s="451" t="s">
        <v>11324</v>
      </c>
      <c r="C7081" s="451" t="s">
        <v>10443</v>
      </c>
      <c r="D7081" s="451"/>
      <c r="E7081" s="451"/>
      <c r="F7081" s="451"/>
      <c r="G7081" s="451" t="s">
        <v>22877</v>
      </c>
      <c r="H7081" s="451" t="s">
        <v>22878</v>
      </c>
      <c r="I7081" s="451" t="s">
        <v>27043</v>
      </c>
      <c r="J7081" s="451" t="s">
        <v>27044</v>
      </c>
      <c r="K7081" s="451"/>
    </row>
    <row r="7082" spans="1:11">
      <c r="A7082" s="450" t="s">
        <v>11325</v>
      </c>
      <c r="B7082" s="450"/>
      <c r="C7082" s="450" t="s">
        <v>11319</v>
      </c>
      <c r="D7082" s="450"/>
      <c r="E7082" s="450"/>
      <c r="F7082" s="450"/>
      <c r="G7082" s="450" t="s">
        <v>22877</v>
      </c>
      <c r="H7082" s="450" t="s">
        <v>22878</v>
      </c>
      <c r="I7082" s="450" t="s">
        <v>36645</v>
      </c>
      <c r="J7082" s="450" t="s">
        <v>22943</v>
      </c>
      <c r="K7082" s="450"/>
    </row>
    <row r="7083" spans="1:11">
      <c r="A7083" s="451" t="s">
        <v>11326</v>
      </c>
      <c r="B7083" s="451"/>
      <c r="C7083" s="451" t="s">
        <v>1866</v>
      </c>
      <c r="D7083" s="451"/>
      <c r="E7083" s="451"/>
      <c r="F7083" s="451"/>
      <c r="G7083" s="451" t="s">
        <v>22877</v>
      </c>
      <c r="H7083" s="451" t="s">
        <v>22878</v>
      </c>
      <c r="I7083" s="451" t="s">
        <v>36649</v>
      </c>
      <c r="J7083" s="451" t="s">
        <v>22942</v>
      </c>
      <c r="K7083" s="451"/>
    </row>
    <row r="7084" spans="1:11">
      <c r="A7084" s="450" t="s">
        <v>36650</v>
      </c>
      <c r="B7084" s="450"/>
      <c r="C7084" s="450" t="s">
        <v>1866</v>
      </c>
      <c r="D7084" s="450"/>
      <c r="E7084" s="450"/>
      <c r="F7084" s="450"/>
      <c r="G7084" s="450" t="s">
        <v>22877</v>
      </c>
      <c r="H7084" s="450" t="s">
        <v>22878</v>
      </c>
      <c r="I7084" s="450" t="s">
        <v>36651</v>
      </c>
      <c r="J7084" s="450" t="s">
        <v>22943</v>
      </c>
      <c r="K7084" s="450"/>
    </row>
    <row r="7085" spans="1:11">
      <c r="A7085" s="451" t="s">
        <v>21829</v>
      </c>
      <c r="B7085" s="451"/>
      <c r="C7085" s="451" t="s">
        <v>11327</v>
      </c>
      <c r="D7085" s="451"/>
      <c r="E7085" s="451"/>
      <c r="F7085" s="451"/>
      <c r="G7085" s="451" t="s">
        <v>22877</v>
      </c>
      <c r="H7085" s="451" t="s">
        <v>22878</v>
      </c>
      <c r="I7085" s="451" t="s">
        <v>27045</v>
      </c>
      <c r="J7085" s="451" t="s">
        <v>22939</v>
      </c>
      <c r="K7085" s="451"/>
    </row>
    <row r="7086" spans="1:11">
      <c r="A7086" s="450" t="s">
        <v>27046</v>
      </c>
      <c r="B7086" s="450" t="s">
        <v>27047</v>
      </c>
      <c r="C7086" s="450" t="s">
        <v>11330</v>
      </c>
      <c r="D7086" s="450" t="s">
        <v>11331</v>
      </c>
      <c r="E7086" s="450"/>
      <c r="F7086" s="450"/>
      <c r="G7086" s="450" t="s">
        <v>22877</v>
      </c>
      <c r="H7086" s="450" t="s">
        <v>22878</v>
      </c>
      <c r="I7086" s="450" t="s">
        <v>11331</v>
      </c>
      <c r="J7086" s="450" t="s">
        <v>27048</v>
      </c>
      <c r="K7086" s="450"/>
    </row>
    <row r="7087" spans="1:11">
      <c r="A7087" s="451" t="s">
        <v>11328</v>
      </c>
      <c r="B7087" s="451" t="s">
        <v>11329</v>
      </c>
      <c r="C7087" s="451" t="s">
        <v>11330</v>
      </c>
      <c r="D7087" s="451" t="s">
        <v>11331</v>
      </c>
      <c r="E7087" s="451" t="s">
        <v>11332</v>
      </c>
      <c r="F7087" s="451"/>
      <c r="G7087" s="451" t="s">
        <v>22877</v>
      </c>
      <c r="H7087" s="451" t="s">
        <v>22878</v>
      </c>
      <c r="I7087" s="451" t="s">
        <v>31802</v>
      </c>
      <c r="J7087" s="451" t="s">
        <v>31803</v>
      </c>
      <c r="K7087" s="451"/>
    </row>
    <row r="7088" spans="1:11">
      <c r="A7088" s="450" t="s">
        <v>36652</v>
      </c>
      <c r="B7088" s="450"/>
      <c r="C7088" s="450" t="s">
        <v>11334</v>
      </c>
      <c r="D7088" s="450"/>
      <c r="E7088" s="450"/>
      <c r="F7088" s="450"/>
      <c r="G7088" s="450" t="s">
        <v>22877</v>
      </c>
      <c r="H7088" s="450" t="s">
        <v>22878</v>
      </c>
      <c r="I7088" s="450" t="s">
        <v>36653</v>
      </c>
      <c r="J7088" s="450" t="s">
        <v>23370</v>
      </c>
      <c r="K7088" s="450"/>
    </row>
    <row r="7089" spans="1:11">
      <c r="A7089" s="451" t="s">
        <v>11333</v>
      </c>
      <c r="B7089" s="451"/>
      <c r="C7089" s="451" t="s">
        <v>11334</v>
      </c>
      <c r="D7089" s="451"/>
      <c r="E7089" s="451"/>
      <c r="F7089" s="451"/>
      <c r="G7089" s="451" t="s">
        <v>22877</v>
      </c>
      <c r="H7089" s="451" t="s">
        <v>22878</v>
      </c>
      <c r="I7089" s="451" t="s">
        <v>36654</v>
      </c>
      <c r="J7089" s="451" t="s">
        <v>22942</v>
      </c>
      <c r="K7089" s="451"/>
    </row>
    <row r="7090" spans="1:11">
      <c r="A7090" s="450" t="s">
        <v>36655</v>
      </c>
      <c r="B7090" s="450"/>
      <c r="C7090" s="450" t="s">
        <v>11336</v>
      </c>
      <c r="D7090" s="450"/>
      <c r="E7090" s="450"/>
      <c r="F7090" s="450"/>
      <c r="G7090" s="450" t="s">
        <v>22877</v>
      </c>
      <c r="H7090" s="450" t="s">
        <v>22878</v>
      </c>
      <c r="I7090" s="450" t="s">
        <v>36656</v>
      </c>
      <c r="J7090" s="450" t="s">
        <v>22943</v>
      </c>
      <c r="K7090" s="450"/>
    </row>
    <row r="7091" spans="1:11">
      <c r="A7091" s="451" t="s">
        <v>11335</v>
      </c>
      <c r="B7091" s="451"/>
      <c r="C7091" s="451" t="s">
        <v>11336</v>
      </c>
      <c r="D7091" s="451"/>
      <c r="E7091" s="451"/>
      <c r="F7091" s="451"/>
      <c r="G7091" s="451" t="s">
        <v>22877</v>
      </c>
      <c r="H7091" s="451" t="s">
        <v>22878</v>
      </c>
      <c r="I7091" s="451" t="s">
        <v>31804</v>
      </c>
      <c r="J7091" s="451" t="s">
        <v>22937</v>
      </c>
      <c r="K7091" s="451"/>
    </row>
    <row r="7092" spans="1:11">
      <c r="A7092" s="450" t="s">
        <v>11337</v>
      </c>
      <c r="B7092" s="450" t="s">
        <v>11338</v>
      </c>
      <c r="C7092" s="450" t="s">
        <v>11339</v>
      </c>
      <c r="D7092" s="450" t="s">
        <v>11340</v>
      </c>
      <c r="E7092" s="450"/>
      <c r="F7092" s="450"/>
      <c r="G7092" s="450" t="s">
        <v>22882</v>
      </c>
      <c r="H7092" s="450" t="s">
        <v>22883</v>
      </c>
      <c r="I7092" s="450"/>
      <c r="J7092" s="450" t="s">
        <v>27049</v>
      </c>
      <c r="K7092" s="450"/>
    </row>
    <row r="7093" spans="1:11">
      <c r="A7093" s="451" t="s">
        <v>11341</v>
      </c>
      <c r="B7093" s="451"/>
      <c r="C7093" s="451" t="s">
        <v>11342</v>
      </c>
      <c r="D7093" s="451"/>
      <c r="E7093" s="451"/>
      <c r="F7093" s="451"/>
      <c r="G7093" s="451" t="s">
        <v>22877</v>
      </c>
      <c r="H7093" s="451" t="s">
        <v>22878</v>
      </c>
      <c r="I7093" s="451" t="s">
        <v>27050</v>
      </c>
      <c r="J7093" s="451" t="s">
        <v>22939</v>
      </c>
      <c r="K7093" s="451"/>
    </row>
    <row r="7094" spans="1:11">
      <c r="A7094" s="450" t="s">
        <v>11343</v>
      </c>
      <c r="B7094" s="450" t="s">
        <v>11344</v>
      </c>
      <c r="C7094" s="450" t="s">
        <v>11345</v>
      </c>
      <c r="D7094" s="450" t="s">
        <v>11346</v>
      </c>
      <c r="E7094" s="450"/>
      <c r="F7094" s="450"/>
      <c r="G7094" s="450" t="s">
        <v>22882</v>
      </c>
      <c r="H7094" s="450" t="s">
        <v>22883</v>
      </c>
      <c r="I7094" s="450"/>
      <c r="J7094" s="450" t="s">
        <v>27051</v>
      </c>
      <c r="K7094" s="450"/>
    </row>
    <row r="7095" spans="1:11">
      <c r="A7095" s="451" t="s">
        <v>11347</v>
      </c>
      <c r="B7095" s="451"/>
      <c r="C7095" s="451" t="s">
        <v>4966</v>
      </c>
      <c r="D7095" s="451"/>
      <c r="E7095" s="451"/>
      <c r="F7095" s="451"/>
      <c r="G7095" s="451" t="s">
        <v>22877</v>
      </c>
      <c r="H7095" s="451" t="s">
        <v>22878</v>
      </c>
      <c r="I7095" s="451" t="s">
        <v>27052</v>
      </c>
      <c r="J7095" s="451" t="s">
        <v>23370</v>
      </c>
      <c r="K7095" s="451"/>
    </row>
    <row r="7096" spans="1:11">
      <c r="A7096" s="450" t="s">
        <v>27053</v>
      </c>
      <c r="B7096" s="450" t="s">
        <v>27054</v>
      </c>
      <c r="C7096" s="450" t="s">
        <v>27055</v>
      </c>
      <c r="D7096" s="450"/>
      <c r="E7096" s="450"/>
      <c r="F7096" s="450"/>
      <c r="G7096" s="450" t="s">
        <v>22877</v>
      </c>
      <c r="H7096" s="450" t="s">
        <v>22878</v>
      </c>
      <c r="I7096" s="450" t="s">
        <v>27056</v>
      </c>
      <c r="J7096" s="450" t="s">
        <v>27057</v>
      </c>
      <c r="K7096" s="450"/>
    </row>
    <row r="7097" spans="1:11">
      <c r="A7097" s="451" t="s">
        <v>36657</v>
      </c>
      <c r="B7097" s="451"/>
      <c r="C7097" s="451" t="s">
        <v>11349</v>
      </c>
      <c r="D7097" s="451"/>
      <c r="E7097" s="451"/>
      <c r="F7097" s="451"/>
      <c r="G7097" s="451" t="s">
        <v>22877</v>
      </c>
      <c r="H7097" s="451" t="s">
        <v>22878</v>
      </c>
      <c r="I7097" s="451" t="s">
        <v>36658</v>
      </c>
      <c r="J7097" s="451" t="s">
        <v>22943</v>
      </c>
      <c r="K7097" s="451"/>
    </row>
    <row r="7098" spans="1:11">
      <c r="A7098" s="450" t="s">
        <v>11348</v>
      </c>
      <c r="B7098" s="450"/>
      <c r="C7098" s="450" t="s">
        <v>11349</v>
      </c>
      <c r="D7098" s="450"/>
      <c r="E7098" s="450"/>
      <c r="F7098" s="450"/>
      <c r="G7098" s="450" t="s">
        <v>22877</v>
      </c>
      <c r="H7098" s="450" t="s">
        <v>22878</v>
      </c>
      <c r="I7098" s="450" t="s">
        <v>31805</v>
      </c>
      <c r="J7098" s="450" t="s">
        <v>22939</v>
      </c>
      <c r="K7098" s="450"/>
    </row>
    <row r="7099" spans="1:11">
      <c r="A7099" s="451" t="s">
        <v>11350</v>
      </c>
      <c r="B7099" s="451" t="s">
        <v>11351</v>
      </c>
      <c r="C7099" s="451" t="s">
        <v>6753</v>
      </c>
      <c r="D7099" s="451"/>
      <c r="E7099" s="451"/>
      <c r="F7099" s="451"/>
      <c r="G7099" s="451" t="s">
        <v>22877</v>
      </c>
      <c r="H7099" s="451" t="s">
        <v>22878</v>
      </c>
      <c r="I7099" s="451" t="s">
        <v>27058</v>
      </c>
      <c r="J7099" s="451" t="s">
        <v>27059</v>
      </c>
      <c r="K7099" s="451"/>
    </row>
    <row r="7100" spans="1:11">
      <c r="A7100" s="450" t="s">
        <v>11352</v>
      </c>
      <c r="B7100" s="450"/>
      <c r="C7100" s="450" t="s">
        <v>11353</v>
      </c>
      <c r="D7100" s="450"/>
      <c r="E7100" s="450"/>
      <c r="F7100" s="450"/>
      <c r="G7100" s="450" t="s">
        <v>22882</v>
      </c>
      <c r="H7100" s="450" t="s">
        <v>22883</v>
      </c>
      <c r="I7100" s="450"/>
      <c r="J7100" s="450" t="s">
        <v>22943</v>
      </c>
      <c r="K7100" s="450"/>
    </row>
    <row r="7101" spans="1:11">
      <c r="A7101" s="451" t="s">
        <v>11354</v>
      </c>
      <c r="B7101" s="451"/>
      <c r="C7101" s="451" t="s">
        <v>5243</v>
      </c>
      <c r="D7101" s="451"/>
      <c r="E7101" s="451"/>
      <c r="F7101" s="451"/>
      <c r="G7101" s="451" t="s">
        <v>22882</v>
      </c>
      <c r="H7101" s="451" t="s">
        <v>22883</v>
      </c>
      <c r="I7101" s="451"/>
      <c r="J7101" s="451" t="s">
        <v>23133</v>
      </c>
      <c r="K7101" s="451"/>
    </row>
    <row r="7102" spans="1:11">
      <c r="A7102" s="450" t="s">
        <v>11355</v>
      </c>
      <c r="B7102" s="450"/>
      <c r="C7102" s="450" t="s">
        <v>3934</v>
      </c>
      <c r="D7102" s="450"/>
      <c r="E7102" s="450"/>
      <c r="F7102" s="450"/>
      <c r="G7102" s="450" t="s">
        <v>22877</v>
      </c>
      <c r="H7102" s="450" t="s">
        <v>22878</v>
      </c>
      <c r="I7102" s="450" t="s">
        <v>36659</v>
      </c>
      <c r="J7102" s="450" t="s">
        <v>22939</v>
      </c>
      <c r="K7102" s="450"/>
    </row>
    <row r="7103" spans="1:11">
      <c r="A7103" s="451" t="s">
        <v>11356</v>
      </c>
      <c r="B7103" s="451"/>
      <c r="C7103" s="451" t="s">
        <v>11357</v>
      </c>
      <c r="D7103" s="451"/>
      <c r="E7103" s="451"/>
      <c r="F7103" s="451"/>
      <c r="G7103" s="451" t="s">
        <v>22877</v>
      </c>
      <c r="H7103" s="451" t="s">
        <v>22878</v>
      </c>
      <c r="I7103" s="451" t="s">
        <v>27060</v>
      </c>
      <c r="J7103" s="451" t="s">
        <v>22943</v>
      </c>
      <c r="K7103" s="451"/>
    </row>
    <row r="7104" spans="1:11">
      <c r="A7104" s="450" t="s">
        <v>27061</v>
      </c>
      <c r="B7104" s="450" t="s">
        <v>25603</v>
      </c>
      <c r="C7104" s="450" t="s">
        <v>27062</v>
      </c>
      <c r="D7104" s="450"/>
      <c r="E7104" s="450"/>
      <c r="F7104" s="450"/>
      <c r="G7104" s="450" t="s">
        <v>22877</v>
      </c>
      <c r="H7104" s="450" t="s">
        <v>22878</v>
      </c>
      <c r="I7104" s="450" t="s">
        <v>27063</v>
      </c>
      <c r="J7104" s="450" t="s">
        <v>27064</v>
      </c>
      <c r="K7104" s="450"/>
    </row>
    <row r="7105" spans="1:11">
      <c r="A7105" s="451" t="s">
        <v>27065</v>
      </c>
      <c r="B7105" s="451" t="s">
        <v>25914</v>
      </c>
      <c r="C7105" s="451" t="s">
        <v>27066</v>
      </c>
      <c r="D7105" s="451"/>
      <c r="E7105" s="451"/>
      <c r="F7105" s="451"/>
      <c r="G7105" s="451" t="s">
        <v>22877</v>
      </c>
      <c r="H7105" s="451" t="s">
        <v>22878</v>
      </c>
      <c r="I7105" s="451" t="s">
        <v>27067</v>
      </c>
      <c r="J7105" s="451" t="s">
        <v>27068</v>
      </c>
      <c r="K7105" s="451"/>
    </row>
    <row r="7106" spans="1:11">
      <c r="A7106" s="450" t="s">
        <v>27069</v>
      </c>
      <c r="B7106" s="450" t="s">
        <v>27070</v>
      </c>
      <c r="C7106" s="450" t="s">
        <v>27071</v>
      </c>
      <c r="D7106" s="450"/>
      <c r="E7106" s="450"/>
      <c r="F7106" s="450"/>
      <c r="G7106" s="450" t="s">
        <v>22877</v>
      </c>
      <c r="H7106" s="450" t="s">
        <v>22878</v>
      </c>
      <c r="I7106" s="450" t="s">
        <v>27072</v>
      </c>
      <c r="J7106" s="450" t="s">
        <v>27073</v>
      </c>
      <c r="K7106" s="450"/>
    </row>
    <row r="7107" spans="1:11">
      <c r="A7107" s="451" t="s">
        <v>11358</v>
      </c>
      <c r="B7107" s="451"/>
      <c r="C7107" s="451" t="s">
        <v>11359</v>
      </c>
      <c r="D7107" s="451"/>
      <c r="E7107" s="451"/>
      <c r="F7107" s="451"/>
      <c r="G7107" s="451" t="s">
        <v>22882</v>
      </c>
      <c r="H7107" s="451" t="s">
        <v>22883</v>
      </c>
      <c r="I7107" s="451"/>
      <c r="J7107" s="451" t="s">
        <v>23370</v>
      </c>
      <c r="K7107" s="451"/>
    </row>
    <row r="7108" spans="1:11">
      <c r="A7108" s="450" t="s">
        <v>27074</v>
      </c>
      <c r="B7108" s="450" t="s">
        <v>27075</v>
      </c>
      <c r="C7108" s="450" t="s">
        <v>27076</v>
      </c>
      <c r="D7108" s="450"/>
      <c r="E7108" s="450"/>
      <c r="F7108" s="450"/>
      <c r="G7108" s="450" t="s">
        <v>22877</v>
      </c>
      <c r="H7108" s="450" t="s">
        <v>22878</v>
      </c>
      <c r="I7108" s="450" t="s">
        <v>27077</v>
      </c>
      <c r="J7108" s="450" t="s">
        <v>27078</v>
      </c>
      <c r="K7108" s="450"/>
    </row>
    <row r="7109" spans="1:11">
      <c r="A7109" s="451" t="s">
        <v>11360</v>
      </c>
      <c r="B7109" s="451"/>
      <c r="C7109" s="451" t="s">
        <v>11361</v>
      </c>
      <c r="D7109" s="451"/>
      <c r="E7109" s="451"/>
      <c r="F7109" s="451"/>
      <c r="G7109" s="451" t="s">
        <v>22877</v>
      </c>
      <c r="H7109" s="451" t="s">
        <v>22878</v>
      </c>
      <c r="I7109" s="451" t="s">
        <v>27079</v>
      </c>
      <c r="J7109" s="451" t="s">
        <v>22943</v>
      </c>
      <c r="K7109" s="451"/>
    </row>
    <row r="7110" spans="1:11">
      <c r="A7110" s="450" t="s">
        <v>11362</v>
      </c>
      <c r="B7110" s="450" t="s">
        <v>27080</v>
      </c>
      <c r="C7110" s="450" t="s">
        <v>11364</v>
      </c>
      <c r="D7110" s="450" t="s">
        <v>11365</v>
      </c>
      <c r="E7110" s="450"/>
      <c r="F7110" s="450"/>
      <c r="G7110" s="450" t="s">
        <v>22877</v>
      </c>
      <c r="H7110" s="450" t="s">
        <v>22878</v>
      </c>
      <c r="I7110" s="450" t="s">
        <v>11365</v>
      </c>
      <c r="J7110" s="450" t="s">
        <v>27081</v>
      </c>
      <c r="K7110" s="450"/>
    </row>
    <row r="7111" spans="1:11">
      <c r="A7111" s="451" t="s">
        <v>11362</v>
      </c>
      <c r="B7111" s="451" t="s">
        <v>11363</v>
      </c>
      <c r="C7111" s="451" t="s">
        <v>11364</v>
      </c>
      <c r="D7111" s="451" t="s">
        <v>11365</v>
      </c>
      <c r="E7111" s="451"/>
      <c r="F7111" s="451"/>
      <c r="G7111" s="451" t="s">
        <v>22877</v>
      </c>
      <c r="H7111" s="451" t="s">
        <v>22878</v>
      </c>
      <c r="I7111" s="451" t="s">
        <v>31806</v>
      </c>
      <c r="J7111" s="451" t="s">
        <v>31807</v>
      </c>
      <c r="K7111" s="451"/>
    </row>
    <row r="7112" spans="1:11">
      <c r="A7112" s="450" t="s">
        <v>11366</v>
      </c>
      <c r="B7112" s="450"/>
      <c r="C7112" s="450" t="s">
        <v>1934</v>
      </c>
      <c r="D7112" s="450"/>
      <c r="E7112" s="450"/>
      <c r="F7112" s="450"/>
      <c r="G7112" s="450" t="s">
        <v>22877</v>
      </c>
      <c r="H7112" s="450" t="s">
        <v>22878</v>
      </c>
      <c r="I7112" s="450" t="s">
        <v>36660</v>
      </c>
      <c r="J7112" s="450" t="s">
        <v>22939</v>
      </c>
      <c r="K7112" s="450"/>
    </row>
    <row r="7113" spans="1:11">
      <c r="A7113" s="451" t="s">
        <v>11367</v>
      </c>
      <c r="B7113" s="451"/>
      <c r="C7113" s="451" t="s">
        <v>11368</v>
      </c>
      <c r="D7113" s="451"/>
      <c r="E7113" s="451"/>
      <c r="F7113" s="451"/>
      <c r="G7113" s="451" t="s">
        <v>22877</v>
      </c>
      <c r="H7113" s="451" t="s">
        <v>22878</v>
      </c>
      <c r="I7113" s="451" t="s">
        <v>27082</v>
      </c>
      <c r="J7113" s="451" t="s">
        <v>22939</v>
      </c>
      <c r="K7113" s="451"/>
    </row>
    <row r="7114" spans="1:11">
      <c r="A7114" s="450" t="s">
        <v>11369</v>
      </c>
      <c r="B7114" s="450" t="s">
        <v>11370</v>
      </c>
      <c r="C7114" s="450" t="s">
        <v>11371</v>
      </c>
      <c r="D7114" s="450" t="s">
        <v>11372</v>
      </c>
      <c r="E7114" s="450"/>
      <c r="F7114" s="450"/>
      <c r="G7114" s="450" t="s">
        <v>22882</v>
      </c>
      <c r="H7114" s="450" t="s">
        <v>22883</v>
      </c>
      <c r="I7114" s="450" t="s">
        <v>36661</v>
      </c>
      <c r="J7114" s="450" t="s">
        <v>36662</v>
      </c>
      <c r="K7114" s="450"/>
    </row>
    <row r="7115" spans="1:11">
      <c r="A7115" s="451" t="s">
        <v>11369</v>
      </c>
      <c r="B7115" s="451" t="s">
        <v>11370</v>
      </c>
      <c r="C7115" s="451" t="s">
        <v>11371</v>
      </c>
      <c r="D7115" s="451" t="s">
        <v>11372</v>
      </c>
      <c r="E7115" s="451" t="s">
        <v>11373</v>
      </c>
      <c r="F7115" s="451"/>
      <c r="G7115" s="451" t="s">
        <v>22882</v>
      </c>
      <c r="H7115" s="451" t="s">
        <v>22883</v>
      </c>
      <c r="I7115" s="451" t="s">
        <v>11372</v>
      </c>
      <c r="J7115" s="451" t="s">
        <v>31808</v>
      </c>
      <c r="K7115" s="451"/>
    </row>
    <row r="7116" spans="1:11">
      <c r="A7116" s="450" t="s">
        <v>11374</v>
      </c>
      <c r="B7116" s="450" t="s">
        <v>11375</v>
      </c>
      <c r="C7116" s="450" t="s">
        <v>1646</v>
      </c>
      <c r="D7116" s="450" t="s">
        <v>11376</v>
      </c>
      <c r="E7116" s="450"/>
      <c r="F7116" s="450"/>
      <c r="G7116" s="450" t="s">
        <v>22877</v>
      </c>
      <c r="H7116" s="450" t="s">
        <v>22878</v>
      </c>
      <c r="I7116" s="450" t="s">
        <v>27083</v>
      </c>
      <c r="J7116" s="450" t="s">
        <v>27084</v>
      </c>
      <c r="K7116" s="450"/>
    </row>
    <row r="7117" spans="1:11">
      <c r="A7117" s="451" t="s">
        <v>11377</v>
      </c>
      <c r="B7117" s="451" t="s">
        <v>11378</v>
      </c>
      <c r="C7117" s="451" t="s">
        <v>11379</v>
      </c>
      <c r="D7117" s="451"/>
      <c r="E7117" s="451"/>
      <c r="F7117" s="451" t="s">
        <v>11380</v>
      </c>
      <c r="G7117" s="451" t="s">
        <v>22877</v>
      </c>
      <c r="H7117" s="451" t="s">
        <v>22878</v>
      </c>
      <c r="I7117" s="451" t="s">
        <v>27085</v>
      </c>
      <c r="J7117" s="451" t="s">
        <v>27086</v>
      </c>
      <c r="K7117" s="451"/>
    </row>
    <row r="7118" spans="1:11">
      <c r="A7118" s="450" t="s">
        <v>36663</v>
      </c>
      <c r="B7118" s="450"/>
      <c r="C7118" s="450" t="s">
        <v>11382</v>
      </c>
      <c r="D7118" s="450"/>
      <c r="E7118" s="450"/>
      <c r="F7118" s="450"/>
      <c r="G7118" s="450" t="s">
        <v>22877</v>
      </c>
      <c r="H7118" s="450" t="s">
        <v>22878</v>
      </c>
      <c r="I7118" s="450" t="s">
        <v>36664</v>
      </c>
      <c r="J7118" s="450" t="s">
        <v>22943</v>
      </c>
      <c r="K7118" s="450"/>
    </row>
    <row r="7119" spans="1:11">
      <c r="A7119" s="451" t="s">
        <v>11381</v>
      </c>
      <c r="B7119" s="451"/>
      <c r="C7119" s="451" t="s">
        <v>11382</v>
      </c>
      <c r="D7119" s="451"/>
      <c r="E7119" s="451"/>
      <c r="F7119" s="451"/>
      <c r="G7119" s="451" t="s">
        <v>22877</v>
      </c>
      <c r="H7119" s="451" t="s">
        <v>22878</v>
      </c>
      <c r="I7119" s="451" t="s">
        <v>36665</v>
      </c>
      <c r="J7119" s="451" t="s">
        <v>22939</v>
      </c>
      <c r="K7119" s="451"/>
    </row>
    <row r="7120" spans="1:11">
      <c r="A7120" s="450" t="s">
        <v>11383</v>
      </c>
      <c r="B7120" s="450"/>
      <c r="C7120" s="450" t="s">
        <v>11384</v>
      </c>
      <c r="D7120" s="450"/>
      <c r="E7120" s="450"/>
      <c r="F7120" s="450"/>
      <c r="G7120" s="450" t="s">
        <v>22882</v>
      </c>
      <c r="H7120" s="450" t="s">
        <v>22883</v>
      </c>
      <c r="I7120" s="450" t="s">
        <v>36666</v>
      </c>
      <c r="J7120" s="450" t="s">
        <v>22997</v>
      </c>
      <c r="K7120" s="450"/>
    </row>
    <row r="7121" spans="1:11">
      <c r="A7121" s="451" t="s">
        <v>36667</v>
      </c>
      <c r="B7121" s="451"/>
      <c r="C7121" s="451" t="s">
        <v>6812</v>
      </c>
      <c r="D7121" s="451"/>
      <c r="E7121" s="451"/>
      <c r="F7121" s="451"/>
      <c r="G7121" s="451" t="s">
        <v>22882</v>
      </c>
      <c r="H7121" s="451" t="s">
        <v>22883</v>
      </c>
      <c r="I7121" s="451" t="s">
        <v>36668</v>
      </c>
      <c r="J7121" s="451" t="s">
        <v>22997</v>
      </c>
      <c r="K7121" s="451"/>
    </row>
    <row r="7122" spans="1:11">
      <c r="A7122" s="450" t="s">
        <v>11385</v>
      </c>
      <c r="B7122" s="450"/>
      <c r="C7122" s="450" t="s">
        <v>6812</v>
      </c>
      <c r="D7122" s="450"/>
      <c r="E7122" s="450"/>
      <c r="F7122" s="450"/>
      <c r="G7122" s="450" t="s">
        <v>22882</v>
      </c>
      <c r="H7122" s="450" t="s">
        <v>22883</v>
      </c>
      <c r="I7122" s="450" t="s">
        <v>36669</v>
      </c>
      <c r="J7122" s="450" t="s">
        <v>22939</v>
      </c>
      <c r="K7122" s="450"/>
    </row>
    <row r="7123" spans="1:11">
      <c r="A7123" s="451" t="s">
        <v>11386</v>
      </c>
      <c r="B7123" s="451"/>
      <c r="C7123" s="451" t="s">
        <v>11387</v>
      </c>
      <c r="D7123" s="451"/>
      <c r="E7123" s="451"/>
      <c r="F7123" s="451"/>
      <c r="G7123" s="451" t="s">
        <v>22877</v>
      </c>
      <c r="H7123" s="451" t="s">
        <v>22878</v>
      </c>
      <c r="I7123" s="451" t="s">
        <v>27087</v>
      </c>
      <c r="J7123" s="451" t="s">
        <v>22943</v>
      </c>
      <c r="K7123" s="451"/>
    </row>
    <row r="7124" spans="1:11">
      <c r="A7124" s="450" t="s">
        <v>27088</v>
      </c>
      <c r="B7124" s="450" t="s">
        <v>27089</v>
      </c>
      <c r="C7124" s="450" t="s">
        <v>27090</v>
      </c>
      <c r="D7124" s="450"/>
      <c r="E7124" s="450"/>
      <c r="F7124" s="450"/>
      <c r="G7124" s="450" t="s">
        <v>22877</v>
      </c>
      <c r="H7124" s="450" t="s">
        <v>22878</v>
      </c>
      <c r="I7124" s="450" t="s">
        <v>27091</v>
      </c>
      <c r="J7124" s="450" t="s">
        <v>27092</v>
      </c>
      <c r="K7124" s="450"/>
    </row>
    <row r="7125" spans="1:11">
      <c r="A7125" s="451" t="s">
        <v>27093</v>
      </c>
      <c r="B7125" s="451" t="s">
        <v>27094</v>
      </c>
      <c r="C7125" s="451" t="s">
        <v>27095</v>
      </c>
      <c r="D7125" s="451"/>
      <c r="E7125" s="451"/>
      <c r="F7125" s="451"/>
      <c r="G7125" s="451" t="s">
        <v>22877</v>
      </c>
      <c r="H7125" s="451" t="s">
        <v>22878</v>
      </c>
      <c r="I7125" s="451" t="s">
        <v>27096</v>
      </c>
      <c r="J7125" s="451" t="s">
        <v>27097</v>
      </c>
      <c r="K7125" s="451"/>
    </row>
    <row r="7126" spans="1:11">
      <c r="A7126" s="450" t="s">
        <v>21136</v>
      </c>
      <c r="B7126" s="450" t="s">
        <v>21137</v>
      </c>
      <c r="C7126" s="450" t="s">
        <v>21138</v>
      </c>
      <c r="D7126" s="450" t="s">
        <v>21139</v>
      </c>
      <c r="E7126" s="450"/>
      <c r="F7126" s="450" t="s">
        <v>21140</v>
      </c>
      <c r="G7126" s="450" t="s">
        <v>22877</v>
      </c>
      <c r="H7126" s="450" t="s">
        <v>22878</v>
      </c>
      <c r="I7126" s="450" t="s">
        <v>31809</v>
      </c>
      <c r="J7126" s="450" t="s">
        <v>31810</v>
      </c>
      <c r="K7126" s="450"/>
    </row>
    <row r="7127" spans="1:11">
      <c r="A7127" s="451" t="s">
        <v>11388</v>
      </c>
      <c r="B7127" s="451" t="s">
        <v>27098</v>
      </c>
      <c r="C7127" s="451" t="s">
        <v>11390</v>
      </c>
      <c r="D7127" s="451"/>
      <c r="E7127" s="451"/>
      <c r="F7127" s="451" t="s">
        <v>11005</v>
      </c>
      <c r="G7127" s="451" t="s">
        <v>27099</v>
      </c>
      <c r="H7127" s="451" t="s">
        <v>22878</v>
      </c>
      <c r="I7127" s="451"/>
      <c r="J7127" s="451" t="s">
        <v>27098</v>
      </c>
      <c r="K7127" s="451"/>
    </row>
    <row r="7128" spans="1:11">
      <c r="A7128" s="450" t="s">
        <v>11388</v>
      </c>
      <c r="B7128" s="450" t="s">
        <v>11389</v>
      </c>
      <c r="C7128" s="450" t="s">
        <v>11390</v>
      </c>
      <c r="D7128" s="450"/>
      <c r="E7128" s="450"/>
      <c r="F7128" s="450" t="s">
        <v>11005</v>
      </c>
      <c r="G7128" s="450" t="s">
        <v>22877</v>
      </c>
      <c r="H7128" s="450" t="s">
        <v>22878</v>
      </c>
      <c r="I7128" s="450" t="s">
        <v>31811</v>
      </c>
      <c r="J7128" s="450" t="s">
        <v>31812</v>
      </c>
      <c r="K7128" s="450"/>
    </row>
    <row r="7129" spans="1:11">
      <c r="A7129" s="451" t="s">
        <v>11391</v>
      </c>
      <c r="B7129" s="451"/>
      <c r="C7129" s="451" t="s">
        <v>11392</v>
      </c>
      <c r="D7129" s="451"/>
      <c r="E7129" s="451"/>
      <c r="F7129" s="451"/>
      <c r="G7129" s="451" t="s">
        <v>22877</v>
      </c>
      <c r="H7129" s="451" t="s">
        <v>22878</v>
      </c>
      <c r="I7129" s="451" t="s">
        <v>36670</v>
      </c>
      <c r="J7129" s="451" t="s">
        <v>36671</v>
      </c>
      <c r="K7129" s="451"/>
    </row>
    <row r="7130" spans="1:11">
      <c r="A7130" s="450" t="s">
        <v>11393</v>
      </c>
      <c r="B7130" s="450"/>
      <c r="C7130" s="450" t="s">
        <v>11394</v>
      </c>
      <c r="D7130" s="450"/>
      <c r="E7130" s="450"/>
      <c r="F7130" s="450"/>
      <c r="G7130" s="450" t="s">
        <v>22877</v>
      </c>
      <c r="H7130" s="450" t="s">
        <v>22878</v>
      </c>
      <c r="I7130" s="450" t="s">
        <v>36672</v>
      </c>
      <c r="J7130" s="450" t="s">
        <v>22943</v>
      </c>
      <c r="K7130" s="450"/>
    </row>
    <row r="7131" spans="1:11">
      <c r="A7131" s="451" t="s">
        <v>11395</v>
      </c>
      <c r="B7131" s="451"/>
      <c r="C7131" s="451" t="s">
        <v>11396</v>
      </c>
      <c r="D7131" s="451"/>
      <c r="E7131" s="451"/>
      <c r="F7131" s="451"/>
      <c r="G7131" s="451" t="s">
        <v>22877</v>
      </c>
      <c r="H7131" s="451" t="s">
        <v>22878</v>
      </c>
      <c r="I7131" s="451" t="s">
        <v>36673</v>
      </c>
      <c r="J7131" s="451" t="s">
        <v>22943</v>
      </c>
      <c r="K7131" s="451"/>
    </row>
    <row r="7132" spans="1:11">
      <c r="A7132" s="450" t="s">
        <v>11397</v>
      </c>
      <c r="B7132" s="450"/>
      <c r="C7132" s="450" t="s">
        <v>11398</v>
      </c>
      <c r="D7132" s="450"/>
      <c r="E7132" s="450"/>
      <c r="F7132" s="450"/>
      <c r="G7132" s="450" t="s">
        <v>22877</v>
      </c>
      <c r="H7132" s="450" t="s">
        <v>22878</v>
      </c>
      <c r="I7132" s="450" t="s">
        <v>27102</v>
      </c>
      <c r="J7132" s="450" t="s">
        <v>22939</v>
      </c>
      <c r="K7132" s="450"/>
    </row>
    <row r="7133" spans="1:11">
      <c r="A7133" s="451" t="s">
        <v>11399</v>
      </c>
      <c r="B7133" s="451" t="s">
        <v>11400</v>
      </c>
      <c r="C7133" s="451" t="s">
        <v>11401</v>
      </c>
      <c r="D7133" s="451"/>
      <c r="E7133" s="451"/>
      <c r="F7133" s="451"/>
      <c r="G7133" s="451" t="s">
        <v>22882</v>
      </c>
      <c r="H7133" s="451" t="s">
        <v>22883</v>
      </c>
      <c r="I7133" s="451"/>
      <c r="J7133" s="451" t="s">
        <v>31813</v>
      </c>
      <c r="K7133" s="451"/>
    </row>
    <row r="7134" spans="1:11">
      <c r="A7134" s="450" t="s">
        <v>36674</v>
      </c>
      <c r="B7134" s="450"/>
      <c r="C7134" s="450" t="s">
        <v>11403</v>
      </c>
      <c r="D7134" s="450" t="s">
        <v>11404</v>
      </c>
      <c r="E7134" s="450"/>
      <c r="F7134" s="450"/>
      <c r="G7134" s="450" t="s">
        <v>22877</v>
      </c>
      <c r="H7134" s="450" t="s">
        <v>22878</v>
      </c>
      <c r="I7134" s="450" t="s">
        <v>11404</v>
      </c>
      <c r="J7134" s="450" t="s">
        <v>36675</v>
      </c>
      <c r="K7134" s="450"/>
    </row>
    <row r="7135" spans="1:11">
      <c r="A7135" s="451" t="s">
        <v>11402</v>
      </c>
      <c r="B7135" s="451"/>
      <c r="C7135" s="451" t="s">
        <v>11403</v>
      </c>
      <c r="D7135" s="451" t="s">
        <v>11404</v>
      </c>
      <c r="E7135" s="451" t="s">
        <v>11405</v>
      </c>
      <c r="F7135" s="451"/>
      <c r="G7135" s="451" t="s">
        <v>22877</v>
      </c>
      <c r="H7135" s="451" t="s">
        <v>22878</v>
      </c>
      <c r="I7135" s="451" t="s">
        <v>31814</v>
      </c>
      <c r="J7135" s="451" t="s">
        <v>31815</v>
      </c>
      <c r="K7135" s="451"/>
    </row>
    <row r="7136" spans="1:11">
      <c r="A7136" s="450" t="s">
        <v>11406</v>
      </c>
      <c r="B7136" s="450" t="s">
        <v>11407</v>
      </c>
      <c r="C7136" s="450" t="s">
        <v>11408</v>
      </c>
      <c r="D7136" s="450" t="s">
        <v>11409</v>
      </c>
      <c r="E7136" s="450"/>
      <c r="F7136" s="450"/>
      <c r="G7136" s="450" t="s">
        <v>22877</v>
      </c>
      <c r="H7136" s="450" t="s">
        <v>22878</v>
      </c>
      <c r="I7136" s="450" t="s">
        <v>11409</v>
      </c>
      <c r="J7136" s="450" t="s">
        <v>27100</v>
      </c>
      <c r="K7136" s="450"/>
    </row>
    <row r="7137" spans="1:11">
      <c r="A7137" s="451" t="s">
        <v>11410</v>
      </c>
      <c r="B7137" s="451" t="s">
        <v>11411</v>
      </c>
      <c r="C7137" s="451" t="s">
        <v>11412</v>
      </c>
      <c r="D7137" s="451" t="s">
        <v>11413</v>
      </c>
      <c r="E7137" s="451"/>
      <c r="F7137" s="451"/>
      <c r="G7137" s="451" t="s">
        <v>22877</v>
      </c>
      <c r="H7137" s="451" t="s">
        <v>22878</v>
      </c>
      <c r="I7137" s="451" t="s">
        <v>11413</v>
      </c>
      <c r="J7137" s="451" t="s">
        <v>36676</v>
      </c>
      <c r="K7137" s="451"/>
    </row>
    <row r="7138" spans="1:11">
      <c r="A7138" s="450" t="s">
        <v>11410</v>
      </c>
      <c r="B7138" s="450" t="s">
        <v>11411</v>
      </c>
      <c r="C7138" s="450" t="s">
        <v>11412</v>
      </c>
      <c r="D7138" s="450" t="s">
        <v>11413</v>
      </c>
      <c r="E7138" s="450" t="s">
        <v>11414</v>
      </c>
      <c r="F7138" s="450"/>
      <c r="G7138" s="450" t="s">
        <v>22877</v>
      </c>
      <c r="H7138" s="450" t="s">
        <v>22878</v>
      </c>
      <c r="I7138" s="450" t="s">
        <v>31816</v>
      </c>
      <c r="J7138" s="450" t="s">
        <v>31817</v>
      </c>
      <c r="K7138" s="450"/>
    </row>
    <row r="7139" spans="1:11">
      <c r="A7139" s="451" t="s">
        <v>27101</v>
      </c>
      <c r="B7139" s="451"/>
      <c r="C7139" s="451" t="s">
        <v>11398</v>
      </c>
      <c r="D7139" s="451"/>
      <c r="E7139" s="451"/>
      <c r="F7139" s="451"/>
      <c r="G7139" s="451" t="s">
        <v>22877</v>
      </c>
      <c r="H7139" s="451" t="s">
        <v>22878</v>
      </c>
      <c r="I7139" s="451" t="s">
        <v>27102</v>
      </c>
      <c r="J7139" s="451" t="s">
        <v>22997</v>
      </c>
      <c r="K7139" s="451"/>
    </row>
    <row r="7140" spans="1:11">
      <c r="A7140" s="450" t="s">
        <v>11415</v>
      </c>
      <c r="B7140" s="450" t="s">
        <v>11416</v>
      </c>
      <c r="C7140" s="450" t="s">
        <v>11417</v>
      </c>
      <c r="D7140" s="450"/>
      <c r="E7140" s="450"/>
      <c r="F7140" s="450"/>
      <c r="G7140" s="450" t="s">
        <v>22877</v>
      </c>
      <c r="H7140" s="450" t="s">
        <v>22878</v>
      </c>
      <c r="I7140" s="450"/>
      <c r="J7140" s="450" t="s">
        <v>31818</v>
      </c>
      <c r="K7140" s="450"/>
    </row>
    <row r="7141" spans="1:11">
      <c r="A7141" s="451" t="s">
        <v>11418</v>
      </c>
      <c r="B7141" s="451" t="s">
        <v>11419</v>
      </c>
      <c r="C7141" s="451" t="s">
        <v>11420</v>
      </c>
      <c r="D7141" s="451" t="s">
        <v>11421</v>
      </c>
      <c r="E7141" s="451"/>
      <c r="F7141" s="451"/>
      <c r="G7141" s="451" t="s">
        <v>22877</v>
      </c>
      <c r="H7141" s="451" t="s">
        <v>22878</v>
      </c>
      <c r="I7141" s="451" t="s">
        <v>11421</v>
      </c>
      <c r="J7141" s="451" t="s">
        <v>27103</v>
      </c>
      <c r="K7141" s="451"/>
    </row>
    <row r="7142" spans="1:11">
      <c r="A7142" s="450" t="s">
        <v>11422</v>
      </c>
      <c r="B7142" s="450" t="s">
        <v>11423</v>
      </c>
      <c r="C7142" s="450" t="s">
        <v>11424</v>
      </c>
      <c r="D7142" s="450" t="s">
        <v>11425</v>
      </c>
      <c r="E7142" s="450"/>
      <c r="F7142" s="450"/>
      <c r="G7142" s="450" t="s">
        <v>22877</v>
      </c>
      <c r="H7142" s="450" t="s">
        <v>22878</v>
      </c>
      <c r="I7142" s="450" t="s">
        <v>36677</v>
      </c>
      <c r="J7142" s="450" t="s">
        <v>36678</v>
      </c>
      <c r="K7142" s="450"/>
    </row>
    <row r="7143" spans="1:11">
      <c r="A7143" s="451" t="s">
        <v>11422</v>
      </c>
      <c r="B7143" s="451" t="s">
        <v>11423</v>
      </c>
      <c r="C7143" s="451" t="s">
        <v>11424</v>
      </c>
      <c r="D7143" s="451" t="s">
        <v>11425</v>
      </c>
      <c r="E7143" s="451" t="s">
        <v>11426</v>
      </c>
      <c r="F7143" s="451"/>
      <c r="G7143" s="451" t="s">
        <v>22877</v>
      </c>
      <c r="H7143" s="451" t="s">
        <v>22878</v>
      </c>
      <c r="I7143" s="451" t="s">
        <v>11425</v>
      </c>
      <c r="J7143" s="451" t="s">
        <v>31819</v>
      </c>
      <c r="K7143" s="451"/>
    </row>
    <row r="7144" spans="1:11">
      <c r="A7144" s="450" t="s">
        <v>11427</v>
      </c>
      <c r="B7144" s="450"/>
      <c r="C7144" s="450" t="s">
        <v>1863</v>
      </c>
      <c r="D7144" s="450"/>
      <c r="E7144" s="450"/>
      <c r="F7144" s="450"/>
      <c r="G7144" s="450" t="s">
        <v>22882</v>
      </c>
      <c r="H7144" s="450" t="s">
        <v>22883</v>
      </c>
      <c r="I7144" s="450"/>
      <c r="J7144" s="450" t="s">
        <v>22939</v>
      </c>
      <c r="K7144" s="450"/>
    </row>
    <row r="7145" spans="1:11">
      <c r="A7145" s="451" t="s">
        <v>11428</v>
      </c>
      <c r="B7145" s="451" t="s">
        <v>11429</v>
      </c>
      <c r="C7145" s="451" t="s">
        <v>3980</v>
      </c>
      <c r="D7145" s="451" t="s">
        <v>11430</v>
      </c>
      <c r="E7145" s="451"/>
      <c r="F7145" s="451"/>
      <c r="G7145" s="451" t="s">
        <v>22877</v>
      </c>
      <c r="H7145" s="451" t="s">
        <v>22878</v>
      </c>
      <c r="I7145" s="451" t="s">
        <v>18420</v>
      </c>
      <c r="J7145" s="451" t="s">
        <v>36679</v>
      </c>
      <c r="K7145" s="451"/>
    </row>
    <row r="7146" spans="1:11">
      <c r="A7146" s="450" t="s">
        <v>11428</v>
      </c>
      <c r="B7146" s="450" t="s">
        <v>11429</v>
      </c>
      <c r="C7146" s="450" t="s">
        <v>3980</v>
      </c>
      <c r="D7146" s="450" t="s">
        <v>11430</v>
      </c>
      <c r="E7146" s="450" t="s">
        <v>11431</v>
      </c>
      <c r="F7146" s="450"/>
      <c r="G7146" s="450" t="s">
        <v>22877</v>
      </c>
      <c r="H7146" s="450" t="s">
        <v>22878</v>
      </c>
      <c r="I7146" s="450" t="s">
        <v>18420</v>
      </c>
      <c r="J7146" s="450" t="s">
        <v>31820</v>
      </c>
      <c r="K7146" s="450"/>
    </row>
    <row r="7147" spans="1:11">
      <c r="A7147" s="451" t="s">
        <v>21830</v>
      </c>
      <c r="B7147" s="451"/>
      <c r="C7147" s="451" t="s">
        <v>10513</v>
      </c>
      <c r="D7147" s="451"/>
      <c r="E7147" s="451"/>
      <c r="F7147" s="451"/>
      <c r="G7147" s="451" t="s">
        <v>22877</v>
      </c>
      <c r="H7147" s="451" t="s">
        <v>22878</v>
      </c>
      <c r="I7147" s="451" t="s">
        <v>36680</v>
      </c>
      <c r="J7147" s="451" t="s">
        <v>22997</v>
      </c>
      <c r="K7147" s="451"/>
    </row>
    <row r="7148" spans="1:11">
      <c r="A7148" s="450" t="s">
        <v>36681</v>
      </c>
      <c r="B7148" s="450"/>
      <c r="C7148" s="450" t="s">
        <v>5175</v>
      </c>
      <c r="D7148" s="450"/>
      <c r="E7148" s="450"/>
      <c r="F7148" s="450"/>
      <c r="G7148" s="450" t="s">
        <v>22877</v>
      </c>
      <c r="H7148" s="450" t="s">
        <v>22878</v>
      </c>
      <c r="I7148" s="450" t="s">
        <v>36682</v>
      </c>
      <c r="J7148" s="450" t="s">
        <v>22939</v>
      </c>
      <c r="K7148" s="450"/>
    </row>
    <row r="7149" spans="1:11">
      <c r="A7149" s="451" t="s">
        <v>11432</v>
      </c>
      <c r="B7149" s="451"/>
      <c r="C7149" s="451" t="s">
        <v>5175</v>
      </c>
      <c r="D7149" s="451"/>
      <c r="E7149" s="451"/>
      <c r="F7149" s="451"/>
      <c r="G7149" s="451" t="s">
        <v>22877</v>
      </c>
      <c r="H7149" s="451" t="s">
        <v>22878</v>
      </c>
      <c r="I7149" s="451" t="s">
        <v>36682</v>
      </c>
      <c r="J7149" s="451" t="s">
        <v>22939</v>
      </c>
      <c r="K7149" s="451"/>
    </row>
    <row r="7150" spans="1:11">
      <c r="A7150" s="450" t="s">
        <v>11433</v>
      </c>
      <c r="B7150" s="450"/>
      <c r="C7150" s="450" t="s">
        <v>11398</v>
      </c>
      <c r="D7150" s="450"/>
      <c r="E7150" s="450"/>
      <c r="F7150" s="450"/>
      <c r="G7150" s="450" t="s">
        <v>22877</v>
      </c>
      <c r="H7150" s="450" t="s">
        <v>22878</v>
      </c>
      <c r="I7150" s="450" t="s">
        <v>27102</v>
      </c>
      <c r="J7150" s="450" t="s">
        <v>22997</v>
      </c>
      <c r="K7150" s="450"/>
    </row>
    <row r="7151" spans="1:11">
      <c r="A7151" s="451" t="s">
        <v>11434</v>
      </c>
      <c r="B7151" s="451"/>
      <c r="C7151" s="451" t="s">
        <v>11435</v>
      </c>
      <c r="D7151" s="451"/>
      <c r="E7151" s="451"/>
      <c r="F7151" s="451"/>
      <c r="G7151" s="451" t="s">
        <v>36683</v>
      </c>
      <c r="H7151" s="451" t="s">
        <v>22878</v>
      </c>
      <c r="I7151" s="451"/>
      <c r="J7151" s="451" t="s">
        <v>23183</v>
      </c>
      <c r="K7151" s="451"/>
    </row>
    <row r="7152" spans="1:11">
      <c r="A7152" s="450" t="s">
        <v>11436</v>
      </c>
      <c r="B7152" s="450"/>
      <c r="C7152" s="450" t="s">
        <v>11437</v>
      </c>
      <c r="D7152" s="450"/>
      <c r="E7152" s="450"/>
      <c r="F7152" s="450"/>
      <c r="G7152" s="450" t="s">
        <v>22877</v>
      </c>
      <c r="H7152" s="450" t="s">
        <v>22878</v>
      </c>
      <c r="I7152" s="450" t="s">
        <v>36684</v>
      </c>
      <c r="J7152" s="450" t="s">
        <v>22939</v>
      </c>
      <c r="K7152" s="450"/>
    </row>
    <row r="7153" spans="1:11">
      <c r="A7153" s="451" t="s">
        <v>11438</v>
      </c>
      <c r="B7153" s="451"/>
      <c r="C7153" s="451" t="s">
        <v>11439</v>
      </c>
      <c r="D7153" s="451"/>
      <c r="E7153" s="451"/>
      <c r="F7153" s="451"/>
      <c r="G7153" s="451" t="s">
        <v>22877</v>
      </c>
      <c r="H7153" s="451" t="s">
        <v>22878</v>
      </c>
      <c r="I7153" s="451" t="s">
        <v>27104</v>
      </c>
      <c r="J7153" s="451" t="s">
        <v>23758</v>
      </c>
      <c r="K7153" s="451"/>
    </row>
    <row r="7154" spans="1:11">
      <c r="A7154" s="450" t="s">
        <v>11440</v>
      </c>
      <c r="B7154" s="450" t="s">
        <v>11441</v>
      </c>
      <c r="C7154" s="450" t="s">
        <v>5869</v>
      </c>
      <c r="D7154" s="450" t="s">
        <v>11442</v>
      </c>
      <c r="E7154" s="450"/>
      <c r="F7154" s="450"/>
      <c r="G7154" s="450" t="s">
        <v>22877</v>
      </c>
      <c r="H7154" s="450" t="s">
        <v>22878</v>
      </c>
      <c r="I7154" s="450" t="s">
        <v>11442</v>
      </c>
      <c r="J7154" s="450" t="s">
        <v>27105</v>
      </c>
      <c r="K7154" s="450"/>
    </row>
    <row r="7155" spans="1:11">
      <c r="A7155" s="451" t="s">
        <v>11440</v>
      </c>
      <c r="B7155" s="451" t="s">
        <v>11441</v>
      </c>
      <c r="C7155" s="451" t="s">
        <v>5869</v>
      </c>
      <c r="D7155" s="451" t="s">
        <v>11442</v>
      </c>
      <c r="E7155" s="451" t="s">
        <v>11443</v>
      </c>
      <c r="F7155" s="451"/>
      <c r="G7155" s="451" t="s">
        <v>22877</v>
      </c>
      <c r="H7155" s="451" t="s">
        <v>22878</v>
      </c>
      <c r="I7155" s="451" t="s">
        <v>11442</v>
      </c>
      <c r="J7155" s="451" t="s">
        <v>27105</v>
      </c>
      <c r="K7155" s="451"/>
    </row>
    <row r="7156" spans="1:11">
      <c r="A7156" s="450" t="s">
        <v>36685</v>
      </c>
      <c r="B7156" s="450" t="s">
        <v>11445</v>
      </c>
      <c r="C7156" s="450" t="s">
        <v>11446</v>
      </c>
      <c r="D7156" s="450" t="s">
        <v>11447</v>
      </c>
      <c r="E7156" s="450"/>
      <c r="F7156" s="450"/>
      <c r="G7156" s="450" t="s">
        <v>22877</v>
      </c>
      <c r="H7156" s="450" t="s">
        <v>22878</v>
      </c>
      <c r="I7156" s="450" t="s">
        <v>11447</v>
      </c>
      <c r="J7156" s="450" t="s">
        <v>27106</v>
      </c>
      <c r="K7156" s="450"/>
    </row>
    <row r="7157" spans="1:11">
      <c r="A7157" s="451" t="s">
        <v>11444</v>
      </c>
      <c r="B7157" s="451" t="s">
        <v>11445</v>
      </c>
      <c r="C7157" s="451" t="s">
        <v>11446</v>
      </c>
      <c r="D7157" s="451" t="s">
        <v>11447</v>
      </c>
      <c r="E7157" s="451" t="s">
        <v>11448</v>
      </c>
      <c r="F7157" s="451"/>
      <c r="G7157" s="451" t="s">
        <v>22877</v>
      </c>
      <c r="H7157" s="451" t="s">
        <v>22878</v>
      </c>
      <c r="I7157" s="451" t="s">
        <v>31821</v>
      </c>
      <c r="J7157" s="451" t="s">
        <v>27106</v>
      </c>
      <c r="K7157" s="451"/>
    </row>
    <row r="7158" spans="1:11">
      <c r="A7158" s="450" t="s">
        <v>36686</v>
      </c>
      <c r="B7158" s="450" t="s">
        <v>9643</v>
      </c>
      <c r="C7158" s="450" t="s">
        <v>9644</v>
      </c>
      <c r="D7158" s="450" t="s">
        <v>11450</v>
      </c>
      <c r="E7158" s="450"/>
      <c r="F7158" s="450"/>
      <c r="G7158" s="450" t="s">
        <v>22877</v>
      </c>
      <c r="H7158" s="450" t="s">
        <v>22878</v>
      </c>
      <c r="I7158" s="450" t="s">
        <v>35823</v>
      </c>
      <c r="J7158" s="450" t="s">
        <v>36687</v>
      </c>
      <c r="K7158" s="450"/>
    </row>
    <row r="7159" spans="1:11">
      <c r="A7159" s="451" t="s">
        <v>11449</v>
      </c>
      <c r="B7159" s="451" t="s">
        <v>9643</v>
      </c>
      <c r="C7159" s="451" t="s">
        <v>9644</v>
      </c>
      <c r="D7159" s="451" t="s">
        <v>11450</v>
      </c>
      <c r="E7159" s="451" t="s">
        <v>9646</v>
      </c>
      <c r="F7159" s="451"/>
      <c r="G7159" s="451" t="s">
        <v>22877</v>
      </c>
      <c r="H7159" s="451" t="s">
        <v>22878</v>
      </c>
      <c r="I7159" s="451" t="s">
        <v>31822</v>
      </c>
      <c r="J7159" s="451" t="s">
        <v>31823</v>
      </c>
      <c r="K7159" s="451"/>
    </row>
    <row r="7160" spans="1:11">
      <c r="A7160" s="450" t="s">
        <v>11451</v>
      </c>
      <c r="B7160" s="450"/>
      <c r="C7160" s="450" t="s">
        <v>1081</v>
      </c>
      <c r="D7160" s="450"/>
      <c r="E7160" s="450"/>
      <c r="F7160" s="450"/>
      <c r="G7160" s="450" t="s">
        <v>22877</v>
      </c>
      <c r="H7160" s="450" t="s">
        <v>22878</v>
      </c>
      <c r="I7160" s="450" t="s">
        <v>27107</v>
      </c>
      <c r="J7160" s="450" t="s">
        <v>22939</v>
      </c>
      <c r="K7160" s="450"/>
    </row>
    <row r="7161" spans="1:11">
      <c r="A7161" s="451" t="s">
        <v>11452</v>
      </c>
      <c r="B7161" s="451" t="s">
        <v>11453</v>
      </c>
      <c r="C7161" s="451" t="s">
        <v>11454</v>
      </c>
      <c r="D7161" s="451" t="s">
        <v>11455</v>
      </c>
      <c r="E7161" s="451"/>
      <c r="F7161" s="451"/>
      <c r="G7161" s="451" t="s">
        <v>22877</v>
      </c>
      <c r="H7161" s="451" t="s">
        <v>22878</v>
      </c>
      <c r="I7161" s="451" t="s">
        <v>11455</v>
      </c>
      <c r="J7161" s="451" t="s">
        <v>27108</v>
      </c>
      <c r="K7161" s="451"/>
    </row>
    <row r="7162" spans="1:11">
      <c r="A7162" s="450" t="s">
        <v>11456</v>
      </c>
      <c r="B7162" s="450"/>
      <c r="C7162" s="450" t="s">
        <v>11457</v>
      </c>
      <c r="D7162" s="450"/>
      <c r="E7162" s="450"/>
      <c r="F7162" s="450"/>
      <c r="G7162" s="450" t="s">
        <v>22877</v>
      </c>
      <c r="H7162" s="450" t="s">
        <v>22878</v>
      </c>
      <c r="I7162" s="450" t="s">
        <v>36688</v>
      </c>
      <c r="J7162" s="450" t="s">
        <v>22939</v>
      </c>
      <c r="K7162" s="450"/>
    </row>
    <row r="7163" spans="1:11">
      <c r="A7163" s="451" t="s">
        <v>36689</v>
      </c>
      <c r="B7163" s="451"/>
      <c r="C7163" s="451" t="s">
        <v>11459</v>
      </c>
      <c r="D7163" s="451"/>
      <c r="E7163" s="451"/>
      <c r="F7163" s="451"/>
      <c r="G7163" s="451" t="s">
        <v>22877</v>
      </c>
      <c r="H7163" s="451" t="s">
        <v>22878</v>
      </c>
      <c r="I7163" s="451"/>
      <c r="J7163" s="451" t="s">
        <v>22943</v>
      </c>
      <c r="K7163" s="451"/>
    </row>
    <row r="7164" spans="1:11">
      <c r="A7164" s="450" t="s">
        <v>11458</v>
      </c>
      <c r="B7164" s="450"/>
      <c r="C7164" s="450" t="s">
        <v>11459</v>
      </c>
      <c r="D7164" s="450"/>
      <c r="E7164" s="450"/>
      <c r="F7164" s="450"/>
      <c r="G7164" s="450" t="s">
        <v>22877</v>
      </c>
      <c r="H7164" s="450" t="s">
        <v>22878</v>
      </c>
      <c r="I7164" s="450" t="s">
        <v>36690</v>
      </c>
      <c r="J7164" s="450" t="s">
        <v>22942</v>
      </c>
      <c r="K7164" s="450"/>
    </row>
    <row r="7165" spans="1:11">
      <c r="A7165" s="451" t="s">
        <v>11460</v>
      </c>
      <c r="B7165" s="451"/>
      <c r="C7165" s="451" t="s">
        <v>5175</v>
      </c>
      <c r="D7165" s="451"/>
      <c r="E7165" s="451"/>
      <c r="F7165" s="451"/>
      <c r="G7165" s="451" t="s">
        <v>22877</v>
      </c>
      <c r="H7165" s="451" t="s">
        <v>22878</v>
      </c>
      <c r="I7165" s="451" t="s">
        <v>36682</v>
      </c>
      <c r="J7165" s="451" t="s">
        <v>22939</v>
      </c>
      <c r="K7165" s="451"/>
    </row>
    <row r="7166" spans="1:11">
      <c r="A7166" s="450" t="s">
        <v>21831</v>
      </c>
      <c r="B7166" s="450"/>
      <c r="C7166" s="450" t="s">
        <v>11461</v>
      </c>
      <c r="D7166" s="450"/>
      <c r="E7166" s="450"/>
      <c r="F7166" s="450"/>
      <c r="G7166" s="450" t="s">
        <v>22882</v>
      </c>
      <c r="H7166" s="450" t="s">
        <v>22883</v>
      </c>
      <c r="I7166" s="450"/>
      <c r="J7166" s="450" t="s">
        <v>22939</v>
      </c>
      <c r="K7166" s="450"/>
    </row>
    <row r="7167" spans="1:11">
      <c r="A7167" s="451" t="s">
        <v>11462</v>
      </c>
      <c r="B7167" s="451"/>
      <c r="C7167" s="451" t="s">
        <v>6812</v>
      </c>
      <c r="D7167" s="451"/>
      <c r="E7167" s="451"/>
      <c r="F7167" s="451"/>
      <c r="G7167" s="451" t="s">
        <v>22882</v>
      </c>
      <c r="H7167" s="451" t="s">
        <v>22883</v>
      </c>
      <c r="I7167" s="451" t="s">
        <v>36691</v>
      </c>
      <c r="J7167" s="451" t="s">
        <v>22939</v>
      </c>
      <c r="K7167" s="451"/>
    </row>
    <row r="7168" spans="1:11">
      <c r="A7168" s="450" t="s">
        <v>36692</v>
      </c>
      <c r="B7168" s="450"/>
      <c r="C7168" s="450" t="s">
        <v>11464</v>
      </c>
      <c r="D7168" s="450"/>
      <c r="E7168" s="450"/>
      <c r="F7168" s="450"/>
      <c r="G7168" s="450" t="s">
        <v>22882</v>
      </c>
      <c r="H7168" s="450" t="s">
        <v>22883</v>
      </c>
      <c r="I7168" s="450" t="s">
        <v>36693</v>
      </c>
      <c r="J7168" s="450" t="s">
        <v>22997</v>
      </c>
      <c r="K7168" s="450"/>
    </row>
    <row r="7169" spans="1:11">
      <c r="A7169" s="451" t="s">
        <v>11463</v>
      </c>
      <c r="B7169" s="451"/>
      <c r="C7169" s="451" t="s">
        <v>11464</v>
      </c>
      <c r="D7169" s="451"/>
      <c r="E7169" s="451"/>
      <c r="F7169" s="451"/>
      <c r="G7169" s="451" t="s">
        <v>22882</v>
      </c>
      <c r="H7169" s="451" t="s">
        <v>22883</v>
      </c>
      <c r="I7169" s="451" t="s">
        <v>36693</v>
      </c>
      <c r="J7169" s="451" t="s">
        <v>23143</v>
      </c>
      <c r="K7169" s="451"/>
    </row>
    <row r="7170" spans="1:11">
      <c r="A7170" s="450" t="s">
        <v>11465</v>
      </c>
      <c r="B7170" s="450"/>
      <c r="C7170" s="450" t="s">
        <v>11466</v>
      </c>
      <c r="D7170" s="450"/>
      <c r="E7170" s="450"/>
      <c r="F7170" s="450"/>
      <c r="G7170" s="450" t="s">
        <v>22877</v>
      </c>
      <c r="H7170" s="450" t="s">
        <v>22878</v>
      </c>
      <c r="I7170" s="450" t="s">
        <v>36694</v>
      </c>
      <c r="J7170" s="450" t="s">
        <v>23370</v>
      </c>
      <c r="K7170" s="450"/>
    </row>
    <row r="7171" spans="1:11">
      <c r="A7171" s="451" t="s">
        <v>21832</v>
      </c>
      <c r="B7171" s="451"/>
      <c r="C7171" s="451" t="s">
        <v>11467</v>
      </c>
      <c r="D7171" s="451"/>
      <c r="E7171" s="451"/>
      <c r="F7171" s="451"/>
      <c r="G7171" s="451" t="s">
        <v>22877</v>
      </c>
      <c r="H7171" s="451" t="s">
        <v>22878</v>
      </c>
      <c r="I7171" s="451" t="s">
        <v>27109</v>
      </c>
      <c r="J7171" s="451" t="s">
        <v>22939</v>
      </c>
      <c r="K7171" s="451"/>
    </row>
    <row r="7172" spans="1:11">
      <c r="A7172" s="450" t="s">
        <v>11468</v>
      </c>
      <c r="B7172" s="450"/>
      <c r="C7172" s="450" t="s">
        <v>11469</v>
      </c>
      <c r="D7172" s="450"/>
      <c r="E7172" s="450"/>
      <c r="F7172" s="450"/>
      <c r="G7172" s="450" t="s">
        <v>22877</v>
      </c>
      <c r="H7172" s="450" t="s">
        <v>22878</v>
      </c>
      <c r="I7172" s="450" t="s">
        <v>36695</v>
      </c>
      <c r="J7172" s="450" t="s">
        <v>22942</v>
      </c>
      <c r="K7172" s="450"/>
    </row>
    <row r="7173" spans="1:11">
      <c r="A7173" s="451" t="s">
        <v>36696</v>
      </c>
      <c r="B7173" s="451"/>
      <c r="C7173" s="451" t="s">
        <v>11469</v>
      </c>
      <c r="D7173" s="451"/>
      <c r="E7173" s="451"/>
      <c r="F7173" s="451"/>
      <c r="G7173" s="451" t="s">
        <v>22877</v>
      </c>
      <c r="H7173" s="451" t="s">
        <v>22878</v>
      </c>
      <c r="I7173" s="451" t="s">
        <v>36695</v>
      </c>
      <c r="J7173" s="451" t="s">
        <v>22943</v>
      </c>
      <c r="K7173" s="451"/>
    </row>
    <row r="7174" spans="1:11">
      <c r="A7174" s="450" t="s">
        <v>11470</v>
      </c>
      <c r="B7174" s="450"/>
      <c r="C7174" s="450" t="s">
        <v>4230</v>
      </c>
      <c r="D7174" s="450"/>
      <c r="E7174" s="450"/>
      <c r="F7174" s="450"/>
      <c r="G7174" s="450" t="s">
        <v>22877</v>
      </c>
      <c r="H7174" s="450" t="s">
        <v>22878</v>
      </c>
      <c r="I7174" s="450" t="s">
        <v>36697</v>
      </c>
      <c r="J7174" s="450" t="s">
        <v>22943</v>
      </c>
      <c r="K7174" s="450"/>
    </row>
    <row r="7175" spans="1:11">
      <c r="A7175" s="451" t="s">
        <v>11471</v>
      </c>
      <c r="B7175" s="451"/>
      <c r="C7175" s="451" t="s">
        <v>3377</v>
      </c>
      <c r="D7175" s="451"/>
      <c r="E7175" s="451"/>
      <c r="F7175" s="451"/>
      <c r="G7175" s="451" t="s">
        <v>22882</v>
      </c>
      <c r="H7175" s="451" t="s">
        <v>22883</v>
      </c>
      <c r="I7175" s="451"/>
      <c r="J7175" s="451" t="s">
        <v>22937</v>
      </c>
      <c r="K7175" s="451"/>
    </row>
    <row r="7176" spans="1:11">
      <c r="A7176" s="450" t="s">
        <v>36698</v>
      </c>
      <c r="B7176" s="450"/>
      <c r="C7176" s="450" t="s">
        <v>33331</v>
      </c>
      <c r="D7176" s="450"/>
      <c r="E7176" s="450"/>
      <c r="F7176" s="450"/>
      <c r="G7176" s="450" t="s">
        <v>22882</v>
      </c>
      <c r="H7176" s="450" t="s">
        <v>22883</v>
      </c>
      <c r="I7176" s="450"/>
      <c r="J7176" s="450" t="s">
        <v>22997</v>
      </c>
      <c r="K7176" s="450"/>
    </row>
    <row r="7177" spans="1:11">
      <c r="A7177" s="451" t="s">
        <v>11472</v>
      </c>
      <c r="B7177" s="451"/>
      <c r="C7177" s="451" t="s">
        <v>11473</v>
      </c>
      <c r="D7177" s="451"/>
      <c r="E7177" s="451"/>
      <c r="F7177" s="451"/>
      <c r="G7177" s="451" t="s">
        <v>22877</v>
      </c>
      <c r="H7177" s="451" t="s">
        <v>22878</v>
      </c>
      <c r="I7177" s="451" t="s">
        <v>27110</v>
      </c>
      <c r="J7177" s="451" t="s">
        <v>23185</v>
      </c>
      <c r="K7177" s="451"/>
    </row>
    <row r="7178" spans="1:11">
      <c r="A7178" s="450" t="s">
        <v>27111</v>
      </c>
      <c r="B7178" s="450" t="s">
        <v>27112</v>
      </c>
      <c r="C7178" s="450" t="s">
        <v>11475</v>
      </c>
      <c r="D7178" s="450" t="s">
        <v>11476</v>
      </c>
      <c r="E7178" s="450"/>
      <c r="F7178" s="450" t="s">
        <v>11478</v>
      </c>
      <c r="G7178" s="450" t="s">
        <v>22877</v>
      </c>
      <c r="H7178" s="450" t="s">
        <v>22878</v>
      </c>
      <c r="I7178" s="450" t="s">
        <v>27113</v>
      </c>
      <c r="J7178" s="450" t="s">
        <v>27114</v>
      </c>
      <c r="K7178" s="450"/>
    </row>
    <row r="7179" spans="1:11">
      <c r="A7179" s="451" t="s">
        <v>27115</v>
      </c>
      <c r="B7179" s="451" t="s">
        <v>11479</v>
      </c>
      <c r="C7179" s="451" t="s">
        <v>11480</v>
      </c>
      <c r="D7179" s="451"/>
      <c r="E7179" s="451"/>
      <c r="F7179" s="451"/>
      <c r="G7179" s="451" t="s">
        <v>22877</v>
      </c>
      <c r="H7179" s="451" t="s">
        <v>22878</v>
      </c>
      <c r="I7179" s="451" t="s">
        <v>27116</v>
      </c>
      <c r="J7179" s="451" t="s">
        <v>27117</v>
      </c>
      <c r="K7179" s="451"/>
    </row>
    <row r="7180" spans="1:11">
      <c r="A7180" s="450" t="s">
        <v>21833</v>
      </c>
      <c r="B7180" s="450" t="s">
        <v>11474</v>
      </c>
      <c r="C7180" s="450" t="s">
        <v>11475</v>
      </c>
      <c r="D7180" s="450" t="s">
        <v>11476</v>
      </c>
      <c r="E7180" s="450" t="s">
        <v>11477</v>
      </c>
      <c r="F7180" s="450" t="s">
        <v>11478</v>
      </c>
      <c r="G7180" s="450" t="s">
        <v>22877</v>
      </c>
      <c r="H7180" s="450" t="s">
        <v>22878</v>
      </c>
      <c r="I7180" s="450"/>
      <c r="J7180" s="450" t="s">
        <v>31824</v>
      </c>
      <c r="K7180" s="450"/>
    </row>
    <row r="7181" spans="1:11">
      <c r="A7181" s="451" t="s">
        <v>21834</v>
      </c>
      <c r="B7181" s="451" t="s">
        <v>11479</v>
      </c>
      <c r="C7181" s="451" t="s">
        <v>11480</v>
      </c>
      <c r="D7181" s="451"/>
      <c r="E7181" s="451"/>
      <c r="F7181" s="451"/>
      <c r="G7181" s="451" t="s">
        <v>22877</v>
      </c>
      <c r="H7181" s="451" t="s">
        <v>22878</v>
      </c>
      <c r="I7181" s="451" t="s">
        <v>27116</v>
      </c>
      <c r="J7181" s="451" t="s">
        <v>31825</v>
      </c>
      <c r="K7181" s="451"/>
    </row>
    <row r="7182" spans="1:11">
      <c r="A7182" s="450" t="s">
        <v>11481</v>
      </c>
      <c r="B7182" s="450"/>
      <c r="C7182" s="450" t="s">
        <v>11482</v>
      </c>
      <c r="D7182" s="450"/>
      <c r="E7182" s="450"/>
      <c r="F7182" s="450"/>
      <c r="G7182" s="450" t="s">
        <v>22877</v>
      </c>
      <c r="H7182" s="450" t="s">
        <v>22878</v>
      </c>
      <c r="I7182" s="450" t="s">
        <v>27118</v>
      </c>
      <c r="J7182" s="450" t="s">
        <v>22939</v>
      </c>
      <c r="K7182" s="450"/>
    </row>
    <row r="7183" spans="1:11">
      <c r="A7183" s="451" t="s">
        <v>27119</v>
      </c>
      <c r="B7183" s="451" t="s">
        <v>27120</v>
      </c>
      <c r="C7183" s="451" t="s">
        <v>11485</v>
      </c>
      <c r="D7183" s="451" t="s">
        <v>11486</v>
      </c>
      <c r="E7183" s="451"/>
      <c r="F7183" s="451"/>
      <c r="G7183" s="451" t="s">
        <v>27121</v>
      </c>
      <c r="H7183" s="451" t="s">
        <v>22878</v>
      </c>
      <c r="I7183" s="451" t="s">
        <v>11486</v>
      </c>
      <c r="J7183" s="451" t="s">
        <v>27120</v>
      </c>
      <c r="K7183" s="451"/>
    </row>
    <row r="7184" spans="1:11">
      <c r="A7184" s="450" t="s">
        <v>27122</v>
      </c>
      <c r="B7184" s="450" t="s">
        <v>11489</v>
      </c>
      <c r="C7184" s="450" t="s">
        <v>11490</v>
      </c>
      <c r="D7184" s="450"/>
      <c r="E7184" s="450"/>
      <c r="F7184" s="450"/>
      <c r="G7184" s="450" t="s">
        <v>22882</v>
      </c>
      <c r="H7184" s="450" t="s">
        <v>22883</v>
      </c>
      <c r="I7184" s="450"/>
      <c r="J7184" s="450" t="s">
        <v>27123</v>
      </c>
      <c r="K7184" s="450"/>
    </row>
    <row r="7185" spans="1:11">
      <c r="A7185" s="451" t="s">
        <v>11483</v>
      </c>
      <c r="B7185" s="451" t="s">
        <v>11484</v>
      </c>
      <c r="C7185" s="451" t="s">
        <v>11485</v>
      </c>
      <c r="D7185" s="451" t="s">
        <v>11486</v>
      </c>
      <c r="E7185" s="451" t="s">
        <v>11487</v>
      </c>
      <c r="F7185" s="451"/>
      <c r="G7185" s="451" t="s">
        <v>22882</v>
      </c>
      <c r="H7185" s="451" t="s">
        <v>22883</v>
      </c>
      <c r="I7185" s="451" t="s">
        <v>11486</v>
      </c>
      <c r="J7185" s="451" t="s">
        <v>31826</v>
      </c>
      <c r="K7185" s="451"/>
    </row>
    <row r="7186" spans="1:11">
      <c r="A7186" s="450" t="s">
        <v>11488</v>
      </c>
      <c r="B7186" s="450" t="s">
        <v>11489</v>
      </c>
      <c r="C7186" s="450" t="s">
        <v>11490</v>
      </c>
      <c r="D7186" s="450"/>
      <c r="E7186" s="450"/>
      <c r="F7186" s="450"/>
      <c r="G7186" s="450" t="s">
        <v>22882</v>
      </c>
      <c r="H7186" s="450" t="s">
        <v>22883</v>
      </c>
      <c r="I7186" s="450"/>
      <c r="J7186" s="450" t="s">
        <v>31827</v>
      </c>
      <c r="K7186" s="450"/>
    </row>
    <row r="7187" spans="1:11">
      <c r="A7187" s="451" t="s">
        <v>11491</v>
      </c>
      <c r="B7187" s="451"/>
      <c r="C7187" s="451" t="s">
        <v>27124</v>
      </c>
      <c r="D7187" s="451"/>
      <c r="E7187" s="451"/>
      <c r="F7187" s="451"/>
      <c r="G7187" s="451" t="s">
        <v>22877</v>
      </c>
      <c r="H7187" s="451" t="s">
        <v>22878</v>
      </c>
      <c r="I7187" s="451" t="s">
        <v>36699</v>
      </c>
      <c r="J7187" s="451" t="s">
        <v>22939</v>
      </c>
      <c r="K7187" s="451"/>
    </row>
    <row r="7188" spans="1:11">
      <c r="A7188" s="450" t="s">
        <v>11491</v>
      </c>
      <c r="B7188" s="450"/>
      <c r="C7188" s="450" t="s">
        <v>5116</v>
      </c>
      <c r="D7188" s="450"/>
      <c r="E7188" s="450"/>
      <c r="F7188" s="450"/>
      <c r="G7188" s="450" t="s">
        <v>22877</v>
      </c>
      <c r="H7188" s="450" t="s">
        <v>22878</v>
      </c>
      <c r="I7188" s="450" t="s">
        <v>36699</v>
      </c>
      <c r="J7188" s="450" t="s">
        <v>36700</v>
      </c>
      <c r="K7188" s="450"/>
    </row>
    <row r="7189" spans="1:11">
      <c r="A7189" s="451" t="s">
        <v>11492</v>
      </c>
      <c r="B7189" s="451"/>
      <c r="C7189" s="451" t="s">
        <v>4070</v>
      </c>
      <c r="D7189" s="451"/>
      <c r="E7189" s="451"/>
      <c r="F7189" s="451"/>
      <c r="G7189" s="451" t="s">
        <v>22882</v>
      </c>
      <c r="H7189" s="451" t="s">
        <v>22883</v>
      </c>
      <c r="I7189" s="451"/>
      <c r="J7189" s="451" t="s">
        <v>22939</v>
      </c>
      <c r="K7189" s="451"/>
    </row>
    <row r="7190" spans="1:11">
      <c r="A7190" s="450" t="s">
        <v>11493</v>
      </c>
      <c r="B7190" s="450"/>
      <c r="C7190" s="450" t="s">
        <v>11494</v>
      </c>
      <c r="D7190" s="450"/>
      <c r="E7190" s="450"/>
      <c r="F7190" s="450"/>
      <c r="G7190" s="450" t="s">
        <v>22877</v>
      </c>
      <c r="H7190" s="450" t="s">
        <v>22878</v>
      </c>
      <c r="I7190" s="450"/>
      <c r="J7190" s="450" t="s">
        <v>23185</v>
      </c>
      <c r="K7190" s="450"/>
    </row>
    <row r="7191" spans="1:11">
      <c r="A7191" s="451" t="s">
        <v>27125</v>
      </c>
      <c r="B7191" s="451" t="s">
        <v>27126</v>
      </c>
      <c r="C7191" s="451" t="s">
        <v>11496</v>
      </c>
      <c r="D7191" s="451" t="s">
        <v>11497</v>
      </c>
      <c r="E7191" s="451"/>
      <c r="F7191" s="451"/>
      <c r="G7191" s="451" t="s">
        <v>22877</v>
      </c>
      <c r="H7191" s="451" t="s">
        <v>22878</v>
      </c>
      <c r="I7191" s="451" t="s">
        <v>11497</v>
      </c>
      <c r="J7191" s="451" t="s">
        <v>27127</v>
      </c>
      <c r="K7191" s="451"/>
    </row>
    <row r="7192" spans="1:11">
      <c r="A7192" s="450" t="s">
        <v>21835</v>
      </c>
      <c r="B7192" s="450" t="s">
        <v>11495</v>
      </c>
      <c r="C7192" s="450" t="s">
        <v>11496</v>
      </c>
      <c r="D7192" s="450" t="s">
        <v>11497</v>
      </c>
      <c r="E7192" s="450" t="s">
        <v>11498</v>
      </c>
      <c r="F7192" s="450"/>
      <c r="G7192" s="450" t="s">
        <v>22877</v>
      </c>
      <c r="H7192" s="450" t="s">
        <v>22878</v>
      </c>
      <c r="I7192" s="450" t="s">
        <v>31828</v>
      </c>
      <c r="J7192" s="450" t="s">
        <v>31829</v>
      </c>
      <c r="K7192" s="450"/>
    </row>
    <row r="7193" spans="1:11">
      <c r="A7193" s="451" t="s">
        <v>11499</v>
      </c>
      <c r="B7193" s="451" t="s">
        <v>11500</v>
      </c>
      <c r="C7193" s="451" t="s">
        <v>11501</v>
      </c>
      <c r="D7193" s="451"/>
      <c r="E7193" s="451"/>
      <c r="F7193" s="451"/>
      <c r="G7193" s="451" t="s">
        <v>22877</v>
      </c>
      <c r="H7193" s="451" t="s">
        <v>22878</v>
      </c>
      <c r="I7193" s="451" t="s">
        <v>27128</v>
      </c>
      <c r="J7193" s="451" t="s">
        <v>27129</v>
      </c>
      <c r="K7193" s="451"/>
    </row>
    <row r="7194" spans="1:11">
      <c r="A7194" s="450" t="s">
        <v>11502</v>
      </c>
      <c r="B7194" s="450"/>
      <c r="C7194" s="450" t="s">
        <v>3943</v>
      </c>
      <c r="D7194" s="450"/>
      <c r="E7194" s="450"/>
      <c r="F7194" s="450"/>
      <c r="G7194" s="450" t="s">
        <v>22882</v>
      </c>
      <c r="H7194" s="450" t="s">
        <v>22883</v>
      </c>
      <c r="I7194" s="450" t="s">
        <v>27130</v>
      </c>
      <c r="J7194" s="450" t="s">
        <v>22939</v>
      </c>
      <c r="K7194" s="450"/>
    </row>
    <row r="7195" spans="1:11">
      <c r="A7195" s="451" t="s">
        <v>27131</v>
      </c>
      <c r="B7195" s="451" t="s">
        <v>27132</v>
      </c>
      <c r="C7195" s="451" t="s">
        <v>27133</v>
      </c>
      <c r="D7195" s="451"/>
      <c r="E7195" s="451"/>
      <c r="F7195" s="451"/>
      <c r="G7195" s="451" t="s">
        <v>22877</v>
      </c>
      <c r="H7195" s="451" t="s">
        <v>22878</v>
      </c>
      <c r="I7195" s="451" t="s">
        <v>27134</v>
      </c>
      <c r="J7195" s="451" t="s">
        <v>27135</v>
      </c>
      <c r="K7195" s="451"/>
    </row>
    <row r="7196" spans="1:11">
      <c r="A7196" s="450" t="s">
        <v>11503</v>
      </c>
      <c r="B7196" s="450"/>
      <c r="C7196" s="450" t="s">
        <v>11504</v>
      </c>
      <c r="D7196" s="450"/>
      <c r="E7196" s="450"/>
      <c r="F7196" s="450"/>
      <c r="G7196" s="450" t="s">
        <v>22877</v>
      </c>
      <c r="H7196" s="450" t="s">
        <v>22878</v>
      </c>
      <c r="I7196" s="450" t="s">
        <v>36701</v>
      </c>
      <c r="J7196" s="450" t="s">
        <v>22997</v>
      </c>
      <c r="K7196" s="450"/>
    </row>
    <row r="7197" spans="1:11">
      <c r="A7197" s="451" t="s">
        <v>11505</v>
      </c>
      <c r="B7197" s="451"/>
      <c r="C7197" s="451" t="s">
        <v>5374</v>
      </c>
      <c r="D7197" s="451"/>
      <c r="E7197" s="451"/>
      <c r="F7197" s="451"/>
      <c r="G7197" s="451" t="s">
        <v>22877</v>
      </c>
      <c r="H7197" s="451" t="s">
        <v>22878</v>
      </c>
      <c r="I7197" s="451" t="s">
        <v>27136</v>
      </c>
      <c r="J7197" s="451" t="s">
        <v>23121</v>
      </c>
      <c r="K7197" s="451"/>
    </row>
    <row r="7198" spans="1:11" ht="15.5">
      <c r="A7198" s="448" t="s">
        <v>31830</v>
      </c>
      <c r="B7198" s="448" t="s">
        <v>31831</v>
      </c>
      <c r="C7198" s="448" t="s">
        <v>31832</v>
      </c>
      <c r="D7198" s="448" t="s">
        <v>31833</v>
      </c>
      <c r="E7198" s="448"/>
      <c r="F7198" s="448"/>
      <c r="G7198" s="448"/>
      <c r="H7198" s="448"/>
      <c r="I7198" s="448"/>
      <c r="J7198" s="448"/>
      <c r="K7198" s="448"/>
    </row>
    <row r="7199" spans="1:11">
      <c r="A7199" s="451" t="s">
        <v>36702</v>
      </c>
      <c r="B7199" s="451"/>
      <c r="C7199" s="451" t="s">
        <v>11507</v>
      </c>
      <c r="D7199" s="451"/>
      <c r="E7199" s="451"/>
      <c r="F7199" s="451"/>
      <c r="G7199" s="451" t="s">
        <v>22877</v>
      </c>
      <c r="H7199" s="451" t="s">
        <v>22878</v>
      </c>
      <c r="I7199" s="451" t="s">
        <v>36703</v>
      </c>
      <c r="J7199" s="451" t="s">
        <v>23370</v>
      </c>
      <c r="K7199" s="451"/>
    </row>
    <row r="7200" spans="1:11">
      <c r="A7200" s="450" t="s">
        <v>11506</v>
      </c>
      <c r="B7200" s="450"/>
      <c r="C7200" s="450" t="s">
        <v>11507</v>
      </c>
      <c r="D7200" s="450"/>
      <c r="E7200" s="450"/>
      <c r="F7200" s="450"/>
      <c r="G7200" s="450" t="s">
        <v>22882</v>
      </c>
      <c r="H7200" s="450" t="s">
        <v>22883</v>
      </c>
      <c r="I7200" s="450"/>
      <c r="J7200" s="450" t="s">
        <v>22942</v>
      </c>
      <c r="K7200" s="450"/>
    </row>
    <row r="7201" spans="1:11">
      <c r="A7201" s="451" t="s">
        <v>11508</v>
      </c>
      <c r="B7201" s="451" t="s">
        <v>27137</v>
      </c>
      <c r="C7201" s="451" t="s">
        <v>11510</v>
      </c>
      <c r="D7201" s="451" t="s">
        <v>11511</v>
      </c>
      <c r="E7201" s="451"/>
      <c r="F7201" s="451"/>
      <c r="G7201" s="451" t="s">
        <v>22877</v>
      </c>
      <c r="H7201" s="451" t="s">
        <v>22878</v>
      </c>
      <c r="I7201" s="451" t="s">
        <v>11511</v>
      </c>
      <c r="J7201" s="451" t="s">
        <v>27138</v>
      </c>
      <c r="K7201" s="451"/>
    </row>
    <row r="7202" spans="1:11">
      <c r="A7202" s="450" t="s">
        <v>11508</v>
      </c>
      <c r="B7202" s="450" t="s">
        <v>11509</v>
      </c>
      <c r="C7202" s="450" t="s">
        <v>11510</v>
      </c>
      <c r="D7202" s="450" t="s">
        <v>11511</v>
      </c>
      <c r="E7202" s="450" t="s">
        <v>11512</v>
      </c>
      <c r="F7202" s="450"/>
      <c r="G7202" s="450" t="s">
        <v>22877</v>
      </c>
      <c r="H7202" s="450" t="s">
        <v>22878</v>
      </c>
      <c r="I7202" s="450" t="s">
        <v>25438</v>
      </c>
      <c r="J7202" s="450" t="s">
        <v>31834</v>
      </c>
      <c r="K7202" s="450"/>
    </row>
    <row r="7203" spans="1:11">
      <c r="A7203" s="451" t="s">
        <v>11513</v>
      </c>
      <c r="B7203" s="451"/>
      <c r="C7203" s="451" t="s">
        <v>11514</v>
      </c>
      <c r="D7203" s="451"/>
      <c r="E7203" s="451"/>
      <c r="F7203" s="451"/>
      <c r="G7203" s="451" t="s">
        <v>22882</v>
      </c>
      <c r="H7203" s="451" t="s">
        <v>22883</v>
      </c>
      <c r="I7203" s="451"/>
      <c r="J7203" s="451" t="s">
        <v>22997</v>
      </c>
      <c r="K7203" s="451"/>
    </row>
    <row r="7204" spans="1:11">
      <c r="A7204" s="450" t="s">
        <v>11515</v>
      </c>
      <c r="B7204" s="450"/>
      <c r="C7204" s="450" t="s">
        <v>11260</v>
      </c>
      <c r="D7204" s="450"/>
      <c r="E7204" s="450"/>
      <c r="F7204" s="450"/>
      <c r="G7204" s="450" t="s">
        <v>22877</v>
      </c>
      <c r="H7204" s="450" t="s">
        <v>22878</v>
      </c>
      <c r="I7204" s="450" t="s">
        <v>36704</v>
      </c>
      <c r="J7204" s="450" t="s">
        <v>22939</v>
      </c>
      <c r="K7204" s="450"/>
    </row>
    <row r="7205" spans="1:11">
      <c r="A7205" s="451" t="s">
        <v>11516</v>
      </c>
      <c r="B7205" s="451"/>
      <c r="C7205" s="451" t="s">
        <v>11517</v>
      </c>
      <c r="D7205" s="451"/>
      <c r="E7205" s="451"/>
      <c r="F7205" s="451"/>
      <c r="G7205" s="451" t="s">
        <v>22877</v>
      </c>
      <c r="H7205" s="451" t="s">
        <v>22878</v>
      </c>
      <c r="I7205" s="451" t="s">
        <v>36705</v>
      </c>
      <c r="J7205" s="451" t="s">
        <v>22939</v>
      </c>
      <c r="K7205" s="451"/>
    </row>
    <row r="7206" spans="1:11">
      <c r="A7206" s="450" t="s">
        <v>11518</v>
      </c>
      <c r="B7206" s="450"/>
      <c r="C7206" s="450" t="s">
        <v>985</v>
      </c>
      <c r="D7206" s="450"/>
      <c r="E7206" s="450"/>
      <c r="F7206" s="450"/>
      <c r="G7206" s="450" t="s">
        <v>22991</v>
      </c>
      <c r="H7206" s="450" t="s">
        <v>22878</v>
      </c>
      <c r="I7206" s="450"/>
      <c r="J7206" s="450"/>
      <c r="K7206" s="450"/>
    </row>
    <row r="7207" spans="1:11">
      <c r="A7207" s="451" t="s">
        <v>11519</v>
      </c>
      <c r="B7207" s="451"/>
      <c r="C7207" s="451" t="s">
        <v>5085</v>
      </c>
      <c r="D7207" s="451"/>
      <c r="E7207" s="451"/>
      <c r="F7207" s="451"/>
      <c r="G7207" s="451" t="s">
        <v>22877</v>
      </c>
      <c r="H7207" s="451" t="s">
        <v>22878</v>
      </c>
      <c r="I7207" s="451" t="s">
        <v>27139</v>
      </c>
      <c r="J7207" s="451" t="s">
        <v>22943</v>
      </c>
      <c r="K7207" s="451"/>
    </row>
    <row r="7208" spans="1:11">
      <c r="A7208" s="450" t="s">
        <v>27140</v>
      </c>
      <c r="B7208" s="450" t="s">
        <v>27141</v>
      </c>
      <c r="C7208" s="450" t="s">
        <v>27142</v>
      </c>
      <c r="D7208" s="450"/>
      <c r="E7208" s="450"/>
      <c r="F7208" s="450"/>
      <c r="G7208" s="450" t="s">
        <v>22877</v>
      </c>
      <c r="H7208" s="450" t="s">
        <v>22878</v>
      </c>
      <c r="I7208" s="450" t="s">
        <v>27143</v>
      </c>
      <c r="J7208" s="450" t="s">
        <v>27144</v>
      </c>
      <c r="K7208" s="450"/>
    </row>
    <row r="7209" spans="1:11">
      <c r="A7209" s="451" t="s">
        <v>11520</v>
      </c>
      <c r="B7209" s="451"/>
      <c r="C7209" s="451" t="s">
        <v>11521</v>
      </c>
      <c r="D7209" s="451"/>
      <c r="E7209" s="451"/>
      <c r="F7209" s="451"/>
      <c r="G7209" s="451" t="s">
        <v>22877</v>
      </c>
      <c r="H7209" s="451" t="s">
        <v>22878</v>
      </c>
      <c r="I7209" s="451" t="s">
        <v>27145</v>
      </c>
      <c r="J7209" s="451" t="s">
        <v>22943</v>
      </c>
      <c r="K7209" s="451"/>
    </row>
    <row r="7210" spans="1:11">
      <c r="A7210" s="450" t="s">
        <v>11522</v>
      </c>
      <c r="B7210" s="450" t="s">
        <v>11523</v>
      </c>
      <c r="C7210" s="450" t="s">
        <v>11524</v>
      </c>
      <c r="D7210" s="450" t="s">
        <v>11525</v>
      </c>
      <c r="E7210" s="450"/>
      <c r="F7210" s="450" t="s">
        <v>11527</v>
      </c>
      <c r="G7210" s="450" t="s">
        <v>22882</v>
      </c>
      <c r="H7210" s="450" t="s">
        <v>22883</v>
      </c>
      <c r="I7210" s="450"/>
      <c r="J7210" s="450" t="s">
        <v>27146</v>
      </c>
      <c r="K7210" s="450"/>
    </row>
    <row r="7211" spans="1:11">
      <c r="A7211" s="451" t="s">
        <v>11522</v>
      </c>
      <c r="B7211" s="451" t="s">
        <v>11523</v>
      </c>
      <c r="C7211" s="451" t="s">
        <v>11524</v>
      </c>
      <c r="D7211" s="451" t="s">
        <v>11525</v>
      </c>
      <c r="E7211" s="451" t="s">
        <v>11526</v>
      </c>
      <c r="F7211" s="451" t="s">
        <v>11527</v>
      </c>
      <c r="G7211" s="451" t="s">
        <v>22882</v>
      </c>
      <c r="H7211" s="451" t="s">
        <v>22883</v>
      </c>
      <c r="I7211" s="451"/>
      <c r="J7211" s="451" t="s">
        <v>27146</v>
      </c>
      <c r="K7211" s="451"/>
    </row>
    <row r="7212" spans="1:11">
      <c r="A7212" s="450" t="s">
        <v>11528</v>
      </c>
      <c r="B7212" s="450" t="s">
        <v>11529</v>
      </c>
      <c r="C7212" s="450" t="s">
        <v>11530</v>
      </c>
      <c r="D7212" s="450"/>
      <c r="E7212" s="450"/>
      <c r="F7212" s="450"/>
      <c r="G7212" s="450" t="s">
        <v>27147</v>
      </c>
      <c r="H7212" s="450" t="s">
        <v>22878</v>
      </c>
      <c r="I7212" s="450" t="s">
        <v>27148</v>
      </c>
      <c r="J7212" s="450" t="s">
        <v>11529</v>
      </c>
      <c r="K7212" s="450"/>
    </row>
    <row r="7213" spans="1:11">
      <c r="A7213" s="451" t="s">
        <v>11531</v>
      </c>
      <c r="B7213" s="451" t="s">
        <v>11532</v>
      </c>
      <c r="C7213" s="451" t="s">
        <v>11533</v>
      </c>
      <c r="D7213" s="451"/>
      <c r="E7213" s="451"/>
      <c r="F7213" s="451"/>
      <c r="G7213" s="451" t="s">
        <v>22882</v>
      </c>
      <c r="H7213" s="451" t="s">
        <v>22883</v>
      </c>
      <c r="I7213" s="451" t="s">
        <v>27149</v>
      </c>
      <c r="J7213" s="451" t="s">
        <v>27150</v>
      </c>
      <c r="K7213" s="451"/>
    </row>
    <row r="7214" spans="1:11">
      <c r="A7214" s="450" t="s">
        <v>11534</v>
      </c>
      <c r="B7214" s="450" t="s">
        <v>11535</v>
      </c>
      <c r="C7214" s="450" t="s">
        <v>1022</v>
      </c>
      <c r="D7214" s="450" t="s">
        <v>11536</v>
      </c>
      <c r="E7214" s="450"/>
      <c r="F7214" s="450"/>
      <c r="G7214" s="450" t="s">
        <v>22877</v>
      </c>
      <c r="H7214" s="450" t="s">
        <v>22878</v>
      </c>
      <c r="I7214" s="450" t="s">
        <v>36706</v>
      </c>
      <c r="J7214" s="450" t="s">
        <v>36707</v>
      </c>
      <c r="K7214" s="450"/>
    </row>
    <row r="7215" spans="1:11">
      <c r="A7215" s="451" t="s">
        <v>11534</v>
      </c>
      <c r="B7215" s="451" t="s">
        <v>11535</v>
      </c>
      <c r="C7215" s="451" t="s">
        <v>1022</v>
      </c>
      <c r="D7215" s="451" t="s">
        <v>11536</v>
      </c>
      <c r="E7215" s="451" t="s">
        <v>11537</v>
      </c>
      <c r="F7215" s="451"/>
      <c r="G7215" s="451" t="s">
        <v>22882</v>
      </c>
      <c r="H7215" s="451" t="s">
        <v>22883</v>
      </c>
      <c r="I7215" s="451" t="s">
        <v>11536</v>
      </c>
      <c r="J7215" s="451" t="s">
        <v>31835</v>
      </c>
      <c r="K7215" s="451"/>
    </row>
    <row r="7216" spans="1:11">
      <c r="A7216" s="450" t="s">
        <v>27151</v>
      </c>
      <c r="B7216" s="450" t="s">
        <v>11543</v>
      </c>
      <c r="C7216" s="450" t="s">
        <v>11544</v>
      </c>
      <c r="D7216" s="450" t="s">
        <v>11545</v>
      </c>
      <c r="E7216" s="450"/>
      <c r="F7216" s="450"/>
      <c r="G7216" s="450" t="s">
        <v>22882</v>
      </c>
      <c r="H7216" s="450" t="s">
        <v>22883</v>
      </c>
      <c r="I7216" s="450" t="s">
        <v>27152</v>
      </c>
      <c r="J7216" s="450" t="s">
        <v>27153</v>
      </c>
      <c r="K7216" s="450"/>
    </row>
    <row r="7217" spans="1:11">
      <c r="A7217" s="451" t="s">
        <v>27154</v>
      </c>
      <c r="B7217" s="451" t="s">
        <v>11548</v>
      </c>
      <c r="C7217" s="451" t="s">
        <v>11549</v>
      </c>
      <c r="D7217" s="451" t="s">
        <v>11550</v>
      </c>
      <c r="E7217" s="451"/>
      <c r="F7217" s="451"/>
      <c r="G7217" s="451" t="s">
        <v>22882</v>
      </c>
      <c r="H7217" s="451" t="s">
        <v>22883</v>
      </c>
      <c r="I7217" s="451" t="s">
        <v>23389</v>
      </c>
      <c r="J7217" s="451" t="s">
        <v>27155</v>
      </c>
      <c r="K7217" s="451"/>
    </row>
    <row r="7218" spans="1:11">
      <c r="A7218" s="450" t="s">
        <v>36708</v>
      </c>
      <c r="B7218" s="450" t="s">
        <v>11538</v>
      </c>
      <c r="C7218" s="450" t="s">
        <v>11539</v>
      </c>
      <c r="D7218" s="450" t="s">
        <v>11540</v>
      </c>
      <c r="E7218" s="450"/>
      <c r="F7218" s="450"/>
      <c r="G7218" s="450" t="s">
        <v>22877</v>
      </c>
      <c r="H7218" s="450" t="s">
        <v>22878</v>
      </c>
      <c r="I7218" s="450" t="s">
        <v>11540</v>
      </c>
      <c r="J7218" s="450" t="s">
        <v>36709</v>
      </c>
      <c r="K7218" s="450"/>
    </row>
    <row r="7219" spans="1:11">
      <c r="A7219" s="451" t="s">
        <v>21836</v>
      </c>
      <c r="B7219" s="451" t="s">
        <v>11538</v>
      </c>
      <c r="C7219" s="451" t="s">
        <v>11539</v>
      </c>
      <c r="D7219" s="451" t="s">
        <v>11540</v>
      </c>
      <c r="E7219" s="451" t="s">
        <v>11541</v>
      </c>
      <c r="F7219" s="451"/>
      <c r="G7219" s="451" t="s">
        <v>22877</v>
      </c>
      <c r="H7219" s="451" t="s">
        <v>22878</v>
      </c>
      <c r="I7219" s="451" t="s">
        <v>11540</v>
      </c>
      <c r="J7219" s="451" t="s">
        <v>31836</v>
      </c>
      <c r="K7219" s="451"/>
    </row>
    <row r="7220" spans="1:11">
      <c r="A7220" s="450" t="s">
        <v>11542</v>
      </c>
      <c r="B7220" s="450" t="s">
        <v>11543</v>
      </c>
      <c r="C7220" s="450" t="s">
        <v>11544</v>
      </c>
      <c r="D7220" s="450" t="s">
        <v>11545</v>
      </c>
      <c r="E7220" s="450" t="s">
        <v>11546</v>
      </c>
      <c r="F7220" s="450"/>
      <c r="G7220" s="450" t="s">
        <v>22877</v>
      </c>
      <c r="H7220" s="450" t="s">
        <v>22878</v>
      </c>
      <c r="I7220" s="450" t="s">
        <v>11545</v>
      </c>
      <c r="J7220" s="450" t="s">
        <v>31837</v>
      </c>
      <c r="K7220" s="450"/>
    </row>
    <row r="7221" spans="1:11">
      <c r="A7221" s="451" t="s">
        <v>11547</v>
      </c>
      <c r="B7221" s="451" t="s">
        <v>11548</v>
      </c>
      <c r="C7221" s="451" t="s">
        <v>11549</v>
      </c>
      <c r="D7221" s="451" t="s">
        <v>11550</v>
      </c>
      <c r="E7221" s="451" t="s">
        <v>11551</v>
      </c>
      <c r="F7221" s="451"/>
      <c r="G7221" s="451" t="s">
        <v>22882</v>
      </c>
      <c r="H7221" s="451" t="s">
        <v>22883</v>
      </c>
      <c r="I7221" s="451" t="s">
        <v>11550</v>
      </c>
      <c r="J7221" s="451" t="s">
        <v>31838</v>
      </c>
      <c r="K7221" s="451"/>
    </row>
    <row r="7222" spans="1:11">
      <c r="A7222" s="450" t="s">
        <v>11552</v>
      </c>
      <c r="B7222" s="450" t="s">
        <v>11553</v>
      </c>
      <c r="C7222" s="450" t="s">
        <v>4313</v>
      </c>
      <c r="D7222" s="450"/>
      <c r="E7222" s="450"/>
      <c r="F7222" s="450"/>
      <c r="G7222" s="450" t="s">
        <v>22877</v>
      </c>
      <c r="H7222" s="450" t="s">
        <v>22878</v>
      </c>
      <c r="I7222" s="450" t="s">
        <v>27156</v>
      </c>
      <c r="J7222" s="450" t="s">
        <v>27157</v>
      </c>
      <c r="K7222" s="450"/>
    </row>
    <row r="7223" spans="1:11">
      <c r="A7223" s="451" t="s">
        <v>11554</v>
      </c>
      <c r="B7223" s="451"/>
      <c r="C7223" s="451" t="s">
        <v>11555</v>
      </c>
      <c r="D7223" s="451"/>
      <c r="E7223" s="451"/>
      <c r="F7223" s="451"/>
      <c r="G7223" s="451" t="s">
        <v>22882</v>
      </c>
      <c r="H7223" s="451" t="s">
        <v>22883</v>
      </c>
      <c r="I7223" s="451"/>
      <c r="J7223" s="451" t="s">
        <v>22939</v>
      </c>
      <c r="K7223" s="451"/>
    </row>
    <row r="7224" spans="1:11">
      <c r="A7224" s="450" t="s">
        <v>11556</v>
      </c>
      <c r="B7224" s="450" t="s">
        <v>11557</v>
      </c>
      <c r="C7224" s="450" t="s">
        <v>11558</v>
      </c>
      <c r="D7224" s="450" t="s">
        <v>11559</v>
      </c>
      <c r="E7224" s="450"/>
      <c r="F7224" s="450"/>
      <c r="G7224" s="450" t="s">
        <v>22877</v>
      </c>
      <c r="H7224" s="450" t="s">
        <v>22878</v>
      </c>
      <c r="I7224" s="450" t="s">
        <v>11559</v>
      </c>
      <c r="J7224" s="450" t="s">
        <v>27158</v>
      </c>
      <c r="K7224" s="450"/>
    </row>
    <row r="7225" spans="1:11">
      <c r="A7225" s="451" t="s">
        <v>11556</v>
      </c>
      <c r="B7225" s="451" t="s">
        <v>11557</v>
      </c>
      <c r="C7225" s="451" t="s">
        <v>11558</v>
      </c>
      <c r="D7225" s="451" t="s">
        <v>11559</v>
      </c>
      <c r="E7225" s="451" t="s">
        <v>11560</v>
      </c>
      <c r="F7225" s="451"/>
      <c r="G7225" s="451" t="s">
        <v>22877</v>
      </c>
      <c r="H7225" s="451" t="s">
        <v>22878</v>
      </c>
      <c r="I7225" s="451" t="s">
        <v>31839</v>
      </c>
      <c r="J7225" s="451" t="s">
        <v>27158</v>
      </c>
      <c r="K7225" s="451"/>
    </row>
    <row r="7226" spans="1:11">
      <c r="A7226" s="450" t="s">
        <v>11561</v>
      </c>
      <c r="B7226" s="450"/>
      <c r="C7226" s="450" t="s">
        <v>4625</v>
      </c>
      <c r="D7226" s="450"/>
      <c r="E7226" s="450"/>
      <c r="F7226" s="450"/>
      <c r="G7226" s="450" t="s">
        <v>22877</v>
      </c>
      <c r="H7226" s="450" t="s">
        <v>22878</v>
      </c>
      <c r="I7226" s="450" t="s">
        <v>36710</v>
      </c>
      <c r="J7226" s="450" t="s">
        <v>34528</v>
      </c>
      <c r="K7226" s="450"/>
    </row>
    <row r="7227" spans="1:11">
      <c r="A7227" s="451" t="s">
        <v>11562</v>
      </c>
      <c r="B7227" s="451"/>
      <c r="C7227" s="451" t="s">
        <v>5747</v>
      </c>
      <c r="D7227" s="451"/>
      <c r="E7227" s="451"/>
      <c r="F7227" s="451"/>
      <c r="G7227" s="451" t="s">
        <v>22877</v>
      </c>
      <c r="H7227" s="451" t="s">
        <v>22878</v>
      </c>
      <c r="I7227" s="451" t="s">
        <v>36711</v>
      </c>
      <c r="J7227" s="451" t="s">
        <v>23121</v>
      </c>
      <c r="K7227" s="451"/>
    </row>
    <row r="7228" spans="1:11">
      <c r="A7228" s="450" t="s">
        <v>11563</v>
      </c>
      <c r="B7228" s="450"/>
      <c r="C7228" s="450" t="s">
        <v>11564</v>
      </c>
      <c r="D7228" s="450"/>
      <c r="E7228" s="450"/>
      <c r="F7228" s="450"/>
      <c r="G7228" s="450" t="s">
        <v>22877</v>
      </c>
      <c r="H7228" s="450" t="s">
        <v>22878</v>
      </c>
      <c r="I7228" s="450" t="s">
        <v>27159</v>
      </c>
      <c r="J7228" s="450" t="s">
        <v>22943</v>
      </c>
      <c r="K7228" s="450"/>
    </row>
    <row r="7229" spans="1:11">
      <c r="A7229" s="451" t="s">
        <v>11565</v>
      </c>
      <c r="B7229" s="451"/>
      <c r="C7229" s="451" t="s">
        <v>4174</v>
      </c>
      <c r="D7229" s="451"/>
      <c r="E7229" s="451"/>
      <c r="F7229" s="451"/>
      <c r="G7229" s="451" t="s">
        <v>22877</v>
      </c>
      <c r="H7229" s="451" t="s">
        <v>22878</v>
      </c>
      <c r="I7229" s="451" t="s">
        <v>27159</v>
      </c>
      <c r="J7229" s="451" t="s">
        <v>22997</v>
      </c>
      <c r="K7229" s="451"/>
    </row>
    <row r="7230" spans="1:11">
      <c r="A7230" s="450" t="s">
        <v>11566</v>
      </c>
      <c r="B7230" s="450" t="s">
        <v>11567</v>
      </c>
      <c r="C7230" s="450" t="s">
        <v>11568</v>
      </c>
      <c r="D7230" s="450" t="s">
        <v>11569</v>
      </c>
      <c r="E7230" s="450"/>
      <c r="F7230" s="450"/>
      <c r="G7230" s="450" t="s">
        <v>22877</v>
      </c>
      <c r="H7230" s="450" t="s">
        <v>22878</v>
      </c>
      <c r="I7230" s="450" t="s">
        <v>11569</v>
      </c>
      <c r="J7230" s="450" t="s">
        <v>27160</v>
      </c>
      <c r="K7230" s="450"/>
    </row>
    <row r="7231" spans="1:11">
      <c r="A7231" s="451" t="s">
        <v>11570</v>
      </c>
      <c r="B7231" s="451" t="s">
        <v>11571</v>
      </c>
      <c r="C7231" s="451" t="s">
        <v>11572</v>
      </c>
      <c r="D7231" s="451" t="s">
        <v>11573</v>
      </c>
      <c r="E7231" s="451"/>
      <c r="F7231" s="451"/>
      <c r="G7231" s="451" t="s">
        <v>22877</v>
      </c>
      <c r="H7231" s="451" t="s">
        <v>22878</v>
      </c>
      <c r="I7231" s="451" t="s">
        <v>22944</v>
      </c>
      <c r="J7231" s="451" t="s">
        <v>36712</v>
      </c>
      <c r="K7231" s="451"/>
    </row>
    <row r="7232" spans="1:11">
      <c r="A7232" s="450" t="s">
        <v>11570</v>
      </c>
      <c r="B7232" s="450" t="s">
        <v>11571</v>
      </c>
      <c r="C7232" s="450" t="s">
        <v>11572</v>
      </c>
      <c r="D7232" s="450" t="s">
        <v>11573</v>
      </c>
      <c r="E7232" s="450" t="s">
        <v>11574</v>
      </c>
      <c r="F7232" s="450"/>
      <c r="G7232" s="450" t="s">
        <v>22877</v>
      </c>
      <c r="H7232" s="450" t="s">
        <v>22878</v>
      </c>
      <c r="I7232" s="450" t="s">
        <v>22944</v>
      </c>
      <c r="J7232" s="450" t="s">
        <v>31840</v>
      </c>
      <c r="K7232" s="450"/>
    </row>
    <row r="7233" spans="1:11">
      <c r="A7233" s="451" t="s">
        <v>27161</v>
      </c>
      <c r="B7233" s="451" t="s">
        <v>27162</v>
      </c>
      <c r="C7233" s="451" t="s">
        <v>27163</v>
      </c>
      <c r="D7233" s="451" t="s">
        <v>27164</v>
      </c>
      <c r="E7233" s="451"/>
      <c r="F7233" s="451"/>
      <c r="G7233" s="451" t="s">
        <v>22877</v>
      </c>
      <c r="H7233" s="451" t="s">
        <v>22878</v>
      </c>
      <c r="I7233" s="451" t="s">
        <v>27164</v>
      </c>
      <c r="J7233" s="451" t="s">
        <v>27165</v>
      </c>
      <c r="K7233" s="451"/>
    </row>
    <row r="7234" spans="1:11">
      <c r="A7234" s="450" t="s">
        <v>11575</v>
      </c>
      <c r="B7234" s="450"/>
      <c r="C7234" s="450" t="s">
        <v>9584</v>
      </c>
      <c r="D7234" s="450"/>
      <c r="E7234" s="450"/>
      <c r="F7234" s="450"/>
      <c r="G7234" s="450" t="s">
        <v>22877</v>
      </c>
      <c r="H7234" s="450" t="s">
        <v>22878</v>
      </c>
      <c r="I7234" s="450" t="s">
        <v>36713</v>
      </c>
      <c r="J7234" s="450" t="s">
        <v>23179</v>
      </c>
      <c r="K7234" s="450"/>
    </row>
    <row r="7235" spans="1:11">
      <c r="A7235" s="451" t="s">
        <v>27166</v>
      </c>
      <c r="B7235" s="451"/>
      <c r="C7235" s="451" t="s">
        <v>9584</v>
      </c>
      <c r="D7235" s="451"/>
      <c r="E7235" s="451"/>
      <c r="F7235" s="451"/>
      <c r="G7235" s="451" t="s">
        <v>22877</v>
      </c>
      <c r="H7235" s="451" t="s">
        <v>22878</v>
      </c>
      <c r="I7235" s="451" t="s">
        <v>27167</v>
      </c>
      <c r="J7235" s="451" t="s">
        <v>22939</v>
      </c>
      <c r="K7235" s="451"/>
    </row>
    <row r="7236" spans="1:11">
      <c r="A7236" s="450" t="s">
        <v>11576</v>
      </c>
      <c r="B7236" s="450" t="s">
        <v>11577</v>
      </c>
      <c r="C7236" s="450" t="s">
        <v>11578</v>
      </c>
      <c r="D7236" s="450" t="s">
        <v>11579</v>
      </c>
      <c r="E7236" s="450"/>
      <c r="F7236" s="450"/>
      <c r="G7236" s="450" t="s">
        <v>22877</v>
      </c>
      <c r="H7236" s="450" t="s">
        <v>22878</v>
      </c>
      <c r="I7236" s="450" t="s">
        <v>11579</v>
      </c>
      <c r="J7236" s="450" t="s">
        <v>27168</v>
      </c>
      <c r="K7236" s="450"/>
    </row>
    <row r="7237" spans="1:11">
      <c r="A7237" s="451" t="s">
        <v>36714</v>
      </c>
      <c r="B7237" s="451"/>
      <c r="C7237" s="451" t="s">
        <v>11581</v>
      </c>
      <c r="D7237" s="451"/>
      <c r="E7237" s="451"/>
      <c r="F7237" s="451"/>
      <c r="G7237" s="451" t="s">
        <v>22877</v>
      </c>
      <c r="H7237" s="451" t="s">
        <v>22878</v>
      </c>
      <c r="I7237" s="451" t="s">
        <v>27169</v>
      </c>
      <c r="J7237" s="451" t="s">
        <v>22943</v>
      </c>
      <c r="K7237" s="451"/>
    </row>
    <row r="7238" spans="1:11">
      <c r="A7238" s="450" t="s">
        <v>11580</v>
      </c>
      <c r="B7238" s="450"/>
      <c r="C7238" s="450" t="s">
        <v>11581</v>
      </c>
      <c r="D7238" s="450"/>
      <c r="E7238" s="450"/>
      <c r="F7238" s="450"/>
      <c r="G7238" s="450" t="s">
        <v>22877</v>
      </c>
      <c r="H7238" s="450" t="s">
        <v>22878</v>
      </c>
      <c r="I7238" s="450" t="s">
        <v>27169</v>
      </c>
      <c r="J7238" s="450" t="s">
        <v>22937</v>
      </c>
      <c r="K7238" s="450"/>
    </row>
    <row r="7239" spans="1:11">
      <c r="A7239" s="451" t="s">
        <v>27170</v>
      </c>
      <c r="B7239" s="451" t="s">
        <v>27171</v>
      </c>
      <c r="C7239" s="451" t="s">
        <v>27172</v>
      </c>
      <c r="D7239" s="451"/>
      <c r="E7239" s="451"/>
      <c r="F7239" s="451"/>
      <c r="G7239" s="451" t="s">
        <v>22877</v>
      </c>
      <c r="H7239" s="451" t="s">
        <v>22878</v>
      </c>
      <c r="I7239" s="451" t="s">
        <v>27173</v>
      </c>
      <c r="J7239" s="451" t="s">
        <v>27174</v>
      </c>
      <c r="K7239" s="451"/>
    </row>
    <row r="7240" spans="1:11">
      <c r="A7240" s="450" t="s">
        <v>36715</v>
      </c>
      <c r="B7240" s="450"/>
      <c r="C7240" s="450" t="s">
        <v>3989</v>
      </c>
      <c r="D7240" s="450"/>
      <c r="E7240" s="450"/>
      <c r="F7240" s="450"/>
      <c r="G7240" s="450" t="s">
        <v>22882</v>
      </c>
      <c r="H7240" s="450" t="s">
        <v>22883</v>
      </c>
      <c r="I7240" s="450" t="s">
        <v>36716</v>
      </c>
      <c r="J7240" s="450" t="s">
        <v>22997</v>
      </c>
      <c r="K7240" s="450"/>
    </row>
    <row r="7241" spans="1:11">
      <c r="A7241" s="451" t="s">
        <v>21837</v>
      </c>
      <c r="B7241" s="451"/>
      <c r="C7241" s="451" t="s">
        <v>3989</v>
      </c>
      <c r="D7241" s="451"/>
      <c r="E7241" s="451"/>
      <c r="F7241" s="451"/>
      <c r="G7241" s="451" t="s">
        <v>22882</v>
      </c>
      <c r="H7241" s="451" t="s">
        <v>22883</v>
      </c>
      <c r="I7241" s="451" t="s">
        <v>36716</v>
      </c>
      <c r="J7241" s="451" t="s">
        <v>22939</v>
      </c>
      <c r="K7241" s="451"/>
    </row>
    <row r="7242" spans="1:11">
      <c r="A7242" s="450" t="s">
        <v>21838</v>
      </c>
      <c r="B7242" s="450"/>
      <c r="C7242" s="450" t="s">
        <v>5391</v>
      </c>
      <c r="D7242" s="450"/>
      <c r="E7242" s="450"/>
      <c r="F7242" s="450"/>
      <c r="G7242" s="450" t="s">
        <v>22877</v>
      </c>
      <c r="H7242" s="450" t="s">
        <v>22878</v>
      </c>
      <c r="I7242" s="450" t="s">
        <v>36717</v>
      </c>
      <c r="J7242" s="450" t="s">
        <v>22939</v>
      </c>
      <c r="K7242" s="450"/>
    </row>
    <row r="7243" spans="1:11">
      <c r="A7243" s="451" t="s">
        <v>11582</v>
      </c>
      <c r="B7243" s="451"/>
      <c r="C7243" s="451" t="s">
        <v>1213</v>
      </c>
      <c r="D7243" s="451"/>
      <c r="E7243" s="451"/>
      <c r="F7243" s="451"/>
      <c r="G7243" s="451" t="s">
        <v>22882</v>
      </c>
      <c r="H7243" s="451" t="s">
        <v>22883</v>
      </c>
      <c r="I7243" s="451" t="s">
        <v>36718</v>
      </c>
      <c r="J7243" s="451" t="s">
        <v>22943</v>
      </c>
      <c r="K7243" s="451"/>
    </row>
    <row r="7244" spans="1:11">
      <c r="A7244" s="450" t="s">
        <v>11583</v>
      </c>
      <c r="B7244" s="450"/>
      <c r="C7244" s="450" t="s">
        <v>11584</v>
      </c>
      <c r="D7244" s="450"/>
      <c r="E7244" s="450"/>
      <c r="F7244" s="450"/>
      <c r="G7244" s="450" t="s">
        <v>22877</v>
      </c>
      <c r="H7244" s="450" t="s">
        <v>22878</v>
      </c>
      <c r="I7244" s="450" t="s">
        <v>36719</v>
      </c>
      <c r="J7244" s="450" t="s">
        <v>22943</v>
      </c>
      <c r="K7244" s="450"/>
    </row>
    <row r="7245" spans="1:11">
      <c r="A7245" s="451" t="s">
        <v>11585</v>
      </c>
      <c r="B7245" s="451"/>
      <c r="C7245" s="451" t="s">
        <v>11586</v>
      </c>
      <c r="D7245" s="451"/>
      <c r="E7245" s="451"/>
      <c r="F7245" s="451"/>
      <c r="G7245" s="451" t="s">
        <v>22882</v>
      </c>
      <c r="H7245" s="451" t="s">
        <v>22883</v>
      </c>
      <c r="I7245" s="451" t="s">
        <v>36720</v>
      </c>
      <c r="J7245" s="451" t="s">
        <v>22943</v>
      </c>
      <c r="K7245" s="451"/>
    </row>
    <row r="7246" spans="1:11">
      <c r="A7246" s="450" t="s">
        <v>36721</v>
      </c>
      <c r="B7246" s="450" t="s">
        <v>11588</v>
      </c>
      <c r="C7246" s="450" t="s">
        <v>1765</v>
      </c>
      <c r="D7246" s="450" t="s">
        <v>11589</v>
      </c>
      <c r="E7246" s="450"/>
      <c r="F7246" s="450"/>
      <c r="G7246" s="450" t="s">
        <v>22882</v>
      </c>
      <c r="H7246" s="450" t="s">
        <v>22883</v>
      </c>
      <c r="I7246" s="450"/>
      <c r="J7246" s="450" t="s">
        <v>36722</v>
      </c>
      <c r="K7246" s="450"/>
    </row>
    <row r="7247" spans="1:11">
      <c r="A7247" s="451" t="s">
        <v>11587</v>
      </c>
      <c r="B7247" s="451" t="s">
        <v>11588</v>
      </c>
      <c r="C7247" s="451" t="s">
        <v>1765</v>
      </c>
      <c r="D7247" s="451" t="s">
        <v>11589</v>
      </c>
      <c r="E7247" s="451" t="s">
        <v>11590</v>
      </c>
      <c r="F7247" s="451"/>
      <c r="G7247" s="451" t="s">
        <v>22882</v>
      </c>
      <c r="H7247" s="451" t="s">
        <v>22883</v>
      </c>
      <c r="I7247" s="451"/>
      <c r="J7247" s="451" t="s">
        <v>36723</v>
      </c>
      <c r="K7247" s="451"/>
    </row>
    <row r="7248" spans="1:11">
      <c r="A7248" s="450" t="s">
        <v>11591</v>
      </c>
      <c r="B7248" s="450"/>
      <c r="C7248" s="450" t="s">
        <v>11592</v>
      </c>
      <c r="D7248" s="450"/>
      <c r="E7248" s="450"/>
      <c r="F7248" s="450"/>
      <c r="G7248" s="450" t="s">
        <v>22882</v>
      </c>
      <c r="H7248" s="450" t="s">
        <v>22883</v>
      </c>
      <c r="I7248" s="450"/>
      <c r="J7248" s="450" t="s">
        <v>23121</v>
      </c>
      <c r="K7248" s="450"/>
    </row>
    <row r="7249" spans="1:11">
      <c r="A7249" s="451" t="s">
        <v>27175</v>
      </c>
      <c r="B7249" s="451"/>
      <c r="C7249" s="451" t="s">
        <v>11592</v>
      </c>
      <c r="D7249" s="451"/>
      <c r="E7249" s="451"/>
      <c r="F7249" s="451"/>
      <c r="G7249" s="451" t="s">
        <v>22882</v>
      </c>
      <c r="H7249" s="451" t="s">
        <v>22883</v>
      </c>
      <c r="I7249" s="451"/>
      <c r="J7249" s="451" t="s">
        <v>22943</v>
      </c>
      <c r="K7249" s="451"/>
    </row>
    <row r="7250" spans="1:11">
      <c r="A7250" s="450" t="s">
        <v>36724</v>
      </c>
      <c r="B7250" s="450" t="s">
        <v>11594</v>
      </c>
      <c r="C7250" s="450" t="s">
        <v>11595</v>
      </c>
      <c r="D7250" s="450" t="s">
        <v>11596</v>
      </c>
      <c r="E7250" s="450"/>
      <c r="F7250" s="450"/>
      <c r="G7250" s="450" t="s">
        <v>22877</v>
      </c>
      <c r="H7250" s="450" t="s">
        <v>22878</v>
      </c>
      <c r="I7250" s="450" t="s">
        <v>36725</v>
      </c>
      <c r="J7250" s="450" t="s">
        <v>36726</v>
      </c>
      <c r="K7250" s="450"/>
    </row>
    <row r="7251" spans="1:11">
      <c r="A7251" s="451" t="s">
        <v>11593</v>
      </c>
      <c r="B7251" s="451" t="s">
        <v>11594</v>
      </c>
      <c r="C7251" s="451" t="s">
        <v>11595</v>
      </c>
      <c r="D7251" s="451" t="s">
        <v>11596</v>
      </c>
      <c r="E7251" s="451" t="s">
        <v>11597</v>
      </c>
      <c r="F7251" s="451"/>
      <c r="G7251" s="451" t="s">
        <v>22882</v>
      </c>
      <c r="H7251" s="451" t="s">
        <v>22883</v>
      </c>
      <c r="I7251" s="451" t="s">
        <v>11596</v>
      </c>
      <c r="J7251" s="451" t="s">
        <v>31841</v>
      </c>
      <c r="K7251" s="451"/>
    </row>
    <row r="7252" spans="1:11">
      <c r="A7252" s="450" t="s">
        <v>36727</v>
      </c>
      <c r="B7252" s="450"/>
      <c r="C7252" s="450" t="s">
        <v>985</v>
      </c>
      <c r="D7252" s="450"/>
      <c r="E7252" s="450"/>
      <c r="F7252" s="450"/>
      <c r="G7252" s="450" t="s">
        <v>22877</v>
      </c>
      <c r="H7252" s="450" t="s">
        <v>22878</v>
      </c>
      <c r="I7252" s="450" t="s">
        <v>36728</v>
      </c>
      <c r="J7252" s="450" t="s">
        <v>22943</v>
      </c>
      <c r="K7252" s="450"/>
    </row>
    <row r="7253" spans="1:11">
      <c r="A7253" s="451" t="s">
        <v>11598</v>
      </c>
      <c r="B7253" s="451"/>
      <c r="C7253" s="451" t="s">
        <v>985</v>
      </c>
      <c r="D7253" s="451"/>
      <c r="E7253" s="451"/>
      <c r="F7253" s="451"/>
      <c r="G7253" s="451" t="s">
        <v>22877</v>
      </c>
      <c r="H7253" s="451" t="s">
        <v>22878</v>
      </c>
      <c r="I7253" s="451" t="s">
        <v>31842</v>
      </c>
      <c r="J7253" s="451" t="s">
        <v>22995</v>
      </c>
      <c r="K7253" s="451"/>
    </row>
    <row r="7254" spans="1:11">
      <c r="A7254" s="450" t="s">
        <v>11599</v>
      </c>
      <c r="B7254" s="450" t="s">
        <v>11600</v>
      </c>
      <c r="C7254" s="450" t="s">
        <v>3905</v>
      </c>
      <c r="D7254" s="450" t="s">
        <v>11601</v>
      </c>
      <c r="E7254" s="450"/>
      <c r="F7254" s="450"/>
      <c r="G7254" s="450" t="s">
        <v>22877</v>
      </c>
      <c r="H7254" s="450" t="s">
        <v>22878</v>
      </c>
      <c r="I7254" s="450" t="s">
        <v>11601</v>
      </c>
      <c r="J7254" s="450" t="s">
        <v>27176</v>
      </c>
      <c r="K7254" s="450"/>
    </row>
    <row r="7255" spans="1:11">
      <c r="A7255" s="451" t="s">
        <v>11599</v>
      </c>
      <c r="B7255" s="451" t="s">
        <v>11600</v>
      </c>
      <c r="C7255" s="451" t="s">
        <v>3905</v>
      </c>
      <c r="D7255" s="451" t="s">
        <v>11601</v>
      </c>
      <c r="E7255" s="451" t="s">
        <v>11602</v>
      </c>
      <c r="F7255" s="451"/>
      <c r="G7255" s="451" t="s">
        <v>22882</v>
      </c>
      <c r="H7255" s="451" t="s">
        <v>22883</v>
      </c>
      <c r="I7255" s="451" t="s">
        <v>11601</v>
      </c>
      <c r="J7255" s="451" t="s">
        <v>27176</v>
      </c>
      <c r="K7255" s="451"/>
    </row>
    <row r="7256" spans="1:11">
      <c r="A7256" s="450" t="s">
        <v>11603</v>
      </c>
      <c r="B7256" s="450" t="s">
        <v>11604</v>
      </c>
      <c r="C7256" s="450" t="s">
        <v>11605</v>
      </c>
      <c r="D7256" s="450" t="s">
        <v>11606</v>
      </c>
      <c r="E7256" s="450"/>
      <c r="F7256" s="450"/>
      <c r="G7256" s="450" t="s">
        <v>22882</v>
      </c>
      <c r="H7256" s="450" t="s">
        <v>22883</v>
      </c>
      <c r="I7256" s="450" t="s">
        <v>11606</v>
      </c>
      <c r="J7256" s="450" t="s">
        <v>36729</v>
      </c>
      <c r="K7256" s="450"/>
    </row>
    <row r="7257" spans="1:11">
      <c r="A7257" s="451" t="s">
        <v>11603</v>
      </c>
      <c r="B7257" s="451" t="s">
        <v>11604</v>
      </c>
      <c r="C7257" s="451" t="s">
        <v>11605</v>
      </c>
      <c r="D7257" s="451" t="s">
        <v>11606</v>
      </c>
      <c r="E7257" s="451" t="s">
        <v>11607</v>
      </c>
      <c r="F7257" s="451"/>
      <c r="G7257" s="451" t="s">
        <v>22882</v>
      </c>
      <c r="H7257" s="451" t="s">
        <v>22883</v>
      </c>
      <c r="I7257" s="451" t="s">
        <v>11606</v>
      </c>
      <c r="J7257" s="451" t="s">
        <v>31843</v>
      </c>
      <c r="K7257" s="451"/>
    </row>
    <row r="7258" spans="1:11">
      <c r="A7258" s="450" t="s">
        <v>11608</v>
      </c>
      <c r="B7258" s="450" t="s">
        <v>11609</v>
      </c>
      <c r="C7258" s="450" t="s">
        <v>11610</v>
      </c>
      <c r="D7258" s="450" t="s">
        <v>11611</v>
      </c>
      <c r="E7258" s="450"/>
      <c r="F7258" s="450"/>
      <c r="G7258" s="450" t="s">
        <v>22882</v>
      </c>
      <c r="H7258" s="450" t="s">
        <v>22883</v>
      </c>
      <c r="I7258" s="450" t="s">
        <v>11611</v>
      </c>
      <c r="J7258" s="450" t="s">
        <v>27177</v>
      </c>
      <c r="K7258" s="450"/>
    </row>
    <row r="7259" spans="1:11">
      <c r="A7259" s="451" t="s">
        <v>11608</v>
      </c>
      <c r="B7259" s="451" t="s">
        <v>11609</v>
      </c>
      <c r="C7259" s="451" t="s">
        <v>11610</v>
      </c>
      <c r="D7259" s="451" t="s">
        <v>11611</v>
      </c>
      <c r="E7259" s="451" t="s">
        <v>11611</v>
      </c>
      <c r="F7259" s="451"/>
      <c r="G7259" s="451" t="s">
        <v>22882</v>
      </c>
      <c r="H7259" s="451" t="s">
        <v>22883</v>
      </c>
      <c r="I7259" s="451" t="s">
        <v>11611</v>
      </c>
      <c r="J7259" s="451" t="s">
        <v>27177</v>
      </c>
      <c r="K7259" s="451"/>
    </row>
    <row r="7260" spans="1:11">
      <c r="A7260" s="450" t="s">
        <v>36730</v>
      </c>
      <c r="B7260" s="450"/>
      <c r="C7260" s="450" t="s">
        <v>11613</v>
      </c>
      <c r="D7260" s="450"/>
      <c r="E7260" s="450"/>
      <c r="F7260" s="450"/>
      <c r="G7260" s="450" t="s">
        <v>22877</v>
      </c>
      <c r="H7260" s="450" t="s">
        <v>22878</v>
      </c>
      <c r="I7260" s="450" t="s">
        <v>36731</v>
      </c>
      <c r="J7260" s="450" t="s">
        <v>22943</v>
      </c>
      <c r="K7260" s="450"/>
    </row>
    <row r="7261" spans="1:11">
      <c r="A7261" s="451" t="s">
        <v>11612</v>
      </c>
      <c r="B7261" s="451"/>
      <c r="C7261" s="451" t="s">
        <v>11613</v>
      </c>
      <c r="D7261" s="451"/>
      <c r="E7261" s="451"/>
      <c r="F7261" s="451"/>
      <c r="G7261" s="451" t="s">
        <v>22882</v>
      </c>
      <c r="H7261" s="451" t="s">
        <v>22883</v>
      </c>
      <c r="I7261" s="451"/>
      <c r="J7261" s="451" t="s">
        <v>23185</v>
      </c>
      <c r="K7261" s="451"/>
    </row>
    <row r="7262" spans="1:11">
      <c r="A7262" s="450" t="s">
        <v>11614</v>
      </c>
      <c r="B7262" s="450"/>
      <c r="C7262" s="450" t="s">
        <v>11615</v>
      </c>
      <c r="D7262" s="450"/>
      <c r="E7262" s="450"/>
      <c r="F7262" s="450"/>
      <c r="G7262" s="450" t="s">
        <v>22882</v>
      </c>
      <c r="H7262" s="450" t="s">
        <v>22883</v>
      </c>
      <c r="I7262" s="450" t="s">
        <v>27178</v>
      </c>
      <c r="J7262" s="450" t="s">
        <v>22943</v>
      </c>
      <c r="K7262" s="450"/>
    </row>
    <row r="7263" spans="1:11">
      <c r="A7263" s="451" t="s">
        <v>36732</v>
      </c>
      <c r="B7263" s="451" t="s">
        <v>11616</v>
      </c>
      <c r="C7263" s="451" t="s">
        <v>11617</v>
      </c>
      <c r="D7263" s="451" t="s">
        <v>11618</v>
      </c>
      <c r="E7263" s="451"/>
      <c r="F7263" s="451"/>
      <c r="G7263" s="451" t="s">
        <v>22882</v>
      </c>
      <c r="H7263" s="451" t="s">
        <v>22883</v>
      </c>
      <c r="I7263" s="451" t="s">
        <v>11618</v>
      </c>
      <c r="J7263" s="451" t="s">
        <v>27179</v>
      </c>
      <c r="K7263" s="451"/>
    </row>
    <row r="7264" spans="1:11">
      <c r="A7264" s="450" t="s">
        <v>21839</v>
      </c>
      <c r="B7264" s="450" t="s">
        <v>11616</v>
      </c>
      <c r="C7264" s="450" t="s">
        <v>11617</v>
      </c>
      <c r="D7264" s="450" t="s">
        <v>11618</v>
      </c>
      <c r="E7264" s="450"/>
      <c r="F7264" s="450"/>
      <c r="G7264" s="450" t="s">
        <v>22882</v>
      </c>
      <c r="H7264" s="450" t="s">
        <v>22883</v>
      </c>
      <c r="I7264" s="450" t="s">
        <v>11618</v>
      </c>
      <c r="J7264" s="450" t="s">
        <v>27179</v>
      </c>
      <c r="K7264" s="450"/>
    </row>
    <row r="7265" spans="1:11">
      <c r="A7265" s="451" t="s">
        <v>27180</v>
      </c>
      <c r="B7265" s="451" t="s">
        <v>11620</v>
      </c>
      <c r="C7265" s="451" t="s">
        <v>11621</v>
      </c>
      <c r="D7265" s="451" t="s">
        <v>11622</v>
      </c>
      <c r="E7265" s="451"/>
      <c r="F7265" s="451"/>
      <c r="G7265" s="451" t="s">
        <v>22877</v>
      </c>
      <c r="H7265" s="451" t="s">
        <v>22878</v>
      </c>
      <c r="I7265" s="451" t="s">
        <v>11622</v>
      </c>
      <c r="J7265" s="451" t="s">
        <v>27181</v>
      </c>
      <c r="K7265" s="451"/>
    </row>
    <row r="7266" spans="1:11">
      <c r="A7266" s="450" t="s">
        <v>27182</v>
      </c>
      <c r="B7266" s="450"/>
      <c r="C7266" s="450" t="s">
        <v>11624</v>
      </c>
      <c r="D7266" s="450" t="s">
        <v>11625</v>
      </c>
      <c r="E7266" s="450"/>
      <c r="F7266" s="450"/>
      <c r="G7266" s="450" t="s">
        <v>22882</v>
      </c>
      <c r="H7266" s="450" t="s">
        <v>22883</v>
      </c>
      <c r="I7266" s="450" t="s">
        <v>11625</v>
      </c>
      <c r="J7266" s="450" t="s">
        <v>27183</v>
      </c>
      <c r="K7266" s="450"/>
    </row>
    <row r="7267" spans="1:11">
      <c r="A7267" s="451" t="s">
        <v>11619</v>
      </c>
      <c r="B7267" s="451" t="s">
        <v>11620</v>
      </c>
      <c r="C7267" s="451" t="s">
        <v>11621</v>
      </c>
      <c r="D7267" s="451" t="s">
        <v>11622</v>
      </c>
      <c r="E7267" s="451"/>
      <c r="F7267" s="451"/>
      <c r="G7267" s="451" t="s">
        <v>22877</v>
      </c>
      <c r="H7267" s="451" t="s">
        <v>22878</v>
      </c>
      <c r="I7267" s="451" t="s">
        <v>25714</v>
      </c>
      <c r="J7267" s="451" t="s">
        <v>31844</v>
      </c>
      <c r="K7267" s="451"/>
    </row>
    <row r="7268" spans="1:11">
      <c r="A7268" s="450" t="s">
        <v>11623</v>
      </c>
      <c r="B7268" s="450"/>
      <c r="C7268" s="450" t="s">
        <v>11624</v>
      </c>
      <c r="D7268" s="450" t="s">
        <v>11625</v>
      </c>
      <c r="E7268" s="450"/>
      <c r="F7268" s="450"/>
      <c r="G7268" s="450" t="s">
        <v>22882</v>
      </c>
      <c r="H7268" s="450" t="s">
        <v>22883</v>
      </c>
      <c r="I7268" s="450" t="s">
        <v>11625</v>
      </c>
      <c r="J7268" s="450" t="s">
        <v>22902</v>
      </c>
      <c r="K7268" s="450"/>
    </row>
    <row r="7269" spans="1:11">
      <c r="A7269" s="451" t="s">
        <v>22124</v>
      </c>
      <c r="B7269" s="451"/>
      <c r="C7269" s="451" t="s">
        <v>5364</v>
      </c>
      <c r="D7269" s="451"/>
      <c r="E7269" s="451"/>
      <c r="F7269" s="451"/>
      <c r="G7269" s="451" t="s">
        <v>22882</v>
      </c>
      <c r="H7269" s="451" t="s">
        <v>22883</v>
      </c>
      <c r="I7269" s="451"/>
      <c r="J7269" s="451" t="s">
        <v>22942</v>
      </c>
      <c r="K7269" s="451"/>
    </row>
    <row r="7270" spans="1:11">
      <c r="A7270" s="450" t="s">
        <v>31845</v>
      </c>
      <c r="B7270" s="450"/>
      <c r="C7270" s="450" t="s">
        <v>5364</v>
      </c>
      <c r="D7270" s="450"/>
      <c r="E7270" s="450"/>
      <c r="F7270" s="450"/>
      <c r="G7270" s="450" t="s">
        <v>22882</v>
      </c>
      <c r="H7270" s="450" t="s">
        <v>22883</v>
      </c>
      <c r="I7270" s="450"/>
      <c r="J7270" s="450" t="s">
        <v>22943</v>
      </c>
      <c r="K7270" s="450"/>
    </row>
    <row r="7271" spans="1:11">
      <c r="A7271" s="451" t="s">
        <v>27184</v>
      </c>
      <c r="B7271" s="451" t="s">
        <v>27185</v>
      </c>
      <c r="C7271" s="451" t="s">
        <v>27186</v>
      </c>
      <c r="D7271" s="451"/>
      <c r="E7271" s="451"/>
      <c r="F7271" s="451"/>
      <c r="G7271" s="451" t="s">
        <v>22877</v>
      </c>
      <c r="H7271" s="451" t="s">
        <v>22878</v>
      </c>
      <c r="I7271" s="451" t="s">
        <v>27187</v>
      </c>
      <c r="J7271" s="451" t="s">
        <v>27188</v>
      </c>
      <c r="K7271" s="451"/>
    </row>
    <row r="7272" spans="1:11">
      <c r="A7272" s="450" t="s">
        <v>11626</v>
      </c>
      <c r="B7272" s="450"/>
      <c r="C7272" s="450" t="s">
        <v>9251</v>
      </c>
      <c r="D7272" s="450"/>
      <c r="E7272" s="450"/>
      <c r="F7272" s="450"/>
      <c r="G7272" s="450" t="s">
        <v>22877</v>
      </c>
      <c r="H7272" s="450" t="s">
        <v>22878</v>
      </c>
      <c r="I7272" s="450" t="s">
        <v>36733</v>
      </c>
      <c r="J7272" s="450" t="s">
        <v>22943</v>
      </c>
      <c r="K7272" s="450"/>
    </row>
    <row r="7273" spans="1:11">
      <c r="A7273" s="451" t="s">
        <v>11627</v>
      </c>
      <c r="B7273" s="451"/>
      <c r="C7273" s="451" t="s">
        <v>11628</v>
      </c>
      <c r="D7273" s="451"/>
      <c r="E7273" s="451"/>
      <c r="F7273" s="451"/>
      <c r="G7273" s="451" t="s">
        <v>27189</v>
      </c>
      <c r="H7273" s="451" t="s">
        <v>22878</v>
      </c>
      <c r="I7273" s="451"/>
      <c r="J7273" s="451"/>
      <c r="K7273" s="451"/>
    </row>
    <row r="7274" spans="1:11">
      <c r="A7274" s="450" t="s">
        <v>27190</v>
      </c>
      <c r="B7274" s="450" t="s">
        <v>27191</v>
      </c>
      <c r="C7274" s="450" t="s">
        <v>27192</v>
      </c>
      <c r="D7274" s="450"/>
      <c r="E7274" s="450"/>
      <c r="F7274" s="450"/>
      <c r="G7274" s="450" t="s">
        <v>22877</v>
      </c>
      <c r="H7274" s="450" t="s">
        <v>22878</v>
      </c>
      <c r="I7274" s="450" t="s">
        <v>27193</v>
      </c>
      <c r="J7274" s="450" t="s">
        <v>27194</v>
      </c>
      <c r="K7274" s="450"/>
    </row>
    <row r="7275" spans="1:11">
      <c r="A7275" s="451" t="s">
        <v>11629</v>
      </c>
      <c r="B7275" s="451" t="s">
        <v>11630</v>
      </c>
      <c r="C7275" s="451" t="s">
        <v>11631</v>
      </c>
      <c r="D7275" s="451" t="s">
        <v>11632</v>
      </c>
      <c r="E7275" s="451"/>
      <c r="F7275" s="451"/>
      <c r="G7275" s="451" t="s">
        <v>22877</v>
      </c>
      <c r="H7275" s="451" t="s">
        <v>22878</v>
      </c>
      <c r="I7275" s="451" t="s">
        <v>11632</v>
      </c>
      <c r="J7275" s="451" t="s">
        <v>27195</v>
      </c>
      <c r="K7275" s="451"/>
    </row>
    <row r="7276" spans="1:11">
      <c r="A7276" s="450" t="s">
        <v>11629</v>
      </c>
      <c r="B7276" s="450" t="s">
        <v>11630</v>
      </c>
      <c r="C7276" s="450" t="s">
        <v>11631</v>
      </c>
      <c r="D7276" s="450" t="s">
        <v>11632</v>
      </c>
      <c r="E7276" s="450" t="s">
        <v>11633</v>
      </c>
      <c r="F7276" s="450"/>
      <c r="G7276" s="450" t="s">
        <v>22877</v>
      </c>
      <c r="H7276" s="450" t="s">
        <v>22878</v>
      </c>
      <c r="I7276" s="450" t="s">
        <v>11632</v>
      </c>
      <c r="J7276" s="450" t="s">
        <v>27195</v>
      </c>
      <c r="K7276" s="450"/>
    </row>
    <row r="7277" spans="1:11">
      <c r="A7277" s="451" t="s">
        <v>36734</v>
      </c>
      <c r="B7277" s="451"/>
      <c r="C7277" s="451" t="s">
        <v>11635</v>
      </c>
      <c r="D7277" s="451"/>
      <c r="E7277" s="451"/>
      <c r="F7277" s="451"/>
      <c r="G7277" s="451" t="s">
        <v>22877</v>
      </c>
      <c r="H7277" s="451" t="s">
        <v>22878</v>
      </c>
      <c r="I7277" s="451" t="s">
        <v>27196</v>
      </c>
      <c r="J7277" s="451" t="s">
        <v>22939</v>
      </c>
      <c r="K7277" s="451"/>
    </row>
    <row r="7278" spans="1:11">
      <c r="A7278" s="450" t="s">
        <v>11634</v>
      </c>
      <c r="B7278" s="450"/>
      <c r="C7278" s="450" t="s">
        <v>11635</v>
      </c>
      <c r="D7278" s="450"/>
      <c r="E7278" s="450"/>
      <c r="F7278" s="450"/>
      <c r="G7278" s="450" t="s">
        <v>22877</v>
      </c>
      <c r="H7278" s="450" t="s">
        <v>22878</v>
      </c>
      <c r="I7278" s="450" t="s">
        <v>27196</v>
      </c>
      <c r="J7278" s="450" t="s">
        <v>23185</v>
      </c>
      <c r="K7278" s="450"/>
    </row>
    <row r="7279" spans="1:11">
      <c r="A7279" s="451" t="s">
        <v>21301</v>
      </c>
      <c r="B7279" s="451" t="s">
        <v>21303</v>
      </c>
      <c r="C7279" s="451" t="s">
        <v>21304</v>
      </c>
      <c r="D7279" s="451" t="s">
        <v>21302</v>
      </c>
      <c r="E7279" s="451"/>
      <c r="F7279" s="451"/>
      <c r="G7279" s="451" t="s">
        <v>22877</v>
      </c>
      <c r="H7279" s="451" t="s">
        <v>22878</v>
      </c>
      <c r="I7279" s="451" t="s">
        <v>26723</v>
      </c>
      <c r="J7279" s="451" t="s">
        <v>31846</v>
      </c>
      <c r="K7279" s="451"/>
    </row>
    <row r="7280" spans="1:11">
      <c r="A7280" s="450" t="s">
        <v>36735</v>
      </c>
      <c r="B7280" s="450"/>
      <c r="C7280" s="450" t="s">
        <v>11637</v>
      </c>
      <c r="D7280" s="450"/>
      <c r="E7280" s="450"/>
      <c r="F7280" s="450"/>
      <c r="G7280" s="450" t="s">
        <v>22882</v>
      </c>
      <c r="H7280" s="450" t="s">
        <v>22883</v>
      </c>
      <c r="I7280" s="450" t="s">
        <v>36736</v>
      </c>
      <c r="J7280" s="450" t="s">
        <v>22943</v>
      </c>
      <c r="K7280" s="450"/>
    </row>
    <row r="7281" spans="1:11">
      <c r="A7281" s="451" t="s">
        <v>11636</v>
      </c>
      <c r="B7281" s="451"/>
      <c r="C7281" s="451" t="s">
        <v>11637</v>
      </c>
      <c r="D7281" s="451"/>
      <c r="E7281" s="451"/>
      <c r="F7281" s="451"/>
      <c r="G7281" s="451" t="s">
        <v>22882</v>
      </c>
      <c r="H7281" s="451" t="s">
        <v>22883</v>
      </c>
      <c r="I7281" s="451" t="s">
        <v>36736</v>
      </c>
      <c r="J7281" s="451" t="s">
        <v>23121</v>
      </c>
      <c r="K7281" s="451"/>
    </row>
    <row r="7282" spans="1:11">
      <c r="A7282" s="450" t="s">
        <v>11638</v>
      </c>
      <c r="B7282" s="450"/>
      <c r="C7282" s="450" t="s">
        <v>11639</v>
      </c>
      <c r="D7282" s="450"/>
      <c r="E7282" s="450"/>
      <c r="F7282" s="450"/>
      <c r="G7282" s="450" t="s">
        <v>22877</v>
      </c>
      <c r="H7282" s="450" t="s">
        <v>22878</v>
      </c>
      <c r="I7282" s="450" t="s">
        <v>36737</v>
      </c>
      <c r="J7282" s="450" t="s">
        <v>22939</v>
      </c>
      <c r="K7282" s="450"/>
    </row>
    <row r="7283" spans="1:11">
      <c r="A7283" s="451" t="s">
        <v>11640</v>
      </c>
      <c r="B7283" s="451"/>
      <c r="C7283" s="451" t="s">
        <v>11641</v>
      </c>
      <c r="D7283" s="451"/>
      <c r="E7283" s="451"/>
      <c r="F7283" s="451"/>
      <c r="G7283" s="451" t="s">
        <v>22882</v>
      </c>
      <c r="H7283" s="451" t="s">
        <v>22883</v>
      </c>
      <c r="I7283" s="451"/>
      <c r="J7283" s="451" t="s">
        <v>22997</v>
      </c>
      <c r="K7283" s="451"/>
    </row>
    <row r="7284" spans="1:11">
      <c r="A7284" s="450" t="s">
        <v>36738</v>
      </c>
      <c r="B7284" s="450" t="s">
        <v>11643</v>
      </c>
      <c r="C7284" s="450" t="s">
        <v>11644</v>
      </c>
      <c r="D7284" s="450"/>
      <c r="E7284" s="450"/>
      <c r="F7284" s="450" t="s">
        <v>36739</v>
      </c>
      <c r="G7284" s="450" t="s">
        <v>22877</v>
      </c>
      <c r="H7284" s="450" t="s">
        <v>22878</v>
      </c>
      <c r="I7284" s="450" t="s">
        <v>27197</v>
      </c>
      <c r="J7284" s="450" t="s">
        <v>36740</v>
      </c>
      <c r="K7284" s="450"/>
    </row>
    <row r="7285" spans="1:11">
      <c r="A7285" s="451" t="s">
        <v>11642</v>
      </c>
      <c r="B7285" s="451" t="s">
        <v>11643</v>
      </c>
      <c r="C7285" s="451" t="s">
        <v>11644</v>
      </c>
      <c r="D7285" s="451"/>
      <c r="E7285" s="451"/>
      <c r="F7285" s="451" t="s">
        <v>11645</v>
      </c>
      <c r="G7285" s="451" t="s">
        <v>22877</v>
      </c>
      <c r="H7285" s="451" t="s">
        <v>22878</v>
      </c>
      <c r="I7285" s="451" t="s">
        <v>27197</v>
      </c>
      <c r="J7285" s="451" t="s">
        <v>31847</v>
      </c>
      <c r="K7285" s="451"/>
    </row>
    <row r="7286" spans="1:11">
      <c r="A7286" s="450" t="s">
        <v>36741</v>
      </c>
      <c r="B7286" s="450"/>
      <c r="C7286" s="450" t="s">
        <v>11647</v>
      </c>
      <c r="D7286" s="450"/>
      <c r="E7286" s="450"/>
      <c r="F7286" s="450"/>
      <c r="G7286" s="450" t="s">
        <v>22877</v>
      </c>
      <c r="H7286" s="450" t="s">
        <v>22878</v>
      </c>
      <c r="I7286" s="450" t="s">
        <v>36742</v>
      </c>
      <c r="J7286" s="450" t="s">
        <v>22943</v>
      </c>
      <c r="K7286" s="450"/>
    </row>
    <row r="7287" spans="1:11">
      <c r="A7287" s="451" t="s">
        <v>11646</v>
      </c>
      <c r="B7287" s="451"/>
      <c r="C7287" s="451" t="s">
        <v>11647</v>
      </c>
      <c r="D7287" s="451"/>
      <c r="E7287" s="451"/>
      <c r="F7287" s="451"/>
      <c r="G7287" s="451" t="s">
        <v>22877</v>
      </c>
      <c r="H7287" s="451" t="s">
        <v>22878</v>
      </c>
      <c r="I7287" s="451" t="s">
        <v>36742</v>
      </c>
      <c r="J7287" s="451" t="s">
        <v>23121</v>
      </c>
      <c r="K7287" s="451"/>
    </row>
    <row r="7288" spans="1:11">
      <c r="A7288" s="450" t="s">
        <v>11648</v>
      </c>
      <c r="B7288" s="450"/>
      <c r="C7288" s="450" t="s">
        <v>3106</v>
      </c>
      <c r="D7288" s="450"/>
      <c r="E7288" s="450"/>
      <c r="F7288" s="450"/>
      <c r="G7288" s="450" t="s">
        <v>22882</v>
      </c>
      <c r="H7288" s="450" t="s">
        <v>22883</v>
      </c>
      <c r="I7288" s="450"/>
      <c r="J7288" s="450" t="s">
        <v>22939</v>
      </c>
      <c r="K7288" s="450"/>
    </row>
    <row r="7289" spans="1:11">
      <c r="A7289" s="451" t="s">
        <v>11649</v>
      </c>
      <c r="B7289" s="451"/>
      <c r="C7289" s="451" t="s">
        <v>11650</v>
      </c>
      <c r="D7289" s="451"/>
      <c r="E7289" s="451"/>
      <c r="F7289" s="451"/>
      <c r="G7289" s="451" t="s">
        <v>22877</v>
      </c>
      <c r="H7289" s="451" t="s">
        <v>22878</v>
      </c>
      <c r="I7289" s="451" t="s">
        <v>36743</v>
      </c>
      <c r="J7289" s="451" t="s">
        <v>22939</v>
      </c>
      <c r="K7289" s="451"/>
    </row>
    <row r="7290" spans="1:11">
      <c r="A7290" s="450" t="s">
        <v>36744</v>
      </c>
      <c r="B7290" s="450"/>
      <c r="C7290" s="450" t="s">
        <v>11651</v>
      </c>
      <c r="D7290" s="450"/>
      <c r="E7290" s="450"/>
      <c r="F7290" s="450"/>
      <c r="G7290" s="450" t="s">
        <v>22882</v>
      </c>
      <c r="H7290" s="450" t="s">
        <v>22883</v>
      </c>
      <c r="I7290" s="450"/>
      <c r="J7290" s="450" t="s">
        <v>23133</v>
      </c>
      <c r="K7290" s="450"/>
    </row>
    <row r="7291" spans="1:11">
      <c r="A7291" s="451" t="s">
        <v>21840</v>
      </c>
      <c r="B7291" s="451"/>
      <c r="C7291" s="451" t="s">
        <v>11651</v>
      </c>
      <c r="D7291" s="451"/>
      <c r="E7291" s="451"/>
      <c r="F7291" s="451"/>
      <c r="G7291" s="451" t="s">
        <v>22882</v>
      </c>
      <c r="H7291" s="451" t="s">
        <v>22883</v>
      </c>
      <c r="I7291" s="451"/>
      <c r="J7291" s="451" t="s">
        <v>23185</v>
      </c>
      <c r="K7291" s="451"/>
    </row>
    <row r="7292" spans="1:11">
      <c r="A7292" s="450" t="s">
        <v>36745</v>
      </c>
      <c r="B7292" s="450"/>
      <c r="C7292" s="450" t="s">
        <v>11653</v>
      </c>
      <c r="D7292" s="450"/>
      <c r="E7292" s="450"/>
      <c r="F7292" s="450"/>
      <c r="G7292" s="450" t="s">
        <v>22877</v>
      </c>
      <c r="H7292" s="450" t="s">
        <v>22878</v>
      </c>
      <c r="I7292" s="450" t="s">
        <v>27198</v>
      </c>
      <c r="J7292" s="450" t="s">
        <v>22939</v>
      </c>
      <c r="K7292" s="450"/>
    </row>
    <row r="7293" spans="1:11">
      <c r="A7293" s="451" t="s">
        <v>11652</v>
      </c>
      <c r="B7293" s="451"/>
      <c r="C7293" s="451" t="s">
        <v>11653</v>
      </c>
      <c r="D7293" s="451"/>
      <c r="E7293" s="451"/>
      <c r="F7293" s="451"/>
      <c r="G7293" s="451" t="s">
        <v>22877</v>
      </c>
      <c r="H7293" s="451" t="s">
        <v>22878</v>
      </c>
      <c r="I7293" s="451" t="s">
        <v>27198</v>
      </c>
      <c r="J7293" s="451" t="s">
        <v>23185</v>
      </c>
      <c r="K7293" s="451"/>
    </row>
    <row r="7294" spans="1:11">
      <c r="A7294" s="450" t="s">
        <v>11654</v>
      </c>
      <c r="B7294" s="450" t="s">
        <v>11655</v>
      </c>
      <c r="C7294" s="450" t="s">
        <v>11656</v>
      </c>
      <c r="D7294" s="450"/>
      <c r="E7294" s="450"/>
      <c r="F7294" s="450"/>
      <c r="G7294" s="450" t="s">
        <v>22877</v>
      </c>
      <c r="H7294" s="450" t="s">
        <v>22878</v>
      </c>
      <c r="I7294" s="450" t="s">
        <v>27201</v>
      </c>
      <c r="J7294" s="450" t="s">
        <v>31848</v>
      </c>
      <c r="K7294" s="450"/>
    </row>
    <row r="7295" spans="1:11">
      <c r="A7295" s="451" t="s">
        <v>11657</v>
      </c>
      <c r="B7295" s="451"/>
      <c r="C7295" s="451" t="s">
        <v>11658</v>
      </c>
      <c r="D7295" s="451"/>
      <c r="E7295" s="451"/>
      <c r="F7295" s="451"/>
      <c r="G7295" s="451" t="s">
        <v>22877</v>
      </c>
      <c r="H7295" s="451" t="s">
        <v>22878</v>
      </c>
      <c r="I7295" s="451" t="s">
        <v>27199</v>
      </c>
      <c r="J7295" s="451" t="s">
        <v>22939</v>
      </c>
      <c r="K7295" s="451"/>
    </row>
    <row r="7296" spans="1:11">
      <c r="A7296" s="450" t="s">
        <v>27200</v>
      </c>
      <c r="B7296" s="450" t="s">
        <v>11655</v>
      </c>
      <c r="C7296" s="450" t="s">
        <v>11656</v>
      </c>
      <c r="D7296" s="450"/>
      <c r="E7296" s="450"/>
      <c r="F7296" s="450"/>
      <c r="G7296" s="450" t="s">
        <v>22877</v>
      </c>
      <c r="H7296" s="450" t="s">
        <v>22878</v>
      </c>
      <c r="I7296" s="450" t="s">
        <v>27201</v>
      </c>
      <c r="J7296" s="450" t="s">
        <v>27202</v>
      </c>
      <c r="K7296" s="450"/>
    </row>
    <row r="7297" spans="1:11">
      <c r="A7297" s="451" t="s">
        <v>11659</v>
      </c>
      <c r="B7297" s="451"/>
      <c r="C7297" s="451" t="s">
        <v>3106</v>
      </c>
      <c r="D7297" s="451"/>
      <c r="E7297" s="451"/>
      <c r="F7297" s="451"/>
      <c r="G7297" s="451" t="s">
        <v>22882</v>
      </c>
      <c r="H7297" s="451" t="s">
        <v>22883</v>
      </c>
      <c r="I7297" s="451"/>
      <c r="J7297" s="451" t="s">
        <v>22939</v>
      </c>
      <c r="K7297" s="451"/>
    </row>
    <row r="7298" spans="1:11">
      <c r="A7298" s="450" t="s">
        <v>36746</v>
      </c>
      <c r="B7298" s="450"/>
      <c r="C7298" s="450" t="s">
        <v>11661</v>
      </c>
      <c r="D7298" s="450"/>
      <c r="E7298" s="450"/>
      <c r="F7298" s="450"/>
      <c r="G7298" s="450" t="s">
        <v>22877</v>
      </c>
      <c r="H7298" s="450" t="s">
        <v>22878</v>
      </c>
      <c r="I7298" s="450" t="s">
        <v>36747</v>
      </c>
      <c r="J7298" s="450" t="s">
        <v>22943</v>
      </c>
      <c r="K7298" s="450"/>
    </row>
    <row r="7299" spans="1:11">
      <c r="A7299" s="451" t="s">
        <v>11660</v>
      </c>
      <c r="B7299" s="451"/>
      <c r="C7299" s="451" t="s">
        <v>11661</v>
      </c>
      <c r="D7299" s="451"/>
      <c r="E7299" s="451"/>
      <c r="F7299" s="451"/>
      <c r="G7299" s="451" t="s">
        <v>22877</v>
      </c>
      <c r="H7299" s="451" t="s">
        <v>22878</v>
      </c>
      <c r="I7299" s="451" t="s">
        <v>36747</v>
      </c>
      <c r="J7299" s="451" t="s">
        <v>23185</v>
      </c>
      <c r="K7299" s="451"/>
    </row>
    <row r="7300" spans="1:11">
      <c r="A7300" s="450" t="s">
        <v>11662</v>
      </c>
      <c r="B7300" s="450"/>
      <c r="C7300" s="450" t="s">
        <v>3106</v>
      </c>
      <c r="D7300" s="450"/>
      <c r="E7300" s="450"/>
      <c r="F7300" s="450"/>
      <c r="G7300" s="450" t="s">
        <v>22882</v>
      </c>
      <c r="H7300" s="450" t="s">
        <v>22883</v>
      </c>
      <c r="I7300" s="450" t="s">
        <v>36748</v>
      </c>
      <c r="J7300" s="450" t="s">
        <v>22939</v>
      </c>
      <c r="K7300" s="450"/>
    </row>
    <row r="7301" spans="1:11">
      <c r="A7301" s="451" t="s">
        <v>11663</v>
      </c>
      <c r="B7301" s="451"/>
      <c r="C7301" s="451" t="s">
        <v>11664</v>
      </c>
      <c r="D7301" s="451"/>
      <c r="E7301" s="451"/>
      <c r="F7301" s="451"/>
      <c r="G7301" s="451" t="s">
        <v>22877</v>
      </c>
      <c r="H7301" s="451" t="s">
        <v>22878</v>
      </c>
      <c r="I7301" s="451" t="s">
        <v>36749</v>
      </c>
      <c r="J7301" s="451" t="s">
        <v>23133</v>
      </c>
      <c r="K7301" s="451"/>
    </row>
    <row r="7302" spans="1:11">
      <c r="A7302" s="450" t="s">
        <v>11665</v>
      </c>
      <c r="B7302" s="450"/>
      <c r="C7302" s="450" t="s">
        <v>11666</v>
      </c>
      <c r="D7302" s="450"/>
      <c r="E7302" s="450"/>
      <c r="F7302" s="450"/>
      <c r="G7302" s="450" t="s">
        <v>22882</v>
      </c>
      <c r="H7302" s="450" t="s">
        <v>22883</v>
      </c>
      <c r="I7302" s="450"/>
      <c r="J7302" s="450" t="s">
        <v>22943</v>
      </c>
      <c r="K7302" s="450"/>
    </row>
    <row r="7303" spans="1:11">
      <c r="A7303" s="451" t="s">
        <v>22227</v>
      </c>
      <c r="B7303" s="451" t="s">
        <v>22229</v>
      </c>
      <c r="C7303" s="451" t="s">
        <v>36750</v>
      </c>
      <c r="D7303" s="451"/>
      <c r="E7303" s="451"/>
      <c r="F7303" s="451"/>
      <c r="G7303" s="451" t="s">
        <v>22877</v>
      </c>
      <c r="H7303" s="451" t="s">
        <v>22878</v>
      </c>
      <c r="I7303" s="451" t="s">
        <v>27203</v>
      </c>
      <c r="J7303" s="451" t="s">
        <v>36751</v>
      </c>
      <c r="K7303" s="451"/>
    </row>
    <row r="7304" spans="1:11">
      <c r="A7304" s="450" t="s">
        <v>22227</v>
      </c>
      <c r="B7304" s="450" t="s">
        <v>22229</v>
      </c>
      <c r="C7304" s="450" t="s">
        <v>22228</v>
      </c>
      <c r="D7304" s="450"/>
      <c r="E7304" s="450"/>
      <c r="F7304" s="450"/>
      <c r="G7304" s="450" t="s">
        <v>22877</v>
      </c>
      <c r="H7304" s="450" t="s">
        <v>22878</v>
      </c>
      <c r="I7304" s="450" t="s">
        <v>27203</v>
      </c>
      <c r="J7304" s="450" t="s">
        <v>31849</v>
      </c>
      <c r="K7304" s="450"/>
    </row>
    <row r="7305" spans="1:11">
      <c r="A7305" s="451" t="s">
        <v>11667</v>
      </c>
      <c r="B7305" s="451"/>
      <c r="C7305" s="451" t="s">
        <v>11668</v>
      </c>
      <c r="D7305" s="451"/>
      <c r="E7305" s="451"/>
      <c r="F7305" s="451"/>
      <c r="G7305" s="451" t="s">
        <v>22877</v>
      </c>
      <c r="H7305" s="451" t="s">
        <v>22878</v>
      </c>
      <c r="I7305" s="451" t="s">
        <v>36752</v>
      </c>
      <c r="J7305" s="451" t="s">
        <v>23185</v>
      </c>
      <c r="K7305" s="451"/>
    </row>
    <row r="7306" spans="1:11">
      <c r="A7306" s="450" t="s">
        <v>27204</v>
      </c>
      <c r="B7306" s="450"/>
      <c r="C7306" s="450" t="s">
        <v>27205</v>
      </c>
      <c r="D7306" s="450"/>
      <c r="E7306" s="450"/>
      <c r="F7306" s="450"/>
      <c r="G7306" s="450" t="s">
        <v>22877</v>
      </c>
      <c r="H7306" s="450" t="s">
        <v>22878</v>
      </c>
      <c r="I7306" s="450" t="s">
        <v>27206</v>
      </c>
      <c r="J7306" s="450" t="s">
        <v>23133</v>
      </c>
      <c r="K7306" s="450"/>
    </row>
    <row r="7307" spans="1:11">
      <c r="A7307" s="451" t="s">
        <v>20516</v>
      </c>
      <c r="B7307" s="451" t="s">
        <v>20517</v>
      </c>
      <c r="C7307" s="451" t="s">
        <v>20518</v>
      </c>
      <c r="D7307" s="451" t="s">
        <v>20519</v>
      </c>
      <c r="E7307" s="451"/>
      <c r="F7307" s="451"/>
      <c r="G7307" s="451" t="s">
        <v>22877</v>
      </c>
      <c r="H7307" s="451" t="s">
        <v>22878</v>
      </c>
      <c r="I7307" s="451" t="s">
        <v>20519</v>
      </c>
      <c r="J7307" s="451" t="s">
        <v>27207</v>
      </c>
      <c r="K7307" s="451"/>
    </row>
    <row r="7308" spans="1:11">
      <c r="A7308" s="450" t="s">
        <v>27208</v>
      </c>
      <c r="B7308" s="450" t="s">
        <v>27209</v>
      </c>
      <c r="C7308" s="450" t="s">
        <v>16604</v>
      </c>
      <c r="D7308" s="450" t="s">
        <v>27210</v>
      </c>
      <c r="E7308" s="450"/>
      <c r="F7308" s="450"/>
      <c r="G7308" s="450" t="s">
        <v>22877</v>
      </c>
      <c r="H7308" s="450" t="s">
        <v>22878</v>
      </c>
      <c r="I7308" s="450" t="s">
        <v>27210</v>
      </c>
      <c r="J7308" s="450" t="s">
        <v>27211</v>
      </c>
      <c r="K7308" s="450"/>
    </row>
    <row r="7309" spans="1:11">
      <c r="A7309" s="451" t="s">
        <v>30032</v>
      </c>
      <c r="B7309" s="451" t="s">
        <v>30033</v>
      </c>
      <c r="C7309" s="451" t="s">
        <v>16604</v>
      </c>
      <c r="D7309" s="451"/>
      <c r="E7309" s="451"/>
      <c r="F7309" s="451"/>
      <c r="G7309" s="451"/>
      <c r="H7309" s="451"/>
      <c r="I7309" s="451"/>
      <c r="J7309" s="451"/>
      <c r="K7309" s="451"/>
    </row>
    <row r="7310" spans="1:11">
      <c r="A7310" s="450" t="s">
        <v>11669</v>
      </c>
      <c r="B7310" s="450" t="s">
        <v>11670</v>
      </c>
      <c r="C7310" s="450" t="s">
        <v>11671</v>
      </c>
      <c r="D7310" s="450"/>
      <c r="E7310" s="450"/>
      <c r="F7310" s="450"/>
      <c r="G7310" s="450" t="s">
        <v>22877</v>
      </c>
      <c r="H7310" s="450" t="s">
        <v>22878</v>
      </c>
      <c r="I7310" s="450" t="s">
        <v>27213</v>
      </c>
      <c r="J7310" s="450" t="s">
        <v>36753</v>
      </c>
      <c r="K7310" s="450"/>
    </row>
    <row r="7311" spans="1:11">
      <c r="A7311" s="451" t="s">
        <v>27212</v>
      </c>
      <c r="B7311" s="451" t="s">
        <v>11670</v>
      </c>
      <c r="C7311" s="451" t="s">
        <v>11671</v>
      </c>
      <c r="D7311" s="451"/>
      <c r="E7311" s="451"/>
      <c r="F7311" s="451"/>
      <c r="G7311" s="451" t="s">
        <v>22877</v>
      </c>
      <c r="H7311" s="451" t="s">
        <v>22878</v>
      </c>
      <c r="I7311" s="451" t="s">
        <v>27213</v>
      </c>
      <c r="J7311" s="451" t="s">
        <v>27214</v>
      </c>
      <c r="K7311" s="451"/>
    </row>
    <row r="7312" spans="1:11">
      <c r="A7312" s="450" t="s">
        <v>11672</v>
      </c>
      <c r="B7312" s="450"/>
      <c r="C7312" s="450" t="s">
        <v>11673</v>
      </c>
      <c r="D7312" s="450"/>
      <c r="E7312" s="450"/>
      <c r="F7312" s="450"/>
      <c r="G7312" s="450" t="s">
        <v>22877</v>
      </c>
      <c r="H7312" s="450" t="s">
        <v>22878</v>
      </c>
      <c r="I7312" s="450" t="s">
        <v>27215</v>
      </c>
      <c r="J7312" s="450" t="s">
        <v>22943</v>
      </c>
      <c r="K7312" s="450"/>
    </row>
    <row r="7313" spans="1:11">
      <c r="A7313" s="451" t="s">
        <v>11674</v>
      </c>
      <c r="B7313" s="451" t="s">
        <v>36754</v>
      </c>
      <c r="C7313" s="451" t="s">
        <v>11676</v>
      </c>
      <c r="D7313" s="451" t="s">
        <v>11677</v>
      </c>
      <c r="E7313" s="451"/>
      <c r="F7313" s="451"/>
      <c r="G7313" s="451" t="s">
        <v>22877</v>
      </c>
      <c r="H7313" s="451" t="s">
        <v>22878</v>
      </c>
      <c r="I7313" s="451" t="s">
        <v>11677</v>
      </c>
      <c r="J7313" s="451" t="s">
        <v>36755</v>
      </c>
      <c r="K7313" s="451"/>
    </row>
    <row r="7314" spans="1:11">
      <c r="A7314" s="450" t="s">
        <v>11674</v>
      </c>
      <c r="B7314" s="450" t="s">
        <v>11675</v>
      </c>
      <c r="C7314" s="450" t="s">
        <v>11676</v>
      </c>
      <c r="D7314" s="450" t="s">
        <v>11677</v>
      </c>
      <c r="E7314" s="450" t="s">
        <v>11678</v>
      </c>
      <c r="F7314" s="450"/>
      <c r="G7314" s="450" t="s">
        <v>22877</v>
      </c>
      <c r="H7314" s="450" t="s">
        <v>22878</v>
      </c>
      <c r="I7314" s="450" t="s">
        <v>11677</v>
      </c>
      <c r="J7314" s="450" t="s">
        <v>31850</v>
      </c>
      <c r="K7314" s="450"/>
    </row>
    <row r="7315" spans="1:11">
      <c r="A7315" s="451" t="s">
        <v>11679</v>
      </c>
      <c r="B7315" s="451"/>
      <c r="C7315" s="451" t="s">
        <v>11666</v>
      </c>
      <c r="D7315" s="451"/>
      <c r="E7315" s="451"/>
      <c r="F7315" s="451"/>
      <c r="G7315" s="451" t="s">
        <v>22882</v>
      </c>
      <c r="H7315" s="451" t="s">
        <v>22883</v>
      </c>
      <c r="I7315" s="451"/>
      <c r="J7315" s="451" t="s">
        <v>23121</v>
      </c>
      <c r="K7315" s="451"/>
    </row>
    <row r="7316" spans="1:11" ht="15.5">
      <c r="A7316" s="448" t="s">
        <v>36756</v>
      </c>
      <c r="B7316" s="448" t="s">
        <v>36757</v>
      </c>
      <c r="C7316" s="448" t="s">
        <v>36758</v>
      </c>
      <c r="D7316" s="448"/>
      <c r="E7316" s="448"/>
      <c r="F7316" s="448"/>
      <c r="G7316" s="448"/>
      <c r="H7316" s="448"/>
      <c r="I7316" s="448"/>
      <c r="J7316" s="448"/>
      <c r="K7316" s="448"/>
    </row>
    <row r="7317" spans="1:11">
      <c r="A7317" s="451" t="s">
        <v>11680</v>
      </c>
      <c r="B7317" s="451"/>
      <c r="C7317" s="451" t="s">
        <v>11681</v>
      </c>
      <c r="D7317" s="451"/>
      <c r="E7317" s="451"/>
      <c r="F7317" s="451"/>
      <c r="G7317" s="451" t="s">
        <v>22877</v>
      </c>
      <c r="H7317" s="451" t="s">
        <v>22878</v>
      </c>
      <c r="I7317" s="451"/>
      <c r="J7317" s="451" t="s">
        <v>22939</v>
      </c>
      <c r="K7317" s="451"/>
    </row>
    <row r="7318" spans="1:11">
      <c r="A7318" s="450" t="s">
        <v>11682</v>
      </c>
      <c r="B7318" s="450"/>
      <c r="C7318" s="450" t="s">
        <v>11683</v>
      </c>
      <c r="D7318" s="450"/>
      <c r="E7318" s="450"/>
      <c r="F7318" s="450"/>
      <c r="G7318" s="450" t="s">
        <v>22877</v>
      </c>
      <c r="H7318" s="450" t="s">
        <v>22878</v>
      </c>
      <c r="I7318" s="450"/>
      <c r="J7318" s="450" t="s">
        <v>22997</v>
      </c>
      <c r="K7318" s="450"/>
    </row>
    <row r="7319" spans="1:11">
      <c r="A7319" s="451" t="s">
        <v>11684</v>
      </c>
      <c r="B7319" s="451"/>
      <c r="C7319" s="451" t="s">
        <v>2606</v>
      </c>
      <c r="D7319" s="451"/>
      <c r="E7319" s="451"/>
      <c r="F7319" s="451"/>
      <c r="G7319" s="451" t="s">
        <v>22882</v>
      </c>
      <c r="H7319" s="451" t="s">
        <v>22883</v>
      </c>
      <c r="I7319" s="451"/>
      <c r="J7319" s="451" t="s">
        <v>22943</v>
      </c>
      <c r="K7319" s="451"/>
    </row>
    <row r="7320" spans="1:11">
      <c r="A7320" s="450" t="s">
        <v>11685</v>
      </c>
      <c r="B7320" s="450"/>
      <c r="C7320" s="450" t="s">
        <v>11686</v>
      </c>
      <c r="D7320" s="450"/>
      <c r="E7320" s="450"/>
      <c r="F7320" s="450"/>
      <c r="G7320" s="450" t="s">
        <v>22877</v>
      </c>
      <c r="H7320" s="450" t="s">
        <v>22878</v>
      </c>
      <c r="I7320" s="450"/>
      <c r="J7320" s="450" t="s">
        <v>22943</v>
      </c>
      <c r="K7320" s="450"/>
    </row>
    <row r="7321" spans="1:11">
      <c r="A7321" s="451" t="s">
        <v>11687</v>
      </c>
      <c r="B7321" s="451"/>
      <c r="C7321" s="451" t="s">
        <v>2590</v>
      </c>
      <c r="D7321" s="451"/>
      <c r="E7321" s="451"/>
      <c r="F7321" s="451"/>
      <c r="G7321" s="451" t="s">
        <v>22877</v>
      </c>
      <c r="H7321" s="451" t="s">
        <v>22878</v>
      </c>
      <c r="I7321" s="451"/>
      <c r="J7321" s="451" t="s">
        <v>22939</v>
      </c>
      <c r="K7321" s="451"/>
    </row>
    <row r="7322" spans="1:11">
      <c r="A7322" s="450" t="s">
        <v>36759</v>
      </c>
      <c r="B7322" s="450"/>
      <c r="C7322" s="450" t="s">
        <v>11689</v>
      </c>
      <c r="D7322" s="450"/>
      <c r="E7322" s="450"/>
      <c r="F7322" s="450"/>
      <c r="G7322" s="450" t="s">
        <v>22877</v>
      </c>
      <c r="H7322" s="450" t="s">
        <v>22878</v>
      </c>
      <c r="I7322" s="450" t="s">
        <v>27216</v>
      </c>
      <c r="J7322" s="450" t="s">
        <v>22997</v>
      </c>
      <c r="K7322" s="450"/>
    </row>
    <row r="7323" spans="1:11">
      <c r="A7323" s="451" t="s">
        <v>11688</v>
      </c>
      <c r="B7323" s="451"/>
      <c r="C7323" s="451" t="s">
        <v>11689</v>
      </c>
      <c r="D7323" s="451"/>
      <c r="E7323" s="451"/>
      <c r="F7323" s="451"/>
      <c r="G7323" s="451" t="s">
        <v>22877</v>
      </c>
      <c r="H7323" s="451" t="s">
        <v>22878</v>
      </c>
      <c r="I7323" s="451" t="s">
        <v>27216</v>
      </c>
      <c r="J7323" s="451" t="s">
        <v>23185</v>
      </c>
      <c r="K7323" s="451"/>
    </row>
    <row r="7324" spans="1:11">
      <c r="A7324" s="450" t="s">
        <v>11690</v>
      </c>
      <c r="B7324" s="450" t="s">
        <v>11691</v>
      </c>
      <c r="C7324" s="450" t="s">
        <v>11692</v>
      </c>
      <c r="D7324" s="450"/>
      <c r="E7324" s="450"/>
      <c r="F7324" s="450"/>
      <c r="G7324" s="450" t="s">
        <v>22882</v>
      </c>
      <c r="H7324" s="450" t="s">
        <v>22883</v>
      </c>
      <c r="I7324" s="450" t="s">
        <v>27217</v>
      </c>
      <c r="J7324" s="450" t="s">
        <v>27218</v>
      </c>
      <c r="K7324" s="450"/>
    </row>
    <row r="7325" spans="1:11">
      <c r="A7325" s="451" t="s">
        <v>11693</v>
      </c>
      <c r="B7325" s="451"/>
      <c r="C7325" s="451" t="s">
        <v>11694</v>
      </c>
      <c r="D7325" s="451"/>
      <c r="E7325" s="451"/>
      <c r="F7325" s="451"/>
      <c r="G7325" s="451" t="s">
        <v>22882</v>
      </c>
      <c r="H7325" s="451" t="s">
        <v>22883</v>
      </c>
      <c r="I7325" s="451" t="s">
        <v>36760</v>
      </c>
      <c r="J7325" s="451" t="s">
        <v>23133</v>
      </c>
      <c r="K7325" s="451"/>
    </row>
    <row r="7326" spans="1:11">
      <c r="A7326" s="450" t="s">
        <v>11695</v>
      </c>
      <c r="B7326" s="450"/>
      <c r="C7326" s="450" t="s">
        <v>11696</v>
      </c>
      <c r="D7326" s="450"/>
      <c r="E7326" s="450"/>
      <c r="F7326" s="450"/>
      <c r="G7326" s="450" t="s">
        <v>22877</v>
      </c>
      <c r="H7326" s="450" t="s">
        <v>22878</v>
      </c>
      <c r="I7326" s="450" t="s">
        <v>36761</v>
      </c>
      <c r="J7326" s="450" t="s">
        <v>22939</v>
      </c>
      <c r="K7326" s="450"/>
    </row>
    <row r="7327" spans="1:11">
      <c r="A7327" s="451" t="s">
        <v>11697</v>
      </c>
      <c r="B7327" s="451"/>
      <c r="C7327" s="451" t="s">
        <v>11698</v>
      </c>
      <c r="D7327" s="451"/>
      <c r="E7327" s="451"/>
      <c r="F7327" s="451"/>
      <c r="G7327" s="451" t="s">
        <v>22877</v>
      </c>
      <c r="H7327" s="451" t="s">
        <v>22878</v>
      </c>
      <c r="I7327" s="451" t="s">
        <v>36762</v>
      </c>
      <c r="J7327" s="451" t="s">
        <v>22942</v>
      </c>
      <c r="K7327" s="451"/>
    </row>
    <row r="7328" spans="1:11">
      <c r="A7328" s="450" t="s">
        <v>27219</v>
      </c>
      <c r="B7328" s="450"/>
      <c r="C7328" s="450" t="s">
        <v>11698</v>
      </c>
      <c r="D7328" s="450"/>
      <c r="E7328" s="450"/>
      <c r="F7328" s="450"/>
      <c r="G7328" s="450" t="s">
        <v>22877</v>
      </c>
      <c r="H7328" s="450" t="s">
        <v>22878</v>
      </c>
      <c r="I7328" s="450"/>
      <c r="J7328" s="450" t="s">
        <v>23370</v>
      </c>
      <c r="K7328" s="450"/>
    </row>
    <row r="7329" spans="1:11">
      <c r="A7329" s="451" t="s">
        <v>36763</v>
      </c>
      <c r="B7329" s="451" t="s">
        <v>11700</v>
      </c>
      <c r="C7329" s="451" t="s">
        <v>11701</v>
      </c>
      <c r="D7329" s="451" t="s">
        <v>11702</v>
      </c>
      <c r="E7329" s="451"/>
      <c r="F7329" s="451"/>
      <c r="G7329" s="451" t="s">
        <v>22877</v>
      </c>
      <c r="H7329" s="451" t="s">
        <v>22878</v>
      </c>
      <c r="I7329" s="451" t="s">
        <v>11702</v>
      </c>
      <c r="J7329" s="451" t="s">
        <v>27220</v>
      </c>
      <c r="K7329" s="451"/>
    </row>
    <row r="7330" spans="1:11">
      <c r="A7330" s="450" t="s">
        <v>11699</v>
      </c>
      <c r="B7330" s="450" t="s">
        <v>11700</v>
      </c>
      <c r="C7330" s="450" t="s">
        <v>11701</v>
      </c>
      <c r="D7330" s="450" t="s">
        <v>11702</v>
      </c>
      <c r="E7330" s="450" t="s">
        <v>6800</v>
      </c>
      <c r="F7330" s="450"/>
      <c r="G7330" s="450" t="s">
        <v>22877</v>
      </c>
      <c r="H7330" s="450" t="s">
        <v>22878</v>
      </c>
      <c r="I7330" s="450" t="s">
        <v>31851</v>
      </c>
      <c r="J7330" s="450" t="s">
        <v>27220</v>
      </c>
      <c r="K7330" s="450"/>
    </row>
    <row r="7331" spans="1:11">
      <c r="A7331" s="451" t="s">
        <v>11703</v>
      </c>
      <c r="B7331" s="451" t="s">
        <v>11704</v>
      </c>
      <c r="C7331" s="451" t="s">
        <v>11705</v>
      </c>
      <c r="D7331" s="451"/>
      <c r="E7331" s="451"/>
      <c r="F7331" s="451"/>
      <c r="G7331" s="451" t="s">
        <v>22877</v>
      </c>
      <c r="H7331" s="451" t="s">
        <v>22878</v>
      </c>
      <c r="I7331" s="451" t="s">
        <v>27221</v>
      </c>
      <c r="J7331" s="451" t="s">
        <v>27222</v>
      </c>
      <c r="K7331" s="451"/>
    </row>
    <row r="7332" spans="1:11">
      <c r="A7332" s="450" t="s">
        <v>36764</v>
      </c>
      <c r="B7332" s="450"/>
      <c r="C7332" s="450" t="s">
        <v>6133</v>
      </c>
      <c r="D7332" s="450"/>
      <c r="E7332" s="450"/>
      <c r="F7332" s="450"/>
      <c r="G7332" s="450" t="s">
        <v>22882</v>
      </c>
      <c r="H7332" s="450" t="s">
        <v>22883</v>
      </c>
      <c r="I7332" s="450"/>
      <c r="J7332" s="450" t="s">
        <v>23133</v>
      </c>
      <c r="K7332" s="450"/>
    </row>
    <row r="7333" spans="1:11">
      <c r="A7333" s="451" t="s">
        <v>21841</v>
      </c>
      <c r="B7333" s="451"/>
      <c r="C7333" s="451" t="s">
        <v>6133</v>
      </c>
      <c r="D7333" s="451"/>
      <c r="E7333" s="451"/>
      <c r="F7333" s="451"/>
      <c r="G7333" s="451" t="s">
        <v>22882</v>
      </c>
      <c r="H7333" s="451" t="s">
        <v>22883</v>
      </c>
      <c r="I7333" s="451"/>
      <c r="J7333" s="451" t="s">
        <v>23179</v>
      </c>
      <c r="K7333" s="451"/>
    </row>
    <row r="7334" spans="1:11">
      <c r="A7334" s="450" t="s">
        <v>36765</v>
      </c>
      <c r="B7334" s="450"/>
      <c r="C7334" s="450" t="s">
        <v>2166</v>
      </c>
      <c r="D7334" s="450"/>
      <c r="E7334" s="450"/>
      <c r="F7334" s="450"/>
      <c r="G7334" s="450" t="s">
        <v>22882</v>
      </c>
      <c r="H7334" s="450" t="s">
        <v>22883</v>
      </c>
      <c r="I7334" s="450"/>
      <c r="J7334" s="450" t="s">
        <v>22997</v>
      </c>
      <c r="K7334" s="450"/>
    </row>
    <row r="7335" spans="1:11">
      <c r="A7335" s="451" t="s">
        <v>11706</v>
      </c>
      <c r="B7335" s="451"/>
      <c r="C7335" s="451" t="s">
        <v>11707</v>
      </c>
      <c r="D7335" s="451"/>
      <c r="E7335" s="451"/>
      <c r="F7335" s="451"/>
      <c r="G7335" s="451" t="s">
        <v>22882</v>
      </c>
      <c r="H7335" s="451" t="s">
        <v>22883</v>
      </c>
      <c r="I7335" s="451" t="s">
        <v>36766</v>
      </c>
      <c r="J7335" s="451" t="s">
        <v>22939</v>
      </c>
      <c r="K7335" s="451"/>
    </row>
    <row r="7336" spans="1:11">
      <c r="A7336" s="450" t="s">
        <v>27223</v>
      </c>
      <c r="B7336" s="450"/>
      <c r="C7336" s="450" t="s">
        <v>10761</v>
      </c>
      <c r="D7336" s="450"/>
      <c r="E7336" s="450"/>
      <c r="F7336" s="450"/>
      <c r="G7336" s="450" t="s">
        <v>22877</v>
      </c>
      <c r="H7336" s="450" t="s">
        <v>22878</v>
      </c>
      <c r="I7336" s="450" t="s">
        <v>27224</v>
      </c>
      <c r="J7336" s="450" t="s">
        <v>23370</v>
      </c>
      <c r="K7336" s="450"/>
    </row>
    <row r="7337" spans="1:11">
      <c r="A7337" s="451" t="s">
        <v>11708</v>
      </c>
      <c r="B7337" s="451" t="s">
        <v>11709</v>
      </c>
      <c r="C7337" s="451" t="s">
        <v>2168</v>
      </c>
      <c r="D7337" s="451" t="s">
        <v>11710</v>
      </c>
      <c r="E7337" s="451"/>
      <c r="F7337" s="451"/>
      <c r="G7337" s="451" t="s">
        <v>22877</v>
      </c>
      <c r="H7337" s="451" t="s">
        <v>22878</v>
      </c>
      <c r="I7337" s="451"/>
      <c r="J7337" s="451" t="s">
        <v>36767</v>
      </c>
      <c r="K7337" s="451"/>
    </row>
    <row r="7338" spans="1:11">
      <c r="A7338" s="450" t="s">
        <v>11708</v>
      </c>
      <c r="B7338" s="450" t="s">
        <v>11709</v>
      </c>
      <c r="C7338" s="450" t="s">
        <v>2168</v>
      </c>
      <c r="D7338" s="450" t="s">
        <v>11710</v>
      </c>
      <c r="E7338" s="450">
        <v>5527424</v>
      </c>
      <c r="F7338" s="450"/>
      <c r="G7338" s="450" t="s">
        <v>22877</v>
      </c>
      <c r="H7338" s="450" t="s">
        <v>22878</v>
      </c>
      <c r="I7338" s="450" t="s">
        <v>31852</v>
      </c>
      <c r="J7338" s="450" t="s">
        <v>31853</v>
      </c>
      <c r="K7338" s="450"/>
    </row>
    <row r="7339" spans="1:11">
      <c r="A7339" s="451" t="s">
        <v>11711</v>
      </c>
      <c r="B7339" s="451"/>
      <c r="C7339" s="451" t="s">
        <v>3345</v>
      </c>
      <c r="D7339" s="451"/>
      <c r="E7339" s="451"/>
      <c r="F7339" s="451"/>
      <c r="G7339" s="451" t="s">
        <v>22877</v>
      </c>
      <c r="H7339" s="451" t="s">
        <v>22878</v>
      </c>
      <c r="I7339" s="451" t="s">
        <v>27225</v>
      </c>
      <c r="J7339" s="451" t="s">
        <v>23370</v>
      </c>
      <c r="K7339" s="451"/>
    </row>
    <row r="7340" spans="1:11">
      <c r="A7340" s="450" t="s">
        <v>11712</v>
      </c>
      <c r="B7340" s="450" t="s">
        <v>11713</v>
      </c>
      <c r="C7340" s="450" t="s">
        <v>11714</v>
      </c>
      <c r="D7340" s="450"/>
      <c r="E7340" s="450"/>
      <c r="F7340" s="450"/>
      <c r="G7340" s="450" t="s">
        <v>22877</v>
      </c>
      <c r="H7340" s="450" t="s">
        <v>22878</v>
      </c>
      <c r="I7340" s="450" t="s">
        <v>27226</v>
      </c>
      <c r="J7340" s="450" t="s">
        <v>27227</v>
      </c>
      <c r="K7340" s="450"/>
    </row>
    <row r="7341" spans="1:11">
      <c r="A7341" s="451" t="s">
        <v>20531</v>
      </c>
      <c r="B7341" s="451" t="s">
        <v>20532</v>
      </c>
      <c r="C7341" s="451" t="s">
        <v>16302</v>
      </c>
      <c r="D7341" s="451" t="s">
        <v>4994</v>
      </c>
      <c r="E7341" s="451"/>
      <c r="F7341" s="451"/>
      <c r="G7341" s="451" t="s">
        <v>22882</v>
      </c>
      <c r="H7341" s="451" t="s">
        <v>22883</v>
      </c>
      <c r="I7341" s="451" t="s">
        <v>4994</v>
      </c>
      <c r="J7341" s="451" t="s">
        <v>27228</v>
      </c>
      <c r="K7341" s="451"/>
    </row>
    <row r="7342" spans="1:11">
      <c r="A7342" s="450" t="s">
        <v>20531</v>
      </c>
      <c r="B7342" s="450" t="s">
        <v>20532</v>
      </c>
      <c r="C7342" s="450" t="s">
        <v>16302</v>
      </c>
      <c r="D7342" s="450" t="s">
        <v>4994</v>
      </c>
      <c r="E7342" s="450"/>
      <c r="F7342" s="450" t="s">
        <v>20533</v>
      </c>
      <c r="G7342" s="450" t="s">
        <v>22882</v>
      </c>
      <c r="H7342" s="450" t="s">
        <v>22883</v>
      </c>
      <c r="I7342" s="450" t="s">
        <v>4994</v>
      </c>
      <c r="J7342" s="450" t="s">
        <v>27228</v>
      </c>
      <c r="K7342" s="450"/>
    </row>
    <row r="7343" spans="1:11">
      <c r="A7343" s="451" t="s">
        <v>11715</v>
      </c>
      <c r="B7343" s="451" t="s">
        <v>11716</v>
      </c>
      <c r="C7343" s="451" t="s">
        <v>11717</v>
      </c>
      <c r="D7343" s="451" t="s">
        <v>11718</v>
      </c>
      <c r="E7343" s="451"/>
      <c r="F7343" s="451"/>
      <c r="G7343" s="451" t="s">
        <v>22877</v>
      </c>
      <c r="H7343" s="451" t="s">
        <v>22878</v>
      </c>
      <c r="I7343" s="451" t="s">
        <v>27229</v>
      </c>
      <c r="J7343" s="451" t="s">
        <v>27230</v>
      </c>
      <c r="K7343" s="451"/>
    </row>
    <row r="7344" spans="1:11">
      <c r="A7344" s="450" t="s">
        <v>36768</v>
      </c>
      <c r="B7344" s="450"/>
      <c r="C7344" s="450" t="s">
        <v>11720</v>
      </c>
      <c r="D7344" s="450"/>
      <c r="E7344" s="450"/>
      <c r="F7344" s="450"/>
      <c r="G7344" s="450" t="s">
        <v>22882</v>
      </c>
      <c r="H7344" s="450" t="s">
        <v>22883</v>
      </c>
      <c r="I7344" s="450"/>
      <c r="J7344" s="450" t="s">
        <v>22943</v>
      </c>
      <c r="K7344" s="450"/>
    </row>
    <row r="7345" spans="1:11">
      <c r="A7345" s="451" t="s">
        <v>11719</v>
      </c>
      <c r="B7345" s="451"/>
      <c r="C7345" s="451" t="s">
        <v>11720</v>
      </c>
      <c r="D7345" s="451"/>
      <c r="E7345" s="451"/>
      <c r="F7345" s="451"/>
      <c r="G7345" s="451" t="s">
        <v>22877</v>
      </c>
      <c r="H7345" s="451" t="s">
        <v>22878</v>
      </c>
      <c r="I7345" s="451" t="s">
        <v>36769</v>
      </c>
      <c r="J7345" s="451" t="s">
        <v>23121</v>
      </c>
      <c r="K7345" s="451"/>
    </row>
    <row r="7346" spans="1:11">
      <c r="A7346" s="450" t="s">
        <v>11721</v>
      </c>
      <c r="B7346" s="450"/>
      <c r="C7346" s="450" t="s">
        <v>11722</v>
      </c>
      <c r="D7346" s="450"/>
      <c r="E7346" s="450"/>
      <c r="F7346" s="450"/>
      <c r="G7346" s="450" t="s">
        <v>22877</v>
      </c>
      <c r="H7346" s="450" t="s">
        <v>22878</v>
      </c>
      <c r="I7346" s="450" t="s">
        <v>36770</v>
      </c>
      <c r="J7346" s="450" t="s">
        <v>22943</v>
      </c>
      <c r="K7346" s="450"/>
    </row>
    <row r="7347" spans="1:11">
      <c r="A7347" s="451" t="s">
        <v>36771</v>
      </c>
      <c r="B7347" s="451"/>
      <c r="C7347" s="451" t="s">
        <v>11723</v>
      </c>
      <c r="D7347" s="451"/>
      <c r="E7347" s="451"/>
      <c r="F7347" s="451"/>
      <c r="G7347" s="451" t="s">
        <v>22882</v>
      </c>
      <c r="H7347" s="451" t="s">
        <v>22883</v>
      </c>
      <c r="I7347" s="451" t="s">
        <v>36772</v>
      </c>
      <c r="J7347" s="451" t="s">
        <v>23185</v>
      </c>
      <c r="K7347" s="451"/>
    </row>
    <row r="7348" spans="1:11">
      <c r="A7348" s="450" t="s">
        <v>21842</v>
      </c>
      <c r="B7348" s="450"/>
      <c r="C7348" s="450" t="s">
        <v>11723</v>
      </c>
      <c r="D7348" s="450"/>
      <c r="E7348" s="450"/>
      <c r="F7348" s="450"/>
      <c r="G7348" s="450" t="s">
        <v>22882</v>
      </c>
      <c r="H7348" s="450" t="s">
        <v>22883</v>
      </c>
      <c r="I7348" s="450" t="s">
        <v>36772</v>
      </c>
      <c r="J7348" s="450" t="s">
        <v>22939</v>
      </c>
      <c r="K7348" s="450"/>
    </row>
    <row r="7349" spans="1:11">
      <c r="A7349" s="451" t="s">
        <v>36773</v>
      </c>
      <c r="B7349" s="451"/>
      <c r="C7349" s="451" t="s">
        <v>7359</v>
      </c>
      <c r="D7349" s="451"/>
      <c r="E7349" s="451"/>
      <c r="F7349" s="451"/>
      <c r="G7349" s="451" t="s">
        <v>22882</v>
      </c>
      <c r="H7349" s="451" t="s">
        <v>22883</v>
      </c>
      <c r="I7349" s="451" t="s">
        <v>36772</v>
      </c>
      <c r="J7349" s="451" t="s">
        <v>22939</v>
      </c>
      <c r="K7349" s="451"/>
    </row>
    <row r="7350" spans="1:11">
      <c r="A7350" s="450" t="s">
        <v>21843</v>
      </c>
      <c r="B7350" s="450"/>
      <c r="C7350" s="450" t="s">
        <v>7359</v>
      </c>
      <c r="D7350" s="450"/>
      <c r="E7350" s="450"/>
      <c r="F7350" s="450"/>
      <c r="G7350" s="450" t="s">
        <v>22882</v>
      </c>
      <c r="H7350" s="450" t="s">
        <v>22883</v>
      </c>
      <c r="I7350" s="450" t="s">
        <v>36772</v>
      </c>
      <c r="J7350" s="450" t="s">
        <v>23185</v>
      </c>
      <c r="K7350" s="450"/>
    </row>
    <row r="7351" spans="1:11">
      <c r="A7351" s="451" t="s">
        <v>36774</v>
      </c>
      <c r="B7351" s="451"/>
      <c r="C7351" s="451" t="s">
        <v>11725</v>
      </c>
      <c r="D7351" s="451"/>
      <c r="E7351" s="451"/>
      <c r="F7351" s="451"/>
      <c r="G7351" s="451" t="s">
        <v>22877</v>
      </c>
      <c r="H7351" s="451" t="s">
        <v>22878</v>
      </c>
      <c r="I7351" s="451" t="s">
        <v>36775</v>
      </c>
      <c r="J7351" s="451" t="s">
        <v>22948</v>
      </c>
      <c r="K7351" s="451"/>
    </row>
    <row r="7352" spans="1:11">
      <c r="A7352" s="450" t="s">
        <v>11724</v>
      </c>
      <c r="B7352" s="450"/>
      <c r="C7352" s="450" t="s">
        <v>11725</v>
      </c>
      <c r="D7352" s="450"/>
      <c r="E7352" s="450"/>
      <c r="F7352" s="450"/>
      <c r="G7352" s="450" t="s">
        <v>22877</v>
      </c>
      <c r="H7352" s="450" t="s">
        <v>22878</v>
      </c>
      <c r="I7352" s="450" t="s">
        <v>36775</v>
      </c>
      <c r="J7352" s="450" t="s">
        <v>23370</v>
      </c>
      <c r="K7352" s="450"/>
    </row>
    <row r="7353" spans="1:11">
      <c r="A7353" s="451" t="s">
        <v>11726</v>
      </c>
      <c r="B7353" s="451"/>
      <c r="C7353" s="451" t="s">
        <v>4280</v>
      </c>
      <c r="D7353" s="451"/>
      <c r="E7353" s="451"/>
      <c r="F7353" s="451"/>
      <c r="G7353" s="451" t="s">
        <v>22882</v>
      </c>
      <c r="H7353" s="451" t="s">
        <v>22883</v>
      </c>
      <c r="I7353" s="451"/>
      <c r="J7353" s="451" t="s">
        <v>22939</v>
      </c>
      <c r="K7353" s="451"/>
    </row>
    <row r="7354" spans="1:11">
      <c r="A7354" s="450" t="s">
        <v>36776</v>
      </c>
      <c r="B7354" s="450"/>
      <c r="C7354" s="450" t="s">
        <v>4280</v>
      </c>
      <c r="D7354" s="450"/>
      <c r="E7354" s="450"/>
      <c r="F7354" s="450"/>
      <c r="G7354" s="450" t="s">
        <v>22882</v>
      </c>
      <c r="H7354" s="450" t="s">
        <v>22883</v>
      </c>
      <c r="I7354" s="450"/>
      <c r="J7354" s="450" t="s">
        <v>22939</v>
      </c>
      <c r="K7354" s="450"/>
    </row>
    <row r="7355" spans="1:11">
      <c r="A7355" s="451" t="s">
        <v>36777</v>
      </c>
      <c r="B7355" s="451"/>
      <c r="C7355" s="451" t="s">
        <v>11739</v>
      </c>
      <c r="D7355" s="451"/>
      <c r="E7355" s="451"/>
      <c r="F7355" s="451"/>
      <c r="G7355" s="451" t="s">
        <v>22877</v>
      </c>
      <c r="H7355" s="451" t="s">
        <v>22878</v>
      </c>
      <c r="I7355" s="451" t="s">
        <v>36778</v>
      </c>
      <c r="J7355" s="451" t="s">
        <v>22948</v>
      </c>
      <c r="K7355" s="451"/>
    </row>
    <row r="7356" spans="1:11">
      <c r="A7356" s="450" t="s">
        <v>11727</v>
      </c>
      <c r="B7356" s="450"/>
      <c r="C7356" s="450"/>
      <c r="D7356" s="450" t="s">
        <v>11728</v>
      </c>
      <c r="E7356" s="450"/>
      <c r="F7356" s="450"/>
      <c r="G7356" s="450" t="s">
        <v>22877</v>
      </c>
      <c r="H7356" s="450" t="s">
        <v>22878</v>
      </c>
      <c r="I7356" s="450" t="s">
        <v>36779</v>
      </c>
      <c r="J7356" s="450" t="s">
        <v>36780</v>
      </c>
      <c r="K7356" s="450"/>
    </row>
    <row r="7357" spans="1:11">
      <c r="A7357" s="451" t="s">
        <v>11729</v>
      </c>
      <c r="B7357" s="451"/>
      <c r="C7357" s="451" t="s">
        <v>10672</v>
      </c>
      <c r="D7357" s="451"/>
      <c r="E7357" s="451"/>
      <c r="F7357" s="451"/>
      <c r="G7357" s="451" t="s">
        <v>22882</v>
      </c>
      <c r="H7357" s="451" t="s">
        <v>22883</v>
      </c>
      <c r="I7357" s="451" t="s">
        <v>36781</v>
      </c>
      <c r="J7357" s="451" t="s">
        <v>22997</v>
      </c>
      <c r="K7357" s="451"/>
    </row>
    <row r="7358" spans="1:11">
      <c r="A7358" s="450" t="s">
        <v>11730</v>
      </c>
      <c r="B7358" s="450"/>
      <c r="C7358" s="450" t="s">
        <v>11731</v>
      </c>
      <c r="D7358" s="450"/>
      <c r="E7358" s="450"/>
      <c r="F7358" s="450"/>
      <c r="G7358" s="450" t="s">
        <v>22877</v>
      </c>
      <c r="H7358" s="450" t="s">
        <v>22878</v>
      </c>
      <c r="I7358" s="450" t="s">
        <v>36782</v>
      </c>
      <c r="J7358" s="450" t="s">
        <v>23121</v>
      </c>
      <c r="K7358" s="450"/>
    </row>
    <row r="7359" spans="1:11">
      <c r="A7359" s="451" t="s">
        <v>11732</v>
      </c>
      <c r="B7359" s="451"/>
      <c r="C7359" s="451" t="s">
        <v>11733</v>
      </c>
      <c r="D7359" s="451"/>
      <c r="E7359" s="451"/>
      <c r="F7359" s="451"/>
      <c r="G7359" s="451" t="s">
        <v>22877</v>
      </c>
      <c r="H7359" s="451" t="s">
        <v>22878</v>
      </c>
      <c r="I7359" s="451" t="s">
        <v>36783</v>
      </c>
      <c r="J7359" s="451" t="s">
        <v>23133</v>
      </c>
      <c r="K7359" s="451"/>
    </row>
    <row r="7360" spans="1:11">
      <c r="A7360" s="450" t="s">
        <v>36784</v>
      </c>
      <c r="B7360" s="450"/>
      <c r="C7360" s="450" t="s">
        <v>11735</v>
      </c>
      <c r="D7360" s="450"/>
      <c r="E7360" s="450"/>
      <c r="F7360" s="450"/>
      <c r="G7360" s="450" t="s">
        <v>22882</v>
      </c>
      <c r="H7360" s="450" t="s">
        <v>22883</v>
      </c>
      <c r="I7360" s="450"/>
      <c r="J7360" s="450" t="s">
        <v>22939</v>
      </c>
      <c r="K7360" s="450"/>
    </row>
    <row r="7361" spans="1:11">
      <c r="A7361" s="451" t="s">
        <v>21844</v>
      </c>
      <c r="B7361" s="451"/>
      <c r="C7361" s="451" t="s">
        <v>11734</v>
      </c>
      <c r="D7361" s="451"/>
      <c r="E7361" s="451"/>
      <c r="F7361" s="451"/>
      <c r="G7361" s="451" t="s">
        <v>22882</v>
      </c>
      <c r="H7361" s="451" t="s">
        <v>22883</v>
      </c>
      <c r="I7361" s="451" t="s">
        <v>36785</v>
      </c>
      <c r="J7361" s="451" t="s">
        <v>23133</v>
      </c>
      <c r="K7361" s="451"/>
    </row>
    <row r="7362" spans="1:11">
      <c r="A7362" s="450" t="s">
        <v>21845</v>
      </c>
      <c r="B7362" s="450"/>
      <c r="C7362" s="450" t="s">
        <v>11735</v>
      </c>
      <c r="D7362" s="450"/>
      <c r="E7362" s="450"/>
      <c r="F7362" s="450"/>
      <c r="G7362" s="450" t="s">
        <v>22882</v>
      </c>
      <c r="H7362" s="450" t="s">
        <v>22883</v>
      </c>
      <c r="I7362" s="450"/>
      <c r="J7362" s="450" t="s">
        <v>23185</v>
      </c>
      <c r="K7362" s="450"/>
    </row>
    <row r="7363" spans="1:11">
      <c r="A7363" s="451" t="s">
        <v>11736</v>
      </c>
      <c r="B7363" s="451"/>
      <c r="C7363" s="451" t="s">
        <v>11737</v>
      </c>
      <c r="D7363" s="451"/>
      <c r="E7363" s="451"/>
      <c r="F7363" s="451"/>
      <c r="G7363" s="451" t="s">
        <v>22882</v>
      </c>
      <c r="H7363" s="451" t="s">
        <v>22883</v>
      </c>
      <c r="I7363" s="451"/>
      <c r="J7363" s="451" t="s">
        <v>22997</v>
      </c>
      <c r="K7363" s="451"/>
    </row>
    <row r="7364" spans="1:11">
      <c r="A7364" s="450" t="s">
        <v>21846</v>
      </c>
      <c r="B7364" s="450"/>
      <c r="C7364" s="450" t="s">
        <v>11722</v>
      </c>
      <c r="D7364" s="450"/>
      <c r="E7364" s="450"/>
      <c r="F7364" s="450"/>
      <c r="G7364" s="450" t="s">
        <v>22877</v>
      </c>
      <c r="H7364" s="450" t="s">
        <v>22878</v>
      </c>
      <c r="I7364" s="450" t="s">
        <v>36786</v>
      </c>
      <c r="J7364" s="450" t="s">
        <v>22939</v>
      </c>
      <c r="K7364" s="450"/>
    </row>
    <row r="7365" spans="1:11">
      <c r="A7365" s="451" t="s">
        <v>11738</v>
      </c>
      <c r="B7365" s="451"/>
      <c r="C7365" s="451" t="s">
        <v>11739</v>
      </c>
      <c r="D7365" s="451"/>
      <c r="E7365" s="451"/>
      <c r="F7365" s="451"/>
      <c r="G7365" s="451" t="s">
        <v>22877</v>
      </c>
      <c r="H7365" s="451" t="s">
        <v>22878</v>
      </c>
      <c r="I7365" s="451"/>
      <c r="J7365" s="451" t="s">
        <v>23370</v>
      </c>
      <c r="K7365" s="451"/>
    </row>
    <row r="7366" spans="1:11">
      <c r="A7366" s="450" t="s">
        <v>11740</v>
      </c>
      <c r="B7366" s="450"/>
      <c r="C7366" s="450" t="s">
        <v>3524</v>
      </c>
      <c r="D7366" s="450"/>
      <c r="E7366" s="450"/>
      <c r="F7366" s="450"/>
      <c r="G7366" s="450" t="s">
        <v>22882</v>
      </c>
      <c r="H7366" s="450" t="s">
        <v>22883</v>
      </c>
      <c r="I7366" s="450"/>
      <c r="J7366" s="450" t="s">
        <v>22943</v>
      </c>
      <c r="K7366" s="450"/>
    </row>
    <row r="7367" spans="1:11">
      <c r="A7367" s="451" t="s">
        <v>11741</v>
      </c>
      <c r="B7367" s="451"/>
      <c r="C7367" s="451" t="s">
        <v>3643</v>
      </c>
      <c r="D7367" s="451"/>
      <c r="E7367" s="451"/>
      <c r="F7367" s="451"/>
      <c r="G7367" s="451" t="s">
        <v>22877</v>
      </c>
      <c r="H7367" s="451" t="s">
        <v>22878</v>
      </c>
      <c r="I7367" s="451" t="s">
        <v>27231</v>
      </c>
      <c r="J7367" s="451" t="s">
        <v>22939</v>
      </c>
      <c r="K7367" s="451"/>
    </row>
    <row r="7368" spans="1:11">
      <c r="A7368" s="450" t="s">
        <v>27232</v>
      </c>
      <c r="B7368" s="450" t="s">
        <v>27233</v>
      </c>
      <c r="C7368" s="450" t="s">
        <v>27234</v>
      </c>
      <c r="D7368" s="450"/>
      <c r="E7368" s="450"/>
      <c r="F7368" s="450"/>
      <c r="G7368" s="450" t="s">
        <v>22877</v>
      </c>
      <c r="H7368" s="450" t="s">
        <v>22878</v>
      </c>
      <c r="I7368" s="450" t="s">
        <v>27235</v>
      </c>
      <c r="J7368" s="450" t="s">
        <v>27236</v>
      </c>
      <c r="K7368" s="450"/>
    </row>
    <row r="7369" spans="1:11">
      <c r="A7369" s="451" t="s">
        <v>11742</v>
      </c>
      <c r="B7369" s="451"/>
      <c r="C7369" s="451" t="s">
        <v>10424</v>
      </c>
      <c r="D7369" s="451"/>
      <c r="E7369" s="451"/>
      <c r="F7369" s="451"/>
      <c r="G7369" s="451" t="s">
        <v>22877</v>
      </c>
      <c r="H7369" s="451" t="s">
        <v>22878</v>
      </c>
      <c r="I7369" s="451" t="s">
        <v>36787</v>
      </c>
      <c r="J7369" s="451" t="s">
        <v>22997</v>
      </c>
      <c r="K7369" s="451"/>
    </row>
    <row r="7370" spans="1:11">
      <c r="A7370" s="450" t="s">
        <v>36788</v>
      </c>
      <c r="B7370" s="450"/>
      <c r="C7370" s="450" t="s">
        <v>11744</v>
      </c>
      <c r="D7370" s="450"/>
      <c r="E7370" s="450"/>
      <c r="F7370" s="450"/>
      <c r="G7370" s="450" t="s">
        <v>22877</v>
      </c>
      <c r="H7370" s="450" t="s">
        <v>22878</v>
      </c>
      <c r="I7370" s="450"/>
      <c r="J7370" s="450" t="s">
        <v>22939</v>
      </c>
      <c r="K7370" s="450"/>
    </row>
    <row r="7371" spans="1:11">
      <c r="A7371" s="451" t="s">
        <v>11743</v>
      </c>
      <c r="B7371" s="451"/>
      <c r="C7371" s="451" t="s">
        <v>11744</v>
      </c>
      <c r="D7371" s="451"/>
      <c r="E7371" s="451"/>
      <c r="F7371" s="451"/>
      <c r="G7371" s="451" t="s">
        <v>22877</v>
      </c>
      <c r="H7371" s="451" t="s">
        <v>22878</v>
      </c>
      <c r="I7371" s="451" t="s">
        <v>36789</v>
      </c>
      <c r="J7371" s="451" t="s">
        <v>22939</v>
      </c>
      <c r="K7371" s="451"/>
    </row>
    <row r="7372" spans="1:11">
      <c r="A7372" s="450" t="s">
        <v>11745</v>
      </c>
      <c r="B7372" s="450"/>
      <c r="C7372" s="450" t="s">
        <v>11746</v>
      </c>
      <c r="D7372" s="450"/>
      <c r="E7372" s="450"/>
      <c r="F7372" s="450"/>
      <c r="G7372" s="450" t="s">
        <v>22877</v>
      </c>
      <c r="H7372" s="450" t="s">
        <v>22878</v>
      </c>
      <c r="I7372" s="450" t="s">
        <v>36790</v>
      </c>
      <c r="J7372" s="450" t="s">
        <v>23185</v>
      </c>
      <c r="K7372" s="450"/>
    </row>
    <row r="7373" spans="1:11">
      <c r="A7373" s="451" t="s">
        <v>36791</v>
      </c>
      <c r="B7373" s="451"/>
      <c r="C7373" s="451" t="s">
        <v>11746</v>
      </c>
      <c r="D7373" s="451"/>
      <c r="E7373" s="451"/>
      <c r="F7373" s="451"/>
      <c r="G7373" s="451" t="s">
        <v>22877</v>
      </c>
      <c r="H7373" s="451" t="s">
        <v>22878</v>
      </c>
      <c r="I7373" s="451"/>
      <c r="J7373" s="451" t="s">
        <v>22943</v>
      </c>
      <c r="K7373" s="451"/>
    </row>
    <row r="7374" spans="1:11">
      <c r="A7374" s="450" t="s">
        <v>11747</v>
      </c>
      <c r="B7374" s="450"/>
      <c r="C7374" s="450" t="s">
        <v>11748</v>
      </c>
      <c r="D7374" s="450"/>
      <c r="E7374" s="450"/>
      <c r="F7374" s="450"/>
      <c r="G7374" s="450" t="s">
        <v>36792</v>
      </c>
      <c r="H7374" s="450" t="s">
        <v>22878</v>
      </c>
      <c r="I7374" s="450"/>
      <c r="J7374" s="450"/>
      <c r="K7374" s="450" t="s">
        <v>26547</v>
      </c>
    </row>
    <row r="7375" spans="1:11">
      <c r="A7375" s="451" t="s">
        <v>11749</v>
      </c>
      <c r="B7375" s="451"/>
      <c r="C7375" s="451" t="s">
        <v>2138</v>
      </c>
      <c r="D7375" s="451"/>
      <c r="E7375" s="451"/>
      <c r="F7375" s="451"/>
      <c r="G7375" s="451" t="s">
        <v>22877</v>
      </c>
      <c r="H7375" s="451" t="s">
        <v>22878</v>
      </c>
      <c r="I7375" s="451"/>
      <c r="J7375" s="451" t="s">
        <v>23370</v>
      </c>
      <c r="K7375" s="451"/>
    </row>
    <row r="7376" spans="1:11">
      <c r="A7376" s="450" t="s">
        <v>36793</v>
      </c>
      <c r="B7376" s="450"/>
      <c r="C7376" s="450" t="s">
        <v>2045</v>
      </c>
      <c r="D7376" s="450"/>
      <c r="E7376" s="450"/>
      <c r="F7376" s="450"/>
      <c r="G7376" s="450" t="s">
        <v>22882</v>
      </c>
      <c r="H7376" s="450" t="s">
        <v>22883</v>
      </c>
      <c r="I7376" s="450" t="s">
        <v>27237</v>
      </c>
      <c r="J7376" s="450" t="s">
        <v>22948</v>
      </c>
      <c r="K7376" s="450"/>
    </row>
    <row r="7377" spans="1:11">
      <c r="A7377" s="451" t="s">
        <v>11750</v>
      </c>
      <c r="B7377" s="451"/>
      <c r="C7377" s="451" t="s">
        <v>2045</v>
      </c>
      <c r="D7377" s="451"/>
      <c r="E7377" s="451"/>
      <c r="F7377" s="451"/>
      <c r="G7377" s="451" t="s">
        <v>22882</v>
      </c>
      <c r="H7377" s="451" t="s">
        <v>22883</v>
      </c>
      <c r="I7377" s="451" t="s">
        <v>27237</v>
      </c>
      <c r="J7377" s="451" t="s">
        <v>22943</v>
      </c>
      <c r="K7377" s="451"/>
    </row>
    <row r="7378" spans="1:11">
      <c r="A7378" s="450" t="s">
        <v>27238</v>
      </c>
      <c r="B7378" s="450" t="s">
        <v>11753</v>
      </c>
      <c r="C7378" s="450" t="s">
        <v>11754</v>
      </c>
      <c r="D7378" s="450"/>
      <c r="E7378" s="450"/>
      <c r="F7378" s="450"/>
      <c r="G7378" s="450" t="s">
        <v>22882</v>
      </c>
      <c r="H7378" s="450" t="s">
        <v>22883</v>
      </c>
      <c r="I7378" s="450"/>
      <c r="J7378" s="450" t="s">
        <v>27239</v>
      </c>
      <c r="K7378" s="450"/>
    </row>
    <row r="7379" spans="1:11">
      <c r="A7379" s="451" t="s">
        <v>36794</v>
      </c>
      <c r="B7379" s="451"/>
      <c r="C7379" s="451" t="s">
        <v>11752</v>
      </c>
      <c r="D7379" s="451"/>
      <c r="E7379" s="451"/>
      <c r="F7379" s="451"/>
      <c r="G7379" s="451" t="s">
        <v>22877</v>
      </c>
      <c r="H7379" s="451" t="s">
        <v>22878</v>
      </c>
      <c r="I7379" s="451" t="s">
        <v>27240</v>
      </c>
      <c r="J7379" s="451" t="s">
        <v>22943</v>
      </c>
      <c r="K7379" s="451"/>
    </row>
    <row r="7380" spans="1:11">
      <c r="A7380" s="450" t="s">
        <v>11751</v>
      </c>
      <c r="B7380" s="450"/>
      <c r="C7380" s="450" t="s">
        <v>11752</v>
      </c>
      <c r="D7380" s="450"/>
      <c r="E7380" s="450"/>
      <c r="F7380" s="450"/>
      <c r="G7380" s="450" t="s">
        <v>22877</v>
      </c>
      <c r="H7380" s="450" t="s">
        <v>22878</v>
      </c>
      <c r="I7380" s="450" t="s">
        <v>27240</v>
      </c>
      <c r="J7380" s="450" t="s">
        <v>22942</v>
      </c>
      <c r="K7380" s="450"/>
    </row>
    <row r="7381" spans="1:11">
      <c r="A7381" s="451" t="s">
        <v>22129</v>
      </c>
      <c r="B7381" s="451" t="s">
        <v>11753</v>
      </c>
      <c r="C7381" s="451" t="s">
        <v>11754</v>
      </c>
      <c r="D7381" s="451"/>
      <c r="E7381" s="451"/>
      <c r="F7381" s="451"/>
      <c r="G7381" s="451" t="s">
        <v>22882</v>
      </c>
      <c r="H7381" s="451" t="s">
        <v>22883</v>
      </c>
      <c r="I7381" s="451" t="s">
        <v>31854</v>
      </c>
      <c r="J7381" s="451" t="s">
        <v>31855</v>
      </c>
      <c r="K7381" s="451"/>
    </row>
    <row r="7382" spans="1:11">
      <c r="A7382" s="450" t="s">
        <v>11755</v>
      </c>
      <c r="B7382" s="450"/>
      <c r="C7382" s="450" t="s">
        <v>11756</v>
      </c>
      <c r="D7382" s="450"/>
      <c r="E7382" s="450"/>
      <c r="F7382" s="450"/>
      <c r="G7382" s="450" t="s">
        <v>22882</v>
      </c>
      <c r="H7382" s="450" t="s">
        <v>22883</v>
      </c>
      <c r="I7382" s="450" t="s">
        <v>36795</v>
      </c>
      <c r="J7382" s="450" t="s">
        <v>22943</v>
      </c>
      <c r="K7382" s="450"/>
    </row>
    <row r="7383" spans="1:11">
      <c r="A7383" s="451" t="s">
        <v>21847</v>
      </c>
      <c r="B7383" s="451"/>
      <c r="C7383" s="451" t="s">
        <v>4933</v>
      </c>
      <c r="D7383" s="451"/>
      <c r="E7383" s="451"/>
      <c r="F7383" s="451"/>
      <c r="G7383" s="451" t="s">
        <v>22877</v>
      </c>
      <c r="H7383" s="451" t="s">
        <v>22878</v>
      </c>
      <c r="I7383" s="451" t="s">
        <v>36796</v>
      </c>
      <c r="J7383" s="451" t="s">
        <v>22997</v>
      </c>
      <c r="K7383" s="451"/>
    </row>
    <row r="7384" spans="1:11">
      <c r="A7384" s="450" t="s">
        <v>36797</v>
      </c>
      <c r="B7384" s="450"/>
      <c r="C7384" s="450" t="s">
        <v>11758</v>
      </c>
      <c r="D7384" s="450"/>
      <c r="E7384" s="450"/>
      <c r="F7384" s="450"/>
      <c r="G7384" s="450" t="s">
        <v>22877</v>
      </c>
      <c r="H7384" s="450" t="s">
        <v>22878</v>
      </c>
      <c r="I7384" s="450" t="s">
        <v>36798</v>
      </c>
      <c r="J7384" s="450" t="s">
        <v>22943</v>
      </c>
      <c r="K7384" s="450"/>
    </row>
    <row r="7385" spans="1:11">
      <c r="A7385" s="451" t="s">
        <v>11757</v>
      </c>
      <c r="B7385" s="451"/>
      <c r="C7385" s="451" t="s">
        <v>11758</v>
      </c>
      <c r="D7385" s="451"/>
      <c r="E7385" s="451"/>
      <c r="F7385" s="451"/>
      <c r="G7385" s="451" t="s">
        <v>22877</v>
      </c>
      <c r="H7385" s="451" t="s">
        <v>22878</v>
      </c>
      <c r="I7385" s="451" t="s">
        <v>36798</v>
      </c>
      <c r="J7385" s="451" t="s">
        <v>23121</v>
      </c>
      <c r="K7385" s="451"/>
    </row>
    <row r="7386" spans="1:11">
      <c r="A7386" s="450" t="s">
        <v>11759</v>
      </c>
      <c r="B7386" s="450"/>
      <c r="C7386" s="450" t="s">
        <v>11760</v>
      </c>
      <c r="D7386" s="450"/>
      <c r="E7386" s="450"/>
      <c r="F7386" s="450"/>
      <c r="G7386" s="450" t="s">
        <v>22877</v>
      </c>
      <c r="H7386" s="450" t="s">
        <v>22878</v>
      </c>
      <c r="I7386" s="450"/>
      <c r="J7386" s="450" t="s">
        <v>23370</v>
      </c>
      <c r="K7386" s="450"/>
    </row>
    <row r="7387" spans="1:11">
      <c r="A7387" s="451" t="s">
        <v>11759</v>
      </c>
      <c r="B7387" s="451"/>
      <c r="C7387" s="451" t="s">
        <v>11760</v>
      </c>
      <c r="D7387" s="451"/>
      <c r="E7387" s="451" t="s">
        <v>11287</v>
      </c>
      <c r="F7387" s="451"/>
      <c r="G7387" s="451" t="s">
        <v>22877</v>
      </c>
      <c r="H7387" s="451" t="s">
        <v>22878</v>
      </c>
      <c r="I7387" s="451" t="s">
        <v>31856</v>
      </c>
      <c r="J7387" s="451" t="s">
        <v>22948</v>
      </c>
      <c r="K7387" s="451"/>
    </row>
    <row r="7388" spans="1:11">
      <c r="A7388" s="450" t="s">
        <v>11761</v>
      </c>
      <c r="B7388" s="450" t="s">
        <v>11762</v>
      </c>
      <c r="C7388" s="450" t="s">
        <v>11763</v>
      </c>
      <c r="D7388" s="450"/>
      <c r="E7388" s="450"/>
      <c r="F7388" s="450" t="s">
        <v>11764</v>
      </c>
      <c r="G7388" s="450" t="s">
        <v>22877</v>
      </c>
      <c r="H7388" s="450" t="s">
        <v>22878</v>
      </c>
      <c r="I7388" s="450"/>
      <c r="J7388" s="450" t="s">
        <v>27241</v>
      </c>
      <c r="K7388" s="450"/>
    </row>
    <row r="7389" spans="1:11">
      <c r="A7389" s="451" t="s">
        <v>11765</v>
      </c>
      <c r="B7389" s="451"/>
      <c r="C7389" s="451" t="s">
        <v>11766</v>
      </c>
      <c r="D7389" s="451"/>
      <c r="E7389" s="451"/>
      <c r="F7389" s="451"/>
      <c r="G7389" s="451" t="s">
        <v>22882</v>
      </c>
      <c r="H7389" s="451" t="s">
        <v>22883</v>
      </c>
      <c r="I7389" s="451" t="s">
        <v>36799</v>
      </c>
      <c r="J7389" s="451" t="s">
        <v>22943</v>
      </c>
      <c r="K7389" s="451"/>
    </row>
    <row r="7390" spans="1:11">
      <c r="A7390" s="450" t="s">
        <v>11767</v>
      </c>
      <c r="B7390" s="450"/>
      <c r="C7390" s="450" t="s">
        <v>5015</v>
      </c>
      <c r="D7390" s="450"/>
      <c r="E7390" s="450"/>
      <c r="F7390" s="450"/>
      <c r="G7390" s="450" t="s">
        <v>22882</v>
      </c>
      <c r="H7390" s="450" t="s">
        <v>22883</v>
      </c>
      <c r="I7390" s="450" t="s">
        <v>27242</v>
      </c>
      <c r="J7390" s="450" t="s">
        <v>22997</v>
      </c>
      <c r="K7390" s="450"/>
    </row>
    <row r="7391" spans="1:11">
      <c r="A7391" s="451" t="s">
        <v>11768</v>
      </c>
      <c r="B7391" s="451" t="s">
        <v>11769</v>
      </c>
      <c r="C7391" s="451" t="s">
        <v>3055</v>
      </c>
      <c r="D7391" s="451" t="s">
        <v>11770</v>
      </c>
      <c r="E7391" s="451"/>
      <c r="F7391" s="451" t="s">
        <v>11772</v>
      </c>
      <c r="G7391" s="451" t="s">
        <v>22877</v>
      </c>
      <c r="H7391" s="451" t="s">
        <v>22878</v>
      </c>
      <c r="I7391" s="451" t="s">
        <v>27243</v>
      </c>
      <c r="J7391" s="451" t="s">
        <v>27244</v>
      </c>
      <c r="K7391" s="451"/>
    </row>
    <row r="7392" spans="1:11">
      <c r="A7392" s="450" t="s">
        <v>11768</v>
      </c>
      <c r="B7392" s="450" t="s">
        <v>11769</v>
      </c>
      <c r="C7392" s="450" t="s">
        <v>3055</v>
      </c>
      <c r="D7392" s="450" t="s">
        <v>11770</v>
      </c>
      <c r="E7392" s="450" t="s">
        <v>11771</v>
      </c>
      <c r="F7392" s="450" t="s">
        <v>11772</v>
      </c>
      <c r="G7392" s="450" t="s">
        <v>22877</v>
      </c>
      <c r="H7392" s="450" t="s">
        <v>22878</v>
      </c>
      <c r="I7392" s="450" t="s">
        <v>27243</v>
      </c>
      <c r="J7392" s="450" t="s">
        <v>27244</v>
      </c>
      <c r="K7392" s="450"/>
    </row>
    <row r="7393" spans="1:11">
      <c r="A7393" s="451" t="s">
        <v>11773</v>
      </c>
      <c r="B7393" s="451"/>
      <c r="C7393" s="451" t="s">
        <v>11774</v>
      </c>
      <c r="D7393" s="451"/>
      <c r="E7393" s="451"/>
      <c r="F7393" s="451"/>
      <c r="G7393" s="451" t="s">
        <v>22877</v>
      </c>
      <c r="H7393" s="451" t="s">
        <v>22878</v>
      </c>
      <c r="I7393" s="451" t="s">
        <v>36800</v>
      </c>
      <c r="J7393" s="451" t="s">
        <v>22943</v>
      </c>
      <c r="K7393" s="451"/>
    </row>
    <row r="7394" spans="1:11">
      <c r="A7394" s="450" t="s">
        <v>36801</v>
      </c>
      <c r="B7394" s="450"/>
      <c r="C7394" s="450" t="s">
        <v>11776</v>
      </c>
      <c r="D7394" s="450"/>
      <c r="E7394" s="450"/>
      <c r="F7394" s="450"/>
      <c r="G7394" s="450" t="s">
        <v>22877</v>
      </c>
      <c r="H7394" s="450" t="s">
        <v>22878</v>
      </c>
      <c r="I7394" s="450"/>
      <c r="J7394" s="450" t="s">
        <v>22943</v>
      </c>
      <c r="K7394" s="450"/>
    </row>
    <row r="7395" spans="1:11">
      <c r="A7395" s="451" t="s">
        <v>11775</v>
      </c>
      <c r="B7395" s="451"/>
      <c r="C7395" s="451" t="s">
        <v>11776</v>
      </c>
      <c r="D7395" s="451"/>
      <c r="E7395" s="451"/>
      <c r="F7395" s="451"/>
      <c r="G7395" s="451" t="s">
        <v>22877</v>
      </c>
      <c r="H7395" s="451" t="s">
        <v>22878</v>
      </c>
      <c r="I7395" s="451" t="s">
        <v>36802</v>
      </c>
      <c r="J7395" s="451" t="s">
        <v>22997</v>
      </c>
      <c r="K7395" s="451"/>
    </row>
    <row r="7396" spans="1:11">
      <c r="A7396" s="450" t="s">
        <v>36803</v>
      </c>
      <c r="B7396" s="450"/>
      <c r="C7396" s="450" t="s">
        <v>11778</v>
      </c>
      <c r="D7396" s="450"/>
      <c r="E7396" s="450"/>
      <c r="F7396" s="450"/>
      <c r="G7396" s="450" t="s">
        <v>22877</v>
      </c>
      <c r="H7396" s="450" t="s">
        <v>22878</v>
      </c>
      <c r="I7396" s="450" t="s">
        <v>23584</v>
      </c>
      <c r="J7396" s="450" t="s">
        <v>23370</v>
      </c>
      <c r="K7396" s="450"/>
    </row>
    <row r="7397" spans="1:11">
      <c r="A7397" s="451" t="s">
        <v>11777</v>
      </c>
      <c r="B7397" s="451"/>
      <c r="C7397" s="451" t="s">
        <v>11778</v>
      </c>
      <c r="D7397" s="451"/>
      <c r="E7397" s="451"/>
      <c r="F7397" s="451"/>
      <c r="G7397" s="451" t="s">
        <v>22877</v>
      </c>
      <c r="H7397" s="451" t="s">
        <v>22878</v>
      </c>
      <c r="I7397" s="451" t="s">
        <v>23584</v>
      </c>
      <c r="J7397" s="451" t="s">
        <v>22942</v>
      </c>
      <c r="K7397" s="451"/>
    </row>
    <row r="7398" spans="1:11">
      <c r="A7398" s="450" t="s">
        <v>11779</v>
      </c>
      <c r="B7398" s="450"/>
      <c r="C7398" s="450" t="s">
        <v>11780</v>
      </c>
      <c r="D7398" s="450"/>
      <c r="E7398" s="450"/>
      <c r="F7398" s="450"/>
      <c r="G7398" s="450" t="s">
        <v>22882</v>
      </c>
      <c r="H7398" s="450" t="s">
        <v>22883</v>
      </c>
      <c r="I7398" s="450" t="s">
        <v>36804</v>
      </c>
      <c r="J7398" s="450" t="s">
        <v>22943</v>
      </c>
      <c r="K7398" s="450"/>
    </row>
    <row r="7399" spans="1:11">
      <c r="A7399" s="451" t="s">
        <v>36805</v>
      </c>
      <c r="B7399" s="451"/>
      <c r="C7399" s="451" t="s">
        <v>9931</v>
      </c>
      <c r="D7399" s="451"/>
      <c r="E7399" s="451"/>
      <c r="F7399" s="451"/>
      <c r="G7399" s="451" t="s">
        <v>22882</v>
      </c>
      <c r="H7399" s="451" t="s">
        <v>22883</v>
      </c>
      <c r="I7399" s="451"/>
      <c r="J7399" s="451" t="s">
        <v>22943</v>
      </c>
      <c r="K7399" s="451"/>
    </row>
    <row r="7400" spans="1:11">
      <c r="A7400" s="450" t="s">
        <v>11781</v>
      </c>
      <c r="B7400" s="450"/>
      <c r="C7400" s="450" t="s">
        <v>11782</v>
      </c>
      <c r="D7400" s="450"/>
      <c r="E7400" s="450"/>
      <c r="F7400" s="450"/>
      <c r="G7400" s="450" t="s">
        <v>22877</v>
      </c>
      <c r="H7400" s="450" t="s">
        <v>22878</v>
      </c>
      <c r="I7400" s="450"/>
      <c r="J7400" s="450" t="s">
        <v>22997</v>
      </c>
      <c r="K7400" s="450"/>
    </row>
    <row r="7401" spans="1:11">
      <c r="A7401" s="451" t="s">
        <v>11783</v>
      </c>
      <c r="B7401" s="451"/>
      <c r="C7401" s="451" t="s">
        <v>9931</v>
      </c>
      <c r="D7401" s="451"/>
      <c r="E7401" s="451"/>
      <c r="F7401" s="451"/>
      <c r="G7401" s="451" t="s">
        <v>22882</v>
      </c>
      <c r="H7401" s="451" t="s">
        <v>22883</v>
      </c>
      <c r="I7401" s="451"/>
      <c r="J7401" s="451" t="s">
        <v>23185</v>
      </c>
      <c r="K7401" s="451"/>
    </row>
    <row r="7402" spans="1:11">
      <c r="A7402" s="450" t="s">
        <v>36806</v>
      </c>
      <c r="B7402" s="450"/>
      <c r="C7402" s="450" t="s">
        <v>11785</v>
      </c>
      <c r="D7402" s="450"/>
      <c r="E7402" s="450"/>
      <c r="F7402" s="450"/>
      <c r="G7402" s="450" t="s">
        <v>22882</v>
      </c>
      <c r="H7402" s="450" t="s">
        <v>22883</v>
      </c>
      <c r="I7402" s="450"/>
      <c r="J7402" s="450" t="s">
        <v>22943</v>
      </c>
      <c r="K7402" s="450"/>
    </row>
    <row r="7403" spans="1:11">
      <c r="A7403" s="451" t="s">
        <v>11784</v>
      </c>
      <c r="B7403" s="451"/>
      <c r="C7403" s="451" t="s">
        <v>11785</v>
      </c>
      <c r="D7403" s="451"/>
      <c r="E7403" s="451"/>
      <c r="F7403" s="451"/>
      <c r="G7403" s="451" t="s">
        <v>22877</v>
      </c>
      <c r="H7403" s="451" t="s">
        <v>22878</v>
      </c>
      <c r="I7403" s="451" t="s">
        <v>36807</v>
      </c>
      <c r="J7403" s="451" t="s">
        <v>22939</v>
      </c>
      <c r="K7403" s="451"/>
    </row>
    <row r="7404" spans="1:11">
      <c r="A7404" s="450" t="s">
        <v>11786</v>
      </c>
      <c r="B7404" s="450"/>
      <c r="C7404" s="450" t="s">
        <v>11787</v>
      </c>
      <c r="D7404" s="450" t="s">
        <v>11788</v>
      </c>
      <c r="E7404" s="450"/>
      <c r="F7404" s="450" t="s">
        <v>1472</v>
      </c>
      <c r="G7404" s="450" t="s">
        <v>22882</v>
      </c>
      <c r="H7404" s="450" t="s">
        <v>22883</v>
      </c>
      <c r="I7404" s="450" t="s">
        <v>36808</v>
      </c>
      <c r="J7404" s="450" t="s">
        <v>36809</v>
      </c>
      <c r="K7404" s="450"/>
    </row>
    <row r="7405" spans="1:11">
      <c r="A7405" s="451" t="s">
        <v>11786</v>
      </c>
      <c r="B7405" s="451"/>
      <c r="C7405" s="451" t="s">
        <v>11787</v>
      </c>
      <c r="D7405" s="451" t="s">
        <v>11788</v>
      </c>
      <c r="E7405" s="451" t="s">
        <v>11789</v>
      </c>
      <c r="F7405" s="451" t="s">
        <v>1472</v>
      </c>
      <c r="G7405" s="451" t="s">
        <v>22882</v>
      </c>
      <c r="H7405" s="451" t="s">
        <v>22883</v>
      </c>
      <c r="I7405" s="451" t="s">
        <v>36808</v>
      </c>
      <c r="J7405" s="451" t="s">
        <v>36809</v>
      </c>
      <c r="K7405" s="451"/>
    </row>
    <row r="7406" spans="1:11">
      <c r="A7406" s="450" t="s">
        <v>11790</v>
      </c>
      <c r="B7406" s="450"/>
      <c r="C7406" s="450" t="s">
        <v>3884</v>
      </c>
      <c r="D7406" s="450"/>
      <c r="E7406" s="450"/>
      <c r="F7406" s="450"/>
      <c r="G7406" s="450" t="s">
        <v>22877</v>
      </c>
      <c r="H7406" s="450" t="s">
        <v>22878</v>
      </c>
      <c r="I7406" s="450" t="s">
        <v>36810</v>
      </c>
      <c r="J7406" s="450" t="s">
        <v>22939</v>
      </c>
      <c r="K7406" s="450"/>
    </row>
    <row r="7407" spans="1:11">
      <c r="A7407" s="451" t="s">
        <v>11791</v>
      </c>
      <c r="B7407" s="451"/>
      <c r="C7407" s="451" t="s">
        <v>11792</v>
      </c>
      <c r="D7407" s="451"/>
      <c r="E7407" s="451"/>
      <c r="F7407" s="451"/>
      <c r="G7407" s="451" t="s">
        <v>22877</v>
      </c>
      <c r="H7407" s="451" t="s">
        <v>22878</v>
      </c>
      <c r="I7407" s="451" t="s">
        <v>36811</v>
      </c>
      <c r="J7407" s="451" t="s">
        <v>23185</v>
      </c>
      <c r="K7407" s="451"/>
    </row>
    <row r="7408" spans="1:11">
      <c r="A7408" s="450" t="s">
        <v>36812</v>
      </c>
      <c r="B7408" s="450"/>
      <c r="C7408" s="450" t="s">
        <v>11794</v>
      </c>
      <c r="D7408" s="450"/>
      <c r="E7408" s="450"/>
      <c r="F7408" s="450"/>
      <c r="G7408" s="450" t="s">
        <v>22877</v>
      </c>
      <c r="H7408" s="450" t="s">
        <v>22878</v>
      </c>
      <c r="I7408" s="450" t="s">
        <v>27110</v>
      </c>
      <c r="J7408" s="450" t="s">
        <v>22997</v>
      </c>
      <c r="K7408" s="450"/>
    </row>
    <row r="7409" spans="1:11">
      <c r="A7409" s="451" t="s">
        <v>11793</v>
      </c>
      <c r="B7409" s="451"/>
      <c r="C7409" s="451" t="s">
        <v>11794</v>
      </c>
      <c r="D7409" s="451"/>
      <c r="E7409" s="451"/>
      <c r="F7409" s="451"/>
      <c r="G7409" s="451" t="s">
        <v>22882</v>
      </c>
      <c r="H7409" s="451" t="s">
        <v>22883</v>
      </c>
      <c r="I7409" s="451" t="s">
        <v>31857</v>
      </c>
      <c r="J7409" s="451" t="s">
        <v>23185</v>
      </c>
      <c r="K7409" s="451"/>
    </row>
    <row r="7410" spans="1:11">
      <c r="A7410" s="450" t="s">
        <v>11795</v>
      </c>
      <c r="B7410" s="450" t="s">
        <v>11796</v>
      </c>
      <c r="C7410" s="450" t="s">
        <v>11797</v>
      </c>
      <c r="D7410" s="450" t="s">
        <v>11798</v>
      </c>
      <c r="E7410" s="450"/>
      <c r="F7410" s="450"/>
      <c r="G7410" s="450" t="s">
        <v>22877</v>
      </c>
      <c r="H7410" s="450" t="s">
        <v>22878</v>
      </c>
      <c r="I7410" s="450" t="s">
        <v>27245</v>
      </c>
      <c r="J7410" s="450" t="s">
        <v>27246</v>
      </c>
      <c r="K7410" s="450"/>
    </row>
    <row r="7411" spans="1:11">
      <c r="A7411" s="451" t="s">
        <v>11799</v>
      </c>
      <c r="B7411" s="451"/>
      <c r="C7411" s="451" t="s">
        <v>7965</v>
      </c>
      <c r="D7411" s="451"/>
      <c r="E7411" s="451"/>
      <c r="F7411" s="451"/>
      <c r="G7411" s="451" t="s">
        <v>22877</v>
      </c>
      <c r="H7411" s="451" t="s">
        <v>22878</v>
      </c>
      <c r="I7411" s="451" t="s">
        <v>36813</v>
      </c>
      <c r="J7411" s="451" t="s">
        <v>22939</v>
      </c>
      <c r="K7411" s="451"/>
    </row>
    <row r="7412" spans="1:11">
      <c r="A7412" s="450" t="s">
        <v>36814</v>
      </c>
      <c r="B7412" s="450"/>
      <c r="C7412" s="450" t="s">
        <v>11801</v>
      </c>
      <c r="D7412" s="450"/>
      <c r="E7412" s="450"/>
      <c r="F7412" s="450"/>
      <c r="G7412" s="450" t="s">
        <v>22877</v>
      </c>
      <c r="H7412" s="450" t="s">
        <v>22878</v>
      </c>
      <c r="I7412" s="450" t="s">
        <v>27247</v>
      </c>
      <c r="J7412" s="450" t="s">
        <v>22997</v>
      </c>
      <c r="K7412" s="450"/>
    </row>
    <row r="7413" spans="1:11">
      <c r="A7413" s="451" t="s">
        <v>11800</v>
      </c>
      <c r="B7413" s="451"/>
      <c r="C7413" s="451" t="s">
        <v>11801</v>
      </c>
      <c r="D7413" s="451"/>
      <c r="E7413" s="451"/>
      <c r="F7413" s="451"/>
      <c r="G7413" s="451" t="s">
        <v>22882</v>
      </c>
      <c r="H7413" s="451" t="s">
        <v>22883</v>
      </c>
      <c r="I7413" s="451" t="s">
        <v>27247</v>
      </c>
      <c r="J7413" s="451" t="s">
        <v>23185</v>
      </c>
      <c r="K7413" s="451"/>
    </row>
    <row r="7414" spans="1:11">
      <c r="A7414" s="450" t="s">
        <v>27248</v>
      </c>
      <c r="B7414" s="450" t="s">
        <v>27249</v>
      </c>
      <c r="C7414" s="450" t="s">
        <v>26883</v>
      </c>
      <c r="D7414" s="450"/>
      <c r="E7414" s="450"/>
      <c r="F7414" s="450"/>
      <c r="G7414" s="450" t="s">
        <v>22877</v>
      </c>
      <c r="H7414" s="450" t="s">
        <v>22878</v>
      </c>
      <c r="I7414" s="450"/>
      <c r="J7414" s="450" t="s">
        <v>27250</v>
      </c>
      <c r="K7414" s="450"/>
    </row>
    <row r="7415" spans="1:11">
      <c r="A7415" s="451" t="s">
        <v>27251</v>
      </c>
      <c r="B7415" s="451" t="s">
        <v>27252</v>
      </c>
      <c r="C7415" s="451" t="s">
        <v>27253</v>
      </c>
      <c r="D7415" s="451"/>
      <c r="E7415" s="451"/>
      <c r="F7415" s="451"/>
      <c r="G7415" s="451" t="s">
        <v>22882</v>
      </c>
      <c r="H7415" s="451" t="s">
        <v>22883</v>
      </c>
      <c r="I7415" s="451" t="s">
        <v>27254</v>
      </c>
      <c r="J7415" s="451" t="s">
        <v>27255</v>
      </c>
      <c r="K7415" s="451"/>
    </row>
    <row r="7416" spans="1:11">
      <c r="A7416" s="450" t="s">
        <v>11802</v>
      </c>
      <c r="B7416" s="450"/>
      <c r="C7416" s="450" t="s">
        <v>11803</v>
      </c>
      <c r="D7416" s="450"/>
      <c r="E7416" s="450"/>
      <c r="F7416" s="450"/>
      <c r="G7416" s="450" t="s">
        <v>22877</v>
      </c>
      <c r="H7416" s="450" t="s">
        <v>22878</v>
      </c>
      <c r="I7416" s="450"/>
      <c r="J7416" s="450" t="s">
        <v>22997</v>
      </c>
      <c r="K7416" s="450"/>
    </row>
    <row r="7417" spans="1:11">
      <c r="A7417" s="451" t="s">
        <v>11804</v>
      </c>
      <c r="B7417" s="451"/>
      <c r="C7417" s="451" t="s">
        <v>11805</v>
      </c>
      <c r="D7417" s="451"/>
      <c r="E7417" s="451"/>
      <c r="F7417" s="451"/>
      <c r="G7417" s="451" t="s">
        <v>22882</v>
      </c>
      <c r="H7417" s="451" t="s">
        <v>22883</v>
      </c>
      <c r="I7417" s="451" t="s">
        <v>36815</v>
      </c>
      <c r="J7417" s="451" t="s">
        <v>36816</v>
      </c>
      <c r="K7417" s="451"/>
    </row>
    <row r="7418" spans="1:11">
      <c r="A7418" s="450" t="s">
        <v>11806</v>
      </c>
      <c r="B7418" s="450"/>
      <c r="C7418" s="450" t="s">
        <v>11807</v>
      </c>
      <c r="D7418" s="450"/>
      <c r="E7418" s="450"/>
      <c r="F7418" s="450"/>
      <c r="G7418" s="450" t="s">
        <v>22882</v>
      </c>
      <c r="H7418" s="450" t="s">
        <v>22883</v>
      </c>
      <c r="I7418" s="450"/>
      <c r="J7418" s="450" t="s">
        <v>22939</v>
      </c>
      <c r="K7418" s="450"/>
    </row>
    <row r="7419" spans="1:11">
      <c r="A7419" s="451" t="s">
        <v>11808</v>
      </c>
      <c r="B7419" s="451"/>
      <c r="C7419" s="451" t="s">
        <v>11809</v>
      </c>
      <c r="D7419" s="451"/>
      <c r="E7419" s="451"/>
      <c r="F7419" s="451"/>
      <c r="G7419" s="451" t="s">
        <v>22882</v>
      </c>
      <c r="H7419" s="451" t="s">
        <v>22883</v>
      </c>
      <c r="I7419" s="451" t="s">
        <v>27256</v>
      </c>
      <c r="J7419" s="451" t="s">
        <v>23133</v>
      </c>
      <c r="K7419" s="451"/>
    </row>
    <row r="7420" spans="1:11">
      <c r="A7420" s="450" t="s">
        <v>27257</v>
      </c>
      <c r="B7420" s="450" t="s">
        <v>27258</v>
      </c>
      <c r="C7420" s="450" t="s">
        <v>27259</v>
      </c>
      <c r="D7420" s="450" t="s">
        <v>27260</v>
      </c>
      <c r="E7420" s="450"/>
      <c r="F7420" s="450"/>
      <c r="G7420" s="450" t="s">
        <v>22882</v>
      </c>
      <c r="H7420" s="450" t="s">
        <v>22883</v>
      </c>
      <c r="I7420" s="450" t="s">
        <v>27260</v>
      </c>
      <c r="J7420" s="450" t="s">
        <v>27261</v>
      </c>
      <c r="K7420" s="450"/>
    </row>
    <row r="7421" spans="1:11">
      <c r="A7421" s="451" t="s">
        <v>36817</v>
      </c>
      <c r="B7421" s="451"/>
      <c r="C7421" s="451" t="s">
        <v>11811</v>
      </c>
      <c r="D7421" s="451"/>
      <c r="E7421" s="451"/>
      <c r="F7421" s="451"/>
      <c r="G7421" s="451" t="s">
        <v>22877</v>
      </c>
      <c r="H7421" s="451" t="s">
        <v>22878</v>
      </c>
      <c r="I7421" s="451" t="s">
        <v>36818</v>
      </c>
      <c r="J7421" s="451" t="s">
        <v>23370</v>
      </c>
      <c r="K7421" s="451"/>
    </row>
    <row r="7422" spans="1:11">
      <c r="A7422" s="450" t="s">
        <v>11810</v>
      </c>
      <c r="B7422" s="450"/>
      <c r="C7422" s="450" t="s">
        <v>11811</v>
      </c>
      <c r="D7422" s="450"/>
      <c r="E7422" s="450"/>
      <c r="F7422" s="450"/>
      <c r="G7422" s="450" t="s">
        <v>22877</v>
      </c>
      <c r="H7422" s="450" t="s">
        <v>22878</v>
      </c>
      <c r="I7422" s="450" t="s">
        <v>36818</v>
      </c>
      <c r="J7422" s="450" t="s">
        <v>22942</v>
      </c>
      <c r="K7422" s="450"/>
    </row>
    <row r="7423" spans="1:11">
      <c r="A7423" s="451" t="s">
        <v>11812</v>
      </c>
      <c r="B7423" s="451"/>
      <c r="C7423" s="451" t="s">
        <v>8652</v>
      </c>
      <c r="D7423" s="451"/>
      <c r="E7423" s="451"/>
      <c r="F7423" s="451"/>
      <c r="G7423" s="451" t="s">
        <v>22882</v>
      </c>
      <c r="H7423" s="451" t="s">
        <v>22883</v>
      </c>
      <c r="I7423" s="451" t="s">
        <v>27262</v>
      </c>
      <c r="J7423" s="451" t="s">
        <v>22939</v>
      </c>
      <c r="K7423" s="451"/>
    </row>
    <row r="7424" spans="1:11">
      <c r="A7424" s="450" t="s">
        <v>11813</v>
      </c>
      <c r="B7424" s="450" t="s">
        <v>11814</v>
      </c>
      <c r="C7424" s="450" t="s">
        <v>11815</v>
      </c>
      <c r="D7424" s="450"/>
      <c r="E7424" s="450"/>
      <c r="F7424" s="450" t="s">
        <v>11816</v>
      </c>
      <c r="G7424" s="450" t="s">
        <v>22882</v>
      </c>
      <c r="H7424" s="450" t="s">
        <v>22883</v>
      </c>
      <c r="I7424" s="450" t="s">
        <v>27263</v>
      </c>
      <c r="J7424" s="450" t="s">
        <v>27264</v>
      </c>
      <c r="K7424" s="450"/>
    </row>
    <row r="7425" spans="1:11">
      <c r="A7425" s="451" t="s">
        <v>11817</v>
      </c>
      <c r="B7425" s="451"/>
      <c r="C7425" s="451" t="s">
        <v>11818</v>
      </c>
      <c r="D7425" s="451"/>
      <c r="E7425" s="451"/>
      <c r="F7425" s="451"/>
      <c r="G7425" s="451" t="s">
        <v>22877</v>
      </c>
      <c r="H7425" s="451" t="s">
        <v>22878</v>
      </c>
      <c r="I7425" s="451" t="s">
        <v>36819</v>
      </c>
      <c r="J7425" s="451" t="s">
        <v>22939</v>
      </c>
      <c r="K7425" s="451"/>
    </row>
    <row r="7426" spans="1:11">
      <c r="A7426" s="450" t="s">
        <v>36820</v>
      </c>
      <c r="B7426" s="450"/>
      <c r="C7426" s="450" t="s">
        <v>11820</v>
      </c>
      <c r="D7426" s="450"/>
      <c r="E7426" s="450"/>
      <c r="F7426" s="450"/>
      <c r="G7426" s="450" t="s">
        <v>22877</v>
      </c>
      <c r="H7426" s="450" t="s">
        <v>22878</v>
      </c>
      <c r="I7426" s="450" t="s">
        <v>27265</v>
      </c>
      <c r="J7426" s="450" t="s">
        <v>23370</v>
      </c>
      <c r="K7426" s="450"/>
    </row>
    <row r="7427" spans="1:11">
      <c r="A7427" s="451" t="s">
        <v>11819</v>
      </c>
      <c r="B7427" s="451"/>
      <c r="C7427" s="451" t="s">
        <v>11820</v>
      </c>
      <c r="D7427" s="451"/>
      <c r="E7427" s="451"/>
      <c r="F7427" s="451"/>
      <c r="G7427" s="451" t="s">
        <v>22877</v>
      </c>
      <c r="H7427" s="451" t="s">
        <v>22878</v>
      </c>
      <c r="I7427" s="451" t="s">
        <v>27265</v>
      </c>
      <c r="J7427" s="451" t="s">
        <v>22942</v>
      </c>
      <c r="K7427" s="451"/>
    </row>
    <row r="7428" spans="1:11">
      <c r="A7428" s="450" t="s">
        <v>27266</v>
      </c>
      <c r="B7428" s="450" t="s">
        <v>27267</v>
      </c>
      <c r="C7428" s="450" t="s">
        <v>27268</v>
      </c>
      <c r="D7428" s="450"/>
      <c r="E7428" s="450"/>
      <c r="F7428" s="450"/>
      <c r="G7428" s="450" t="s">
        <v>22877</v>
      </c>
      <c r="H7428" s="450" t="s">
        <v>22878</v>
      </c>
      <c r="I7428" s="450" t="s">
        <v>27269</v>
      </c>
      <c r="J7428" s="450" t="s">
        <v>27270</v>
      </c>
      <c r="K7428" s="450"/>
    </row>
    <row r="7429" spans="1:11">
      <c r="A7429" s="451" t="s">
        <v>11821</v>
      </c>
      <c r="B7429" s="451"/>
      <c r="C7429" s="451" t="s">
        <v>11822</v>
      </c>
      <c r="D7429" s="451"/>
      <c r="E7429" s="451"/>
      <c r="F7429" s="451"/>
      <c r="G7429" s="451" t="s">
        <v>22882</v>
      </c>
      <c r="H7429" s="451" t="s">
        <v>22883</v>
      </c>
      <c r="I7429" s="451" t="s">
        <v>36821</v>
      </c>
      <c r="J7429" s="451" t="s">
        <v>22939</v>
      </c>
      <c r="K7429" s="451"/>
    </row>
    <row r="7430" spans="1:11">
      <c r="A7430" s="450" t="s">
        <v>11823</v>
      </c>
      <c r="B7430" s="450"/>
      <c r="C7430" s="450" t="s">
        <v>11824</v>
      </c>
      <c r="D7430" s="450"/>
      <c r="E7430" s="450"/>
      <c r="F7430" s="450"/>
      <c r="G7430" s="450" t="s">
        <v>22877</v>
      </c>
      <c r="H7430" s="450" t="s">
        <v>22878</v>
      </c>
      <c r="I7430" s="450" t="s">
        <v>27271</v>
      </c>
      <c r="J7430" s="450" t="s">
        <v>22939</v>
      </c>
      <c r="K7430" s="450"/>
    </row>
    <row r="7431" spans="1:11">
      <c r="A7431" s="451" t="s">
        <v>27272</v>
      </c>
      <c r="B7431" s="451" t="s">
        <v>27273</v>
      </c>
      <c r="C7431" s="451" t="s">
        <v>27274</v>
      </c>
      <c r="D7431" s="451"/>
      <c r="E7431" s="451"/>
      <c r="F7431" s="451"/>
      <c r="G7431" s="451" t="s">
        <v>22877</v>
      </c>
      <c r="H7431" s="451" t="s">
        <v>22878</v>
      </c>
      <c r="I7431" s="451" t="s">
        <v>27275</v>
      </c>
      <c r="J7431" s="451" t="s">
        <v>27276</v>
      </c>
      <c r="K7431" s="451"/>
    </row>
    <row r="7432" spans="1:11">
      <c r="A7432" s="450" t="s">
        <v>11825</v>
      </c>
      <c r="B7432" s="450"/>
      <c r="C7432" s="450" t="s">
        <v>7486</v>
      </c>
      <c r="D7432" s="450"/>
      <c r="E7432" s="450"/>
      <c r="F7432" s="450"/>
      <c r="G7432" s="450" t="s">
        <v>22882</v>
      </c>
      <c r="H7432" s="450" t="s">
        <v>22883</v>
      </c>
      <c r="I7432" s="450" t="s">
        <v>36822</v>
      </c>
      <c r="J7432" s="450" t="s">
        <v>23179</v>
      </c>
      <c r="K7432" s="450"/>
    </row>
    <row r="7433" spans="1:11">
      <c r="A7433" s="451" t="s">
        <v>21848</v>
      </c>
      <c r="B7433" s="451"/>
      <c r="C7433" s="451" t="s">
        <v>11826</v>
      </c>
      <c r="D7433" s="451"/>
      <c r="E7433" s="451"/>
      <c r="F7433" s="451"/>
      <c r="G7433" s="451" t="s">
        <v>22882</v>
      </c>
      <c r="H7433" s="451" t="s">
        <v>22883</v>
      </c>
      <c r="I7433" s="451" t="s">
        <v>36823</v>
      </c>
      <c r="J7433" s="451" t="s">
        <v>22902</v>
      </c>
      <c r="K7433" s="451"/>
    </row>
    <row r="7434" spans="1:11">
      <c r="A7434" s="450" t="s">
        <v>11827</v>
      </c>
      <c r="B7434" s="450"/>
      <c r="C7434" s="450" t="s">
        <v>4426</v>
      </c>
      <c r="D7434" s="450"/>
      <c r="E7434" s="450"/>
      <c r="F7434" s="450"/>
      <c r="G7434" s="450" t="s">
        <v>22882</v>
      </c>
      <c r="H7434" s="450" t="s">
        <v>22883</v>
      </c>
      <c r="I7434" s="450"/>
      <c r="J7434" s="450" t="s">
        <v>23185</v>
      </c>
      <c r="K7434" s="450"/>
    </row>
    <row r="7435" spans="1:11">
      <c r="A7435" s="451" t="s">
        <v>27277</v>
      </c>
      <c r="B7435" s="451"/>
      <c r="C7435" s="451" t="s">
        <v>4426</v>
      </c>
      <c r="D7435" s="451"/>
      <c r="E7435" s="451"/>
      <c r="F7435" s="451"/>
      <c r="G7435" s="451" t="s">
        <v>22882</v>
      </c>
      <c r="H7435" s="451" t="s">
        <v>22883</v>
      </c>
      <c r="I7435" s="451"/>
      <c r="J7435" s="451" t="s">
        <v>22943</v>
      </c>
      <c r="K7435" s="451"/>
    </row>
    <row r="7436" spans="1:11">
      <c r="A7436" s="450" t="s">
        <v>27278</v>
      </c>
      <c r="B7436" s="450" t="s">
        <v>27279</v>
      </c>
      <c r="C7436" s="450" t="s">
        <v>20366</v>
      </c>
      <c r="D7436" s="450" t="s">
        <v>20367</v>
      </c>
      <c r="E7436" s="450"/>
      <c r="F7436" s="450" t="s">
        <v>27280</v>
      </c>
      <c r="G7436" s="450" t="s">
        <v>22877</v>
      </c>
      <c r="H7436" s="450" t="s">
        <v>22878</v>
      </c>
      <c r="I7436" s="450" t="s">
        <v>20367</v>
      </c>
      <c r="J7436" s="450" t="s">
        <v>27281</v>
      </c>
      <c r="K7436" s="450"/>
    </row>
    <row r="7437" spans="1:11">
      <c r="A7437" s="451" t="s">
        <v>11828</v>
      </c>
      <c r="B7437" s="451"/>
      <c r="C7437" s="451" t="s">
        <v>11829</v>
      </c>
      <c r="D7437" s="451"/>
      <c r="E7437" s="451"/>
      <c r="F7437" s="451"/>
      <c r="G7437" s="451" t="s">
        <v>22877</v>
      </c>
      <c r="H7437" s="451" t="s">
        <v>22878</v>
      </c>
      <c r="I7437" s="451" t="s">
        <v>27282</v>
      </c>
      <c r="J7437" s="451" t="s">
        <v>22939</v>
      </c>
      <c r="K7437" s="451"/>
    </row>
    <row r="7438" spans="1:11">
      <c r="A7438" s="450" t="s">
        <v>36824</v>
      </c>
      <c r="B7438" s="450" t="s">
        <v>36825</v>
      </c>
      <c r="C7438" s="450" t="s">
        <v>11832</v>
      </c>
      <c r="D7438" s="450" t="s">
        <v>11833</v>
      </c>
      <c r="E7438" s="450"/>
      <c r="F7438" s="450"/>
      <c r="G7438" s="450" t="s">
        <v>22877</v>
      </c>
      <c r="H7438" s="450" t="s">
        <v>22878</v>
      </c>
      <c r="I7438" s="450" t="s">
        <v>27283</v>
      </c>
      <c r="J7438" s="450" t="s">
        <v>36826</v>
      </c>
      <c r="K7438" s="450"/>
    </row>
    <row r="7439" spans="1:11">
      <c r="A7439" s="451" t="s">
        <v>11830</v>
      </c>
      <c r="B7439" s="451" t="s">
        <v>11831</v>
      </c>
      <c r="C7439" s="451" t="s">
        <v>11832</v>
      </c>
      <c r="D7439" s="451" t="s">
        <v>11833</v>
      </c>
      <c r="E7439" s="451" t="s">
        <v>11834</v>
      </c>
      <c r="F7439" s="451"/>
      <c r="G7439" s="451" t="s">
        <v>22877</v>
      </c>
      <c r="H7439" s="451" t="s">
        <v>22878</v>
      </c>
      <c r="I7439" s="451" t="s">
        <v>27283</v>
      </c>
      <c r="J7439" s="451" t="s">
        <v>31858</v>
      </c>
      <c r="K7439" s="451"/>
    </row>
    <row r="7440" spans="1:11">
      <c r="A7440" s="450" t="s">
        <v>36827</v>
      </c>
      <c r="B7440" s="450"/>
      <c r="C7440" s="450" t="s">
        <v>11681</v>
      </c>
      <c r="D7440" s="450"/>
      <c r="E7440" s="450"/>
      <c r="F7440" s="450"/>
      <c r="G7440" s="450" t="s">
        <v>22877</v>
      </c>
      <c r="H7440" s="450" t="s">
        <v>22878</v>
      </c>
      <c r="I7440" s="450" t="s">
        <v>36828</v>
      </c>
      <c r="J7440" s="450" t="s">
        <v>22997</v>
      </c>
      <c r="K7440" s="450"/>
    </row>
    <row r="7441" spans="1:11">
      <c r="A7441" s="451" t="s">
        <v>11835</v>
      </c>
      <c r="B7441" s="451"/>
      <c r="C7441" s="451" t="s">
        <v>11681</v>
      </c>
      <c r="D7441" s="451"/>
      <c r="E7441" s="451"/>
      <c r="F7441" s="451"/>
      <c r="G7441" s="451" t="s">
        <v>22882</v>
      </c>
      <c r="H7441" s="451" t="s">
        <v>22883</v>
      </c>
      <c r="I7441" s="451" t="s">
        <v>36828</v>
      </c>
      <c r="J7441" s="451" t="s">
        <v>23185</v>
      </c>
      <c r="K7441" s="451"/>
    </row>
    <row r="7442" spans="1:11">
      <c r="A7442" s="450" t="s">
        <v>36829</v>
      </c>
      <c r="B7442" s="450"/>
      <c r="C7442" s="450" t="s">
        <v>2661</v>
      </c>
      <c r="D7442" s="450"/>
      <c r="E7442" s="450"/>
      <c r="F7442" s="450"/>
      <c r="G7442" s="450" t="s">
        <v>22877</v>
      </c>
      <c r="H7442" s="450" t="s">
        <v>22878</v>
      </c>
      <c r="I7442" s="450" t="s">
        <v>36830</v>
      </c>
      <c r="J7442" s="450" t="s">
        <v>22943</v>
      </c>
      <c r="K7442" s="450"/>
    </row>
    <row r="7443" spans="1:11">
      <c r="A7443" s="451" t="s">
        <v>11836</v>
      </c>
      <c r="B7443" s="451"/>
      <c r="C7443" s="451" t="s">
        <v>2661</v>
      </c>
      <c r="D7443" s="451"/>
      <c r="E7443" s="451"/>
      <c r="F7443" s="451"/>
      <c r="G7443" s="451" t="s">
        <v>22877</v>
      </c>
      <c r="H7443" s="451" t="s">
        <v>22878</v>
      </c>
      <c r="I7443" s="451" t="s">
        <v>36830</v>
      </c>
      <c r="J7443" s="451" t="s">
        <v>23121</v>
      </c>
      <c r="K7443" s="451"/>
    </row>
    <row r="7444" spans="1:11">
      <c r="A7444" s="450" t="s">
        <v>11837</v>
      </c>
      <c r="B7444" s="450"/>
      <c r="C7444" s="450" t="s">
        <v>11838</v>
      </c>
      <c r="D7444" s="450"/>
      <c r="E7444" s="450"/>
      <c r="F7444" s="450"/>
      <c r="G7444" s="450" t="s">
        <v>22882</v>
      </c>
      <c r="H7444" s="450" t="s">
        <v>22883</v>
      </c>
      <c r="I7444" s="450"/>
      <c r="J7444" s="450" t="s">
        <v>22939</v>
      </c>
      <c r="K7444" s="450"/>
    </row>
    <row r="7445" spans="1:11">
      <c r="A7445" s="451" t="s">
        <v>11839</v>
      </c>
      <c r="B7445" s="451"/>
      <c r="C7445" s="451" t="s">
        <v>11840</v>
      </c>
      <c r="D7445" s="451"/>
      <c r="E7445" s="451"/>
      <c r="F7445" s="451"/>
      <c r="G7445" s="451" t="s">
        <v>22877</v>
      </c>
      <c r="H7445" s="451" t="s">
        <v>22878</v>
      </c>
      <c r="I7445" s="451" t="s">
        <v>36831</v>
      </c>
      <c r="J7445" s="451" t="s">
        <v>22939</v>
      </c>
      <c r="K7445" s="451"/>
    </row>
    <row r="7446" spans="1:11">
      <c r="A7446" s="450" t="s">
        <v>11841</v>
      </c>
      <c r="B7446" s="450"/>
      <c r="C7446" s="450" t="s">
        <v>11842</v>
      </c>
      <c r="D7446" s="450"/>
      <c r="E7446" s="450"/>
      <c r="F7446" s="450"/>
      <c r="G7446" s="450" t="s">
        <v>22882</v>
      </c>
      <c r="H7446" s="450" t="s">
        <v>22883</v>
      </c>
      <c r="I7446" s="450" t="s">
        <v>27284</v>
      </c>
      <c r="J7446" s="450" t="s">
        <v>22997</v>
      </c>
      <c r="K7446" s="450"/>
    </row>
    <row r="7447" spans="1:11">
      <c r="A7447" s="451" t="s">
        <v>11843</v>
      </c>
      <c r="B7447" s="451" t="s">
        <v>11844</v>
      </c>
      <c r="C7447" s="451" t="s">
        <v>11845</v>
      </c>
      <c r="D7447" s="451"/>
      <c r="E7447" s="451"/>
      <c r="F7447" s="451" t="s">
        <v>11846</v>
      </c>
      <c r="G7447" s="451" t="s">
        <v>22877</v>
      </c>
      <c r="H7447" s="451" t="s">
        <v>22878</v>
      </c>
      <c r="I7447" s="451" t="s">
        <v>27285</v>
      </c>
      <c r="J7447" s="451" t="s">
        <v>27286</v>
      </c>
      <c r="K7447" s="451"/>
    </row>
    <row r="7448" spans="1:11">
      <c r="A7448" s="450" t="s">
        <v>11847</v>
      </c>
      <c r="B7448" s="450"/>
      <c r="C7448" s="450" t="s">
        <v>11848</v>
      </c>
      <c r="D7448" s="450"/>
      <c r="E7448" s="450"/>
      <c r="F7448" s="450"/>
      <c r="G7448" s="450" t="s">
        <v>22882</v>
      </c>
      <c r="H7448" s="450" t="s">
        <v>22883</v>
      </c>
      <c r="I7448" s="450" t="s">
        <v>27287</v>
      </c>
      <c r="J7448" s="450" t="s">
        <v>22939</v>
      </c>
      <c r="K7448" s="450"/>
    </row>
    <row r="7449" spans="1:11">
      <c r="A7449" s="451" t="s">
        <v>11849</v>
      </c>
      <c r="B7449" s="451" t="s">
        <v>11850</v>
      </c>
      <c r="C7449" s="451" t="s">
        <v>11851</v>
      </c>
      <c r="D7449" s="451" t="s">
        <v>11852</v>
      </c>
      <c r="E7449" s="451"/>
      <c r="F7449" s="451"/>
      <c r="G7449" s="451" t="s">
        <v>22882</v>
      </c>
      <c r="H7449" s="451" t="s">
        <v>22883</v>
      </c>
      <c r="I7449" s="451" t="s">
        <v>27288</v>
      </c>
      <c r="J7449" s="451" t="s">
        <v>27289</v>
      </c>
      <c r="K7449" s="451"/>
    </row>
    <row r="7450" spans="1:11">
      <c r="A7450" s="450" t="s">
        <v>11849</v>
      </c>
      <c r="B7450" s="450" t="s">
        <v>11850</v>
      </c>
      <c r="C7450" s="450" t="s">
        <v>11851</v>
      </c>
      <c r="D7450" s="450" t="s">
        <v>11852</v>
      </c>
      <c r="E7450" s="450" t="s">
        <v>11853</v>
      </c>
      <c r="F7450" s="450"/>
      <c r="G7450" s="450" t="s">
        <v>22877</v>
      </c>
      <c r="H7450" s="450" t="s">
        <v>22878</v>
      </c>
      <c r="I7450" s="450" t="s">
        <v>27288</v>
      </c>
      <c r="J7450" s="450" t="s">
        <v>27289</v>
      </c>
      <c r="K7450" s="450"/>
    </row>
    <row r="7451" spans="1:11">
      <c r="A7451" s="451" t="s">
        <v>11854</v>
      </c>
      <c r="B7451" s="451"/>
      <c r="C7451" s="451" t="s">
        <v>11855</v>
      </c>
      <c r="D7451" s="451"/>
      <c r="E7451" s="451"/>
      <c r="F7451" s="451"/>
      <c r="G7451" s="451" t="s">
        <v>22877</v>
      </c>
      <c r="H7451" s="451" t="s">
        <v>22878</v>
      </c>
      <c r="I7451" s="451" t="s">
        <v>27290</v>
      </c>
      <c r="J7451" s="451" t="s">
        <v>22939</v>
      </c>
      <c r="K7451" s="451"/>
    </row>
    <row r="7452" spans="1:11">
      <c r="A7452" s="450" t="s">
        <v>11856</v>
      </c>
      <c r="B7452" s="450" t="s">
        <v>11857</v>
      </c>
      <c r="C7452" s="450" t="s">
        <v>2361</v>
      </c>
      <c r="D7452" s="450" t="s">
        <v>11858</v>
      </c>
      <c r="E7452" s="450"/>
      <c r="F7452" s="450"/>
      <c r="G7452" s="450" t="s">
        <v>22882</v>
      </c>
      <c r="H7452" s="450" t="s">
        <v>22883</v>
      </c>
      <c r="I7452" s="450" t="s">
        <v>11858</v>
      </c>
      <c r="J7452" s="450" t="s">
        <v>27291</v>
      </c>
      <c r="K7452" s="450"/>
    </row>
    <row r="7453" spans="1:11">
      <c r="A7453" s="451" t="s">
        <v>11859</v>
      </c>
      <c r="B7453" s="451"/>
      <c r="C7453" s="451" t="s">
        <v>2924</v>
      </c>
      <c r="D7453" s="451"/>
      <c r="E7453" s="451"/>
      <c r="F7453" s="451"/>
      <c r="G7453" s="451" t="s">
        <v>22877</v>
      </c>
      <c r="H7453" s="451" t="s">
        <v>22878</v>
      </c>
      <c r="I7453" s="451" t="s">
        <v>27292</v>
      </c>
      <c r="J7453" s="451" t="s">
        <v>22943</v>
      </c>
      <c r="K7453" s="451"/>
    </row>
    <row r="7454" spans="1:11">
      <c r="A7454" s="450" t="s">
        <v>27293</v>
      </c>
      <c r="B7454" s="450" t="s">
        <v>27294</v>
      </c>
      <c r="C7454" s="450" t="s">
        <v>27295</v>
      </c>
      <c r="D7454" s="450"/>
      <c r="E7454" s="450"/>
      <c r="F7454" s="450"/>
      <c r="G7454" s="450" t="s">
        <v>22877</v>
      </c>
      <c r="H7454" s="450" t="s">
        <v>22878</v>
      </c>
      <c r="I7454" s="450" t="s">
        <v>27296</v>
      </c>
      <c r="J7454" s="450" t="s">
        <v>27297</v>
      </c>
      <c r="K7454" s="450"/>
    </row>
    <row r="7455" spans="1:11">
      <c r="A7455" s="451" t="s">
        <v>27298</v>
      </c>
      <c r="B7455" s="451" t="s">
        <v>11865</v>
      </c>
      <c r="C7455" s="451" t="s">
        <v>11866</v>
      </c>
      <c r="D7455" s="451" t="s">
        <v>11867</v>
      </c>
      <c r="E7455" s="451"/>
      <c r="F7455" s="451"/>
      <c r="G7455" s="451" t="s">
        <v>22877</v>
      </c>
      <c r="H7455" s="451" t="s">
        <v>22878</v>
      </c>
      <c r="I7455" s="451" t="s">
        <v>11867</v>
      </c>
      <c r="J7455" s="451" t="s">
        <v>27299</v>
      </c>
      <c r="K7455" s="451"/>
    </row>
    <row r="7456" spans="1:11">
      <c r="A7456" s="450" t="s">
        <v>11860</v>
      </c>
      <c r="B7456" s="450" t="s">
        <v>27300</v>
      </c>
      <c r="C7456" s="450" t="s">
        <v>27301</v>
      </c>
      <c r="D7456" s="450" t="s">
        <v>11863</v>
      </c>
      <c r="E7456" s="450"/>
      <c r="F7456" s="450"/>
      <c r="G7456" s="450" t="s">
        <v>22882</v>
      </c>
      <c r="H7456" s="450" t="s">
        <v>22883</v>
      </c>
      <c r="I7456" s="450" t="s">
        <v>11863</v>
      </c>
      <c r="J7456" s="450" t="s">
        <v>27302</v>
      </c>
      <c r="K7456" s="450"/>
    </row>
    <row r="7457" spans="1:11">
      <c r="A7457" s="451" t="s">
        <v>11860</v>
      </c>
      <c r="B7457" s="451" t="s">
        <v>11861</v>
      </c>
      <c r="C7457" s="451" t="s">
        <v>11862</v>
      </c>
      <c r="D7457" s="451" t="s">
        <v>11863</v>
      </c>
      <c r="E7457" s="451" t="s">
        <v>11864</v>
      </c>
      <c r="F7457" s="451"/>
      <c r="G7457" s="451" t="s">
        <v>22877</v>
      </c>
      <c r="H7457" s="451" t="s">
        <v>22878</v>
      </c>
      <c r="I7457" s="451" t="s">
        <v>31859</v>
      </c>
      <c r="J7457" s="451" t="s">
        <v>31860</v>
      </c>
      <c r="K7457" s="451"/>
    </row>
    <row r="7458" spans="1:11">
      <c r="A7458" s="450" t="s">
        <v>27303</v>
      </c>
      <c r="B7458" s="450" t="s">
        <v>27304</v>
      </c>
      <c r="C7458" s="450" t="s">
        <v>27305</v>
      </c>
      <c r="D7458" s="450"/>
      <c r="E7458" s="450"/>
      <c r="F7458" s="450"/>
      <c r="G7458" s="450" t="s">
        <v>22877</v>
      </c>
      <c r="H7458" s="450" t="s">
        <v>22878</v>
      </c>
      <c r="I7458" s="450" t="s">
        <v>27306</v>
      </c>
      <c r="J7458" s="450" t="s">
        <v>27307</v>
      </c>
      <c r="K7458" s="450"/>
    </row>
    <row r="7459" spans="1:11">
      <c r="A7459" s="451" t="s">
        <v>20539</v>
      </c>
      <c r="B7459" s="451" t="s">
        <v>11869</v>
      </c>
      <c r="C7459" s="451" t="s">
        <v>11870</v>
      </c>
      <c r="D7459" s="451" t="s">
        <v>11871</v>
      </c>
      <c r="E7459" s="451"/>
      <c r="F7459" s="451" t="s">
        <v>11873</v>
      </c>
      <c r="G7459" s="451" t="s">
        <v>22877</v>
      </c>
      <c r="H7459" s="451" t="s">
        <v>22878</v>
      </c>
      <c r="I7459" s="451" t="s">
        <v>11871</v>
      </c>
      <c r="J7459" s="451" t="s">
        <v>36832</v>
      </c>
      <c r="K7459" s="451"/>
    </row>
    <row r="7460" spans="1:11">
      <c r="A7460" s="450" t="s">
        <v>20539</v>
      </c>
      <c r="B7460" s="450" t="s">
        <v>11869</v>
      </c>
      <c r="C7460" s="450" t="s">
        <v>11870</v>
      </c>
      <c r="D7460" s="450" t="s">
        <v>11871</v>
      </c>
      <c r="E7460" s="450" t="s">
        <v>11872</v>
      </c>
      <c r="F7460" s="450" t="s">
        <v>11873</v>
      </c>
      <c r="G7460" s="450" t="s">
        <v>22877</v>
      </c>
      <c r="H7460" s="450" t="s">
        <v>22878</v>
      </c>
      <c r="I7460" s="450" t="s">
        <v>31861</v>
      </c>
      <c r="J7460" s="450" t="s">
        <v>31862</v>
      </c>
      <c r="K7460" s="450"/>
    </row>
    <row r="7461" spans="1:11">
      <c r="A7461" s="451" t="s">
        <v>20540</v>
      </c>
      <c r="B7461" s="451" t="s">
        <v>11874</v>
      </c>
      <c r="C7461" s="451" t="s">
        <v>11875</v>
      </c>
      <c r="D7461" s="451" t="s">
        <v>11876</v>
      </c>
      <c r="E7461" s="451"/>
      <c r="F7461" s="451" t="s">
        <v>11878</v>
      </c>
      <c r="G7461" s="451" t="s">
        <v>22877</v>
      </c>
      <c r="H7461" s="451" t="s">
        <v>22878</v>
      </c>
      <c r="I7461" s="451" t="s">
        <v>11876</v>
      </c>
      <c r="J7461" s="451" t="s">
        <v>36833</v>
      </c>
      <c r="K7461" s="451"/>
    </row>
    <row r="7462" spans="1:11">
      <c r="A7462" s="450" t="s">
        <v>20540</v>
      </c>
      <c r="B7462" s="450" t="s">
        <v>11874</v>
      </c>
      <c r="C7462" s="450" t="s">
        <v>11875</v>
      </c>
      <c r="D7462" s="450" t="s">
        <v>11876</v>
      </c>
      <c r="E7462" s="450" t="s">
        <v>11877</v>
      </c>
      <c r="F7462" s="450" t="s">
        <v>11878</v>
      </c>
      <c r="G7462" s="450" t="s">
        <v>22877</v>
      </c>
      <c r="H7462" s="450" t="s">
        <v>22878</v>
      </c>
      <c r="I7462" s="450" t="s">
        <v>31863</v>
      </c>
      <c r="J7462" s="450" t="s">
        <v>31864</v>
      </c>
      <c r="K7462" s="450"/>
    </row>
    <row r="7463" spans="1:11">
      <c r="A7463" s="451" t="s">
        <v>20541</v>
      </c>
      <c r="B7463" s="451" t="s">
        <v>36834</v>
      </c>
      <c r="C7463" s="451" t="s">
        <v>11880</v>
      </c>
      <c r="D7463" s="451" t="s">
        <v>11881</v>
      </c>
      <c r="E7463" s="451"/>
      <c r="F7463" s="451" t="s">
        <v>11883</v>
      </c>
      <c r="G7463" s="451" t="s">
        <v>22877</v>
      </c>
      <c r="H7463" s="451" t="s">
        <v>22878</v>
      </c>
      <c r="I7463" s="451" t="s">
        <v>11881</v>
      </c>
      <c r="J7463" s="451" t="s">
        <v>36835</v>
      </c>
      <c r="K7463" s="451"/>
    </row>
    <row r="7464" spans="1:11">
      <c r="A7464" s="450" t="s">
        <v>20541</v>
      </c>
      <c r="B7464" s="450" t="s">
        <v>11879</v>
      </c>
      <c r="C7464" s="450" t="s">
        <v>11880</v>
      </c>
      <c r="D7464" s="450" t="s">
        <v>11881</v>
      </c>
      <c r="E7464" s="450" t="s">
        <v>11882</v>
      </c>
      <c r="F7464" s="450" t="s">
        <v>11883</v>
      </c>
      <c r="G7464" s="450" t="s">
        <v>22877</v>
      </c>
      <c r="H7464" s="450" t="s">
        <v>22878</v>
      </c>
      <c r="I7464" s="450" t="s">
        <v>11881</v>
      </c>
      <c r="J7464" s="450" t="s">
        <v>31865</v>
      </c>
      <c r="K7464" s="450"/>
    </row>
    <row r="7465" spans="1:11">
      <c r="A7465" s="451" t="s">
        <v>20538</v>
      </c>
      <c r="B7465" s="451" t="s">
        <v>11865</v>
      </c>
      <c r="C7465" s="451" t="s">
        <v>11866</v>
      </c>
      <c r="D7465" s="451" t="s">
        <v>11867</v>
      </c>
      <c r="E7465" s="451" t="s">
        <v>11868</v>
      </c>
      <c r="F7465" s="451"/>
      <c r="G7465" s="451" t="s">
        <v>22877</v>
      </c>
      <c r="H7465" s="451" t="s">
        <v>22878</v>
      </c>
      <c r="I7465" s="451" t="s">
        <v>31866</v>
      </c>
      <c r="J7465" s="451" t="s">
        <v>31867</v>
      </c>
      <c r="K7465" s="451"/>
    </row>
    <row r="7466" spans="1:11">
      <c r="A7466" s="450" t="s">
        <v>20542</v>
      </c>
      <c r="B7466" s="450" t="s">
        <v>11884</v>
      </c>
      <c r="C7466" s="450" t="s">
        <v>3058</v>
      </c>
      <c r="D7466" s="450" t="s">
        <v>11885</v>
      </c>
      <c r="E7466" s="450"/>
      <c r="F7466" s="450" t="s">
        <v>11887</v>
      </c>
      <c r="G7466" s="450" t="s">
        <v>22877</v>
      </c>
      <c r="H7466" s="450" t="s">
        <v>22878</v>
      </c>
      <c r="I7466" s="450" t="s">
        <v>27308</v>
      </c>
      <c r="J7466" s="450" t="s">
        <v>27309</v>
      </c>
      <c r="K7466" s="450"/>
    </row>
    <row r="7467" spans="1:11">
      <c r="A7467" s="451" t="s">
        <v>20542</v>
      </c>
      <c r="B7467" s="451" t="s">
        <v>11884</v>
      </c>
      <c r="C7467" s="451" t="s">
        <v>3058</v>
      </c>
      <c r="D7467" s="451" t="s">
        <v>11885</v>
      </c>
      <c r="E7467" s="451" t="s">
        <v>11886</v>
      </c>
      <c r="F7467" s="451" t="s">
        <v>11887</v>
      </c>
      <c r="G7467" s="451" t="s">
        <v>22877</v>
      </c>
      <c r="H7467" s="451" t="s">
        <v>22878</v>
      </c>
      <c r="I7467" s="451" t="s">
        <v>27308</v>
      </c>
      <c r="J7467" s="451" t="s">
        <v>27309</v>
      </c>
      <c r="K7467" s="451"/>
    </row>
    <row r="7468" spans="1:11">
      <c r="A7468" s="450" t="s">
        <v>20543</v>
      </c>
      <c r="B7468" s="450" t="s">
        <v>11888</v>
      </c>
      <c r="C7468" s="450" t="s">
        <v>7009</v>
      </c>
      <c r="D7468" s="450" t="s">
        <v>11889</v>
      </c>
      <c r="E7468" s="450"/>
      <c r="F7468" s="450" t="s">
        <v>11891</v>
      </c>
      <c r="G7468" s="450" t="s">
        <v>22877</v>
      </c>
      <c r="H7468" s="450" t="s">
        <v>22878</v>
      </c>
      <c r="I7468" s="450" t="s">
        <v>11889</v>
      </c>
      <c r="J7468" s="450" t="s">
        <v>27310</v>
      </c>
      <c r="K7468" s="450"/>
    </row>
    <row r="7469" spans="1:11">
      <c r="A7469" s="451" t="s">
        <v>20543</v>
      </c>
      <c r="B7469" s="451" t="s">
        <v>11888</v>
      </c>
      <c r="C7469" s="451" t="s">
        <v>7009</v>
      </c>
      <c r="D7469" s="451" t="s">
        <v>11889</v>
      </c>
      <c r="E7469" s="451" t="s">
        <v>11890</v>
      </c>
      <c r="F7469" s="451" t="s">
        <v>11891</v>
      </c>
      <c r="G7469" s="451" t="s">
        <v>22877</v>
      </c>
      <c r="H7469" s="451" t="s">
        <v>22878</v>
      </c>
      <c r="I7469" s="451" t="s">
        <v>31868</v>
      </c>
      <c r="J7469" s="451" t="s">
        <v>27310</v>
      </c>
      <c r="K7469" s="451"/>
    </row>
    <row r="7470" spans="1:11">
      <c r="A7470" s="450" t="s">
        <v>20544</v>
      </c>
      <c r="B7470" s="450" t="s">
        <v>11892</v>
      </c>
      <c r="C7470" s="450" t="s">
        <v>4400</v>
      </c>
      <c r="D7470" s="450" t="s">
        <v>11893</v>
      </c>
      <c r="E7470" s="450"/>
      <c r="F7470" s="450" t="s">
        <v>11895</v>
      </c>
      <c r="G7470" s="450" t="s">
        <v>22877</v>
      </c>
      <c r="H7470" s="450" t="s">
        <v>22878</v>
      </c>
      <c r="I7470" s="450" t="s">
        <v>27311</v>
      </c>
      <c r="J7470" s="450" t="s">
        <v>36836</v>
      </c>
      <c r="K7470" s="450"/>
    </row>
    <row r="7471" spans="1:11">
      <c r="A7471" s="451" t="s">
        <v>20544</v>
      </c>
      <c r="B7471" s="451" t="s">
        <v>11892</v>
      </c>
      <c r="C7471" s="451" t="s">
        <v>4400</v>
      </c>
      <c r="D7471" s="451" t="s">
        <v>11893</v>
      </c>
      <c r="E7471" s="451" t="s">
        <v>11894</v>
      </c>
      <c r="F7471" s="451" t="s">
        <v>11895</v>
      </c>
      <c r="G7471" s="451" t="s">
        <v>22877</v>
      </c>
      <c r="H7471" s="451" t="s">
        <v>22878</v>
      </c>
      <c r="I7471" s="451" t="s">
        <v>27311</v>
      </c>
      <c r="J7471" s="451" t="s">
        <v>31869</v>
      </c>
      <c r="K7471" s="451"/>
    </row>
    <row r="7472" spans="1:11">
      <c r="A7472" s="450" t="s">
        <v>20545</v>
      </c>
      <c r="B7472" s="450" t="s">
        <v>11896</v>
      </c>
      <c r="C7472" s="450" t="s">
        <v>1701</v>
      </c>
      <c r="D7472" s="450" t="s">
        <v>11897</v>
      </c>
      <c r="E7472" s="450"/>
      <c r="F7472" s="450" t="s">
        <v>11899</v>
      </c>
      <c r="G7472" s="450" t="s">
        <v>22877</v>
      </c>
      <c r="H7472" s="450" t="s">
        <v>22878</v>
      </c>
      <c r="I7472" s="450" t="s">
        <v>11897</v>
      </c>
      <c r="J7472" s="450" t="s">
        <v>36837</v>
      </c>
      <c r="K7472" s="450"/>
    </row>
    <row r="7473" spans="1:11">
      <c r="A7473" s="451" t="s">
        <v>20545</v>
      </c>
      <c r="B7473" s="451" t="s">
        <v>11896</v>
      </c>
      <c r="C7473" s="451" t="s">
        <v>1701</v>
      </c>
      <c r="D7473" s="451" t="s">
        <v>11897</v>
      </c>
      <c r="E7473" s="451" t="s">
        <v>11898</v>
      </c>
      <c r="F7473" s="451" t="s">
        <v>11899</v>
      </c>
      <c r="G7473" s="451" t="s">
        <v>22877</v>
      </c>
      <c r="H7473" s="451" t="s">
        <v>22878</v>
      </c>
      <c r="I7473" s="451" t="s">
        <v>31870</v>
      </c>
      <c r="J7473" s="451" t="s">
        <v>31871</v>
      </c>
      <c r="K7473" s="451"/>
    </row>
    <row r="7474" spans="1:11">
      <c r="A7474" s="450" t="s">
        <v>20546</v>
      </c>
      <c r="B7474" s="450" t="s">
        <v>36838</v>
      </c>
      <c r="C7474" s="450" t="s">
        <v>11901</v>
      </c>
      <c r="D7474" s="450" t="s">
        <v>11902</v>
      </c>
      <c r="E7474" s="450"/>
      <c r="F7474" s="450" t="s">
        <v>11904</v>
      </c>
      <c r="G7474" s="450" t="s">
        <v>22877</v>
      </c>
      <c r="H7474" s="450" t="s">
        <v>22878</v>
      </c>
      <c r="I7474" s="450" t="s">
        <v>27311</v>
      </c>
      <c r="J7474" s="450" t="s">
        <v>36839</v>
      </c>
      <c r="K7474" s="450"/>
    </row>
    <row r="7475" spans="1:11">
      <c r="A7475" s="451" t="s">
        <v>20546</v>
      </c>
      <c r="B7475" s="451" t="s">
        <v>11900</v>
      </c>
      <c r="C7475" s="451" t="s">
        <v>11901</v>
      </c>
      <c r="D7475" s="451" t="s">
        <v>11902</v>
      </c>
      <c r="E7475" s="451" t="s">
        <v>11903</v>
      </c>
      <c r="F7475" s="451" t="s">
        <v>11904</v>
      </c>
      <c r="G7475" s="451" t="s">
        <v>22877</v>
      </c>
      <c r="H7475" s="451" t="s">
        <v>22878</v>
      </c>
      <c r="I7475" s="451" t="s">
        <v>27311</v>
      </c>
      <c r="J7475" s="451" t="s">
        <v>31872</v>
      </c>
      <c r="K7475" s="451"/>
    </row>
    <row r="7476" spans="1:11">
      <c r="A7476" s="450" t="s">
        <v>20547</v>
      </c>
      <c r="B7476" s="450" t="s">
        <v>11905</v>
      </c>
      <c r="C7476" s="450" t="s">
        <v>3293</v>
      </c>
      <c r="D7476" s="450" t="s">
        <v>11906</v>
      </c>
      <c r="E7476" s="450"/>
      <c r="F7476" s="450" t="s">
        <v>11908</v>
      </c>
      <c r="G7476" s="450" t="s">
        <v>22877</v>
      </c>
      <c r="H7476" s="450" t="s">
        <v>22878</v>
      </c>
      <c r="I7476" s="450" t="s">
        <v>27312</v>
      </c>
      <c r="J7476" s="450" t="s">
        <v>36840</v>
      </c>
      <c r="K7476" s="450"/>
    </row>
    <row r="7477" spans="1:11">
      <c r="A7477" s="451" t="s">
        <v>20547</v>
      </c>
      <c r="B7477" s="451" t="s">
        <v>11905</v>
      </c>
      <c r="C7477" s="451" t="s">
        <v>3293</v>
      </c>
      <c r="D7477" s="451" t="s">
        <v>11906</v>
      </c>
      <c r="E7477" s="451" t="s">
        <v>11907</v>
      </c>
      <c r="F7477" s="451" t="s">
        <v>11908</v>
      </c>
      <c r="G7477" s="451" t="s">
        <v>22877</v>
      </c>
      <c r="H7477" s="451" t="s">
        <v>22878</v>
      </c>
      <c r="I7477" s="451" t="s">
        <v>27312</v>
      </c>
      <c r="J7477" s="451" t="s">
        <v>31873</v>
      </c>
      <c r="K7477" s="451"/>
    </row>
    <row r="7478" spans="1:11">
      <c r="A7478" s="450" t="s">
        <v>20548</v>
      </c>
      <c r="B7478" s="450" t="s">
        <v>11909</v>
      </c>
      <c r="C7478" s="450" t="s">
        <v>11910</v>
      </c>
      <c r="D7478" s="450" t="s">
        <v>11911</v>
      </c>
      <c r="E7478" s="450"/>
      <c r="F7478" s="450" t="s">
        <v>11913</v>
      </c>
      <c r="G7478" s="450" t="s">
        <v>22877</v>
      </c>
      <c r="H7478" s="450" t="s">
        <v>22878</v>
      </c>
      <c r="I7478" s="450" t="s">
        <v>11911</v>
      </c>
      <c r="J7478" s="450" t="s">
        <v>27313</v>
      </c>
      <c r="K7478" s="450"/>
    </row>
    <row r="7479" spans="1:11">
      <c r="A7479" s="451" t="s">
        <v>20548</v>
      </c>
      <c r="B7479" s="451" t="s">
        <v>11909</v>
      </c>
      <c r="C7479" s="451" t="s">
        <v>11910</v>
      </c>
      <c r="D7479" s="451" t="s">
        <v>11911</v>
      </c>
      <c r="E7479" s="451" t="s">
        <v>11912</v>
      </c>
      <c r="F7479" s="451" t="s">
        <v>11913</v>
      </c>
      <c r="G7479" s="451" t="s">
        <v>22877</v>
      </c>
      <c r="H7479" s="451" t="s">
        <v>22878</v>
      </c>
      <c r="I7479" s="451" t="s">
        <v>31874</v>
      </c>
      <c r="J7479" s="451" t="s">
        <v>27313</v>
      </c>
      <c r="K7479" s="451"/>
    </row>
    <row r="7480" spans="1:11">
      <c r="A7480" s="450" t="s">
        <v>20549</v>
      </c>
      <c r="B7480" s="450" t="s">
        <v>11914</v>
      </c>
      <c r="C7480" s="450" t="s">
        <v>11915</v>
      </c>
      <c r="D7480" s="450" t="s">
        <v>11916</v>
      </c>
      <c r="E7480" s="450"/>
      <c r="F7480" s="450" t="s">
        <v>11918</v>
      </c>
      <c r="G7480" s="450" t="s">
        <v>22877</v>
      </c>
      <c r="H7480" s="450" t="s">
        <v>22878</v>
      </c>
      <c r="I7480" s="450" t="s">
        <v>11916</v>
      </c>
      <c r="J7480" s="450" t="s">
        <v>36841</v>
      </c>
      <c r="K7480" s="450"/>
    </row>
    <row r="7481" spans="1:11">
      <c r="A7481" s="451" t="s">
        <v>20549</v>
      </c>
      <c r="B7481" s="451" t="s">
        <v>11914</v>
      </c>
      <c r="C7481" s="451" t="s">
        <v>11915</v>
      </c>
      <c r="D7481" s="451" t="s">
        <v>11916</v>
      </c>
      <c r="E7481" s="451" t="s">
        <v>11917</v>
      </c>
      <c r="F7481" s="451" t="s">
        <v>11918</v>
      </c>
      <c r="G7481" s="451" t="s">
        <v>22877</v>
      </c>
      <c r="H7481" s="451" t="s">
        <v>22878</v>
      </c>
      <c r="I7481" s="451" t="s">
        <v>31875</v>
      </c>
      <c r="J7481" s="451" t="s">
        <v>31876</v>
      </c>
      <c r="K7481" s="451"/>
    </row>
    <row r="7482" spans="1:11">
      <c r="A7482" s="450" t="s">
        <v>20550</v>
      </c>
      <c r="B7482" s="450" t="s">
        <v>11919</v>
      </c>
      <c r="C7482" s="450" t="s">
        <v>11920</v>
      </c>
      <c r="D7482" s="450" t="s">
        <v>11921</v>
      </c>
      <c r="E7482" s="450"/>
      <c r="F7482" s="450" t="s">
        <v>11923</v>
      </c>
      <c r="G7482" s="450" t="s">
        <v>22882</v>
      </c>
      <c r="H7482" s="450" t="s">
        <v>22883</v>
      </c>
      <c r="I7482" s="450" t="s">
        <v>11921</v>
      </c>
      <c r="J7482" s="450" t="s">
        <v>36842</v>
      </c>
      <c r="K7482" s="450"/>
    </row>
    <row r="7483" spans="1:11">
      <c r="A7483" s="451" t="s">
        <v>20550</v>
      </c>
      <c r="B7483" s="451" t="s">
        <v>11919</v>
      </c>
      <c r="C7483" s="451" t="s">
        <v>11920</v>
      </c>
      <c r="D7483" s="451" t="s">
        <v>11921</v>
      </c>
      <c r="E7483" s="451" t="s">
        <v>11922</v>
      </c>
      <c r="F7483" s="451" t="s">
        <v>11923</v>
      </c>
      <c r="G7483" s="451" t="s">
        <v>22877</v>
      </c>
      <c r="H7483" s="451" t="s">
        <v>22878</v>
      </c>
      <c r="I7483" s="451" t="s">
        <v>11921</v>
      </c>
      <c r="J7483" s="451" t="s">
        <v>31877</v>
      </c>
      <c r="K7483" s="451"/>
    </row>
    <row r="7484" spans="1:11">
      <c r="A7484" s="450" t="s">
        <v>20551</v>
      </c>
      <c r="B7484" s="450" t="s">
        <v>11924</v>
      </c>
      <c r="C7484" s="450" t="s">
        <v>11925</v>
      </c>
      <c r="D7484" s="450" t="s">
        <v>11926</v>
      </c>
      <c r="E7484" s="450"/>
      <c r="F7484" s="450" t="s">
        <v>11928</v>
      </c>
      <c r="G7484" s="450" t="s">
        <v>22877</v>
      </c>
      <c r="H7484" s="450" t="s">
        <v>22878</v>
      </c>
      <c r="I7484" s="450" t="s">
        <v>11926</v>
      </c>
      <c r="J7484" s="450" t="s">
        <v>36843</v>
      </c>
      <c r="K7484" s="450"/>
    </row>
    <row r="7485" spans="1:11">
      <c r="A7485" s="451" t="s">
        <v>20551</v>
      </c>
      <c r="B7485" s="451" t="s">
        <v>11924</v>
      </c>
      <c r="C7485" s="451" t="s">
        <v>11925</v>
      </c>
      <c r="D7485" s="451" t="s">
        <v>11926</v>
      </c>
      <c r="E7485" s="451" t="s">
        <v>11927</v>
      </c>
      <c r="F7485" s="451" t="s">
        <v>11928</v>
      </c>
      <c r="G7485" s="451" t="s">
        <v>22877</v>
      </c>
      <c r="H7485" s="451" t="s">
        <v>22878</v>
      </c>
      <c r="I7485" s="451" t="s">
        <v>11926</v>
      </c>
      <c r="J7485" s="451" t="s">
        <v>31878</v>
      </c>
      <c r="K7485" s="451"/>
    </row>
    <row r="7486" spans="1:11">
      <c r="A7486" s="450" t="s">
        <v>36844</v>
      </c>
      <c r="B7486" s="450" t="s">
        <v>11929</v>
      </c>
      <c r="C7486" s="450" t="s">
        <v>2612</v>
      </c>
      <c r="D7486" s="450" t="s">
        <v>11930</v>
      </c>
      <c r="E7486" s="450"/>
      <c r="F7486" s="450"/>
      <c r="G7486" s="450" t="s">
        <v>22877</v>
      </c>
      <c r="H7486" s="450" t="s">
        <v>22878</v>
      </c>
      <c r="I7486" s="450" t="s">
        <v>11930</v>
      </c>
      <c r="J7486" s="450" t="s">
        <v>36845</v>
      </c>
      <c r="K7486" s="450"/>
    </row>
    <row r="7487" spans="1:11">
      <c r="A7487" s="451" t="s">
        <v>20552</v>
      </c>
      <c r="B7487" s="451" t="s">
        <v>11929</v>
      </c>
      <c r="C7487" s="451" t="s">
        <v>2612</v>
      </c>
      <c r="D7487" s="451" t="s">
        <v>11930</v>
      </c>
      <c r="E7487" s="451" t="s">
        <v>11931</v>
      </c>
      <c r="F7487" s="451"/>
      <c r="G7487" s="451" t="s">
        <v>22877</v>
      </c>
      <c r="H7487" s="451" t="s">
        <v>22878</v>
      </c>
      <c r="I7487" s="451" t="s">
        <v>31879</v>
      </c>
      <c r="J7487" s="451" t="s">
        <v>31880</v>
      </c>
      <c r="K7487" s="451"/>
    </row>
    <row r="7488" spans="1:11">
      <c r="A7488" s="450" t="s">
        <v>20553</v>
      </c>
      <c r="B7488" s="450" t="s">
        <v>11932</v>
      </c>
      <c r="C7488" s="450" t="s">
        <v>11933</v>
      </c>
      <c r="D7488" s="450" t="s">
        <v>11934</v>
      </c>
      <c r="E7488" s="450"/>
      <c r="F7488" s="450" t="s">
        <v>11936</v>
      </c>
      <c r="G7488" s="450" t="s">
        <v>22882</v>
      </c>
      <c r="H7488" s="450" t="s">
        <v>22883</v>
      </c>
      <c r="I7488" s="450" t="s">
        <v>11934</v>
      </c>
      <c r="J7488" s="450" t="s">
        <v>27314</v>
      </c>
      <c r="K7488" s="450"/>
    </row>
    <row r="7489" spans="1:11">
      <c r="A7489" s="451" t="s">
        <v>20553</v>
      </c>
      <c r="B7489" s="451" t="s">
        <v>11932</v>
      </c>
      <c r="C7489" s="451" t="s">
        <v>11933</v>
      </c>
      <c r="D7489" s="451" t="s">
        <v>11934</v>
      </c>
      <c r="E7489" s="451" t="s">
        <v>11935</v>
      </c>
      <c r="F7489" s="451" t="s">
        <v>11936</v>
      </c>
      <c r="G7489" s="451" t="s">
        <v>22877</v>
      </c>
      <c r="H7489" s="451" t="s">
        <v>22878</v>
      </c>
      <c r="I7489" s="451" t="s">
        <v>11934</v>
      </c>
      <c r="J7489" s="451" t="s">
        <v>27314</v>
      </c>
      <c r="K7489" s="451"/>
    </row>
    <row r="7490" spans="1:11">
      <c r="A7490" s="450" t="s">
        <v>20554</v>
      </c>
      <c r="B7490" s="450" t="s">
        <v>11937</v>
      </c>
      <c r="C7490" s="450" t="s">
        <v>11938</v>
      </c>
      <c r="D7490" s="450" t="s">
        <v>11939</v>
      </c>
      <c r="E7490" s="450"/>
      <c r="F7490" s="450" t="s">
        <v>11941</v>
      </c>
      <c r="G7490" s="450" t="s">
        <v>22877</v>
      </c>
      <c r="H7490" s="450" t="s">
        <v>22878</v>
      </c>
      <c r="I7490" s="450" t="s">
        <v>36846</v>
      </c>
      <c r="J7490" s="450" t="s">
        <v>36847</v>
      </c>
      <c r="K7490" s="450"/>
    </row>
    <row r="7491" spans="1:11">
      <c r="A7491" s="451" t="s">
        <v>20554</v>
      </c>
      <c r="B7491" s="451" t="s">
        <v>11937</v>
      </c>
      <c r="C7491" s="451" t="s">
        <v>11938</v>
      </c>
      <c r="D7491" s="451" t="s">
        <v>11939</v>
      </c>
      <c r="E7491" s="451" t="s">
        <v>11940</v>
      </c>
      <c r="F7491" s="451" t="s">
        <v>11941</v>
      </c>
      <c r="G7491" s="451" t="s">
        <v>22877</v>
      </c>
      <c r="H7491" s="451" t="s">
        <v>22878</v>
      </c>
      <c r="I7491" s="451" t="s">
        <v>31881</v>
      </c>
      <c r="J7491" s="451" t="s">
        <v>31882</v>
      </c>
      <c r="K7491" s="451"/>
    </row>
    <row r="7492" spans="1:11">
      <c r="A7492" s="450" t="s">
        <v>20555</v>
      </c>
      <c r="B7492" s="450" t="s">
        <v>27315</v>
      </c>
      <c r="C7492" s="450" t="s">
        <v>3058</v>
      </c>
      <c r="D7492" s="450" t="s">
        <v>11943</v>
      </c>
      <c r="E7492" s="450"/>
      <c r="F7492" s="450" t="s">
        <v>11945</v>
      </c>
      <c r="G7492" s="450" t="s">
        <v>22877</v>
      </c>
      <c r="H7492" s="450" t="s">
        <v>22878</v>
      </c>
      <c r="I7492" s="450" t="s">
        <v>11943</v>
      </c>
      <c r="J7492" s="450" t="s">
        <v>27316</v>
      </c>
      <c r="K7492" s="450"/>
    </row>
    <row r="7493" spans="1:11">
      <c r="A7493" s="451" t="s">
        <v>20555</v>
      </c>
      <c r="B7493" s="451" t="s">
        <v>11942</v>
      </c>
      <c r="C7493" s="451" t="s">
        <v>3058</v>
      </c>
      <c r="D7493" s="451" t="s">
        <v>11943</v>
      </c>
      <c r="E7493" s="451" t="s">
        <v>11944</v>
      </c>
      <c r="F7493" s="451" t="s">
        <v>11945</v>
      </c>
      <c r="G7493" s="451" t="s">
        <v>22877</v>
      </c>
      <c r="H7493" s="451" t="s">
        <v>22878</v>
      </c>
      <c r="I7493" s="451" t="s">
        <v>30250</v>
      </c>
      <c r="J7493" s="451" t="s">
        <v>31883</v>
      </c>
      <c r="K7493" s="451"/>
    </row>
    <row r="7494" spans="1:11">
      <c r="A7494" s="450" t="s">
        <v>27317</v>
      </c>
      <c r="B7494" s="450" t="s">
        <v>27318</v>
      </c>
      <c r="C7494" s="450" t="s">
        <v>27319</v>
      </c>
      <c r="D7494" s="450" t="s">
        <v>27320</v>
      </c>
      <c r="E7494" s="450"/>
      <c r="F7494" s="450" t="s">
        <v>27321</v>
      </c>
      <c r="G7494" s="450" t="s">
        <v>22877</v>
      </c>
      <c r="H7494" s="450" t="s">
        <v>22878</v>
      </c>
      <c r="I7494" s="450" t="s">
        <v>27320</v>
      </c>
      <c r="J7494" s="450" t="s">
        <v>27322</v>
      </c>
      <c r="K7494" s="450"/>
    </row>
    <row r="7495" spans="1:11">
      <c r="A7495" s="451" t="s">
        <v>27323</v>
      </c>
      <c r="B7495" s="451" t="s">
        <v>27324</v>
      </c>
      <c r="C7495" s="451" t="s">
        <v>11938</v>
      </c>
      <c r="D7495" s="451" t="s">
        <v>11939</v>
      </c>
      <c r="E7495" s="451"/>
      <c r="F7495" s="451"/>
      <c r="G7495" s="451" t="s">
        <v>22877</v>
      </c>
      <c r="H7495" s="451" t="s">
        <v>22878</v>
      </c>
      <c r="I7495" s="451" t="s">
        <v>11939</v>
      </c>
      <c r="J7495" s="451" t="s">
        <v>27325</v>
      </c>
      <c r="K7495" s="451"/>
    </row>
    <row r="7496" spans="1:11">
      <c r="A7496" s="450" t="s">
        <v>20556</v>
      </c>
      <c r="B7496" s="450" t="s">
        <v>11946</v>
      </c>
      <c r="C7496" s="450" t="s">
        <v>7311</v>
      </c>
      <c r="D7496" s="450" t="s">
        <v>11947</v>
      </c>
      <c r="E7496" s="450"/>
      <c r="F7496" s="450" t="s">
        <v>11949</v>
      </c>
      <c r="G7496" s="450" t="s">
        <v>22877</v>
      </c>
      <c r="H7496" s="450" t="s">
        <v>22878</v>
      </c>
      <c r="I7496" s="450" t="s">
        <v>36848</v>
      </c>
      <c r="J7496" s="450" t="s">
        <v>36849</v>
      </c>
      <c r="K7496" s="450"/>
    </row>
    <row r="7497" spans="1:11">
      <c r="A7497" s="451" t="s">
        <v>20556</v>
      </c>
      <c r="B7497" s="451" t="s">
        <v>11946</v>
      </c>
      <c r="C7497" s="451" t="s">
        <v>7311</v>
      </c>
      <c r="D7497" s="451" t="s">
        <v>11947</v>
      </c>
      <c r="E7497" s="451" t="s">
        <v>11948</v>
      </c>
      <c r="F7497" s="451" t="s">
        <v>11949</v>
      </c>
      <c r="G7497" s="451" t="s">
        <v>22877</v>
      </c>
      <c r="H7497" s="451" t="s">
        <v>22878</v>
      </c>
      <c r="I7497" s="451" t="s">
        <v>31884</v>
      </c>
      <c r="J7497" s="451" t="s">
        <v>31885</v>
      </c>
      <c r="K7497" s="451"/>
    </row>
    <row r="7498" spans="1:11">
      <c r="A7498" s="450" t="s">
        <v>20557</v>
      </c>
      <c r="B7498" s="450" t="s">
        <v>11950</v>
      </c>
      <c r="C7498" s="450" t="s">
        <v>11951</v>
      </c>
      <c r="D7498" s="450" t="s">
        <v>11952</v>
      </c>
      <c r="E7498" s="450"/>
      <c r="F7498" s="450" t="s">
        <v>11954</v>
      </c>
      <c r="G7498" s="450" t="s">
        <v>22877</v>
      </c>
      <c r="H7498" s="450" t="s">
        <v>22878</v>
      </c>
      <c r="I7498" s="450"/>
      <c r="J7498" s="450" t="s">
        <v>36850</v>
      </c>
      <c r="K7498" s="450"/>
    </row>
    <row r="7499" spans="1:11">
      <c r="A7499" s="451" t="s">
        <v>20557</v>
      </c>
      <c r="B7499" s="451" t="s">
        <v>11950</v>
      </c>
      <c r="C7499" s="451" t="s">
        <v>11951</v>
      </c>
      <c r="D7499" s="451" t="s">
        <v>11952</v>
      </c>
      <c r="E7499" s="451" t="s">
        <v>11953</v>
      </c>
      <c r="F7499" s="451" t="s">
        <v>11954</v>
      </c>
      <c r="G7499" s="451" t="s">
        <v>22877</v>
      </c>
      <c r="H7499" s="451" t="s">
        <v>22878</v>
      </c>
      <c r="I7499" s="451"/>
      <c r="J7499" s="451" t="s">
        <v>31886</v>
      </c>
      <c r="K7499" s="451"/>
    </row>
    <row r="7500" spans="1:11">
      <c r="A7500" s="450" t="s">
        <v>27326</v>
      </c>
      <c r="B7500" s="450" t="s">
        <v>27327</v>
      </c>
      <c r="C7500" s="450" t="s">
        <v>27328</v>
      </c>
      <c r="D7500" s="450" t="s">
        <v>16278</v>
      </c>
      <c r="E7500" s="450"/>
      <c r="F7500" s="450"/>
      <c r="G7500" s="450" t="s">
        <v>22877</v>
      </c>
      <c r="H7500" s="450" t="s">
        <v>22878</v>
      </c>
      <c r="I7500" s="450" t="s">
        <v>16278</v>
      </c>
      <c r="J7500" s="450" t="s">
        <v>27329</v>
      </c>
      <c r="K7500" s="450"/>
    </row>
    <row r="7501" spans="1:11">
      <c r="A7501" s="451" t="s">
        <v>20558</v>
      </c>
      <c r="B7501" s="451" t="s">
        <v>11955</v>
      </c>
      <c r="C7501" s="451" t="s">
        <v>11956</v>
      </c>
      <c r="D7501" s="451" t="s">
        <v>11957</v>
      </c>
      <c r="E7501" s="451"/>
      <c r="F7501" s="451" t="s">
        <v>11959</v>
      </c>
      <c r="G7501" s="451" t="s">
        <v>22877</v>
      </c>
      <c r="H7501" s="451" t="s">
        <v>22878</v>
      </c>
      <c r="I7501" s="451" t="s">
        <v>27330</v>
      </c>
      <c r="J7501" s="451" t="s">
        <v>36851</v>
      </c>
      <c r="K7501" s="451"/>
    </row>
    <row r="7502" spans="1:11">
      <c r="A7502" s="450" t="s">
        <v>20558</v>
      </c>
      <c r="B7502" s="450" t="s">
        <v>11955</v>
      </c>
      <c r="C7502" s="450" t="s">
        <v>11956</v>
      </c>
      <c r="D7502" s="450" t="s">
        <v>11957</v>
      </c>
      <c r="E7502" s="450" t="s">
        <v>11958</v>
      </c>
      <c r="F7502" s="450" t="s">
        <v>11959</v>
      </c>
      <c r="G7502" s="450" t="s">
        <v>22877</v>
      </c>
      <c r="H7502" s="450" t="s">
        <v>22878</v>
      </c>
      <c r="I7502" s="450" t="s">
        <v>31887</v>
      </c>
      <c r="J7502" s="450" t="s">
        <v>31888</v>
      </c>
      <c r="K7502" s="450"/>
    </row>
    <row r="7503" spans="1:11">
      <c r="A7503" s="451" t="s">
        <v>20559</v>
      </c>
      <c r="B7503" s="451" t="s">
        <v>11960</v>
      </c>
      <c r="C7503" s="451" t="s">
        <v>11961</v>
      </c>
      <c r="D7503" s="451" t="s">
        <v>11962</v>
      </c>
      <c r="E7503" s="451"/>
      <c r="F7503" s="451" t="s">
        <v>11964</v>
      </c>
      <c r="G7503" s="451" t="s">
        <v>22877</v>
      </c>
      <c r="H7503" s="451" t="s">
        <v>22878</v>
      </c>
      <c r="I7503" s="451" t="s">
        <v>11962</v>
      </c>
      <c r="J7503" s="451" t="s">
        <v>36852</v>
      </c>
      <c r="K7503" s="451"/>
    </row>
    <row r="7504" spans="1:11">
      <c r="A7504" s="450" t="s">
        <v>20559</v>
      </c>
      <c r="B7504" s="450" t="s">
        <v>11960</v>
      </c>
      <c r="C7504" s="450" t="s">
        <v>11961</v>
      </c>
      <c r="D7504" s="450" t="s">
        <v>11962</v>
      </c>
      <c r="E7504" s="450" t="s">
        <v>11963</v>
      </c>
      <c r="F7504" s="450" t="s">
        <v>11964</v>
      </c>
      <c r="G7504" s="450" t="s">
        <v>22877</v>
      </c>
      <c r="H7504" s="450" t="s">
        <v>22878</v>
      </c>
      <c r="I7504" s="450" t="s">
        <v>27338</v>
      </c>
      <c r="J7504" s="450" t="s">
        <v>31889</v>
      </c>
      <c r="K7504" s="450"/>
    </row>
    <row r="7505" spans="1:11">
      <c r="A7505" s="451" t="s">
        <v>20560</v>
      </c>
      <c r="B7505" s="451" t="s">
        <v>11965</v>
      </c>
      <c r="C7505" s="451" t="s">
        <v>6552</v>
      </c>
      <c r="D7505" s="451" t="s">
        <v>11966</v>
      </c>
      <c r="E7505" s="451"/>
      <c r="F7505" s="451" t="s">
        <v>11968</v>
      </c>
      <c r="G7505" s="451" t="s">
        <v>22877</v>
      </c>
      <c r="H7505" s="451" t="s">
        <v>22878</v>
      </c>
      <c r="I7505" s="451" t="s">
        <v>11966</v>
      </c>
      <c r="J7505" s="451" t="s">
        <v>27331</v>
      </c>
      <c r="K7505" s="451"/>
    </row>
    <row r="7506" spans="1:11">
      <c r="A7506" s="450" t="s">
        <v>20560</v>
      </c>
      <c r="B7506" s="450" t="s">
        <v>11965</v>
      </c>
      <c r="C7506" s="450" t="s">
        <v>6552</v>
      </c>
      <c r="D7506" s="450" t="s">
        <v>11966</v>
      </c>
      <c r="E7506" s="450" t="s">
        <v>11967</v>
      </c>
      <c r="F7506" s="450" t="s">
        <v>11968</v>
      </c>
      <c r="G7506" s="450" t="s">
        <v>22877</v>
      </c>
      <c r="H7506" s="450" t="s">
        <v>22878</v>
      </c>
      <c r="I7506" s="450" t="s">
        <v>30955</v>
      </c>
      <c r="J7506" s="450" t="s">
        <v>27331</v>
      </c>
      <c r="K7506" s="450"/>
    </row>
    <row r="7507" spans="1:11">
      <c r="A7507" s="451" t="s">
        <v>20561</v>
      </c>
      <c r="B7507" s="451" t="s">
        <v>11969</v>
      </c>
      <c r="C7507" s="451" t="s">
        <v>11970</v>
      </c>
      <c r="D7507" s="451" t="s">
        <v>11971</v>
      </c>
      <c r="E7507" s="451"/>
      <c r="F7507" s="451" t="s">
        <v>11973</v>
      </c>
      <c r="G7507" s="451" t="s">
        <v>22877</v>
      </c>
      <c r="H7507" s="451" t="s">
        <v>22878</v>
      </c>
      <c r="I7507" s="451" t="s">
        <v>11971</v>
      </c>
      <c r="J7507" s="451" t="s">
        <v>27332</v>
      </c>
      <c r="K7507" s="451"/>
    </row>
    <row r="7508" spans="1:11">
      <c r="A7508" s="450" t="s">
        <v>20561</v>
      </c>
      <c r="B7508" s="450" t="s">
        <v>11969</v>
      </c>
      <c r="C7508" s="450" t="s">
        <v>11970</v>
      </c>
      <c r="D7508" s="450" t="s">
        <v>11971</v>
      </c>
      <c r="E7508" s="450" t="s">
        <v>11972</v>
      </c>
      <c r="F7508" s="450" t="s">
        <v>11973</v>
      </c>
      <c r="G7508" s="450" t="s">
        <v>22877</v>
      </c>
      <c r="H7508" s="450" t="s">
        <v>22878</v>
      </c>
      <c r="I7508" s="450" t="s">
        <v>31890</v>
      </c>
      <c r="J7508" s="450" t="s">
        <v>27332</v>
      </c>
      <c r="K7508" s="450"/>
    </row>
    <row r="7509" spans="1:11">
      <c r="A7509" s="451" t="s">
        <v>20562</v>
      </c>
      <c r="B7509" s="451" t="s">
        <v>11974</v>
      </c>
      <c r="C7509" s="451" t="s">
        <v>11975</v>
      </c>
      <c r="D7509" s="451" t="s">
        <v>11976</v>
      </c>
      <c r="E7509" s="451"/>
      <c r="F7509" s="451" t="s">
        <v>11978</v>
      </c>
      <c r="G7509" s="451" t="s">
        <v>22877</v>
      </c>
      <c r="H7509" s="451" t="s">
        <v>22878</v>
      </c>
      <c r="I7509" s="451" t="s">
        <v>36853</v>
      </c>
      <c r="J7509" s="451" t="s">
        <v>36854</v>
      </c>
      <c r="K7509" s="451"/>
    </row>
    <row r="7510" spans="1:11">
      <c r="A7510" s="450" t="s">
        <v>20562</v>
      </c>
      <c r="B7510" s="450" t="s">
        <v>11974</v>
      </c>
      <c r="C7510" s="450" t="s">
        <v>11975</v>
      </c>
      <c r="D7510" s="450" t="s">
        <v>11976</v>
      </c>
      <c r="E7510" s="450" t="s">
        <v>11977</v>
      </c>
      <c r="F7510" s="450" t="s">
        <v>11978</v>
      </c>
      <c r="G7510" s="450" t="s">
        <v>22877</v>
      </c>
      <c r="H7510" s="450" t="s">
        <v>22878</v>
      </c>
      <c r="I7510" s="450" t="s">
        <v>31891</v>
      </c>
      <c r="J7510" s="450" t="s">
        <v>31892</v>
      </c>
      <c r="K7510" s="450"/>
    </row>
    <row r="7511" spans="1:11">
      <c r="A7511" s="451" t="s">
        <v>20563</v>
      </c>
      <c r="B7511" s="451" t="s">
        <v>27333</v>
      </c>
      <c r="C7511" s="451" t="s">
        <v>11980</v>
      </c>
      <c r="D7511" s="451" t="s">
        <v>11981</v>
      </c>
      <c r="E7511" s="451"/>
      <c r="F7511" s="451" t="s">
        <v>11983</v>
      </c>
      <c r="G7511" s="451" t="s">
        <v>22877</v>
      </c>
      <c r="H7511" s="451" t="s">
        <v>22878</v>
      </c>
      <c r="I7511" s="451" t="s">
        <v>11981</v>
      </c>
      <c r="J7511" s="451" t="s">
        <v>27334</v>
      </c>
      <c r="K7511" s="451"/>
    </row>
    <row r="7512" spans="1:11">
      <c r="A7512" s="450" t="s">
        <v>20563</v>
      </c>
      <c r="B7512" s="450" t="s">
        <v>11979</v>
      </c>
      <c r="C7512" s="450" t="s">
        <v>11980</v>
      </c>
      <c r="D7512" s="450" t="s">
        <v>11981</v>
      </c>
      <c r="E7512" s="450" t="s">
        <v>11982</v>
      </c>
      <c r="F7512" s="450" t="s">
        <v>11983</v>
      </c>
      <c r="G7512" s="450" t="s">
        <v>22877</v>
      </c>
      <c r="H7512" s="450" t="s">
        <v>22878</v>
      </c>
      <c r="I7512" s="450" t="s">
        <v>31893</v>
      </c>
      <c r="J7512" s="450" t="s">
        <v>31894</v>
      </c>
      <c r="K7512" s="450"/>
    </row>
    <row r="7513" spans="1:11">
      <c r="A7513" s="451" t="s">
        <v>20564</v>
      </c>
      <c r="B7513" s="451" t="s">
        <v>36855</v>
      </c>
      <c r="C7513" s="451" t="s">
        <v>11985</v>
      </c>
      <c r="D7513" s="451" t="s">
        <v>11986</v>
      </c>
      <c r="E7513" s="451"/>
      <c r="F7513" s="451" t="s">
        <v>11988</v>
      </c>
      <c r="G7513" s="451" t="s">
        <v>22882</v>
      </c>
      <c r="H7513" s="451" t="s">
        <v>22883</v>
      </c>
      <c r="I7513" s="451" t="s">
        <v>27335</v>
      </c>
      <c r="J7513" s="451" t="s">
        <v>36856</v>
      </c>
      <c r="K7513" s="451"/>
    </row>
    <row r="7514" spans="1:11">
      <c r="A7514" s="450" t="s">
        <v>20564</v>
      </c>
      <c r="B7514" s="450" t="s">
        <v>11984</v>
      </c>
      <c r="C7514" s="450" t="s">
        <v>11985</v>
      </c>
      <c r="D7514" s="450" t="s">
        <v>11986</v>
      </c>
      <c r="E7514" s="450" t="s">
        <v>11987</v>
      </c>
      <c r="F7514" s="450" t="s">
        <v>11988</v>
      </c>
      <c r="G7514" s="450" t="s">
        <v>22882</v>
      </c>
      <c r="H7514" s="450" t="s">
        <v>22883</v>
      </c>
      <c r="I7514" s="450" t="s">
        <v>27335</v>
      </c>
      <c r="J7514" s="450" t="s">
        <v>31895</v>
      </c>
      <c r="K7514" s="450"/>
    </row>
    <row r="7515" spans="1:11">
      <c r="A7515" s="451" t="s">
        <v>20565</v>
      </c>
      <c r="B7515" s="451" t="s">
        <v>11989</v>
      </c>
      <c r="C7515" s="451" t="s">
        <v>11990</v>
      </c>
      <c r="D7515" s="451" t="s">
        <v>11991</v>
      </c>
      <c r="E7515" s="451"/>
      <c r="F7515" s="451" t="s">
        <v>11993</v>
      </c>
      <c r="G7515" s="451" t="s">
        <v>22877</v>
      </c>
      <c r="H7515" s="451" t="s">
        <v>22878</v>
      </c>
      <c r="I7515" s="451" t="s">
        <v>36857</v>
      </c>
      <c r="J7515" s="451" t="s">
        <v>27336</v>
      </c>
      <c r="K7515" s="451"/>
    </row>
    <row r="7516" spans="1:11">
      <c r="A7516" s="450" t="s">
        <v>20565</v>
      </c>
      <c r="B7516" s="450" t="s">
        <v>11989</v>
      </c>
      <c r="C7516" s="450" t="s">
        <v>11990</v>
      </c>
      <c r="D7516" s="450" t="s">
        <v>11991</v>
      </c>
      <c r="E7516" s="450" t="s">
        <v>11992</v>
      </c>
      <c r="F7516" s="450" t="s">
        <v>11993</v>
      </c>
      <c r="G7516" s="450" t="s">
        <v>22882</v>
      </c>
      <c r="H7516" s="450" t="s">
        <v>22883</v>
      </c>
      <c r="I7516" s="450" t="s">
        <v>31896</v>
      </c>
      <c r="J7516" s="450" t="s">
        <v>27336</v>
      </c>
      <c r="K7516" s="450"/>
    </row>
    <row r="7517" spans="1:11">
      <c r="A7517" s="451" t="s">
        <v>20566</v>
      </c>
      <c r="B7517" s="451" t="s">
        <v>27337</v>
      </c>
      <c r="C7517" s="451" t="s">
        <v>11995</v>
      </c>
      <c r="D7517" s="451" t="s">
        <v>11996</v>
      </c>
      <c r="E7517" s="451"/>
      <c r="F7517" s="451" t="s">
        <v>11998</v>
      </c>
      <c r="G7517" s="451" t="s">
        <v>22877</v>
      </c>
      <c r="H7517" s="451" t="s">
        <v>22878</v>
      </c>
      <c r="I7517" s="451" t="s">
        <v>27338</v>
      </c>
      <c r="J7517" s="451" t="s">
        <v>27339</v>
      </c>
      <c r="K7517" s="451"/>
    </row>
    <row r="7518" spans="1:11">
      <c r="A7518" s="450" t="s">
        <v>20566</v>
      </c>
      <c r="B7518" s="450" t="s">
        <v>11994</v>
      </c>
      <c r="C7518" s="450" t="s">
        <v>11995</v>
      </c>
      <c r="D7518" s="450" t="s">
        <v>11996</v>
      </c>
      <c r="E7518" s="450" t="s">
        <v>11997</v>
      </c>
      <c r="F7518" s="450" t="s">
        <v>11998</v>
      </c>
      <c r="G7518" s="450" t="s">
        <v>22877</v>
      </c>
      <c r="H7518" s="450" t="s">
        <v>22878</v>
      </c>
      <c r="I7518" s="450" t="s">
        <v>31897</v>
      </c>
      <c r="J7518" s="450" t="s">
        <v>31898</v>
      </c>
      <c r="K7518" s="450"/>
    </row>
    <row r="7519" spans="1:11">
      <c r="A7519" s="451" t="s">
        <v>27340</v>
      </c>
      <c r="B7519" s="451" t="s">
        <v>27341</v>
      </c>
      <c r="C7519" s="451" t="s">
        <v>27342</v>
      </c>
      <c r="D7519" s="451"/>
      <c r="E7519" s="451"/>
      <c r="F7519" s="451"/>
      <c r="G7519" s="451" t="s">
        <v>22877</v>
      </c>
      <c r="H7519" s="451" t="s">
        <v>22878</v>
      </c>
      <c r="I7519" s="451" t="s">
        <v>27343</v>
      </c>
      <c r="J7519" s="451" t="s">
        <v>27344</v>
      </c>
      <c r="K7519" s="451"/>
    </row>
    <row r="7520" spans="1:11">
      <c r="A7520" s="450" t="s">
        <v>20567</v>
      </c>
      <c r="B7520" s="450" t="s">
        <v>11999</v>
      </c>
      <c r="C7520" s="450" t="s">
        <v>12000</v>
      </c>
      <c r="D7520" s="450" t="s">
        <v>12001</v>
      </c>
      <c r="E7520" s="450"/>
      <c r="F7520" s="450" t="s">
        <v>11873</v>
      </c>
      <c r="G7520" s="450" t="s">
        <v>22882</v>
      </c>
      <c r="H7520" s="450" t="s">
        <v>22883</v>
      </c>
      <c r="I7520" s="450" t="s">
        <v>12001</v>
      </c>
      <c r="J7520" s="450" t="s">
        <v>36858</v>
      </c>
      <c r="K7520" s="450"/>
    </row>
    <row r="7521" spans="1:11">
      <c r="A7521" s="451" t="s">
        <v>20567</v>
      </c>
      <c r="B7521" s="451" t="s">
        <v>11999</v>
      </c>
      <c r="C7521" s="451" t="s">
        <v>12000</v>
      </c>
      <c r="D7521" s="451" t="s">
        <v>12001</v>
      </c>
      <c r="E7521" s="451" t="s">
        <v>12002</v>
      </c>
      <c r="F7521" s="451" t="s">
        <v>11873</v>
      </c>
      <c r="G7521" s="451" t="s">
        <v>22877</v>
      </c>
      <c r="H7521" s="451" t="s">
        <v>22878</v>
      </c>
      <c r="I7521" s="451" t="s">
        <v>31899</v>
      </c>
      <c r="J7521" s="451" t="s">
        <v>31900</v>
      </c>
      <c r="K7521" s="451"/>
    </row>
    <row r="7522" spans="1:11">
      <c r="A7522" s="450" t="s">
        <v>20568</v>
      </c>
      <c r="B7522" s="450" t="s">
        <v>12003</v>
      </c>
      <c r="C7522" s="450" t="s">
        <v>12004</v>
      </c>
      <c r="D7522" s="450" t="s">
        <v>12005</v>
      </c>
      <c r="E7522" s="450"/>
      <c r="F7522" s="450" t="s">
        <v>12007</v>
      </c>
      <c r="G7522" s="450" t="s">
        <v>22877</v>
      </c>
      <c r="H7522" s="450" t="s">
        <v>22878</v>
      </c>
      <c r="I7522" s="450" t="s">
        <v>27345</v>
      </c>
      <c r="J7522" s="450" t="s">
        <v>27346</v>
      </c>
      <c r="K7522" s="450"/>
    </row>
    <row r="7523" spans="1:11">
      <c r="A7523" s="451" t="s">
        <v>20568</v>
      </c>
      <c r="B7523" s="451" t="s">
        <v>12003</v>
      </c>
      <c r="C7523" s="451" t="s">
        <v>12004</v>
      </c>
      <c r="D7523" s="451" t="s">
        <v>12005</v>
      </c>
      <c r="E7523" s="451" t="s">
        <v>12006</v>
      </c>
      <c r="F7523" s="451" t="s">
        <v>12007</v>
      </c>
      <c r="G7523" s="451" t="s">
        <v>22877</v>
      </c>
      <c r="H7523" s="451" t="s">
        <v>22878</v>
      </c>
      <c r="I7523" s="451" t="s">
        <v>27345</v>
      </c>
      <c r="J7523" s="451" t="s">
        <v>27346</v>
      </c>
      <c r="K7523" s="451"/>
    </row>
    <row r="7524" spans="1:11">
      <c r="A7524" s="450" t="s">
        <v>20569</v>
      </c>
      <c r="B7524" s="450" t="s">
        <v>12008</v>
      </c>
      <c r="C7524" s="450" t="s">
        <v>12009</v>
      </c>
      <c r="D7524" s="450" t="s">
        <v>12010</v>
      </c>
      <c r="E7524" s="450"/>
      <c r="F7524" s="450" t="s">
        <v>12012</v>
      </c>
      <c r="G7524" s="450" t="s">
        <v>22877</v>
      </c>
      <c r="H7524" s="450" t="s">
        <v>22878</v>
      </c>
      <c r="I7524" s="450" t="s">
        <v>12010</v>
      </c>
      <c r="J7524" s="450" t="s">
        <v>27347</v>
      </c>
      <c r="K7524" s="450"/>
    </row>
    <row r="7525" spans="1:11">
      <c r="A7525" s="451" t="s">
        <v>20569</v>
      </c>
      <c r="B7525" s="451" t="s">
        <v>12008</v>
      </c>
      <c r="C7525" s="451" t="s">
        <v>12009</v>
      </c>
      <c r="D7525" s="451" t="s">
        <v>12010</v>
      </c>
      <c r="E7525" s="451" t="s">
        <v>12011</v>
      </c>
      <c r="F7525" s="451" t="s">
        <v>12012</v>
      </c>
      <c r="G7525" s="451" t="s">
        <v>22877</v>
      </c>
      <c r="H7525" s="451" t="s">
        <v>22878</v>
      </c>
      <c r="I7525" s="451" t="s">
        <v>31901</v>
      </c>
      <c r="J7525" s="451" t="s">
        <v>27347</v>
      </c>
      <c r="K7525" s="451"/>
    </row>
    <row r="7526" spans="1:11">
      <c r="A7526" s="450" t="s">
        <v>20570</v>
      </c>
      <c r="B7526" s="450" t="s">
        <v>12013</v>
      </c>
      <c r="C7526" s="450" t="s">
        <v>12014</v>
      </c>
      <c r="D7526" s="450" t="s">
        <v>12015</v>
      </c>
      <c r="E7526" s="450"/>
      <c r="F7526" s="450" t="s">
        <v>12017</v>
      </c>
      <c r="G7526" s="450" t="s">
        <v>22877</v>
      </c>
      <c r="H7526" s="450" t="s">
        <v>22878</v>
      </c>
      <c r="I7526" s="450" t="s">
        <v>12015</v>
      </c>
      <c r="J7526" s="450" t="s">
        <v>36859</v>
      </c>
      <c r="K7526" s="450"/>
    </row>
    <row r="7527" spans="1:11">
      <c r="A7527" s="451" t="s">
        <v>20570</v>
      </c>
      <c r="B7527" s="451" t="s">
        <v>12013</v>
      </c>
      <c r="C7527" s="451" t="s">
        <v>12014</v>
      </c>
      <c r="D7527" s="451" t="s">
        <v>12015</v>
      </c>
      <c r="E7527" s="451" t="s">
        <v>12016</v>
      </c>
      <c r="F7527" s="451" t="s">
        <v>12017</v>
      </c>
      <c r="G7527" s="451" t="s">
        <v>22877</v>
      </c>
      <c r="H7527" s="451" t="s">
        <v>22878</v>
      </c>
      <c r="I7527" s="451" t="s">
        <v>31902</v>
      </c>
      <c r="J7527" s="451" t="s">
        <v>31903</v>
      </c>
      <c r="K7527" s="451"/>
    </row>
    <row r="7528" spans="1:11">
      <c r="A7528" s="450" t="s">
        <v>20571</v>
      </c>
      <c r="B7528" s="450" t="s">
        <v>12018</v>
      </c>
      <c r="C7528" s="450" t="s">
        <v>12019</v>
      </c>
      <c r="D7528" s="450" t="s">
        <v>12020</v>
      </c>
      <c r="E7528" s="450"/>
      <c r="F7528" s="450" t="s">
        <v>12022</v>
      </c>
      <c r="G7528" s="450" t="s">
        <v>22882</v>
      </c>
      <c r="H7528" s="450" t="s">
        <v>22883</v>
      </c>
      <c r="I7528" s="450" t="s">
        <v>12020</v>
      </c>
      <c r="J7528" s="450" t="s">
        <v>36860</v>
      </c>
      <c r="K7528" s="450"/>
    </row>
    <row r="7529" spans="1:11">
      <c r="A7529" s="451" t="s">
        <v>20571</v>
      </c>
      <c r="B7529" s="451" t="s">
        <v>12018</v>
      </c>
      <c r="C7529" s="451" t="s">
        <v>12019</v>
      </c>
      <c r="D7529" s="451" t="s">
        <v>12020</v>
      </c>
      <c r="E7529" s="451" t="s">
        <v>12021</v>
      </c>
      <c r="F7529" s="451" t="s">
        <v>12022</v>
      </c>
      <c r="G7529" s="451" t="s">
        <v>22877</v>
      </c>
      <c r="H7529" s="451" t="s">
        <v>22878</v>
      </c>
      <c r="I7529" s="451" t="s">
        <v>31904</v>
      </c>
      <c r="J7529" s="451" t="s">
        <v>31905</v>
      </c>
      <c r="K7529" s="451"/>
    </row>
    <row r="7530" spans="1:11">
      <c r="A7530" s="450" t="s">
        <v>20572</v>
      </c>
      <c r="B7530" s="450" t="s">
        <v>12023</v>
      </c>
      <c r="C7530" s="450" t="s">
        <v>12024</v>
      </c>
      <c r="D7530" s="450" t="s">
        <v>12025</v>
      </c>
      <c r="E7530" s="450"/>
      <c r="F7530" s="450" t="s">
        <v>12027</v>
      </c>
      <c r="G7530" s="450" t="s">
        <v>22877</v>
      </c>
      <c r="H7530" s="450" t="s">
        <v>22878</v>
      </c>
      <c r="I7530" s="450" t="s">
        <v>12025</v>
      </c>
      <c r="J7530" s="450" t="s">
        <v>36861</v>
      </c>
      <c r="K7530" s="450"/>
    </row>
    <row r="7531" spans="1:11">
      <c r="A7531" s="451" t="s">
        <v>20572</v>
      </c>
      <c r="B7531" s="451" t="s">
        <v>12023</v>
      </c>
      <c r="C7531" s="451" t="s">
        <v>12024</v>
      </c>
      <c r="D7531" s="451" t="s">
        <v>12025</v>
      </c>
      <c r="E7531" s="451" t="s">
        <v>12026</v>
      </c>
      <c r="F7531" s="451" t="s">
        <v>12027</v>
      </c>
      <c r="G7531" s="451" t="s">
        <v>22877</v>
      </c>
      <c r="H7531" s="451" t="s">
        <v>22878</v>
      </c>
      <c r="I7531" s="451" t="s">
        <v>31906</v>
      </c>
      <c r="J7531" s="451" t="s">
        <v>31907</v>
      </c>
      <c r="K7531" s="451"/>
    </row>
    <row r="7532" spans="1:11">
      <c r="A7532" s="450" t="s">
        <v>20573</v>
      </c>
      <c r="B7532" s="450" t="s">
        <v>12028</v>
      </c>
      <c r="C7532" s="450" t="s">
        <v>12029</v>
      </c>
      <c r="D7532" s="450" t="s">
        <v>12030</v>
      </c>
      <c r="E7532" s="450"/>
      <c r="F7532" s="450" t="s">
        <v>12032</v>
      </c>
      <c r="G7532" s="450" t="s">
        <v>22877</v>
      </c>
      <c r="H7532" s="450" t="s">
        <v>22878</v>
      </c>
      <c r="I7532" s="450" t="s">
        <v>12030</v>
      </c>
      <c r="J7532" s="450" t="s">
        <v>36862</v>
      </c>
      <c r="K7532" s="450"/>
    </row>
    <row r="7533" spans="1:11">
      <c r="A7533" s="451" t="s">
        <v>20573</v>
      </c>
      <c r="B7533" s="451" t="s">
        <v>12028</v>
      </c>
      <c r="C7533" s="451" t="s">
        <v>12029</v>
      </c>
      <c r="D7533" s="451" t="s">
        <v>12030</v>
      </c>
      <c r="E7533" s="451" t="s">
        <v>12031</v>
      </c>
      <c r="F7533" s="451" t="s">
        <v>12032</v>
      </c>
      <c r="G7533" s="451" t="s">
        <v>22877</v>
      </c>
      <c r="H7533" s="451" t="s">
        <v>22878</v>
      </c>
      <c r="I7533" s="451" t="s">
        <v>31908</v>
      </c>
      <c r="J7533" s="451" t="s">
        <v>31909</v>
      </c>
      <c r="K7533" s="451"/>
    </row>
    <row r="7534" spans="1:11">
      <c r="A7534" s="450" t="s">
        <v>20574</v>
      </c>
      <c r="B7534" s="450" t="s">
        <v>27348</v>
      </c>
      <c r="C7534" s="450" t="s">
        <v>12034</v>
      </c>
      <c r="D7534" s="450" t="s">
        <v>12035</v>
      </c>
      <c r="E7534" s="450"/>
      <c r="F7534" s="450" t="s">
        <v>12037</v>
      </c>
      <c r="G7534" s="450" t="s">
        <v>22877</v>
      </c>
      <c r="H7534" s="450" t="s">
        <v>22878</v>
      </c>
      <c r="I7534" s="450" t="s">
        <v>12035</v>
      </c>
      <c r="J7534" s="450" t="s">
        <v>27349</v>
      </c>
      <c r="K7534" s="450"/>
    </row>
    <row r="7535" spans="1:11">
      <c r="A7535" s="451" t="s">
        <v>20574</v>
      </c>
      <c r="B7535" s="451" t="s">
        <v>12033</v>
      </c>
      <c r="C7535" s="451" t="s">
        <v>12034</v>
      </c>
      <c r="D7535" s="451" t="s">
        <v>12035</v>
      </c>
      <c r="E7535" s="451" t="s">
        <v>12036</v>
      </c>
      <c r="F7535" s="451" t="s">
        <v>12037</v>
      </c>
      <c r="G7535" s="451" t="s">
        <v>22882</v>
      </c>
      <c r="H7535" s="451" t="s">
        <v>22883</v>
      </c>
      <c r="I7535" s="451" t="s">
        <v>31910</v>
      </c>
      <c r="J7535" s="451" t="s">
        <v>31911</v>
      </c>
      <c r="K7535" s="451"/>
    </row>
    <row r="7536" spans="1:11">
      <c r="A7536" s="450" t="s">
        <v>20575</v>
      </c>
      <c r="B7536" s="450" t="s">
        <v>12038</v>
      </c>
      <c r="C7536" s="450" t="s">
        <v>12039</v>
      </c>
      <c r="D7536" s="450" t="s">
        <v>12040</v>
      </c>
      <c r="E7536" s="450"/>
      <c r="F7536" s="450" t="s">
        <v>12042</v>
      </c>
      <c r="G7536" s="450" t="s">
        <v>22882</v>
      </c>
      <c r="H7536" s="450" t="s">
        <v>22883</v>
      </c>
      <c r="I7536" s="450" t="s">
        <v>12040</v>
      </c>
      <c r="J7536" s="450" t="s">
        <v>27350</v>
      </c>
      <c r="K7536" s="450"/>
    </row>
    <row r="7537" spans="1:11">
      <c r="A7537" s="451" t="s">
        <v>20575</v>
      </c>
      <c r="B7537" s="451" t="s">
        <v>12038</v>
      </c>
      <c r="C7537" s="451" t="s">
        <v>12039</v>
      </c>
      <c r="D7537" s="451" t="s">
        <v>12040</v>
      </c>
      <c r="E7537" s="451" t="s">
        <v>12041</v>
      </c>
      <c r="F7537" s="451" t="s">
        <v>12042</v>
      </c>
      <c r="G7537" s="451" t="s">
        <v>22882</v>
      </c>
      <c r="H7537" s="451" t="s">
        <v>22883</v>
      </c>
      <c r="I7537" s="451" t="s">
        <v>31912</v>
      </c>
      <c r="J7537" s="451" t="s">
        <v>27350</v>
      </c>
      <c r="K7537" s="451"/>
    </row>
    <row r="7538" spans="1:11">
      <c r="A7538" s="450" t="s">
        <v>20576</v>
      </c>
      <c r="B7538" s="450" t="s">
        <v>12043</v>
      </c>
      <c r="C7538" s="450" t="s">
        <v>12044</v>
      </c>
      <c r="D7538" s="450" t="s">
        <v>12045</v>
      </c>
      <c r="E7538" s="450"/>
      <c r="F7538" s="450" t="s">
        <v>12047</v>
      </c>
      <c r="G7538" s="450" t="s">
        <v>22877</v>
      </c>
      <c r="H7538" s="450" t="s">
        <v>22878</v>
      </c>
      <c r="I7538" s="450" t="s">
        <v>36863</v>
      </c>
      <c r="J7538" s="450" t="s">
        <v>36864</v>
      </c>
      <c r="K7538" s="450"/>
    </row>
    <row r="7539" spans="1:11">
      <c r="A7539" s="451" t="s">
        <v>20576</v>
      </c>
      <c r="B7539" s="451" t="s">
        <v>12043</v>
      </c>
      <c r="C7539" s="451" t="s">
        <v>12044</v>
      </c>
      <c r="D7539" s="451" t="s">
        <v>12045</v>
      </c>
      <c r="E7539" s="451" t="s">
        <v>12046</v>
      </c>
      <c r="F7539" s="451" t="s">
        <v>12047</v>
      </c>
      <c r="G7539" s="451" t="s">
        <v>22882</v>
      </c>
      <c r="H7539" s="451" t="s">
        <v>22883</v>
      </c>
      <c r="I7539" s="451" t="s">
        <v>31913</v>
      </c>
      <c r="J7539" s="451" t="s">
        <v>31914</v>
      </c>
      <c r="K7539" s="451"/>
    </row>
    <row r="7540" spans="1:11">
      <c r="A7540" s="450" t="s">
        <v>20577</v>
      </c>
      <c r="B7540" s="450" t="s">
        <v>12048</v>
      </c>
      <c r="C7540" s="450" t="s">
        <v>12049</v>
      </c>
      <c r="D7540" s="450" t="s">
        <v>12050</v>
      </c>
      <c r="E7540" s="450"/>
      <c r="F7540" s="450" t="s">
        <v>12052</v>
      </c>
      <c r="G7540" s="450" t="s">
        <v>22877</v>
      </c>
      <c r="H7540" s="450" t="s">
        <v>22878</v>
      </c>
      <c r="I7540" s="450" t="s">
        <v>36865</v>
      </c>
      <c r="J7540" s="450" t="s">
        <v>36866</v>
      </c>
      <c r="K7540" s="450"/>
    </row>
    <row r="7541" spans="1:11">
      <c r="A7541" s="451" t="s">
        <v>20577</v>
      </c>
      <c r="B7541" s="451" t="s">
        <v>12048</v>
      </c>
      <c r="C7541" s="451" t="s">
        <v>12049</v>
      </c>
      <c r="D7541" s="451" t="s">
        <v>12050</v>
      </c>
      <c r="E7541" s="451" t="s">
        <v>12051</v>
      </c>
      <c r="F7541" s="451" t="s">
        <v>12052</v>
      </c>
      <c r="G7541" s="451" t="s">
        <v>22877</v>
      </c>
      <c r="H7541" s="451" t="s">
        <v>22878</v>
      </c>
      <c r="I7541" s="451" t="s">
        <v>31915</v>
      </c>
      <c r="J7541" s="451" t="s">
        <v>31916</v>
      </c>
      <c r="K7541" s="451"/>
    </row>
    <row r="7542" spans="1:11">
      <c r="A7542" s="450" t="s">
        <v>20578</v>
      </c>
      <c r="B7542" s="450" t="s">
        <v>12053</v>
      </c>
      <c r="C7542" s="450" t="s">
        <v>12054</v>
      </c>
      <c r="D7542" s="450" t="s">
        <v>12055</v>
      </c>
      <c r="E7542" s="450"/>
      <c r="F7542" s="450" t="s">
        <v>12057</v>
      </c>
      <c r="G7542" s="450" t="s">
        <v>22882</v>
      </c>
      <c r="H7542" s="450" t="s">
        <v>22883</v>
      </c>
      <c r="I7542" s="450" t="s">
        <v>36867</v>
      </c>
      <c r="J7542" s="450" t="s">
        <v>36868</v>
      </c>
      <c r="K7542" s="450"/>
    </row>
    <row r="7543" spans="1:11">
      <c r="A7543" s="451" t="s">
        <v>20578</v>
      </c>
      <c r="B7543" s="451" t="s">
        <v>12053</v>
      </c>
      <c r="C7543" s="451" t="s">
        <v>12054</v>
      </c>
      <c r="D7543" s="451" t="s">
        <v>12055</v>
      </c>
      <c r="E7543" s="451" t="s">
        <v>12056</v>
      </c>
      <c r="F7543" s="451" t="s">
        <v>12057</v>
      </c>
      <c r="G7543" s="451" t="s">
        <v>22882</v>
      </c>
      <c r="H7543" s="451" t="s">
        <v>22883</v>
      </c>
      <c r="I7543" s="451" t="s">
        <v>12055</v>
      </c>
      <c r="J7543" s="451" t="s">
        <v>31917</v>
      </c>
      <c r="K7543" s="451"/>
    </row>
    <row r="7544" spans="1:11">
      <c r="A7544" s="450" t="s">
        <v>20579</v>
      </c>
      <c r="B7544" s="450" t="s">
        <v>12058</v>
      </c>
      <c r="C7544" s="450" t="s">
        <v>12059</v>
      </c>
      <c r="D7544" s="450" t="s">
        <v>12060</v>
      </c>
      <c r="E7544" s="450"/>
      <c r="F7544" s="450" t="s">
        <v>12062</v>
      </c>
      <c r="G7544" s="450" t="s">
        <v>22877</v>
      </c>
      <c r="H7544" s="450" t="s">
        <v>22878</v>
      </c>
      <c r="I7544" s="450" t="s">
        <v>12060</v>
      </c>
      <c r="J7544" s="450" t="s">
        <v>36869</v>
      </c>
      <c r="K7544" s="450"/>
    </row>
    <row r="7545" spans="1:11">
      <c r="A7545" s="451" t="s">
        <v>20579</v>
      </c>
      <c r="B7545" s="451" t="s">
        <v>12058</v>
      </c>
      <c r="C7545" s="451" t="s">
        <v>12059</v>
      </c>
      <c r="D7545" s="451" t="s">
        <v>12060</v>
      </c>
      <c r="E7545" s="451" t="s">
        <v>12061</v>
      </c>
      <c r="F7545" s="451" t="s">
        <v>12062</v>
      </c>
      <c r="G7545" s="451" t="s">
        <v>22882</v>
      </c>
      <c r="H7545" s="451" t="s">
        <v>22883</v>
      </c>
      <c r="I7545" s="451" t="s">
        <v>12060</v>
      </c>
      <c r="J7545" s="451"/>
      <c r="K7545" s="451"/>
    </row>
    <row r="7546" spans="1:11">
      <c r="A7546" s="450" t="s">
        <v>20580</v>
      </c>
      <c r="B7546" s="450" t="s">
        <v>12063</v>
      </c>
      <c r="C7546" s="450" t="s">
        <v>12064</v>
      </c>
      <c r="D7546" s="450" t="s">
        <v>12065</v>
      </c>
      <c r="E7546" s="450"/>
      <c r="F7546" s="450" t="s">
        <v>12067</v>
      </c>
      <c r="G7546" s="450" t="s">
        <v>22877</v>
      </c>
      <c r="H7546" s="450" t="s">
        <v>22878</v>
      </c>
      <c r="I7546" s="450" t="s">
        <v>36870</v>
      </c>
      <c r="J7546" s="450" t="s">
        <v>36871</v>
      </c>
      <c r="K7546" s="450"/>
    </row>
    <row r="7547" spans="1:11">
      <c r="A7547" s="451" t="s">
        <v>20580</v>
      </c>
      <c r="B7547" s="451" t="s">
        <v>12063</v>
      </c>
      <c r="C7547" s="451" t="s">
        <v>12064</v>
      </c>
      <c r="D7547" s="451" t="s">
        <v>12065</v>
      </c>
      <c r="E7547" s="451" t="s">
        <v>12066</v>
      </c>
      <c r="F7547" s="451" t="s">
        <v>12067</v>
      </c>
      <c r="G7547" s="451" t="s">
        <v>31918</v>
      </c>
      <c r="H7547" s="451" t="s">
        <v>22883</v>
      </c>
      <c r="I7547" s="451" t="s">
        <v>12065</v>
      </c>
      <c r="J7547" s="451" t="s">
        <v>31919</v>
      </c>
      <c r="K7547" s="451"/>
    </row>
    <row r="7548" spans="1:11">
      <c r="A7548" s="450" t="s">
        <v>20581</v>
      </c>
      <c r="B7548" s="450" t="s">
        <v>12068</v>
      </c>
      <c r="C7548" s="450" t="s">
        <v>12069</v>
      </c>
      <c r="D7548" s="450" t="s">
        <v>12070</v>
      </c>
      <c r="E7548" s="450"/>
      <c r="F7548" s="450" t="s">
        <v>12072</v>
      </c>
      <c r="G7548" s="450" t="s">
        <v>22877</v>
      </c>
      <c r="H7548" s="450" t="s">
        <v>22878</v>
      </c>
      <c r="I7548" s="450" t="s">
        <v>27351</v>
      </c>
      <c r="J7548" s="450" t="s">
        <v>36872</v>
      </c>
      <c r="K7548" s="450"/>
    </row>
    <row r="7549" spans="1:11">
      <c r="A7549" s="451" t="s">
        <v>20581</v>
      </c>
      <c r="B7549" s="451" t="s">
        <v>12068</v>
      </c>
      <c r="C7549" s="451" t="s">
        <v>12069</v>
      </c>
      <c r="D7549" s="451" t="s">
        <v>12070</v>
      </c>
      <c r="E7549" s="451" t="s">
        <v>12071</v>
      </c>
      <c r="F7549" s="451" t="s">
        <v>12072</v>
      </c>
      <c r="G7549" s="451" t="s">
        <v>31920</v>
      </c>
      <c r="H7549" s="451" t="s">
        <v>22878</v>
      </c>
      <c r="I7549" s="451" t="s">
        <v>27351</v>
      </c>
      <c r="J7549" s="451" t="s">
        <v>31921</v>
      </c>
      <c r="K7549" s="451"/>
    </row>
    <row r="7550" spans="1:11">
      <c r="A7550" s="450" t="s">
        <v>20582</v>
      </c>
      <c r="B7550" s="450" t="s">
        <v>12073</v>
      </c>
      <c r="C7550" s="450" t="s">
        <v>12074</v>
      </c>
      <c r="D7550" s="450" t="s">
        <v>12075</v>
      </c>
      <c r="E7550" s="450"/>
      <c r="F7550" s="450" t="s">
        <v>12077</v>
      </c>
      <c r="G7550" s="450" t="s">
        <v>22877</v>
      </c>
      <c r="H7550" s="450" t="s">
        <v>22878</v>
      </c>
      <c r="I7550" s="450" t="s">
        <v>12075</v>
      </c>
      <c r="J7550" s="450" t="s">
        <v>36873</v>
      </c>
      <c r="K7550" s="450"/>
    </row>
    <row r="7551" spans="1:11">
      <c r="A7551" s="451" t="s">
        <v>20582</v>
      </c>
      <c r="B7551" s="451" t="s">
        <v>12073</v>
      </c>
      <c r="C7551" s="451" t="s">
        <v>12074</v>
      </c>
      <c r="D7551" s="451" t="s">
        <v>12075</v>
      </c>
      <c r="E7551" s="451" t="s">
        <v>12076</v>
      </c>
      <c r="F7551" s="451" t="s">
        <v>12077</v>
      </c>
      <c r="G7551" s="451" t="s">
        <v>31922</v>
      </c>
      <c r="H7551" s="451" t="s">
        <v>22883</v>
      </c>
      <c r="I7551" s="451" t="s">
        <v>12075</v>
      </c>
      <c r="J7551" s="451" t="s">
        <v>12073</v>
      </c>
      <c r="K7551" s="451" t="s">
        <v>31923</v>
      </c>
    </row>
    <row r="7552" spans="1:11">
      <c r="A7552" s="450" t="s">
        <v>20583</v>
      </c>
      <c r="B7552" s="450" t="s">
        <v>12078</v>
      </c>
      <c r="C7552" s="450" t="s">
        <v>12079</v>
      </c>
      <c r="D7552" s="450" t="s">
        <v>12080</v>
      </c>
      <c r="E7552" s="450"/>
      <c r="F7552" s="450" t="s">
        <v>12072</v>
      </c>
      <c r="G7552" s="450" t="s">
        <v>22877</v>
      </c>
      <c r="H7552" s="450" t="s">
        <v>22878</v>
      </c>
      <c r="I7552" s="450" t="s">
        <v>36874</v>
      </c>
      <c r="J7552" s="450" t="s">
        <v>36875</v>
      </c>
      <c r="K7552" s="450"/>
    </row>
    <row r="7553" spans="1:11">
      <c r="A7553" s="451" t="s">
        <v>20583</v>
      </c>
      <c r="B7553" s="451" t="s">
        <v>12078</v>
      </c>
      <c r="C7553" s="451" t="s">
        <v>12079</v>
      </c>
      <c r="D7553" s="451" t="s">
        <v>12080</v>
      </c>
      <c r="E7553" s="451" t="s">
        <v>12081</v>
      </c>
      <c r="F7553" s="451" t="s">
        <v>12072</v>
      </c>
      <c r="G7553" s="451" t="s">
        <v>31924</v>
      </c>
      <c r="H7553" s="451" t="s">
        <v>22878</v>
      </c>
      <c r="I7553" s="451" t="s">
        <v>31925</v>
      </c>
      <c r="J7553" s="451" t="s">
        <v>31926</v>
      </c>
      <c r="K7553" s="451" t="s">
        <v>31927</v>
      </c>
    </row>
    <row r="7554" spans="1:11">
      <c r="A7554" s="450" t="s">
        <v>20584</v>
      </c>
      <c r="B7554" s="450" t="s">
        <v>12082</v>
      </c>
      <c r="C7554" s="450" t="s">
        <v>12083</v>
      </c>
      <c r="D7554" s="450" t="s">
        <v>12084</v>
      </c>
      <c r="E7554" s="450"/>
      <c r="F7554" s="450" t="s">
        <v>12086</v>
      </c>
      <c r="G7554" s="450" t="s">
        <v>22882</v>
      </c>
      <c r="H7554" s="450" t="s">
        <v>22883</v>
      </c>
      <c r="I7554" s="450" t="s">
        <v>36876</v>
      </c>
      <c r="J7554" s="450" t="s">
        <v>36877</v>
      </c>
      <c r="K7554" s="450"/>
    </row>
    <row r="7555" spans="1:11">
      <c r="A7555" s="451" t="s">
        <v>20584</v>
      </c>
      <c r="B7555" s="451" t="s">
        <v>12082</v>
      </c>
      <c r="C7555" s="451" t="s">
        <v>12083</v>
      </c>
      <c r="D7555" s="451" t="s">
        <v>12084</v>
      </c>
      <c r="E7555" s="451" t="s">
        <v>12085</v>
      </c>
      <c r="F7555" s="451" t="s">
        <v>12086</v>
      </c>
      <c r="G7555" s="451" t="s">
        <v>31928</v>
      </c>
      <c r="H7555" s="451" t="s">
        <v>22878</v>
      </c>
      <c r="I7555" s="451" t="s">
        <v>31929</v>
      </c>
      <c r="J7555" s="451" t="s">
        <v>12082</v>
      </c>
      <c r="K7555" s="451"/>
    </row>
    <row r="7556" spans="1:11">
      <c r="A7556" s="450" t="s">
        <v>20585</v>
      </c>
      <c r="B7556" s="450" t="s">
        <v>12087</v>
      </c>
      <c r="C7556" s="450" t="s">
        <v>12088</v>
      </c>
      <c r="D7556" s="450" t="s">
        <v>12089</v>
      </c>
      <c r="E7556" s="450"/>
      <c r="F7556" s="450" t="s">
        <v>12091</v>
      </c>
      <c r="G7556" s="450" t="s">
        <v>22882</v>
      </c>
      <c r="H7556" s="450" t="s">
        <v>22883</v>
      </c>
      <c r="I7556" s="450" t="s">
        <v>36878</v>
      </c>
      <c r="J7556" s="450" t="s">
        <v>36879</v>
      </c>
      <c r="K7556" s="450"/>
    </row>
    <row r="7557" spans="1:11">
      <c r="A7557" s="451" t="s">
        <v>20585</v>
      </c>
      <c r="B7557" s="451" t="s">
        <v>12087</v>
      </c>
      <c r="C7557" s="451" t="s">
        <v>12088</v>
      </c>
      <c r="D7557" s="451" t="s">
        <v>12089</v>
      </c>
      <c r="E7557" s="451" t="s">
        <v>12090</v>
      </c>
      <c r="F7557" s="451" t="s">
        <v>12091</v>
      </c>
      <c r="G7557" s="451" t="s">
        <v>31930</v>
      </c>
      <c r="H7557" s="451" t="s">
        <v>22878</v>
      </c>
      <c r="I7557" s="451" t="s">
        <v>12089</v>
      </c>
      <c r="J7557" s="451" t="s">
        <v>31931</v>
      </c>
      <c r="K7557" s="451"/>
    </row>
    <row r="7558" spans="1:11">
      <c r="A7558" s="450" t="s">
        <v>20586</v>
      </c>
      <c r="B7558" s="450" t="s">
        <v>12092</v>
      </c>
      <c r="C7558" s="450" t="s">
        <v>12093</v>
      </c>
      <c r="D7558" s="450" t="s">
        <v>12094</v>
      </c>
      <c r="E7558" s="450"/>
      <c r="F7558" s="450" t="s">
        <v>12096</v>
      </c>
      <c r="G7558" s="450" t="s">
        <v>36880</v>
      </c>
      <c r="H7558" s="450" t="s">
        <v>22878</v>
      </c>
      <c r="I7558" s="450"/>
      <c r="J7558" s="450" t="s">
        <v>12092</v>
      </c>
      <c r="K7558" s="450"/>
    </row>
    <row r="7559" spans="1:11">
      <c r="A7559" s="451" t="s">
        <v>20586</v>
      </c>
      <c r="B7559" s="451" t="s">
        <v>12092</v>
      </c>
      <c r="C7559" s="451" t="s">
        <v>12093</v>
      </c>
      <c r="D7559" s="451" t="s">
        <v>12094</v>
      </c>
      <c r="E7559" s="451" t="s">
        <v>12095</v>
      </c>
      <c r="F7559" s="451" t="s">
        <v>12096</v>
      </c>
      <c r="G7559" s="451" t="s">
        <v>31932</v>
      </c>
      <c r="H7559" s="451" t="s">
        <v>22878</v>
      </c>
      <c r="I7559" s="451" t="s">
        <v>12094</v>
      </c>
      <c r="J7559" s="451" t="s">
        <v>31933</v>
      </c>
      <c r="K7559" s="451" t="s">
        <v>31934</v>
      </c>
    </row>
    <row r="7560" spans="1:11">
      <c r="A7560" s="450" t="s">
        <v>20587</v>
      </c>
      <c r="B7560" s="450" t="s">
        <v>27352</v>
      </c>
      <c r="C7560" s="450" t="s">
        <v>12098</v>
      </c>
      <c r="D7560" s="450" t="s">
        <v>12099</v>
      </c>
      <c r="E7560" s="450"/>
      <c r="F7560" s="450" t="s">
        <v>12101</v>
      </c>
      <c r="G7560" s="450" t="s">
        <v>22877</v>
      </c>
      <c r="H7560" s="450" t="s">
        <v>22878</v>
      </c>
      <c r="I7560" s="450" t="s">
        <v>12099</v>
      </c>
      <c r="J7560" s="450" t="s">
        <v>27353</v>
      </c>
      <c r="K7560" s="450"/>
    </row>
    <row r="7561" spans="1:11">
      <c r="A7561" s="451" t="s">
        <v>20587</v>
      </c>
      <c r="B7561" s="451" t="s">
        <v>12097</v>
      </c>
      <c r="C7561" s="451" t="s">
        <v>12098</v>
      </c>
      <c r="D7561" s="451" t="s">
        <v>12099</v>
      </c>
      <c r="E7561" s="451" t="s">
        <v>12100</v>
      </c>
      <c r="F7561" s="451" t="s">
        <v>12101</v>
      </c>
      <c r="G7561" s="451" t="s">
        <v>31935</v>
      </c>
      <c r="H7561" s="451" t="s">
        <v>22878</v>
      </c>
      <c r="I7561" s="451" t="s">
        <v>31936</v>
      </c>
      <c r="J7561" s="451" t="s">
        <v>31937</v>
      </c>
      <c r="K7561" s="451" t="s">
        <v>31938</v>
      </c>
    </row>
    <row r="7562" spans="1:11">
      <c r="A7562" s="450" t="s">
        <v>20588</v>
      </c>
      <c r="B7562" s="450" t="s">
        <v>27354</v>
      </c>
      <c r="C7562" s="450" t="s">
        <v>12103</v>
      </c>
      <c r="D7562" s="450" t="s">
        <v>12104</v>
      </c>
      <c r="E7562" s="450"/>
      <c r="F7562" s="450" t="s">
        <v>12106</v>
      </c>
      <c r="G7562" s="450" t="s">
        <v>22882</v>
      </c>
      <c r="H7562" s="450" t="s">
        <v>22883</v>
      </c>
      <c r="I7562" s="450" t="s">
        <v>27355</v>
      </c>
      <c r="J7562" s="450" t="s">
        <v>27356</v>
      </c>
      <c r="K7562" s="450"/>
    </row>
    <row r="7563" spans="1:11">
      <c r="A7563" s="451" t="s">
        <v>20588</v>
      </c>
      <c r="B7563" s="451" t="s">
        <v>12102</v>
      </c>
      <c r="C7563" s="451" t="s">
        <v>12103</v>
      </c>
      <c r="D7563" s="451" t="s">
        <v>12104</v>
      </c>
      <c r="E7563" s="451" t="s">
        <v>12105</v>
      </c>
      <c r="F7563" s="451" t="s">
        <v>12106</v>
      </c>
      <c r="G7563" s="451" t="s">
        <v>31935</v>
      </c>
      <c r="H7563" s="451" t="s">
        <v>22878</v>
      </c>
      <c r="I7563" s="451" t="s">
        <v>12104</v>
      </c>
      <c r="J7563" s="451" t="s">
        <v>31939</v>
      </c>
      <c r="K7563" s="451" t="s">
        <v>31938</v>
      </c>
    </row>
    <row r="7564" spans="1:11">
      <c r="A7564" s="450" t="s">
        <v>20589</v>
      </c>
      <c r="B7564" s="450" t="s">
        <v>27357</v>
      </c>
      <c r="C7564" s="450" t="s">
        <v>12108</v>
      </c>
      <c r="D7564" s="450" t="s">
        <v>12109</v>
      </c>
      <c r="E7564" s="450"/>
      <c r="F7564" s="450" t="s">
        <v>12111</v>
      </c>
      <c r="G7564" s="450" t="s">
        <v>22882</v>
      </c>
      <c r="H7564" s="450" t="s">
        <v>22883</v>
      </c>
      <c r="I7564" s="450" t="s">
        <v>27358</v>
      </c>
      <c r="J7564" s="450" t="s">
        <v>27359</v>
      </c>
      <c r="K7564" s="450"/>
    </row>
    <row r="7565" spans="1:11">
      <c r="A7565" s="451" t="s">
        <v>20589</v>
      </c>
      <c r="B7565" s="451" t="s">
        <v>12107</v>
      </c>
      <c r="C7565" s="451" t="s">
        <v>12108</v>
      </c>
      <c r="D7565" s="451" t="s">
        <v>12109</v>
      </c>
      <c r="E7565" s="451" t="s">
        <v>12110</v>
      </c>
      <c r="F7565" s="451" t="s">
        <v>12111</v>
      </c>
      <c r="G7565" s="451" t="s">
        <v>28574</v>
      </c>
      <c r="H7565" s="451" t="s">
        <v>22883</v>
      </c>
      <c r="I7565" s="451" t="s">
        <v>12109</v>
      </c>
      <c r="J7565" s="451" t="s">
        <v>27357</v>
      </c>
      <c r="K7565" s="451"/>
    </row>
    <row r="7566" spans="1:11">
      <c r="A7566" s="450" t="s">
        <v>20590</v>
      </c>
      <c r="B7566" s="450" t="s">
        <v>12112</v>
      </c>
      <c r="C7566" s="450" t="s">
        <v>12113</v>
      </c>
      <c r="D7566" s="450" t="s">
        <v>12114</v>
      </c>
      <c r="E7566" s="450"/>
      <c r="F7566" s="450" t="s">
        <v>12116</v>
      </c>
      <c r="G7566" s="450" t="s">
        <v>22877</v>
      </c>
      <c r="H7566" s="450" t="s">
        <v>22878</v>
      </c>
      <c r="I7566" s="450" t="s">
        <v>36881</v>
      </c>
      <c r="J7566" s="450" t="s">
        <v>36882</v>
      </c>
      <c r="K7566" s="450"/>
    </row>
    <row r="7567" spans="1:11">
      <c r="A7567" s="451" t="s">
        <v>20590</v>
      </c>
      <c r="B7567" s="451" t="s">
        <v>12112</v>
      </c>
      <c r="C7567" s="451" t="s">
        <v>12113</v>
      </c>
      <c r="D7567" s="451" t="s">
        <v>12114</v>
      </c>
      <c r="E7567" s="451" t="s">
        <v>12115</v>
      </c>
      <c r="F7567" s="451" t="s">
        <v>12116</v>
      </c>
      <c r="G7567" s="451" t="s">
        <v>31940</v>
      </c>
      <c r="H7567" s="451" t="s">
        <v>22878</v>
      </c>
      <c r="I7567" s="451" t="s">
        <v>12114</v>
      </c>
      <c r="J7567" s="451" t="s">
        <v>31941</v>
      </c>
      <c r="K7567" s="451"/>
    </row>
    <row r="7568" spans="1:11">
      <c r="A7568" s="450" t="s">
        <v>20591</v>
      </c>
      <c r="B7568" s="450" t="s">
        <v>12117</v>
      </c>
      <c r="C7568" s="450" t="s">
        <v>12118</v>
      </c>
      <c r="D7568" s="450" t="s">
        <v>12119</v>
      </c>
      <c r="E7568" s="450"/>
      <c r="F7568" s="450" t="s">
        <v>12012</v>
      </c>
      <c r="G7568" s="450" t="s">
        <v>22882</v>
      </c>
      <c r="H7568" s="450" t="s">
        <v>22883</v>
      </c>
      <c r="I7568" s="450" t="s">
        <v>36883</v>
      </c>
      <c r="J7568" s="450" t="s">
        <v>36884</v>
      </c>
      <c r="K7568" s="450"/>
    </row>
    <row r="7569" spans="1:11">
      <c r="A7569" s="451" t="s">
        <v>20591</v>
      </c>
      <c r="B7569" s="451" t="s">
        <v>12117</v>
      </c>
      <c r="C7569" s="451" t="s">
        <v>12118</v>
      </c>
      <c r="D7569" s="451" t="s">
        <v>12119</v>
      </c>
      <c r="E7569" s="451" t="s">
        <v>12120</v>
      </c>
      <c r="F7569" s="451" t="s">
        <v>12012</v>
      </c>
      <c r="G7569" s="451" t="s">
        <v>31942</v>
      </c>
      <c r="H7569" s="451" t="s">
        <v>22883</v>
      </c>
      <c r="I7569" s="451" t="s">
        <v>12119</v>
      </c>
      <c r="J7569" s="451" t="s">
        <v>12117</v>
      </c>
      <c r="K7569" s="451"/>
    </row>
    <row r="7570" spans="1:11">
      <c r="A7570" s="450" t="s">
        <v>36885</v>
      </c>
      <c r="B7570" s="450" t="s">
        <v>36886</v>
      </c>
      <c r="C7570" s="450" t="s">
        <v>36887</v>
      </c>
      <c r="D7570" s="450" t="s">
        <v>12122</v>
      </c>
      <c r="E7570" s="450"/>
      <c r="F7570" s="450" t="s">
        <v>12124</v>
      </c>
      <c r="G7570" s="450" t="s">
        <v>22882</v>
      </c>
      <c r="H7570" s="450" t="s">
        <v>22883</v>
      </c>
      <c r="I7570" s="450" t="s">
        <v>12122</v>
      </c>
      <c r="J7570" s="450" t="s">
        <v>36888</v>
      </c>
      <c r="K7570" s="450"/>
    </row>
    <row r="7571" spans="1:11">
      <c r="A7571" s="451" t="s">
        <v>20592</v>
      </c>
      <c r="B7571" s="451" t="s">
        <v>12121</v>
      </c>
      <c r="C7571" s="451" t="s">
        <v>5592</v>
      </c>
      <c r="D7571" s="451" t="s">
        <v>12122</v>
      </c>
      <c r="E7571" s="451" t="s">
        <v>12123</v>
      </c>
      <c r="F7571" s="451" t="s">
        <v>12124</v>
      </c>
      <c r="G7571" s="451" t="s">
        <v>31943</v>
      </c>
      <c r="H7571" s="451" t="s">
        <v>22878</v>
      </c>
      <c r="I7571" s="451" t="s">
        <v>12122</v>
      </c>
      <c r="J7571" s="451" t="s">
        <v>31944</v>
      </c>
      <c r="K7571" s="451"/>
    </row>
    <row r="7572" spans="1:11">
      <c r="A7572" s="450" t="s">
        <v>20593</v>
      </c>
      <c r="B7572" s="450" t="s">
        <v>36889</v>
      </c>
      <c r="C7572" s="450" t="s">
        <v>12126</v>
      </c>
      <c r="D7572" s="450" t="s">
        <v>12127</v>
      </c>
      <c r="E7572" s="450"/>
      <c r="F7572" s="450" t="s">
        <v>12129</v>
      </c>
      <c r="G7572" s="450" t="s">
        <v>22877</v>
      </c>
      <c r="H7572" s="450" t="s">
        <v>22878</v>
      </c>
      <c r="I7572" s="450" t="s">
        <v>12127</v>
      </c>
      <c r="J7572" s="450" t="s">
        <v>36890</v>
      </c>
      <c r="K7572" s="450"/>
    </row>
    <row r="7573" spans="1:11">
      <c r="A7573" s="451" t="s">
        <v>20593</v>
      </c>
      <c r="B7573" s="451" t="s">
        <v>12125</v>
      </c>
      <c r="C7573" s="451" t="s">
        <v>12126</v>
      </c>
      <c r="D7573" s="451" t="s">
        <v>12127</v>
      </c>
      <c r="E7573" s="451" t="s">
        <v>12128</v>
      </c>
      <c r="F7573" s="451" t="s">
        <v>12129</v>
      </c>
      <c r="G7573" s="451" t="s">
        <v>31945</v>
      </c>
      <c r="H7573" s="451" t="s">
        <v>22878</v>
      </c>
      <c r="I7573" s="451" t="s">
        <v>12127</v>
      </c>
      <c r="J7573" s="451" t="s">
        <v>31946</v>
      </c>
      <c r="K7573" s="451"/>
    </row>
    <row r="7574" spans="1:11">
      <c r="A7574" s="450" t="s">
        <v>20594</v>
      </c>
      <c r="B7574" s="450" t="s">
        <v>36891</v>
      </c>
      <c r="C7574" s="450" t="s">
        <v>5592</v>
      </c>
      <c r="D7574" s="450" t="s">
        <v>5593</v>
      </c>
      <c r="E7574" s="450"/>
      <c r="F7574" s="450"/>
      <c r="G7574" s="450" t="s">
        <v>22877</v>
      </c>
      <c r="H7574" s="450" t="s">
        <v>22878</v>
      </c>
      <c r="I7574" s="450" t="s">
        <v>5593</v>
      </c>
      <c r="J7574" s="450" t="s">
        <v>36892</v>
      </c>
      <c r="K7574" s="450"/>
    </row>
    <row r="7575" spans="1:11">
      <c r="A7575" s="451" t="s">
        <v>20594</v>
      </c>
      <c r="B7575" s="451" t="s">
        <v>12130</v>
      </c>
      <c r="C7575" s="451" t="s">
        <v>5592</v>
      </c>
      <c r="D7575" s="451" t="s">
        <v>5593</v>
      </c>
      <c r="E7575" s="451" t="s">
        <v>5594</v>
      </c>
      <c r="F7575" s="451"/>
      <c r="G7575" s="451" t="s">
        <v>31947</v>
      </c>
      <c r="H7575" s="451" t="s">
        <v>22878</v>
      </c>
      <c r="I7575" s="451" t="s">
        <v>5593</v>
      </c>
      <c r="J7575" s="451" t="s">
        <v>31944</v>
      </c>
      <c r="K7575" s="451"/>
    </row>
    <row r="7576" spans="1:11">
      <c r="A7576" s="450" t="s">
        <v>20529</v>
      </c>
      <c r="B7576" s="450" t="s">
        <v>16280</v>
      </c>
      <c r="C7576" s="450" t="s">
        <v>16281</v>
      </c>
      <c r="D7576" s="450" t="s">
        <v>16282</v>
      </c>
      <c r="E7576" s="450" t="s">
        <v>16283</v>
      </c>
      <c r="F7576" s="450"/>
      <c r="G7576" s="450" t="s">
        <v>31948</v>
      </c>
      <c r="H7576" s="450" t="s">
        <v>22878</v>
      </c>
      <c r="I7576" s="450" t="s">
        <v>16282</v>
      </c>
      <c r="J7576" s="450" t="s">
        <v>31949</v>
      </c>
      <c r="K7576" s="450"/>
    </row>
    <row r="7577" spans="1:11">
      <c r="A7577" s="451" t="s">
        <v>20595</v>
      </c>
      <c r="B7577" s="451" t="s">
        <v>12131</v>
      </c>
      <c r="C7577" s="451" t="s">
        <v>12132</v>
      </c>
      <c r="D7577" s="451" t="s">
        <v>12133</v>
      </c>
      <c r="E7577" s="451"/>
      <c r="F7577" s="451" t="s">
        <v>12135</v>
      </c>
      <c r="G7577" s="451" t="s">
        <v>22882</v>
      </c>
      <c r="H7577" s="451" t="s">
        <v>22883</v>
      </c>
      <c r="I7577" s="451" t="s">
        <v>12133</v>
      </c>
      <c r="J7577" s="451" t="s">
        <v>36893</v>
      </c>
      <c r="K7577" s="451"/>
    </row>
    <row r="7578" spans="1:11">
      <c r="A7578" s="450" t="s">
        <v>20595</v>
      </c>
      <c r="B7578" s="450" t="s">
        <v>12131</v>
      </c>
      <c r="C7578" s="450" t="s">
        <v>12132</v>
      </c>
      <c r="D7578" s="450" t="s">
        <v>12133</v>
      </c>
      <c r="E7578" s="450" t="s">
        <v>12134</v>
      </c>
      <c r="F7578" s="450" t="s">
        <v>12135</v>
      </c>
      <c r="G7578" s="450" t="s">
        <v>31950</v>
      </c>
      <c r="H7578" s="450" t="s">
        <v>22878</v>
      </c>
      <c r="I7578" s="450" t="s">
        <v>31951</v>
      </c>
      <c r="J7578" s="450" t="s">
        <v>12131</v>
      </c>
      <c r="K7578" s="450"/>
    </row>
    <row r="7579" spans="1:11">
      <c r="A7579" s="451" t="s">
        <v>27360</v>
      </c>
      <c r="B7579" s="451" t="s">
        <v>27361</v>
      </c>
      <c r="C7579" s="451" t="s">
        <v>27362</v>
      </c>
      <c r="D7579" s="451"/>
      <c r="E7579" s="451"/>
      <c r="F7579" s="451"/>
      <c r="G7579" s="451" t="s">
        <v>22877</v>
      </c>
      <c r="H7579" s="451" t="s">
        <v>22878</v>
      </c>
      <c r="I7579" s="451" t="s">
        <v>27363</v>
      </c>
      <c r="J7579" s="451" t="s">
        <v>27364</v>
      </c>
      <c r="K7579" s="451"/>
    </row>
    <row r="7580" spans="1:11">
      <c r="A7580" s="450" t="s">
        <v>27365</v>
      </c>
      <c r="B7580" s="450" t="s">
        <v>27366</v>
      </c>
      <c r="C7580" s="450" t="s">
        <v>12147</v>
      </c>
      <c r="D7580" s="450" t="s">
        <v>12148</v>
      </c>
      <c r="E7580" s="450"/>
      <c r="F7580" s="450" t="s">
        <v>27367</v>
      </c>
      <c r="G7580" s="450" t="s">
        <v>22877</v>
      </c>
      <c r="H7580" s="450" t="s">
        <v>22878</v>
      </c>
      <c r="I7580" s="450" t="s">
        <v>12148</v>
      </c>
      <c r="J7580" s="450" t="s">
        <v>27368</v>
      </c>
      <c r="K7580" s="450"/>
    </row>
    <row r="7581" spans="1:11">
      <c r="A7581" s="451" t="s">
        <v>20596</v>
      </c>
      <c r="B7581" s="451" t="s">
        <v>27369</v>
      </c>
      <c r="C7581" s="451" t="s">
        <v>12137</v>
      </c>
      <c r="D7581" s="451" t="s">
        <v>12138</v>
      </c>
      <c r="E7581" s="451"/>
      <c r="F7581" s="451" t="s">
        <v>12140</v>
      </c>
      <c r="G7581" s="451" t="s">
        <v>22877</v>
      </c>
      <c r="H7581" s="451" t="s">
        <v>22878</v>
      </c>
      <c r="I7581" s="451" t="s">
        <v>12138</v>
      </c>
      <c r="J7581" s="451" t="s">
        <v>27370</v>
      </c>
      <c r="K7581" s="451"/>
    </row>
    <row r="7582" spans="1:11">
      <c r="A7582" s="450" t="s">
        <v>20596</v>
      </c>
      <c r="B7582" s="450" t="s">
        <v>12136</v>
      </c>
      <c r="C7582" s="450" t="s">
        <v>12137</v>
      </c>
      <c r="D7582" s="450" t="s">
        <v>12138</v>
      </c>
      <c r="E7582" s="450" t="s">
        <v>12139</v>
      </c>
      <c r="F7582" s="450" t="s">
        <v>12140</v>
      </c>
      <c r="G7582" s="450" t="s">
        <v>31952</v>
      </c>
      <c r="H7582" s="450" t="s">
        <v>22878</v>
      </c>
      <c r="I7582" s="450" t="s">
        <v>31953</v>
      </c>
      <c r="J7582" s="450" t="s">
        <v>31954</v>
      </c>
      <c r="K7582" s="450"/>
    </row>
    <row r="7583" spans="1:11">
      <c r="A7583" s="451" t="s">
        <v>20597</v>
      </c>
      <c r="B7583" s="451" t="s">
        <v>12141</v>
      </c>
      <c r="C7583" s="451" t="s">
        <v>12142</v>
      </c>
      <c r="D7583" s="451" t="s">
        <v>12143</v>
      </c>
      <c r="E7583" s="451"/>
      <c r="F7583" s="451" t="s">
        <v>12145</v>
      </c>
      <c r="G7583" s="451" t="s">
        <v>22877</v>
      </c>
      <c r="H7583" s="451" t="s">
        <v>22878</v>
      </c>
      <c r="I7583" s="451" t="s">
        <v>12143</v>
      </c>
      <c r="J7583" s="451" t="s">
        <v>36894</v>
      </c>
      <c r="K7583" s="451"/>
    </row>
    <row r="7584" spans="1:11">
      <c r="A7584" s="450" t="s">
        <v>20597</v>
      </c>
      <c r="B7584" s="450" t="s">
        <v>12141</v>
      </c>
      <c r="C7584" s="450" t="s">
        <v>12142</v>
      </c>
      <c r="D7584" s="450" t="s">
        <v>12143</v>
      </c>
      <c r="E7584" s="450" t="s">
        <v>12144</v>
      </c>
      <c r="F7584" s="450" t="s">
        <v>12145</v>
      </c>
      <c r="G7584" s="450" t="s">
        <v>31955</v>
      </c>
      <c r="H7584" s="450" t="s">
        <v>22878</v>
      </c>
      <c r="I7584" s="450" t="s">
        <v>31956</v>
      </c>
      <c r="J7584" s="450" t="s">
        <v>12141</v>
      </c>
      <c r="K7584" s="450"/>
    </row>
    <row r="7585" spans="1:11">
      <c r="A7585" s="451" t="s">
        <v>20598</v>
      </c>
      <c r="B7585" s="451" t="s">
        <v>12146</v>
      </c>
      <c r="C7585" s="451" t="s">
        <v>12147</v>
      </c>
      <c r="D7585" s="451" t="s">
        <v>12148</v>
      </c>
      <c r="E7585" s="451" t="s">
        <v>12149</v>
      </c>
      <c r="F7585" s="451" t="s">
        <v>12150</v>
      </c>
      <c r="G7585" s="451" t="s">
        <v>31957</v>
      </c>
      <c r="H7585" s="451" t="s">
        <v>22878</v>
      </c>
      <c r="I7585" s="451" t="s">
        <v>12148</v>
      </c>
      <c r="J7585" s="451" t="s">
        <v>31958</v>
      </c>
      <c r="K7585" s="451"/>
    </row>
    <row r="7586" spans="1:11">
      <c r="A7586" s="450" t="s">
        <v>20599</v>
      </c>
      <c r="B7586" s="450" t="s">
        <v>36895</v>
      </c>
      <c r="C7586" s="450" t="s">
        <v>12152</v>
      </c>
      <c r="D7586" s="450" t="s">
        <v>12153</v>
      </c>
      <c r="E7586" s="450"/>
      <c r="F7586" s="450" t="s">
        <v>12155</v>
      </c>
      <c r="G7586" s="450" t="s">
        <v>22877</v>
      </c>
      <c r="H7586" s="450" t="s">
        <v>22878</v>
      </c>
      <c r="I7586" s="450" t="s">
        <v>12153</v>
      </c>
      <c r="J7586" s="450" t="s">
        <v>36896</v>
      </c>
      <c r="K7586" s="450"/>
    </row>
    <row r="7587" spans="1:11">
      <c r="A7587" s="451" t="s">
        <v>20599</v>
      </c>
      <c r="B7587" s="451" t="s">
        <v>12151</v>
      </c>
      <c r="C7587" s="451" t="s">
        <v>12152</v>
      </c>
      <c r="D7587" s="451" t="s">
        <v>12153</v>
      </c>
      <c r="E7587" s="451" t="s">
        <v>12154</v>
      </c>
      <c r="F7587" s="451" t="s">
        <v>12155</v>
      </c>
      <c r="G7587" s="451" t="s">
        <v>31935</v>
      </c>
      <c r="H7587" s="451" t="s">
        <v>22878</v>
      </c>
      <c r="I7587" s="451" t="s">
        <v>12153</v>
      </c>
      <c r="J7587" s="451" t="s">
        <v>31959</v>
      </c>
      <c r="K7587" s="451" t="s">
        <v>31938</v>
      </c>
    </row>
    <row r="7588" spans="1:11">
      <c r="A7588" s="450" t="s">
        <v>20600</v>
      </c>
      <c r="B7588" s="450" t="s">
        <v>12156</v>
      </c>
      <c r="C7588" s="450" t="s">
        <v>12157</v>
      </c>
      <c r="D7588" s="450" t="s">
        <v>12158</v>
      </c>
      <c r="E7588" s="450"/>
      <c r="F7588" s="450" t="s">
        <v>36897</v>
      </c>
      <c r="G7588" s="450" t="s">
        <v>22877</v>
      </c>
      <c r="H7588" s="450" t="s">
        <v>22878</v>
      </c>
      <c r="I7588" s="450" t="s">
        <v>12158</v>
      </c>
      <c r="J7588" s="450" t="s">
        <v>36898</v>
      </c>
      <c r="K7588" s="450"/>
    </row>
    <row r="7589" spans="1:11">
      <c r="A7589" s="451" t="s">
        <v>20600</v>
      </c>
      <c r="B7589" s="451" t="s">
        <v>12156</v>
      </c>
      <c r="C7589" s="451" t="s">
        <v>12157</v>
      </c>
      <c r="D7589" s="451" t="s">
        <v>12158</v>
      </c>
      <c r="E7589" s="451" t="s">
        <v>12159</v>
      </c>
      <c r="F7589" s="451" t="s">
        <v>12160</v>
      </c>
      <c r="G7589" s="451" t="s">
        <v>31960</v>
      </c>
      <c r="H7589" s="451" t="s">
        <v>22878</v>
      </c>
      <c r="I7589" s="451" t="s">
        <v>12158</v>
      </c>
      <c r="J7589" s="451"/>
      <c r="K7589" s="451"/>
    </row>
    <row r="7590" spans="1:11">
      <c r="A7590" s="450" t="s">
        <v>20601</v>
      </c>
      <c r="B7590" s="450" t="s">
        <v>27371</v>
      </c>
      <c r="C7590" s="450" t="s">
        <v>27372</v>
      </c>
      <c r="D7590" s="450" t="s">
        <v>12163</v>
      </c>
      <c r="E7590" s="450"/>
      <c r="F7590" s="450" t="s">
        <v>12165</v>
      </c>
      <c r="G7590" s="450" t="s">
        <v>22877</v>
      </c>
      <c r="H7590" s="450" t="s">
        <v>22878</v>
      </c>
      <c r="I7590" s="450" t="s">
        <v>27373</v>
      </c>
      <c r="J7590" s="450" t="s">
        <v>27374</v>
      </c>
      <c r="K7590" s="450"/>
    </row>
    <row r="7591" spans="1:11">
      <c r="A7591" s="451" t="s">
        <v>20601</v>
      </c>
      <c r="B7591" s="451" t="s">
        <v>12161</v>
      </c>
      <c r="C7591" s="451" t="s">
        <v>12162</v>
      </c>
      <c r="D7591" s="451" t="s">
        <v>12163</v>
      </c>
      <c r="E7591" s="451" t="s">
        <v>12164</v>
      </c>
      <c r="F7591" s="451" t="s">
        <v>12165</v>
      </c>
      <c r="G7591" s="451" t="s">
        <v>31961</v>
      </c>
      <c r="H7591" s="451" t="s">
        <v>22883</v>
      </c>
      <c r="I7591" s="451" t="s">
        <v>12163</v>
      </c>
      <c r="J7591" s="451" t="s">
        <v>12161</v>
      </c>
      <c r="K7591" s="451"/>
    </row>
    <row r="7592" spans="1:11">
      <c r="A7592" s="450" t="s">
        <v>20602</v>
      </c>
      <c r="B7592" s="450" t="s">
        <v>12166</v>
      </c>
      <c r="C7592" s="450" t="s">
        <v>12167</v>
      </c>
      <c r="D7592" s="450" t="s">
        <v>12168</v>
      </c>
      <c r="E7592" s="450"/>
      <c r="F7592" s="450" t="s">
        <v>12170</v>
      </c>
      <c r="G7592" s="450" t="s">
        <v>22877</v>
      </c>
      <c r="H7592" s="450" t="s">
        <v>22878</v>
      </c>
      <c r="I7592" s="450" t="s">
        <v>36899</v>
      </c>
      <c r="J7592" s="450" t="s">
        <v>36900</v>
      </c>
      <c r="K7592" s="450"/>
    </row>
    <row r="7593" spans="1:11">
      <c r="A7593" s="451" t="s">
        <v>20602</v>
      </c>
      <c r="B7593" s="451" t="s">
        <v>12166</v>
      </c>
      <c r="C7593" s="451" t="s">
        <v>12167</v>
      </c>
      <c r="D7593" s="451" t="s">
        <v>12168</v>
      </c>
      <c r="E7593" s="451" t="s">
        <v>12169</v>
      </c>
      <c r="F7593" s="451" t="s">
        <v>12170</v>
      </c>
      <c r="G7593" s="451" t="s">
        <v>31962</v>
      </c>
      <c r="H7593" s="451" t="s">
        <v>22878</v>
      </c>
      <c r="I7593" s="451" t="s">
        <v>12168</v>
      </c>
      <c r="J7593" s="451" t="s">
        <v>12166</v>
      </c>
      <c r="K7593" s="451" t="s">
        <v>31963</v>
      </c>
    </row>
    <row r="7594" spans="1:11">
      <c r="A7594" s="450" t="s">
        <v>20603</v>
      </c>
      <c r="B7594" s="450" t="s">
        <v>12146</v>
      </c>
      <c r="C7594" s="450" t="s">
        <v>12171</v>
      </c>
      <c r="D7594" s="450" t="s">
        <v>12172</v>
      </c>
      <c r="E7594" s="450"/>
      <c r="F7594" s="450"/>
      <c r="G7594" s="450" t="s">
        <v>22877</v>
      </c>
      <c r="H7594" s="450" t="s">
        <v>22878</v>
      </c>
      <c r="I7594" s="450"/>
      <c r="J7594" s="450" t="s">
        <v>36901</v>
      </c>
      <c r="K7594" s="450"/>
    </row>
    <row r="7595" spans="1:11">
      <c r="A7595" s="451" t="s">
        <v>20603</v>
      </c>
      <c r="B7595" s="451" t="s">
        <v>12146</v>
      </c>
      <c r="C7595" s="451" t="s">
        <v>12171</v>
      </c>
      <c r="D7595" s="451" t="s">
        <v>12172</v>
      </c>
      <c r="E7595" s="451" t="s">
        <v>12173</v>
      </c>
      <c r="F7595" s="451"/>
      <c r="G7595" s="451" t="s">
        <v>31964</v>
      </c>
      <c r="H7595" s="451" t="s">
        <v>22878</v>
      </c>
      <c r="I7595" s="451" t="s">
        <v>12172</v>
      </c>
      <c r="J7595" s="451" t="s">
        <v>31965</v>
      </c>
      <c r="K7595" s="451"/>
    </row>
    <row r="7596" spans="1:11">
      <c r="A7596" s="450" t="s">
        <v>20604</v>
      </c>
      <c r="B7596" s="450" t="s">
        <v>12174</v>
      </c>
      <c r="C7596" s="450" t="s">
        <v>12175</v>
      </c>
      <c r="D7596" s="450" t="s">
        <v>12176</v>
      </c>
      <c r="E7596" s="450"/>
      <c r="F7596" s="450" t="s">
        <v>27367</v>
      </c>
      <c r="G7596" s="450" t="s">
        <v>22882</v>
      </c>
      <c r="H7596" s="450" t="s">
        <v>22883</v>
      </c>
      <c r="I7596" s="450" t="s">
        <v>12176</v>
      </c>
      <c r="J7596" s="450" t="s">
        <v>36902</v>
      </c>
      <c r="K7596" s="450"/>
    </row>
    <row r="7597" spans="1:11">
      <c r="A7597" s="451" t="s">
        <v>20604</v>
      </c>
      <c r="B7597" s="451" t="s">
        <v>12174</v>
      </c>
      <c r="C7597" s="451" t="s">
        <v>12175</v>
      </c>
      <c r="D7597" s="451" t="s">
        <v>12176</v>
      </c>
      <c r="E7597" s="451" t="s">
        <v>12177</v>
      </c>
      <c r="F7597" s="451" t="s">
        <v>12150</v>
      </c>
      <c r="G7597" s="451" t="s">
        <v>31966</v>
      </c>
      <c r="H7597" s="451" t="s">
        <v>22883</v>
      </c>
      <c r="I7597" s="451" t="s">
        <v>12176</v>
      </c>
      <c r="J7597" s="451" t="s">
        <v>31967</v>
      </c>
      <c r="K7597" s="451"/>
    </row>
    <row r="7598" spans="1:11">
      <c r="A7598" s="450" t="s">
        <v>20605</v>
      </c>
      <c r="B7598" s="450" t="s">
        <v>12178</v>
      </c>
      <c r="C7598" s="450" t="s">
        <v>12179</v>
      </c>
      <c r="D7598" s="450" t="s">
        <v>12180</v>
      </c>
      <c r="E7598" s="450"/>
      <c r="F7598" s="450" t="s">
        <v>12145</v>
      </c>
      <c r="G7598" s="450" t="s">
        <v>22877</v>
      </c>
      <c r="H7598" s="450" t="s">
        <v>22878</v>
      </c>
      <c r="I7598" s="450" t="s">
        <v>12180</v>
      </c>
      <c r="J7598" s="450" t="s">
        <v>36903</v>
      </c>
      <c r="K7598" s="450"/>
    </row>
    <row r="7599" spans="1:11">
      <c r="A7599" s="451" t="s">
        <v>20605</v>
      </c>
      <c r="B7599" s="451" t="s">
        <v>12178</v>
      </c>
      <c r="C7599" s="451" t="s">
        <v>12179</v>
      </c>
      <c r="D7599" s="451" t="s">
        <v>12180</v>
      </c>
      <c r="E7599" s="451" t="s">
        <v>12181</v>
      </c>
      <c r="F7599" s="451" t="s">
        <v>12145</v>
      </c>
      <c r="G7599" s="451" t="s">
        <v>31968</v>
      </c>
      <c r="H7599" s="451" t="s">
        <v>22878</v>
      </c>
      <c r="I7599" s="451" t="s">
        <v>12180</v>
      </c>
      <c r="J7599" s="451" t="s">
        <v>31969</v>
      </c>
      <c r="K7599" s="451"/>
    </row>
    <row r="7600" spans="1:11">
      <c r="A7600" s="450" t="s">
        <v>20606</v>
      </c>
      <c r="B7600" s="450" t="s">
        <v>36904</v>
      </c>
      <c r="C7600" s="450" t="s">
        <v>12183</v>
      </c>
      <c r="D7600" s="450" t="s">
        <v>12184</v>
      </c>
      <c r="E7600" s="450"/>
      <c r="F7600" s="450" t="s">
        <v>12186</v>
      </c>
      <c r="G7600" s="450" t="s">
        <v>22877</v>
      </c>
      <c r="H7600" s="450" t="s">
        <v>22878</v>
      </c>
      <c r="I7600" s="450" t="s">
        <v>12184</v>
      </c>
      <c r="J7600" s="450" t="s">
        <v>36905</v>
      </c>
      <c r="K7600" s="450"/>
    </row>
    <row r="7601" spans="1:11">
      <c r="A7601" s="451" t="s">
        <v>20606</v>
      </c>
      <c r="B7601" s="451" t="s">
        <v>12182</v>
      </c>
      <c r="C7601" s="451" t="s">
        <v>12183</v>
      </c>
      <c r="D7601" s="451" t="s">
        <v>12184</v>
      </c>
      <c r="E7601" s="451" t="s">
        <v>12185</v>
      </c>
      <c r="F7601" s="451" t="s">
        <v>12186</v>
      </c>
      <c r="G7601" s="451" t="s">
        <v>31970</v>
      </c>
      <c r="H7601" s="451" t="s">
        <v>22878</v>
      </c>
      <c r="I7601" s="451" t="s">
        <v>12184</v>
      </c>
      <c r="J7601" s="451" t="s">
        <v>31971</v>
      </c>
      <c r="K7601" s="451" t="s">
        <v>31972</v>
      </c>
    </row>
    <row r="7602" spans="1:11">
      <c r="A7602" s="450" t="s">
        <v>20607</v>
      </c>
      <c r="B7602" s="450" t="s">
        <v>12187</v>
      </c>
      <c r="C7602" s="450" t="s">
        <v>12188</v>
      </c>
      <c r="D7602" s="450" t="s">
        <v>12189</v>
      </c>
      <c r="E7602" s="450"/>
      <c r="F7602" s="450" t="s">
        <v>12191</v>
      </c>
      <c r="G7602" s="450" t="s">
        <v>22877</v>
      </c>
      <c r="H7602" s="450" t="s">
        <v>22878</v>
      </c>
      <c r="I7602" s="450" t="s">
        <v>12189</v>
      </c>
      <c r="J7602" s="450" t="s">
        <v>36906</v>
      </c>
      <c r="K7602" s="450"/>
    </row>
    <row r="7603" spans="1:11">
      <c r="A7603" s="451" t="s">
        <v>20607</v>
      </c>
      <c r="B7603" s="451" t="s">
        <v>12187</v>
      </c>
      <c r="C7603" s="451" t="s">
        <v>12188</v>
      </c>
      <c r="D7603" s="451" t="s">
        <v>12189</v>
      </c>
      <c r="E7603" s="451" t="s">
        <v>12190</v>
      </c>
      <c r="F7603" s="451" t="s">
        <v>12191</v>
      </c>
      <c r="G7603" s="451" t="s">
        <v>31973</v>
      </c>
      <c r="H7603" s="451" t="s">
        <v>22878</v>
      </c>
      <c r="I7603" s="451" t="s">
        <v>31974</v>
      </c>
      <c r="J7603" s="451" t="s">
        <v>12187</v>
      </c>
      <c r="K7603" s="451"/>
    </row>
    <row r="7604" spans="1:11">
      <c r="A7604" s="450" t="s">
        <v>27375</v>
      </c>
      <c r="B7604" s="450" t="s">
        <v>27376</v>
      </c>
      <c r="C7604" s="450" t="s">
        <v>27377</v>
      </c>
      <c r="D7604" s="450"/>
      <c r="E7604" s="450"/>
      <c r="F7604" s="450"/>
      <c r="G7604" s="450" t="s">
        <v>22877</v>
      </c>
      <c r="H7604" s="450" t="s">
        <v>22878</v>
      </c>
      <c r="I7604" s="450" t="s">
        <v>12199</v>
      </c>
      <c r="J7604" s="450" t="s">
        <v>27378</v>
      </c>
      <c r="K7604" s="450"/>
    </row>
    <row r="7605" spans="1:11">
      <c r="A7605" s="451" t="s">
        <v>20608</v>
      </c>
      <c r="B7605" s="451" t="s">
        <v>12192</v>
      </c>
      <c r="C7605" s="451" t="s">
        <v>12193</v>
      </c>
      <c r="D7605" s="451" t="s">
        <v>12194</v>
      </c>
      <c r="E7605" s="451"/>
      <c r="F7605" s="451" t="s">
        <v>12196</v>
      </c>
      <c r="G7605" s="451" t="s">
        <v>22877</v>
      </c>
      <c r="H7605" s="451" t="s">
        <v>22878</v>
      </c>
      <c r="I7605" s="451" t="s">
        <v>27379</v>
      </c>
      <c r="J7605" s="451" t="s">
        <v>36907</v>
      </c>
      <c r="K7605" s="451"/>
    </row>
    <row r="7606" spans="1:11">
      <c r="A7606" s="450" t="s">
        <v>20608</v>
      </c>
      <c r="B7606" s="450" t="s">
        <v>12192</v>
      </c>
      <c r="C7606" s="450" t="s">
        <v>12193</v>
      </c>
      <c r="D7606" s="450" t="s">
        <v>12194</v>
      </c>
      <c r="E7606" s="450" t="s">
        <v>12195</v>
      </c>
      <c r="F7606" s="450" t="s">
        <v>12196</v>
      </c>
      <c r="G7606" s="450" t="s">
        <v>31975</v>
      </c>
      <c r="H7606" s="450" t="s">
        <v>22878</v>
      </c>
      <c r="I7606" s="450" t="s">
        <v>12194</v>
      </c>
      <c r="J7606" s="450" t="s">
        <v>31976</v>
      </c>
      <c r="K7606" s="450"/>
    </row>
    <row r="7607" spans="1:11">
      <c r="A7607" s="451" t="s">
        <v>20609</v>
      </c>
      <c r="B7607" s="451" t="s">
        <v>12197</v>
      </c>
      <c r="C7607" s="451" t="s">
        <v>12198</v>
      </c>
      <c r="D7607" s="451" t="s">
        <v>12199</v>
      </c>
      <c r="E7607" s="451"/>
      <c r="F7607" s="451" t="s">
        <v>12201</v>
      </c>
      <c r="G7607" s="451" t="s">
        <v>22877</v>
      </c>
      <c r="H7607" s="451" t="s">
        <v>22878</v>
      </c>
      <c r="I7607" s="451" t="s">
        <v>27380</v>
      </c>
      <c r="J7607" s="451" t="s">
        <v>36908</v>
      </c>
      <c r="K7607" s="451"/>
    </row>
    <row r="7608" spans="1:11">
      <c r="A7608" s="450" t="s">
        <v>20609</v>
      </c>
      <c r="B7608" s="450" t="s">
        <v>12197</v>
      </c>
      <c r="C7608" s="450" t="s">
        <v>12198</v>
      </c>
      <c r="D7608" s="450" t="s">
        <v>12199</v>
      </c>
      <c r="E7608" s="450" t="s">
        <v>12200</v>
      </c>
      <c r="F7608" s="450" t="s">
        <v>12201</v>
      </c>
      <c r="G7608" s="450" t="s">
        <v>31977</v>
      </c>
      <c r="H7608" s="450" t="s">
        <v>22878</v>
      </c>
      <c r="I7608" s="450" t="s">
        <v>12199</v>
      </c>
      <c r="J7608" s="450" t="s">
        <v>12197</v>
      </c>
      <c r="K7608" s="450"/>
    </row>
    <row r="7609" spans="1:11">
      <c r="A7609" s="451" t="s">
        <v>20610</v>
      </c>
      <c r="B7609" s="451" t="s">
        <v>12202</v>
      </c>
      <c r="C7609" s="451" t="s">
        <v>12203</v>
      </c>
      <c r="D7609" s="451" t="s">
        <v>12204</v>
      </c>
      <c r="E7609" s="451"/>
      <c r="F7609" s="451" t="s">
        <v>12206</v>
      </c>
      <c r="G7609" s="451" t="s">
        <v>22877</v>
      </c>
      <c r="H7609" s="451" t="s">
        <v>22878</v>
      </c>
      <c r="I7609" s="451" t="s">
        <v>12204</v>
      </c>
      <c r="J7609" s="451" t="s">
        <v>36909</v>
      </c>
      <c r="K7609" s="451"/>
    </row>
    <row r="7610" spans="1:11">
      <c r="A7610" s="450" t="s">
        <v>20610</v>
      </c>
      <c r="B7610" s="450" t="s">
        <v>12202</v>
      </c>
      <c r="C7610" s="450" t="s">
        <v>12203</v>
      </c>
      <c r="D7610" s="450" t="s">
        <v>12204</v>
      </c>
      <c r="E7610" s="450" t="s">
        <v>12205</v>
      </c>
      <c r="F7610" s="450" t="s">
        <v>12206</v>
      </c>
      <c r="G7610" s="450" t="s">
        <v>31978</v>
      </c>
      <c r="H7610" s="450" t="s">
        <v>22878</v>
      </c>
      <c r="I7610" s="450" t="s">
        <v>12204</v>
      </c>
      <c r="J7610" s="450" t="s">
        <v>31979</v>
      </c>
      <c r="K7610" s="450"/>
    </row>
    <row r="7611" spans="1:11">
      <c r="A7611" s="451" t="s">
        <v>20611</v>
      </c>
      <c r="B7611" s="451" t="s">
        <v>12207</v>
      </c>
      <c r="C7611" s="451" t="s">
        <v>2357</v>
      </c>
      <c r="D7611" s="451" t="s">
        <v>12208</v>
      </c>
      <c r="E7611" s="451"/>
      <c r="F7611" s="451" t="s">
        <v>12210</v>
      </c>
      <c r="G7611" s="451" t="s">
        <v>22877</v>
      </c>
      <c r="H7611" s="451" t="s">
        <v>22878</v>
      </c>
      <c r="I7611" s="451" t="s">
        <v>36910</v>
      </c>
      <c r="J7611" s="451" t="s">
        <v>36911</v>
      </c>
      <c r="K7611" s="451"/>
    </row>
    <row r="7612" spans="1:11">
      <c r="A7612" s="450" t="s">
        <v>20611</v>
      </c>
      <c r="B7612" s="450" t="s">
        <v>12207</v>
      </c>
      <c r="C7612" s="450" t="s">
        <v>2357</v>
      </c>
      <c r="D7612" s="450" t="s">
        <v>12208</v>
      </c>
      <c r="E7612" s="450" t="s">
        <v>12209</v>
      </c>
      <c r="F7612" s="450" t="s">
        <v>12210</v>
      </c>
      <c r="G7612" s="450" t="s">
        <v>31980</v>
      </c>
      <c r="H7612" s="450" t="s">
        <v>22878</v>
      </c>
      <c r="I7612" s="450" t="s">
        <v>31981</v>
      </c>
      <c r="J7612" s="450" t="s">
        <v>12207</v>
      </c>
      <c r="K7612" s="450"/>
    </row>
    <row r="7613" spans="1:11">
      <c r="A7613" s="451" t="s">
        <v>20612</v>
      </c>
      <c r="B7613" s="451" t="s">
        <v>36912</v>
      </c>
      <c r="C7613" s="451" t="s">
        <v>12212</v>
      </c>
      <c r="D7613" s="451" t="s">
        <v>12213</v>
      </c>
      <c r="E7613" s="451"/>
      <c r="F7613" s="451" t="s">
        <v>12215</v>
      </c>
      <c r="G7613" s="451" t="s">
        <v>22877</v>
      </c>
      <c r="H7613" s="451" t="s">
        <v>22878</v>
      </c>
      <c r="I7613" s="451" t="s">
        <v>12213</v>
      </c>
      <c r="J7613" s="451" t="s">
        <v>36913</v>
      </c>
      <c r="K7613" s="451"/>
    </row>
    <row r="7614" spans="1:11">
      <c r="A7614" s="450" t="s">
        <v>20612</v>
      </c>
      <c r="B7614" s="450" t="s">
        <v>12211</v>
      </c>
      <c r="C7614" s="450" t="s">
        <v>12212</v>
      </c>
      <c r="D7614" s="450" t="s">
        <v>12213</v>
      </c>
      <c r="E7614" s="450" t="s">
        <v>12214</v>
      </c>
      <c r="F7614" s="450" t="s">
        <v>12215</v>
      </c>
      <c r="G7614" s="450" t="s">
        <v>31982</v>
      </c>
      <c r="H7614" s="450" t="s">
        <v>22883</v>
      </c>
      <c r="I7614" s="450" t="s">
        <v>12213</v>
      </c>
      <c r="J7614" s="450" t="s">
        <v>31983</v>
      </c>
      <c r="K7614" s="450" t="s">
        <v>31984</v>
      </c>
    </row>
    <row r="7615" spans="1:11">
      <c r="A7615" s="451" t="s">
        <v>20613</v>
      </c>
      <c r="B7615" s="451" t="s">
        <v>36914</v>
      </c>
      <c r="C7615" s="451" t="s">
        <v>6647</v>
      </c>
      <c r="D7615" s="451" t="s">
        <v>12217</v>
      </c>
      <c r="E7615" s="451"/>
      <c r="F7615" s="451" t="s">
        <v>12219</v>
      </c>
      <c r="G7615" s="451" t="s">
        <v>22877</v>
      </c>
      <c r="H7615" s="451" t="s">
        <v>22878</v>
      </c>
      <c r="I7615" s="451" t="s">
        <v>12217</v>
      </c>
      <c r="J7615" s="451" t="s">
        <v>36915</v>
      </c>
      <c r="K7615" s="451"/>
    </row>
    <row r="7616" spans="1:11">
      <c r="A7616" s="450" t="s">
        <v>20613</v>
      </c>
      <c r="B7616" s="450" t="s">
        <v>12216</v>
      </c>
      <c r="C7616" s="450" t="s">
        <v>6647</v>
      </c>
      <c r="D7616" s="450" t="s">
        <v>12217</v>
      </c>
      <c r="E7616" s="450" t="s">
        <v>12218</v>
      </c>
      <c r="F7616" s="450" t="s">
        <v>12219</v>
      </c>
      <c r="G7616" s="450" t="s">
        <v>31985</v>
      </c>
      <c r="H7616" s="450" t="s">
        <v>22883</v>
      </c>
      <c r="I7616" s="450" t="s">
        <v>12217</v>
      </c>
      <c r="J7616" s="450" t="s">
        <v>31986</v>
      </c>
      <c r="K7616" s="450"/>
    </row>
    <row r="7617" spans="1:11">
      <c r="A7617" s="451" t="s">
        <v>20614</v>
      </c>
      <c r="B7617" s="451" t="s">
        <v>12220</v>
      </c>
      <c r="C7617" s="451" t="s">
        <v>12221</v>
      </c>
      <c r="D7617" s="451" t="s">
        <v>12222</v>
      </c>
      <c r="E7617" s="451"/>
      <c r="F7617" s="451" t="s">
        <v>12224</v>
      </c>
      <c r="G7617" s="451" t="s">
        <v>22877</v>
      </c>
      <c r="H7617" s="451" t="s">
        <v>22878</v>
      </c>
      <c r="I7617" s="451" t="s">
        <v>27381</v>
      </c>
      <c r="J7617" s="451" t="s">
        <v>27382</v>
      </c>
      <c r="K7617" s="451"/>
    </row>
    <row r="7618" spans="1:11">
      <c r="A7618" s="450" t="s">
        <v>20614</v>
      </c>
      <c r="B7618" s="450" t="s">
        <v>12220</v>
      </c>
      <c r="C7618" s="450" t="s">
        <v>12221</v>
      </c>
      <c r="D7618" s="450" t="s">
        <v>12222</v>
      </c>
      <c r="E7618" s="450" t="s">
        <v>12223</v>
      </c>
      <c r="F7618" s="450" t="s">
        <v>12224</v>
      </c>
      <c r="G7618" s="450" t="s">
        <v>22882</v>
      </c>
      <c r="H7618" s="450" t="s">
        <v>22883</v>
      </c>
      <c r="I7618" s="450" t="s">
        <v>27381</v>
      </c>
      <c r="J7618" s="450" t="s">
        <v>27382</v>
      </c>
      <c r="K7618" s="450"/>
    </row>
    <row r="7619" spans="1:11">
      <c r="A7619" s="451" t="s">
        <v>20615</v>
      </c>
      <c r="B7619" s="451" t="s">
        <v>12225</v>
      </c>
      <c r="C7619" s="451" t="s">
        <v>4977</v>
      </c>
      <c r="D7619" s="451" t="s">
        <v>12226</v>
      </c>
      <c r="E7619" s="451"/>
      <c r="F7619" s="451" t="s">
        <v>12228</v>
      </c>
      <c r="G7619" s="451" t="s">
        <v>22877</v>
      </c>
      <c r="H7619" s="451" t="s">
        <v>22878</v>
      </c>
      <c r="I7619" s="451" t="s">
        <v>27383</v>
      </c>
      <c r="J7619" s="451" t="s">
        <v>36916</v>
      </c>
      <c r="K7619" s="451"/>
    </row>
    <row r="7620" spans="1:11">
      <c r="A7620" s="450" t="s">
        <v>20615</v>
      </c>
      <c r="B7620" s="450" t="s">
        <v>12225</v>
      </c>
      <c r="C7620" s="450" t="s">
        <v>4977</v>
      </c>
      <c r="D7620" s="450" t="s">
        <v>12226</v>
      </c>
      <c r="E7620" s="450" t="s">
        <v>12227</v>
      </c>
      <c r="F7620" s="450" t="s">
        <v>12228</v>
      </c>
      <c r="G7620" s="450" t="s">
        <v>31987</v>
      </c>
      <c r="H7620" s="450" t="s">
        <v>22878</v>
      </c>
      <c r="I7620" s="450" t="s">
        <v>27383</v>
      </c>
      <c r="J7620" s="450" t="s">
        <v>12225</v>
      </c>
      <c r="K7620" s="450"/>
    </row>
    <row r="7621" spans="1:11">
      <c r="A7621" s="451" t="s">
        <v>20616</v>
      </c>
      <c r="B7621" s="451" t="s">
        <v>12229</v>
      </c>
      <c r="C7621" s="451" t="s">
        <v>12230</v>
      </c>
      <c r="D7621" s="451" t="s">
        <v>12231</v>
      </c>
      <c r="E7621" s="451"/>
      <c r="F7621" s="451" t="s">
        <v>12233</v>
      </c>
      <c r="G7621" s="451" t="s">
        <v>22877</v>
      </c>
      <c r="H7621" s="451" t="s">
        <v>22878</v>
      </c>
      <c r="I7621" s="451" t="s">
        <v>12231</v>
      </c>
      <c r="J7621" s="451" t="s">
        <v>36917</v>
      </c>
      <c r="K7621" s="451"/>
    </row>
    <row r="7622" spans="1:11">
      <c r="A7622" s="450" t="s">
        <v>20616</v>
      </c>
      <c r="B7622" s="450" t="s">
        <v>12229</v>
      </c>
      <c r="C7622" s="450" t="s">
        <v>12230</v>
      </c>
      <c r="D7622" s="450" t="s">
        <v>12231</v>
      </c>
      <c r="E7622" s="450" t="s">
        <v>12232</v>
      </c>
      <c r="F7622" s="450" t="s">
        <v>12233</v>
      </c>
      <c r="G7622" s="450"/>
      <c r="H7622" s="450"/>
      <c r="I7622" s="450"/>
      <c r="J7622" s="450"/>
      <c r="K7622" s="450"/>
    </row>
    <row r="7623" spans="1:11">
      <c r="A7623" s="451" t="s">
        <v>20617</v>
      </c>
      <c r="B7623" s="451" t="s">
        <v>12234</v>
      </c>
      <c r="C7623" s="451" t="s">
        <v>12235</v>
      </c>
      <c r="D7623" s="451" t="s">
        <v>12236</v>
      </c>
      <c r="E7623" s="451"/>
      <c r="F7623" s="451" t="s">
        <v>12238</v>
      </c>
      <c r="G7623" s="451" t="s">
        <v>22877</v>
      </c>
      <c r="H7623" s="451" t="s">
        <v>22878</v>
      </c>
      <c r="I7623" s="451" t="s">
        <v>12236</v>
      </c>
      <c r="J7623" s="451" t="s">
        <v>36918</v>
      </c>
      <c r="K7623" s="451"/>
    </row>
    <row r="7624" spans="1:11">
      <c r="A7624" s="450" t="s">
        <v>20617</v>
      </c>
      <c r="B7624" s="450" t="s">
        <v>12234</v>
      </c>
      <c r="C7624" s="450" t="s">
        <v>12235</v>
      </c>
      <c r="D7624" s="450" t="s">
        <v>12236</v>
      </c>
      <c r="E7624" s="450" t="s">
        <v>12237</v>
      </c>
      <c r="F7624" s="450" t="s">
        <v>12238</v>
      </c>
      <c r="G7624" s="450"/>
      <c r="H7624" s="450"/>
      <c r="I7624" s="450"/>
      <c r="J7624" s="450"/>
      <c r="K7624" s="450"/>
    </row>
    <row r="7625" spans="1:11">
      <c r="A7625" s="451" t="s">
        <v>20618</v>
      </c>
      <c r="B7625" s="451" t="s">
        <v>27384</v>
      </c>
      <c r="C7625" s="451" t="s">
        <v>12240</v>
      </c>
      <c r="D7625" s="451" t="s">
        <v>12241</v>
      </c>
      <c r="E7625" s="451"/>
      <c r="F7625" s="451" t="s">
        <v>12243</v>
      </c>
      <c r="G7625" s="451" t="s">
        <v>22877</v>
      </c>
      <c r="H7625" s="451" t="s">
        <v>22878</v>
      </c>
      <c r="I7625" s="451" t="s">
        <v>27380</v>
      </c>
      <c r="J7625" s="451" t="s">
        <v>27385</v>
      </c>
      <c r="K7625" s="451"/>
    </row>
    <row r="7626" spans="1:11">
      <c r="A7626" s="450" t="s">
        <v>20618</v>
      </c>
      <c r="B7626" s="450" t="s">
        <v>12239</v>
      </c>
      <c r="C7626" s="450" t="s">
        <v>12240</v>
      </c>
      <c r="D7626" s="450" t="s">
        <v>12241</v>
      </c>
      <c r="E7626" s="450" t="s">
        <v>12242</v>
      </c>
      <c r="F7626" s="450" t="s">
        <v>12243</v>
      </c>
      <c r="G7626" s="450"/>
      <c r="H7626" s="450"/>
      <c r="I7626" s="450"/>
      <c r="J7626" s="450"/>
      <c r="K7626" s="450"/>
    </row>
    <row r="7627" spans="1:11">
      <c r="A7627" s="451" t="s">
        <v>20619</v>
      </c>
      <c r="B7627" s="451" t="s">
        <v>12244</v>
      </c>
      <c r="C7627" s="451" t="s">
        <v>12245</v>
      </c>
      <c r="D7627" s="451" t="s">
        <v>12246</v>
      </c>
      <c r="E7627" s="451"/>
      <c r="F7627" s="451" t="s">
        <v>12248</v>
      </c>
      <c r="G7627" s="451" t="s">
        <v>22882</v>
      </c>
      <c r="H7627" s="451" t="s">
        <v>22883</v>
      </c>
      <c r="I7627" s="451" t="s">
        <v>12246</v>
      </c>
      <c r="J7627" s="451" t="s">
        <v>36919</v>
      </c>
      <c r="K7627" s="451"/>
    </row>
    <row r="7628" spans="1:11">
      <c r="A7628" s="450" t="s">
        <v>20619</v>
      </c>
      <c r="B7628" s="450" t="s">
        <v>12244</v>
      </c>
      <c r="C7628" s="450" t="s">
        <v>12245</v>
      </c>
      <c r="D7628" s="450" t="s">
        <v>12246</v>
      </c>
      <c r="E7628" s="450" t="s">
        <v>12247</v>
      </c>
      <c r="F7628" s="450" t="s">
        <v>12248</v>
      </c>
      <c r="G7628" s="450"/>
      <c r="H7628" s="450"/>
      <c r="I7628" s="450"/>
      <c r="J7628" s="450"/>
      <c r="K7628" s="450"/>
    </row>
    <row r="7629" spans="1:11">
      <c r="A7629" s="451" t="s">
        <v>20620</v>
      </c>
      <c r="B7629" s="451" t="s">
        <v>12249</v>
      </c>
      <c r="C7629" s="451" t="s">
        <v>12250</v>
      </c>
      <c r="D7629" s="451" t="s">
        <v>12251</v>
      </c>
      <c r="E7629" s="451"/>
      <c r="F7629" s="451" t="s">
        <v>12253</v>
      </c>
      <c r="G7629" s="451" t="s">
        <v>22882</v>
      </c>
      <c r="H7629" s="451" t="s">
        <v>22883</v>
      </c>
      <c r="I7629" s="451" t="s">
        <v>12251</v>
      </c>
      <c r="J7629" s="451" t="s">
        <v>36920</v>
      </c>
      <c r="K7629" s="451"/>
    </row>
    <row r="7630" spans="1:11">
      <c r="A7630" s="450" t="s">
        <v>20620</v>
      </c>
      <c r="B7630" s="450" t="s">
        <v>12249</v>
      </c>
      <c r="C7630" s="450" t="s">
        <v>12250</v>
      </c>
      <c r="D7630" s="450" t="s">
        <v>12251</v>
      </c>
      <c r="E7630" s="450" t="s">
        <v>12252</v>
      </c>
      <c r="F7630" s="450" t="s">
        <v>12253</v>
      </c>
      <c r="G7630" s="450"/>
      <c r="H7630" s="450"/>
      <c r="I7630" s="450"/>
      <c r="J7630" s="450"/>
      <c r="K7630" s="450"/>
    </row>
    <row r="7631" spans="1:11">
      <c r="A7631" s="451" t="s">
        <v>20621</v>
      </c>
      <c r="B7631" s="451" t="s">
        <v>12254</v>
      </c>
      <c r="C7631" s="451" t="s">
        <v>12255</v>
      </c>
      <c r="D7631" s="451" t="s">
        <v>12256</v>
      </c>
      <c r="E7631" s="451"/>
      <c r="F7631" s="451" t="s">
        <v>12258</v>
      </c>
      <c r="G7631" s="451" t="s">
        <v>22877</v>
      </c>
      <c r="H7631" s="451" t="s">
        <v>22878</v>
      </c>
      <c r="I7631" s="451" t="s">
        <v>12256</v>
      </c>
      <c r="J7631" s="451" t="s">
        <v>36921</v>
      </c>
      <c r="K7631" s="451"/>
    </row>
    <row r="7632" spans="1:11">
      <c r="A7632" s="450" t="s">
        <v>20621</v>
      </c>
      <c r="B7632" s="450" t="s">
        <v>12254</v>
      </c>
      <c r="C7632" s="450" t="s">
        <v>12255</v>
      </c>
      <c r="D7632" s="450" t="s">
        <v>12256</v>
      </c>
      <c r="E7632" s="450" t="s">
        <v>12257</v>
      </c>
      <c r="F7632" s="450" t="s">
        <v>12258</v>
      </c>
      <c r="G7632" s="450"/>
      <c r="H7632" s="450"/>
      <c r="I7632" s="450"/>
      <c r="J7632" s="450"/>
      <c r="K7632" s="450"/>
    </row>
    <row r="7633" spans="1:11">
      <c r="A7633" s="451" t="s">
        <v>20622</v>
      </c>
      <c r="B7633" s="451" t="s">
        <v>12259</v>
      </c>
      <c r="C7633" s="451" t="s">
        <v>12260</v>
      </c>
      <c r="D7633" s="451" t="s">
        <v>12261</v>
      </c>
      <c r="E7633" s="451"/>
      <c r="F7633" s="451" t="s">
        <v>12263</v>
      </c>
      <c r="G7633" s="451" t="s">
        <v>22877</v>
      </c>
      <c r="H7633" s="451" t="s">
        <v>22878</v>
      </c>
      <c r="I7633" s="451" t="s">
        <v>36922</v>
      </c>
      <c r="J7633" s="451" t="s">
        <v>36923</v>
      </c>
      <c r="K7633" s="451"/>
    </row>
    <row r="7634" spans="1:11">
      <c r="A7634" s="450" t="s">
        <v>20622</v>
      </c>
      <c r="B7634" s="450" t="s">
        <v>12259</v>
      </c>
      <c r="C7634" s="450" t="s">
        <v>12260</v>
      </c>
      <c r="D7634" s="450" t="s">
        <v>12261</v>
      </c>
      <c r="E7634" s="450" t="s">
        <v>12262</v>
      </c>
      <c r="F7634" s="450" t="s">
        <v>12263</v>
      </c>
      <c r="G7634" s="450"/>
      <c r="H7634" s="450"/>
      <c r="I7634" s="450"/>
      <c r="J7634" s="450"/>
      <c r="K7634" s="450"/>
    </row>
    <row r="7635" spans="1:11">
      <c r="A7635" s="451" t="s">
        <v>20623</v>
      </c>
      <c r="B7635" s="451" t="s">
        <v>12264</v>
      </c>
      <c r="C7635" s="451" t="s">
        <v>12265</v>
      </c>
      <c r="D7635" s="451" t="s">
        <v>12266</v>
      </c>
      <c r="E7635" s="451"/>
      <c r="F7635" s="451" t="s">
        <v>12233</v>
      </c>
      <c r="G7635" s="451" t="s">
        <v>22877</v>
      </c>
      <c r="H7635" s="451" t="s">
        <v>22878</v>
      </c>
      <c r="I7635" s="451" t="s">
        <v>12266</v>
      </c>
      <c r="J7635" s="451" t="s">
        <v>36924</v>
      </c>
      <c r="K7635" s="451"/>
    </row>
    <row r="7636" spans="1:11">
      <c r="A7636" s="450" t="s">
        <v>20623</v>
      </c>
      <c r="B7636" s="450" t="s">
        <v>12264</v>
      </c>
      <c r="C7636" s="450" t="s">
        <v>12265</v>
      </c>
      <c r="D7636" s="450" t="s">
        <v>12266</v>
      </c>
      <c r="E7636" s="450" t="s">
        <v>12267</v>
      </c>
      <c r="F7636" s="450" t="s">
        <v>12233</v>
      </c>
      <c r="G7636" s="450"/>
      <c r="H7636" s="450"/>
      <c r="I7636" s="450"/>
      <c r="J7636" s="450"/>
      <c r="K7636" s="450"/>
    </row>
    <row r="7637" spans="1:11">
      <c r="A7637" s="451" t="s">
        <v>20624</v>
      </c>
      <c r="B7637" s="451" t="s">
        <v>12268</v>
      </c>
      <c r="C7637" s="451" t="s">
        <v>2265</v>
      </c>
      <c r="D7637" s="451" t="s">
        <v>12269</v>
      </c>
      <c r="E7637" s="451"/>
      <c r="F7637" s="451" t="s">
        <v>12271</v>
      </c>
      <c r="G7637" s="451" t="s">
        <v>22877</v>
      </c>
      <c r="H7637" s="451" t="s">
        <v>22878</v>
      </c>
      <c r="I7637" s="451" t="s">
        <v>12269</v>
      </c>
      <c r="J7637" s="451" t="s">
        <v>36925</v>
      </c>
      <c r="K7637" s="451"/>
    </row>
    <row r="7638" spans="1:11">
      <c r="A7638" s="450" t="s">
        <v>20624</v>
      </c>
      <c r="B7638" s="450" t="s">
        <v>12268</v>
      </c>
      <c r="C7638" s="450" t="s">
        <v>2265</v>
      </c>
      <c r="D7638" s="450" t="s">
        <v>12269</v>
      </c>
      <c r="E7638" s="450" t="s">
        <v>12270</v>
      </c>
      <c r="F7638" s="450" t="s">
        <v>12271</v>
      </c>
      <c r="G7638" s="450"/>
      <c r="H7638" s="450"/>
      <c r="I7638" s="450"/>
      <c r="J7638" s="450"/>
      <c r="K7638" s="450"/>
    </row>
    <row r="7639" spans="1:11">
      <c r="A7639" s="451" t="s">
        <v>20625</v>
      </c>
      <c r="B7639" s="451" t="s">
        <v>12272</v>
      </c>
      <c r="C7639" s="451" t="s">
        <v>12273</v>
      </c>
      <c r="D7639" s="451" t="s">
        <v>12274</v>
      </c>
      <c r="E7639" s="451"/>
      <c r="F7639" s="451" t="s">
        <v>12276</v>
      </c>
      <c r="G7639" s="451" t="s">
        <v>22877</v>
      </c>
      <c r="H7639" s="451" t="s">
        <v>22878</v>
      </c>
      <c r="I7639" s="451" t="s">
        <v>36926</v>
      </c>
      <c r="J7639" s="451" t="s">
        <v>36927</v>
      </c>
      <c r="K7639" s="451"/>
    </row>
    <row r="7640" spans="1:11">
      <c r="A7640" s="450" t="s">
        <v>20625</v>
      </c>
      <c r="B7640" s="450" t="s">
        <v>12272</v>
      </c>
      <c r="C7640" s="450" t="s">
        <v>12273</v>
      </c>
      <c r="D7640" s="450" t="s">
        <v>12274</v>
      </c>
      <c r="E7640" s="450" t="s">
        <v>12275</v>
      </c>
      <c r="F7640" s="450" t="s">
        <v>12276</v>
      </c>
      <c r="G7640" s="450"/>
      <c r="H7640" s="450"/>
      <c r="I7640" s="450"/>
      <c r="J7640" s="450"/>
      <c r="K7640" s="450"/>
    </row>
    <row r="7641" spans="1:11">
      <c r="A7641" s="451" t="s">
        <v>20626</v>
      </c>
      <c r="B7641" s="451" t="s">
        <v>12277</v>
      </c>
      <c r="C7641" s="451" t="s">
        <v>12278</v>
      </c>
      <c r="D7641" s="451" t="s">
        <v>12279</v>
      </c>
      <c r="E7641" s="451"/>
      <c r="F7641" s="451" t="s">
        <v>12281</v>
      </c>
      <c r="G7641" s="451" t="s">
        <v>22877</v>
      </c>
      <c r="H7641" s="451" t="s">
        <v>22878</v>
      </c>
      <c r="I7641" s="451" t="s">
        <v>12279</v>
      </c>
      <c r="J7641" s="451" t="s">
        <v>36928</v>
      </c>
      <c r="K7641" s="451"/>
    </row>
    <row r="7642" spans="1:11">
      <c r="A7642" s="450" t="s">
        <v>20626</v>
      </c>
      <c r="B7642" s="450" t="s">
        <v>12277</v>
      </c>
      <c r="C7642" s="450" t="s">
        <v>12278</v>
      </c>
      <c r="D7642" s="450" t="s">
        <v>12279</v>
      </c>
      <c r="E7642" s="450" t="s">
        <v>12280</v>
      </c>
      <c r="F7642" s="450" t="s">
        <v>12281</v>
      </c>
      <c r="G7642" s="450"/>
      <c r="H7642" s="450"/>
      <c r="I7642" s="450"/>
      <c r="J7642" s="450"/>
      <c r="K7642" s="450"/>
    </row>
    <row r="7643" spans="1:11">
      <c r="A7643" s="451" t="s">
        <v>20627</v>
      </c>
      <c r="B7643" s="451" t="s">
        <v>12282</v>
      </c>
      <c r="C7643" s="451" t="s">
        <v>12283</v>
      </c>
      <c r="D7643" s="451" t="s">
        <v>12284</v>
      </c>
      <c r="E7643" s="451"/>
      <c r="F7643" s="451" t="s">
        <v>12286</v>
      </c>
      <c r="G7643" s="451" t="s">
        <v>22877</v>
      </c>
      <c r="H7643" s="451" t="s">
        <v>22878</v>
      </c>
      <c r="I7643" s="451" t="s">
        <v>12284</v>
      </c>
      <c r="J7643" s="451" t="s">
        <v>36929</v>
      </c>
      <c r="K7643" s="451"/>
    </row>
    <row r="7644" spans="1:11">
      <c r="A7644" s="450" t="s">
        <v>20627</v>
      </c>
      <c r="B7644" s="450" t="s">
        <v>12282</v>
      </c>
      <c r="C7644" s="450" t="s">
        <v>12283</v>
      </c>
      <c r="D7644" s="450" t="s">
        <v>12284</v>
      </c>
      <c r="E7644" s="450" t="s">
        <v>12285</v>
      </c>
      <c r="F7644" s="450" t="s">
        <v>12286</v>
      </c>
      <c r="G7644" s="450"/>
      <c r="H7644" s="450"/>
      <c r="I7644" s="450"/>
      <c r="J7644" s="450"/>
      <c r="K7644" s="450"/>
    </row>
    <row r="7645" spans="1:11">
      <c r="A7645" s="451" t="s">
        <v>20628</v>
      </c>
      <c r="B7645" s="451" t="s">
        <v>27386</v>
      </c>
      <c r="C7645" s="451" t="s">
        <v>12288</v>
      </c>
      <c r="D7645" s="451" t="s">
        <v>12289</v>
      </c>
      <c r="E7645" s="451"/>
      <c r="F7645" s="451" t="s">
        <v>12291</v>
      </c>
      <c r="G7645" s="451" t="s">
        <v>22882</v>
      </c>
      <c r="H7645" s="451" t="s">
        <v>22883</v>
      </c>
      <c r="I7645" s="451" t="s">
        <v>12289</v>
      </c>
      <c r="J7645" s="451" t="s">
        <v>27387</v>
      </c>
      <c r="K7645" s="451"/>
    </row>
    <row r="7646" spans="1:11">
      <c r="A7646" s="450" t="s">
        <v>20628</v>
      </c>
      <c r="B7646" s="450" t="s">
        <v>12287</v>
      </c>
      <c r="C7646" s="450" t="s">
        <v>12288</v>
      </c>
      <c r="D7646" s="450" t="s">
        <v>12289</v>
      </c>
      <c r="E7646" s="450" t="s">
        <v>12290</v>
      </c>
      <c r="F7646" s="450" t="s">
        <v>12291</v>
      </c>
      <c r="G7646" s="450"/>
      <c r="H7646" s="450"/>
      <c r="I7646" s="450"/>
      <c r="J7646" s="450"/>
      <c r="K7646" s="450"/>
    </row>
    <row r="7647" spans="1:11">
      <c r="A7647" s="451" t="s">
        <v>20629</v>
      </c>
      <c r="B7647" s="451" t="s">
        <v>12292</v>
      </c>
      <c r="C7647" s="451" t="s">
        <v>12293</v>
      </c>
      <c r="D7647" s="451" t="s">
        <v>12294</v>
      </c>
      <c r="E7647" s="451"/>
      <c r="F7647" s="451" t="s">
        <v>12296</v>
      </c>
      <c r="G7647" s="451" t="s">
        <v>22877</v>
      </c>
      <c r="H7647" s="451" t="s">
        <v>22878</v>
      </c>
      <c r="I7647" s="451" t="s">
        <v>12294</v>
      </c>
      <c r="J7647" s="451" t="s">
        <v>36930</v>
      </c>
      <c r="K7647" s="451"/>
    </row>
    <row r="7648" spans="1:11">
      <c r="A7648" s="450" t="s">
        <v>20629</v>
      </c>
      <c r="B7648" s="450" t="s">
        <v>12292</v>
      </c>
      <c r="C7648" s="450" t="s">
        <v>12293</v>
      </c>
      <c r="D7648" s="450" t="s">
        <v>12294</v>
      </c>
      <c r="E7648" s="450" t="s">
        <v>12295</v>
      </c>
      <c r="F7648" s="450" t="s">
        <v>12296</v>
      </c>
      <c r="G7648" s="450"/>
      <c r="H7648" s="450"/>
      <c r="I7648" s="450"/>
      <c r="J7648" s="450"/>
      <c r="K7648" s="450"/>
    </row>
    <row r="7649" spans="1:11">
      <c r="A7649" s="451" t="s">
        <v>20630</v>
      </c>
      <c r="B7649" s="451" t="s">
        <v>12297</v>
      </c>
      <c r="C7649" s="451" t="s">
        <v>12298</v>
      </c>
      <c r="D7649" s="451" t="s">
        <v>12299</v>
      </c>
      <c r="E7649" s="451"/>
      <c r="F7649" s="451" t="s">
        <v>27388</v>
      </c>
      <c r="G7649" s="451" t="s">
        <v>22877</v>
      </c>
      <c r="H7649" s="451" t="s">
        <v>22878</v>
      </c>
      <c r="I7649" s="451" t="s">
        <v>36931</v>
      </c>
      <c r="J7649" s="451" t="s">
        <v>36932</v>
      </c>
      <c r="K7649" s="451"/>
    </row>
    <row r="7650" spans="1:11">
      <c r="A7650" s="450" t="s">
        <v>20630</v>
      </c>
      <c r="B7650" s="450" t="s">
        <v>12297</v>
      </c>
      <c r="C7650" s="450" t="s">
        <v>12298</v>
      </c>
      <c r="D7650" s="450" t="s">
        <v>12299</v>
      </c>
      <c r="E7650" s="450" t="s">
        <v>12300</v>
      </c>
      <c r="F7650" s="450" t="s">
        <v>27388</v>
      </c>
      <c r="G7650" s="450"/>
      <c r="H7650" s="450"/>
      <c r="I7650" s="450"/>
      <c r="J7650" s="450"/>
      <c r="K7650" s="450"/>
    </row>
    <row r="7651" spans="1:11">
      <c r="A7651" s="451" t="s">
        <v>27389</v>
      </c>
      <c r="B7651" s="451" t="s">
        <v>27390</v>
      </c>
      <c r="C7651" s="451" t="s">
        <v>27391</v>
      </c>
      <c r="D7651" s="451"/>
      <c r="E7651" s="451"/>
      <c r="F7651" s="451"/>
      <c r="G7651" s="451" t="s">
        <v>22877</v>
      </c>
      <c r="H7651" s="451" t="s">
        <v>22878</v>
      </c>
      <c r="I7651" s="451" t="s">
        <v>27392</v>
      </c>
      <c r="J7651" s="451" t="s">
        <v>27393</v>
      </c>
      <c r="K7651" s="451"/>
    </row>
    <row r="7652" spans="1:11">
      <c r="A7652" s="450" t="s">
        <v>20631</v>
      </c>
      <c r="B7652" s="450" t="s">
        <v>12302</v>
      </c>
      <c r="C7652" s="450" t="s">
        <v>12303</v>
      </c>
      <c r="D7652" s="450" t="s">
        <v>12304</v>
      </c>
      <c r="E7652" s="450"/>
      <c r="F7652" s="450" t="s">
        <v>12306</v>
      </c>
      <c r="G7652" s="450" t="s">
        <v>22877</v>
      </c>
      <c r="H7652" s="450" t="s">
        <v>22878</v>
      </c>
      <c r="I7652" s="450" t="s">
        <v>36933</v>
      </c>
      <c r="J7652" s="450" t="s">
        <v>36934</v>
      </c>
      <c r="K7652" s="450"/>
    </row>
    <row r="7653" spans="1:11">
      <c r="A7653" s="451" t="s">
        <v>20631</v>
      </c>
      <c r="B7653" s="451" t="s">
        <v>12302</v>
      </c>
      <c r="C7653" s="451" t="s">
        <v>12303</v>
      </c>
      <c r="D7653" s="451" t="s">
        <v>12304</v>
      </c>
      <c r="E7653" s="451" t="s">
        <v>12305</v>
      </c>
      <c r="F7653" s="451" t="s">
        <v>12306</v>
      </c>
      <c r="G7653" s="451"/>
      <c r="H7653" s="451"/>
      <c r="I7653" s="451"/>
      <c r="J7653" s="451"/>
      <c r="K7653" s="451"/>
    </row>
    <row r="7654" spans="1:11">
      <c r="A7654" s="450" t="s">
        <v>20632</v>
      </c>
      <c r="B7654" s="450" t="s">
        <v>12307</v>
      </c>
      <c r="C7654" s="450" t="s">
        <v>12308</v>
      </c>
      <c r="D7654" s="450" t="s">
        <v>12309</v>
      </c>
      <c r="E7654" s="450"/>
      <c r="F7654" s="450" t="s">
        <v>12311</v>
      </c>
      <c r="G7654" s="450" t="s">
        <v>22877</v>
      </c>
      <c r="H7654" s="450" t="s">
        <v>22878</v>
      </c>
      <c r="I7654" s="450" t="s">
        <v>12309</v>
      </c>
      <c r="J7654" s="450" t="s">
        <v>36935</v>
      </c>
      <c r="K7654" s="450"/>
    </row>
    <row r="7655" spans="1:11">
      <c r="A7655" s="451" t="s">
        <v>20632</v>
      </c>
      <c r="B7655" s="451" t="s">
        <v>12307</v>
      </c>
      <c r="C7655" s="451" t="s">
        <v>12308</v>
      </c>
      <c r="D7655" s="451" t="s">
        <v>12309</v>
      </c>
      <c r="E7655" s="451" t="s">
        <v>12310</v>
      </c>
      <c r="F7655" s="451" t="s">
        <v>12311</v>
      </c>
      <c r="G7655" s="451"/>
      <c r="H7655" s="451"/>
      <c r="I7655" s="451"/>
      <c r="J7655" s="451"/>
      <c r="K7655" s="451"/>
    </row>
    <row r="7656" spans="1:11">
      <c r="A7656" s="450" t="s">
        <v>20633</v>
      </c>
      <c r="B7656" s="450" t="s">
        <v>12312</v>
      </c>
      <c r="C7656" s="450" t="s">
        <v>12313</v>
      </c>
      <c r="D7656" s="450" t="s">
        <v>12314</v>
      </c>
      <c r="E7656" s="450"/>
      <c r="F7656" s="450" t="s">
        <v>12316</v>
      </c>
      <c r="G7656" s="450" t="s">
        <v>22877</v>
      </c>
      <c r="H7656" s="450" t="s">
        <v>22878</v>
      </c>
      <c r="I7656" s="450" t="s">
        <v>12314</v>
      </c>
      <c r="J7656" s="450" t="s">
        <v>36936</v>
      </c>
      <c r="K7656" s="450"/>
    </row>
    <row r="7657" spans="1:11">
      <c r="A7657" s="451" t="s">
        <v>20633</v>
      </c>
      <c r="B7657" s="451" t="s">
        <v>12312</v>
      </c>
      <c r="C7657" s="451" t="s">
        <v>12313</v>
      </c>
      <c r="D7657" s="451" t="s">
        <v>12314</v>
      </c>
      <c r="E7657" s="451" t="s">
        <v>12315</v>
      </c>
      <c r="F7657" s="451" t="s">
        <v>12316</v>
      </c>
      <c r="G7657" s="451"/>
      <c r="H7657" s="451"/>
      <c r="I7657" s="451"/>
      <c r="J7657" s="451"/>
      <c r="K7657" s="451"/>
    </row>
    <row r="7658" spans="1:11">
      <c r="A7658" s="450" t="s">
        <v>20634</v>
      </c>
      <c r="B7658" s="450" t="s">
        <v>12317</v>
      </c>
      <c r="C7658" s="450" t="s">
        <v>12318</v>
      </c>
      <c r="D7658" s="450" t="s">
        <v>12319</v>
      </c>
      <c r="E7658" s="450"/>
      <c r="F7658" s="450" t="s">
        <v>12321</v>
      </c>
      <c r="G7658" s="450" t="s">
        <v>22877</v>
      </c>
      <c r="H7658" s="450" t="s">
        <v>22878</v>
      </c>
      <c r="I7658" s="450" t="s">
        <v>12319</v>
      </c>
      <c r="J7658" s="450" t="s">
        <v>36937</v>
      </c>
      <c r="K7658" s="450"/>
    </row>
    <row r="7659" spans="1:11">
      <c r="A7659" s="451" t="s">
        <v>20634</v>
      </c>
      <c r="B7659" s="451" t="s">
        <v>12317</v>
      </c>
      <c r="C7659" s="451" t="s">
        <v>12318</v>
      </c>
      <c r="D7659" s="451" t="s">
        <v>12319</v>
      </c>
      <c r="E7659" s="451" t="s">
        <v>12320</v>
      </c>
      <c r="F7659" s="451" t="s">
        <v>12321</v>
      </c>
      <c r="G7659" s="451"/>
      <c r="H7659" s="451"/>
      <c r="I7659" s="451"/>
      <c r="J7659" s="451"/>
      <c r="K7659" s="451"/>
    </row>
    <row r="7660" spans="1:11">
      <c r="A7660" s="450" t="s">
        <v>20635</v>
      </c>
      <c r="B7660" s="450" t="s">
        <v>12322</v>
      </c>
      <c r="C7660" s="450" t="s">
        <v>12323</v>
      </c>
      <c r="D7660" s="450" t="s">
        <v>12324</v>
      </c>
      <c r="E7660" s="450"/>
      <c r="F7660" s="450" t="s">
        <v>12326</v>
      </c>
      <c r="G7660" s="450" t="s">
        <v>22877</v>
      </c>
      <c r="H7660" s="450" t="s">
        <v>22878</v>
      </c>
      <c r="I7660" s="450" t="s">
        <v>12324</v>
      </c>
      <c r="J7660" s="450" t="s">
        <v>36938</v>
      </c>
      <c r="K7660" s="450"/>
    </row>
    <row r="7661" spans="1:11">
      <c r="A7661" s="451" t="s">
        <v>20635</v>
      </c>
      <c r="B7661" s="451" t="s">
        <v>12322</v>
      </c>
      <c r="C7661" s="451" t="s">
        <v>12323</v>
      </c>
      <c r="D7661" s="451" t="s">
        <v>12324</v>
      </c>
      <c r="E7661" s="451" t="s">
        <v>12325</v>
      </c>
      <c r="F7661" s="451" t="s">
        <v>12326</v>
      </c>
      <c r="G7661" s="451"/>
      <c r="H7661" s="451"/>
      <c r="I7661" s="451"/>
      <c r="J7661" s="451"/>
      <c r="K7661" s="451"/>
    </row>
    <row r="7662" spans="1:11">
      <c r="A7662" s="450" t="s">
        <v>20636</v>
      </c>
      <c r="B7662" s="450" t="s">
        <v>12327</v>
      </c>
      <c r="C7662" s="450" t="s">
        <v>12328</v>
      </c>
      <c r="D7662" s="450" t="s">
        <v>12329</v>
      </c>
      <c r="E7662" s="450"/>
      <c r="F7662" s="450" t="s">
        <v>12331</v>
      </c>
      <c r="G7662" s="450" t="s">
        <v>22882</v>
      </c>
      <c r="H7662" s="450" t="s">
        <v>22883</v>
      </c>
      <c r="I7662" s="450" t="s">
        <v>27394</v>
      </c>
      <c r="J7662" s="450" t="s">
        <v>27395</v>
      </c>
      <c r="K7662" s="450"/>
    </row>
    <row r="7663" spans="1:11">
      <c r="A7663" s="451" t="s">
        <v>20636</v>
      </c>
      <c r="B7663" s="451" t="s">
        <v>12327</v>
      </c>
      <c r="C7663" s="451" t="s">
        <v>12328</v>
      </c>
      <c r="D7663" s="451" t="s">
        <v>12329</v>
      </c>
      <c r="E7663" s="451" t="s">
        <v>12330</v>
      </c>
      <c r="F7663" s="451" t="s">
        <v>12331</v>
      </c>
      <c r="G7663" s="451"/>
      <c r="H7663" s="451"/>
      <c r="I7663" s="451"/>
      <c r="J7663" s="451"/>
      <c r="K7663" s="451"/>
    </row>
    <row r="7664" spans="1:11">
      <c r="A7664" s="450" t="s">
        <v>20637</v>
      </c>
      <c r="B7664" s="450" t="s">
        <v>36939</v>
      </c>
      <c r="C7664" s="450" t="s">
        <v>12333</v>
      </c>
      <c r="D7664" s="450" t="s">
        <v>12334</v>
      </c>
      <c r="E7664" s="450"/>
      <c r="F7664" s="450" t="s">
        <v>12336</v>
      </c>
      <c r="G7664" s="450" t="s">
        <v>22877</v>
      </c>
      <c r="H7664" s="450" t="s">
        <v>22878</v>
      </c>
      <c r="I7664" s="450"/>
      <c r="J7664" s="450" t="s">
        <v>36940</v>
      </c>
      <c r="K7664" s="450"/>
    </row>
    <row r="7665" spans="1:11">
      <c r="A7665" s="451" t="s">
        <v>20637</v>
      </c>
      <c r="B7665" s="451" t="s">
        <v>12332</v>
      </c>
      <c r="C7665" s="451" t="s">
        <v>12333</v>
      </c>
      <c r="D7665" s="451" t="s">
        <v>12334</v>
      </c>
      <c r="E7665" s="451" t="s">
        <v>12335</v>
      </c>
      <c r="F7665" s="451" t="s">
        <v>12336</v>
      </c>
      <c r="G7665" s="451"/>
      <c r="H7665" s="451"/>
      <c r="I7665" s="451"/>
      <c r="J7665" s="451"/>
      <c r="K7665" s="451"/>
    </row>
    <row r="7666" spans="1:11">
      <c r="A7666" s="450" t="s">
        <v>20638</v>
      </c>
      <c r="B7666" s="450" t="s">
        <v>12337</v>
      </c>
      <c r="C7666" s="450" t="s">
        <v>12338</v>
      </c>
      <c r="D7666" s="450" t="s">
        <v>12339</v>
      </c>
      <c r="E7666" s="450"/>
      <c r="F7666" s="450" t="s">
        <v>12341</v>
      </c>
      <c r="G7666" s="450" t="s">
        <v>22877</v>
      </c>
      <c r="H7666" s="450" t="s">
        <v>22878</v>
      </c>
      <c r="I7666" s="450" t="s">
        <v>12339</v>
      </c>
      <c r="J7666" s="450" t="s">
        <v>36941</v>
      </c>
      <c r="K7666" s="450"/>
    </row>
    <row r="7667" spans="1:11">
      <c r="A7667" s="451" t="s">
        <v>20638</v>
      </c>
      <c r="B7667" s="451" t="s">
        <v>12337</v>
      </c>
      <c r="C7667" s="451" t="s">
        <v>12338</v>
      </c>
      <c r="D7667" s="451" t="s">
        <v>12339</v>
      </c>
      <c r="E7667" s="451" t="s">
        <v>12340</v>
      </c>
      <c r="F7667" s="451" t="s">
        <v>12341</v>
      </c>
      <c r="G7667" s="451"/>
      <c r="H7667" s="451"/>
      <c r="I7667" s="451"/>
      <c r="J7667" s="451"/>
      <c r="K7667" s="451"/>
    </row>
    <row r="7668" spans="1:11">
      <c r="A7668" s="450" t="s">
        <v>20639</v>
      </c>
      <c r="B7668" s="450" t="s">
        <v>27396</v>
      </c>
      <c r="C7668" s="450" t="s">
        <v>12343</v>
      </c>
      <c r="D7668" s="450" t="s">
        <v>12344</v>
      </c>
      <c r="E7668" s="450"/>
      <c r="F7668" s="450" t="s">
        <v>12346</v>
      </c>
      <c r="G7668" s="450" t="s">
        <v>22877</v>
      </c>
      <c r="H7668" s="450" t="s">
        <v>22878</v>
      </c>
      <c r="I7668" s="450" t="s">
        <v>27397</v>
      </c>
      <c r="J7668" s="450" t="s">
        <v>27398</v>
      </c>
      <c r="K7668" s="450"/>
    </row>
    <row r="7669" spans="1:11">
      <c r="A7669" s="451" t="s">
        <v>20639</v>
      </c>
      <c r="B7669" s="451" t="s">
        <v>12342</v>
      </c>
      <c r="C7669" s="451" t="s">
        <v>12343</v>
      </c>
      <c r="D7669" s="451" t="s">
        <v>12344</v>
      </c>
      <c r="E7669" s="451" t="s">
        <v>12345</v>
      </c>
      <c r="F7669" s="451" t="s">
        <v>12346</v>
      </c>
      <c r="G7669" s="451"/>
      <c r="H7669" s="451"/>
      <c r="I7669" s="451"/>
      <c r="J7669" s="451"/>
      <c r="K7669" s="451"/>
    </row>
    <row r="7670" spans="1:11">
      <c r="A7670" s="450" t="s">
        <v>20640</v>
      </c>
      <c r="B7670" s="450" t="s">
        <v>12347</v>
      </c>
      <c r="C7670" s="450" t="s">
        <v>12348</v>
      </c>
      <c r="D7670" s="450" t="s">
        <v>12349</v>
      </c>
      <c r="E7670" s="450"/>
      <c r="F7670" s="450" t="s">
        <v>12351</v>
      </c>
      <c r="G7670" s="450" t="s">
        <v>22877</v>
      </c>
      <c r="H7670" s="450" t="s">
        <v>22878</v>
      </c>
      <c r="I7670" s="450" t="s">
        <v>12349</v>
      </c>
      <c r="J7670" s="450" t="s">
        <v>36942</v>
      </c>
      <c r="K7670" s="450"/>
    </row>
    <row r="7671" spans="1:11">
      <c r="A7671" s="451" t="s">
        <v>20640</v>
      </c>
      <c r="B7671" s="451" t="s">
        <v>12347</v>
      </c>
      <c r="C7671" s="451" t="s">
        <v>12348</v>
      </c>
      <c r="D7671" s="451" t="s">
        <v>12349</v>
      </c>
      <c r="E7671" s="451" t="s">
        <v>12350</v>
      </c>
      <c r="F7671" s="451" t="s">
        <v>12351</v>
      </c>
      <c r="G7671" s="451"/>
      <c r="H7671" s="451"/>
      <c r="I7671" s="451"/>
      <c r="J7671" s="451"/>
      <c r="K7671" s="451"/>
    </row>
    <row r="7672" spans="1:11">
      <c r="A7672" s="450" t="s">
        <v>20641</v>
      </c>
      <c r="B7672" s="450" t="s">
        <v>12352</v>
      </c>
      <c r="C7672" s="450" t="s">
        <v>12353</v>
      </c>
      <c r="D7672" s="450" t="s">
        <v>12354</v>
      </c>
      <c r="E7672" s="450"/>
      <c r="F7672" s="450" t="s">
        <v>12356</v>
      </c>
      <c r="G7672" s="450" t="s">
        <v>22877</v>
      </c>
      <c r="H7672" s="450" t="s">
        <v>22878</v>
      </c>
      <c r="I7672" s="450" t="s">
        <v>12354</v>
      </c>
      <c r="J7672" s="450" t="s">
        <v>36943</v>
      </c>
      <c r="K7672" s="450"/>
    </row>
    <row r="7673" spans="1:11">
      <c r="A7673" s="451" t="s">
        <v>20641</v>
      </c>
      <c r="B7673" s="451" t="s">
        <v>12352</v>
      </c>
      <c r="C7673" s="451" t="s">
        <v>12353</v>
      </c>
      <c r="D7673" s="451" t="s">
        <v>12354</v>
      </c>
      <c r="E7673" s="451" t="s">
        <v>12355</v>
      </c>
      <c r="F7673" s="451" t="s">
        <v>12356</v>
      </c>
      <c r="G7673" s="451"/>
      <c r="H7673" s="451"/>
      <c r="I7673" s="451"/>
      <c r="J7673" s="451"/>
      <c r="K7673" s="451"/>
    </row>
    <row r="7674" spans="1:11">
      <c r="A7674" s="450" t="s">
        <v>20642</v>
      </c>
      <c r="B7674" s="450" t="s">
        <v>12357</v>
      </c>
      <c r="C7674" s="450" t="s">
        <v>12358</v>
      </c>
      <c r="D7674" s="450" t="s">
        <v>12359</v>
      </c>
      <c r="E7674" s="450"/>
      <c r="F7674" s="450" t="s">
        <v>12361</v>
      </c>
      <c r="G7674" s="450" t="s">
        <v>22877</v>
      </c>
      <c r="H7674" s="450" t="s">
        <v>22878</v>
      </c>
      <c r="I7674" s="450" t="s">
        <v>12359</v>
      </c>
      <c r="J7674" s="450" t="s">
        <v>36944</v>
      </c>
      <c r="K7674" s="450"/>
    </row>
    <row r="7675" spans="1:11">
      <c r="A7675" s="451" t="s">
        <v>20642</v>
      </c>
      <c r="B7675" s="451" t="s">
        <v>12357</v>
      </c>
      <c r="C7675" s="451" t="s">
        <v>12358</v>
      </c>
      <c r="D7675" s="451" t="s">
        <v>12359</v>
      </c>
      <c r="E7675" s="451" t="s">
        <v>12360</v>
      </c>
      <c r="F7675" s="451" t="s">
        <v>12361</v>
      </c>
      <c r="G7675" s="451"/>
      <c r="H7675" s="451"/>
      <c r="I7675" s="451"/>
      <c r="J7675" s="451"/>
      <c r="K7675" s="451"/>
    </row>
    <row r="7676" spans="1:11">
      <c r="A7676" s="450" t="s">
        <v>20643</v>
      </c>
      <c r="B7676" s="450" t="s">
        <v>12362</v>
      </c>
      <c r="C7676" s="450" t="s">
        <v>12363</v>
      </c>
      <c r="D7676" s="450" t="s">
        <v>12364</v>
      </c>
      <c r="E7676" s="450"/>
      <c r="F7676" s="450" t="s">
        <v>12366</v>
      </c>
      <c r="G7676" s="450" t="s">
        <v>22877</v>
      </c>
      <c r="H7676" s="450" t="s">
        <v>22878</v>
      </c>
      <c r="I7676" s="450" t="s">
        <v>12364</v>
      </c>
      <c r="J7676" s="450" t="s">
        <v>36945</v>
      </c>
      <c r="K7676" s="450"/>
    </row>
    <row r="7677" spans="1:11">
      <c r="A7677" s="451" t="s">
        <v>20643</v>
      </c>
      <c r="B7677" s="451" t="s">
        <v>12362</v>
      </c>
      <c r="C7677" s="451" t="s">
        <v>12363</v>
      </c>
      <c r="D7677" s="451" t="s">
        <v>12364</v>
      </c>
      <c r="E7677" s="451" t="s">
        <v>12365</v>
      </c>
      <c r="F7677" s="451" t="s">
        <v>12366</v>
      </c>
      <c r="G7677" s="451"/>
      <c r="H7677" s="451"/>
      <c r="I7677" s="451"/>
      <c r="J7677" s="451"/>
      <c r="K7677" s="451"/>
    </row>
    <row r="7678" spans="1:11">
      <c r="A7678" s="450" t="s">
        <v>20644</v>
      </c>
      <c r="B7678" s="450" t="s">
        <v>12367</v>
      </c>
      <c r="C7678" s="450" t="s">
        <v>12368</v>
      </c>
      <c r="D7678" s="450" t="s">
        <v>12369</v>
      </c>
      <c r="E7678" s="450"/>
      <c r="F7678" s="450" t="s">
        <v>12371</v>
      </c>
      <c r="G7678" s="450" t="s">
        <v>22877</v>
      </c>
      <c r="H7678" s="450" t="s">
        <v>22878</v>
      </c>
      <c r="I7678" s="450" t="s">
        <v>12369</v>
      </c>
      <c r="J7678" s="450" t="s">
        <v>36946</v>
      </c>
      <c r="K7678" s="450"/>
    </row>
    <row r="7679" spans="1:11">
      <c r="A7679" s="451" t="s">
        <v>20644</v>
      </c>
      <c r="B7679" s="451" t="s">
        <v>12367</v>
      </c>
      <c r="C7679" s="451" t="s">
        <v>12368</v>
      </c>
      <c r="D7679" s="451" t="s">
        <v>12369</v>
      </c>
      <c r="E7679" s="451" t="s">
        <v>12370</v>
      </c>
      <c r="F7679" s="451" t="s">
        <v>12371</v>
      </c>
      <c r="G7679" s="451"/>
      <c r="H7679" s="451"/>
      <c r="I7679" s="451"/>
      <c r="J7679" s="451"/>
      <c r="K7679" s="451"/>
    </row>
    <row r="7680" spans="1:11">
      <c r="A7680" s="450" t="s">
        <v>20645</v>
      </c>
      <c r="B7680" s="450" t="s">
        <v>12372</v>
      </c>
      <c r="C7680" s="450" t="s">
        <v>12373</v>
      </c>
      <c r="D7680" s="450" t="s">
        <v>12374</v>
      </c>
      <c r="E7680" s="450"/>
      <c r="F7680" s="450" t="s">
        <v>12376</v>
      </c>
      <c r="G7680" s="450" t="s">
        <v>22882</v>
      </c>
      <c r="H7680" s="450" t="s">
        <v>22883</v>
      </c>
      <c r="I7680" s="450" t="s">
        <v>36947</v>
      </c>
      <c r="J7680" s="450" t="s">
        <v>36948</v>
      </c>
      <c r="K7680" s="450"/>
    </row>
    <row r="7681" spans="1:11">
      <c r="A7681" s="451" t="s">
        <v>20645</v>
      </c>
      <c r="B7681" s="451" t="s">
        <v>12372</v>
      </c>
      <c r="C7681" s="451" t="s">
        <v>12373</v>
      </c>
      <c r="D7681" s="451" t="s">
        <v>12374</v>
      </c>
      <c r="E7681" s="451" t="s">
        <v>12375</v>
      </c>
      <c r="F7681" s="451" t="s">
        <v>12376</v>
      </c>
      <c r="G7681" s="451"/>
      <c r="H7681" s="451"/>
      <c r="I7681" s="451"/>
      <c r="J7681" s="451"/>
      <c r="K7681" s="451"/>
    </row>
    <row r="7682" spans="1:11">
      <c r="A7682" s="450" t="s">
        <v>20646</v>
      </c>
      <c r="B7682" s="450" t="s">
        <v>12377</v>
      </c>
      <c r="C7682" s="450" t="s">
        <v>12378</v>
      </c>
      <c r="D7682" s="450" t="s">
        <v>12379</v>
      </c>
      <c r="E7682" s="450"/>
      <c r="F7682" s="450" t="s">
        <v>12381</v>
      </c>
      <c r="G7682" s="450" t="s">
        <v>22877</v>
      </c>
      <c r="H7682" s="450" t="s">
        <v>22878</v>
      </c>
      <c r="I7682" s="450" t="s">
        <v>12379</v>
      </c>
      <c r="J7682" s="450" t="s">
        <v>36949</v>
      </c>
      <c r="K7682" s="450"/>
    </row>
    <row r="7683" spans="1:11">
      <c r="A7683" s="451" t="s">
        <v>20646</v>
      </c>
      <c r="B7683" s="451" t="s">
        <v>12377</v>
      </c>
      <c r="C7683" s="451" t="s">
        <v>12378</v>
      </c>
      <c r="D7683" s="451" t="s">
        <v>12379</v>
      </c>
      <c r="E7683" s="451" t="s">
        <v>12380</v>
      </c>
      <c r="F7683" s="451" t="s">
        <v>12381</v>
      </c>
      <c r="G7683" s="451"/>
      <c r="H7683" s="451"/>
      <c r="I7683" s="451"/>
      <c r="J7683" s="451"/>
      <c r="K7683" s="451"/>
    </row>
    <row r="7684" spans="1:11">
      <c r="A7684" s="450" t="s">
        <v>20647</v>
      </c>
      <c r="B7684" s="450" t="s">
        <v>12382</v>
      </c>
      <c r="C7684" s="450" t="s">
        <v>12383</v>
      </c>
      <c r="D7684" s="450" t="s">
        <v>12384</v>
      </c>
      <c r="E7684" s="450"/>
      <c r="F7684" s="450" t="s">
        <v>12386</v>
      </c>
      <c r="G7684" s="450" t="s">
        <v>36950</v>
      </c>
      <c r="H7684" s="450" t="s">
        <v>22878</v>
      </c>
      <c r="I7684" s="450" t="s">
        <v>36951</v>
      </c>
      <c r="J7684" s="450" t="s">
        <v>12382</v>
      </c>
      <c r="K7684" s="450"/>
    </row>
    <row r="7685" spans="1:11">
      <c r="A7685" s="451" t="s">
        <v>20647</v>
      </c>
      <c r="B7685" s="451" t="s">
        <v>12382</v>
      </c>
      <c r="C7685" s="451" t="s">
        <v>12383</v>
      </c>
      <c r="D7685" s="451" t="s">
        <v>12384</v>
      </c>
      <c r="E7685" s="451" t="s">
        <v>12385</v>
      </c>
      <c r="F7685" s="451" t="s">
        <v>12386</v>
      </c>
      <c r="G7685" s="451"/>
      <c r="H7685" s="451"/>
      <c r="I7685" s="451"/>
      <c r="J7685" s="451"/>
      <c r="K7685" s="451"/>
    </row>
    <row r="7686" spans="1:11">
      <c r="A7686" s="450" t="s">
        <v>20648</v>
      </c>
      <c r="B7686" s="450" t="s">
        <v>12387</v>
      </c>
      <c r="C7686" s="450" t="s">
        <v>12388</v>
      </c>
      <c r="D7686" s="450" t="s">
        <v>12389</v>
      </c>
      <c r="E7686" s="450"/>
      <c r="F7686" s="450" t="s">
        <v>12391</v>
      </c>
      <c r="G7686" s="450" t="s">
        <v>22877</v>
      </c>
      <c r="H7686" s="450" t="s">
        <v>22878</v>
      </c>
      <c r="I7686" s="450" t="s">
        <v>27399</v>
      </c>
      <c r="J7686" s="450" t="s">
        <v>36952</v>
      </c>
      <c r="K7686" s="450"/>
    </row>
    <row r="7687" spans="1:11">
      <c r="A7687" s="451" t="s">
        <v>20648</v>
      </c>
      <c r="B7687" s="451" t="s">
        <v>12387</v>
      </c>
      <c r="C7687" s="451" t="s">
        <v>12388</v>
      </c>
      <c r="D7687" s="451" t="s">
        <v>12389</v>
      </c>
      <c r="E7687" s="451" t="s">
        <v>12390</v>
      </c>
      <c r="F7687" s="451" t="s">
        <v>12391</v>
      </c>
      <c r="G7687" s="451"/>
      <c r="H7687" s="451"/>
      <c r="I7687" s="451"/>
      <c r="J7687" s="451"/>
      <c r="K7687" s="451"/>
    </row>
    <row r="7688" spans="1:11">
      <c r="A7688" s="450" t="s">
        <v>20649</v>
      </c>
      <c r="B7688" s="450" t="s">
        <v>12392</v>
      </c>
      <c r="C7688" s="450" t="s">
        <v>12393</v>
      </c>
      <c r="D7688" s="450" t="s">
        <v>12394</v>
      </c>
      <c r="E7688" s="450"/>
      <c r="F7688" s="450" t="s">
        <v>12396</v>
      </c>
      <c r="G7688" s="450" t="s">
        <v>22882</v>
      </c>
      <c r="H7688" s="450" t="s">
        <v>22883</v>
      </c>
      <c r="I7688" s="450" t="s">
        <v>12394</v>
      </c>
      <c r="J7688" s="450" t="s">
        <v>36953</v>
      </c>
      <c r="K7688" s="450"/>
    </row>
    <row r="7689" spans="1:11">
      <c r="A7689" s="451" t="s">
        <v>20649</v>
      </c>
      <c r="B7689" s="451" t="s">
        <v>12392</v>
      </c>
      <c r="C7689" s="451" t="s">
        <v>12393</v>
      </c>
      <c r="D7689" s="451" t="s">
        <v>12394</v>
      </c>
      <c r="E7689" s="451" t="s">
        <v>12395</v>
      </c>
      <c r="F7689" s="451" t="s">
        <v>12396</v>
      </c>
      <c r="G7689" s="451"/>
      <c r="H7689" s="451"/>
      <c r="I7689" s="451"/>
      <c r="J7689" s="451"/>
      <c r="K7689" s="451"/>
    </row>
    <row r="7690" spans="1:11">
      <c r="A7690" s="450" t="s">
        <v>20650</v>
      </c>
      <c r="B7690" s="450" t="s">
        <v>12397</v>
      </c>
      <c r="C7690" s="450" t="s">
        <v>12398</v>
      </c>
      <c r="D7690" s="450" t="s">
        <v>12399</v>
      </c>
      <c r="E7690" s="450"/>
      <c r="F7690" s="450" t="s">
        <v>12401</v>
      </c>
      <c r="G7690" s="450" t="s">
        <v>22877</v>
      </c>
      <c r="H7690" s="450" t="s">
        <v>22878</v>
      </c>
      <c r="I7690" s="450" t="s">
        <v>12399</v>
      </c>
      <c r="J7690" s="450" t="s">
        <v>36954</v>
      </c>
      <c r="K7690" s="450"/>
    </row>
    <row r="7691" spans="1:11">
      <c r="A7691" s="451" t="s">
        <v>20650</v>
      </c>
      <c r="B7691" s="451" t="s">
        <v>12397</v>
      </c>
      <c r="C7691" s="451" t="s">
        <v>12398</v>
      </c>
      <c r="D7691" s="451" t="s">
        <v>12399</v>
      </c>
      <c r="E7691" s="451" t="s">
        <v>12400</v>
      </c>
      <c r="F7691" s="451" t="s">
        <v>12401</v>
      </c>
      <c r="G7691" s="451"/>
      <c r="H7691" s="451"/>
      <c r="I7691" s="451"/>
      <c r="J7691" s="451"/>
      <c r="K7691" s="451"/>
    </row>
    <row r="7692" spans="1:11">
      <c r="A7692" s="450" t="s">
        <v>20651</v>
      </c>
      <c r="B7692" s="450" t="s">
        <v>12402</v>
      </c>
      <c r="C7692" s="450" t="s">
        <v>12403</v>
      </c>
      <c r="D7692" s="450" t="s">
        <v>12404</v>
      </c>
      <c r="E7692" s="450"/>
      <c r="F7692" s="450" t="s">
        <v>12406</v>
      </c>
      <c r="G7692" s="450" t="s">
        <v>22877</v>
      </c>
      <c r="H7692" s="450" t="s">
        <v>22878</v>
      </c>
      <c r="I7692" s="450" t="s">
        <v>12404</v>
      </c>
      <c r="J7692" s="450" t="s">
        <v>36955</v>
      </c>
      <c r="K7692" s="450"/>
    </row>
    <row r="7693" spans="1:11">
      <c r="A7693" s="451" t="s">
        <v>20651</v>
      </c>
      <c r="B7693" s="451" t="s">
        <v>12402</v>
      </c>
      <c r="C7693" s="451" t="s">
        <v>12403</v>
      </c>
      <c r="D7693" s="451" t="s">
        <v>12404</v>
      </c>
      <c r="E7693" s="451" t="s">
        <v>12405</v>
      </c>
      <c r="F7693" s="451" t="s">
        <v>12406</v>
      </c>
      <c r="G7693" s="451"/>
      <c r="H7693" s="451"/>
      <c r="I7693" s="451"/>
      <c r="J7693" s="451"/>
      <c r="K7693" s="451"/>
    </row>
    <row r="7694" spans="1:11">
      <c r="A7694" s="450" t="s">
        <v>20652</v>
      </c>
      <c r="B7694" s="450" t="s">
        <v>12407</v>
      </c>
      <c r="C7694" s="450" t="s">
        <v>12408</v>
      </c>
      <c r="D7694" s="450" t="s">
        <v>12409</v>
      </c>
      <c r="E7694" s="450"/>
      <c r="F7694" s="450" t="s">
        <v>12411</v>
      </c>
      <c r="G7694" s="450" t="s">
        <v>22877</v>
      </c>
      <c r="H7694" s="450" t="s">
        <v>22878</v>
      </c>
      <c r="I7694" s="450" t="s">
        <v>36956</v>
      </c>
      <c r="J7694" s="450" t="s">
        <v>36957</v>
      </c>
      <c r="K7694" s="450"/>
    </row>
    <row r="7695" spans="1:11">
      <c r="A7695" s="451" t="s">
        <v>20652</v>
      </c>
      <c r="B7695" s="451" t="s">
        <v>12407</v>
      </c>
      <c r="C7695" s="451" t="s">
        <v>12408</v>
      </c>
      <c r="D7695" s="451" t="s">
        <v>12409</v>
      </c>
      <c r="E7695" s="451" t="s">
        <v>12410</v>
      </c>
      <c r="F7695" s="451" t="s">
        <v>12411</v>
      </c>
      <c r="G7695" s="451"/>
      <c r="H7695" s="451"/>
      <c r="I7695" s="451"/>
      <c r="J7695" s="451"/>
      <c r="K7695" s="451"/>
    </row>
    <row r="7696" spans="1:11">
      <c r="A7696" s="450" t="s">
        <v>20653</v>
      </c>
      <c r="B7696" s="450" t="s">
        <v>12412</v>
      </c>
      <c r="C7696" s="450" t="s">
        <v>12413</v>
      </c>
      <c r="D7696" s="450" t="s">
        <v>12414</v>
      </c>
      <c r="E7696" s="450"/>
      <c r="F7696" s="450" t="s">
        <v>12416</v>
      </c>
      <c r="G7696" s="450" t="s">
        <v>22877</v>
      </c>
      <c r="H7696" s="450" t="s">
        <v>22878</v>
      </c>
      <c r="I7696" s="450" t="s">
        <v>12414</v>
      </c>
      <c r="J7696" s="450" t="s">
        <v>36958</v>
      </c>
      <c r="K7696" s="450"/>
    </row>
    <row r="7697" spans="1:11">
      <c r="A7697" s="451" t="s">
        <v>20653</v>
      </c>
      <c r="B7697" s="451" t="s">
        <v>12412</v>
      </c>
      <c r="C7697" s="451" t="s">
        <v>12413</v>
      </c>
      <c r="D7697" s="451" t="s">
        <v>12414</v>
      </c>
      <c r="E7697" s="451" t="s">
        <v>12415</v>
      </c>
      <c r="F7697" s="451" t="s">
        <v>12416</v>
      </c>
      <c r="G7697" s="451"/>
      <c r="H7697" s="451"/>
      <c r="I7697" s="451"/>
      <c r="J7697" s="451"/>
      <c r="K7697" s="451"/>
    </row>
    <row r="7698" spans="1:11">
      <c r="A7698" s="450" t="s">
        <v>20654</v>
      </c>
      <c r="B7698" s="450" t="s">
        <v>12417</v>
      </c>
      <c r="C7698" s="450" t="s">
        <v>12418</v>
      </c>
      <c r="D7698" s="450" t="s">
        <v>12419</v>
      </c>
      <c r="E7698" s="450"/>
      <c r="F7698" s="450" t="s">
        <v>12421</v>
      </c>
      <c r="G7698" s="450" t="s">
        <v>22877</v>
      </c>
      <c r="H7698" s="450" t="s">
        <v>22878</v>
      </c>
      <c r="I7698" s="450" t="s">
        <v>12419</v>
      </c>
      <c r="J7698" s="450" t="s">
        <v>36959</v>
      </c>
      <c r="K7698" s="450"/>
    </row>
    <row r="7699" spans="1:11">
      <c r="A7699" s="451" t="s">
        <v>20654</v>
      </c>
      <c r="B7699" s="451" t="s">
        <v>12417</v>
      </c>
      <c r="C7699" s="451" t="s">
        <v>12418</v>
      </c>
      <c r="D7699" s="451" t="s">
        <v>12419</v>
      </c>
      <c r="E7699" s="451" t="s">
        <v>12420</v>
      </c>
      <c r="F7699" s="451" t="s">
        <v>12421</v>
      </c>
      <c r="G7699" s="451"/>
      <c r="H7699" s="451"/>
      <c r="I7699" s="451"/>
      <c r="J7699" s="451"/>
      <c r="K7699" s="451"/>
    </row>
    <row r="7700" spans="1:11">
      <c r="A7700" s="450" t="s">
        <v>20655</v>
      </c>
      <c r="B7700" s="450" t="s">
        <v>12422</v>
      </c>
      <c r="C7700" s="450" t="s">
        <v>12423</v>
      </c>
      <c r="D7700" s="450" t="s">
        <v>12424</v>
      </c>
      <c r="E7700" s="450"/>
      <c r="F7700" s="450" t="s">
        <v>12426</v>
      </c>
      <c r="G7700" s="450" t="s">
        <v>22877</v>
      </c>
      <c r="H7700" s="450" t="s">
        <v>22878</v>
      </c>
      <c r="I7700" s="450" t="s">
        <v>36960</v>
      </c>
      <c r="J7700" s="450" t="s">
        <v>36961</v>
      </c>
      <c r="K7700" s="450"/>
    </row>
    <row r="7701" spans="1:11">
      <c r="A7701" s="451" t="s">
        <v>20655</v>
      </c>
      <c r="B7701" s="451" t="s">
        <v>12422</v>
      </c>
      <c r="C7701" s="451" t="s">
        <v>12423</v>
      </c>
      <c r="D7701" s="451" t="s">
        <v>12424</v>
      </c>
      <c r="E7701" s="451" t="s">
        <v>12425</v>
      </c>
      <c r="F7701" s="451" t="s">
        <v>12426</v>
      </c>
      <c r="G7701" s="451"/>
      <c r="H7701" s="451"/>
      <c r="I7701" s="451"/>
      <c r="J7701" s="451"/>
      <c r="K7701" s="451"/>
    </row>
    <row r="7702" spans="1:11">
      <c r="A7702" s="450" t="s">
        <v>20656</v>
      </c>
      <c r="B7702" s="450" t="s">
        <v>12427</v>
      </c>
      <c r="C7702" s="450" t="s">
        <v>12428</v>
      </c>
      <c r="D7702" s="450" t="s">
        <v>12429</v>
      </c>
      <c r="E7702" s="450"/>
      <c r="F7702" s="450" t="s">
        <v>12431</v>
      </c>
      <c r="G7702" s="450" t="s">
        <v>22877</v>
      </c>
      <c r="H7702" s="450" t="s">
        <v>22878</v>
      </c>
      <c r="I7702" s="450" t="s">
        <v>12429</v>
      </c>
      <c r="J7702" s="450" t="s">
        <v>36962</v>
      </c>
      <c r="K7702" s="450"/>
    </row>
    <row r="7703" spans="1:11">
      <c r="A7703" s="451" t="s">
        <v>20656</v>
      </c>
      <c r="B7703" s="451" t="s">
        <v>12427</v>
      </c>
      <c r="C7703" s="451" t="s">
        <v>12428</v>
      </c>
      <c r="D7703" s="451" t="s">
        <v>12429</v>
      </c>
      <c r="E7703" s="451" t="s">
        <v>12430</v>
      </c>
      <c r="F7703" s="451" t="s">
        <v>12431</v>
      </c>
      <c r="G7703" s="451"/>
      <c r="H7703" s="451"/>
      <c r="I7703" s="451"/>
      <c r="J7703" s="451"/>
      <c r="K7703" s="451"/>
    </row>
    <row r="7704" spans="1:11">
      <c r="A7704" s="450" t="s">
        <v>20657</v>
      </c>
      <c r="B7704" s="450" t="s">
        <v>12432</v>
      </c>
      <c r="C7704" s="450" t="s">
        <v>12433</v>
      </c>
      <c r="D7704" s="450" t="s">
        <v>12434</v>
      </c>
      <c r="E7704" s="450"/>
      <c r="F7704" s="450" t="s">
        <v>12436</v>
      </c>
      <c r="G7704" s="450" t="s">
        <v>22877</v>
      </c>
      <c r="H7704" s="450" t="s">
        <v>22878</v>
      </c>
      <c r="I7704" s="450" t="s">
        <v>12434</v>
      </c>
      <c r="J7704" s="450" t="s">
        <v>36963</v>
      </c>
      <c r="K7704" s="450"/>
    </row>
    <row r="7705" spans="1:11">
      <c r="A7705" s="451" t="s">
        <v>20657</v>
      </c>
      <c r="B7705" s="451" t="s">
        <v>12432</v>
      </c>
      <c r="C7705" s="451" t="s">
        <v>12433</v>
      </c>
      <c r="D7705" s="451" t="s">
        <v>12434</v>
      </c>
      <c r="E7705" s="451" t="s">
        <v>12435</v>
      </c>
      <c r="F7705" s="451" t="s">
        <v>12436</v>
      </c>
      <c r="G7705" s="451"/>
      <c r="H7705" s="451"/>
      <c r="I7705" s="451"/>
      <c r="J7705" s="451"/>
      <c r="K7705" s="451"/>
    </row>
    <row r="7706" spans="1:11">
      <c r="A7706" s="450" t="s">
        <v>20658</v>
      </c>
      <c r="B7706" s="450" t="s">
        <v>12437</v>
      </c>
      <c r="C7706" s="450" t="s">
        <v>12438</v>
      </c>
      <c r="D7706" s="450" t="s">
        <v>12439</v>
      </c>
      <c r="E7706" s="450"/>
      <c r="F7706" s="450" t="s">
        <v>12441</v>
      </c>
      <c r="G7706" s="450" t="s">
        <v>22877</v>
      </c>
      <c r="H7706" s="450" t="s">
        <v>22878</v>
      </c>
      <c r="I7706" s="450" t="s">
        <v>36964</v>
      </c>
      <c r="J7706" s="450" t="s">
        <v>36965</v>
      </c>
      <c r="K7706" s="450"/>
    </row>
    <row r="7707" spans="1:11">
      <c r="A7707" s="451" t="s">
        <v>20658</v>
      </c>
      <c r="B7707" s="451" t="s">
        <v>12437</v>
      </c>
      <c r="C7707" s="451" t="s">
        <v>12438</v>
      </c>
      <c r="D7707" s="451" t="s">
        <v>12439</v>
      </c>
      <c r="E7707" s="451" t="s">
        <v>12440</v>
      </c>
      <c r="F7707" s="451" t="s">
        <v>12441</v>
      </c>
      <c r="G7707" s="451"/>
      <c r="H7707" s="451"/>
      <c r="I7707" s="451"/>
      <c r="J7707" s="451"/>
      <c r="K7707" s="451"/>
    </row>
    <row r="7708" spans="1:11">
      <c r="A7708" s="450" t="s">
        <v>20659</v>
      </c>
      <c r="B7708" s="450" t="s">
        <v>12442</v>
      </c>
      <c r="C7708" s="450" t="s">
        <v>12443</v>
      </c>
      <c r="D7708" s="450" t="s">
        <v>12444</v>
      </c>
      <c r="E7708" s="450"/>
      <c r="F7708" s="450" t="s">
        <v>12446</v>
      </c>
      <c r="G7708" s="450" t="s">
        <v>22877</v>
      </c>
      <c r="H7708" s="450" t="s">
        <v>22878</v>
      </c>
      <c r="I7708" s="450" t="s">
        <v>36966</v>
      </c>
      <c r="J7708" s="450" t="s">
        <v>36967</v>
      </c>
      <c r="K7708" s="450"/>
    </row>
    <row r="7709" spans="1:11">
      <c r="A7709" s="451" t="s">
        <v>20659</v>
      </c>
      <c r="B7709" s="451" t="s">
        <v>12442</v>
      </c>
      <c r="C7709" s="451" t="s">
        <v>12443</v>
      </c>
      <c r="D7709" s="451" t="s">
        <v>12444</v>
      </c>
      <c r="E7709" s="451" t="s">
        <v>12445</v>
      </c>
      <c r="F7709" s="451" t="s">
        <v>12446</v>
      </c>
      <c r="G7709" s="451"/>
      <c r="H7709" s="451"/>
      <c r="I7709" s="451"/>
      <c r="J7709" s="451"/>
      <c r="K7709" s="451"/>
    </row>
    <row r="7710" spans="1:11">
      <c r="A7710" s="450" t="s">
        <v>20660</v>
      </c>
      <c r="B7710" s="450" t="s">
        <v>12447</v>
      </c>
      <c r="C7710" s="450" t="s">
        <v>12448</v>
      </c>
      <c r="D7710" s="450" t="s">
        <v>12449</v>
      </c>
      <c r="E7710" s="450"/>
      <c r="F7710" s="450" t="s">
        <v>12451</v>
      </c>
      <c r="G7710" s="450" t="s">
        <v>22877</v>
      </c>
      <c r="H7710" s="450" t="s">
        <v>22878</v>
      </c>
      <c r="I7710" s="450" t="s">
        <v>12449</v>
      </c>
      <c r="J7710" s="450" t="s">
        <v>36968</v>
      </c>
      <c r="K7710" s="450"/>
    </row>
    <row r="7711" spans="1:11">
      <c r="A7711" s="451" t="s">
        <v>20660</v>
      </c>
      <c r="B7711" s="451" t="s">
        <v>12447</v>
      </c>
      <c r="C7711" s="451" t="s">
        <v>12448</v>
      </c>
      <c r="D7711" s="451" t="s">
        <v>12449</v>
      </c>
      <c r="E7711" s="451" t="s">
        <v>12450</v>
      </c>
      <c r="F7711" s="451" t="s">
        <v>12451</v>
      </c>
      <c r="G7711" s="451"/>
      <c r="H7711" s="451"/>
      <c r="I7711" s="451"/>
      <c r="J7711" s="451"/>
      <c r="K7711" s="451"/>
    </row>
    <row r="7712" spans="1:11">
      <c r="A7712" s="450" t="s">
        <v>20661</v>
      </c>
      <c r="B7712" s="450" t="s">
        <v>12452</v>
      </c>
      <c r="C7712" s="450" t="s">
        <v>12453</v>
      </c>
      <c r="D7712" s="450" t="s">
        <v>12454</v>
      </c>
      <c r="E7712" s="450"/>
      <c r="F7712" s="450" t="s">
        <v>12456</v>
      </c>
      <c r="G7712" s="450" t="s">
        <v>22877</v>
      </c>
      <c r="H7712" s="450" t="s">
        <v>22878</v>
      </c>
      <c r="I7712" s="450" t="s">
        <v>12454</v>
      </c>
      <c r="J7712" s="450" t="s">
        <v>27400</v>
      </c>
      <c r="K7712" s="450"/>
    </row>
    <row r="7713" spans="1:11">
      <c r="A7713" s="451" t="s">
        <v>20661</v>
      </c>
      <c r="B7713" s="451" t="s">
        <v>12452</v>
      </c>
      <c r="C7713" s="451" t="s">
        <v>12453</v>
      </c>
      <c r="D7713" s="451" t="s">
        <v>12454</v>
      </c>
      <c r="E7713" s="451" t="s">
        <v>12455</v>
      </c>
      <c r="F7713" s="451" t="s">
        <v>12456</v>
      </c>
      <c r="G7713" s="451"/>
      <c r="H7713" s="451"/>
      <c r="I7713" s="451"/>
      <c r="J7713" s="451"/>
      <c r="K7713" s="451"/>
    </row>
    <row r="7714" spans="1:11">
      <c r="A7714" s="450" t="s">
        <v>20662</v>
      </c>
      <c r="B7714" s="450" t="s">
        <v>12457</v>
      </c>
      <c r="C7714" s="450" t="s">
        <v>12458</v>
      </c>
      <c r="D7714" s="450" t="s">
        <v>12459</v>
      </c>
      <c r="E7714" s="450" t="s">
        <v>12460</v>
      </c>
      <c r="F7714" s="450" t="s">
        <v>12461</v>
      </c>
      <c r="G7714" s="450"/>
      <c r="H7714" s="450"/>
      <c r="I7714" s="450"/>
      <c r="J7714" s="450"/>
      <c r="K7714" s="450"/>
    </row>
    <row r="7715" spans="1:11">
      <c r="A7715" s="451" t="s">
        <v>27401</v>
      </c>
      <c r="B7715" s="451" t="s">
        <v>27402</v>
      </c>
      <c r="C7715" s="451" t="s">
        <v>27403</v>
      </c>
      <c r="D7715" s="451" t="s">
        <v>12459</v>
      </c>
      <c r="E7715" s="451"/>
      <c r="F7715" s="451" t="s">
        <v>12461</v>
      </c>
      <c r="G7715" s="451" t="s">
        <v>22877</v>
      </c>
      <c r="H7715" s="451" t="s">
        <v>22878</v>
      </c>
      <c r="I7715" s="451" t="s">
        <v>12459</v>
      </c>
      <c r="J7715" s="451" t="s">
        <v>27404</v>
      </c>
      <c r="K7715" s="451"/>
    </row>
    <row r="7716" spans="1:11">
      <c r="A7716" s="450" t="s">
        <v>20663</v>
      </c>
      <c r="B7716" s="450" t="s">
        <v>12462</v>
      </c>
      <c r="C7716" s="450" t="s">
        <v>12463</v>
      </c>
      <c r="D7716" s="450" t="s">
        <v>12464</v>
      </c>
      <c r="E7716" s="450"/>
      <c r="F7716" s="450" t="s">
        <v>12466</v>
      </c>
      <c r="G7716" s="450" t="s">
        <v>22877</v>
      </c>
      <c r="H7716" s="450" t="s">
        <v>22878</v>
      </c>
      <c r="I7716" s="450" t="s">
        <v>36969</v>
      </c>
      <c r="J7716" s="450" t="s">
        <v>36970</v>
      </c>
      <c r="K7716" s="450"/>
    </row>
    <row r="7717" spans="1:11">
      <c r="A7717" s="451" t="s">
        <v>20663</v>
      </c>
      <c r="B7717" s="451" t="s">
        <v>12462</v>
      </c>
      <c r="C7717" s="451" t="s">
        <v>12463</v>
      </c>
      <c r="D7717" s="451" t="s">
        <v>12464</v>
      </c>
      <c r="E7717" s="451" t="s">
        <v>12465</v>
      </c>
      <c r="F7717" s="451" t="s">
        <v>12466</v>
      </c>
      <c r="G7717" s="451"/>
      <c r="H7717" s="451"/>
      <c r="I7717" s="451"/>
      <c r="J7717" s="451"/>
      <c r="K7717" s="451"/>
    </row>
    <row r="7718" spans="1:11">
      <c r="A7718" s="450" t="s">
        <v>20664</v>
      </c>
      <c r="B7718" s="450" t="s">
        <v>12467</v>
      </c>
      <c r="C7718" s="450" t="s">
        <v>12468</v>
      </c>
      <c r="D7718" s="450" t="s">
        <v>12469</v>
      </c>
      <c r="E7718" s="450"/>
      <c r="F7718" s="450" t="s">
        <v>12471</v>
      </c>
      <c r="G7718" s="450" t="s">
        <v>22877</v>
      </c>
      <c r="H7718" s="450" t="s">
        <v>22878</v>
      </c>
      <c r="I7718" s="450" t="s">
        <v>36971</v>
      </c>
      <c r="J7718" s="450" t="s">
        <v>36972</v>
      </c>
      <c r="K7718" s="450"/>
    </row>
    <row r="7719" spans="1:11">
      <c r="A7719" s="451" t="s">
        <v>20664</v>
      </c>
      <c r="B7719" s="451" t="s">
        <v>12467</v>
      </c>
      <c r="C7719" s="451" t="s">
        <v>12468</v>
      </c>
      <c r="D7719" s="451" t="s">
        <v>12469</v>
      </c>
      <c r="E7719" s="451" t="s">
        <v>12470</v>
      </c>
      <c r="F7719" s="451" t="s">
        <v>12471</v>
      </c>
      <c r="G7719" s="451"/>
      <c r="H7719" s="451"/>
      <c r="I7719" s="451"/>
      <c r="J7719" s="451"/>
      <c r="K7719" s="451"/>
    </row>
    <row r="7720" spans="1:11">
      <c r="A7720" s="450" t="s">
        <v>20665</v>
      </c>
      <c r="B7720" s="450" t="s">
        <v>27405</v>
      </c>
      <c r="C7720" s="450" t="s">
        <v>12473</v>
      </c>
      <c r="D7720" s="450" t="s">
        <v>12474</v>
      </c>
      <c r="E7720" s="450"/>
      <c r="F7720" s="450" t="s">
        <v>12476</v>
      </c>
      <c r="G7720" s="450" t="s">
        <v>22877</v>
      </c>
      <c r="H7720" s="450" t="s">
        <v>22878</v>
      </c>
      <c r="I7720" s="450" t="s">
        <v>12474</v>
      </c>
      <c r="J7720" s="450" t="s">
        <v>27406</v>
      </c>
      <c r="K7720" s="450"/>
    </row>
    <row r="7721" spans="1:11">
      <c r="A7721" s="451" t="s">
        <v>20665</v>
      </c>
      <c r="B7721" s="451" t="s">
        <v>12472</v>
      </c>
      <c r="C7721" s="451" t="s">
        <v>12473</v>
      </c>
      <c r="D7721" s="451" t="s">
        <v>12474</v>
      </c>
      <c r="E7721" s="451" t="s">
        <v>12475</v>
      </c>
      <c r="F7721" s="451" t="s">
        <v>12476</v>
      </c>
      <c r="G7721" s="451"/>
      <c r="H7721" s="451"/>
      <c r="I7721" s="451"/>
      <c r="J7721" s="451"/>
      <c r="K7721" s="451"/>
    </row>
    <row r="7722" spans="1:11">
      <c r="A7722" s="450" t="s">
        <v>20666</v>
      </c>
      <c r="B7722" s="450" t="s">
        <v>12477</v>
      </c>
      <c r="C7722" s="450" t="s">
        <v>12478</v>
      </c>
      <c r="D7722" s="450" t="s">
        <v>12479</v>
      </c>
      <c r="E7722" s="450"/>
      <c r="F7722" s="450" t="s">
        <v>12481</v>
      </c>
      <c r="G7722" s="450" t="s">
        <v>22877</v>
      </c>
      <c r="H7722" s="450" t="s">
        <v>22878</v>
      </c>
      <c r="I7722" s="450" t="s">
        <v>12479</v>
      </c>
      <c r="J7722" s="450" t="s">
        <v>36973</v>
      </c>
      <c r="K7722" s="450"/>
    </row>
    <row r="7723" spans="1:11">
      <c r="A7723" s="451" t="s">
        <v>20666</v>
      </c>
      <c r="B7723" s="451" t="s">
        <v>12477</v>
      </c>
      <c r="C7723" s="451" t="s">
        <v>12478</v>
      </c>
      <c r="D7723" s="451" t="s">
        <v>12479</v>
      </c>
      <c r="E7723" s="451" t="s">
        <v>12480</v>
      </c>
      <c r="F7723" s="451" t="s">
        <v>12481</v>
      </c>
      <c r="G7723" s="451"/>
      <c r="H7723" s="451"/>
      <c r="I7723" s="451"/>
      <c r="J7723" s="451"/>
      <c r="K7723" s="451"/>
    </row>
    <row r="7724" spans="1:11">
      <c r="A7724" s="450" t="s">
        <v>20667</v>
      </c>
      <c r="B7724" s="450" t="s">
        <v>12482</v>
      </c>
      <c r="C7724" s="450" t="s">
        <v>12483</v>
      </c>
      <c r="D7724" s="450" t="s">
        <v>12484</v>
      </c>
      <c r="E7724" s="450"/>
      <c r="F7724" s="450" t="s">
        <v>12486</v>
      </c>
      <c r="G7724" s="450" t="s">
        <v>22877</v>
      </c>
      <c r="H7724" s="450" t="s">
        <v>22878</v>
      </c>
      <c r="I7724" s="450" t="s">
        <v>12484</v>
      </c>
      <c r="J7724" s="450" t="s">
        <v>36974</v>
      </c>
      <c r="K7724" s="450"/>
    </row>
    <row r="7725" spans="1:11">
      <c r="A7725" s="451" t="s">
        <v>20667</v>
      </c>
      <c r="B7725" s="451" t="s">
        <v>12482</v>
      </c>
      <c r="C7725" s="451" t="s">
        <v>12483</v>
      </c>
      <c r="D7725" s="451" t="s">
        <v>12484</v>
      </c>
      <c r="E7725" s="451" t="s">
        <v>12485</v>
      </c>
      <c r="F7725" s="451" t="s">
        <v>12486</v>
      </c>
      <c r="G7725" s="451"/>
      <c r="H7725" s="451"/>
      <c r="I7725" s="451"/>
      <c r="J7725" s="451"/>
      <c r="K7725" s="451"/>
    </row>
    <row r="7726" spans="1:11">
      <c r="A7726" s="450" t="s">
        <v>20668</v>
      </c>
      <c r="B7726" s="450" t="s">
        <v>12487</v>
      </c>
      <c r="C7726" s="450" t="s">
        <v>12488</v>
      </c>
      <c r="D7726" s="450" t="s">
        <v>12489</v>
      </c>
      <c r="E7726" s="450"/>
      <c r="F7726" s="450" t="s">
        <v>12491</v>
      </c>
      <c r="G7726" s="450" t="s">
        <v>22877</v>
      </c>
      <c r="H7726" s="450" t="s">
        <v>22878</v>
      </c>
      <c r="I7726" s="450" t="s">
        <v>12489</v>
      </c>
      <c r="J7726" s="450" t="s">
        <v>36975</v>
      </c>
      <c r="K7726" s="450"/>
    </row>
    <row r="7727" spans="1:11">
      <c r="A7727" s="451" t="s">
        <v>20668</v>
      </c>
      <c r="B7727" s="451" t="s">
        <v>12487</v>
      </c>
      <c r="C7727" s="451" t="s">
        <v>12488</v>
      </c>
      <c r="D7727" s="451" t="s">
        <v>12489</v>
      </c>
      <c r="E7727" s="451" t="s">
        <v>12490</v>
      </c>
      <c r="F7727" s="451" t="s">
        <v>12491</v>
      </c>
      <c r="G7727" s="451"/>
      <c r="H7727" s="451"/>
      <c r="I7727" s="451"/>
      <c r="J7727" s="451"/>
      <c r="K7727" s="451"/>
    </row>
    <row r="7728" spans="1:11">
      <c r="A7728" s="450" t="s">
        <v>20669</v>
      </c>
      <c r="B7728" s="450" t="s">
        <v>12492</v>
      </c>
      <c r="C7728" s="450" t="s">
        <v>12493</v>
      </c>
      <c r="D7728" s="450" t="s">
        <v>12494</v>
      </c>
      <c r="E7728" s="450"/>
      <c r="F7728" s="450" t="s">
        <v>12496</v>
      </c>
      <c r="G7728" s="450" t="s">
        <v>22877</v>
      </c>
      <c r="H7728" s="450" t="s">
        <v>22878</v>
      </c>
      <c r="I7728" s="450" t="s">
        <v>12494</v>
      </c>
      <c r="J7728" s="450" t="s">
        <v>36976</v>
      </c>
      <c r="K7728" s="450"/>
    </row>
    <row r="7729" spans="1:11">
      <c r="A7729" s="451" t="s">
        <v>20669</v>
      </c>
      <c r="B7729" s="451" t="s">
        <v>12492</v>
      </c>
      <c r="C7729" s="451" t="s">
        <v>12493</v>
      </c>
      <c r="D7729" s="451" t="s">
        <v>12494</v>
      </c>
      <c r="E7729" s="451" t="s">
        <v>12495</v>
      </c>
      <c r="F7729" s="451" t="s">
        <v>12496</v>
      </c>
      <c r="G7729" s="451"/>
      <c r="H7729" s="451"/>
      <c r="I7729" s="451"/>
      <c r="J7729" s="451"/>
      <c r="K7729" s="451"/>
    </row>
    <row r="7730" spans="1:11">
      <c r="A7730" s="450" t="s">
        <v>20670</v>
      </c>
      <c r="B7730" s="450" t="s">
        <v>12497</v>
      </c>
      <c r="C7730" s="450" t="s">
        <v>12498</v>
      </c>
      <c r="D7730" s="450" t="s">
        <v>12499</v>
      </c>
      <c r="E7730" s="450"/>
      <c r="F7730" s="450" t="s">
        <v>12501</v>
      </c>
      <c r="G7730" s="450" t="s">
        <v>22882</v>
      </c>
      <c r="H7730" s="450" t="s">
        <v>22883</v>
      </c>
      <c r="I7730" s="450" t="s">
        <v>12499</v>
      </c>
      <c r="J7730" s="450" t="s">
        <v>36977</v>
      </c>
      <c r="K7730" s="450"/>
    </row>
    <row r="7731" spans="1:11">
      <c r="A7731" s="451" t="s">
        <v>20670</v>
      </c>
      <c r="B7731" s="451" t="s">
        <v>12497</v>
      </c>
      <c r="C7731" s="451" t="s">
        <v>12498</v>
      </c>
      <c r="D7731" s="451" t="s">
        <v>12499</v>
      </c>
      <c r="E7731" s="451" t="s">
        <v>12500</v>
      </c>
      <c r="F7731" s="451" t="s">
        <v>12501</v>
      </c>
      <c r="G7731" s="451"/>
      <c r="H7731" s="451"/>
      <c r="I7731" s="451"/>
      <c r="J7731" s="451"/>
      <c r="K7731" s="451"/>
    </row>
    <row r="7732" spans="1:11">
      <c r="A7732" s="450" t="s">
        <v>20671</v>
      </c>
      <c r="B7732" s="450" t="s">
        <v>12502</v>
      </c>
      <c r="C7732" s="450" t="s">
        <v>12503</v>
      </c>
      <c r="D7732" s="450" t="s">
        <v>12504</v>
      </c>
      <c r="E7732" s="450"/>
      <c r="F7732" s="450" t="s">
        <v>12506</v>
      </c>
      <c r="G7732" s="450" t="s">
        <v>22877</v>
      </c>
      <c r="H7732" s="450" t="s">
        <v>22878</v>
      </c>
      <c r="I7732" s="450" t="s">
        <v>12504</v>
      </c>
      <c r="J7732" s="450" t="s">
        <v>36978</v>
      </c>
      <c r="K7732" s="450"/>
    </row>
    <row r="7733" spans="1:11">
      <c r="A7733" s="451" t="s">
        <v>20671</v>
      </c>
      <c r="B7733" s="451" t="s">
        <v>12502</v>
      </c>
      <c r="C7733" s="451" t="s">
        <v>12503</v>
      </c>
      <c r="D7733" s="451" t="s">
        <v>12504</v>
      </c>
      <c r="E7733" s="451" t="s">
        <v>12505</v>
      </c>
      <c r="F7733" s="451" t="s">
        <v>12506</v>
      </c>
      <c r="G7733" s="451"/>
      <c r="H7733" s="451"/>
      <c r="I7733" s="451"/>
      <c r="J7733" s="451"/>
      <c r="K7733" s="451"/>
    </row>
    <row r="7734" spans="1:11">
      <c r="A7734" s="450" t="s">
        <v>20672</v>
      </c>
      <c r="B7734" s="450" t="s">
        <v>12507</v>
      </c>
      <c r="C7734" s="450" t="s">
        <v>12508</v>
      </c>
      <c r="D7734" s="450" t="s">
        <v>12509</v>
      </c>
      <c r="E7734" s="450"/>
      <c r="F7734" s="450" t="s">
        <v>12511</v>
      </c>
      <c r="G7734" s="450" t="s">
        <v>22877</v>
      </c>
      <c r="H7734" s="450" t="s">
        <v>22878</v>
      </c>
      <c r="I7734" s="450" t="s">
        <v>12509</v>
      </c>
      <c r="J7734" s="450" t="s">
        <v>36979</v>
      </c>
      <c r="K7734" s="450"/>
    </row>
    <row r="7735" spans="1:11">
      <c r="A7735" s="451" t="s">
        <v>20672</v>
      </c>
      <c r="B7735" s="451" t="s">
        <v>12507</v>
      </c>
      <c r="C7735" s="451" t="s">
        <v>12508</v>
      </c>
      <c r="D7735" s="451" t="s">
        <v>12509</v>
      </c>
      <c r="E7735" s="451" t="s">
        <v>12510</v>
      </c>
      <c r="F7735" s="451" t="s">
        <v>12511</v>
      </c>
      <c r="G7735" s="451"/>
      <c r="H7735" s="451"/>
      <c r="I7735" s="451"/>
      <c r="J7735" s="451"/>
      <c r="K7735" s="451"/>
    </row>
    <row r="7736" spans="1:11">
      <c r="A7736" s="450" t="s">
        <v>20673</v>
      </c>
      <c r="B7736" s="450" t="s">
        <v>12512</v>
      </c>
      <c r="C7736" s="450" t="s">
        <v>12513</v>
      </c>
      <c r="D7736" s="450" t="s">
        <v>12514</v>
      </c>
      <c r="E7736" s="450"/>
      <c r="F7736" s="450" t="s">
        <v>12516</v>
      </c>
      <c r="G7736" s="450" t="s">
        <v>22877</v>
      </c>
      <c r="H7736" s="450" t="s">
        <v>22878</v>
      </c>
      <c r="I7736" s="450" t="s">
        <v>12514</v>
      </c>
      <c r="J7736" s="450" t="s">
        <v>36980</v>
      </c>
      <c r="K7736" s="450"/>
    </row>
    <row r="7737" spans="1:11">
      <c r="A7737" s="451" t="s">
        <v>20673</v>
      </c>
      <c r="B7737" s="451" t="s">
        <v>12512</v>
      </c>
      <c r="C7737" s="451" t="s">
        <v>12513</v>
      </c>
      <c r="D7737" s="451" t="s">
        <v>12514</v>
      </c>
      <c r="E7737" s="451" t="s">
        <v>12515</v>
      </c>
      <c r="F7737" s="451" t="s">
        <v>12516</v>
      </c>
      <c r="G7737" s="451"/>
      <c r="H7737" s="451"/>
      <c r="I7737" s="451"/>
      <c r="J7737" s="451"/>
      <c r="K7737" s="451"/>
    </row>
    <row r="7738" spans="1:11">
      <c r="A7738" s="450" t="s">
        <v>20674</v>
      </c>
      <c r="B7738" s="450" t="s">
        <v>12517</v>
      </c>
      <c r="C7738" s="450" t="s">
        <v>12518</v>
      </c>
      <c r="D7738" s="450" t="s">
        <v>12519</v>
      </c>
      <c r="E7738" s="450"/>
      <c r="F7738" s="450" t="s">
        <v>12521</v>
      </c>
      <c r="G7738" s="450" t="s">
        <v>22877</v>
      </c>
      <c r="H7738" s="450" t="s">
        <v>22878</v>
      </c>
      <c r="I7738" s="450" t="s">
        <v>12519</v>
      </c>
      <c r="J7738" s="450" t="s">
        <v>27407</v>
      </c>
      <c r="K7738" s="450"/>
    </row>
    <row r="7739" spans="1:11">
      <c r="A7739" s="451" t="s">
        <v>20674</v>
      </c>
      <c r="B7739" s="451" t="s">
        <v>12517</v>
      </c>
      <c r="C7739" s="451" t="s">
        <v>12518</v>
      </c>
      <c r="D7739" s="451" t="s">
        <v>12519</v>
      </c>
      <c r="E7739" s="451" t="s">
        <v>12520</v>
      </c>
      <c r="F7739" s="451" t="s">
        <v>12521</v>
      </c>
      <c r="G7739" s="451"/>
      <c r="H7739" s="451"/>
      <c r="I7739" s="451"/>
      <c r="J7739" s="451"/>
      <c r="K7739" s="451"/>
    </row>
    <row r="7740" spans="1:11">
      <c r="A7740" s="450" t="s">
        <v>20675</v>
      </c>
      <c r="B7740" s="450" t="s">
        <v>12522</v>
      </c>
      <c r="C7740" s="450" t="s">
        <v>7929</v>
      </c>
      <c r="D7740" s="450" t="s">
        <v>12523</v>
      </c>
      <c r="E7740" s="450"/>
      <c r="F7740" s="450" t="s">
        <v>12525</v>
      </c>
      <c r="G7740" s="450" t="s">
        <v>22877</v>
      </c>
      <c r="H7740" s="450" t="s">
        <v>22878</v>
      </c>
      <c r="I7740" s="450"/>
      <c r="J7740" s="450" t="s">
        <v>36981</v>
      </c>
      <c r="K7740" s="450"/>
    </row>
    <row r="7741" spans="1:11">
      <c r="A7741" s="451" t="s">
        <v>20675</v>
      </c>
      <c r="B7741" s="451" t="s">
        <v>12522</v>
      </c>
      <c r="C7741" s="451" t="s">
        <v>7929</v>
      </c>
      <c r="D7741" s="451" t="s">
        <v>12523</v>
      </c>
      <c r="E7741" s="451" t="s">
        <v>12524</v>
      </c>
      <c r="F7741" s="451" t="s">
        <v>12525</v>
      </c>
      <c r="G7741" s="451"/>
      <c r="H7741" s="451"/>
      <c r="I7741" s="451"/>
      <c r="J7741" s="451"/>
      <c r="K7741" s="451"/>
    </row>
    <row r="7742" spans="1:11">
      <c r="A7742" s="450" t="s">
        <v>20676</v>
      </c>
      <c r="B7742" s="450" t="s">
        <v>12526</v>
      </c>
      <c r="C7742" s="450" t="s">
        <v>12527</v>
      </c>
      <c r="D7742" s="450" t="s">
        <v>12528</v>
      </c>
      <c r="E7742" s="450"/>
      <c r="F7742" s="450" t="s">
        <v>12511</v>
      </c>
      <c r="G7742" s="450" t="s">
        <v>22877</v>
      </c>
      <c r="H7742" s="450" t="s">
        <v>22878</v>
      </c>
      <c r="I7742" s="450" t="s">
        <v>12528</v>
      </c>
      <c r="J7742" s="450" t="s">
        <v>36982</v>
      </c>
      <c r="K7742" s="450"/>
    </row>
    <row r="7743" spans="1:11">
      <c r="A7743" s="451" t="s">
        <v>20676</v>
      </c>
      <c r="B7743" s="451" t="s">
        <v>12526</v>
      </c>
      <c r="C7743" s="451" t="s">
        <v>12527</v>
      </c>
      <c r="D7743" s="451" t="s">
        <v>12528</v>
      </c>
      <c r="E7743" s="451" t="s">
        <v>12529</v>
      </c>
      <c r="F7743" s="451" t="s">
        <v>12511</v>
      </c>
      <c r="G7743" s="451"/>
      <c r="H7743" s="451"/>
      <c r="I7743" s="451"/>
      <c r="J7743" s="451"/>
      <c r="K7743" s="451"/>
    </row>
    <row r="7744" spans="1:11">
      <c r="A7744" s="450" t="s">
        <v>20677</v>
      </c>
      <c r="B7744" s="450" t="s">
        <v>12530</v>
      </c>
      <c r="C7744" s="450" t="s">
        <v>12531</v>
      </c>
      <c r="D7744" s="450" t="s">
        <v>12532</v>
      </c>
      <c r="E7744" s="450"/>
      <c r="F7744" s="450" t="s">
        <v>12534</v>
      </c>
      <c r="G7744" s="450" t="s">
        <v>22877</v>
      </c>
      <c r="H7744" s="450" t="s">
        <v>22878</v>
      </c>
      <c r="I7744" s="450" t="s">
        <v>12532</v>
      </c>
      <c r="J7744" s="450" t="s">
        <v>36983</v>
      </c>
      <c r="K7744" s="450"/>
    </row>
    <row r="7745" spans="1:11">
      <c r="A7745" s="451" t="s">
        <v>20677</v>
      </c>
      <c r="B7745" s="451" t="s">
        <v>12530</v>
      </c>
      <c r="C7745" s="451" t="s">
        <v>12531</v>
      </c>
      <c r="D7745" s="451" t="s">
        <v>12532</v>
      </c>
      <c r="E7745" s="451" t="s">
        <v>12533</v>
      </c>
      <c r="F7745" s="451" t="s">
        <v>12534</v>
      </c>
      <c r="G7745" s="451"/>
      <c r="H7745" s="451"/>
      <c r="I7745" s="451"/>
      <c r="J7745" s="451"/>
      <c r="K7745" s="451"/>
    </row>
    <row r="7746" spans="1:11">
      <c r="A7746" s="450" t="s">
        <v>20678</v>
      </c>
      <c r="B7746" s="450" t="s">
        <v>12535</v>
      </c>
      <c r="C7746" s="450" t="s">
        <v>12536</v>
      </c>
      <c r="D7746" s="450" t="s">
        <v>12537</v>
      </c>
      <c r="E7746" s="450"/>
      <c r="F7746" s="450" t="s">
        <v>12539</v>
      </c>
      <c r="G7746" s="450" t="s">
        <v>22877</v>
      </c>
      <c r="H7746" s="450" t="s">
        <v>22878</v>
      </c>
      <c r="I7746" s="450" t="s">
        <v>36984</v>
      </c>
      <c r="J7746" s="450" t="s">
        <v>36985</v>
      </c>
      <c r="K7746" s="450"/>
    </row>
    <row r="7747" spans="1:11">
      <c r="A7747" s="451" t="s">
        <v>20678</v>
      </c>
      <c r="B7747" s="451" t="s">
        <v>12535</v>
      </c>
      <c r="C7747" s="451" t="s">
        <v>12536</v>
      </c>
      <c r="D7747" s="451" t="s">
        <v>12537</v>
      </c>
      <c r="E7747" s="451" t="s">
        <v>12538</v>
      </c>
      <c r="F7747" s="451" t="s">
        <v>12539</v>
      </c>
      <c r="G7747" s="451"/>
      <c r="H7747" s="451"/>
      <c r="I7747" s="451"/>
      <c r="J7747" s="451"/>
      <c r="K7747" s="451"/>
    </row>
    <row r="7748" spans="1:11">
      <c r="A7748" s="450" t="s">
        <v>20679</v>
      </c>
      <c r="B7748" s="450" t="s">
        <v>27408</v>
      </c>
      <c r="C7748" s="450" t="s">
        <v>12541</v>
      </c>
      <c r="D7748" s="450" t="s">
        <v>12542</v>
      </c>
      <c r="E7748" s="450"/>
      <c r="F7748" s="450" t="s">
        <v>12544</v>
      </c>
      <c r="G7748" s="450" t="s">
        <v>22877</v>
      </c>
      <c r="H7748" s="450" t="s">
        <v>22878</v>
      </c>
      <c r="I7748" s="450" t="s">
        <v>12542</v>
      </c>
      <c r="J7748" s="450" t="s">
        <v>27409</v>
      </c>
      <c r="K7748" s="450"/>
    </row>
    <row r="7749" spans="1:11">
      <c r="A7749" s="451" t="s">
        <v>20679</v>
      </c>
      <c r="B7749" s="451" t="s">
        <v>12540</v>
      </c>
      <c r="C7749" s="451" t="s">
        <v>12541</v>
      </c>
      <c r="D7749" s="451" t="s">
        <v>12542</v>
      </c>
      <c r="E7749" s="451" t="s">
        <v>12543</v>
      </c>
      <c r="F7749" s="451" t="s">
        <v>12544</v>
      </c>
      <c r="G7749" s="451"/>
      <c r="H7749" s="451"/>
      <c r="I7749" s="451"/>
      <c r="J7749" s="451"/>
      <c r="K7749" s="451"/>
    </row>
    <row r="7750" spans="1:11">
      <c r="A7750" s="450" t="s">
        <v>20680</v>
      </c>
      <c r="B7750" s="450" t="s">
        <v>27410</v>
      </c>
      <c r="C7750" s="450" t="s">
        <v>12546</v>
      </c>
      <c r="D7750" s="450" t="s">
        <v>12547</v>
      </c>
      <c r="E7750" s="450"/>
      <c r="F7750" s="450" t="s">
        <v>12549</v>
      </c>
      <c r="G7750" s="450" t="s">
        <v>22877</v>
      </c>
      <c r="H7750" s="450" t="s">
        <v>22878</v>
      </c>
      <c r="I7750" s="450" t="s">
        <v>12547</v>
      </c>
      <c r="J7750" s="450" t="s">
        <v>27411</v>
      </c>
      <c r="K7750" s="450"/>
    </row>
    <row r="7751" spans="1:11">
      <c r="A7751" s="451" t="s">
        <v>20680</v>
      </c>
      <c r="B7751" s="451" t="s">
        <v>12545</v>
      </c>
      <c r="C7751" s="451" t="s">
        <v>12546</v>
      </c>
      <c r="D7751" s="451" t="s">
        <v>12547</v>
      </c>
      <c r="E7751" s="451" t="s">
        <v>12548</v>
      </c>
      <c r="F7751" s="451" t="s">
        <v>12549</v>
      </c>
      <c r="G7751" s="451"/>
      <c r="H7751" s="451"/>
      <c r="I7751" s="451"/>
      <c r="J7751" s="451"/>
      <c r="K7751" s="451"/>
    </row>
    <row r="7752" spans="1:11">
      <c r="A7752" s="450" t="s">
        <v>20681</v>
      </c>
      <c r="B7752" s="450" t="s">
        <v>12550</v>
      </c>
      <c r="C7752" s="450" t="s">
        <v>12551</v>
      </c>
      <c r="D7752" s="450" t="s">
        <v>12552</v>
      </c>
      <c r="E7752" s="450"/>
      <c r="F7752" s="450" t="s">
        <v>12554</v>
      </c>
      <c r="G7752" s="450" t="s">
        <v>22877</v>
      </c>
      <c r="H7752" s="450" t="s">
        <v>22878</v>
      </c>
      <c r="I7752" s="450" t="s">
        <v>36986</v>
      </c>
      <c r="J7752" s="450" t="s">
        <v>36987</v>
      </c>
      <c r="K7752" s="450"/>
    </row>
    <row r="7753" spans="1:11">
      <c r="A7753" s="451" t="s">
        <v>20681</v>
      </c>
      <c r="B7753" s="451" t="s">
        <v>12550</v>
      </c>
      <c r="C7753" s="451" t="s">
        <v>12551</v>
      </c>
      <c r="D7753" s="451" t="s">
        <v>12552</v>
      </c>
      <c r="E7753" s="451" t="s">
        <v>12553</v>
      </c>
      <c r="F7753" s="451" t="s">
        <v>12554</v>
      </c>
      <c r="G7753" s="451"/>
      <c r="H7753" s="451"/>
      <c r="I7753" s="451"/>
      <c r="J7753" s="451"/>
      <c r="K7753" s="451"/>
    </row>
    <row r="7754" spans="1:11">
      <c r="A7754" s="450" t="s">
        <v>20682</v>
      </c>
      <c r="B7754" s="450" t="s">
        <v>27412</v>
      </c>
      <c r="C7754" s="450" t="s">
        <v>12556</v>
      </c>
      <c r="D7754" s="450" t="s">
        <v>12557</v>
      </c>
      <c r="E7754" s="450"/>
      <c r="F7754" s="450" t="s">
        <v>12559</v>
      </c>
      <c r="G7754" s="450" t="s">
        <v>22877</v>
      </c>
      <c r="H7754" s="450" t="s">
        <v>22878</v>
      </c>
      <c r="I7754" s="450" t="s">
        <v>12557</v>
      </c>
      <c r="J7754" s="450" t="s">
        <v>27413</v>
      </c>
      <c r="K7754" s="450"/>
    </row>
    <row r="7755" spans="1:11">
      <c r="A7755" s="451" t="s">
        <v>20682</v>
      </c>
      <c r="B7755" s="451" t="s">
        <v>12555</v>
      </c>
      <c r="C7755" s="451" t="s">
        <v>12556</v>
      </c>
      <c r="D7755" s="451" t="s">
        <v>12557</v>
      </c>
      <c r="E7755" s="451" t="s">
        <v>12558</v>
      </c>
      <c r="F7755" s="451" t="s">
        <v>12559</v>
      </c>
      <c r="G7755" s="451"/>
      <c r="H7755" s="451"/>
      <c r="I7755" s="451"/>
      <c r="J7755" s="451"/>
      <c r="K7755" s="451"/>
    </row>
    <row r="7756" spans="1:11">
      <c r="A7756" s="450" t="s">
        <v>20683</v>
      </c>
      <c r="B7756" s="450" t="s">
        <v>12560</v>
      </c>
      <c r="C7756" s="450" t="s">
        <v>12561</v>
      </c>
      <c r="D7756" s="450" t="s">
        <v>12562</v>
      </c>
      <c r="E7756" s="450"/>
      <c r="F7756" s="450" t="s">
        <v>12564</v>
      </c>
      <c r="G7756" s="450" t="s">
        <v>22877</v>
      </c>
      <c r="H7756" s="450" t="s">
        <v>22878</v>
      </c>
      <c r="I7756" s="450" t="s">
        <v>36988</v>
      </c>
      <c r="J7756" s="450" t="s">
        <v>36989</v>
      </c>
      <c r="K7756" s="450"/>
    </row>
    <row r="7757" spans="1:11">
      <c r="A7757" s="451" t="s">
        <v>20683</v>
      </c>
      <c r="B7757" s="451" t="s">
        <v>12560</v>
      </c>
      <c r="C7757" s="451" t="s">
        <v>12561</v>
      </c>
      <c r="D7757" s="451" t="s">
        <v>12562</v>
      </c>
      <c r="E7757" s="451" t="s">
        <v>12563</v>
      </c>
      <c r="F7757" s="451" t="s">
        <v>12564</v>
      </c>
      <c r="G7757" s="451"/>
      <c r="H7757" s="451"/>
      <c r="I7757" s="451"/>
      <c r="J7757" s="451"/>
      <c r="K7757" s="451"/>
    </row>
    <row r="7758" spans="1:11">
      <c r="A7758" s="450" t="s">
        <v>20684</v>
      </c>
      <c r="B7758" s="450" t="s">
        <v>12565</v>
      </c>
      <c r="C7758" s="450" t="s">
        <v>12566</v>
      </c>
      <c r="D7758" s="450" t="s">
        <v>12567</v>
      </c>
      <c r="E7758" s="450"/>
      <c r="F7758" s="450" t="s">
        <v>12569</v>
      </c>
      <c r="G7758" s="450" t="s">
        <v>22877</v>
      </c>
      <c r="H7758" s="450" t="s">
        <v>22878</v>
      </c>
      <c r="I7758" s="450" t="s">
        <v>12567</v>
      </c>
      <c r="J7758" s="450" t="s">
        <v>36990</v>
      </c>
      <c r="K7758" s="450"/>
    </row>
    <row r="7759" spans="1:11">
      <c r="A7759" s="451" t="s">
        <v>20684</v>
      </c>
      <c r="B7759" s="451" t="s">
        <v>12565</v>
      </c>
      <c r="C7759" s="451" t="s">
        <v>12566</v>
      </c>
      <c r="D7759" s="451" t="s">
        <v>12567</v>
      </c>
      <c r="E7759" s="451" t="s">
        <v>12568</v>
      </c>
      <c r="F7759" s="451" t="s">
        <v>12569</v>
      </c>
      <c r="G7759" s="451"/>
      <c r="H7759" s="451"/>
      <c r="I7759" s="451"/>
      <c r="J7759" s="451"/>
      <c r="K7759" s="451"/>
    </row>
    <row r="7760" spans="1:11">
      <c r="A7760" s="450" t="s">
        <v>20685</v>
      </c>
      <c r="B7760" s="450" t="s">
        <v>27414</v>
      </c>
      <c r="C7760" s="450" t="s">
        <v>12571</v>
      </c>
      <c r="D7760" s="450" t="s">
        <v>12572</v>
      </c>
      <c r="E7760" s="450"/>
      <c r="F7760" s="450" t="s">
        <v>12574</v>
      </c>
      <c r="G7760" s="450" t="s">
        <v>22877</v>
      </c>
      <c r="H7760" s="450" t="s">
        <v>22878</v>
      </c>
      <c r="I7760" s="450" t="s">
        <v>12572</v>
      </c>
      <c r="J7760" s="450" t="s">
        <v>27415</v>
      </c>
      <c r="K7760" s="450"/>
    </row>
    <row r="7761" spans="1:11">
      <c r="A7761" s="451" t="s">
        <v>20685</v>
      </c>
      <c r="B7761" s="451" t="s">
        <v>12570</v>
      </c>
      <c r="C7761" s="451" t="s">
        <v>12571</v>
      </c>
      <c r="D7761" s="451" t="s">
        <v>12572</v>
      </c>
      <c r="E7761" s="451" t="s">
        <v>12573</v>
      </c>
      <c r="F7761" s="451" t="s">
        <v>12574</v>
      </c>
      <c r="G7761" s="451"/>
      <c r="H7761" s="451"/>
      <c r="I7761" s="451"/>
      <c r="J7761" s="451"/>
      <c r="K7761" s="451"/>
    </row>
    <row r="7762" spans="1:11">
      <c r="A7762" s="450" t="s">
        <v>20686</v>
      </c>
      <c r="B7762" s="450" t="s">
        <v>12575</v>
      </c>
      <c r="C7762" s="450" t="s">
        <v>12576</v>
      </c>
      <c r="D7762" s="450" t="s">
        <v>12577</v>
      </c>
      <c r="E7762" s="450"/>
      <c r="F7762" s="450" t="s">
        <v>12579</v>
      </c>
      <c r="G7762" s="450" t="s">
        <v>22877</v>
      </c>
      <c r="H7762" s="450" t="s">
        <v>22878</v>
      </c>
      <c r="I7762" s="450" t="s">
        <v>36991</v>
      </c>
      <c r="J7762" s="450" t="s">
        <v>36992</v>
      </c>
      <c r="K7762" s="450"/>
    </row>
    <row r="7763" spans="1:11">
      <c r="A7763" s="451" t="s">
        <v>20686</v>
      </c>
      <c r="B7763" s="451" t="s">
        <v>12575</v>
      </c>
      <c r="C7763" s="451" t="s">
        <v>12576</v>
      </c>
      <c r="D7763" s="451" t="s">
        <v>12577</v>
      </c>
      <c r="E7763" s="451" t="s">
        <v>12578</v>
      </c>
      <c r="F7763" s="451" t="s">
        <v>12579</v>
      </c>
      <c r="G7763" s="451"/>
      <c r="H7763" s="451"/>
      <c r="I7763" s="451"/>
      <c r="J7763" s="451"/>
      <c r="K7763" s="451"/>
    </row>
    <row r="7764" spans="1:11">
      <c r="A7764" s="450" t="s">
        <v>20687</v>
      </c>
      <c r="B7764" s="450" t="s">
        <v>12580</v>
      </c>
      <c r="C7764" s="450" t="s">
        <v>12581</v>
      </c>
      <c r="D7764" s="450" t="s">
        <v>12582</v>
      </c>
      <c r="E7764" s="450"/>
      <c r="F7764" s="450" t="s">
        <v>12584</v>
      </c>
      <c r="G7764" s="450" t="s">
        <v>22877</v>
      </c>
      <c r="H7764" s="450" t="s">
        <v>22878</v>
      </c>
      <c r="I7764" s="450" t="s">
        <v>36993</v>
      </c>
      <c r="J7764" s="450" t="s">
        <v>36994</v>
      </c>
      <c r="K7764" s="450"/>
    </row>
    <row r="7765" spans="1:11">
      <c r="A7765" s="451" t="s">
        <v>20687</v>
      </c>
      <c r="B7765" s="451" t="s">
        <v>12580</v>
      </c>
      <c r="C7765" s="451" t="s">
        <v>12581</v>
      </c>
      <c r="D7765" s="451" t="s">
        <v>12582</v>
      </c>
      <c r="E7765" s="451" t="s">
        <v>12583</v>
      </c>
      <c r="F7765" s="451" t="s">
        <v>12584</v>
      </c>
      <c r="G7765" s="451"/>
      <c r="H7765" s="451"/>
      <c r="I7765" s="451"/>
      <c r="J7765" s="451"/>
      <c r="K7765" s="451"/>
    </row>
    <row r="7766" spans="1:11">
      <c r="A7766" s="450" t="s">
        <v>20688</v>
      </c>
      <c r="B7766" s="450" t="s">
        <v>12585</v>
      </c>
      <c r="C7766" s="450" t="s">
        <v>12586</v>
      </c>
      <c r="D7766" s="450" t="s">
        <v>12587</v>
      </c>
      <c r="E7766" s="450"/>
      <c r="F7766" s="450" t="s">
        <v>12589</v>
      </c>
      <c r="G7766" s="450" t="s">
        <v>22877</v>
      </c>
      <c r="H7766" s="450" t="s">
        <v>22878</v>
      </c>
      <c r="I7766" s="450" t="s">
        <v>12587</v>
      </c>
      <c r="J7766" s="450" t="s">
        <v>36995</v>
      </c>
      <c r="K7766" s="450"/>
    </row>
    <row r="7767" spans="1:11">
      <c r="A7767" s="451" t="s">
        <v>20688</v>
      </c>
      <c r="B7767" s="451" t="s">
        <v>12585</v>
      </c>
      <c r="C7767" s="451" t="s">
        <v>12586</v>
      </c>
      <c r="D7767" s="451" t="s">
        <v>12587</v>
      </c>
      <c r="E7767" s="451" t="s">
        <v>12588</v>
      </c>
      <c r="F7767" s="451" t="s">
        <v>12589</v>
      </c>
      <c r="G7767" s="451"/>
      <c r="H7767" s="451"/>
      <c r="I7767" s="451"/>
      <c r="J7767" s="451"/>
      <c r="K7767" s="451"/>
    </row>
    <row r="7768" spans="1:11">
      <c r="A7768" s="450" t="s">
        <v>20689</v>
      </c>
      <c r="B7768" s="450" t="s">
        <v>12590</v>
      </c>
      <c r="C7768" s="450" t="s">
        <v>12591</v>
      </c>
      <c r="D7768" s="450" t="s">
        <v>12592</v>
      </c>
      <c r="E7768" s="450"/>
      <c r="F7768" s="450" t="s">
        <v>12594</v>
      </c>
      <c r="G7768" s="450" t="s">
        <v>22877</v>
      </c>
      <c r="H7768" s="450" t="s">
        <v>22878</v>
      </c>
      <c r="I7768" s="450" t="s">
        <v>12592</v>
      </c>
      <c r="J7768" s="450" t="s">
        <v>36996</v>
      </c>
      <c r="K7768" s="450"/>
    </row>
    <row r="7769" spans="1:11">
      <c r="A7769" s="451" t="s">
        <v>20689</v>
      </c>
      <c r="B7769" s="451" t="s">
        <v>12590</v>
      </c>
      <c r="C7769" s="451" t="s">
        <v>12591</v>
      </c>
      <c r="D7769" s="451" t="s">
        <v>12592</v>
      </c>
      <c r="E7769" s="451" t="s">
        <v>12593</v>
      </c>
      <c r="F7769" s="451" t="s">
        <v>12594</v>
      </c>
      <c r="G7769" s="451"/>
      <c r="H7769" s="451"/>
      <c r="I7769" s="451"/>
      <c r="J7769" s="451"/>
      <c r="K7769" s="451"/>
    </row>
    <row r="7770" spans="1:11">
      <c r="A7770" s="450" t="s">
        <v>20690</v>
      </c>
      <c r="B7770" s="450" t="s">
        <v>12595</v>
      </c>
      <c r="C7770" s="450" t="s">
        <v>12596</v>
      </c>
      <c r="D7770" s="450" t="s">
        <v>12597</v>
      </c>
      <c r="E7770" s="450"/>
      <c r="F7770" s="450" t="s">
        <v>12599</v>
      </c>
      <c r="G7770" s="450" t="s">
        <v>22877</v>
      </c>
      <c r="H7770" s="450" t="s">
        <v>22878</v>
      </c>
      <c r="I7770" s="450" t="s">
        <v>36997</v>
      </c>
      <c r="J7770" s="450" t="s">
        <v>36998</v>
      </c>
      <c r="K7770" s="450"/>
    </row>
    <row r="7771" spans="1:11">
      <c r="A7771" s="451" t="s">
        <v>20690</v>
      </c>
      <c r="B7771" s="451" t="s">
        <v>12595</v>
      </c>
      <c r="C7771" s="451" t="s">
        <v>12596</v>
      </c>
      <c r="D7771" s="451" t="s">
        <v>12597</v>
      </c>
      <c r="E7771" s="451" t="s">
        <v>12598</v>
      </c>
      <c r="F7771" s="451" t="s">
        <v>12599</v>
      </c>
      <c r="G7771" s="451"/>
      <c r="H7771" s="451"/>
      <c r="I7771" s="451"/>
      <c r="J7771" s="451"/>
      <c r="K7771" s="451"/>
    </row>
    <row r="7772" spans="1:11">
      <c r="A7772" s="450" t="s">
        <v>20691</v>
      </c>
      <c r="B7772" s="450" t="s">
        <v>12600</v>
      </c>
      <c r="C7772" s="450" t="s">
        <v>12601</v>
      </c>
      <c r="D7772" s="450" t="s">
        <v>12602</v>
      </c>
      <c r="E7772" s="450"/>
      <c r="F7772" s="450" t="s">
        <v>12604</v>
      </c>
      <c r="G7772" s="450" t="s">
        <v>22877</v>
      </c>
      <c r="H7772" s="450" t="s">
        <v>22878</v>
      </c>
      <c r="I7772" s="450" t="s">
        <v>12602</v>
      </c>
      <c r="J7772" s="450" t="s">
        <v>36999</v>
      </c>
      <c r="K7772" s="450"/>
    </row>
    <row r="7773" spans="1:11">
      <c r="A7773" s="451" t="s">
        <v>20691</v>
      </c>
      <c r="B7773" s="451" t="s">
        <v>12600</v>
      </c>
      <c r="C7773" s="451" t="s">
        <v>12601</v>
      </c>
      <c r="D7773" s="451" t="s">
        <v>12602</v>
      </c>
      <c r="E7773" s="451" t="s">
        <v>12603</v>
      </c>
      <c r="F7773" s="451" t="s">
        <v>12604</v>
      </c>
      <c r="G7773" s="451"/>
      <c r="H7773" s="451"/>
      <c r="I7773" s="451"/>
      <c r="J7773" s="451"/>
      <c r="K7773" s="451"/>
    </row>
    <row r="7774" spans="1:11">
      <c r="A7774" s="450" t="s">
        <v>20692</v>
      </c>
      <c r="B7774" s="450" t="s">
        <v>27416</v>
      </c>
      <c r="C7774" s="450" t="s">
        <v>12606</v>
      </c>
      <c r="D7774" s="450" t="s">
        <v>12607</v>
      </c>
      <c r="E7774" s="450"/>
      <c r="F7774" s="450" t="s">
        <v>12609</v>
      </c>
      <c r="G7774" s="450" t="s">
        <v>22877</v>
      </c>
      <c r="H7774" s="450" t="s">
        <v>22878</v>
      </c>
      <c r="I7774" s="450" t="s">
        <v>12607</v>
      </c>
      <c r="J7774" s="450" t="s">
        <v>27417</v>
      </c>
      <c r="K7774" s="450"/>
    </row>
    <row r="7775" spans="1:11">
      <c r="A7775" s="451" t="s">
        <v>20692</v>
      </c>
      <c r="B7775" s="451" t="s">
        <v>12605</v>
      </c>
      <c r="C7775" s="451" t="s">
        <v>12606</v>
      </c>
      <c r="D7775" s="451" t="s">
        <v>12607</v>
      </c>
      <c r="E7775" s="451" t="s">
        <v>12608</v>
      </c>
      <c r="F7775" s="451" t="s">
        <v>12609</v>
      </c>
      <c r="G7775" s="451"/>
      <c r="H7775" s="451"/>
      <c r="I7775" s="451"/>
      <c r="J7775" s="451"/>
      <c r="K7775" s="451"/>
    </row>
    <row r="7776" spans="1:11">
      <c r="A7776" s="450" t="s">
        <v>27418</v>
      </c>
      <c r="B7776" s="450" t="s">
        <v>27419</v>
      </c>
      <c r="C7776" s="450" t="s">
        <v>27420</v>
      </c>
      <c r="D7776" s="450" t="s">
        <v>27421</v>
      </c>
      <c r="E7776" s="450"/>
      <c r="F7776" s="450"/>
      <c r="G7776" s="450" t="s">
        <v>22877</v>
      </c>
      <c r="H7776" s="450" t="s">
        <v>22878</v>
      </c>
      <c r="I7776" s="450"/>
      <c r="J7776" s="450" t="s">
        <v>27422</v>
      </c>
      <c r="K7776" s="450"/>
    </row>
    <row r="7777" spans="1:11">
      <c r="A7777" s="451" t="s">
        <v>20693</v>
      </c>
      <c r="B7777" s="451" t="s">
        <v>12610</v>
      </c>
      <c r="C7777" s="451" t="s">
        <v>6954</v>
      </c>
      <c r="D7777" s="451" t="s">
        <v>5302</v>
      </c>
      <c r="E7777" s="451"/>
      <c r="F7777" s="451" t="s">
        <v>12612</v>
      </c>
      <c r="G7777" s="451" t="s">
        <v>37000</v>
      </c>
      <c r="H7777" s="451" t="s">
        <v>22878</v>
      </c>
      <c r="I7777" s="451" t="s">
        <v>37001</v>
      </c>
      <c r="J7777" s="451" t="s">
        <v>12610</v>
      </c>
      <c r="K7777" s="451"/>
    </row>
    <row r="7778" spans="1:11">
      <c r="A7778" s="450" t="s">
        <v>20693</v>
      </c>
      <c r="B7778" s="450" t="s">
        <v>12610</v>
      </c>
      <c r="C7778" s="450" t="s">
        <v>6954</v>
      </c>
      <c r="D7778" s="450" t="s">
        <v>5302</v>
      </c>
      <c r="E7778" s="450" t="s">
        <v>12611</v>
      </c>
      <c r="F7778" s="450" t="s">
        <v>12612</v>
      </c>
      <c r="G7778" s="450"/>
      <c r="H7778" s="450"/>
      <c r="I7778" s="450"/>
      <c r="J7778" s="450"/>
      <c r="K7778" s="450"/>
    </row>
    <row r="7779" spans="1:11">
      <c r="A7779" s="451" t="s">
        <v>20694</v>
      </c>
      <c r="B7779" s="451" t="s">
        <v>12613</v>
      </c>
      <c r="C7779" s="451" t="s">
        <v>12614</v>
      </c>
      <c r="D7779" s="451" t="s">
        <v>12615</v>
      </c>
      <c r="E7779" s="451"/>
      <c r="F7779" s="451" t="s">
        <v>12617</v>
      </c>
      <c r="G7779" s="451" t="s">
        <v>22882</v>
      </c>
      <c r="H7779" s="451" t="s">
        <v>22883</v>
      </c>
      <c r="I7779" s="451" t="s">
        <v>12615</v>
      </c>
      <c r="J7779" s="451" t="s">
        <v>37002</v>
      </c>
      <c r="K7779" s="451"/>
    </row>
    <row r="7780" spans="1:11">
      <c r="A7780" s="450" t="s">
        <v>20694</v>
      </c>
      <c r="B7780" s="450" t="s">
        <v>12613</v>
      </c>
      <c r="C7780" s="450" t="s">
        <v>12614</v>
      </c>
      <c r="D7780" s="450" t="s">
        <v>12615</v>
      </c>
      <c r="E7780" s="450" t="s">
        <v>12616</v>
      </c>
      <c r="F7780" s="450" t="s">
        <v>12617</v>
      </c>
      <c r="G7780" s="450"/>
      <c r="H7780" s="450"/>
      <c r="I7780" s="450"/>
      <c r="J7780" s="450"/>
      <c r="K7780" s="450"/>
    </row>
    <row r="7781" spans="1:11">
      <c r="A7781" s="451" t="s">
        <v>20695</v>
      </c>
      <c r="B7781" s="451" t="s">
        <v>8556</v>
      </c>
      <c r="C7781" s="451" t="s">
        <v>5120</v>
      </c>
      <c r="D7781" s="451"/>
      <c r="E7781" s="451"/>
      <c r="F7781" s="451"/>
      <c r="G7781" s="451" t="s">
        <v>22877</v>
      </c>
      <c r="H7781" s="451" t="s">
        <v>22878</v>
      </c>
      <c r="I7781" s="451" t="s">
        <v>27423</v>
      </c>
      <c r="J7781" s="451" t="s">
        <v>27424</v>
      </c>
      <c r="K7781" s="451"/>
    </row>
    <row r="7782" spans="1:11">
      <c r="A7782" s="450" t="s">
        <v>20696</v>
      </c>
      <c r="B7782" s="450" t="s">
        <v>27425</v>
      </c>
      <c r="C7782" s="450" t="s">
        <v>7703</v>
      </c>
      <c r="D7782" s="450" t="s">
        <v>12619</v>
      </c>
      <c r="E7782" s="450"/>
      <c r="F7782" s="450" t="s">
        <v>12621</v>
      </c>
      <c r="G7782" s="450" t="s">
        <v>22877</v>
      </c>
      <c r="H7782" s="450" t="s">
        <v>22878</v>
      </c>
      <c r="I7782" s="450" t="s">
        <v>12619</v>
      </c>
      <c r="J7782" s="450" t="s">
        <v>27426</v>
      </c>
      <c r="K7782" s="450"/>
    </row>
    <row r="7783" spans="1:11">
      <c r="A7783" s="451" t="s">
        <v>20696</v>
      </c>
      <c r="B7783" s="451" t="s">
        <v>12618</v>
      </c>
      <c r="C7783" s="451" t="s">
        <v>7703</v>
      </c>
      <c r="D7783" s="451" t="s">
        <v>12619</v>
      </c>
      <c r="E7783" s="451" t="s">
        <v>12620</v>
      </c>
      <c r="F7783" s="451" t="s">
        <v>12621</v>
      </c>
      <c r="G7783" s="451"/>
      <c r="H7783" s="451"/>
      <c r="I7783" s="451"/>
      <c r="J7783" s="451"/>
      <c r="K7783" s="451"/>
    </row>
    <row r="7784" spans="1:11">
      <c r="A7784" s="450" t="s">
        <v>20697</v>
      </c>
      <c r="B7784" s="450" t="s">
        <v>27427</v>
      </c>
      <c r="C7784" s="450" t="s">
        <v>12623</v>
      </c>
      <c r="D7784" s="450" t="s">
        <v>12624</v>
      </c>
      <c r="E7784" s="450"/>
      <c r="F7784" s="450" t="s">
        <v>12626</v>
      </c>
      <c r="G7784" s="450" t="s">
        <v>22877</v>
      </c>
      <c r="H7784" s="450" t="s">
        <v>22878</v>
      </c>
      <c r="I7784" s="450" t="s">
        <v>27428</v>
      </c>
      <c r="J7784" s="450" t="s">
        <v>27429</v>
      </c>
      <c r="K7784" s="450"/>
    </row>
    <row r="7785" spans="1:11">
      <c r="A7785" s="451" t="s">
        <v>20697</v>
      </c>
      <c r="B7785" s="451" t="s">
        <v>12622</v>
      </c>
      <c r="C7785" s="451" t="s">
        <v>12623</v>
      </c>
      <c r="D7785" s="451" t="s">
        <v>12624</v>
      </c>
      <c r="E7785" s="451" t="s">
        <v>12625</v>
      </c>
      <c r="F7785" s="451" t="s">
        <v>12626</v>
      </c>
      <c r="G7785" s="451"/>
      <c r="H7785" s="451"/>
      <c r="I7785" s="451"/>
      <c r="J7785" s="451"/>
      <c r="K7785" s="451"/>
    </row>
    <row r="7786" spans="1:11">
      <c r="A7786" s="450" t="s">
        <v>20698</v>
      </c>
      <c r="B7786" s="450" t="s">
        <v>12627</v>
      </c>
      <c r="C7786" s="450" t="s">
        <v>12628</v>
      </c>
      <c r="D7786" s="450" t="s">
        <v>12629</v>
      </c>
      <c r="E7786" s="450"/>
      <c r="F7786" s="450" t="s">
        <v>12631</v>
      </c>
      <c r="G7786" s="450" t="s">
        <v>22882</v>
      </c>
      <c r="H7786" s="450" t="s">
        <v>22883</v>
      </c>
      <c r="I7786" s="450" t="s">
        <v>37003</v>
      </c>
      <c r="J7786" s="450" t="s">
        <v>37004</v>
      </c>
      <c r="K7786" s="450"/>
    </row>
    <row r="7787" spans="1:11">
      <c r="A7787" s="451" t="s">
        <v>20698</v>
      </c>
      <c r="B7787" s="451" t="s">
        <v>12627</v>
      </c>
      <c r="C7787" s="451" t="s">
        <v>12628</v>
      </c>
      <c r="D7787" s="451" t="s">
        <v>12629</v>
      </c>
      <c r="E7787" s="451" t="s">
        <v>12630</v>
      </c>
      <c r="F7787" s="451" t="s">
        <v>12631</v>
      </c>
      <c r="G7787" s="451"/>
      <c r="H7787" s="451"/>
      <c r="I7787" s="451"/>
      <c r="J7787" s="451"/>
      <c r="K7787" s="451"/>
    </row>
    <row r="7788" spans="1:11">
      <c r="A7788" s="450" t="s">
        <v>20699</v>
      </c>
      <c r="B7788" s="450" t="s">
        <v>27430</v>
      </c>
      <c r="C7788" s="450" t="s">
        <v>12633</v>
      </c>
      <c r="D7788" s="450" t="s">
        <v>12634</v>
      </c>
      <c r="E7788" s="450"/>
      <c r="F7788" s="450" t="s">
        <v>12636</v>
      </c>
      <c r="G7788" s="450" t="s">
        <v>22877</v>
      </c>
      <c r="H7788" s="450" t="s">
        <v>22878</v>
      </c>
      <c r="I7788" s="450" t="s">
        <v>27431</v>
      </c>
      <c r="J7788" s="450" t="s">
        <v>27432</v>
      </c>
      <c r="K7788" s="450"/>
    </row>
    <row r="7789" spans="1:11">
      <c r="A7789" s="451" t="s">
        <v>20699</v>
      </c>
      <c r="B7789" s="451" t="s">
        <v>12632</v>
      </c>
      <c r="C7789" s="451" t="s">
        <v>12633</v>
      </c>
      <c r="D7789" s="451" t="s">
        <v>12634</v>
      </c>
      <c r="E7789" s="451" t="s">
        <v>12635</v>
      </c>
      <c r="F7789" s="451" t="s">
        <v>12636</v>
      </c>
      <c r="G7789" s="451"/>
      <c r="H7789" s="451"/>
      <c r="I7789" s="451"/>
      <c r="J7789" s="451"/>
      <c r="K7789" s="451"/>
    </row>
    <row r="7790" spans="1:11">
      <c r="A7790" s="450" t="s">
        <v>20700</v>
      </c>
      <c r="B7790" s="450" t="s">
        <v>12637</v>
      </c>
      <c r="C7790" s="450" t="s">
        <v>7703</v>
      </c>
      <c r="D7790" s="450" t="s">
        <v>12638</v>
      </c>
      <c r="E7790" s="450"/>
      <c r="F7790" s="450" t="s">
        <v>12640</v>
      </c>
      <c r="G7790" s="450" t="s">
        <v>22882</v>
      </c>
      <c r="H7790" s="450" t="s">
        <v>22883</v>
      </c>
      <c r="I7790" s="450" t="s">
        <v>37005</v>
      </c>
      <c r="J7790" s="450" t="s">
        <v>37006</v>
      </c>
      <c r="K7790" s="450"/>
    </row>
    <row r="7791" spans="1:11">
      <c r="A7791" s="451" t="s">
        <v>20700</v>
      </c>
      <c r="B7791" s="451" t="s">
        <v>12637</v>
      </c>
      <c r="C7791" s="451" t="s">
        <v>7703</v>
      </c>
      <c r="D7791" s="451" t="s">
        <v>12638</v>
      </c>
      <c r="E7791" s="451" t="s">
        <v>12639</v>
      </c>
      <c r="F7791" s="451" t="s">
        <v>12640</v>
      </c>
      <c r="G7791" s="451"/>
      <c r="H7791" s="451"/>
      <c r="I7791" s="451"/>
      <c r="J7791" s="451"/>
      <c r="K7791" s="451"/>
    </row>
    <row r="7792" spans="1:11">
      <c r="A7792" s="450" t="s">
        <v>20701</v>
      </c>
      <c r="B7792" s="450" t="s">
        <v>12641</v>
      </c>
      <c r="C7792" s="450" t="s">
        <v>12642</v>
      </c>
      <c r="D7792" s="450" t="s">
        <v>12643</v>
      </c>
      <c r="E7792" s="450"/>
      <c r="F7792" s="450" t="s">
        <v>12645</v>
      </c>
      <c r="G7792" s="450" t="s">
        <v>22877</v>
      </c>
      <c r="H7792" s="450" t="s">
        <v>22878</v>
      </c>
      <c r="I7792" s="450" t="s">
        <v>37007</v>
      </c>
      <c r="J7792" s="450" t="s">
        <v>37008</v>
      </c>
      <c r="K7792" s="450"/>
    </row>
    <row r="7793" spans="1:11">
      <c r="A7793" s="451" t="s">
        <v>20701</v>
      </c>
      <c r="B7793" s="451" t="s">
        <v>12641</v>
      </c>
      <c r="C7793" s="451" t="s">
        <v>12642</v>
      </c>
      <c r="D7793" s="451" t="s">
        <v>12643</v>
      </c>
      <c r="E7793" s="451" t="s">
        <v>12644</v>
      </c>
      <c r="F7793" s="451" t="s">
        <v>12645</v>
      </c>
      <c r="G7793" s="451"/>
      <c r="H7793" s="451"/>
      <c r="I7793" s="451"/>
      <c r="J7793" s="451"/>
      <c r="K7793" s="451"/>
    </row>
    <row r="7794" spans="1:11">
      <c r="A7794" s="450" t="s">
        <v>20702</v>
      </c>
      <c r="B7794" s="450" t="s">
        <v>27433</v>
      </c>
      <c r="C7794" s="450" t="s">
        <v>12647</v>
      </c>
      <c r="D7794" s="450" t="s">
        <v>12648</v>
      </c>
      <c r="E7794" s="450"/>
      <c r="F7794" s="450" t="s">
        <v>12650</v>
      </c>
      <c r="G7794" s="450" t="s">
        <v>22882</v>
      </c>
      <c r="H7794" s="450" t="s">
        <v>22883</v>
      </c>
      <c r="I7794" s="450" t="s">
        <v>12648</v>
      </c>
      <c r="J7794" s="450" t="s">
        <v>27434</v>
      </c>
      <c r="K7794" s="450"/>
    </row>
    <row r="7795" spans="1:11">
      <c r="A7795" s="451" t="s">
        <v>20702</v>
      </c>
      <c r="B7795" s="451" t="s">
        <v>12646</v>
      </c>
      <c r="C7795" s="451" t="s">
        <v>12647</v>
      </c>
      <c r="D7795" s="451" t="s">
        <v>12648</v>
      </c>
      <c r="E7795" s="451" t="s">
        <v>12649</v>
      </c>
      <c r="F7795" s="451" t="s">
        <v>12650</v>
      </c>
      <c r="G7795" s="451"/>
      <c r="H7795" s="451"/>
      <c r="I7795" s="451"/>
      <c r="J7795" s="451"/>
      <c r="K7795" s="451"/>
    </row>
    <row r="7796" spans="1:11">
      <c r="A7796" s="450" t="s">
        <v>20703</v>
      </c>
      <c r="B7796" s="450" t="s">
        <v>27435</v>
      </c>
      <c r="C7796" s="450" t="s">
        <v>12652</v>
      </c>
      <c r="D7796" s="450" t="s">
        <v>12653</v>
      </c>
      <c r="E7796" s="450"/>
      <c r="F7796" s="450" t="s">
        <v>12655</v>
      </c>
      <c r="G7796" s="450" t="s">
        <v>22882</v>
      </c>
      <c r="H7796" s="450" t="s">
        <v>22883</v>
      </c>
      <c r="I7796" s="450" t="s">
        <v>12653</v>
      </c>
      <c r="J7796" s="450" t="s">
        <v>27436</v>
      </c>
      <c r="K7796" s="450"/>
    </row>
    <row r="7797" spans="1:11">
      <c r="A7797" s="451" t="s">
        <v>20703</v>
      </c>
      <c r="B7797" s="451" t="s">
        <v>12651</v>
      </c>
      <c r="C7797" s="451" t="s">
        <v>12652</v>
      </c>
      <c r="D7797" s="451" t="s">
        <v>12653</v>
      </c>
      <c r="E7797" s="451" t="s">
        <v>12654</v>
      </c>
      <c r="F7797" s="451" t="s">
        <v>12655</v>
      </c>
      <c r="G7797" s="451"/>
      <c r="H7797" s="451"/>
      <c r="I7797" s="451"/>
      <c r="J7797" s="451"/>
      <c r="K7797" s="451"/>
    </row>
    <row r="7798" spans="1:11">
      <c r="A7798" s="450" t="s">
        <v>20704</v>
      </c>
      <c r="B7798" s="450" t="s">
        <v>27437</v>
      </c>
      <c r="C7798" s="450" t="s">
        <v>12657</v>
      </c>
      <c r="D7798" s="450" t="s">
        <v>12658</v>
      </c>
      <c r="E7798" s="450"/>
      <c r="F7798" s="450" t="s">
        <v>12660</v>
      </c>
      <c r="G7798" s="450" t="s">
        <v>22882</v>
      </c>
      <c r="H7798" s="450" t="s">
        <v>22883</v>
      </c>
      <c r="I7798" s="450" t="s">
        <v>12658</v>
      </c>
      <c r="J7798" s="450" t="s">
        <v>27438</v>
      </c>
      <c r="K7798" s="450"/>
    </row>
    <row r="7799" spans="1:11">
      <c r="A7799" s="451" t="s">
        <v>20704</v>
      </c>
      <c r="B7799" s="451" t="s">
        <v>12656</v>
      </c>
      <c r="C7799" s="451" t="s">
        <v>12657</v>
      </c>
      <c r="D7799" s="451" t="s">
        <v>12658</v>
      </c>
      <c r="E7799" s="451" t="s">
        <v>12659</v>
      </c>
      <c r="F7799" s="451" t="s">
        <v>12660</v>
      </c>
      <c r="G7799" s="451"/>
      <c r="H7799" s="451"/>
      <c r="I7799" s="451"/>
      <c r="J7799" s="451"/>
      <c r="K7799" s="451"/>
    </row>
    <row r="7800" spans="1:11">
      <c r="A7800" s="450" t="s">
        <v>22127</v>
      </c>
      <c r="B7800" s="450" t="s">
        <v>16266</v>
      </c>
      <c r="C7800" s="450" t="s">
        <v>27439</v>
      </c>
      <c r="D7800" s="450" t="s">
        <v>16267</v>
      </c>
      <c r="E7800" s="450"/>
      <c r="F7800" s="450"/>
      <c r="G7800" s="450" t="s">
        <v>22877</v>
      </c>
      <c r="H7800" s="450" t="s">
        <v>22878</v>
      </c>
      <c r="I7800" s="450" t="s">
        <v>16267</v>
      </c>
      <c r="J7800" s="450" t="s">
        <v>27440</v>
      </c>
      <c r="K7800" s="450"/>
    </row>
    <row r="7801" spans="1:11">
      <c r="A7801" s="451" t="s">
        <v>22127</v>
      </c>
      <c r="B7801" s="451" t="s">
        <v>16266</v>
      </c>
      <c r="C7801" s="451" t="s">
        <v>5111</v>
      </c>
      <c r="D7801" s="451" t="s">
        <v>16267</v>
      </c>
      <c r="E7801" s="451" t="s">
        <v>16268</v>
      </c>
      <c r="F7801" s="451"/>
      <c r="G7801" s="451"/>
      <c r="H7801" s="451"/>
      <c r="I7801" s="451"/>
      <c r="J7801" s="451"/>
      <c r="K7801" s="451"/>
    </row>
    <row r="7802" spans="1:11">
      <c r="A7802" s="450" t="s">
        <v>22128</v>
      </c>
      <c r="B7802" s="450" t="s">
        <v>16269</v>
      </c>
      <c r="C7802" s="450" t="s">
        <v>16270</v>
      </c>
      <c r="D7802" s="450" t="s">
        <v>16271</v>
      </c>
      <c r="E7802" s="450" t="s">
        <v>16272</v>
      </c>
      <c r="F7802" s="450"/>
      <c r="G7802" s="450"/>
      <c r="H7802" s="450"/>
      <c r="I7802" s="450"/>
      <c r="J7802" s="450"/>
      <c r="K7802" s="450"/>
    </row>
    <row r="7803" spans="1:11">
      <c r="A7803" s="451" t="s">
        <v>27441</v>
      </c>
      <c r="B7803" s="451" t="s">
        <v>16269</v>
      </c>
      <c r="C7803" s="451" t="s">
        <v>25626</v>
      </c>
      <c r="D7803" s="451" t="s">
        <v>16271</v>
      </c>
      <c r="E7803" s="451"/>
      <c r="F7803" s="451"/>
      <c r="G7803" s="451" t="s">
        <v>22877</v>
      </c>
      <c r="H7803" s="451" t="s">
        <v>22878</v>
      </c>
      <c r="I7803" s="451" t="s">
        <v>16271</v>
      </c>
      <c r="J7803" s="451" t="s">
        <v>27442</v>
      </c>
      <c r="K7803" s="451"/>
    </row>
    <row r="7804" spans="1:11">
      <c r="A7804" s="450" t="s">
        <v>20705</v>
      </c>
      <c r="B7804" s="450" t="s">
        <v>27443</v>
      </c>
      <c r="C7804" s="450" t="s">
        <v>12606</v>
      </c>
      <c r="D7804" s="450" t="s">
        <v>12607</v>
      </c>
      <c r="E7804" s="450"/>
      <c r="F7804" s="450" t="s">
        <v>12663</v>
      </c>
      <c r="G7804" s="450" t="s">
        <v>22877</v>
      </c>
      <c r="H7804" s="450" t="s">
        <v>22878</v>
      </c>
      <c r="I7804" s="450" t="s">
        <v>27444</v>
      </c>
      <c r="J7804" s="450" t="s">
        <v>27445</v>
      </c>
      <c r="K7804" s="450"/>
    </row>
    <row r="7805" spans="1:11">
      <c r="A7805" s="451" t="s">
        <v>20705</v>
      </c>
      <c r="B7805" s="451" t="s">
        <v>12661</v>
      </c>
      <c r="C7805" s="451" t="s">
        <v>12606</v>
      </c>
      <c r="D7805" s="451" t="s">
        <v>12607</v>
      </c>
      <c r="E7805" s="451" t="s">
        <v>12662</v>
      </c>
      <c r="F7805" s="451" t="s">
        <v>12663</v>
      </c>
      <c r="G7805" s="451"/>
      <c r="H7805" s="451"/>
      <c r="I7805" s="451"/>
      <c r="J7805" s="451"/>
      <c r="K7805" s="451"/>
    </row>
    <row r="7806" spans="1:11">
      <c r="A7806" s="450" t="s">
        <v>20706</v>
      </c>
      <c r="B7806" s="450" t="s">
        <v>12664</v>
      </c>
      <c r="C7806" s="450" t="s">
        <v>12665</v>
      </c>
      <c r="D7806" s="450" t="s">
        <v>12666</v>
      </c>
      <c r="E7806" s="450"/>
      <c r="F7806" s="450" t="s">
        <v>12668</v>
      </c>
      <c r="G7806" s="450" t="s">
        <v>22882</v>
      </c>
      <c r="H7806" s="450" t="s">
        <v>22883</v>
      </c>
      <c r="I7806" s="450" t="s">
        <v>12666</v>
      </c>
      <c r="J7806" s="450" t="s">
        <v>37009</v>
      </c>
      <c r="K7806" s="450"/>
    </row>
    <row r="7807" spans="1:11">
      <c r="A7807" s="451" t="s">
        <v>20706</v>
      </c>
      <c r="B7807" s="451" t="s">
        <v>12664</v>
      </c>
      <c r="C7807" s="451" t="s">
        <v>12665</v>
      </c>
      <c r="D7807" s="451" t="s">
        <v>12666</v>
      </c>
      <c r="E7807" s="451" t="s">
        <v>12667</v>
      </c>
      <c r="F7807" s="451" t="s">
        <v>12668</v>
      </c>
      <c r="G7807" s="451"/>
      <c r="H7807" s="451"/>
      <c r="I7807" s="451"/>
      <c r="J7807" s="451"/>
      <c r="K7807" s="451"/>
    </row>
    <row r="7808" spans="1:11">
      <c r="A7808" s="450" t="s">
        <v>20707</v>
      </c>
      <c r="B7808" s="450" t="s">
        <v>12669</v>
      </c>
      <c r="C7808" s="450" t="s">
        <v>12670</v>
      </c>
      <c r="D7808" s="450" t="s">
        <v>12671</v>
      </c>
      <c r="E7808" s="450"/>
      <c r="F7808" s="450" t="s">
        <v>12673</v>
      </c>
      <c r="G7808" s="450" t="s">
        <v>22882</v>
      </c>
      <c r="H7808" s="450" t="s">
        <v>22883</v>
      </c>
      <c r="I7808" s="450" t="s">
        <v>12671</v>
      </c>
      <c r="J7808" s="450" t="s">
        <v>37010</v>
      </c>
      <c r="K7808" s="450"/>
    </row>
    <row r="7809" spans="1:11">
      <c r="A7809" s="451" t="s">
        <v>20707</v>
      </c>
      <c r="B7809" s="451" t="s">
        <v>12669</v>
      </c>
      <c r="C7809" s="451" t="s">
        <v>12670</v>
      </c>
      <c r="D7809" s="451" t="s">
        <v>12671</v>
      </c>
      <c r="E7809" s="451" t="s">
        <v>12672</v>
      </c>
      <c r="F7809" s="451" t="s">
        <v>12673</v>
      </c>
      <c r="G7809" s="451"/>
      <c r="H7809" s="451"/>
      <c r="I7809" s="451"/>
      <c r="J7809" s="451"/>
      <c r="K7809" s="451"/>
    </row>
    <row r="7810" spans="1:11">
      <c r="A7810" s="450" t="s">
        <v>20708</v>
      </c>
      <c r="B7810" s="450" t="s">
        <v>12674</v>
      </c>
      <c r="C7810" s="450" t="s">
        <v>5120</v>
      </c>
      <c r="D7810" s="450" t="s">
        <v>12675</v>
      </c>
      <c r="E7810" s="450"/>
      <c r="F7810" s="450" t="s">
        <v>12677</v>
      </c>
      <c r="G7810" s="450" t="s">
        <v>22877</v>
      </c>
      <c r="H7810" s="450" t="s">
        <v>22878</v>
      </c>
      <c r="I7810" s="450" t="s">
        <v>12675</v>
      </c>
      <c r="J7810" s="450" t="s">
        <v>37011</v>
      </c>
      <c r="K7810" s="450"/>
    </row>
    <row r="7811" spans="1:11">
      <c r="A7811" s="451" t="s">
        <v>20708</v>
      </c>
      <c r="B7811" s="451" t="s">
        <v>12674</v>
      </c>
      <c r="C7811" s="451" t="s">
        <v>5120</v>
      </c>
      <c r="D7811" s="451" t="s">
        <v>12675</v>
      </c>
      <c r="E7811" s="451" t="s">
        <v>12676</v>
      </c>
      <c r="F7811" s="451" t="s">
        <v>12677</v>
      </c>
      <c r="G7811" s="451"/>
      <c r="H7811" s="451"/>
      <c r="I7811" s="451"/>
      <c r="J7811" s="451"/>
      <c r="K7811" s="451"/>
    </row>
    <row r="7812" spans="1:11">
      <c r="A7812" s="450" t="s">
        <v>20709</v>
      </c>
      <c r="B7812" s="450" t="s">
        <v>12678</v>
      </c>
      <c r="C7812" s="450" t="s">
        <v>12679</v>
      </c>
      <c r="D7812" s="450" t="s">
        <v>12680</v>
      </c>
      <c r="E7812" s="450"/>
      <c r="F7812" s="450" t="s">
        <v>12682</v>
      </c>
      <c r="G7812" s="450" t="s">
        <v>22882</v>
      </c>
      <c r="H7812" s="450" t="s">
        <v>22883</v>
      </c>
      <c r="I7812" s="450" t="s">
        <v>12680</v>
      </c>
      <c r="J7812" s="450" t="s">
        <v>37012</v>
      </c>
      <c r="K7812" s="450"/>
    </row>
    <row r="7813" spans="1:11">
      <c r="A7813" s="451" t="s">
        <v>20709</v>
      </c>
      <c r="B7813" s="451" t="s">
        <v>12678</v>
      </c>
      <c r="C7813" s="451" t="s">
        <v>12679</v>
      </c>
      <c r="D7813" s="451" t="s">
        <v>12680</v>
      </c>
      <c r="E7813" s="451" t="s">
        <v>12681</v>
      </c>
      <c r="F7813" s="451" t="s">
        <v>12682</v>
      </c>
      <c r="G7813" s="451"/>
      <c r="H7813" s="451"/>
      <c r="I7813" s="451"/>
      <c r="J7813" s="451"/>
      <c r="K7813" s="451"/>
    </row>
    <row r="7814" spans="1:11">
      <c r="A7814" s="450" t="s">
        <v>20710</v>
      </c>
      <c r="B7814" s="450" t="s">
        <v>12683</v>
      </c>
      <c r="C7814" s="450" t="s">
        <v>12623</v>
      </c>
      <c r="D7814" s="450" t="s">
        <v>12684</v>
      </c>
      <c r="E7814" s="450"/>
      <c r="F7814" s="450" t="s">
        <v>12686</v>
      </c>
      <c r="G7814" s="450" t="s">
        <v>22877</v>
      </c>
      <c r="H7814" s="450" t="s">
        <v>22878</v>
      </c>
      <c r="I7814" s="450" t="s">
        <v>12684</v>
      </c>
      <c r="J7814" s="450" t="s">
        <v>37013</v>
      </c>
      <c r="K7814" s="450"/>
    </row>
    <row r="7815" spans="1:11">
      <c r="A7815" s="451" t="s">
        <v>20710</v>
      </c>
      <c r="B7815" s="451" t="s">
        <v>12683</v>
      </c>
      <c r="C7815" s="451" t="s">
        <v>12623</v>
      </c>
      <c r="D7815" s="451" t="s">
        <v>12684</v>
      </c>
      <c r="E7815" s="451" t="s">
        <v>12685</v>
      </c>
      <c r="F7815" s="451" t="s">
        <v>12686</v>
      </c>
      <c r="G7815" s="451"/>
      <c r="H7815" s="451"/>
      <c r="I7815" s="451"/>
      <c r="J7815" s="451"/>
      <c r="K7815" s="451"/>
    </row>
    <row r="7816" spans="1:11">
      <c r="A7816" s="450" t="s">
        <v>20711</v>
      </c>
      <c r="B7816" s="450" t="s">
        <v>12687</v>
      </c>
      <c r="C7816" s="450" t="s">
        <v>12688</v>
      </c>
      <c r="D7816" s="450" t="s">
        <v>12689</v>
      </c>
      <c r="E7816" s="450"/>
      <c r="F7816" s="450" t="s">
        <v>12691</v>
      </c>
      <c r="G7816" s="450" t="s">
        <v>22877</v>
      </c>
      <c r="H7816" s="450" t="s">
        <v>22878</v>
      </c>
      <c r="I7816" s="450" t="s">
        <v>12689</v>
      </c>
      <c r="J7816" s="450" t="s">
        <v>37014</v>
      </c>
      <c r="K7816" s="450"/>
    </row>
    <row r="7817" spans="1:11">
      <c r="A7817" s="451" t="s">
        <v>20711</v>
      </c>
      <c r="B7817" s="451" t="s">
        <v>12687</v>
      </c>
      <c r="C7817" s="451" t="s">
        <v>12688</v>
      </c>
      <c r="D7817" s="451" t="s">
        <v>12689</v>
      </c>
      <c r="E7817" s="451" t="s">
        <v>12690</v>
      </c>
      <c r="F7817" s="451" t="s">
        <v>12691</v>
      </c>
      <c r="G7817" s="451"/>
      <c r="H7817" s="451"/>
      <c r="I7817" s="451"/>
      <c r="J7817" s="451"/>
      <c r="K7817" s="451"/>
    </row>
    <row r="7818" spans="1:11">
      <c r="A7818" s="450" t="s">
        <v>20712</v>
      </c>
      <c r="B7818" s="450" t="s">
        <v>27446</v>
      </c>
      <c r="C7818" s="450" t="s">
        <v>12693</v>
      </c>
      <c r="D7818" s="450" t="s">
        <v>12694</v>
      </c>
      <c r="E7818" s="450"/>
      <c r="F7818" s="450" t="s">
        <v>12696</v>
      </c>
      <c r="G7818" s="450" t="s">
        <v>22882</v>
      </c>
      <c r="H7818" s="450" t="s">
        <v>22883</v>
      </c>
      <c r="I7818" s="450" t="s">
        <v>12694</v>
      </c>
      <c r="J7818" s="450" t="s">
        <v>27447</v>
      </c>
      <c r="K7818" s="450"/>
    </row>
    <row r="7819" spans="1:11">
      <c r="A7819" s="451" t="s">
        <v>20712</v>
      </c>
      <c r="B7819" s="451" t="s">
        <v>12692</v>
      </c>
      <c r="C7819" s="451" t="s">
        <v>12693</v>
      </c>
      <c r="D7819" s="451" t="s">
        <v>12694</v>
      </c>
      <c r="E7819" s="451" t="s">
        <v>12695</v>
      </c>
      <c r="F7819" s="451" t="s">
        <v>12696</v>
      </c>
      <c r="G7819" s="451"/>
      <c r="H7819" s="451"/>
      <c r="I7819" s="451"/>
      <c r="J7819" s="451"/>
      <c r="K7819" s="451"/>
    </row>
    <row r="7820" spans="1:11">
      <c r="A7820" s="450" t="s">
        <v>20713</v>
      </c>
      <c r="B7820" s="450" t="s">
        <v>12697</v>
      </c>
      <c r="C7820" s="450" t="s">
        <v>12698</v>
      </c>
      <c r="D7820" s="450" t="s">
        <v>12699</v>
      </c>
      <c r="E7820" s="450"/>
      <c r="F7820" s="450" t="s">
        <v>12701</v>
      </c>
      <c r="G7820" s="450" t="s">
        <v>22882</v>
      </c>
      <c r="H7820" s="450" t="s">
        <v>22883</v>
      </c>
      <c r="I7820" s="450" t="s">
        <v>37015</v>
      </c>
      <c r="J7820" s="450" t="s">
        <v>37016</v>
      </c>
      <c r="K7820" s="450"/>
    </row>
    <row r="7821" spans="1:11">
      <c r="A7821" s="451" t="s">
        <v>20713</v>
      </c>
      <c r="B7821" s="451" t="s">
        <v>12697</v>
      </c>
      <c r="C7821" s="451" t="s">
        <v>12698</v>
      </c>
      <c r="D7821" s="451" t="s">
        <v>12699</v>
      </c>
      <c r="E7821" s="451" t="s">
        <v>12700</v>
      </c>
      <c r="F7821" s="451" t="s">
        <v>12701</v>
      </c>
      <c r="G7821" s="451"/>
      <c r="H7821" s="451"/>
      <c r="I7821" s="451"/>
      <c r="J7821" s="451"/>
      <c r="K7821" s="451"/>
    </row>
    <row r="7822" spans="1:11">
      <c r="A7822" s="450" t="s">
        <v>20714</v>
      </c>
      <c r="B7822" s="450" t="s">
        <v>27448</v>
      </c>
      <c r="C7822" s="450" t="s">
        <v>12703</v>
      </c>
      <c r="D7822" s="450" t="s">
        <v>12704</v>
      </c>
      <c r="E7822" s="450"/>
      <c r="F7822" s="450" t="s">
        <v>12706</v>
      </c>
      <c r="G7822" s="450" t="s">
        <v>22877</v>
      </c>
      <c r="H7822" s="450" t="s">
        <v>22878</v>
      </c>
      <c r="I7822" s="450" t="s">
        <v>12704</v>
      </c>
      <c r="J7822" s="450" t="s">
        <v>27449</v>
      </c>
      <c r="K7822" s="450"/>
    </row>
    <row r="7823" spans="1:11">
      <c r="A7823" s="451" t="s">
        <v>20714</v>
      </c>
      <c r="B7823" s="451" t="s">
        <v>12702</v>
      </c>
      <c r="C7823" s="451" t="s">
        <v>12703</v>
      </c>
      <c r="D7823" s="451" t="s">
        <v>12704</v>
      </c>
      <c r="E7823" s="451" t="s">
        <v>12705</v>
      </c>
      <c r="F7823" s="451" t="s">
        <v>12706</v>
      </c>
      <c r="G7823" s="451"/>
      <c r="H7823" s="451"/>
      <c r="I7823" s="451"/>
      <c r="J7823" s="451"/>
      <c r="K7823" s="451"/>
    </row>
    <row r="7824" spans="1:11">
      <c r="A7824" s="450" t="s">
        <v>20715</v>
      </c>
      <c r="B7824" s="450" t="s">
        <v>12707</v>
      </c>
      <c r="C7824" s="450" t="s">
        <v>12708</v>
      </c>
      <c r="D7824" s="450" t="s">
        <v>12709</v>
      </c>
      <c r="E7824" s="450"/>
      <c r="F7824" s="450" t="s">
        <v>12711</v>
      </c>
      <c r="G7824" s="450" t="s">
        <v>22882</v>
      </c>
      <c r="H7824" s="450" t="s">
        <v>22883</v>
      </c>
      <c r="I7824" s="450" t="s">
        <v>12709</v>
      </c>
      <c r="J7824" s="450" t="s">
        <v>37017</v>
      </c>
      <c r="K7824" s="450"/>
    </row>
    <row r="7825" spans="1:11">
      <c r="A7825" s="451" t="s">
        <v>20715</v>
      </c>
      <c r="B7825" s="451" t="s">
        <v>12707</v>
      </c>
      <c r="C7825" s="451" t="s">
        <v>12708</v>
      </c>
      <c r="D7825" s="451" t="s">
        <v>12709</v>
      </c>
      <c r="E7825" s="451" t="s">
        <v>12710</v>
      </c>
      <c r="F7825" s="451" t="s">
        <v>12711</v>
      </c>
      <c r="G7825" s="451"/>
      <c r="H7825" s="451"/>
      <c r="I7825" s="451"/>
      <c r="J7825" s="451"/>
      <c r="K7825" s="451"/>
    </row>
    <row r="7826" spans="1:11">
      <c r="A7826" s="450" t="s">
        <v>20716</v>
      </c>
      <c r="B7826" s="450" t="s">
        <v>12712</v>
      </c>
      <c r="C7826" s="450" t="s">
        <v>12713</v>
      </c>
      <c r="D7826" s="450" t="s">
        <v>12714</v>
      </c>
      <c r="E7826" s="450"/>
      <c r="F7826" s="450" t="s">
        <v>12716</v>
      </c>
      <c r="G7826" s="450" t="s">
        <v>22877</v>
      </c>
      <c r="H7826" s="450" t="s">
        <v>22878</v>
      </c>
      <c r="I7826" s="450" t="s">
        <v>12714</v>
      </c>
      <c r="J7826" s="450" t="s">
        <v>37018</v>
      </c>
      <c r="K7826" s="450"/>
    </row>
    <row r="7827" spans="1:11">
      <c r="A7827" s="451" t="s">
        <v>20716</v>
      </c>
      <c r="B7827" s="451" t="s">
        <v>12712</v>
      </c>
      <c r="C7827" s="451" t="s">
        <v>12713</v>
      </c>
      <c r="D7827" s="451" t="s">
        <v>12714</v>
      </c>
      <c r="E7827" s="451" t="s">
        <v>12715</v>
      </c>
      <c r="F7827" s="451" t="s">
        <v>12716</v>
      </c>
      <c r="G7827" s="451"/>
      <c r="H7827" s="451"/>
      <c r="I7827" s="451"/>
      <c r="J7827" s="451"/>
      <c r="K7827" s="451"/>
    </row>
    <row r="7828" spans="1:11">
      <c r="A7828" s="450" t="s">
        <v>20717</v>
      </c>
      <c r="B7828" s="450" t="s">
        <v>12717</v>
      </c>
      <c r="C7828" s="450" t="s">
        <v>12718</v>
      </c>
      <c r="D7828" s="450" t="s">
        <v>12719</v>
      </c>
      <c r="E7828" s="450"/>
      <c r="F7828" s="450" t="s">
        <v>12721</v>
      </c>
      <c r="G7828" s="450" t="s">
        <v>22877</v>
      </c>
      <c r="H7828" s="450" t="s">
        <v>22878</v>
      </c>
      <c r="I7828" s="450" t="s">
        <v>12719</v>
      </c>
      <c r="J7828" s="450" t="s">
        <v>27450</v>
      </c>
      <c r="K7828" s="450"/>
    </row>
    <row r="7829" spans="1:11">
      <c r="A7829" s="451" t="s">
        <v>20717</v>
      </c>
      <c r="B7829" s="451" t="s">
        <v>12717</v>
      </c>
      <c r="C7829" s="451" t="s">
        <v>12718</v>
      </c>
      <c r="D7829" s="451" t="s">
        <v>12719</v>
      </c>
      <c r="E7829" s="451" t="s">
        <v>12720</v>
      </c>
      <c r="F7829" s="451" t="s">
        <v>12721</v>
      </c>
      <c r="G7829" s="451"/>
      <c r="H7829" s="451"/>
      <c r="I7829" s="451"/>
      <c r="J7829" s="451"/>
      <c r="K7829" s="451"/>
    </row>
    <row r="7830" spans="1:11">
      <c r="A7830" s="450" t="s">
        <v>20527</v>
      </c>
      <c r="B7830" s="450" t="s">
        <v>16273</v>
      </c>
      <c r="C7830" s="450" t="s">
        <v>16274</v>
      </c>
      <c r="D7830" s="450" t="s">
        <v>16275</v>
      </c>
      <c r="E7830" s="450" t="s">
        <v>16276</v>
      </c>
      <c r="F7830" s="450"/>
      <c r="G7830" s="450"/>
      <c r="H7830" s="450"/>
      <c r="I7830" s="450"/>
      <c r="J7830" s="450"/>
      <c r="K7830" s="450"/>
    </row>
    <row r="7831" spans="1:11">
      <c r="A7831" s="451" t="s">
        <v>20718</v>
      </c>
      <c r="B7831" s="451" t="s">
        <v>12722</v>
      </c>
      <c r="C7831" s="451" t="s">
        <v>12723</v>
      </c>
      <c r="D7831" s="451" t="s">
        <v>12724</v>
      </c>
      <c r="E7831" s="451"/>
      <c r="F7831" s="451" t="s">
        <v>12726</v>
      </c>
      <c r="G7831" s="451" t="s">
        <v>22882</v>
      </c>
      <c r="H7831" s="451" t="s">
        <v>22883</v>
      </c>
      <c r="I7831" s="451" t="s">
        <v>12724</v>
      </c>
      <c r="J7831" s="451" t="s">
        <v>37019</v>
      </c>
      <c r="K7831" s="451"/>
    </row>
    <row r="7832" spans="1:11">
      <c r="A7832" s="450" t="s">
        <v>20718</v>
      </c>
      <c r="B7832" s="450" t="s">
        <v>12722</v>
      </c>
      <c r="C7832" s="450" t="s">
        <v>12723</v>
      </c>
      <c r="D7832" s="450" t="s">
        <v>12724</v>
      </c>
      <c r="E7832" s="450" t="s">
        <v>12725</v>
      </c>
      <c r="F7832" s="450" t="s">
        <v>12726</v>
      </c>
      <c r="G7832" s="450"/>
      <c r="H7832" s="450"/>
      <c r="I7832" s="450"/>
      <c r="J7832" s="450"/>
      <c r="K7832" s="450"/>
    </row>
    <row r="7833" spans="1:11">
      <c r="A7833" s="451" t="s">
        <v>20719</v>
      </c>
      <c r="B7833" s="451" t="s">
        <v>12727</v>
      </c>
      <c r="C7833" s="451" t="s">
        <v>12728</v>
      </c>
      <c r="D7833" s="451" t="s">
        <v>12729</v>
      </c>
      <c r="E7833" s="451"/>
      <c r="F7833" s="451" t="s">
        <v>12731</v>
      </c>
      <c r="G7833" s="451" t="s">
        <v>22877</v>
      </c>
      <c r="H7833" s="451" t="s">
        <v>22878</v>
      </c>
      <c r="I7833" s="451" t="s">
        <v>12729</v>
      </c>
      <c r="J7833" s="451" t="s">
        <v>37020</v>
      </c>
      <c r="K7833" s="451"/>
    </row>
    <row r="7834" spans="1:11">
      <c r="A7834" s="450" t="s">
        <v>20719</v>
      </c>
      <c r="B7834" s="450" t="s">
        <v>12727</v>
      </c>
      <c r="C7834" s="450" t="s">
        <v>12728</v>
      </c>
      <c r="D7834" s="450" t="s">
        <v>12729</v>
      </c>
      <c r="E7834" s="450" t="s">
        <v>12730</v>
      </c>
      <c r="F7834" s="450" t="s">
        <v>12731</v>
      </c>
      <c r="G7834" s="450"/>
      <c r="H7834" s="450"/>
      <c r="I7834" s="450"/>
      <c r="J7834" s="450"/>
      <c r="K7834" s="450"/>
    </row>
    <row r="7835" spans="1:11">
      <c r="A7835" s="451" t="s">
        <v>20720</v>
      </c>
      <c r="B7835" s="451" t="s">
        <v>27451</v>
      </c>
      <c r="C7835" s="451" t="s">
        <v>12733</v>
      </c>
      <c r="D7835" s="451" t="s">
        <v>12734</v>
      </c>
      <c r="E7835" s="451"/>
      <c r="F7835" s="451" t="s">
        <v>12736</v>
      </c>
      <c r="G7835" s="451" t="s">
        <v>22882</v>
      </c>
      <c r="H7835" s="451" t="s">
        <v>22883</v>
      </c>
      <c r="I7835" s="451" t="s">
        <v>27452</v>
      </c>
      <c r="J7835" s="451" t="s">
        <v>27453</v>
      </c>
      <c r="K7835" s="451"/>
    </row>
    <row r="7836" spans="1:11">
      <c r="A7836" s="450" t="s">
        <v>20720</v>
      </c>
      <c r="B7836" s="450" t="s">
        <v>12732</v>
      </c>
      <c r="C7836" s="450" t="s">
        <v>12733</v>
      </c>
      <c r="D7836" s="450" t="s">
        <v>12734</v>
      </c>
      <c r="E7836" s="450" t="s">
        <v>12735</v>
      </c>
      <c r="F7836" s="450" t="s">
        <v>12736</v>
      </c>
      <c r="G7836" s="450"/>
      <c r="H7836" s="450"/>
      <c r="I7836" s="450"/>
      <c r="J7836" s="450"/>
      <c r="K7836" s="450"/>
    </row>
    <row r="7837" spans="1:11">
      <c r="A7837" s="451" t="s">
        <v>20721</v>
      </c>
      <c r="B7837" s="451" t="s">
        <v>12737</v>
      </c>
      <c r="C7837" s="451" t="s">
        <v>12738</v>
      </c>
      <c r="D7837" s="451" t="s">
        <v>12739</v>
      </c>
      <c r="E7837" s="451"/>
      <c r="F7837" s="451" t="s">
        <v>12741</v>
      </c>
      <c r="G7837" s="451" t="s">
        <v>22877</v>
      </c>
      <c r="H7837" s="451" t="s">
        <v>22878</v>
      </c>
      <c r="I7837" s="451" t="s">
        <v>37021</v>
      </c>
      <c r="J7837" s="451" t="s">
        <v>37022</v>
      </c>
      <c r="K7837" s="451"/>
    </row>
    <row r="7838" spans="1:11">
      <c r="A7838" s="450" t="s">
        <v>20721</v>
      </c>
      <c r="B7838" s="450" t="s">
        <v>12737</v>
      </c>
      <c r="C7838" s="450" t="s">
        <v>12738</v>
      </c>
      <c r="D7838" s="450" t="s">
        <v>12739</v>
      </c>
      <c r="E7838" s="450" t="s">
        <v>12740</v>
      </c>
      <c r="F7838" s="450" t="s">
        <v>12741</v>
      </c>
      <c r="G7838" s="450"/>
      <c r="H7838" s="450"/>
      <c r="I7838" s="450"/>
      <c r="J7838" s="450"/>
      <c r="K7838" s="450"/>
    </row>
    <row r="7839" spans="1:11">
      <c r="A7839" s="451" t="s">
        <v>20722</v>
      </c>
      <c r="B7839" s="451" t="s">
        <v>12742</v>
      </c>
      <c r="C7839" s="451" t="s">
        <v>12743</v>
      </c>
      <c r="D7839" s="451" t="s">
        <v>12744</v>
      </c>
      <c r="E7839" s="451"/>
      <c r="F7839" s="451" t="s">
        <v>12746</v>
      </c>
      <c r="G7839" s="451" t="s">
        <v>22882</v>
      </c>
      <c r="H7839" s="451" t="s">
        <v>22883</v>
      </c>
      <c r="I7839" s="451" t="s">
        <v>12744</v>
      </c>
      <c r="J7839" s="451" t="s">
        <v>37023</v>
      </c>
      <c r="K7839" s="451"/>
    </row>
    <row r="7840" spans="1:11">
      <c r="A7840" s="450" t="s">
        <v>20722</v>
      </c>
      <c r="B7840" s="450" t="s">
        <v>12742</v>
      </c>
      <c r="C7840" s="450" t="s">
        <v>12743</v>
      </c>
      <c r="D7840" s="450" t="s">
        <v>12744</v>
      </c>
      <c r="E7840" s="450" t="s">
        <v>12745</v>
      </c>
      <c r="F7840" s="450" t="s">
        <v>12746</v>
      </c>
      <c r="G7840" s="450"/>
      <c r="H7840" s="450"/>
      <c r="I7840" s="450"/>
      <c r="J7840" s="450"/>
      <c r="K7840" s="450"/>
    </row>
    <row r="7841" spans="1:11">
      <c r="A7841" s="451" t="s">
        <v>20723</v>
      </c>
      <c r="B7841" s="451" t="s">
        <v>12747</v>
      </c>
      <c r="C7841" s="451" t="s">
        <v>12748</v>
      </c>
      <c r="D7841" s="451" t="s">
        <v>12749</v>
      </c>
      <c r="E7841" s="451"/>
      <c r="F7841" s="451" t="s">
        <v>12751</v>
      </c>
      <c r="G7841" s="451" t="s">
        <v>22877</v>
      </c>
      <c r="H7841" s="451" t="s">
        <v>22878</v>
      </c>
      <c r="I7841" s="451" t="s">
        <v>12749</v>
      </c>
      <c r="J7841" s="451" t="s">
        <v>37024</v>
      </c>
      <c r="K7841" s="451"/>
    </row>
    <row r="7842" spans="1:11">
      <c r="A7842" s="450" t="s">
        <v>20723</v>
      </c>
      <c r="B7842" s="450" t="s">
        <v>12747</v>
      </c>
      <c r="C7842" s="450" t="s">
        <v>12748</v>
      </c>
      <c r="D7842" s="450" t="s">
        <v>12749</v>
      </c>
      <c r="E7842" s="450" t="s">
        <v>12750</v>
      </c>
      <c r="F7842" s="450" t="s">
        <v>12751</v>
      </c>
      <c r="G7842" s="450"/>
      <c r="H7842" s="450"/>
      <c r="I7842" s="450"/>
      <c r="J7842" s="450"/>
      <c r="K7842" s="450"/>
    </row>
    <row r="7843" spans="1:11">
      <c r="A7843" s="451" t="s">
        <v>20724</v>
      </c>
      <c r="B7843" s="451" t="s">
        <v>12752</v>
      </c>
      <c r="C7843" s="451" t="s">
        <v>12753</v>
      </c>
      <c r="D7843" s="451" t="s">
        <v>12754</v>
      </c>
      <c r="E7843" s="451"/>
      <c r="F7843" s="451" t="s">
        <v>12756</v>
      </c>
      <c r="G7843" s="451" t="s">
        <v>22877</v>
      </c>
      <c r="H7843" s="451" t="s">
        <v>22878</v>
      </c>
      <c r="I7843" s="451" t="s">
        <v>12754</v>
      </c>
      <c r="J7843" s="451" t="s">
        <v>37025</v>
      </c>
      <c r="K7843" s="451"/>
    </row>
    <row r="7844" spans="1:11">
      <c r="A7844" s="450" t="s">
        <v>20724</v>
      </c>
      <c r="B7844" s="450" t="s">
        <v>12752</v>
      </c>
      <c r="C7844" s="450" t="s">
        <v>12753</v>
      </c>
      <c r="D7844" s="450" t="s">
        <v>12754</v>
      </c>
      <c r="E7844" s="450" t="s">
        <v>12755</v>
      </c>
      <c r="F7844" s="450" t="s">
        <v>12756</v>
      </c>
      <c r="G7844" s="450"/>
      <c r="H7844" s="450"/>
      <c r="I7844" s="450"/>
      <c r="J7844" s="450"/>
      <c r="K7844" s="450"/>
    </row>
    <row r="7845" spans="1:11">
      <c r="A7845" s="451" t="s">
        <v>20725</v>
      </c>
      <c r="B7845" s="451" t="s">
        <v>12757</v>
      </c>
      <c r="C7845" s="451" t="s">
        <v>12758</v>
      </c>
      <c r="D7845" s="451" t="s">
        <v>12759</v>
      </c>
      <c r="E7845" s="451"/>
      <c r="F7845" s="451" t="s">
        <v>12761</v>
      </c>
      <c r="G7845" s="451" t="s">
        <v>22877</v>
      </c>
      <c r="H7845" s="451" t="s">
        <v>22878</v>
      </c>
      <c r="I7845" s="451" t="s">
        <v>27454</v>
      </c>
      <c r="J7845" s="451" t="s">
        <v>27455</v>
      </c>
      <c r="K7845" s="451"/>
    </row>
    <row r="7846" spans="1:11">
      <c r="A7846" s="450" t="s">
        <v>20725</v>
      </c>
      <c r="B7846" s="450" t="s">
        <v>12757</v>
      </c>
      <c r="C7846" s="450" t="s">
        <v>12758</v>
      </c>
      <c r="D7846" s="450" t="s">
        <v>12759</v>
      </c>
      <c r="E7846" s="450" t="s">
        <v>12760</v>
      </c>
      <c r="F7846" s="450" t="s">
        <v>12761</v>
      </c>
      <c r="G7846" s="450"/>
      <c r="H7846" s="450"/>
      <c r="I7846" s="450"/>
      <c r="J7846" s="450"/>
      <c r="K7846" s="450"/>
    </row>
    <row r="7847" spans="1:11">
      <c r="A7847" s="451" t="s">
        <v>30034</v>
      </c>
      <c r="B7847" s="451" t="s">
        <v>30035</v>
      </c>
      <c r="C7847" s="451" t="s">
        <v>30036</v>
      </c>
      <c r="D7847" s="451"/>
      <c r="E7847" s="451"/>
      <c r="F7847" s="451"/>
      <c r="G7847" s="451"/>
      <c r="H7847" s="451"/>
      <c r="I7847" s="451"/>
      <c r="J7847" s="451"/>
      <c r="K7847" s="451"/>
    </row>
    <row r="7848" spans="1:11">
      <c r="A7848" s="450" t="s">
        <v>20726</v>
      </c>
      <c r="B7848" s="450" t="s">
        <v>12762</v>
      </c>
      <c r="C7848" s="450" t="s">
        <v>12763</v>
      </c>
      <c r="D7848" s="450" t="s">
        <v>12764</v>
      </c>
      <c r="E7848" s="450"/>
      <c r="F7848" s="450" t="s">
        <v>12766</v>
      </c>
      <c r="G7848" s="450" t="s">
        <v>22882</v>
      </c>
      <c r="H7848" s="450" t="s">
        <v>22883</v>
      </c>
      <c r="I7848" s="450" t="s">
        <v>37026</v>
      </c>
      <c r="J7848" s="450" t="s">
        <v>37027</v>
      </c>
      <c r="K7848" s="450"/>
    </row>
    <row r="7849" spans="1:11">
      <c r="A7849" s="451" t="s">
        <v>20726</v>
      </c>
      <c r="B7849" s="451" t="s">
        <v>12762</v>
      </c>
      <c r="C7849" s="451" t="s">
        <v>12763</v>
      </c>
      <c r="D7849" s="451" t="s">
        <v>12764</v>
      </c>
      <c r="E7849" s="451" t="s">
        <v>12765</v>
      </c>
      <c r="F7849" s="451" t="s">
        <v>12766</v>
      </c>
      <c r="G7849" s="451"/>
      <c r="H7849" s="451"/>
      <c r="I7849" s="451"/>
      <c r="J7849" s="451"/>
      <c r="K7849" s="451"/>
    </row>
    <row r="7850" spans="1:11">
      <c r="A7850" s="450" t="s">
        <v>20727</v>
      </c>
      <c r="B7850" s="450" t="s">
        <v>27456</v>
      </c>
      <c r="C7850" s="450" t="s">
        <v>12768</v>
      </c>
      <c r="D7850" s="450" t="s">
        <v>12769</v>
      </c>
      <c r="E7850" s="450"/>
      <c r="F7850" s="450" t="s">
        <v>12771</v>
      </c>
      <c r="G7850" s="450" t="s">
        <v>22882</v>
      </c>
      <c r="H7850" s="450" t="s">
        <v>22883</v>
      </c>
      <c r="I7850" s="450" t="s">
        <v>12769</v>
      </c>
      <c r="J7850" s="450" t="s">
        <v>27457</v>
      </c>
      <c r="K7850" s="450"/>
    </row>
    <row r="7851" spans="1:11">
      <c r="A7851" s="451" t="s">
        <v>20727</v>
      </c>
      <c r="B7851" s="451" t="s">
        <v>12767</v>
      </c>
      <c r="C7851" s="451" t="s">
        <v>12768</v>
      </c>
      <c r="D7851" s="451" t="s">
        <v>12769</v>
      </c>
      <c r="E7851" s="451" t="s">
        <v>12770</v>
      </c>
      <c r="F7851" s="451" t="s">
        <v>12771</v>
      </c>
      <c r="G7851" s="451"/>
      <c r="H7851" s="451"/>
      <c r="I7851" s="451"/>
      <c r="J7851" s="451"/>
      <c r="K7851" s="451"/>
    </row>
    <row r="7852" spans="1:11">
      <c r="A7852" s="450" t="s">
        <v>20728</v>
      </c>
      <c r="B7852" s="450" t="s">
        <v>12772</v>
      </c>
      <c r="C7852" s="450" t="s">
        <v>12773</v>
      </c>
      <c r="D7852" s="450" t="s">
        <v>12774</v>
      </c>
      <c r="E7852" s="450"/>
      <c r="F7852" s="450" t="s">
        <v>12776</v>
      </c>
      <c r="G7852" s="450" t="s">
        <v>22882</v>
      </c>
      <c r="H7852" s="450" t="s">
        <v>22883</v>
      </c>
      <c r="I7852" s="450" t="s">
        <v>37028</v>
      </c>
      <c r="J7852" s="450" t="s">
        <v>37029</v>
      </c>
      <c r="K7852" s="450"/>
    </row>
    <row r="7853" spans="1:11">
      <c r="A7853" s="451" t="s">
        <v>20728</v>
      </c>
      <c r="B7853" s="451" t="s">
        <v>12772</v>
      </c>
      <c r="C7853" s="451" t="s">
        <v>12773</v>
      </c>
      <c r="D7853" s="451" t="s">
        <v>12774</v>
      </c>
      <c r="E7853" s="451" t="s">
        <v>12775</v>
      </c>
      <c r="F7853" s="451" t="s">
        <v>12776</v>
      </c>
      <c r="G7853" s="451"/>
      <c r="H7853" s="451"/>
      <c r="I7853" s="451"/>
      <c r="J7853" s="451"/>
      <c r="K7853" s="451"/>
    </row>
    <row r="7854" spans="1:11">
      <c r="A7854" s="450" t="s">
        <v>20729</v>
      </c>
      <c r="B7854" s="450" t="s">
        <v>12777</v>
      </c>
      <c r="C7854" s="450" t="s">
        <v>12778</v>
      </c>
      <c r="D7854" s="450" t="s">
        <v>12779</v>
      </c>
      <c r="E7854" s="450"/>
      <c r="F7854" s="450" t="s">
        <v>12781</v>
      </c>
      <c r="G7854" s="450" t="s">
        <v>22877</v>
      </c>
      <c r="H7854" s="450" t="s">
        <v>22878</v>
      </c>
      <c r="I7854" s="450" t="s">
        <v>12779</v>
      </c>
      <c r="J7854" s="450" t="s">
        <v>37030</v>
      </c>
      <c r="K7854" s="450"/>
    </row>
    <row r="7855" spans="1:11">
      <c r="A7855" s="451" t="s">
        <v>20729</v>
      </c>
      <c r="B7855" s="451" t="s">
        <v>12777</v>
      </c>
      <c r="C7855" s="451" t="s">
        <v>12778</v>
      </c>
      <c r="D7855" s="451" t="s">
        <v>12779</v>
      </c>
      <c r="E7855" s="451" t="s">
        <v>12780</v>
      </c>
      <c r="F7855" s="451" t="s">
        <v>12781</v>
      </c>
      <c r="G7855" s="451"/>
      <c r="H7855" s="451"/>
      <c r="I7855" s="451"/>
      <c r="J7855" s="451"/>
      <c r="K7855" s="451"/>
    </row>
    <row r="7856" spans="1:11">
      <c r="A7856" s="450" t="s">
        <v>20730</v>
      </c>
      <c r="B7856" s="450" t="s">
        <v>12782</v>
      </c>
      <c r="C7856" s="450" t="s">
        <v>12783</v>
      </c>
      <c r="D7856" s="450" t="s">
        <v>12784</v>
      </c>
      <c r="E7856" s="450"/>
      <c r="F7856" s="450" t="s">
        <v>12786</v>
      </c>
      <c r="G7856" s="450" t="s">
        <v>22877</v>
      </c>
      <c r="H7856" s="450" t="s">
        <v>22878</v>
      </c>
      <c r="I7856" s="450" t="s">
        <v>12784</v>
      </c>
      <c r="J7856" s="450" t="s">
        <v>37031</v>
      </c>
      <c r="K7856" s="450"/>
    </row>
    <row r="7857" spans="1:11">
      <c r="A7857" s="451" t="s">
        <v>20730</v>
      </c>
      <c r="B7857" s="451" t="s">
        <v>12782</v>
      </c>
      <c r="C7857" s="451" t="s">
        <v>12783</v>
      </c>
      <c r="D7857" s="451" t="s">
        <v>12784</v>
      </c>
      <c r="E7857" s="451" t="s">
        <v>12785</v>
      </c>
      <c r="F7857" s="451" t="s">
        <v>12786</v>
      </c>
      <c r="G7857" s="451"/>
      <c r="H7857" s="451"/>
      <c r="I7857" s="451"/>
      <c r="J7857" s="451"/>
      <c r="K7857" s="451"/>
    </row>
    <row r="7858" spans="1:11">
      <c r="A7858" s="450" t="s">
        <v>20731</v>
      </c>
      <c r="B7858" s="450" t="s">
        <v>12787</v>
      </c>
      <c r="C7858" s="450" t="s">
        <v>12788</v>
      </c>
      <c r="D7858" s="450" t="s">
        <v>12789</v>
      </c>
      <c r="E7858" s="450"/>
      <c r="F7858" s="450" t="s">
        <v>12791</v>
      </c>
      <c r="G7858" s="450" t="s">
        <v>22877</v>
      </c>
      <c r="H7858" s="450" t="s">
        <v>22878</v>
      </c>
      <c r="I7858" s="450" t="s">
        <v>37032</v>
      </c>
      <c r="J7858" s="450" t="s">
        <v>37033</v>
      </c>
      <c r="K7858" s="450"/>
    </row>
    <row r="7859" spans="1:11">
      <c r="A7859" s="451" t="s">
        <v>20731</v>
      </c>
      <c r="B7859" s="451" t="s">
        <v>12787</v>
      </c>
      <c r="C7859" s="451" t="s">
        <v>12788</v>
      </c>
      <c r="D7859" s="451" t="s">
        <v>12789</v>
      </c>
      <c r="E7859" s="451" t="s">
        <v>12790</v>
      </c>
      <c r="F7859" s="451" t="s">
        <v>12791</v>
      </c>
      <c r="G7859" s="451"/>
      <c r="H7859" s="451"/>
      <c r="I7859" s="451"/>
      <c r="J7859" s="451"/>
      <c r="K7859" s="451"/>
    </row>
    <row r="7860" spans="1:11">
      <c r="A7860" s="450" t="s">
        <v>20732</v>
      </c>
      <c r="B7860" s="450" t="s">
        <v>12792</v>
      </c>
      <c r="C7860" s="450" t="s">
        <v>12793</v>
      </c>
      <c r="D7860" s="450" t="s">
        <v>12794</v>
      </c>
      <c r="E7860" s="450"/>
      <c r="F7860" s="450" t="s">
        <v>12796</v>
      </c>
      <c r="G7860" s="450" t="s">
        <v>22882</v>
      </c>
      <c r="H7860" s="450" t="s">
        <v>22883</v>
      </c>
      <c r="I7860" s="450" t="s">
        <v>12794</v>
      </c>
      <c r="J7860" s="450" t="s">
        <v>37034</v>
      </c>
      <c r="K7860" s="450"/>
    </row>
    <row r="7861" spans="1:11">
      <c r="A7861" s="451" t="s">
        <v>20732</v>
      </c>
      <c r="B7861" s="451" t="s">
        <v>12792</v>
      </c>
      <c r="C7861" s="451" t="s">
        <v>12793</v>
      </c>
      <c r="D7861" s="451" t="s">
        <v>12794</v>
      </c>
      <c r="E7861" s="451" t="s">
        <v>12795</v>
      </c>
      <c r="F7861" s="451" t="s">
        <v>12796</v>
      </c>
      <c r="G7861" s="451"/>
      <c r="H7861" s="451"/>
      <c r="I7861" s="451"/>
      <c r="J7861" s="451"/>
      <c r="K7861" s="451"/>
    </row>
    <row r="7862" spans="1:11">
      <c r="A7862" s="450" t="s">
        <v>20733</v>
      </c>
      <c r="B7862" s="450" t="s">
        <v>12797</v>
      </c>
      <c r="C7862" s="450" t="s">
        <v>12798</v>
      </c>
      <c r="D7862" s="450" t="s">
        <v>12799</v>
      </c>
      <c r="E7862" s="450"/>
      <c r="F7862" s="450" t="s">
        <v>12801</v>
      </c>
      <c r="G7862" s="450" t="s">
        <v>22882</v>
      </c>
      <c r="H7862" s="450" t="s">
        <v>22883</v>
      </c>
      <c r="I7862" s="450" t="s">
        <v>37032</v>
      </c>
      <c r="J7862" s="450" t="s">
        <v>37035</v>
      </c>
      <c r="K7862" s="450"/>
    </row>
    <row r="7863" spans="1:11">
      <c r="A7863" s="451" t="s">
        <v>20733</v>
      </c>
      <c r="B7863" s="451" t="s">
        <v>12797</v>
      </c>
      <c r="C7863" s="451" t="s">
        <v>12798</v>
      </c>
      <c r="D7863" s="451" t="s">
        <v>12799</v>
      </c>
      <c r="E7863" s="451" t="s">
        <v>12800</v>
      </c>
      <c r="F7863" s="451" t="s">
        <v>12801</v>
      </c>
      <c r="G7863" s="451"/>
      <c r="H7863" s="451"/>
      <c r="I7863" s="451"/>
      <c r="J7863" s="451"/>
      <c r="K7863" s="451"/>
    </row>
    <row r="7864" spans="1:11">
      <c r="A7864" s="450" t="s">
        <v>20734</v>
      </c>
      <c r="B7864" s="450" t="s">
        <v>12802</v>
      </c>
      <c r="C7864" s="450" t="s">
        <v>12803</v>
      </c>
      <c r="D7864" s="450" t="s">
        <v>12804</v>
      </c>
      <c r="E7864" s="450"/>
      <c r="F7864" s="450" t="s">
        <v>12806</v>
      </c>
      <c r="G7864" s="450" t="s">
        <v>22877</v>
      </c>
      <c r="H7864" s="450" t="s">
        <v>22878</v>
      </c>
      <c r="I7864" s="450" t="s">
        <v>12804</v>
      </c>
      <c r="J7864" s="450" t="s">
        <v>37036</v>
      </c>
      <c r="K7864" s="450"/>
    </row>
    <row r="7865" spans="1:11">
      <c r="A7865" s="451" t="s">
        <v>20734</v>
      </c>
      <c r="B7865" s="451" t="s">
        <v>12802</v>
      </c>
      <c r="C7865" s="451" t="s">
        <v>12803</v>
      </c>
      <c r="D7865" s="451" t="s">
        <v>12804</v>
      </c>
      <c r="E7865" s="451" t="s">
        <v>12805</v>
      </c>
      <c r="F7865" s="451" t="s">
        <v>12806</v>
      </c>
      <c r="G7865" s="451"/>
      <c r="H7865" s="451"/>
      <c r="I7865" s="451"/>
      <c r="J7865" s="451"/>
      <c r="K7865" s="451"/>
    </row>
    <row r="7866" spans="1:11">
      <c r="A7866" s="450" t="s">
        <v>20735</v>
      </c>
      <c r="B7866" s="450" t="s">
        <v>27458</v>
      </c>
      <c r="C7866" s="450" t="s">
        <v>12808</v>
      </c>
      <c r="D7866" s="450" t="s">
        <v>12809</v>
      </c>
      <c r="E7866" s="450"/>
      <c r="F7866" s="450" t="s">
        <v>12811</v>
      </c>
      <c r="G7866" s="450" t="s">
        <v>22877</v>
      </c>
      <c r="H7866" s="450" t="s">
        <v>22878</v>
      </c>
      <c r="I7866" s="450" t="s">
        <v>12809</v>
      </c>
      <c r="J7866" s="450" t="s">
        <v>27459</v>
      </c>
      <c r="K7866" s="450"/>
    </row>
    <row r="7867" spans="1:11">
      <c r="A7867" s="451" t="s">
        <v>20735</v>
      </c>
      <c r="B7867" s="451" t="s">
        <v>12807</v>
      </c>
      <c r="C7867" s="451" t="s">
        <v>12808</v>
      </c>
      <c r="D7867" s="451" t="s">
        <v>12809</v>
      </c>
      <c r="E7867" s="451" t="s">
        <v>12810</v>
      </c>
      <c r="F7867" s="451" t="s">
        <v>12811</v>
      </c>
      <c r="G7867" s="451"/>
      <c r="H7867" s="451"/>
      <c r="I7867" s="451"/>
      <c r="J7867" s="451"/>
      <c r="K7867" s="451"/>
    </row>
    <row r="7868" spans="1:11">
      <c r="A7868" s="450" t="s">
        <v>20736</v>
      </c>
      <c r="B7868" s="450" t="s">
        <v>12812</v>
      </c>
      <c r="C7868" s="450" t="s">
        <v>12813</v>
      </c>
      <c r="D7868" s="450" t="s">
        <v>12814</v>
      </c>
      <c r="E7868" s="450"/>
      <c r="F7868" s="450" t="s">
        <v>12816</v>
      </c>
      <c r="G7868" s="450" t="s">
        <v>22877</v>
      </c>
      <c r="H7868" s="450" t="s">
        <v>22878</v>
      </c>
      <c r="I7868" s="450" t="s">
        <v>12814</v>
      </c>
      <c r="J7868" s="450" t="s">
        <v>37037</v>
      </c>
      <c r="K7868" s="450"/>
    </row>
    <row r="7869" spans="1:11">
      <c r="A7869" s="451" t="s">
        <v>20736</v>
      </c>
      <c r="B7869" s="451" t="s">
        <v>12812</v>
      </c>
      <c r="C7869" s="451" t="s">
        <v>12813</v>
      </c>
      <c r="D7869" s="451" t="s">
        <v>12814</v>
      </c>
      <c r="E7869" s="451" t="s">
        <v>12815</v>
      </c>
      <c r="F7869" s="451" t="s">
        <v>12816</v>
      </c>
      <c r="G7869" s="451"/>
      <c r="H7869" s="451"/>
      <c r="I7869" s="451"/>
      <c r="J7869" s="451"/>
      <c r="K7869" s="451"/>
    </row>
    <row r="7870" spans="1:11">
      <c r="A7870" s="450" t="s">
        <v>20737</v>
      </c>
      <c r="B7870" s="450" t="s">
        <v>27460</v>
      </c>
      <c r="C7870" s="450" t="s">
        <v>12818</v>
      </c>
      <c r="D7870" s="450" t="s">
        <v>12819</v>
      </c>
      <c r="E7870" s="450"/>
      <c r="F7870" s="450" t="s">
        <v>12821</v>
      </c>
      <c r="G7870" s="450" t="s">
        <v>22877</v>
      </c>
      <c r="H7870" s="450" t="s">
        <v>22878</v>
      </c>
      <c r="I7870" s="450" t="s">
        <v>12819</v>
      </c>
      <c r="J7870" s="450" t="s">
        <v>27461</v>
      </c>
      <c r="K7870" s="450"/>
    </row>
    <row r="7871" spans="1:11">
      <c r="A7871" s="451" t="s">
        <v>20737</v>
      </c>
      <c r="B7871" s="451" t="s">
        <v>12817</v>
      </c>
      <c r="C7871" s="451" t="s">
        <v>12818</v>
      </c>
      <c r="D7871" s="451" t="s">
        <v>12819</v>
      </c>
      <c r="E7871" s="451" t="s">
        <v>12820</v>
      </c>
      <c r="F7871" s="451" t="s">
        <v>12821</v>
      </c>
      <c r="G7871" s="451"/>
      <c r="H7871" s="451"/>
      <c r="I7871" s="451"/>
      <c r="J7871" s="451"/>
      <c r="K7871" s="451"/>
    </row>
    <row r="7872" spans="1:11">
      <c r="A7872" s="450" t="s">
        <v>20738</v>
      </c>
      <c r="B7872" s="450" t="s">
        <v>12822</v>
      </c>
      <c r="C7872" s="450" t="s">
        <v>12823</v>
      </c>
      <c r="D7872" s="450" t="s">
        <v>12824</v>
      </c>
      <c r="E7872" s="450"/>
      <c r="F7872" s="450" t="s">
        <v>12826</v>
      </c>
      <c r="G7872" s="450" t="s">
        <v>22882</v>
      </c>
      <c r="H7872" s="450" t="s">
        <v>22883</v>
      </c>
      <c r="I7872" s="450" t="s">
        <v>12824</v>
      </c>
      <c r="J7872" s="450" t="s">
        <v>37038</v>
      </c>
      <c r="K7872" s="450"/>
    </row>
    <row r="7873" spans="1:11">
      <c r="A7873" s="451" t="s">
        <v>20738</v>
      </c>
      <c r="B7873" s="451" t="s">
        <v>12822</v>
      </c>
      <c r="C7873" s="451" t="s">
        <v>12823</v>
      </c>
      <c r="D7873" s="451" t="s">
        <v>12824</v>
      </c>
      <c r="E7873" s="451" t="s">
        <v>12825</v>
      </c>
      <c r="F7873" s="451" t="s">
        <v>12826</v>
      </c>
      <c r="G7873" s="451"/>
      <c r="H7873" s="451"/>
      <c r="I7873" s="451"/>
      <c r="J7873" s="451"/>
      <c r="K7873" s="451"/>
    </row>
    <row r="7874" spans="1:11">
      <c r="A7874" s="450" t="s">
        <v>20739</v>
      </c>
      <c r="B7874" s="450" t="s">
        <v>12827</v>
      </c>
      <c r="C7874" s="450" t="s">
        <v>12828</v>
      </c>
      <c r="D7874" s="450" t="s">
        <v>12829</v>
      </c>
      <c r="E7874" s="450"/>
      <c r="F7874" s="450" t="s">
        <v>12831</v>
      </c>
      <c r="G7874" s="450" t="s">
        <v>22877</v>
      </c>
      <c r="H7874" s="450" t="s">
        <v>22878</v>
      </c>
      <c r="I7874" s="450" t="s">
        <v>12829</v>
      </c>
      <c r="J7874" s="450" t="s">
        <v>37039</v>
      </c>
      <c r="K7874" s="450"/>
    </row>
    <row r="7875" spans="1:11">
      <c r="A7875" s="451" t="s">
        <v>20739</v>
      </c>
      <c r="B7875" s="451" t="s">
        <v>12827</v>
      </c>
      <c r="C7875" s="451" t="s">
        <v>12828</v>
      </c>
      <c r="D7875" s="451" t="s">
        <v>12829</v>
      </c>
      <c r="E7875" s="451" t="s">
        <v>12830</v>
      </c>
      <c r="F7875" s="451" t="s">
        <v>12831</v>
      </c>
      <c r="G7875" s="451"/>
      <c r="H7875" s="451"/>
      <c r="I7875" s="451"/>
      <c r="J7875" s="451"/>
      <c r="K7875" s="451"/>
    </row>
    <row r="7876" spans="1:11">
      <c r="A7876" s="450" t="s">
        <v>20740</v>
      </c>
      <c r="B7876" s="450" t="s">
        <v>27462</v>
      </c>
      <c r="C7876" s="450" t="s">
        <v>12833</v>
      </c>
      <c r="D7876" s="450" t="s">
        <v>12834</v>
      </c>
      <c r="E7876" s="450"/>
      <c r="F7876" s="450" t="s">
        <v>12836</v>
      </c>
      <c r="G7876" s="450" t="s">
        <v>27463</v>
      </c>
      <c r="H7876" s="450" t="s">
        <v>22878</v>
      </c>
      <c r="I7876" s="450" t="s">
        <v>27464</v>
      </c>
      <c r="J7876" s="450" t="s">
        <v>27462</v>
      </c>
      <c r="K7876" s="450"/>
    </row>
    <row r="7877" spans="1:11">
      <c r="A7877" s="451" t="s">
        <v>20740</v>
      </c>
      <c r="B7877" s="451" t="s">
        <v>12832</v>
      </c>
      <c r="C7877" s="451" t="s">
        <v>12833</v>
      </c>
      <c r="D7877" s="451" t="s">
        <v>12834</v>
      </c>
      <c r="E7877" s="451" t="s">
        <v>12835</v>
      </c>
      <c r="F7877" s="451" t="s">
        <v>12836</v>
      </c>
      <c r="G7877" s="451"/>
      <c r="H7877" s="451"/>
      <c r="I7877" s="451"/>
      <c r="J7877" s="451"/>
      <c r="K7877" s="451"/>
    </row>
    <row r="7878" spans="1:11">
      <c r="A7878" s="450" t="s">
        <v>20741</v>
      </c>
      <c r="B7878" s="450" t="s">
        <v>12837</v>
      </c>
      <c r="C7878" s="450" t="s">
        <v>12838</v>
      </c>
      <c r="D7878" s="450" t="s">
        <v>12839</v>
      </c>
      <c r="E7878" s="450"/>
      <c r="F7878" s="450" t="s">
        <v>12801</v>
      </c>
      <c r="G7878" s="450" t="s">
        <v>22877</v>
      </c>
      <c r="H7878" s="450" t="s">
        <v>22878</v>
      </c>
      <c r="I7878" s="450" t="s">
        <v>12839</v>
      </c>
      <c r="J7878" s="450" t="s">
        <v>37040</v>
      </c>
      <c r="K7878" s="450"/>
    </row>
    <row r="7879" spans="1:11">
      <c r="A7879" s="451" t="s">
        <v>20741</v>
      </c>
      <c r="B7879" s="451" t="s">
        <v>12837</v>
      </c>
      <c r="C7879" s="451" t="s">
        <v>12838</v>
      </c>
      <c r="D7879" s="451" t="s">
        <v>12839</v>
      </c>
      <c r="E7879" s="451" t="s">
        <v>12840</v>
      </c>
      <c r="F7879" s="451" t="s">
        <v>12801</v>
      </c>
      <c r="G7879" s="451"/>
      <c r="H7879" s="451"/>
      <c r="I7879" s="451"/>
      <c r="J7879" s="451"/>
      <c r="K7879" s="451"/>
    </row>
    <row r="7880" spans="1:11">
      <c r="A7880" s="450" t="s">
        <v>20742</v>
      </c>
      <c r="B7880" s="450" t="s">
        <v>12841</v>
      </c>
      <c r="C7880" s="450" t="s">
        <v>12842</v>
      </c>
      <c r="D7880" s="450" t="s">
        <v>12843</v>
      </c>
      <c r="E7880" s="450"/>
      <c r="F7880" s="450" t="s">
        <v>12845</v>
      </c>
      <c r="G7880" s="450" t="s">
        <v>22877</v>
      </c>
      <c r="H7880" s="450" t="s">
        <v>22878</v>
      </c>
      <c r="I7880" s="450" t="s">
        <v>12843</v>
      </c>
      <c r="J7880" s="450" t="s">
        <v>37041</v>
      </c>
      <c r="K7880" s="450"/>
    </row>
    <row r="7881" spans="1:11">
      <c r="A7881" s="451" t="s">
        <v>20742</v>
      </c>
      <c r="B7881" s="451" t="s">
        <v>12841</v>
      </c>
      <c r="C7881" s="451" t="s">
        <v>12842</v>
      </c>
      <c r="D7881" s="451" t="s">
        <v>12843</v>
      </c>
      <c r="E7881" s="451" t="s">
        <v>12844</v>
      </c>
      <c r="F7881" s="451" t="s">
        <v>12845</v>
      </c>
      <c r="G7881" s="451"/>
      <c r="H7881" s="451"/>
      <c r="I7881" s="451"/>
      <c r="J7881" s="451"/>
      <c r="K7881" s="451"/>
    </row>
    <row r="7882" spans="1:11">
      <c r="A7882" s="450" t="s">
        <v>20743</v>
      </c>
      <c r="B7882" s="450" t="s">
        <v>12846</v>
      </c>
      <c r="C7882" s="450" t="s">
        <v>12847</v>
      </c>
      <c r="D7882" s="450" t="s">
        <v>12848</v>
      </c>
      <c r="E7882" s="450"/>
      <c r="F7882" s="450" t="s">
        <v>12850</v>
      </c>
      <c r="G7882" s="450" t="s">
        <v>22877</v>
      </c>
      <c r="H7882" s="450" t="s">
        <v>22878</v>
      </c>
      <c r="I7882" s="450" t="s">
        <v>37042</v>
      </c>
      <c r="J7882" s="450" t="s">
        <v>37043</v>
      </c>
      <c r="K7882" s="450"/>
    </row>
    <row r="7883" spans="1:11">
      <c r="A7883" s="451" t="s">
        <v>20743</v>
      </c>
      <c r="B7883" s="451" t="s">
        <v>12846</v>
      </c>
      <c r="C7883" s="451" t="s">
        <v>12847</v>
      </c>
      <c r="D7883" s="451" t="s">
        <v>12848</v>
      </c>
      <c r="E7883" s="451" t="s">
        <v>12849</v>
      </c>
      <c r="F7883" s="451" t="s">
        <v>12850</v>
      </c>
      <c r="G7883" s="451"/>
      <c r="H7883" s="451"/>
      <c r="I7883" s="451"/>
      <c r="J7883" s="451"/>
      <c r="K7883" s="451"/>
    </row>
    <row r="7884" spans="1:11">
      <c r="A7884" s="450" t="s">
        <v>20744</v>
      </c>
      <c r="B7884" s="450" t="s">
        <v>12851</v>
      </c>
      <c r="C7884" s="450" t="s">
        <v>12852</v>
      </c>
      <c r="D7884" s="450" t="s">
        <v>12853</v>
      </c>
      <c r="E7884" s="450"/>
      <c r="F7884" s="450" t="s">
        <v>12855</v>
      </c>
      <c r="G7884" s="450" t="s">
        <v>22877</v>
      </c>
      <c r="H7884" s="450" t="s">
        <v>22878</v>
      </c>
      <c r="I7884" s="450" t="s">
        <v>37044</v>
      </c>
      <c r="J7884" s="450" t="s">
        <v>37045</v>
      </c>
      <c r="K7884" s="450"/>
    </row>
    <row r="7885" spans="1:11">
      <c r="A7885" s="451" t="s">
        <v>20744</v>
      </c>
      <c r="B7885" s="451" t="s">
        <v>12851</v>
      </c>
      <c r="C7885" s="451" t="s">
        <v>12852</v>
      </c>
      <c r="D7885" s="451" t="s">
        <v>12853</v>
      </c>
      <c r="E7885" s="451" t="s">
        <v>12854</v>
      </c>
      <c r="F7885" s="451" t="s">
        <v>12855</v>
      </c>
      <c r="G7885" s="451"/>
      <c r="H7885" s="451"/>
      <c r="I7885" s="451"/>
      <c r="J7885" s="451"/>
      <c r="K7885" s="451"/>
    </row>
    <row r="7886" spans="1:11">
      <c r="A7886" s="450" t="s">
        <v>20745</v>
      </c>
      <c r="B7886" s="450" t="s">
        <v>12856</v>
      </c>
      <c r="C7886" s="450" t="s">
        <v>12857</v>
      </c>
      <c r="D7886" s="450" t="s">
        <v>12858</v>
      </c>
      <c r="E7886" s="450"/>
      <c r="F7886" s="450" t="s">
        <v>12860</v>
      </c>
      <c r="G7886" s="450" t="s">
        <v>22877</v>
      </c>
      <c r="H7886" s="450" t="s">
        <v>22878</v>
      </c>
      <c r="I7886" s="450" t="s">
        <v>12858</v>
      </c>
      <c r="J7886" s="450" t="s">
        <v>27465</v>
      </c>
      <c r="K7886" s="450"/>
    </row>
    <row r="7887" spans="1:11">
      <c r="A7887" s="451" t="s">
        <v>20745</v>
      </c>
      <c r="B7887" s="451" t="s">
        <v>12856</v>
      </c>
      <c r="C7887" s="451" t="s">
        <v>12857</v>
      </c>
      <c r="D7887" s="451" t="s">
        <v>12858</v>
      </c>
      <c r="E7887" s="451" t="s">
        <v>12859</v>
      </c>
      <c r="F7887" s="451" t="s">
        <v>12860</v>
      </c>
      <c r="G7887" s="451"/>
      <c r="H7887" s="451"/>
      <c r="I7887" s="451"/>
      <c r="J7887" s="451"/>
      <c r="K7887" s="451"/>
    </row>
    <row r="7888" spans="1:11">
      <c r="A7888" s="450" t="s">
        <v>20746</v>
      </c>
      <c r="B7888" s="450" t="s">
        <v>12861</v>
      </c>
      <c r="C7888" s="450" t="s">
        <v>12862</v>
      </c>
      <c r="D7888" s="450" t="s">
        <v>12863</v>
      </c>
      <c r="E7888" s="450" t="s">
        <v>12864</v>
      </c>
      <c r="F7888" s="450" t="s">
        <v>12865</v>
      </c>
      <c r="G7888" s="450"/>
      <c r="H7888" s="450"/>
      <c r="I7888" s="450"/>
      <c r="J7888" s="450"/>
      <c r="K7888" s="450"/>
    </row>
    <row r="7889" spans="1:11">
      <c r="A7889" s="451" t="s">
        <v>27466</v>
      </c>
      <c r="B7889" s="451" t="s">
        <v>12861</v>
      </c>
      <c r="C7889" s="451" t="s">
        <v>27467</v>
      </c>
      <c r="D7889" s="451" t="s">
        <v>12863</v>
      </c>
      <c r="E7889" s="451"/>
      <c r="F7889" s="451" t="s">
        <v>12865</v>
      </c>
      <c r="G7889" s="451" t="s">
        <v>22877</v>
      </c>
      <c r="H7889" s="451" t="s">
        <v>22878</v>
      </c>
      <c r="I7889" s="451" t="s">
        <v>12863</v>
      </c>
      <c r="J7889" s="451" t="s">
        <v>27468</v>
      </c>
      <c r="K7889" s="451"/>
    </row>
    <row r="7890" spans="1:11">
      <c r="A7890" s="450" t="s">
        <v>20747</v>
      </c>
      <c r="B7890" s="450" t="s">
        <v>12866</v>
      </c>
      <c r="C7890" s="450" t="s">
        <v>12867</v>
      </c>
      <c r="D7890" s="450" t="s">
        <v>12868</v>
      </c>
      <c r="E7890" s="450"/>
      <c r="F7890" s="450" t="s">
        <v>12870</v>
      </c>
      <c r="G7890" s="450" t="s">
        <v>22877</v>
      </c>
      <c r="H7890" s="450" t="s">
        <v>22878</v>
      </c>
      <c r="I7890" s="450" t="s">
        <v>12868</v>
      </c>
      <c r="J7890" s="450" t="s">
        <v>37046</v>
      </c>
      <c r="K7890" s="450"/>
    </row>
    <row r="7891" spans="1:11">
      <c r="A7891" s="451" t="s">
        <v>20747</v>
      </c>
      <c r="B7891" s="451" t="s">
        <v>12866</v>
      </c>
      <c r="C7891" s="451" t="s">
        <v>12867</v>
      </c>
      <c r="D7891" s="451" t="s">
        <v>12868</v>
      </c>
      <c r="E7891" s="451" t="s">
        <v>12869</v>
      </c>
      <c r="F7891" s="451" t="s">
        <v>12870</v>
      </c>
      <c r="G7891" s="451"/>
      <c r="H7891" s="451"/>
      <c r="I7891" s="451"/>
      <c r="J7891" s="451"/>
      <c r="K7891" s="451"/>
    </row>
    <row r="7892" spans="1:11">
      <c r="A7892" s="450" t="s">
        <v>20748</v>
      </c>
      <c r="B7892" s="450" t="s">
        <v>12871</v>
      </c>
      <c r="C7892" s="450" t="s">
        <v>12872</v>
      </c>
      <c r="D7892" s="450" t="s">
        <v>12873</v>
      </c>
      <c r="E7892" s="450"/>
      <c r="F7892" s="450" t="s">
        <v>12875</v>
      </c>
      <c r="G7892" s="450" t="s">
        <v>22877</v>
      </c>
      <c r="H7892" s="450" t="s">
        <v>22878</v>
      </c>
      <c r="I7892" s="450" t="s">
        <v>12873</v>
      </c>
      <c r="J7892" s="450" t="s">
        <v>37047</v>
      </c>
      <c r="K7892" s="450"/>
    </row>
    <row r="7893" spans="1:11">
      <c r="A7893" s="451" t="s">
        <v>20748</v>
      </c>
      <c r="B7893" s="451" t="s">
        <v>12871</v>
      </c>
      <c r="C7893" s="451" t="s">
        <v>12872</v>
      </c>
      <c r="D7893" s="451" t="s">
        <v>12873</v>
      </c>
      <c r="E7893" s="451" t="s">
        <v>12874</v>
      </c>
      <c r="F7893" s="451" t="s">
        <v>12875</v>
      </c>
      <c r="G7893" s="451"/>
      <c r="H7893" s="451"/>
      <c r="I7893" s="451"/>
      <c r="J7893" s="451"/>
      <c r="K7893" s="451"/>
    </row>
    <row r="7894" spans="1:11">
      <c r="A7894" s="450" t="s">
        <v>20749</v>
      </c>
      <c r="B7894" s="450" t="s">
        <v>12876</v>
      </c>
      <c r="C7894" s="450" t="s">
        <v>12877</v>
      </c>
      <c r="D7894" s="450" t="s">
        <v>12878</v>
      </c>
      <c r="E7894" s="450"/>
      <c r="F7894" s="450" t="s">
        <v>12880</v>
      </c>
      <c r="G7894" s="450" t="s">
        <v>22877</v>
      </c>
      <c r="H7894" s="450" t="s">
        <v>22878</v>
      </c>
      <c r="I7894" s="450" t="s">
        <v>12878</v>
      </c>
      <c r="J7894" s="450" t="s">
        <v>37048</v>
      </c>
      <c r="K7894" s="450"/>
    </row>
    <row r="7895" spans="1:11">
      <c r="A7895" s="451" t="s">
        <v>20749</v>
      </c>
      <c r="B7895" s="451" t="s">
        <v>12876</v>
      </c>
      <c r="C7895" s="451" t="s">
        <v>12877</v>
      </c>
      <c r="D7895" s="451" t="s">
        <v>12878</v>
      </c>
      <c r="E7895" s="451" t="s">
        <v>12879</v>
      </c>
      <c r="F7895" s="451" t="s">
        <v>12880</v>
      </c>
      <c r="G7895" s="451"/>
      <c r="H7895" s="451"/>
      <c r="I7895" s="451"/>
      <c r="J7895" s="451"/>
      <c r="K7895" s="451"/>
    </row>
    <row r="7896" spans="1:11">
      <c r="A7896" s="450" t="s">
        <v>20750</v>
      </c>
      <c r="B7896" s="450" t="s">
        <v>12881</v>
      </c>
      <c r="C7896" s="450" t="s">
        <v>8931</v>
      </c>
      <c r="D7896" s="450" t="s">
        <v>12882</v>
      </c>
      <c r="E7896" s="450"/>
      <c r="F7896" s="450" t="s">
        <v>12884</v>
      </c>
      <c r="G7896" s="450" t="s">
        <v>22877</v>
      </c>
      <c r="H7896" s="450" t="s">
        <v>22878</v>
      </c>
      <c r="I7896" s="450" t="s">
        <v>12882</v>
      </c>
      <c r="J7896" s="450" t="s">
        <v>37049</v>
      </c>
      <c r="K7896" s="450"/>
    </row>
    <row r="7897" spans="1:11">
      <c r="A7897" s="451" t="s">
        <v>20750</v>
      </c>
      <c r="B7897" s="451" t="s">
        <v>12881</v>
      </c>
      <c r="C7897" s="451" t="s">
        <v>8931</v>
      </c>
      <c r="D7897" s="451" t="s">
        <v>12882</v>
      </c>
      <c r="E7897" s="451" t="s">
        <v>12883</v>
      </c>
      <c r="F7897" s="451" t="s">
        <v>12884</v>
      </c>
      <c r="G7897" s="451"/>
      <c r="H7897" s="451"/>
      <c r="I7897" s="451"/>
      <c r="J7897" s="451"/>
      <c r="K7897" s="451"/>
    </row>
    <row r="7898" spans="1:11">
      <c r="A7898" s="450" t="s">
        <v>20751</v>
      </c>
      <c r="B7898" s="450" t="s">
        <v>27469</v>
      </c>
      <c r="C7898" s="450" t="s">
        <v>12886</v>
      </c>
      <c r="D7898" s="450" t="s">
        <v>12887</v>
      </c>
      <c r="E7898" s="450"/>
      <c r="F7898" s="450" t="s">
        <v>12889</v>
      </c>
      <c r="G7898" s="450" t="s">
        <v>22877</v>
      </c>
      <c r="H7898" s="450" t="s">
        <v>22878</v>
      </c>
      <c r="I7898" s="450" t="s">
        <v>27470</v>
      </c>
      <c r="J7898" s="450" t="s">
        <v>27471</v>
      </c>
      <c r="K7898" s="450"/>
    </row>
    <row r="7899" spans="1:11">
      <c r="A7899" s="451" t="s">
        <v>20751</v>
      </c>
      <c r="B7899" s="451" t="s">
        <v>12885</v>
      </c>
      <c r="C7899" s="451" t="s">
        <v>12886</v>
      </c>
      <c r="D7899" s="451" t="s">
        <v>12887</v>
      </c>
      <c r="E7899" s="451" t="s">
        <v>12888</v>
      </c>
      <c r="F7899" s="451" t="s">
        <v>12889</v>
      </c>
      <c r="G7899" s="451"/>
      <c r="H7899" s="451"/>
      <c r="I7899" s="451"/>
      <c r="J7899" s="451"/>
      <c r="K7899" s="451"/>
    </row>
    <row r="7900" spans="1:11">
      <c r="A7900" s="450" t="s">
        <v>20752</v>
      </c>
      <c r="B7900" s="450" t="s">
        <v>12890</v>
      </c>
      <c r="C7900" s="450" t="s">
        <v>12891</v>
      </c>
      <c r="D7900" s="450" t="s">
        <v>12892</v>
      </c>
      <c r="E7900" s="450"/>
      <c r="F7900" s="450" t="s">
        <v>12894</v>
      </c>
      <c r="G7900" s="450" t="s">
        <v>22877</v>
      </c>
      <c r="H7900" s="450" t="s">
        <v>22878</v>
      </c>
      <c r="I7900" s="450" t="s">
        <v>12892</v>
      </c>
      <c r="J7900" s="450" t="s">
        <v>37050</v>
      </c>
      <c r="K7900" s="450"/>
    </row>
    <row r="7901" spans="1:11">
      <c r="A7901" s="451" t="s">
        <v>20752</v>
      </c>
      <c r="B7901" s="451" t="s">
        <v>12890</v>
      </c>
      <c r="C7901" s="451" t="s">
        <v>12891</v>
      </c>
      <c r="D7901" s="451" t="s">
        <v>12892</v>
      </c>
      <c r="E7901" s="451" t="s">
        <v>12893</v>
      </c>
      <c r="F7901" s="451" t="s">
        <v>12894</v>
      </c>
      <c r="G7901" s="451"/>
      <c r="H7901" s="451"/>
      <c r="I7901" s="451"/>
      <c r="J7901" s="451"/>
      <c r="K7901" s="451"/>
    </row>
    <row r="7902" spans="1:11">
      <c r="A7902" s="450" t="s">
        <v>37051</v>
      </c>
      <c r="B7902" s="450" t="s">
        <v>12895</v>
      </c>
      <c r="C7902" s="450" t="s">
        <v>37052</v>
      </c>
      <c r="D7902" s="450" t="s">
        <v>12897</v>
      </c>
      <c r="E7902" s="450"/>
      <c r="F7902" s="450" t="s">
        <v>12899</v>
      </c>
      <c r="G7902" s="450" t="s">
        <v>22877</v>
      </c>
      <c r="H7902" s="450" t="s">
        <v>22878</v>
      </c>
      <c r="I7902" s="450" t="s">
        <v>12897</v>
      </c>
      <c r="J7902" s="450" t="s">
        <v>37053</v>
      </c>
      <c r="K7902" s="450"/>
    </row>
    <row r="7903" spans="1:11">
      <c r="A7903" s="451" t="s">
        <v>20753</v>
      </c>
      <c r="B7903" s="451" t="s">
        <v>12895</v>
      </c>
      <c r="C7903" s="451" t="s">
        <v>12896</v>
      </c>
      <c r="D7903" s="451" t="s">
        <v>12897</v>
      </c>
      <c r="E7903" s="451" t="s">
        <v>12898</v>
      </c>
      <c r="F7903" s="451" t="s">
        <v>12899</v>
      </c>
      <c r="G7903" s="451"/>
      <c r="H7903" s="451"/>
      <c r="I7903" s="451"/>
      <c r="J7903" s="451"/>
      <c r="K7903" s="451"/>
    </row>
    <row r="7904" spans="1:11">
      <c r="A7904" s="450" t="s">
        <v>20754</v>
      </c>
      <c r="B7904" s="450" t="s">
        <v>12900</v>
      </c>
      <c r="C7904" s="450" t="s">
        <v>12901</v>
      </c>
      <c r="D7904" s="450" t="s">
        <v>12902</v>
      </c>
      <c r="E7904" s="450"/>
      <c r="F7904" s="450" t="s">
        <v>12904</v>
      </c>
      <c r="G7904" s="450" t="s">
        <v>22877</v>
      </c>
      <c r="H7904" s="450" t="s">
        <v>22878</v>
      </c>
      <c r="I7904" s="450" t="s">
        <v>12902</v>
      </c>
      <c r="J7904" s="450" t="s">
        <v>37054</v>
      </c>
      <c r="K7904" s="450"/>
    </row>
    <row r="7905" spans="1:11">
      <c r="A7905" s="451" t="s">
        <v>20754</v>
      </c>
      <c r="B7905" s="451" t="s">
        <v>12900</v>
      </c>
      <c r="C7905" s="451" t="s">
        <v>12901</v>
      </c>
      <c r="D7905" s="451" t="s">
        <v>12902</v>
      </c>
      <c r="E7905" s="451" t="s">
        <v>12903</v>
      </c>
      <c r="F7905" s="451" t="s">
        <v>12904</v>
      </c>
      <c r="G7905" s="451"/>
      <c r="H7905" s="451"/>
      <c r="I7905" s="451"/>
      <c r="J7905" s="451"/>
      <c r="K7905" s="451"/>
    </row>
    <row r="7906" spans="1:11">
      <c r="A7906" s="450" t="s">
        <v>20755</v>
      </c>
      <c r="B7906" s="450" t="s">
        <v>12905</v>
      </c>
      <c r="C7906" s="450" t="s">
        <v>12906</v>
      </c>
      <c r="D7906" s="450" t="s">
        <v>12907</v>
      </c>
      <c r="E7906" s="450"/>
      <c r="F7906" s="450" t="s">
        <v>12909</v>
      </c>
      <c r="G7906" s="450" t="s">
        <v>22877</v>
      </c>
      <c r="H7906" s="450" t="s">
        <v>22878</v>
      </c>
      <c r="I7906" s="450" t="s">
        <v>12907</v>
      </c>
      <c r="J7906" s="450" t="s">
        <v>27472</v>
      </c>
      <c r="K7906" s="450"/>
    </row>
    <row r="7907" spans="1:11">
      <c r="A7907" s="451" t="s">
        <v>20755</v>
      </c>
      <c r="B7907" s="451" t="s">
        <v>12905</v>
      </c>
      <c r="C7907" s="451" t="s">
        <v>12906</v>
      </c>
      <c r="D7907" s="451" t="s">
        <v>12907</v>
      </c>
      <c r="E7907" s="451" t="s">
        <v>12908</v>
      </c>
      <c r="F7907" s="451" t="s">
        <v>12909</v>
      </c>
      <c r="G7907" s="451"/>
      <c r="H7907" s="451"/>
      <c r="I7907" s="451"/>
      <c r="J7907" s="451"/>
      <c r="K7907" s="451"/>
    </row>
    <row r="7908" spans="1:11">
      <c r="A7908" s="450" t="s">
        <v>22185</v>
      </c>
      <c r="B7908" s="450" t="s">
        <v>22186</v>
      </c>
      <c r="C7908" s="450" t="s">
        <v>22187</v>
      </c>
      <c r="D7908" s="450" t="s">
        <v>16275</v>
      </c>
      <c r="E7908" s="450" t="s">
        <v>16276</v>
      </c>
      <c r="F7908" s="450"/>
      <c r="G7908" s="450"/>
      <c r="H7908" s="450"/>
      <c r="I7908" s="450"/>
      <c r="J7908" s="450"/>
      <c r="K7908" s="450"/>
    </row>
    <row r="7909" spans="1:11">
      <c r="A7909" s="451" t="s">
        <v>20756</v>
      </c>
      <c r="B7909" s="451" t="s">
        <v>12910</v>
      </c>
      <c r="C7909" s="451" t="s">
        <v>12911</v>
      </c>
      <c r="D7909" s="451" t="s">
        <v>12912</v>
      </c>
      <c r="E7909" s="451"/>
      <c r="F7909" s="451" t="s">
        <v>12914</v>
      </c>
      <c r="G7909" s="451" t="s">
        <v>22882</v>
      </c>
      <c r="H7909" s="451" t="s">
        <v>22883</v>
      </c>
      <c r="I7909" s="451" t="s">
        <v>12912</v>
      </c>
      <c r="J7909" s="451" t="s">
        <v>37055</v>
      </c>
      <c r="K7909" s="451"/>
    </row>
    <row r="7910" spans="1:11">
      <c r="A7910" s="450" t="s">
        <v>20756</v>
      </c>
      <c r="B7910" s="450" t="s">
        <v>12910</v>
      </c>
      <c r="C7910" s="450" t="s">
        <v>12911</v>
      </c>
      <c r="D7910" s="450" t="s">
        <v>12912</v>
      </c>
      <c r="E7910" s="450" t="s">
        <v>12913</v>
      </c>
      <c r="F7910" s="450" t="s">
        <v>12914</v>
      </c>
      <c r="G7910" s="450"/>
      <c r="H7910" s="450"/>
      <c r="I7910" s="450"/>
      <c r="J7910" s="450"/>
      <c r="K7910" s="450"/>
    </row>
    <row r="7911" spans="1:11">
      <c r="A7911" s="451" t="s">
        <v>20757</v>
      </c>
      <c r="B7911" s="451" t="s">
        <v>12915</v>
      </c>
      <c r="C7911" s="451" t="s">
        <v>12916</v>
      </c>
      <c r="D7911" s="451" t="s">
        <v>12917</v>
      </c>
      <c r="E7911" s="451"/>
      <c r="F7911" s="451" t="s">
        <v>12919</v>
      </c>
      <c r="G7911" s="451" t="s">
        <v>22877</v>
      </c>
      <c r="H7911" s="451" t="s">
        <v>22878</v>
      </c>
      <c r="I7911" s="451" t="s">
        <v>12917</v>
      </c>
      <c r="J7911" s="451" t="s">
        <v>37056</v>
      </c>
      <c r="K7911" s="451"/>
    </row>
    <row r="7912" spans="1:11">
      <c r="A7912" s="450" t="s">
        <v>20757</v>
      </c>
      <c r="B7912" s="450" t="s">
        <v>12915</v>
      </c>
      <c r="C7912" s="450" t="s">
        <v>12916</v>
      </c>
      <c r="D7912" s="450" t="s">
        <v>12917</v>
      </c>
      <c r="E7912" s="450" t="s">
        <v>12918</v>
      </c>
      <c r="F7912" s="450" t="s">
        <v>12919</v>
      </c>
      <c r="G7912" s="450"/>
      <c r="H7912" s="450"/>
      <c r="I7912" s="450"/>
      <c r="J7912" s="450"/>
      <c r="K7912" s="450"/>
    </row>
    <row r="7913" spans="1:11">
      <c r="A7913" s="451" t="s">
        <v>20758</v>
      </c>
      <c r="B7913" s="451" t="s">
        <v>12920</v>
      </c>
      <c r="C7913" s="451" t="s">
        <v>12921</v>
      </c>
      <c r="D7913" s="451" t="s">
        <v>12922</v>
      </c>
      <c r="E7913" s="451"/>
      <c r="F7913" s="451" t="s">
        <v>12924</v>
      </c>
      <c r="G7913" s="451" t="s">
        <v>22877</v>
      </c>
      <c r="H7913" s="451" t="s">
        <v>22878</v>
      </c>
      <c r="I7913" s="451" t="s">
        <v>12922</v>
      </c>
      <c r="J7913" s="451" t="s">
        <v>37057</v>
      </c>
      <c r="K7913" s="451"/>
    </row>
    <row r="7914" spans="1:11">
      <c r="A7914" s="450" t="s">
        <v>20758</v>
      </c>
      <c r="B7914" s="450" t="s">
        <v>12920</v>
      </c>
      <c r="C7914" s="450" t="s">
        <v>12921</v>
      </c>
      <c r="D7914" s="450" t="s">
        <v>12922</v>
      </c>
      <c r="E7914" s="450" t="s">
        <v>12923</v>
      </c>
      <c r="F7914" s="450" t="s">
        <v>12924</v>
      </c>
      <c r="G7914" s="450"/>
      <c r="H7914" s="450"/>
      <c r="I7914" s="450"/>
      <c r="J7914" s="450"/>
      <c r="K7914" s="450"/>
    </row>
    <row r="7915" spans="1:11">
      <c r="A7915" s="451" t="s">
        <v>20759</v>
      </c>
      <c r="B7915" s="451" t="s">
        <v>12925</v>
      </c>
      <c r="C7915" s="451" t="s">
        <v>12926</v>
      </c>
      <c r="D7915" s="451" t="s">
        <v>12927</v>
      </c>
      <c r="E7915" s="451"/>
      <c r="F7915" s="451" t="s">
        <v>12929</v>
      </c>
      <c r="G7915" s="451" t="s">
        <v>22877</v>
      </c>
      <c r="H7915" s="451" t="s">
        <v>22878</v>
      </c>
      <c r="I7915" s="451" t="s">
        <v>12927</v>
      </c>
      <c r="J7915" s="451" t="s">
        <v>37058</v>
      </c>
      <c r="K7915" s="451"/>
    </row>
    <row r="7916" spans="1:11">
      <c r="A7916" s="450" t="s">
        <v>20759</v>
      </c>
      <c r="B7916" s="450" t="s">
        <v>12925</v>
      </c>
      <c r="C7916" s="450" t="s">
        <v>12926</v>
      </c>
      <c r="D7916" s="450" t="s">
        <v>12927</v>
      </c>
      <c r="E7916" s="450" t="s">
        <v>12928</v>
      </c>
      <c r="F7916" s="450" t="s">
        <v>12929</v>
      </c>
      <c r="G7916" s="450"/>
      <c r="H7916" s="450"/>
      <c r="I7916" s="450"/>
      <c r="J7916" s="450"/>
      <c r="K7916" s="450"/>
    </row>
    <row r="7917" spans="1:11">
      <c r="A7917" s="451" t="s">
        <v>20760</v>
      </c>
      <c r="B7917" s="451" t="s">
        <v>12930</v>
      </c>
      <c r="C7917" s="451" t="s">
        <v>12931</v>
      </c>
      <c r="D7917" s="451" t="s">
        <v>12932</v>
      </c>
      <c r="E7917" s="451"/>
      <c r="F7917" s="451" t="s">
        <v>12934</v>
      </c>
      <c r="G7917" s="451" t="s">
        <v>22877</v>
      </c>
      <c r="H7917" s="451" t="s">
        <v>22878</v>
      </c>
      <c r="I7917" s="451" t="s">
        <v>37059</v>
      </c>
      <c r="J7917" s="451" t="s">
        <v>37060</v>
      </c>
      <c r="K7917" s="451"/>
    </row>
    <row r="7918" spans="1:11">
      <c r="A7918" s="450" t="s">
        <v>20760</v>
      </c>
      <c r="B7918" s="450" t="s">
        <v>12930</v>
      </c>
      <c r="C7918" s="450" t="s">
        <v>12931</v>
      </c>
      <c r="D7918" s="450" t="s">
        <v>12932</v>
      </c>
      <c r="E7918" s="450" t="s">
        <v>12933</v>
      </c>
      <c r="F7918" s="450" t="s">
        <v>12934</v>
      </c>
      <c r="G7918" s="450"/>
      <c r="H7918" s="450"/>
      <c r="I7918" s="450"/>
      <c r="J7918" s="450"/>
      <c r="K7918" s="450"/>
    </row>
    <row r="7919" spans="1:11">
      <c r="A7919" s="451" t="s">
        <v>20761</v>
      </c>
      <c r="B7919" s="451" t="s">
        <v>12935</v>
      </c>
      <c r="C7919" s="451" t="s">
        <v>12936</v>
      </c>
      <c r="D7919" s="451" t="s">
        <v>12937</v>
      </c>
      <c r="E7919" s="451"/>
      <c r="F7919" s="451" t="s">
        <v>12939</v>
      </c>
      <c r="G7919" s="451" t="s">
        <v>22877</v>
      </c>
      <c r="H7919" s="451" t="s">
        <v>22878</v>
      </c>
      <c r="I7919" s="451" t="s">
        <v>12937</v>
      </c>
      <c r="J7919" s="451" t="s">
        <v>37061</v>
      </c>
      <c r="K7919" s="451"/>
    </row>
    <row r="7920" spans="1:11">
      <c r="A7920" s="450" t="s">
        <v>20761</v>
      </c>
      <c r="B7920" s="450" t="s">
        <v>12935</v>
      </c>
      <c r="C7920" s="450" t="s">
        <v>12936</v>
      </c>
      <c r="D7920" s="450" t="s">
        <v>12937</v>
      </c>
      <c r="E7920" s="450" t="s">
        <v>12938</v>
      </c>
      <c r="F7920" s="450" t="s">
        <v>12939</v>
      </c>
      <c r="G7920" s="450"/>
      <c r="H7920" s="450"/>
      <c r="I7920" s="450"/>
      <c r="J7920" s="450"/>
      <c r="K7920" s="450"/>
    </row>
    <row r="7921" spans="1:11">
      <c r="A7921" s="451" t="s">
        <v>20762</v>
      </c>
      <c r="B7921" s="451" t="s">
        <v>12940</v>
      </c>
      <c r="C7921" s="451" t="s">
        <v>12941</v>
      </c>
      <c r="D7921" s="451" t="s">
        <v>12942</v>
      </c>
      <c r="E7921" s="451"/>
      <c r="F7921" s="451" t="s">
        <v>12944</v>
      </c>
      <c r="G7921" s="451" t="s">
        <v>22877</v>
      </c>
      <c r="H7921" s="451" t="s">
        <v>22878</v>
      </c>
      <c r="I7921" s="451" t="s">
        <v>27473</v>
      </c>
      <c r="J7921" s="451" t="s">
        <v>37062</v>
      </c>
      <c r="K7921" s="451"/>
    </row>
    <row r="7922" spans="1:11">
      <c r="A7922" s="450" t="s">
        <v>20762</v>
      </c>
      <c r="B7922" s="450" t="s">
        <v>12940</v>
      </c>
      <c r="C7922" s="450" t="s">
        <v>12941</v>
      </c>
      <c r="D7922" s="450" t="s">
        <v>12942</v>
      </c>
      <c r="E7922" s="450" t="s">
        <v>12943</v>
      </c>
      <c r="F7922" s="450" t="s">
        <v>12944</v>
      </c>
      <c r="G7922" s="450"/>
      <c r="H7922" s="450"/>
      <c r="I7922" s="450"/>
      <c r="J7922" s="450"/>
      <c r="K7922" s="450"/>
    </row>
    <row r="7923" spans="1:11">
      <c r="A7923" s="451" t="s">
        <v>27474</v>
      </c>
      <c r="B7923" s="451" t="s">
        <v>27475</v>
      </c>
      <c r="C7923" s="451" t="s">
        <v>27476</v>
      </c>
      <c r="D7923" s="451" t="s">
        <v>16275</v>
      </c>
      <c r="E7923" s="451"/>
      <c r="F7923" s="451"/>
      <c r="G7923" s="451" t="s">
        <v>22877</v>
      </c>
      <c r="H7923" s="451" t="s">
        <v>22878</v>
      </c>
      <c r="I7923" s="451" t="s">
        <v>16275</v>
      </c>
      <c r="J7923" s="451" t="s">
        <v>27477</v>
      </c>
      <c r="K7923" s="451"/>
    </row>
    <row r="7924" spans="1:11">
      <c r="A7924" s="450" t="s">
        <v>20763</v>
      </c>
      <c r="B7924" s="450" t="s">
        <v>12945</v>
      </c>
      <c r="C7924" s="450" t="s">
        <v>12946</v>
      </c>
      <c r="D7924" s="450" t="s">
        <v>12947</v>
      </c>
      <c r="E7924" s="450"/>
      <c r="F7924" s="450" t="s">
        <v>12949</v>
      </c>
      <c r="G7924" s="450" t="s">
        <v>22877</v>
      </c>
      <c r="H7924" s="450" t="s">
        <v>22878</v>
      </c>
      <c r="I7924" s="450" t="s">
        <v>12947</v>
      </c>
      <c r="J7924" s="450" t="s">
        <v>37063</v>
      </c>
      <c r="K7924" s="450"/>
    </row>
    <row r="7925" spans="1:11">
      <c r="A7925" s="451" t="s">
        <v>20763</v>
      </c>
      <c r="B7925" s="451" t="s">
        <v>12945</v>
      </c>
      <c r="C7925" s="451" t="s">
        <v>12946</v>
      </c>
      <c r="D7925" s="451" t="s">
        <v>12947</v>
      </c>
      <c r="E7925" s="451" t="s">
        <v>12948</v>
      </c>
      <c r="F7925" s="451" t="s">
        <v>12949</v>
      </c>
      <c r="G7925" s="451"/>
      <c r="H7925" s="451"/>
      <c r="I7925" s="451"/>
      <c r="J7925" s="451"/>
      <c r="K7925" s="451"/>
    </row>
    <row r="7926" spans="1:11">
      <c r="A7926" s="450" t="s">
        <v>20764</v>
      </c>
      <c r="B7926" s="450" t="s">
        <v>12950</v>
      </c>
      <c r="C7926" s="450" t="s">
        <v>12951</v>
      </c>
      <c r="D7926" s="450" t="s">
        <v>12952</v>
      </c>
      <c r="E7926" s="450"/>
      <c r="F7926" s="450" t="s">
        <v>12954</v>
      </c>
      <c r="G7926" s="450" t="s">
        <v>22877</v>
      </c>
      <c r="H7926" s="450" t="s">
        <v>22878</v>
      </c>
      <c r="I7926" s="450" t="s">
        <v>12952</v>
      </c>
      <c r="J7926" s="450" t="s">
        <v>37064</v>
      </c>
      <c r="K7926" s="450"/>
    </row>
    <row r="7927" spans="1:11">
      <c r="A7927" s="451" t="s">
        <v>20764</v>
      </c>
      <c r="B7927" s="451" t="s">
        <v>12950</v>
      </c>
      <c r="C7927" s="451" t="s">
        <v>12951</v>
      </c>
      <c r="D7927" s="451" t="s">
        <v>12952</v>
      </c>
      <c r="E7927" s="451" t="s">
        <v>12953</v>
      </c>
      <c r="F7927" s="451" t="s">
        <v>12954</v>
      </c>
      <c r="G7927" s="451"/>
      <c r="H7927" s="451"/>
      <c r="I7927" s="451"/>
      <c r="J7927" s="451"/>
      <c r="K7927" s="451"/>
    </row>
    <row r="7928" spans="1:11">
      <c r="A7928" s="450" t="s">
        <v>20765</v>
      </c>
      <c r="B7928" s="450" t="s">
        <v>12955</v>
      </c>
      <c r="C7928" s="450" t="s">
        <v>12956</v>
      </c>
      <c r="D7928" s="450" t="s">
        <v>12957</v>
      </c>
      <c r="E7928" s="450"/>
      <c r="F7928" s="450" t="s">
        <v>12959</v>
      </c>
      <c r="G7928" s="450" t="s">
        <v>22877</v>
      </c>
      <c r="H7928" s="450" t="s">
        <v>22878</v>
      </c>
      <c r="I7928" s="450" t="s">
        <v>12957</v>
      </c>
      <c r="J7928" s="450" t="s">
        <v>37065</v>
      </c>
      <c r="K7928" s="450"/>
    </row>
    <row r="7929" spans="1:11">
      <c r="A7929" s="451" t="s">
        <v>20765</v>
      </c>
      <c r="B7929" s="451" t="s">
        <v>12955</v>
      </c>
      <c r="C7929" s="451" t="s">
        <v>12956</v>
      </c>
      <c r="D7929" s="451" t="s">
        <v>12957</v>
      </c>
      <c r="E7929" s="451" t="s">
        <v>12958</v>
      </c>
      <c r="F7929" s="451" t="s">
        <v>12959</v>
      </c>
      <c r="G7929" s="451"/>
      <c r="H7929" s="451"/>
      <c r="I7929" s="451"/>
      <c r="J7929" s="451"/>
      <c r="K7929" s="451"/>
    </row>
    <row r="7930" spans="1:11">
      <c r="A7930" s="450" t="s">
        <v>20766</v>
      </c>
      <c r="B7930" s="450" t="s">
        <v>27478</v>
      </c>
      <c r="C7930" s="450" t="s">
        <v>12961</v>
      </c>
      <c r="D7930" s="450" t="s">
        <v>12962</v>
      </c>
      <c r="E7930" s="450"/>
      <c r="F7930" s="450" t="s">
        <v>12964</v>
      </c>
      <c r="G7930" s="450" t="s">
        <v>22877</v>
      </c>
      <c r="H7930" s="450" t="s">
        <v>22878</v>
      </c>
      <c r="I7930" s="450" t="s">
        <v>27479</v>
      </c>
      <c r="J7930" s="450" t="s">
        <v>27480</v>
      </c>
      <c r="K7930" s="450"/>
    </row>
    <row r="7931" spans="1:11">
      <c r="A7931" s="451" t="s">
        <v>20766</v>
      </c>
      <c r="B7931" s="451" t="s">
        <v>12960</v>
      </c>
      <c r="C7931" s="451" t="s">
        <v>12961</v>
      </c>
      <c r="D7931" s="451" t="s">
        <v>12962</v>
      </c>
      <c r="E7931" s="451" t="s">
        <v>12963</v>
      </c>
      <c r="F7931" s="451" t="s">
        <v>12964</v>
      </c>
      <c r="G7931" s="451"/>
      <c r="H7931" s="451"/>
      <c r="I7931" s="451"/>
      <c r="J7931" s="451"/>
      <c r="K7931" s="451"/>
    </row>
    <row r="7932" spans="1:11">
      <c r="A7932" s="450" t="s">
        <v>37066</v>
      </c>
      <c r="B7932" s="450" t="s">
        <v>27481</v>
      </c>
      <c r="C7932" s="450" t="s">
        <v>12985</v>
      </c>
      <c r="D7932" s="450" t="s">
        <v>12986</v>
      </c>
      <c r="E7932" s="450"/>
      <c r="F7932" s="450" t="s">
        <v>12988</v>
      </c>
      <c r="G7932" s="450" t="s">
        <v>22877</v>
      </c>
      <c r="H7932" s="450" t="s">
        <v>22878</v>
      </c>
      <c r="I7932" s="450" t="s">
        <v>12986</v>
      </c>
      <c r="J7932" s="450" t="s">
        <v>37067</v>
      </c>
      <c r="K7932" s="450"/>
    </row>
    <row r="7933" spans="1:11">
      <c r="A7933" s="451" t="s">
        <v>30037</v>
      </c>
      <c r="B7933" s="451" t="s">
        <v>27481</v>
      </c>
      <c r="C7933" s="451" t="s">
        <v>12985</v>
      </c>
      <c r="D7933" s="451" t="s">
        <v>12986</v>
      </c>
      <c r="E7933" s="451"/>
      <c r="F7933" s="451" t="s">
        <v>12988</v>
      </c>
      <c r="G7933" s="451"/>
      <c r="H7933" s="451"/>
      <c r="I7933" s="451"/>
      <c r="J7933" s="451"/>
      <c r="K7933" s="451"/>
    </row>
    <row r="7934" spans="1:11">
      <c r="A7934" s="450" t="s">
        <v>20767</v>
      </c>
      <c r="B7934" s="450" t="s">
        <v>27482</v>
      </c>
      <c r="C7934" s="450" t="s">
        <v>12966</v>
      </c>
      <c r="D7934" s="450" t="s">
        <v>12967</v>
      </c>
      <c r="E7934" s="450"/>
      <c r="F7934" s="450" t="s">
        <v>12969</v>
      </c>
      <c r="G7934" s="450" t="s">
        <v>22877</v>
      </c>
      <c r="H7934" s="450" t="s">
        <v>22878</v>
      </c>
      <c r="I7934" s="450" t="s">
        <v>12967</v>
      </c>
      <c r="J7934" s="450" t="s">
        <v>27483</v>
      </c>
      <c r="K7934" s="450"/>
    </row>
    <row r="7935" spans="1:11">
      <c r="A7935" s="451" t="s">
        <v>20767</v>
      </c>
      <c r="B7935" s="451" t="s">
        <v>12965</v>
      </c>
      <c r="C7935" s="451" t="s">
        <v>12966</v>
      </c>
      <c r="D7935" s="451" t="s">
        <v>12967</v>
      </c>
      <c r="E7935" s="451" t="s">
        <v>12968</v>
      </c>
      <c r="F7935" s="451" t="s">
        <v>12969</v>
      </c>
      <c r="G7935" s="451"/>
      <c r="H7935" s="451"/>
      <c r="I7935" s="451"/>
      <c r="J7935" s="451"/>
      <c r="K7935" s="451"/>
    </row>
    <row r="7936" spans="1:11">
      <c r="A7936" s="450" t="s">
        <v>20768</v>
      </c>
      <c r="B7936" s="450" t="s">
        <v>12970</v>
      </c>
      <c r="C7936" s="450" t="s">
        <v>5558</v>
      </c>
      <c r="D7936" s="450" t="s">
        <v>12971</v>
      </c>
      <c r="E7936" s="450"/>
      <c r="F7936" s="450" t="s">
        <v>12973</v>
      </c>
      <c r="G7936" s="450" t="s">
        <v>22877</v>
      </c>
      <c r="H7936" s="450" t="s">
        <v>22878</v>
      </c>
      <c r="I7936" s="450" t="s">
        <v>37068</v>
      </c>
      <c r="J7936" s="450" t="s">
        <v>37069</v>
      </c>
      <c r="K7936" s="450"/>
    </row>
    <row r="7937" spans="1:11">
      <c r="A7937" s="451" t="s">
        <v>20768</v>
      </c>
      <c r="B7937" s="451" t="s">
        <v>12970</v>
      </c>
      <c r="C7937" s="451" t="s">
        <v>5558</v>
      </c>
      <c r="D7937" s="451" t="s">
        <v>12971</v>
      </c>
      <c r="E7937" s="451" t="s">
        <v>12972</v>
      </c>
      <c r="F7937" s="451" t="s">
        <v>12973</v>
      </c>
      <c r="G7937" s="451"/>
      <c r="H7937" s="451"/>
      <c r="I7937" s="451"/>
      <c r="J7937" s="451"/>
      <c r="K7937" s="451"/>
    </row>
    <row r="7938" spans="1:11">
      <c r="A7938" s="450" t="s">
        <v>20769</v>
      </c>
      <c r="B7938" s="450" t="s">
        <v>12974</v>
      </c>
      <c r="C7938" s="450" t="s">
        <v>12975</v>
      </c>
      <c r="D7938" s="450" t="s">
        <v>12976</v>
      </c>
      <c r="E7938" s="450"/>
      <c r="F7938" s="450" t="s">
        <v>12978</v>
      </c>
      <c r="G7938" s="450" t="s">
        <v>22877</v>
      </c>
      <c r="H7938" s="450" t="s">
        <v>22878</v>
      </c>
      <c r="I7938" s="450" t="s">
        <v>12976</v>
      </c>
      <c r="J7938" s="450" t="s">
        <v>37070</v>
      </c>
      <c r="K7938" s="450"/>
    </row>
    <row r="7939" spans="1:11">
      <c r="A7939" s="451" t="s">
        <v>20769</v>
      </c>
      <c r="B7939" s="451" t="s">
        <v>12974</v>
      </c>
      <c r="C7939" s="451" t="s">
        <v>12975</v>
      </c>
      <c r="D7939" s="451" t="s">
        <v>12976</v>
      </c>
      <c r="E7939" s="451" t="s">
        <v>12977</v>
      </c>
      <c r="F7939" s="451" t="s">
        <v>12978</v>
      </c>
      <c r="G7939" s="451"/>
      <c r="H7939" s="451"/>
      <c r="I7939" s="451"/>
      <c r="J7939" s="451"/>
      <c r="K7939" s="451"/>
    </row>
    <row r="7940" spans="1:11">
      <c r="A7940" s="450" t="s">
        <v>20770</v>
      </c>
      <c r="B7940" s="450" t="s">
        <v>12979</v>
      </c>
      <c r="C7940" s="450" t="s">
        <v>12980</v>
      </c>
      <c r="D7940" s="450" t="s">
        <v>12981</v>
      </c>
      <c r="E7940" s="450"/>
      <c r="F7940" s="450" t="s">
        <v>12983</v>
      </c>
      <c r="G7940" s="450" t="s">
        <v>22877</v>
      </c>
      <c r="H7940" s="450" t="s">
        <v>22878</v>
      </c>
      <c r="I7940" s="450" t="s">
        <v>12981</v>
      </c>
      <c r="J7940" s="450" t="s">
        <v>27484</v>
      </c>
      <c r="K7940" s="450"/>
    </row>
    <row r="7941" spans="1:11">
      <c r="A7941" s="451" t="s">
        <v>20770</v>
      </c>
      <c r="B7941" s="451" t="s">
        <v>12979</v>
      </c>
      <c r="C7941" s="451" t="s">
        <v>12980</v>
      </c>
      <c r="D7941" s="451" t="s">
        <v>12981</v>
      </c>
      <c r="E7941" s="451" t="s">
        <v>12982</v>
      </c>
      <c r="F7941" s="451" t="s">
        <v>12983</v>
      </c>
      <c r="G7941" s="451"/>
      <c r="H7941" s="451"/>
      <c r="I7941" s="451"/>
      <c r="J7941" s="451"/>
      <c r="K7941" s="451"/>
    </row>
    <row r="7942" spans="1:11">
      <c r="A7942" s="450" t="s">
        <v>20771</v>
      </c>
      <c r="B7942" s="450" t="s">
        <v>12984</v>
      </c>
      <c r="C7942" s="450" t="s">
        <v>12985</v>
      </c>
      <c r="D7942" s="450" t="s">
        <v>12986</v>
      </c>
      <c r="E7942" s="450" t="s">
        <v>12987</v>
      </c>
      <c r="F7942" s="450" t="s">
        <v>12988</v>
      </c>
      <c r="G7942" s="450"/>
      <c r="H7942" s="450"/>
      <c r="I7942" s="450"/>
      <c r="J7942" s="450"/>
      <c r="K7942" s="450"/>
    </row>
    <row r="7943" spans="1:11">
      <c r="A7943" s="451" t="s">
        <v>20772</v>
      </c>
      <c r="B7943" s="451" t="s">
        <v>12989</v>
      </c>
      <c r="C7943" s="451" t="s">
        <v>12990</v>
      </c>
      <c r="D7943" s="451" t="s">
        <v>12991</v>
      </c>
      <c r="E7943" s="451"/>
      <c r="F7943" s="451" t="s">
        <v>12993</v>
      </c>
      <c r="G7943" s="451" t="s">
        <v>22877</v>
      </c>
      <c r="H7943" s="451" t="s">
        <v>22878</v>
      </c>
      <c r="I7943" s="451" t="s">
        <v>12991</v>
      </c>
      <c r="J7943" s="451" t="s">
        <v>37071</v>
      </c>
      <c r="K7943" s="451"/>
    </row>
    <row r="7944" spans="1:11">
      <c r="A7944" s="450" t="s">
        <v>20772</v>
      </c>
      <c r="B7944" s="450" t="s">
        <v>12989</v>
      </c>
      <c r="C7944" s="450" t="s">
        <v>12990</v>
      </c>
      <c r="D7944" s="450" t="s">
        <v>12991</v>
      </c>
      <c r="E7944" s="450" t="s">
        <v>12992</v>
      </c>
      <c r="F7944" s="450" t="s">
        <v>12993</v>
      </c>
      <c r="G7944" s="450"/>
      <c r="H7944" s="450"/>
      <c r="I7944" s="450"/>
      <c r="J7944" s="450"/>
      <c r="K7944" s="450"/>
    </row>
    <row r="7945" spans="1:11">
      <c r="A7945" s="451" t="s">
        <v>20773</v>
      </c>
      <c r="B7945" s="451" t="s">
        <v>12994</v>
      </c>
      <c r="C7945" s="451" t="s">
        <v>12995</v>
      </c>
      <c r="D7945" s="451" t="s">
        <v>12996</v>
      </c>
      <c r="E7945" s="451"/>
      <c r="F7945" s="451" t="s">
        <v>12998</v>
      </c>
      <c r="G7945" s="451" t="s">
        <v>22882</v>
      </c>
      <c r="H7945" s="451" t="s">
        <v>22883</v>
      </c>
      <c r="I7945" s="451" t="s">
        <v>12996</v>
      </c>
      <c r="J7945" s="451" t="s">
        <v>37072</v>
      </c>
      <c r="K7945" s="451"/>
    </row>
    <row r="7946" spans="1:11">
      <c r="A7946" s="450" t="s">
        <v>20773</v>
      </c>
      <c r="B7946" s="450" t="s">
        <v>12994</v>
      </c>
      <c r="C7946" s="450" t="s">
        <v>12995</v>
      </c>
      <c r="D7946" s="450" t="s">
        <v>12996</v>
      </c>
      <c r="E7946" s="450" t="s">
        <v>12997</v>
      </c>
      <c r="F7946" s="450" t="s">
        <v>12998</v>
      </c>
      <c r="G7946" s="450"/>
      <c r="H7946" s="450"/>
      <c r="I7946" s="450"/>
      <c r="J7946" s="450"/>
      <c r="K7946" s="450"/>
    </row>
    <row r="7947" spans="1:11">
      <c r="A7947" s="451" t="s">
        <v>20774</v>
      </c>
      <c r="B7947" s="451" t="s">
        <v>12999</v>
      </c>
      <c r="C7947" s="451" t="s">
        <v>13000</v>
      </c>
      <c r="D7947" s="451" t="s">
        <v>13001</v>
      </c>
      <c r="E7947" s="451"/>
      <c r="F7947" s="451" t="s">
        <v>13003</v>
      </c>
      <c r="G7947" s="451" t="s">
        <v>22882</v>
      </c>
      <c r="H7947" s="451" t="s">
        <v>22883</v>
      </c>
      <c r="I7947" s="451" t="s">
        <v>13001</v>
      </c>
      <c r="J7947" s="451" t="s">
        <v>37073</v>
      </c>
      <c r="K7947" s="451"/>
    </row>
    <row r="7948" spans="1:11">
      <c r="A7948" s="450" t="s">
        <v>20774</v>
      </c>
      <c r="B7948" s="450" t="s">
        <v>12999</v>
      </c>
      <c r="C7948" s="450" t="s">
        <v>13000</v>
      </c>
      <c r="D7948" s="450" t="s">
        <v>13001</v>
      </c>
      <c r="E7948" s="450" t="s">
        <v>13002</v>
      </c>
      <c r="F7948" s="450" t="s">
        <v>13003</v>
      </c>
      <c r="G7948" s="450"/>
      <c r="H7948" s="450"/>
      <c r="I7948" s="450"/>
      <c r="J7948" s="450"/>
      <c r="K7948" s="450"/>
    </row>
    <row r="7949" spans="1:11">
      <c r="A7949" s="451" t="s">
        <v>20775</v>
      </c>
      <c r="B7949" s="451" t="s">
        <v>13004</v>
      </c>
      <c r="C7949" s="451" t="s">
        <v>13005</v>
      </c>
      <c r="D7949" s="451" t="s">
        <v>13006</v>
      </c>
      <c r="E7949" s="451"/>
      <c r="F7949" s="451" t="s">
        <v>13008</v>
      </c>
      <c r="G7949" s="451" t="s">
        <v>22877</v>
      </c>
      <c r="H7949" s="451" t="s">
        <v>22878</v>
      </c>
      <c r="I7949" s="451" t="s">
        <v>13006</v>
      </c>
      <c r="J7949" s="451" t="s">
        <v>37074</v>
      </c>
      <c r="K7949" s="451"/>
    </row>
    <row r="7950" spans="1:11">
      <c r="A7950" s="450" t="s">
        <v>20775</v>
      </c>
      <c r="B7950" s="450" t="s">
        <v>13004</v>
      </c>
      <c r="C7950" s="450" t="s">
        <v>13005</v>
      </c>
      <c r="D7950" s="450" t="s">
        <v>13006</v>
      </c>
      <c r="E7950" s="450" t="s">
        <v>13007</v>
      </c>
      <c r="F7950" s="450" t="s">
        <v>13008</v>
      </c>
      <c r="G7950" s="450"/>
      <c r="H7950" s="450"/>
      <c r="I7950" s="450"/>
      <c r="J7950" s="450"/>
      <c r="K7950" s="450"/>
    </row>
    <row r="7951" spans="1:11">
      <c r="A7951" s="451" t="s">
        <v>20776</v>
      </c>
      <c r="B7951" s="451" t="s">
        <v>13009</v>
      </c>
      <c r="C7951" s="451" t="s">
        <v>13010</v>
      </c>
      <c r="D7951" s="451" t="s">
        <v>13011</v>
      </c>
      <c r="E7951" s="451"/>
      <c r="F7951" s="451" t="s">
        <v>13013</v>
      </c>
      <c r="G7951" s="451" t="s">
        <v>22877</v>
      </c>
      <c r="H7951" s="451" t="s">
        <v>22878</v>
      </c>
      <c r="I7951" s="451" t="s">
        <v>37075</v>
      </c>
      <c r="J7951" s="451" t="s">
        <v>37076</v>
      </c>
      <c r="K7951" s="451"/>
    </row>
    <row r="7952" spans="1:11">
      <c r="A7952" s="450" t="s">
        <v>20776</v>
      </c>
      <c r="B7952" s="450" t="s">
        <v>13009</v>
      </c>
      <c r="C7952" s="450" t="s">
        <v>13010</v>
      </c>
      <c r="D7952" s="450" t="s">
        <v>13011</v>
      </c>
      <c r="E7952" s="450" t="s">
        <v>13012</v>
      </c>
      <c r="F7952" s="450" t="s">
        <v>13013</v>
      </c>
      <c r="G7952" s="450"/>
      <c r="H7952" s="450"/>
      <c r="I7952" s="450"/>
      <c r="J7952" s="450"/>
      <c r="K7952" s="450"/>
    </row>
    <row r="7953" spans="1:11">
      <c r="A7953" s="451" t="s">
        <v>20777</v>
      </c>
      <c r="B7953" s="451" t="s">
        <v>13014</v>
      </c>
      <c r="C7953" s="451" t="s">
        <v>13015</v>
      </c>
      <c r="D7953" s="451" t="s">
        <v>13016</v>
      </c>
      <c r="E7953" s="451"/>
      <c r="F7953" s="451" t="s">
        <v>13018</v>
      </c>
      <c r="G7953" s="451" t="s">
        <v>22877</v>
      </c>
      <c r="H7953" s="451" t="s">
        <v>22878</v>
      </c>
      <c r="I7953" s="451" t="s">
        <v>37077</v>
      </c>
      <c r="J7953" s="451" t="s">
        <v>37078</v>
      </c>
      <c r="K7953" s="451"/>
    </row>
    <row r="7954" spans="1:11">
      <c r="A7954" s="450" t="s">
        <v>20777</v>
      </c>
      <c r="B7954" s="450" t="s">
        <v>13014</v>
      </c>
      <c r="C7954" s="450" t="s">
        <v>13015</v>
      </c>
      <c r="D7954" s="450" t="s">
        <v>13016</v>
      </c>
      <c r="E7954" s="450" t="s">
        <v>13017</v>
      </c>
      <c r="F7954" s="450" t="s">
        <v>13018</v>
      </c>
      <c r="G7954" s="450"/>
      <c r="H7954" s="450"/>
      <c r="I7954" s="450"/>
      <c r="J7954" s="450"/>
      <c r="K7954" s="450"/>
    </row>
    <row r="7955" spans="1:11">
      <c r="A7955" s="451" t="s">
        <v>20778</v>
      </c>
      <c r="B7955" s="451" t="s">
        <v>27485</v>
      </c>
      <c r="C7955" s="451" t="s">
        <v>13020</v>
      </c>
      <c r="D7955" s="451" t="s">
        <v>13021</v>
      </c>
      <c r="E7955" s="451"/>
      <c r="F7955" s="451" t="s">
        <v>13023</v>
      </c>
      <c r="G7955" s="451" t="s">
        <v>22877</v>
      </c>
      <c r="H7955" s="451" t="s">
        <v>22878</v>
      </c>
      <c r="I7955" s="451" t="s">
        <v>13021</v>
      </c>
      <c r="J7955" s="451" t="s">
        <v>27486</v>
      </c>
      <c r="K7955" s="451"/>
    </row>
    <row r="7956" spans="1:11">
      <c r="A7956" s="450" t="s">
        <v>20778</v>
      </c>
      <c r="B7956" s="450" t="s">
        <v>13019</v>
      </c>
      <c r="C7956" s="450" t="s">
        <v>13020</v>
      </c>
      <c r="D7956" s="450" t="s">
        <v>13021</v>
      </c>
      <c r="E7956" s="450" t="s">
        <v>13022</v>
      </c>
      <c r="F7956" s="450" t="s">
        <v>13023</v>
      </c>
      <c r="G7956" s="450"/>
      <c r="H7956" s="450"/>
      <c r="I7956" s="450"/>
      <c r="J7956" s="450"/>
      <c r="K7956" s="450"/>
    </row>
    <row r="7957" spans="1:11">
      <c r="A7957" s="451" t="s">
        <v>20779</v>
      </c>
      <c r="B7957" s="451" t="s">
        <v>13024</v>
      </c>
      <c r="C7957" s="451" t="s">
        <v>13025</v>
      </c>
      <c r="D7957" s="451" t="s">
        <v>13026</v>
      </c>
      <c r="E7957" s="451"/>
      <c r="F7957" s="451" t="s">
        <v>13028</v>
      </c>
      <c r="G7957" s="451" t="s">
        <v>22877</v>
      </c>
      <c r="H7957" s="451" t="s">
        <v>22878</v>
      </c>
      <c r="I7957" s="451" t="s">
        <v>13026</v>
      </c>
      <c r="J7957" s="451" t="s">
        <v>37079</v>
      </c>
      <c r="K7957" s="451"/>
    </row>
    <row r="7958" spans="1:11">
      <c r="A7958" s="450" t="s">
        <v>20779</v>
      </c>
      <c r="B7958" s="450" t="s">
        <v>13024</v>
      </c>
      <c r="C7958" s="450" t="s">
        <v>13025</v>
      </c>
      <c r="D7958" s="450" t="s">
        <v>13026</v>
      </c>
      <c r="E7958" s="450" t="s">
        <v>13027</v>
      </c>
      <c r="F7958" s="450" t="s">
        <v>13028</v>
      </c>
      <c r="G7958" s="450"/>
      <c r="H7958" s="450"/>
      <c r="I7958" s="450"/>
      <c r="J7958" s="450"/>
      <c r="K7958" s="450"/>
    </row>
    <row r="7959" spans="1:11">
      <c r="A7959" s="451" t="s">
        <v>20780</v>
      </c>
      <c r="B7959" s="451" t="s">
        <v>27487</v>
      </c>
      <c r="C7959" s="451" t="s">
        <v>13030</v>
      </c>
      <c r="D7959" s="451" t="s">
        <v>13031</v>
      </c>
      <c r="E7959" s="451"/>
      <c r="F7959" s="451" t="s">
        <v>13033</v>
      </c>
      <c r="G7959" s="451" t="s">
        <v>22877</v>
      </c>
      <c r="H7959" s="451" t="s">
        <v>22878</v>
      </c>
      <c r="I7959" s="451" t="s">
        <v>27488</v>
      </c>
      <c r="J7959" s="451" t="s">
        <v>27489</v>
      </c>
      <c r="K7959" s="451"/>
    </row>
    <row r="7960" spans="1:11">
      <c r="A7960" s="450" t="s">
        <v>20780</v>
      </c>
      <c r="B7960" s="450" t="s">
        <v>13029</v>
      </c>
      <c r="C7960" s="450" t="s">
        <v>13030</v>
      </c>
      <c r="D7960" s="450" t="s">
        <v>13031</v>
      </c>
      <c r="E7960" s="450" t="s">
        <v>13032</v>
      </c>
      <c r="F7960" s="450" t="s">
        <v>13033</v>
      </c>
      <c r="G7960" s="450"/>
      <c r="H7960" s="450"/>
      <c r="I7960" s="450"/>
      <c r="J7960" s="450"/>
      <c r="K7960" s="450"/>
    </row>
    <row r="7961" spans="1:11">
      <c r="A7961" s="451" t="s">
        <v>20781</v>
      </c>
      <c r="B7961" s="451" t="s">
        <v>13034</v>
      </c>
      <c r="C7961" s="451" t="s">
        <v>13035</v>
      </c>
      <c r="D7961" s="451" t="s">
        <v>13036</v>
      </c>
      <c r="E7961" s="451"/>
      <c r="F7961" s="451" t="s">
        <v>13038</v>
      </c>
      <c r="G7961" s="451" t="s">
        <v>22882</v>
      </c>
      <c r="H7961" s="451" t="s">
        <v>22883</v>
      </c>
      <c r="I7961" s="451" t="s">
        <v>13036</v>
      </c>
      <c r="J7961" s="451" t="s">
        <v>37080</v>
      </c>
      <c r="K7961" s="451"/>
    </row>
    <row r="7962" spans="1:11">
      <c r="A7962" s="450" t="s">
        <v>20781</v>
      </c>
      <c r="B7962" s="450" t="s">
        <v>13034</v>
      </c>
      <c r="C7962" s="450" t="s">
        <v>13035</v>
      </c>
      <c r="D7962" s="450" t="s">
        <v>13036</v>
      </c>
      <c r="E7962" s="450" t="s">
        <v>13037</v>
      </c>
      <c r="F7962" s="450" t="s">
        <v>13038</v>
      </c>
      <c r="G7962" s="450"/>
      <c r="H7962" s="450"/>
      <c r="I7962" s="450"/>
      <c r="J7962" s="450"/>
      <c r="K7962" s="450"/>
    </row>
    <row r="7963" spans="1:11">
      <c r="A7963" s="451" t="s">
        <v>20782</v>
      </c>
      <c r="B7963" s="451" t="s">
        <v>13039</v>
      </c>
      <c r="C7963" s="451" t="s">
        <v>13040</v>
      </c>
      <c r="D7963" s="451" t="s">
        <v>13041</v>
      </c>
      <c r="E7963" s="451"/>
      <c r="F7963" s="451" t="s">
        <v>13038</v>
      </c>
      <c r="G7963" s="451" t="s">
        <v>22877</v>
      </c>
      <c r="H7963" s="451" t="s">
        <v>22878</v>
      </c>
      <c r="I7963" s="451" t="s">
        <v>37081</v>
      </c>
      <c r="J7963" s="451" t="s">
        <v>37082</v>
      </c>
      <c r="K7963" s="451"/>
    </row>
    <row r="7964" spans="1:11">
      <c r="A7964" s="450" t="s">
        <v>20782</v>
      </c>
      <c r="B7964" s="450" t="s">
        <v>13039</v>
      </c>
      <c r="C7964" s="450" t="s">
        <v>13040</v>
      </c>
      <c r="D7964" s="450" t="s">
        <v>13041</v>
      </c>
      <c r="E7964" s="450" t="s">
        <v>13042</v>
      </c>
      <c r="F7964" s="450" t="s">
        <v>13038</v>
      </c>
      <c r="G7964" s="450"/>
      <c r="H7964" s="450"/>
      <c r="I7964" s="450"/>
      <c r="J7964" s="450"/>
      <c r="K7964" s="450"/>
    </row>
    <row r="7965" spans="1:11">
      <c r="A7965" s="451" t="s">
        <v>20783</v>
      </c>
      <c r="B7965" s="451" t="s">
        <v>27490</v>
      </c>
      <c r="C7965" s="451" t="s">
        <v>13044</v>
      </c>
      <c r="D7965" s="451" t="s">
        <v>13045</v>
      </c>
      <c r="E7965" s="451"/>
      <c r="F7965" s="451" t="s">
        <v>13047</v>
      </c>
      <c r="G7965" s="451" t="s">
        <v>22877</v>
      </c>
      <c r="H7965" s="451" t="s">
        <v>22878</v>
      </c>
      <c r="I7965" s="451" t="s">
        <v>27491</v>
      </c>
      <c r="J7965" s="451" t="s">
        <v>27492</v>
      </c>
      <c r="K7965" s="451"/>
    </row>
    <row r="7966" spans="1:11">
      <c r="A7966" s="450" t="s">
        <v>20783</v>
      </c>
      <c r="B7966" s="450" t="s">
        <v>13043</v>
      </c>
      <c r="C7966" s="450" t="s">
        <v>13044</v>
      </c>
      <c r="D7966" s="450" t="s">
        <v>13045</v>
      </c>
      <c r="E7966" s="450" t="s">
        <v>13046</v>
      </c>
      <c r="F7966" s="450" t="s">
        <v>13047</v>
      </c>
      <c r="G7966" s="450"/>
      <c r="H7966" s="450"/>
      <c r="I7966" s="450"/>
      <c r="J7966" s="450"/>
      <c r="K7966" s="450"/>
    </row>
    <row r="7967" spans="1:11">
      <c r="A7967" s="451" t="s">
        <v>20784</v>
      </c>
      <c r="B7967" s="451" t="s">
        <v>27493</v>
      </c>
      <c r="C7967" s="451" t="s">
        <v>13049</v>
      </c>
      <c r="D7967" s="451" t="s">
        <v>13050</v>
      </c>
      <c r="E7967" s="451"/>
      <c r="F7967" s="451" t="s">
        <v>13052</v>
      </c>
      <c r="G7967" s="451" t="s">
        <v>22882</v>
      </c>
      <c r="H7967" s="451" t="s">
        <v>22883</v>
      </c>
      <c r="I7967" s="451" t="s">
        <v>13050</v>
      </c>
      <c r="J7967" s="451" t="s">
        <v>27494</v>
      </c>
      <c r="K7967" s="451"/>
    </row>
    <row r="7968" spans="1:11">
      <c r="A7968" s="450" t="s">
        <v>20784</v>
      </c>
      <c r="B7968" s="450" t="s">
        <v>13048</v>
      </c>
      <c r="C7968" s="450" t="s">
        <v>13049</v>
      </c>
      <c r="D7968" s="450" t="s">
        <v>13050</v>
      </c>
      <c r="E7968" s="450" t="s">
        <v>13051</v>
      </c>
      <c r="F7968" s="450" t="s">
        <v>13052</v>
      </c>
      <c r="G7968" s="450"/>
      <c r="H7968" s="450"/>
      <c r="I7968" s="450"/>
      <c r="J7968" s="450"/>
      <c r="K7968" s="450"/>
    </row>
    <row r="7969" spans="1:11">
      <c r="A7969" s="451" t="s">
        <v>20785</v>
      </c>
      <c r="B7969" s="451" t="s">
        <v>13053</v>
      </c>
      <c r="C7969" s="451" t="s">
        <v>13054</v>
      </c>
      <c r="D7969" s="451" t="s">
        <v>13055</v>
      </c>
      <c r="E7969" s="451"/>
      <c r="F7969" s="451" t="s">
        <v>13057</v>
      </c>
      <c r="G7969" s="451" t="s">
        <v>22877</v>
      </c>
      <c r="H7969" s="451" t="s">
        <v>22878</v>
      </c>
      <c r="I7969" s="451" t="s">
        <v>13055</v>
      </c>
      <c r="J7969" s="451" t="s">
        <v>37083</v>
      </c>
      <c r="K7969" s="451"/>
    </row>
    <row r="7970" spans="1:11">
      <c r="A7970" s="450" t="s">
        <v>20785</v>
      </c>
      <c r="B7970" s="450" t="s">
        <v>13053</v>
      </c>
      <c r="C7970" s="450" t="s">
        <v>13054</v>
      </c>
      <c r="D7970" s="450" t="s">
        <v>13055</v>
      </c>
      <c r="E7970" s="450" t="s">
        <v>13056</v>
      </c>
      <c r="F7970" s="450" t="s">
        <v>13057</v>
      </c>
      <c r="G7970" s="450"/>
      <c r="H7970" s="450"/>
      <c r="I7970" s="450"/>
      <c r="J7970" s="450"/>
      <c r="K7970" s="450"/>
    </row>
    <row r="7971" spans="1:11">
      <c r="A7971" s="451" t="s">
        <v>20786</v>
      </c>
      <c r="B7971" s="451" t="s">
        <v>13058</v>
      </c>
      <c r="C7971" s="451" t="s">
        <v>13059</v>
      </c>
      <c r="D7971" s="451" t="s">
        <v>13060</v>
      </c>
      <c r="E7971" s="451"/>
      <c r="F7971" s="451" t="s">
        <v>13062</v>
      </c>
      <c r="G7971" s="451" t="s">
        <v>22882</v>
      </c>
      <c r="H7971" s="451" t="s">
        <v>22883</v>
      </c>
      <c r="I7971" s="451" t="s">
        <v>37084</v>
      </c>
      <c r="J7971" s="451" t="s">
        <v>37085</v>
      </c>
      <c r="K7971" s="451"/>
    </row>
    <row r="7972" spans="1:11">
      <c r="A7972" s="450" t="s">
        <v>20786</v>
      </c>
      <c r="B7972" s="450" t="s">
        <v>13058</v>
      </c>
      <c r="C7972" s="450" t="s">
        <v>13059</v>
      </c>
      <c r="D7972" s="450" t="s">
        <v>13060</v>
      </c>
      <c r="E7972" s="450" t="s">
        <v>13061</v>
      </c>
      <c r="F7972" s="450" t="s">
        <v>13062</v>
      </c>
      <c r="G7972" s="450"/>
      <c r="H7972" s="450"/>
      <c r="I7972" s="450"/>
      <c r="J7972" s="450"/>
      <c r="K7972" s="450"/>
    </row>
    <row r="7973" spans="1:11">
      <c r="A7973" s="451" t="s">
        <v>20787</v>
      </c>
      <c r="B7973" s="451" t="s">
        <v>27495</v>
      </c>
      <c r="C7973" s="451" t="s">
        <v>13064</v>
      </c>
      <c r="D7973" s="451" t="s">
        <v>13065</v>
      </c>
      <c r="E7973" s="451"/>
      <c r="F7973" s="451" t="s">
        <v>13067</v>
      </c>
      <c r="G7973" s="451" t="s">
        <v>22882</v>
      </c>
      <c r="H7973" s="451" t="s">
        <v>22883</v>
      </c>
      <c r="I7973" s="451" t="s">
        <v>27496</v>
      </c>
      <c r="J7973" s="451" t="s">
        <v>27497</v>
      </c>
      <c r="K7973" s="451"/>
    </row>
    <row r="7974" spans="1:11">
      <c r="A7974" s="450" t="s">
        <v>20787</v>
      </c>
      <c r="B7974" s="450" t="s">
        <v>13063</v>
      </c>
      <c r="C7974" s="450" t="s">
        <v>13064</v>
      </c>
      <c r="D7974" s="450" t="s">
        <v>13065</v>
      </c>
      <c r="E7974" s="450" t="s">
        <v>13066</v>
      </c>
      <c r="F7974" s="450" t="s">
        <v>13067</v>
      </c>
      <c r="G7974" s="450"/>
      <c r="H7974" s="450"/>
      <c r="I7974" s="450"/>
      <c r="J7974" s="450"/>
      <c r="K7974" s="450"/>
    </row>
    <row r="7975" spans="1:11">
      <c r="A7975" s="451" t="s">
        <v>20788</v>
      </c>
      <c r="B7975" s="451" t="s">
        <v>27498</v>
      </c>
      <c r="C7975" s="451" t="s">
        <v>13069</v>
      </c>
      <c r="D7975" s="451" t="s">
        <v>13070</v>
      </c>
      <c r="E7975" s="451"/>
      <c r="F7975" s="451" t="s">
        <v>13072</v>
      </c>
      <c r="G7975" s="451" t="s">
        <v>22877</v>
      </c>
      <c r="H7975" s="451" t="s">
        <v>22878</v>
      </c>
      <c r="I7975" s="451" t="s">
        <v>13070</v>
      </c>
      <c r="J7975" s="451" t="s">
        <v>27499</v>
      </c>
      <c r="K7975" s="451"/>
    </row>
    <row r="7976" spans="1:11">
      <c r="A7976" s="450" t="s">
        <v>20788</v>
      </c>
      <c r="B7976" s="450" t="s">
        <v>13068</v>
      </c>
      <c r="C7976" s="450" t="s">
        <v>13069</v>
      </c>
      <c r="D7976" s="450" t="s">
        <v>13070</v>
      </c>
      <c r="E7976" s="450" t="s">
        <v>13071</v>
      </c>
      <c r="F7976" s="450" t="s">
        <v>13072</v>
      </c>
      <c r="G7976" s="450"/>
      <c r="H7976" s="450"/>
      <c r="I7976" s="450"/>
      <c r="J7976" s="450"/>
      <c r="K7976" s="450"/>
    </row>
    <row r="7977" spans="1:11">
      <c r="A7977" s="451" t="s">
        <v>20789</v>
      </c>
      <c r="B7977" s="451" t="s">
        <v>13073</v>
      </c>
      <c r="C7977" s="451" t="s">
        <v>13074</v>
      </c>
      <c r="D7977" s="451" t="s">
        <v>13075</v>
      </c>
      <c r="E7977" s="451"/>
      <c r="F7977" s="451" t="s">
        <v>13077</v>
      </c>
      <c r="G7977" s="451" t="s">
        <v>22882</v>
      </c>
      <c r="H7977" s="451" t="s">
        <v>22883</v>
      </c>
      <c r="I7977" s="451" t="s">
        <v>13075</v>
      </c>
      <c r="J7977" s="451" t="s">
        <v>37086</v>
      </c>
      <c r="K7977" s="451"/>
    </row>
    <row r="7978" spans="1:11">
      <c r="A7978" s="450" t="s">
        <v>20789</v>
      </c>
      <c r="B7978" s="450" t="s">
        <v>13073</v>
      </c>
      <c r="C7978" s="450" t="s">
        <v>13074</v>
      </c>
      <c r="D7978" s="450" t="s">
        <v>13075</v>
      </c>
      <c r="E7978" s="450" t="s">
        <v>13076</v>
      </c>
      <c r="F7978" s="450" t="s">
        <v>13077</v>
      </c>
      <c r="G7978" s="450"/>
      <c r="H7978" s="450"/>
      <c r="I7978" s="450"/>
      <c r="J7978" s="450"/>
      <c r="K7978" s="450"/>
    </row>
    <row r="7979" spans="1:11">
      <c r="A7979" s="451" t="s">
        <v>20790</v>
      </c>
      <c r="B7979" s="451" t="s">
        <v>27500</v>
      </c>
      <c r="C7979" s="451" t="s">
        <v>13079</v>
      </c>
      <c r="D7979" s="451" t="s">
        <v>13080</v>
      </c>
      <c r="E7979" s="451"/>
      <c r="F7979" s="451" t="s">
        <v>13082</v>
      </c>
      <c r="G7979" s="451" t="s">
        <v>22877</v>
      </c>
      <c r="H7979" s="451" t="s">
        <v>22878</v>
      </c>
      <c r="I7979" s="451" t="s">
        <v>13080</v>
      </c>
      <c r="J7979" s="451" t="s">
        <v>27501</v>
      </c>
      <c r="K7979" s="451"/>
    </row>
    <row r="7980" spans="1:11">
      <c r="A7980" s="450" t="s">
        <v>20790</v>
      </c>
      <c r="B7980" s="450" t="s">
        <v>13078</v>
      </c>
      <c r="C7980" s="450" t="s">
        <v>13079</v>
      </c>
      <c r="D7980" s="450" t="s">
        <v>13080</v>
      </c>
      <c r="E7980" s="450" t="s">
        <v>13081</v>
      </c>
      <c r="F7980" s="450" t="s">
        <v>13082</v>
      </c>
      <c r="G7980" s="450"/>
      <c r="H7980" s="450"/>
      <c r="I7980" s="450"/>
      <c r="J7980" s="450"/>
      <c r="K7980" s="450"/>
    </row>
    <row r="7981" spans="1:11">
      <c r="A7981" s="451" t="s">
        <v>20791</v>
      </c>
      <c r="B7981" s="451" t="s">
        <v>27502</v>
      </c>
      <c r="C7981" s="451" t="s">
        <v>13084</v>
      </c>
      <c r="D7981" s="451" t="s">
        <v>13085</v>
      </c>
      <c r="E7981" s="451"/>
      <c r="F7981" s="451" t="s">
        <v>13087</v>
      </c>
      <c r="G7981" s="451" t="s">
        <v>22882</v>
      </c>
      <c r="H7981" s="451" t="s">
        <v>22883</v>
      </c>
      <c r="I7981" s="451" t="s">
        <v>13085</v>
      </c>
      <c r="J7981" s="451" t="s">
        <v>27503</v>
      </c>
      <c r="K7981" s="451"/>
    </row>
    <row r="7982" spans="1:11">
      <c r="A7982" s="450" t="s">
        <v>20791</v>
      </c>
      <c r="B7982" s="450" t="s">
        <v>13083</v>
      </c>
      <c r="C7982" s="450" t="s">
        <v>13084</v>
      </c>
      <c r="D7982" s="450" t="s">
        <v>13085</v>
      </c>
      <c r="E7982" s="450" t="s">
        <v>13086</v>
      </c>
      <c r="F7982" s="450" t="s">
        <v>13087</v>
      </c>
      <c r="G7982" s="450"/>
      <c r="H7982" s="450"/>
      <c r="I7982" s="450"/>
      <c r="J7982" s="450"/>
      <c r="K7982" s="450"/>
    </row>
    <row r="7983" spans="1:11">
      <c r="A7983" s="451" t="s">
        <v>20792</v>
      </c>
      <c r="B7983" s="451" t="s">
        <v>13088</v>
      </c>
      <c r="C7983" s="451" t="s">
        <v>13089</v>
      </c>
      <c r="D7983" s="451" t="s">
        <v>13090</v>
      </c>
      <c r="E7983" s="451"/>
      <c r="F7983" s="451" t="s">
        <v>13092</v>
      </c>
      <c r="G7983" s="451" t="s">
        <v>22877</v>
      </c>
      <c r="H7983" s="451" t="s">
        <v>22878</v>
      </c>
      <c r="I7983" s="451" t="s">
        <v>13090</v>
      </c>
      <c r="J7983" s="451" t="s">
        <v>37087</v>
      </c>
      <c r="K7983" s="451"/>
    </row>
    <row r="7984" spans="1:11">
      <c r="A7984" s="450" t="s">
        <v>20792</v>
      </c>
      <c r="B7984" s="450" t="s">
        <v>13088</v>
      </c>
      <c r="C7984" s="450" t="s">
        <v>13089</v>
      </c>
      <c r="D7984" s="450" t="s">
        <v>13090</v>
      </c>
      <c r="E7984" s="450" t="s">
        <v>13091</v>
      </c>
      <c r="F7984" s="450" t="s">
        <v>13092</v>
      </c>
      <c r="G7984" s="450"/>
      <c r="H7984" s="450"/>
      <c r="I7984" s="450"/>
      <c r="J7984" s="450"/>
      <c r="K7984" s="450"/>
    </row>
    <row r="7985" spans="1:11">
      <c r="A7985" s="451" t="s">
        <v>20793</v>
      </c>
      <c r="B7985" s="451" t="s">
        <v>13093</v>
      </c>
      <c r="C7985" s="451" t="s">
        <v>13094</v>
      </c>
      <c r="D7985" s="451" t="s">
        <v>13095</v>
      </c>
      <c r="E7985" s="451"/>
      <c r="F7985" s="451" t="s">
        <v>13097</v>
      </c>
      <c r="G7985" s="451" t="s">
        <v>22882</v>
      </c>
      <c r="H7985" s="451" t="s">
        <v>22883</v>
      </c>
      <c r="I7985" s="451" t="s">
        <v>37088</v>
      </c>
      <c r="J7985" s="451" t="s">
        <v>37089</v>
      </c>
      <c r="K7985" s="451"/>
    </row>
    <row r="7986" spans="1:11">
      <c r="A7986" s="450" t="s">
        <v>20793</v>
      </c>
      <c r="B7986" s="450" t="s">
        <v>13093</v>
      </c>
      <c r="C7986" s="450" t="s">
        <v>13094</v>
      </c>
      <c r="D7986" s="450" t="s">
        <v>13095</v>
      </c>
      <c r="E7986" s="450" t="s">
        <v>13096</v>
      </c>
      <c r="F7986" s="450" t="s">
        <v>13097</v>
      </c>
      <c r="G7986" s="450"/>
      <c r="H7986" s="450"/>
      <c r="I7986" s="450"/>
      <c r="J7986" s="450"/>
      <c r="K7986" s="450"/>
    </row>
    <row r="7987" spans="1:11">
      <c r="A7987" s="451" t="s">
        <v>20794</v>
      </c>
      <c r="B7987" s="451" t="s">
        <v>13098</v>
      </c>
      <c r="C7987" s="451" t="s">
        <v>13099</v>
      </c>
      <c r="D7987" s="451" t="s">
        <v>13100</v>
      </c>
      <c r="E7987" s="451"/>
      <c r="F7987" s="451" t="s">
        <v>13102</v>
      </c>
      <c r="G7987" s="451" t="s">
        <v>22877</v>
      </c>
      <c r="H7987" s="451" t="s">
        <v>22878</v>
      </c>
      <c r="I7987" s="451" t="s">
        <v>37090</v>
      </c>
      <c r="J7987" s="451" t="s">
        <v>37091</v>
      </c>
      <c r="K7987" s="451"/>
    </row>
    <row r="7988" spans="1:11">
      <c r="A7988" s="450" t="s">
        <v>20794</v>
      </c>
      <c r="B7988" s="450" t="s">
        <v>13098</v>
      </c>
      <c r="C7988" s="450" t="s">
        <v>13099</v>
      </c>
      <c r="D7988" s="450" t="s">
        <v>13100</v>
      </c>
      <c r="E7988" s="450" t="s">
        <v>13101</v>
      </c>
      <c r="F7988" s="450" t="s">
        <v>13102</v>
      </c>
      <c r="G7988" s="450"/>
      <c r="H7988" s="450"/>
      <c r="I7988" s="450"/>
      <c r="J7988" s="450"/>
      <c r="K7988" s="450"/>
    </row>
    <row r="7989" spans="1:11">
      <c r="A7989" s="451" t="s">
        <v>20795</v>
      </c>
      <c r="B7989" s="451" t="s">
        <v>27504</v>
      </c>
      <c r="C7989" s="451" t="s">
        <v>13104</v>
      </c>
      <c r="D7989" s="451" t="s">
        <v>13105</v>
      </c>
      <c r="E7989" s="451"/>
      <c r="F7989" s="451" t="s">
        <v>13107</v>
      </c>
      <c r="G7989" s="451" t="s">
        <v>22877</v>
      </c>
      <c r="H7989" s="451" t="s">
        <v>22878</v>
      </c>
      <c r="I7989" s="451" t="s">
        <v>13105</v>
      </c>
      <c r="J7989" s="451" t="s">
        <v>27505</v>
      </c>
      <c r="K7989" s="451"/>
    </row>
    <row r="7990" spans="1:11">
      <c r="A7990" s="450" t="s">
        <v>20795</v>
      </c>
      <c r="B7990" s="450" t="s">
        <v>13103</v>
      </c>
      <c r="C7990" s="450" t="s">
        <v>13104</v>
      </c>
      <c r="D7990" s="450" t="s">
        <v>13105</v>
      </c>
      <c r="E7990" s="450" t="s">
        <v>13106</v>
      </c>
      <c r="F7990" s="450" t="s">
        <v>13107</v>
      </c>
      <c r="G7990" s="450"/>
      <c r="H7990" s="450"/>
      <c r="I7990" s="450"/>
      <c r="J7990" s="450"/>
      <c r="K7990" s="450"/>
    </row>
    <row r="7991" spans="1:11">
      <c r="A7991" s="451" t="s">
        <v>20796</v>
      </c>
      <c r="B7991" s="451" t="s">
        <v>13108</v>
      </c>
      <c r="C7991" s="451" t="s">
        <v>13109</v>
      </c>
      <c r="D7991" s="451" t="s">
        <v>13110</v>
      </c>
      <c r="E7991" s="451"/>
      <c r="F7991" s="451" t="s">
        <v>13112</v>
      </c>
      <c r="G7991" s="451" t="s">
        <v>22877</v>
      </c>
      <c r="H7991" s="451" t="s">
        <v>22878</v>
      </c>
      <c r="I7991" s="451" t="s">
        <v>37092</v>
      </c>
      <c r="J7991" s="451" t="s">
        <v>37093</v>
      </c>
      <c r="K7991" s="451"/>
    </row>
    <row r="7992" spans="1:11">
      <c r="A7992" s="450" t="s">
        <v>20796</v>
      </c>
      <c r="B7992" s="450" t="s">
        <v>13108</v>
      </c>
      <c r="C7992" s="450" t="s">
        <v>13109</v>
      </c>
      <c r="D7992" s="450" t="s">
        <v>13110</v>
      </c>
      <c r="E7992" s="450" t="s">
        <v>13111</v>
      </c>
      <c r="F7992" s="450" t="s">
        <v>13112</v>
      </c>
      <c r="G7992" s="450"/>
      <c r="H7992" s="450"/>
      <c r="I7992" s="450"/>
      <c r="J7992" s="450"/>
      <c r="K7992" s="450"/>
    </row>
    <row r="7993" spans="1:11">
      <c r="A7993" s="451" t="s">
        <v>20797</v>
      </c>
      <c r="B7993" s="451" t="s">
        <v>13113</v>
      </c>
      <c r="C7993" s="451" t="s">
        <v>13114</v>
      </c>
      <c r="D7993" s="451" t="s">
        <v>13115</v>
      </c>
      <c r="E7993" s="451"/>
      <c r="F7993" s="451" t="s">
        <v>13117</v>
      </c>
      <c r="G7993" s="451" t="s">
        <v>22877</v>
      </c>
      <c r="H7993" s="451" t="s">
        <v>22878</v>
      </c>
      <c r="I7993" s="451" t="s">
        <v>37094</v>
      </c>
      <c r="J7993" s="451" t="s">
        <v>37095</v>
      </c>
      <c r="K7993" s="451"/>
    </row>
    <row r="7994" spans="1:11">
      <c r="A7994" s="450" t="s">
        <v>20797</v>
      </c>
      <c r="B7994" s="450" t="s">
        <v>13113</v>
      </c>
      <c r="C7994" s="450" t="s">
        <v>13114</v>
      </c>
      <c r="D7994" s="450" t="s">
        <v>13115</v>
      </c>
      <c r="E7994" s="450" t="s">
        <v>13116</v>
      </c>
      <c r="F7994" s="450" t="s">
        <v>13117</v>
      </c>
      <c r="G7994" s="450"/>
      <c r="H7994" s="450"/>
      <c r="I7994" s="450"/>
      <c r="J7994" s="450"/>
      <c r="K7994" s="450"/>
    </row>
    <row r="7995" spans="1:11">
      <c r="A7995" s="451" t="s">
        <v>20798</v>
      </c>
      <c r="B7995" s="451" t="s">
        <v>27506</v>
      </c>
      <c r="C7995" s="451" t="s">
        <v>13119</v>
      </c>
      <c r="D7995" s="451" t="s">
        <v>13120</v>
      </c>
      <c r="E7995" s="451"/>
      <c r="F7995" s="451" t="s">
        <v>13122</v>
      </c>
      <c r="G7995" s="451" t="s">
        <v>22877</v>
      </c>
      <c r="H7995" s="451" t="s">
        <v>22878</v>
      </c>
      <c r="I7995" s="451" t="s">
        <v>13120</v>
      </c>
      <c r="J7995" s="451" t="s">
        <v>27507</v>
      </c>
      <c r="K7995" s="451"/>
    </row>
    <row r="7996" spans="1:11">
      <c r="A7996" s="450" t="s">
        <v>20798</v>
      </c>
      <c r="B7996" s="450" t="s">
        <v>13118</v>
      </c>
      <c r="C7996" s="450" t="s">
        <v>13119</v>
      </c>
      <c r="D7996" s="450" t="s">
        <v>13120</v>
      </c>
      <c r="E7996" s="450" t="s">
        <v>13121</v>
      </c>
      <c r="F7996" s="450" t="s">
        <v>13122</v>
      </c>
      <c r="G7996" s="450"/>
      <c r="H7996" s="450"/>
      <c r="I7996" s="450"/>
      <c r="J7996" s="450"/>
      <c r="K7996" s="450"/>
    </row>
    <row r="7997" spans="1:11">
      <c r="A7997" s="451" t="s">
        <v>20799</v>
      </c>
      <c r="B7997" s="451" t="s">
        <v>27508</v>
      </c>
      <c r="C7997" s="451" t="s">
        <v>13124</v>
      </c>
      <c r="D7997" s="451" t="s">
        <v>13125</v>
      </c>
      <c r="E7997" s="451"/>
      <c r="F7997" s="451" t="s">
        <v>13127</v>
      </c>
      <c r="G7997" s="451" t="s">
        <v>22877</v>
      </c>
      <c r="H7997" s="451" t="s">
        <v>22878</v>
      </c>
      <c r="I7997" s="451" t="s">
        <v>13125</v>
      </c>
      <c r="J7997" s="451" t="s">
        <v>27509</v>
      </c>
      <c r="K7997" s="451"/>
    </row>
    <row r="7998" spans="1:11">
      <c r="A7998" s="450" t="s">
        <v>20799</v>
      </c>
      <c r="B7998" s="450" t="s">
        <v>13123</v>
      </c>
      <c r="C7998" s="450" t="s">
        <v>13124</v>
      </c>
      <c r="D7998" s="450" t="s">
        <v>13125</v>
      </c>
      <c r="E7998" s="450" t="s">
        <v>13126</v>
      </c>
      <c r="F7998" s="450" t="s">
        <v>13127</v>
      </c>
      <c r="G7998" s="450"/>
      <c r="H7998" s="450"/>
      <c r="I7998" s="450"/>
      <c r="J7998" s="450"/>
      <c r="K7998" s="450"/>
    </row>
    <row r="7999" spans="1:11">
      <c r="A7999" s="451" t="s">
        <v>20800</v>
      </c>
      <c r="B7999" s="451" t="s">
        <v>27510</v>
      </c>
      <c r="C7999" s="451" t="s">
        <v>27511</v>
      </c>
      <c r="D7999" s="451" t="s">
        <v>13130</v>
      </c>
      <c r="E7999" s="451"/>
      <c r="F7999" s="451" t="s">
        <v>13132</v>
      </c>
      <c r="G7999" s="451" t="s">
        <v>22877</v>
      </c>
      <c r="H7999" s="451" t="s">
        <v>22878</v>
      </c>
      <c r="I7999" s="451" t="s">
        <v>13130</v>
      </c>
      <c r="J7999" s="451" t="s">
        <v>27512</v>
      </c>
      <c r="K7999" s="451"/>
    </row>
    <row r="8000" spans="1:11">
      <c r="A8000" s="450" t="s">
        <v>20800</v>
      </c>
      <c r="B8000" s="450" t="s">
        <v>13128</v>
      </c>
      <c r="C8000" s="450" t="s">
        <v>13129</v>
      </c>
      <c r="D8000" s="450" t="s">
        <v>13130</v>
      </c>
      <c r="E8000" s="450" t="s">
        <v>13131</v>
      </c>
      <c r="F8000" s="450" t="s">
        <v>13132</v>
      </c>
      <c r="G8000" s="450"/>
      <c r="H8000" s="450"/>
      <c r="I8000" s="450"/>
      <c r="J8000" s="450"/>
      <c r="K8000" s="450"/>
    </row>
    <row r="8001" spans="1:11">
      <c r="A8001" s="451" t="s">
        <v>20801</v>
      </c>
      <c r="B8001" s="451" t="s">
        <v>13133</v>
      </c>
      <c r="C8001" s="451" t="s">
        <v>13134</v>
      </c>
      <c r="D8001" s="451" t="s">
        <v>13135</v>
      </c>
      <c r="E8001" s="451"/>
      <c r="F8001" s="451" t="s">
        <v>13137</v>
      </c>
      <c r="G8001" s="451" t="s">
        <v>22877</v>
      </c>
      <c r="H8001" s="451" t="s">
        <v>22878</v>
      </c>
      <c r="I8001" s="451"/>
      <c r="J8001" s="451" t="s">
        <v>37096</v>
      </c>
      <c r="K8001" s="451"/>
    </row>
    <row r="8002" spans="1:11">
      <c r="A8002" s="450" t="s">
        <v>20801</v>
      </c>
      <c r="B8002" s="450" t="s">
        <v>13133</v>
      </c>
      <c r="C8002" s="450" t="s">
        <v>13134</v>
      </c>
      <c r="D8002" s="450" t="s">
        <v>13135</v>
      </c>
      <c r="E8002" s="450" t="s">
        <v>13136</v>
      </c>
      <c r="F8002" s="450" t="s">
        <v>13137</v>
      </c>
      <c r="G8002" s="450"/>
      <c r="H8002" s="450"/>
      <c r="I8002" s="450"/>
      <c r="J8002" s="450"/>
      <c r="K8002" s="450"/>
    </row>
    <row r="8003" spans="1:11">
      <c r="A8003" s="451" t="s">
        <v>20802</v>
      </c>
      <c r="B8003" s="451" t="s">
        <v>13138</v>
      </c>
      <c r="C8003" s="451" t="s">
        <v>13139</v>
      </c>
      <c r="D8003" s="451" t="s">
        <v>13140</v>
      </c>
      <c r="E8003" s="451"/>
      <c r="F8003" s="451" t="s">
        <v>13142</v>
      </c>
      <c r="G8003" s="451" t="s">
        <v>22877</v>
      </c>
      <c r="H8003" s="451" t="s">
        <v>22878</v>
      </c>
      <c r="I8003" s="451" t="s">
        <v>13140</v>
      </c>
      <c r="J8003" s="451" t="s">
        <v>37097</v>
      </c>
      <c r="K8003" s="451"/>
    </row>
    <row r="8004" spans="1:11">
      <c r="A8004" s="450" t="s">
        <v>20802</v>
      </c>
      <c r="B8004" s="450" t="s">
        <v>13138</v>
      </c>
      <c r="C8004" s="450" t="s">
        <v>13139</v>
      </c>
      <c r="D8004" s="450" t="s">
        <v>13140</v>
      </c>
      <c r="E8004" s="450" t="s">
        <v>13141</v>
      </c>
      <c r="F8004" s="450" t="s">
        <v>13142</v>
      </c>
      <c r="G8004" s="450"/>
      <c r="H8004" s="450"/>
      <c r="I8004" s="450"/>
      <c r="J8004" s="450"/>
      <c r="K8004" s="450"/>
    </row>
    <row r="8005" spans="1:11">
      <c r="A8005" s="451" t="s">
        <v>20803</v>
      </c>
      <c r="B8005" s="451" t="s">
        <v>27513</v>
      </c>
      <c r="C8005" s="451" t="s">
        <v>13144</v>
      </c>
      <c r="D8005" s="451" t="s">
        <v>13145</v>
      </c>
      <c r="E8005" s="451"/>
      <c r="F8005" s="451" t="s">
        <v>13147</v>
      </c>
      <c r="G8005" s="451" t="s">
        <v>22877</v>
      </c>
      <c r="H8005" s="451" t="s">
        <v>22878</v>
      </c>
      <c r="I8005" s="451" t="s">
        <v>13145</v>
      </c>
      <c r="J8005" s="451" t="s">
        <v>27514</v>
      </c>
      <c r="K8005" s="451"/>
    </row>
    <row r="8006" spans="1:11">
      <c r="A8006" s="450" t="s">
        <v>20803</v>
      </c>
      <c r="B8006" s="450" t="s">
        <v>13143</v>
      </c>
      <c r="C8006" s="450" t="s">
        <v>13144</v>
      </c>
      <c r="D8006" s="450" t="s">
        <v>13145</v>
      </c>
      <c r="E8006" s="450" t="s">
        <v>13146</v>
      </c>
      <c r="F8006" s="450" t="s">
        <v>13147</v>
      </c>
      <c r="G8006" s="450"/>
      <c r="H8006" s="450"/>
      <c r="I8006" s="450"/>
      <c r="J8006" s="450"/>
      <c r="K8006" s="450"/>
    </row>
    <row r="8007" spans="1:11">
      <c r="A8007" s="451" t="s">
        <v>20804</v>
      </c>
      <c r="B8007" s="451" t="s">
        <v>27515</v>
      </c>
      <c r="C8007" s="451" t="s">
        <v>13149</v>
      </c>
      <c r="D8007" s="451" t="s">
        <v>13150</v>
      </c>
      <c r="E8007" s="451"/>
      <c r="F8007" s="451" t="s">
        <v>13152</v>
      </c>
      <c r="G8007" s="451" t="s">
        <v>22877</v>
      </c>
      <c r="H8007" s="451" t="s">
        <v>22878</v>
      </c>
      <c r="I8007" s="451" t="s">
        <v>13150</v>
      </c>
      <c r="J8007" s="451" t="s">
        <v>27516</v>
      </c>
      <c r="K8007" s="451"/>
    </row>
    <row r="8008" spans="1:11">
      <c r="A8008" s="450" t="s">
        <v>20804</v>
      </c>
      <c r="B8008" s="450" t="s">
        <v>13148</v>
      </c>
      <c r="C8008" s="450" t="s">
        <v>13149</v>
      </c>
      <c r="D8008" s="450" t="s">
        <v>13150</v>
      </c>
      <c r="E8008" s="450" t="s">
        <v>13151</v>
      </c>
      <c r="F8008" s="450" t="s">
        <v>13152</v>
      </c>
      <c r="G8008" s="450"/>
      <c r="H8008" s="450"/>
      <c r="I8008" s="450"/>
      <c r="J8008" s="450"/>
      <c r="K8008" s="450"/>
    </row>
    <row r="8009" spans="1:11">
      <c r="A8009" s="451" t="s">
        <v>20805</v>
      </c>
      <c r="B8009" s="451" t="s">
        <v>37098</v>
      </c>
      <c r="C8009" s="451" t="s">
        <v>13154</v>
      </c>
      <c r="D8009" s="451" t="s">
        <v>13155</v>
      </c>
      <c r="E8009" s="451"/>
      <c r="F8009" s="451" t="s">
        <v>13157</v>
      </c>
      <c r="G8009" s="451" t="s">
        <v>22877</v>
      </c>
      <c r="H8009" s="451" t="s">
        <v>22878</v>
      </c>
      <c r="I8009" s="451"/>
      <c r="J8009" s="451" t="s">
        <v>37099</v>
      </c>
      <c r="K8009" s="451"/>
    </row>
    <row r="8010" spans="1:11">
      <c r="A8010" s="450" t="s">
        <v>20805</v>
      </c>
      <c r="B8010" s="450" t="s">
        <v>13153</v>
      </c>
      <c r="C8010" s="450" t="s">
        <v>13154</v>
      </c>
      <c r="D8010" s="450" t="s">
        <v>13155</v>
      </c>
      <c r="E8010" s="450" t="s">
        <v>13156</v>
      </c>
      <c r="F8010" s="450" t="s">
        <v>13157</v>
      </c>
      <c r="G8010" s="450"/>
      <c r="H8010" s="450"/>
      <c r="I8010" s="450"/>
      <c r="J8010" s="450"/>
      <c r="K8010" s="450"/>
    </row>
    <row r="8011" spans="1:11">
      <c r="A8011" s="451" t="s">
        <v>20806</v>
      </c>
      <c r="B8011" s="451" t="s">
        <v>13158</v>
      </c>
      <c r="C8011" s="451" t="s">
        <v>13159</v>
      </c>
      <c r="D8011" s="451" t="s">
        <v>13160</v>
      </c>
      <c r="E8011" s="451"/>
      <c r="F8011" s="451" t="s">
        <v>13162</v>
      </c>
      <c r="G8011" s="451" t="s">
        <v>22877</v>
      </c>
      <c r="H8011" s="451" t="s">
        <v>22878</v>
      </c>
      <c r="I8011" s="451" t="s">
        <v>13160</v>
      </c>
      <c r="J8011" s="451" t="s">
        <v>37100</v>
      </c>
      <c r="K8011" s="451"/>
    </row>
    <row r="8012" spans="1:11">
      <c r="A8012" s="450" t="s">
        <v>20806</v>
      </c>
      <c r="B8012" s="450" t="s">
        <v>13158</v>
      </c>
      <c r="C8012" s="450" t="s">
        <v>13159</v>
      </c>
      <c r="D8012" s="450" t="s">
        <v>13160</v>
      </c>
      <c r="E8012" s="450" t="s">
        <v>13161</v>
      </c>
      <c r="F8012" s="450" t="s">
        <v>13162</v>
      </c>
      <c r="G8012" s="450"/>
      <c r="H8012" s="450"/>
      <c r="I8012" s="450"/>
      <c r="J8012" s="450"/>
      <c r="K8012" s="450"/>
    </row>
    <row r="8013" spans="1:11">
      <c r="A8013" s="451" t="s">
        <v>20807</v>
      </c>
      <c r="B8013" s="451" t="s">
        <v>13163</v>
      </c>
      <c r="C8013" s="451" t="s">
        <v>13164</v>
      </c>
      <c r="D8013" s="451" t="s">
        <v>13165</v>
      </c>
      <c r="E8013" s="451"/>
      <c r="F8013" s="451" t="s">
        <v>13167</v>
      </c>
      <c r="G8013" s="451" t="s">
        <v>22877</v>
      </c>
      <c r="H8013" s="451" t="s">
        <v>22878</v>
      </c>
      <c r="I8013" s="451" t="s">
        <v>13165</v>
      </c>
      <c r="J8013" s="451" t="s">
        <v>37101</v>
      </c>
      <c r="K8013" s="451"/>
    </row>
    <row r="8014" spans="1:11">
      <c r="A8014" s="450" t="s">
        <v>20807</v>
      </c>
      <c r="B8014" s="450" t="s">
        <v>13163</v>
      </c>
      <c r="C8014" s="450" t="s">
        <v>13164</v>
      </c>
      <c r="D8014" s="450" t="s">
        <v>13165</v>
      </c>
      <c r="E8014" s="450" t="s">
        <v>13166</v>
      </c>
      <c r="F8014" s="450" t="s">
        <v>13167</v>
      </c>
      <c r="G8014" s="450"/>
      <c r="H8014" s="450"/>
      <c r="I8014" s="450"/>
      <c r="J8014" s="450"/>
      <c r="K8014" s="450"/>
    </row>
    <row r="8015" spans="1:11">
      <c r="A8015" s="451" t="s">
        <v>20808</v>
      </c>
      <c r="B8015" s="451" t="s">
        <v>13168</v>
      </c>
      <c r="C8015" s="451" t="s">
        <v>13169</v>
      </c>
      <c r="D8015" s="451" t="s">
        <v>13170</v>
      </c>
      <c r="E8015" s="451"/>
      <c r="F8015" s="451" t="s">
        <v>13172</v>
      </c>
      <c r="G8015" s="451" t="s">
        <v>22877</v>
      </c>
      <c r="H8015" s="451" t="s">
        <v>22878</v>
      </c>
      <c r="I8015" s="451" t="s">
        <v>13170</v>
      </c>
      <c r="J8015" s="451" t="s">
        <v>37102</v>
      </c>
      <c r="K8015" s="451"/>
    </row>
    <row r="8016" spans="1:11">
      <c r="A8016" s="450" t="s">
        <v>20808</v>
      </c>
      <c r="B8016" s="450" t="s">
        <v>13168</v>
      </c>
      <c r="C8016" s="450" t="s">
        <v>13169</v>
      </c>
      <c r="D8016" s="450" t="s">
        <v>13170</v>
      </c>
      <c r="E8016" s="450" t="s">
        <v>13171</v>
      </c>
      <c r="F8016" s="450" t="s">
        <v>13172</v>
      </c>
      <c r="G8016" s="450"/>
      <c r="H8016" s="450"/>
      <c r="I8016" s="450"/>
      <c r="J8016" s="450"/>
      <c r="K8016" s="450"/>
    </row>
    <row r="8017" spans="1:11">
      <c r="A8017" s="451" t="s">
        <v>20809</v>
      </c>
      <c r="B8017" s="451" t="s">
        <v>13173</v>
      </c>
      <c r="C8017" s="451" t="s">
        <v>13174</v>
      </c>
      <c r="D8017" s="451" t="s">
        <v>13175</v>
      </c>
      <c r="E8017" s="451"/>
      <c r="F8017" s="451" t="s">
        <v>13162</v>
      </c>
      <c r="G8017" s="451" t="s">
        <v>22877</v>
      </c>
      <c r="H8017" s="451" t="s">
        <v>22878</v>
      </c>
      <c r="I8017" s="451" t="s">
        <v>13175</v>
      </c>
      <c r="J8017" s="451" t="s">
        <v>37103</v>
      </c>
      <c r="K8017" s="451"/>
    </row>
    <row r="8018" spans="1:11">
      <c r="A8018" s="450" t="s">
        <v>20809</v>
      </c>
      <c r="B8018" s="450" t="s">
        <v>13173</v>
      </c>
      <c r="C8018" s="450" t="s">
        <v>13174</v>
      </c>
      <c r="D8018" s="450" t="s">
        <v>13175</v>
      </c>
      <c r="E8018" s="450" t="s">
        <v>13176</v>
      </c>
      <c r="F8018" s="450" t="s">
        <v>13162</v>
      </c>
      <c r="G8018" s="450"/>
      <c r="H8018" s="450"/>
      <c r="I8018" s="450"/>
      <c r="J8018" s="450"/>
      <c r="K8018" s="450"/>
    </row>
    <row r="8019" spans="1:11">
      <c r="A8019" s="451" t="s">
        <v>20810</v>
      </c>
      <c r="B8019" s="451" t="s">
        <v>13177</v>
      </c>
      <c r="C8019" s="451" t="s">
        <v>13178</v>
      </c>
      <c r="D8019" s="451" t="s">
        <v>13179</v>
      </c>
      <c r="E8019" s="451"/>
      <c r="F8019" s="451" t="s">
        <v>13181</v>
      </c>
      <c r="G8019" s="451" t="s">
        <v>22877</v>
      </c>
      <c r="H8019" s="451" t="s">
        <v>22878</v>
      </c>
      <c r="I8019" s="451" t="s">
        <v>37104</v>
      </c>
      <c r="J8019" s="451" t="s">
        <v>37105</v>
      </c>
      <c r="K8019" s="451"/>
    </row>
    <row r="8020" spans="1:11">
      <c r="A8020" s="450" t="s">
        <v>20810</v>
      </c>
      <c r="B8020" s="450" t="s">
        <v>13177</v>
      </c>
      <c r="C8020" s="450" t="s">
        <v>13178</v>
      </c>
      <c r="D8020" s="450" t="s">
        <v>13179</v>
      </c>
      <c r="E8020" s="450" t="s">
        <v>13180</v>
      </c>
      <c r="F8020" s="450" t="s">
        <v>13181</v>
      </c>
      <c r="G8020" s="450"/>
      <c r="H8020" s="450"/>
      <c r="I8020" s="450"/>
      <c r="J8020" s="450"/>
      <c r="K8020" s="450"/>
    </row>
    <row r="8021" spans="1:11">
      <c r="A8021" s="451" t="s">
        <v>20811</v>
      </c>
      <c r="B8021" s="451" t="s">
        <v>13182</v>
      </c>
      <c r="C8021" s="451" t="s">
        <v>13183</v>
      </c>
      <c r="D8021" s="451" t="s">
        <v>13184</v>
      </c>
      <c r="E8021" s="451"/>
      <c r="F8021" s="451" t="s">
        <v>13186</v>
      </c>
      <c r="G8021" s="451" t="s">
        <v>22877</v>
      </c>
      <c r="H8021" s="451" t="s">
        <v>22878</v>
      </c>
      <c r="I8021" s="451" t="s">
        <v>13184</v>
      </c>
      <c r="J8021" s="451" t="s">
        <v>37106</v>
      </c>
      <c r="K8021" s="451"/>
    </row>
    <row r="8022" spans="1:11">
      <c r="A8022" s="450" t="s">
        <v>20811</v>
      </c>
      <c r="B8022" s="450" t="s">
        <v>13182</v>
      </c>
      <c r="C8022" s="450" t="s">
        <v>13183</v>
      </c>
      <c r="D8022" s="450" t="s">
        <v>13184</v>
      </c>
      <c r="E8022" s="450" t="s">
        <v>13185</v>
      </c>
      <c r="F8022" s="450" t="s">
        <v>13186</v>
      </c>
      <c r="G8022" s="450"/>
      <c r="H8022" s="450"/>
      <c r="I8022" s="450"/>
      <c r="J8022" s="450"/>
      <c r="K8022" s="450"/>
    </row>
    <row r="8023" spans="1:11">
      <c r="A8023" s="451" t="s">
        <v>20812</v>
      </c>
      <c r="B8023" s="451" t="s">
        <v>13187</v>
      </c>
      <c r="C8023" s="451" t="s">
        <v>13188</v>
      </c>
      <c r="D8023" s="451" t="s">
        <v>13189</v>
      </c>
      <c r="E8023" s="451"/>
      <c r="F8023" s="451" t="s">
        <v>13191</v>
      </c>
      <c r="G8023" s="451" t="s">
        <v>22877</v>
      </c>
      <c r="H8023" s="451" t="s">
        <v>22878</v>
      </c>
      <c r="I8023" s="451" t="s">
        <v>13189</v>
      </c>
      <c r="J8023" s="451" t="s">
        <v>37107</v>
      </c>
      <c r="K8023" s="451"/>
    </row>
    <row r="8024" spans="1:11">
      <c r="A8024" s="450" t="s">
        <v>20812</v>
      </c>
      <c r="B8024" s="450" t="s">
        <v>13187</v>
      </c>
      <c r="C8024" s="450" t="s">
        <v>13188</v>
      </c>
      <c r="D8024" s="450" t="s">
        <v>13189</v>
      </c>
      <c r="E8024" s="450" t="s">
        <v>13190</v>
      </c>
      <c r="F8024" s="450" t="s">
        <v>13191</v>
      </c>
      <c r="G8024" s="450"/>
      <c r="H8024" s="450"/>
      <c r="I8024" s="450"/>
      <c r="J8024" s="450"/>
      <c r="K8024" s="450"/>
    </row>
    <row r="8025" spans="1:11">
      <c r="A8025" s="451" t="s">
        <v>20813</v>
      </c>
      <c r="B8025" s="451" t="s">
        <v>13192</v>
      </c>
      <c r="C8025" s="451" t="s">
        <v>13193</v>
      </c>
      <c r="D8025" s="451" t="s">
        <v>13194</v>
      </c>
      <c r="E8025" s="451"/>
      <c r="F8025" s="451" t="s">
        <v>13196</v>
      </c>
      <c r="G8025" s="451" t="s">
        <v>22877</v>
      </c>
      <c r="H8025" s="451" t="s">
        <v>22878</v>
      </c>
      <c r="I8025" s="451" t="s">
        <v>34731</v>
      </c>
      <c r="J8025" s="451" t="s">
        <v>37108</v>
      </c>
      <c r="K8025" s="451"/>
    </row>
    <row r="8026" spans="1:11">
      <c r="A8026" s="450" t="s">
        <v>20813</v>
      </c>
      <c r="B8026" s="450" t="s">
        <v>13192</v>
      </c>
      <c r="C8026" s="450" t="s">
        <v>13193</v>
      </c>
      <c r="D8026" s="450" t="s">
        <v>13194</v>
      </c>
      <c r="E8026" s="450" t="s">
        <v>13195</v>
      </c>
      <c r="F8026" s="450" t="s">
        <v>13196</v>
      </c>
      <c r="G8026" s="450"/>
      <c r="H8026" s="450"/>
      <c r="I8026" s="450"/>
      <c r="J8026" s="450"/>
      <c r="K8026" s="450"/>
    </row>
    <row r="8027" spans="1:11">
      <c r="A8027" s="451" t="s">
        <v>20814</v>
      </c>
      <c r="B8027" s="451" t="s">
        <v>13197</v>
      </c>
      <c r="C8027" s="451" t="s">
        <v>13198</v>
      </c>
      <c r="D8027" s="451" t="s">
        <v>13199</v>
      </c>
      <c r="E8027" s="451"/>
      <c r="F8027" s="451" t="s">
        <v>13201</v>
      </c>
      <c r="G8027" s="451" t="s">
        <v>22877</v>
      </c>
      <c r="H8027" s="451" t="s">
        <v>22878</v>
      </c>
      <c r="I8027" s="451" t="s">
        <v>13199</v>
      </c>
      <c r="J8027" s="451" t="s">
        <v>37109</v>
      </c>
      <c r="K8027" s="451"/>
    </row>
    <row r="8028" spans="1:11">
      <c r="A8028" s="450" t="s">
        <v>20814</v>
      </c>
      <c r="B8028" s="450" t="s">
        <v>13197</v>
      </c>
      <c r="C8028" s="450" t="s">
        <v>13198</v>
      </c>
      <c r="D8028" s="450" t="s">
        <v>13199</v>
      </c>
      <c r="E8028" s="450" t="s">
        <v>13200</v>
      </c>
      <c r="F8028" s="450" t="s">
        <v>13201</v>
      </c>
      <c r="G8028" s="450"/>
      <c r="H8028" s="450"/>
      <c r="I8028" s="450"/>
      <c r="J8028" s="450"/>
      <c r="K8028" s="450"/>
    </row>
    <row r="8029" spans="1:11">
      <c r="A8029" s="451" t="s">
        <v>20815</v>
      </c>
      <c r="B8029" s="451" t="s">
        <v>13202</v>
      </c>
      <c r="C8029" s="451" t="s">
        <v>13203</v>
      </c>
      <c r="D8029" s="451" t="s">
        <v>13204</v>
      </c>
      <c r="E8029" s="451"/>
      <c r="F8029" s="451" t="s">
        <v>13206</v>
      </c>
      <c r="G8029" s="451" t="s">
        <v>22877</v>
      </c>
      <c r="H8029" s="451" t="s">
        <v>22878</v>
      </c>
      <c r="I8029" s="451" t="s">
        <v>13204</v>
      </c>
      <c r="J8029" s="451" t="s">
        <v>37110</v>
      </c>
      <c r="K8029" s="451"/>
    </row>
    <row r="8030" spans="1:11">
      <c r="A8030" s="450" t="s">
        <v>20815</v>
      </c>
      <c r="B8030" s="450" t="s">
        <v>13202</v>
      </c>
      <c r="C8030" s="450" t="s">
        <v>13203</v>
      </c>
      <c r="D8030" s="450" t="s">
        <v>13204</v>
      </c>
      <c r="E8030" s="450" t="s">
        <v>13205</v>
      </c>
      <c r="F8030" s="450" t="s">
        <v>13206</v>
      </c>
      <c r="G8030" s="450"/>
      <c r="H8030" s="450"/>
      <c r="I8030" s="450"/>
      <c r="J8030" s="450"/>
      <c r="K8030" s="450"/>
    </row>
    <row r="8031" spans="1:11">
      <c r="A8031" s="451" t="s">
        <v>20816</v>
      </c>
      <c r="B8031" s="451" t="s">
        <v>13207</v>
      </c>
      <c r="C8031" s="451" t="s">
        <v>13208</v>
      </c>
      <c r="D8031" s="451" t="s">
        <v>13209</v>
      </c>
      <c r="E8031" s="451"/>
      <c r="F8031" s="451" t="s">
        <v>13211</v>
      </c>
      <c r="G8031" s="451" t="s">
        <v>22877</v>
      </c>
      <c r="H8031" s="451" t="s">
        <v>22878</v>
      </c>
      <c r="I8031" s="451" t="s">
        <v>37111</v>
      </c>
      <c r="J8031" s="451" t="s">
        <v>37112</v>
      </c>
      <c r="K8031" s="451"/>
    </row>
    <row r="8032" spans="1:11">
      <c r="A8032" s="450" t="s">
        <v>20816</v>
      </c>
      <c r="B8032" s="450" t="s">
        <v>13207</v>
      </c>
      <c r="C8032" s="450" t="s">
        <v>13208</v>
      </c>
      <c r="D8032" s="450" t="s">
        <v>13209</v>
      </c>
      <c r="E8032" s="450" t="s">
        <v>13210</v>
      </c>
      <c r="F8032" s="450" t="s">
        <v>13211</v>
      </c>
      <c r="G8032" s="450"/>
      <c r="H8032" s="450"/>
      <c r="I8032" s="450"/>
      <c r="J8032" s="450"/>
      <c r="K8032" s="450"/>
    </row>
    <row r="8033" spans="1:11">
      <c r="A8033" s="451" t="s">
        <v>20817</v>
      </c>
      <c r="B8033" s="451" t="s">
        <v>13212</v>
      </c>
      <c r="C8033" s="451" t="s">
        <v>13213</v>
      </c>
      <c r="D8033" s="451" t="s">
        <v>13214</v>
      </c>
      <c r="E8033" s="451"/>
      <c r="F8033" s="451" t="s">
        <v>13216</v>
      </c>
      <c r="G8033" s="451" t="s">
        <v>22877</v>
      </c>
      <c r="H8033" s="451" t="s">
        <v>22878</v>
      </c>
      <c r="I8033" s="451" t="s">
        <v>13214</v>
      </c>
      <c r="J8033" s="451" t="s">
        <v>37113</v>
      </c>
      <c r="K8033" s="451"/>
    </row>
    <row r="8034" spans="1:11">
      <c r="A8034" s="450" t="s">
        <v>20817</v>
      </c>
      <c r="B8034" s="450" t="s">
        <v>13212</v>
      </c>
      <c r="C8034" s="450" t="s">
        <v>13213</v>
      </c>
      <c r="D8034" s="450" t="s">
        <v>13214</v>
      </c>
      <c r="E8034" s="450" t="s">
        <v>13215</v>
      </c>
      <c r="F8034" s="450" t="s">
        <v>13216</v>
      </c>
      <c r="G8034" s="450"/>
      <c r="H8034" s="450"/>
      <c r="I8034" s="450"/>
      <c r="J8034" s="450"/>
      <c r="K8034" s="450"/>
    </row>
    <row r="8035" spans="1:11">
      <c r="A8035" s="451" t="s">
        <v>20818</v>
      </c>
      <c r="B8035" s="451" t="s">
        <v>13217</v>
      </c>
      <c r="C8035" s="451" t="s">
        <v>13218</v>
      </c>
      <c r="D8035" s="451" t="s">
        <v>13219</v>
      </c>
      <c r="E8035" s="451"/>
      <c r="F8035" s="451" t="s">
        <v>13216</v>
      </c>
      <c r="G8035" s="451" t="s">
        <v>22877</v>
      </c>
      <c r="H8035" s="451" t="s">
        <v>22878</v>
      </c>
      <c r="I8035" s="451" t="s">
        <v>13219</v>
      </c>
      <c r="J8035" s="451" t="s">
        <v>37114</v>
      </c>
      <c r="K8035" s="451"/>
    </row>
    <row r="8036" spans="1:11">
      <c r="A8036" s="450" t="s">
        <v>20818</v>
      </c>
      <c r="B8036" s="450" t="s">
        <v>13217</v>
      </c>
      <c r="C8036" s="450" t="s">
        <v>13218</v>
      </c>
      <c r="D8036" s="450" t="s">
        <v>13219</v>
      </c>
      <c r="E8036" s="450" t="s">
        <v>13220</v>
      </c>
      <c r="F8036" s="450" t="s">
        <v>13216</v>
      </c>
      <c r="G8036" s="450"/>
      <c r="H8036" s="450"/>
      <c r="I8036" s="450"/>
      <c r="J8036" s="450"/>
      <c r="K8036" s="450"/>
    </row>
    <row r="8037" spans="1:11">
      <c r="A8037" s="451" t="s">
        <v>20819</v>
      </c>
      <c r="B8037" s="451" t="s">
        <v>13221</v>
      </c>
      <c r="C8037" s="451" t="s">
        <v>13222</v>
      </c>
      <c r="D8037" s="451" t="s">
        <v>13223</v>
      </c>
      <c r="E8037" s="451"/>
      <c r="F8037" s="451" t="s">
        <v>13211</v>
      </c>
      <c r="G8037" s="451" t="s">
        <v>22877</v>
      </c>
      <c r="H8037" s="451" t="s">
        <v>22878</v>
      </c>
      <c r="I8037" s="451" t="s">
        <v>13223</v>
      </c>
      <c r="J8037" s="451" t="s">
        <v>37115</v>
      </c>
      <c r="K8037" s="451"/>
    </row>
    <row r="8038" spans="1:11">
      <c r="A8038" s="450" t="s">
        <v>20819</v>
      </c>
      <c r="B8038" s="450" t="s">
        <v>13221</v>
      </c>
      <c r="C8038" s="450" t="s">
        <v>13222</v>
      </c>
      <c r="D8038" s="450" t="s">
        <v>13223</v>
      </c>
      <c r="E8038" s="450" t="s">
        <v>13224</v>
      </c>
      <c r="F8038" s="450" t="s">
        <v>13211</v>
      </c>
      <c r="G8038" s="450"/>
      <c r="H8038" s="450"/>
      <c r="I8038" s="450"/>
      <c r="J8038" s="450"/>
      <c r="K8038" s="450"/>
    </row>
    <row r="8039" spans="1:11">
      <c r="A8039" s="451" t="s">
        <v>20820</v>
      </c>
      <c r="B8039" s="451" t="s">
        <v>13225</v>
      </c>
      <c r="C8039" s="451" t="s">
        <v>13226</v>
      </c>
      <c r="D8039" s="451"/>
      <c r="E8039" s="451"/>
      <c r="F8039" s="451"/>
      <c r="G8039" s="451" t="s">
        <v>22877</v>
      </c>
      <c r="H8039" s="451" t="s">
        <v>22878</v>
      </c>
      <c r="I8039" s="451" t="s">
        <v>27517</v>
      </c>
      <c r="J8039" s="451" t="s">
        <v>27518</v>
      </c>
      <c r="K8039" s="451"/>
    </row>
    <row r="8040" spans="1:11">
      <c r="A8040" s="450" t="s">
        <v>20821</v>
      </c>
      <c r="B8040" s="450" t="s">
        <v>13227</v>
      </c>
      <c r="C8040" s="450" t="s">
        <v>13228</v>
      </c>
      <c r="D8040" s="450" t="s">
        <v>13229</v>
      </c>
      <c r="E8040" s="450"/>
      <c r="F8040" s="450" t="s">
        <v>13231</v>
      </c>
      <c r="G8040" s="450" t="s">
        <v>22877</v>
      </c>
      <c r="H8040" s="450" t="s">
        <v>22878</v>
      </c>
      <c r="I8040" s="450" t="s">
        <v>13229</v>
      </c>
      <c r="J8040" s="450" t="s">
        <v>37116</v>
      </c>
      <c r="K8040" s="450"/>
    </row>
    <row r="8041" spans="1:11">
      <c r="A8041" s="451" t="s">
        <v>20821</v>
      </c>
      <c r="B8041" s="451" t="s">
        <v>13227</v>
      </c>
      <c r="C8041" s="451" t="s">
        <v>13228</v>
      </c>
      <c r="D8041" s="451" t="s">
        <v>13229</v>
      </c>
      <c r="E8041" s="451" t="s">
        <v>13230</v>
      </c>
      <c r="F8041" s="451" t="s">
        <v>13231</v>
      </c>
      <c r="G8041" s="451"/>
      <c r="H8041" s="451"/>
      <c r="I8041" s="451"/>
      <c r="J8041" s="451"/>
      <c r="K8041" s="451"/>
    </row>
    <row r="8042" spans="1:11">
      <c r="A8042" s="450" t="s">
        <v>20822</v>
      </c>
      <c r="B8042" s="450" t="s">
        <v>13232</v>
      </c>
      <c r="C8042" s="450" t="s">
        <v>13233</v>
      </c>
      <c r="D8042" s="450" t="s">
        <v>13234</v>
      </c>
      <c r="E8042" s="450"/>
      <c r="F8042" s="450" t="s">
        <v>13236</v>
      </c>
      <c r="G8042" s="450" t="s">
        <v>22877</v>
      </c>
      <c r="H8042" s="450" t="s">
        <v>22878</v>
      </c>
      <c r="I8042" s="450" t="s">
        <v>37117</v>
      </c>
      <c r="J8042" s="450" t="s">
        <v>37118</v>
      </c>
      <c r="K8042" s="450"/>
    </row>
    <row r="8043" spans="1:11">
      <c r="A8043" s="451" t="s">
        <v>20822</v>
      </c>
      <c r="B8043" s="451" t="s">
        <v>13232</v>
      </c>
      <c r="C8043" s="451" t="s">
        <v>13233</v>
      </c>
      <c r="D8043" s="451" t="s">
        <v>13234</v>
      </c>
      <c r="E8043" s="451" t="s">
        <v>13235</v>
      </c>
      <c r="F8043" s="451" t="s">
        <v>13236</v>
      </c>
      <c r="G8043" s="451"/>
      <c r="H8043" s="451"/>
      <c r="I8043" s="451"/>
      <c r="J8043" s="451"/>
      <c r="K8043" s="451"/>
    </row>
    <row r="8044" spans="1:11">
      <c r="A8044" s="450" t="s">
        <v>20823</v>
      </c>
      <c r="B8044" s="450" t="s">
        <v>27519</v>
      </c>
      <c r="C8044" s="450" t="s">
        <v>13238</v>
      </c>
      <c r="D8044" s="450" t="s">
        <v>13239</v>
      </c>
      <c r="E8044" s="450"/>
      <c r="F8044" s="450" t="s">
        <v>13241</v>
      </c>
      <c r="G8044" s="450" t="s">
        <v>22877</v>
      </c>
      <c r="H8044" s="450" t="s">
        <v>22878</v>
      </c>
      <c r="I8044" s="450" t="s">
        <v>13239</v>
      </c>
      <c r="J8044" s="450" t="s">
        <v>27520</v>
      </c>
      <c r="K8044" s="450"/>
    </row>
    <row r="8045" spans="1:11">
      <c r="A8045" s="451" t="s">
        <v>20823</v>
      </c>
      <c r="B8045" s="451" t="s">
        <v>13237</v>
      </c>
      <c r="C8045" s="451" t="s">
        <v>13238</v>
      </c>
      <c r="D8045" s="451" t="s">
        <v>13239</v>
      </c>
      <c r="E8045" s="451" t="s">
        <v>13240</v>
      </c>
      <c r="F8045" s="451" t="s">
        <v>13241</v>
      </c>
      <c r="G8045" s="451"/>
      <c r="H8045" s="451"/>
      <c r="I8045" s="451"/>
      <c r="J8045" s="451"/>
      <c r="K8045" s="451"/>
    </row>
    <row r="8046" spans="1:11">
      <c r="A8046" s="450" t="s">
        <v>20824</v>
      </c>
      <c r="B8046" s="450" t="s">
        <v>13242</v>
      </c>
      <c r="C8046" s="450" t="s">
        <v>13243</v>
      </c>
      <c r="D8046" s="450" t="s">
        <v>13244</v>
      </c>
      <c r="E8046" s="450"/>
      <c r="F8046" s="450" t="s">
        <v>13246</v>
      </c>
      <c r="G8046" s="450" t="s">
        <v>22877</v>
      </c>
      <c r="H8046" s="450" t="s">
        <v>22878</v>
      </c>
      <c r="I8046" s="450" t="s">
        <v>37119</v>
      </c>
      <c r="J8046" s="450" t="s">
        <v>37120</v>
      </c>
      <c r="K8046" s="450"/>
    </row>
    <row r="8047" spans="1:11">
      <c r="A8047" s="451" t="s">
        <v>20824</v>
      </c>
      <c r="B8047" s="451" t="s">
        <v>13242</v>
      </c>
      <c r="C8047" s="451" t="s">
        <v>13243</v>
      </c>
      <c r="D8047" s="451" t="s">
        <v>13244</v>
      </c>
      <c r="E8047" s="451" t="s">
        <v>13245</v>
      </c>
      <c r="F8047" s="451" t="s">
        <v>13246</v>
      </c>
      <c r="G8047" s="451"/>
      <c r="H8047" s="451"/>
      <c r="I8047" s="451"/>
      <c r="J8047" s="451"/>
      <c r="K8047" s="451"/>
    </row>
    <row r="8048" spans="1:11">
      <c r="A8048" s="450" t="s">
        <v>20825</v>
      </c>
      <c r="B8048" s="450" t="s">
        <v>13247</v>
      </c>
      <c r="C8048" s="450" t="s">
        <v>13248</v>
      </c>
      <c r="D8048" s="450" t="s">
        <v>13249</v>
      </c>
      <c r="E8048" s="450"/>
      <c r="F8048" s="450" t="s">
        <v>13251</v>
      </c>
      <c r="G8048" s="450" t="s">
        <v>22877</v>
      </c>
      <c r="H8048" s="450" t="s">
        <v>22878</v>
      </c>
      <c r="I8048" s="450" t="s">
        <v>37121</v>
      </c>
      <c r="J8048" s="450" t="s">
        <v>37122</v>
      </c>
      <c r="K8048" s="450"/>
    </row>
    <row r="8049" spans="1:11">
      <c r="A8049" s="451" t="s">
        <v>20825</v>
      </c>
      <c r="B8049" s="451" t="s">
        <v>13247</v>
      </c>
      <c r="C8049" s="451" t="s">
        <v>13248</v>
      </c>
      <c r="D8049" s="451" t="s">
        <v>13249</v>
      </c>
      <c r="E8049" s="451" t="s">
        <v>13250</v>
      </c>
      <c r="F8049" s="451" t="s">
        <v>13251</v>
      </c>
      <c r="G8049" s="451"/>
      <c r="H8049" s="451"/>
      <c r="I8049" s="451"/>
      <c r="J8049" s="451"/>
      <c r="K8049" s="451"/>
    </row>
    <row r="8050" spans="1:11">
      <c r="A8050" s="450" t="s">
        <v>20826</v>
      </c>
      <c r="B8050" s="450" t="s">
        <v>13252</v>
      </c>
      <c r="C8050" s="450" t="s">
        <v>13253</v>
      </c>
      <c r="D8050" s="450" t="s">
        <v>13254</v>
      </c>
      <c r="E8050" s="450"/>
      <c r="F8050" s="450" t="s">
        <v>13256</v>
      </c>
      <c r="G8050" s="450" t="s">
        <v>22877</v>
      </c>
      <c r="H8050" s="450" t="s">
        <v>22878</v>
      </c>
      <c r="I8050" s="450" t="s">
        <v>13254</v>
      </c>
      <c r="J8050" s="450" t="s">
        <v>37123</v>
      </c>
      <c r="K8050" s="450"/>
    </row>
    <row r="8051" spans="1:11">
      <c r="A8051" s="451" t="s">
        <v>20826</v>
      </c>
      <c r="B8051" s="451" t="s">
        <v>13252</v>
      </c>
      <c r="C8051" s="451" t="s">
        <v>13253</v>
      </c>
      <c r="D8051" s="451" t="s">
        <v>13254</v>
      </c>
      <c r="E8051" s="451" t="s">
        <v>13255</v>
      </c>
      <c r="F8051" s="451" t="s">
        <v>13256</v>
      </c>
      <c r="G8051" s="451"/>
      <c r="H8051" s="451"/>
      <c r="I8051" s="451"/>
      <c r="J8051" s="451"/>
      <c r="K8051" s="451"/>
    </row>
    <row r="8052" spans="1:11">
      <c r="A8052" s="450" t="s">
        <v>20827</v>
      </c>
      <c r="B8052" s="450" t="s">
        <v>13257</v>
      </c>
      <c r="C8052" s="450" t="s">
        <v>13258</v>
      </c>
      <c r="D8052" s="450" t="s">
        <v>13259</v>
      </c>
      <c r="E8052" s="450"/>
      <c r="F8052" s="450" t="s">
        <v>13261</v>
      </c>
      <c r="G8052" s="450" t="s">
        <v>22877</v>
      </c>
      <c r="H8052" s="450" t="s">
        <v>22878</v>
      </c>
      <c r="I8052" s="450" t="s">
        <v>13259</v>
      </c>
      <c r="J8052" s="450" t="s">
        <v>37124</v>
      </c>
      <c r="K8052" s="450"/>
    </row>
    <row r="8053" spans="1:11">
      <c r="A8053" s="451" t="s">
        <v>20827</v>
      </c>
      <c r="B8053" s="451" t="s">
        <v>13257</v>
      </c>
      <c r="C8053" s="451" t="s">
        <v>13258</v>
      </c>
      <c r="D8053" s="451" t="s">
        <v>13259</v>
      </c>
      <c r="E8053" s="451" t="s">
        <v>13260</v>
      </c>
      <c r="F8053" s="451" t="s">
        <v>13261</v>
      </c>
      <c r="G8053" s="451"/>
      <c r="H8053" s="451"/>
      <c r="I8053" s="451"/>
      <c r="J8053" s="451"/>
      <c r="K8053" s="451"/>
    </row>
    <row r="8054" spans="1:11">
      <c r="A8054" s="450" t="s">
        <v>20828</v>
      </c>
      <c r="B8054" s="450" t="s">
        <v>31988</v>
      </c>
      <c r="C8054" s="450" t="s">
        <v>13263</v>
      </c>
      <c r="D8054" s="450" t="s">
        <v>13264</v>
      </c>
      <c r="E8054" s="450"/>
      <c r="F8054" s="450" t="s">
        <v>13266</v>
      </c>
      <c r="G8054" s="450" t="s">
        <v>22877</v>
      </c>
      <c r="H8054" s="450" t="s">
        <v>22878</v>
      </c>
      <c r="I8054" s="450" t="s">
        <v>13264</v>
      </c>
      <c r="J8054" s="450" t="s">
        <v>27521</v>
      </c>
      <c r="K8054" s="450"/>
    </row>
    <row r="8055" spans="1:11">
      <c r="A8055" s="451" t="s">
        <v>20828</v>
      </c>
      <c r="B8055" s="451" t="s">
        <v>13262</v>
      </c>
      <c r="C8055" s="451" t="s">
        <v>13263</v>
      </c>
      <c r="D8055" s="451" t="s">
        <v>13264</v>
      </c>
      <c r="E8055" s="451" t="s">
        <v>13265</v>
      </c>
      <c r="F8055" s="451" t="s">
        <v>13266</v>
      </c>
      <c r="G8055" s="451"/>
      <c r="H8055" s="451"/>
      <c r="I8055" s="451"/>
      <c r="J8055" s="451"/>
      <c r="K8055" s="451"/>
    </row>
    <row r="8056" spans="1:11">
      <c r="A8056" s="450" t="s">
        <v>20829</v>
      </c>
      <c r="B8056" s="450" t="s">
        <v>27522</v>
      </c>
      <c r="C8056" s="450" t="s">
        <v>13268</v>
      </c>
      <c r="D8056" s="450" t="s">
        <v>13269</v>
      </c>
      <c r="E8056" s="450"/>
      <c r="F8056" s="450" t="s">
        <v>13271</v>
      </c>
      <c r="G8056" s="450" t="s">
        <v>22877</v>
      </c>
      <c r="H8056" s="450" t="s">
        <v>22878</v>
      </c>
      <c r="I8056" s="450" t="s">
        <v>13269</v>
      </c>
      <c r="J8056" s="450" t="s">
        <v>27523</v>
      </c>
      <c r="K8056" s="450"/>
    </row>
    <row r="8057" spans="1:11">
      <c r="A8057" s="451" t="s">
        <v>20829</v>
      </c>
      <c r="B8057" s="451" t="s">
        <v>13267</v>
      </c>
      <c r="C8057" s="451" t="s">
        <v>13268</v>
      </c>
      <c r="D8057" s="451" t="s">
        <v>13269</v>
      </c>
      <c r="E8057" s="451" t="s">
        <v>13270</v>
      </c>
      <c r="F8057" s="451" t="s">
        <v>13271</v>
      </c>
      <c r="G8057" s="451"/>
      <c r="H8057" s="451"/>
      <c r="I8057" s="451"/>
      <c r="J8057" s="451"/>
      <c r="K8057" s="451"/>
    </row>
    <row r="8058" spans="1:11">
      <c r="A8058" s="450" t="s">
        <v>20830</v>
      </c>
      <c r="B8058" s="450" t="s">
        <v>27524</v>
      </c>
      <c r="C8058" s="450" t="s">
        <v>13273</v>
      </c>
      <c r="D8058" s="450" t="s">
        <v>13274</v>
      </c>
      <c r="E8058" s="450"/>
      <c r="F8058" s="450" t="s">
        <v>13276</v>
      </c>
      <c r="G8058" s="450" t="s">
        <v>22877</v>
      </c>
      <c r="H8058" s="450" t="s">
        <v>22878</v>
      </c>
      <c r="I8058" s="450" t="s">
        <v>13274</v>
      </c>
      <c r="J8058" s="450" t="s">
        <v>27525</v>
      </c>
      <c r="K8058" s="450"/>
    </row>
    <row r="8059" spans="1:11">
      <c r="A8059" s="451" t="s">
        <v>20830</v>
      </c>
      <c r="B8059" s="451" t="s">
        <v>13272</v>
      </c>
      <c r="C8059" s="451" t="s">
        <v>13273</v>
      </c>
      <c r="D8059" s="451" t="s">
        <v>13274</v>
      </c>
      <c r="E8059" s="451" t="s">
        <v>13275</v>
      </c>
      <c r="F8059" s="451" t="s">
        <v>13276</v>
      </c>
      <c r="G8059" s="451"/>
      <c r="H8059" s="451"/>
      <c r="I8059" s="451"/>
      <c r="J8059" s="451"/>
      <c r="K8059" s="451"/>
    </row>
    <row r="8060" spans="1:11">
      <c r="A8060" s="450" t="s">
        <v>20831</v>
      </c>
      <c r="B8060" s="450" t="s">
        <v>27526</v>
      </c>
      <c r="C8060" s="450" t="s">
        <v>13278</v>
      </c>
      <c r="D8060" s="450" t="s">
        <v>13279</v>
      </c>
      <c r="E8060" s="450"/>
      <c r="F8060" s="450" t="s">
        <v>13281</v>
      </c>
      <c r="G8060" s="450" t="s">
        <v>22877</v>
      </c>
      <c r="H8060" s="450" t="s">
        <v>22878</v>
      </c>
      <c r="I8060" s="450" t="s">
        <v>13279</v>
      </c>
      <c r="J8060" s="450" t="s">
        <v>27527</v>
      </c>
      <c r="K8060" s="450"/>
    </row>
    <row r="8061" spans="1:11">
      <c r="A8061" s="451" t="s">
        <v>20831</v>
      </c>
      <c r="B8061" s="451" t="s">
        <v>13277</v>
      </c>
      <c r="C8061" s="451" t="s">
        <v>13278</v>
      </c>
      <c r="D8061" s="451" t="s">
        <v>13279</v>
      </c>
      <c r="E8061" s="451" t="s">
        <v>13280</v>
      </c>
      <c r="F8061" s="451" t="s">
        <v>13281</v>
      </c>
      <c r="G8061" s="451"/>
      <c r="H8061" s="451"/>
      <c r="I8061" s="451"/>
      <c r="J8061" s="451"/>
      <c r="K8061" s="451"/>
    </row>
    <row r="8062" spans="1:11">
      <c r="A8062" s="450" t="s">
        <v>20832</v>
      </c>
      <c r="B8062" s="450" t="s">
        <v>27528</v>
      </c>
      <c r="C8062" s="450" t="s">
        <v>13283</v>
      </c>
      <c r="D8062" s="450" t="s">
        <v>13284</v>
      </c>
      <c r="E8062" s="450"/>
      <c r="F8062" s="450" t="s">
        <v>13286</v>
      </c>
      <c r="G8062" s="450" t="s">
        <v>22877</v>
      </c>
      <c r="H8062" s="450" t="s">
        <v>22878</v>
      </c>
      <c r="I8062" s="450" t="s">
        <v>13284</v>
      </c>
      <c r="J8062" s="450" t="s">
        <v>27529</v>
      </c>
      <c r="K8062" s="450"/>
    </row>
    <row r="8063" spans="1:11">
      <c r="A8063" s="451" t="s">
        <v>20832</v>
      </c>
      <c r="B8063" s="451" t="s">
        <v>13282</v>
      </c>
      <c r="C8063" s="451" t="s">
        <v>13283</v>
      </c>
      <c r="D8063" s="451" t="s">
        <v>13284</v>
      </c>
      <c r="E8063" s="451" t="s">
        <v>13285</v>
      </c>
      <c r="F8063" s="451" t="s">
        <v>13286</v>
      </c>
      <c r="G8063" s="451"/>
      <c r="H8063" s="451"/>
      <c r="I8063" s="451"/>
      <c r="J8063" s="451"/>
      <c r="K8063" s="451"/>
    </row>
    <row r="8064" spans="1:11">
      <c r="A8064" s="450" t="s">
        <v>20833</v>
      </c>
      <c r="B8064" s="450" t="s">
        <v>13287</v>
      </c>
      <c r="C8064" s="450" t="s">
        <v>13288</v>
      </c>
      <c r="D8064" s="450" t="s">
        <v>13289</v>
      </c>
      <c r="E8064" s="450"/>
      <c r="F8064" s="450" t="s">
        <v>13291</v>
      </c>
      <c r="G8064" s="450" t="s">
        <v>22882</v>
      </c>
      <c r="H8064" s="450" t="s">
        <v>22883</v>
      </c>
      <c r="I8064" s="450"/>
      <c r="J8064" s="450" t="s">
        <v>37125</v>
      </c>
      <c r="K8064" s="450"/>
    </row>
    <row r="8065" spans="1:11">
      <c r="A8065" s="451" t="s">
        <v>20833</v>
      </c>
      <c r="B8065" s="451" t="s">
        <v>13287</v>
      </c>
      <c r="C8065" s="451" t="s">
        <v>13288</v>
      </c>
      <c r="D8065" s="451" t="s">
        <v>13289</v>
      </c>
      <c r="E8065" s="451" t="s">
        <v>13290</v>
      </c>
      <c r="F8065" s="451" t="s">
        <v>13291</v>
      </c>
      <c r="G8065" s="451"/>
      <c r="H8065" s="451"/>
      <c r="I8065" s="451"/>
      <c r="J8065" s="451"/>
      <c r="K8065" s="451"/>
    </row>
    <row r="8066" spans="1:11">
      <c r="A8066" s="450" t="s">
        <v>20834</v>
      </c>
      <c r="B8066" s="450" t="s">
        <v>13292</v>
      </c>
      <c r="C8066" s="450" t="s">
        <v>13293</v>
      </c>
      <c r="D8066" s="450" t="s">
        <v>13294</v>
      </c>
      <c r="E8066" s="450"/>
      <c r="F8066" s="450" t="s">
        <v>13296</v>
      </c>
      <c r="G8066" s="450" t="s">
        <v>22877</v>
      </c>
      <c r="H8066" s="450" t="s">
        <v>22878</v>
      </c>
      <c r="I8066" s="450" t="s">
        <v>27530</v>
      </c>
      <c r="J8066" s="450" t="s">
        <v>27531</v>
      </c>
      <c r="K8066" s="450"/>
    </row>
    <row r="8067" spans="1:11">
      <c r="A8067" s="451" t="s">
        <v>20834</v>
      </c>
      <c r="B8067" s="451" t="s">
        <v>13292</v>
      </c>
      <c r="C8067" s="451" t="s">
        <v>13293</v>
      </c>
      <c r="D8067" s="451" t="s">
        <v>13294</v>
      </c>
      <c r="E8067" s="451" t="s">
        <v>13295</v>
      </c>
      <c r="F8067" s="451" t="s">
        <v>13296</v>
      </c>
      <c r="G8067" s="451"/>
      <c r="H8067" s="451"/>
      <c r="I8067" s="451"/>
      <c r="J8067" s="451"/>
      <c r="K8067" s="451"/>
    </row>
    <row r="8068" spans="1:11">
      <c r="A8068" s="450" t="s">
        <v>20835</v>
      </c>
      <c r="B8068" s="450" t="s">
        <v>13297</v>
      </c>
      <c r="C8068" s="450" t="s">
        <v>13298</v>
      </c>
      <c r="D8068" s="450" t="s">
        <v>13299</v>
      </c>
      <c r="E8068" s="450" t="s">
        <v>13300</v>
      </c>
      <c r="F8068" s="450" t="s">
        <v>13296</v>
      </c>
      <c r="G8068" s="450"/>
      <c r="H8068" s="450"/>
      <c r="I8068" s="450"/>
      <c r="J8068" s="450"/>
      <c r="K8068" s="450"/>
    </row>
    <row r="8069" spans="1:11">
      <c r="A8069" s="451" t="s">
        <v>27532</v>
      </c>
      <c r="B8069" s="451" t="s">
        <v>27533</v>
      </c>
      <c r="C8069" s="451" t="s">
        <v>27534</v>
      </c>
      <c r="D8069" s="451" t="s">
        <v>13299</v>
      </c>
      <c r="E8069" s="451"/>
      <c r="F8069" s="451" t="s">
        <v>13296</v>
      </c>
      <c r="G8069" s="451" t="s">
        <v>22877</v>
      </c>
      <c r="H8069" s="451" t="s">
        <v>22878</v>
      </c>
      <c r="I8069" s="451" t="s">
        <v>13299</v>
      </c>
      <c r="J8069" s="451" t="s">
        <v>27535</v>
      </c>
      <c r="K8069" s="451"/>
    </row>
    <row r="8070" spans="1:11">
      <c r="A8070" s="450" t="s">
        <v>20836</v>
      </c>
      <c r="B8070" s="450" t="s">
        <v>13301</v>
      </c>
      <c r="C8070" s="450" t="s">
        <v>13302</v>
      </c>
      <c r="D8070" s="450" t="s">
        <v>13303</v>
      </c>
      <c r="E8070" s="450"/>
      <c r="F8070" s="450" t="s">
        <v>13305</v>
      </c>
      <c r="G8070" s="450" t="s">
        <v>22877</v>
      </c>
      <c r="H8070" s="450" t="s">
        <v>22878</v>
      </c>
      <c r="I8070" s="450" t="s">
        <v>13303</v>
      </c>
      <c r="J8070" s="450" t="s">
        <v>37126</v>
      </c>
      <c r="K8070" s="450"/>
    </row>
    <row r="8071" spans="1:11">
      <c r="A8071" s="451" t="s">
        <v>20836</v>
      </c>
      <c r="B8071" s="451" t="s">
        <v>13301</v>
      </c>
      <c r="C8071" s="451" t="s">
        <v>13302</v>
      </c>
      <c r="D8071" s="451" t="s">
        <v>13303</v>
      </c>
      <c r="E8071" s="451" t="s">
        <v>13304</v>
      </c>
      <c r="F8071" s="451" t="s">
        <v>13305</v>
      </c>
      <c r="G8071" s="451"/>
      <c r="H8071" s="451"/>
      <c r="I8071" s="451"/>
      <c r="J8071" s="451"/>
      <c r="K8071" s="451"/>
    </row>
    <row r="8072" spans="1:11">
      <c r="A8072" s="450" t="s">
        <v>20837</v>
      </c>
      <c r="B8072" s="450" t="s">
        <v>27536</v>
      </c>
      <c r="C8072" s="450" t="s">
        <v>13307</v>
      </c>
      <c r="D8072" s="450" t="s">
        <v>13308</v>
      </c>
      <c r="E8072" s="450"/>
      <c r="F8072" s="450" t="s">
        <v>13310</v>
      </c>
      <c r="G8072" s="450" t="s">
        <v>22877</v>
      </c>
      <c r="H8072" s="450" t="s">
        <v>22878</v>
      </c>
      <c r="I8072" s="450" t="s">
        <v>13308</v>
      </c>
      <c r="J8072" s="450" t="s">
        <v>27537</v>
      </c>
      <c r="K8072" s="450"/>
    </row>
    <row r="8073" spans="1:11">
      <c r="A8073" s="451" t="s">
        <v>20837</v>
      </c>
      <c r="B8073" s="451" t="s">
        <v>13306</v>
      </c>
      <c r="C8073" s="451" t="s">
        <v>13307</v>
      </c>
      <c r="D8073" s="451" t="s">
        <v>13308</v>
      </c>
      <c r="E8073" s="451" t="s">
        <v>13309</v>
      </c>
      <c r="F8073" s="451" t="s">
        <v>13310</v>
      </c>
      <c r="G8073" s="451"/>
      <c r="H8073" s="451"/>
      <c r="I8073" s="451"/>
      <c r="J8073" s="451"/>
      <c r="K8073" s="451"/>
    </row>
    <row r="8074" spans="1:11">
      <c r="A8074" s="450" t="s">
        <v>20838</v>
      </c>
      <c r="B8074" s="450" t="s">
        <v>27538</v>
      </c>
      <c r="C8074" s="450" t="s">
        <v>13312</v>
      </c>
      <c r="D8074" s="450" t="s">
        <v>13313</v>
      </c>
      <c r="E8074" s="450"/>
      <c r="F8074" s="450" t="s">
        <v>13315</v>
      </c>
      <c r="G8074" s="450" t="s">
        <v>22877</v>
      </c>
      <c r="H8074" s="450" t="s">
        <v>22878</v>
      </c>
      <c r="I8074" s="450" t="s">
        <v>27539</v>
      </c>
      <c r="J8074" s="450" t="s">
        <v>27540</v>
      </c>
      <c r="K8074" s="450"/>
    </row>
    <row r="8075" spans="1:11">
      <c r="A8075" s="451" t="s">
        <v>20838</v>
      </c>
      <c r="B8075" s="451" t="s">
        <v>13311</v>
      </c>
      <c r="C8075" s="451" t="s">
        <v>13312</v>
      </c>
      <c r="D8075" s="451" t="s">
        <v>13313</v>
      </c>
      <c r="E8075" s="451" t="s">
        <v>13314</v>
      </c>
      <c r="F8075" s="451" t="s">
        <v>13315</v>
      </c>
      <c r="G8075" s="451"/>
      <c r="H8075" s="451"/>
      <c r="I8075" s="451"/>
      <c r="J8075" s="451"/>
      <c r="K8075" s="451"/>
    </row>
    <row r="8076" spans="1:11">
      <c r="A8076" s="450" t="s">
        <v>20839</v>
      </c>
      <c r="B8076" s="450" t="s">
        <v>27541</v>
      </c>
      <c r="C8076" s="450" t="s">
        <v>13317</v>
      </c>
      <c r="D8076" s="450" t="s">
        <v>13318</v>
      </c>
      <c r="E8076" s="450"/>
      <c r="F8076" s="450" t="s">
        <v>13320</v>
      </c>
      <c r="G8076" s="450" t="s">
        <v>22877</v>
      </c>
      <c r="H8076" s="450" t="s">
        <v>22878</v>
      </c>
      <c r="I8076" s="450" t="s">
        <v>27542</v>
      </c>
      <c r="J8076" s="450" t="s">
        <v>27543</v>
      </c>
      <c r="K8076" s="450"/>
    </row>
    <row r="8077" spans="1:11">
      <c r="A8077" s="451" t="s">
        <v>20839</v>
      </c>
      <c r="B8077" s="451" t="s">
        <v>13316</v>
      </c>
      <c r="C8077" s="451" t="s">
        <v>13317</v>
      </c>
      <c r="D8077" s="451" t="s">
        <v>13318</v>
      </c>
      <c r="E8077" s="451" t="s">
        <v>13319</v>
      </c>
      <c r="F8077" s="451" t="s">
        <v>13320</v>
      </c>
      <c r="G8077" s="451"/>
      <c r="H8077" s="451"/>
      <c r="I8077" s="451"/>
      <c r="J8077" s="451"/>
      <c r="K8077" s="451"/>
    </row>
    <row r="8078" spans="1:11">
      <c r="A8078" s="450" t="s">
        <v>20840</v>
      </c>
      <c r="B8078" s="450" t="s">
        <v>27544</v>
      </c>
      <c r="C8078" s="450" t="s">
        <v>13322</v>
      </c>
      <c r="D8078" s="450" t="s">
        <v>13323</v>
      </c>
      <c r="E8078" s="450"/>
      <c r="F8078" s="450" t="s">
        <v>13325</v>
      </c>
      <c r="G8078" s="450" t="s">
        <v>22877</v>
      </c>
      <c r="H8078" s="450" t="s">
        <v>22878</v>
      </c>
      <c r="I8078" s="450" t="s">
        <v>13323</v>
      </c>
      <c r="J8078" s="450" t="s">
        <v>27545</v>
      </c>
      <c r="K8078" s="450"/>
    </row>
    <row r="8079" spans="1:11">
      <c r="A8079" s="451" t="s">
        <v>20840</v>
      </c>
      <c r="B8079" s="451" t="s">
        <v>13321</v>
      </c>
      <c r="C8079" s="451" t="s">
        <v>13322</v>
      </c>
      <c r="D8079" s="451" t="s">
        <v>13323</v>
      </c>
      <c r="E8079" s="451" t="s">
        <v>13324</v>
      </c>
      <c r="F8079" s="451" t="s">
        <v>13325</v>
      </c>
      <c r="G8079" s="451"/>
      <c r="H8079" s="451"/>
      <c r="I8079" s="451"/>
      <c r="J8079" s="451"/>
      <c r="K8079" s="451"/>
    </row>
    <row r="8080" spans="1:11">
      <c r="A8080" s="450" t="s">
        <v>20841</v>
      </c>
      <c r="B8080" s="450" t="s">
        <v>13326</v>
      </c>
      <c r="C8080" s="450" t="s">
        <v>13327</v>
      </c>
      <c r="D8080" s="450" t="s">
        <v>13328</v>
      </c>
      <c r="E8080" s="450"/>
      <c r="F8080" s="450" t="s">
        <v>13330</v>
      </c>
      <c r="G8080" s="450" t="s">
        <v>22877</v>
      </c>
      <c r="H8080" s="450" t="s">
        <v>22878</v>
      </c>
      <c r="I8080" s="450" t="s">
        <v>13328</v>
      </c>
      <c r="J8080" s="450" t="s">
        <v>37127</v>
      </c>
      <c r="K8080" s="450"/>
    </row>
    <row r="8081" spans="1:11">
      <c r="A8081" s="451" t="s">
        <v>20841</v>
      </c>
      <c r="B8081" s="451" t="s">
        <v>13326</v>
      </c>
      <c r="C8081" s="451" t="s">
        <v>13327</v>
      </c>
      <c r="D8081" s="451" t="s">
        <v>13328</v>
      </c>
      <c r="E8081" s="451" t="s">
        <v>13329</v>
      </c>
      <c r="F8081" s="451" t="s">
        <v>13330</v>
      </c>
      <c r="G8081" s="451"/>
      <c r="H8081" s="451"/>
      <c r="I8081" s="451"/>
      <c r="J8081" s="451"/>
      <c r="K8081" s="451"/>
    </row>
    <row r="8082" spans="1:11">
      <c r="A8082" s="450" t="s">
        <v>20842</v>
      </c>
      <c r="B8082" s="450" t="s">
        <v>13331</v>
      </c>
      <c r="C8082" s="450" t="s">
        <v>13332</v>
      </c>
      <c r="D8082" s="450" t="s">
        <v>13333</v>
      </c>
      <c r="E8082" s="450"/>
      <c r="F8082" s="450" t="s">
        <v>13335</v>
      </c>
      <c r="G8082" s="450" t="s">
        <v>22877</v>
      </c>
      <c r="H8082" s="450" t="s">
        <v>22878</v>
      </c>
      <c r="I8082" s="450" t="s">
        <v>37128</v>
      </c>
      <c r="J8082" s="450" t="s">
        <v>37129</v>
      </c>
      <c r="K8082" s="450"/>
    </row>
    <row r="8083" spans="1:11">
      <c r="A8083" s="451" t="s">
        <v>20842</v>
      </c>
      <c r="B8083" s="451" t="s">
        <v>13331</v>
      </c>
      <c r="C8083" s="451" t="s">
        <v>13332</v>
      </c>
      <c r="D8083" s="451" t="s">
        <v>13333</v>
      </c>
      <c r="E8083" s="451" t="s">
        <v>13334</v>
      </c>
      <c r="F8083" s="451" t="s">
        <v>13335</v>
      </c>
      <c r="G8083" s="451"/>
      <c r="H8083" s="451"/>
      <c r="I8083" s="451"/>
      <c r="J8083" s="451"/>
      <c r="K8083" s="451"/>
    </row>
    <row r="8084" spans="1:11">
      <c r="A8084" s="450" t="s">
        <v>27546</v>
      </c>
      <c r="B8084" s="450" t="s">
        <v>27547</v>
      </c>
      <c r="C8084" s="450" t="s">
        <v>27548</v>
      </c>
      <c r="D8084" s="450"/>
      <c r="E8084" s="450"/>
      <c r="F8084" s="450"/>
      <c r="G8084" s="450" t="s">
        <v>22877</v>
      </c>
      <c r="H8084" s="450" t="s">
        <v>22878</v>
      </c>
      <c r="I8084" s="450" t="s">
        <v>27549</v>
      </c>
      <c r="J8084" s="450" t="s">
        <v>27550</v>
      </c>
      <c r="K8084" s="450"/>
    </row>
    <row r="8085" spans="1:11">
      <c r="A8085" s="451" t="s">
        <v>20843</v>
      </c>
      <c r="B8085" s="451" t="s">
        <v>13336</v>
      </c>
      <c r="C8085" s="451" t="s">
        <v>13337</v>
      </c>
      <c r="D8085" s="451" t="s">
        <v>13338</v>
      </c>
      <c r="E8085" s="451"/>
      <c r="F8085" s="451" t="s">
        <v>13340</v>
      </c>
      <c r="G8085" s="451" t="s">
        <v>22877</v>
      </c>
      <c r="H8085" s="451" t="s">
        <v>22878</v>
      </c>
      <c r="I8085" s="451" t="s">
        <v>13338</v>
      </c>
      <c r="J8085" s="451" t="s">
        <v>37130</v>
      </c>
      <c r="K8085" s="451"/>
    </row>
    <row r="8086" spans="1:11">
      <c r="A8086" s="450" t="s">
        <v>20843</v>
      </c>
      <c r="B8086" s="450" t="s">
        <v>13336</v>
      </c>
      <c r="C8086" s="450" t="s">
        <v>13337</v>
      </c>
      <c r="D8086" s="450" t="s">
        <v>13338</v>
      </c>
      <c r="E8086" s="450" t="s">
        <v>13339</v>
      </c>
      <c r="F8086" s="450" t="s">
        <v>13340</v>
      </c>
      <c r="G8086" s="450"/>
      <c r="H8086" s="450"/>
      <c r="I8086" s="450"/>
      <c r="J8086" s="450"/>
      <c r="K8086" s="450"/>
    </row>
    <row r="8087" spans="1:11">
      <c r="A8087" s="451" t="s">
        <v>20844</v>
      </c>
      <c r="B8087" s="451" t="s">
        <v>13341</v>
      </c>
      <c r="C8087" s="451" t="s">
        <v>13342</v>
      </c>
      <c r="D8087" s="451" t="s">
        <v>13343</v>
      </c>
      <c r="E8087" s="451"/>
      <c r="F8087" s="451" t="s">
        <v>13345</v>
      </c>
      <c r="G8087" s="451" t="s">
        <v>22877</v>
      </c>
      <c r="H8087" s="451" t="s">
        <v>22878</v>
      </c>
      <c r="I8087" s="451" t="s">
        <v>13343</v>
      </c>
      <c r="J8087" s="451" t="s">
        <v>37131</v>
      </c>
      <c r="K8087" s="451"/>
    </row>
    <row r="8088" spans="1:11">
      <c r="A8088" s="450" t="s">
        <v>20844</v>
      </c>
      <c r="B8088" s="450" t="s">
        <v>13341</v>
      </c>
      <c r="C8088" s="450" t="s">
        <v>13342</v>
      </c>
      <c r="D8088" s="450" t="s">
        <v>13343</v>
      </c>
      <c r="E8088" s="450" t="s">
        <v>13344</v>
      </c>
      <c r="F8088" s="450" t="s">
        <v>13345</v>
      </c>
      <c r="G8088" s="450"/>
      <c r="H8088" s="450"/>
      <c r="I8088" s="450"/>
      <c r="J8088" s="450"/>
      <c r="K8088" s="450"/>
    </row>
    <row r="8089" spans="1:11">
      <c r="A8089" s="451" t="s">
        <v>20845</v>
      </c>
      <c r="B8089" s="451" t="s">
        <v>13346</v>
      </c>
      <c r="C8089" s="451" t="s">
        <v>13347</v>
      </c>
      <c r="D8089" s="451" t="s">
        <v>13348</v>
      </c>
      <c r="E8089" s="451"/>
      <c r="F8089" s="451" t="s">
        <v>37132</v>
      </c>
      <c r="G8089" s="451" t="s">
        <v>22877</v>
      </c>
      <c r="H8089" s="451" t="s">
        <v>22878</v>
      </c>
      <c r="I8089" s="451" t="s">
        <v>13348</v>
      </c>
      <c r="J8089" s="451" t="s">
        <v>37133</v>
      </c>
      <c r="K8089" s="451"/>
    </row>
    <row r="8090" spans="1:11">
      <c r="A8090" s="450" t="s">
        <v>20845</v>
      </c>
      <c r="B8090" s="450" t="s">
        <v>13346</v>
      </c>
      <c r="C8090" s="450" t="s">
        <v>13347</v>
      </c>
      <c r="D8090" s="450" t="s">
        <v>13348</v>
      </c>
      <c r="E8090" s="450" t="s">
        <v>13349</v>
      </c>
      <c r="F8090" s="450" t="s">
        <v>13350</v>
      </c>
      <c r="G8090" s="450"/>
      <c r="H8090" s="450"/>
      <c r="I8090" s="450"/>
      <c r="J8090" s="450"/>
      <c r="K8090" s="450"/>
    </row>
    <row r="8091" spans="1:11">
      <c r="A8091" s="451" t="s">
        <v>20846</v>
      </c>
      <c r="B8091" s="451" t="s">
        <v>27551</v>
      </c>
      <c r="C8091" s="451" t="s">
        <v>13352</v>
      </c>
      <c r="D8091" s="451" t="s">
        <v>13353</v>
      </c>
      <c r="E8091" s="451"/>
      <c r="F8091" s="451" t="s">
        <v>13355</v>
      </c>
      <c r="G8091" s="451" t="s">
        <v>22877</v>
      </c>
      <c r="H8091" s="451" t="s">
        <v>22878</v>
      </c>
      <c r="I8091" s="451" t="s">
        <v>13353</v>
      </c>
      <c r="J8091" s="451" t="s">
        <v>27552</v>
      </c>
      <c r="K8091" s="451"/>
    </row>
    <row r="8092" spans="1:11">
      <c r="A8092" s="450" t="s">
        <v>20846</v>
      </c>
      <c r="B8092" s="450" t="s">
        <v>13351</v>
      </c>
      <c r="C8092" s="450" t="s">
        <v>13352</v>
      </c>
      <c r="D8092" s="450" t="s">
        <v>13353</v>
      </c>
      <c r="E8092" s="450" t="s">
        <v>13354</v>
      </c>
      <c r="F8092" s="450" t="s">
        <v>13355</v>
      </c>
      <c r="G8092" s="450"/>
      <c r="H8092" s="450"/>
      <c r="I8092" s="450"/>
      <c r="J8092" s="450"/>
      <c r="K8092" s="450"/>
    </row>
    <row r="8093" spans="1:11">
      <c r="A8093" s="451" t="s">
        <v>20847</v>
      </c>
      <c r="B8093" s="451" t="s">
        <v>13356</v>
      </c>
      <c r="C8093" s="451" t="s">
        <v>13357</v>
      </c>
      <c r="D8093" s="451" t="s">
        <v>13358</v>
      </c>
      <c r="E8093" s="451"/>
      <c r="F8093" s="451" t="s">
        <v>13360</v>
      </c>
      <c r="G8093" s="451" t="s">
        <v>22877</v>
      </c>
      <c r="H8093" s="451" t="s">
        <v>22878</v>
      </c>
      <c r="I8093" s="451" t="s">
        <v>13358</v>
      </c>
      <c r="J8093" s="451" t="s">
        <v>37134</v>
      </c>
      <c r="K8093" s="451"/>
    </row>
    <row r="8094" spans="1:11">
      <c r="A8094" s="450" t="s">
        <v>20847</v>
      </c>
      <c r="B8094" s="450" t="s">
        <v>13356</v>
      </c>
      <c r="C8094" s="450" t="s">
        <v>13357</v>
      </c>
      <c r="D8094" s="450" t="s">
        <v>13358</v>
      </c>
      <c r="E8094" s="450" t="s">
        <v>13359</v>
      </c>
      <c r="F8094" s="450" t="s">
        <v>13360</v>
      </c>
      <c r="G8094" s="450"/>
      <c r="H8094" s="450"/>
      <c r="I8094" s="450"/>
      <c r="J8094" s="450"/>
      <c r="K8094" s="450"/>
    </row>
    <row r="8095" spans="1:11">
      <c r="A8095" s="451" t="s">
        <v>20848</v>
      </c>
      <c r="B8095" s="451" t="s">
        <v>13361</v>
      </c>
      <c r="C8095" s="451" t="s">
        <v>13362</v>
      </c>
      <c r="D8095" s="451" t="s">
        <v>13363</v>
      </c>
      <c r="E8095" s="451"/>
      <c r="F8095" s="451" t="s">
        <v>13365</v>
      </c>
      <c r="G8095" s="451" t="s">
        <v>22877</v>
      </c>
      <c r="H8095" s="451" t="s">
        <v>22878</v>
      </c>
      <c r="I8095" s="451" t="s">
        <v>13363</v>
      </c>
      <c r="J8095" s="451" t="s">
        <v>37135</v>
      </c>
      <c r="K8095" s="451"/>
    </row>
    <row r="8096" spans="1:11">
      <c r="A8096" s="450" t="s">
        <v>20848</v>
      </c>
      <c r="B8096" s="450" t="s">
        <v>13361</v>
      </c>
      <c r="C8096" s="450" t="s">
        <v>13362</v>
      </c>
      <c r="D8096" s="450" t="s">
        <v>13363</v>
      </c>
      <c r="E8096" s="450" t="s">
        <v>13364</v>
      </c>
      <c r="F8096" s="450" t="s">
        <v>13365</v>
      </c>
      <c r="G8096" s="450"/>
      <c r="H8096" s="450"/>
      <c r="I8096" s="450"/>
      <c r="J8096" s="450"/>
      <c r="K8096" s="450"/>
    </row>
    <row r="8097" spans="1:11">
      <c r="A8097" s="451" t="s">
        <v>20849</v>
      </c>
      <c r="B8097" s="451" t="s">
        <v>13366</v>
      </c>
      <c r="C8097" s="451" t="s">
        <v>13367</v>
      </c>
      <c r="D8097" s="451" t="s">
        <v>13368</v>
      </c>
      <c r="E8097" s="451"/>
      <c r="F8097" s="451" t="s">
        <v>13370</v>
      </c>
      <c r="G8097" s="451" t="s">
        <v>22877</v>
      </c>
      <c r="H8097" s="451" t="s">
        <v>22878</v>
      </c>
      <c r="I8097" s="451" t="s">
        <v>13368</v>
      </c>
      <c r="J8097" s="451" t="s">
        <v>37136</v>
      </c>
      <c r="K8097" s="451"/>
    </row>
    <row r="8098" spans="1:11">
      <c r="A8098" s="450" t="s">
        <v>20849</v>
      </c>
      <c r="B8098" s="450" t="s">
        <v>13366</v>
      </c>
      <c r="C8098" s="450" t="s">
        <v>13367</v>
      </c>
      <c r="D8098" s="450" t="s">
        <v>13368</v>
      </c>
      <c r="E8098" s="450" t="s">
        <v>13369</v>
      </c>
      <c r="F8098" s="450" t="s">
        <v>13370</v>
      </c>
      <c r="G8098" s="450"/>
      <c r="H8098" s="450"/>
      <c r="I8098" s="450"/>
      <c r="J8098" s="450"/>
      <c r="K8098" s="450"/>
    </row>
    <row r="8099" spans="1:11">
      <c r="A8099" s="451" t="s">
        <v>20850</v>
      </c>
      <c r="B8099" s="451" t="s">
        <v>13371</v>
      </c>
      <c r="C8099" s="451" t="s">
        <v>13372</v>
      </c>
      <c r="D8099" s="451" t="s">
        <v>13373</v>
      </c>
      <c r="E8099" s="451"/>
      <c r="F8099" s="451" t="s">
        <v>13375</v>
      </c>
      <c r="G8099" s="451" t="s">
        <v>22877</v>
      </c>
      <c r="H8099" s="451" t="s">
        <v>22878</v>
      </c>
      <c r="I8099" s="451" t="s">
        <v>37137</v>
      </c>
      <c r="J8099" s="451" t="s">
        <v>37138</v>
      </c>
      <c r="K8099" s="451"/>
    </row>
    <row r="8100" spans="1:11">
      <c r="A8100" s="450" t="s">
        <v>20850</v>
      </c>
      <c r="B8100" s="450" t="s">
        <v>13371</v>
      </c>
      <c r="C8100" s="450" t="s">
        <v>13372</v>
      </c>
      <c r="D8100" s="450" t="s">
        <v>13373</v>
      </c>
      <c r="E8100" s="450" t="s">
        <v>13374</v>
      </c>
      <c r="F8100" s="450" t="s">
        <v>13375</v>
      </c>
      <c r="G8100" s="450"/>
      <c r="H8100" s="450"/>
      <c r="I8100" s="450"/>
      <c r="J8100" s="450"/>
      <c r="K8100" s="450"/>
    </row>
    <row r="8101" spans="1:11">
      <c r="A8101" s="451" t="s">
        <v>20851</v>
      </c>
      <c r="B8101" s="451" t="s">
        <v>13376</v>
      </c>
      <c r="C8101" s="451" t="s">
        <v>13377</v>
      </c>
      <c r="D8101" s="451" t="s">
        <v>13378</v>
      </c>
      <c r="E8101" s="451"/>
      <c r="F8101" s="451" t="s">
        <v>12736</v>
      </c>
      <c r="G8101" s="451" t="s">
        <v>22877</v>
      </c>
      <c r="H8101" s="451" t="s">
        <v>22878</v>
      </c>
      <c r="I8101" s="451" t="s">
        <v>13378</v>
      </c>
      <c r="J8101" s="451" t="s">
        <v>27553</v>
      </c>
      <c r="K8101" s="451"/>
    </row>
    <row r="8102" spans="1:11">
      <c r="A8102" s="450" t="s">
        <v>20851</v>
      </c>
      <c r="B8102" s="450" t="s">
        <v>13376</v>
      </c>
      <c r="C8102" s="450" t="s">
        <v>13377</v>
      </c>
      <c r="D8102" s="450" t="s">
        <v>13378</v>
      </c>
      <c r="E8102" s="450" t="s">
        <v>13379</v>
      </c>
      <c r="F8102" s="450" t="s">
        <v>12736</v>
      </c>
      <c r="G8102" s="450"/>
      <c r="H8102" s="450"/>
      <c r="I8102" s="450"/>
      <c r="J8102" s="450"/>
      <c r="K8102" s="450"/>
    </row>
    <row r="8103" spans="1:11">
      <c r="A8103" s="451" t="s">
        <v>20528</v>
      </c>
      <c r="B8103" s="451" t="s">
        <v>16277</v>
      </c>
      <c r="C8103" s="451" t="s">
        <v>1915</v>
      </c>
      <c r="D8103" s="451" t="s">
        <v>16278</v>
      </c>
      <c r="E8103" s="451" t="s">
        <v>16279</v>
      </c>
      <c r="F8103" s="451"/>
      <c r="G8103" s="451"/>
      <c r="H8103" s="451"/>
      <c r="I8103" s="451"/>
      <c r="J8103" s="451"/>
      <c r="K8103" s="451"/>
    </row>
    <row r="8104" spans="1:11">
      <c r="A8104" s="450" t="s">
        <v>20852</v>
      </c>
      <c r="B8104" s="450" t="s">
        <v>27554</v>
      </c>
      <c r="C8104" s="450" t="s">
        <v>13381</v>
      </c>
      <c r="D8104" s="450" t="s">
        <v>13382</v>
      </c>
      <c r="E8104" s="450"/>
      <c r="F8104" s="450" t="s">
        <v>13384</v>
      </c>
      <c r="G8104" s="450" t="s">
        <v>22877</v>
      </c>
      <c r="H8104" s="450" t="s">
        <v>22878</v>
      </c>
      <c r="I8104" s="450" t="s">
        <v>13382</v>
      </c>
      <c r="J8104" s="450" t="s">
        <v>27555</v>
      </c>
      <c r="K8104" s="450"/>
    </row>
    <row r="8105" spans="1:11">
      <c r="A8105" s="451" t="s">
        <v>20852</v>
      </c>
      <c r="B8105" s="451" t="s">
        <v>13380</v>
      </c>
      <c r="C8105" s="451" t="s">
        <v>13381</v>
      </c>
      <c r="D8105" s="451" t="s">
        <v>13382</v>
      </c>
      <c r="E8105" s="451" t="s">
        <v>13383</v>
      </c>
      <c r="F8105" s="451" t="s">
        <v>13384</v>
      </c>
      <c r="G8105" s="451"/>
      <c r="H8105" s="451"/>
      <c r="I8105" s="451"/>
      <c r="J8105" s="451"/>
      <c r="K8105" s="451"/>
    </row>
    <row r="8106" spans="1:11">
      <c r="A8106" s="450" t="s">
        <v>20853</v>
      </c>
      <c r="B8106" s="450" t="s">
        <v>13385</v>
      </c>
      <c r="C8106" s="450" t="s">
        <v>13386</v>
      </c>
      <c r="D8106" s="450" t="s">
        <v>13387</v>
      </c>
      <c r="E8106" s="450"/>
      <c r="F8106" s="450" t="s">
        <v>13389</v>
      </c>
      <c r="G8106" s="450" t="s">
        <v>22877</v>
      </c>
      <c r="H8106" s="450" t="s">
        <v>22878</v>
      </c>
      <c r="I8106" s="450" t="s">
        <v>13387</v>
      </c>
      <c r="J8106" s="450" t="s">
        <v>37139</v>
      </c>
      <c r="K8106" s="450"/>
    </row>
    <row r="8107" spans="1:11">
      <c r="A8107" s="451" t="s">
        <v>20853</v>
      </c>
      <c r="B8107" s="451" t="s">
        <v>13385</v>
      </c>
      <c r="C8107" s="451" t="s">
        <v>13386</v>
      </c>
      <c r="D8107" s="451" t="s">
        <v>13387</v>
      </c>
      <c r="E8107" s="451" t="s">
        <v>13388</v>
      </c>
      <c r="F8107" s="451" t="s">
        <v>13389</v>
      </c>
      <c r="G8107" s="451"/>
      <c r="H8107" s="451"/>
      <c r="I8107" s="451"/>
      <c r="J8107" s="451"/>
      <c r="K8107" s="451"/>
    </row>
    <row r="8108" spans="1:11">
      <c r="A8108" s="450" t="s">
        <v>37140</v>
      </c>
      <c r="B8108" s="450" t="s">
        <v>13390</v>
      </c>
      <c r="C8108" s="450" t="s">
        <v>37141</v>
      </c>
      <c r="D8108" s="450" t="s">
        <v>13392</v>
      </c>
      <c r="E8108" s="450"/>
      <c r="F8108" s="450" t="s">
        <v>13394</v>
      </c>
      <c r="G8108" s="450" t="s">
        <v>22877</v>
      </c>
      <c r="H8108" s="450" t="s">
        <v>22878</v>
      </c>
      <c r="I8108" s="450" t="s">
        <v>13392</v>
      </c>
      <c r="J8108" s="450" t="s">
        <v>37142</v>
      </c>
      <c r="K8108" s="450"/>
    </row>
    <row r="8109" spans="1:11">
      <c r="A8109" s="451" t="s">
        <v>37140</v>
      </c>
      <c r="B8109" s="451" t="s">
        <v>13390</v>
      </c>
      <c r="C8109" s="451" t="s">
        <v>37141</v>
      </c>
      <c r="D8109" s="451" t="s">
        <v>13392</v>
      </c>
      <c r="E8109" s="451" t="s">
        <v>13393</v>
      </c>
      <c r="F8109" s="451" t="s">
        <v>13394</v>
      </c>
      <c r="G8109" s="451"/>
      <c r="H8109" s="451"/>
      <c r="I8109" s="451"/>
      <c r="J8109" s="451"/>
      <c r="K8109" s="451"/>
    </row>
    <row r="8110" spans="1:11" ht="15.5">
      <c r="A8110" s="448" t="s">
        <v>20854</v>
      </c>
      <c r="B8110" s="448" t="s">
        <v>13390</v>
      </c>
      <c r="C8110" s="448" t="s">
        <v>13391</v>
      </c>
      <c r="D8110" s="448" t="s">
        <v>13392</v>
      </c>
      <c r="E8110" s="448"/>
      <c r="F8110" s="448" t="s">
        <v>13394</v>
      </c>
      <c r="G8110" s="448"/>
      <c r="H8110" s="448"/>
      <c r="I8110" s="448"/>
      <c r="J8110" s="448"/>
      <c r="K8110" s="448"/>
    </row>
    <row r="8111" spans="1:11">
      <c r="A8111" s="451" t="s">
        <v>20855</v>
      </c>
      <c r="B8111" s="451" t="s">
        <v>27556</v>
      </c>
      <c r="C8111" s="451" t="s">
        <v>13396</v>
      </c>
      <c r="D8111" s="451" t="s">
        <v>13397</v>
      </c>
      <c r="E8111" s="451"/>
      <c r="F8111" s="451" t="s">
        <v>13399</v>
      </c>
      <c r="G8111" s="451" t="s">
        <v>22877</v>
      </c>
      <c r="H8111" s="451" t="s">
        <v>22878</v>
      </c>
      <c r="I8111" s="451" t="s">
        <v>13397</v>
      </c>
      <c r="J8111" s="451" t="s">
        <v>37143</v>
      </c>
      <c r="K8111" s="451"/>
    </row>
    <row r="8112" spans="1:11">
      <c r="A8112" s="450" t="s">
        <v>20855</v>
      </c>
      <c r="B8112" s="450" t="s">
        <v>27556</v>
      </c>
      <c r="C8112" s="450" t="s">
        <v>13396</v>
      </c>
      <c r="D8112" s="450" t="s">
        <v>13397</v>
      </c>
      <c r="E8112" s="450" t="s">
        <v>13398</v>
      </c>
      <c r="F8112" s="450" t="s">
        <v>13399</v>
      </c>
      <c r="G8112" s="450"/>
      <c r="H8112" s="450"/>
      <c r="I8112" s="450"/>
      <c r="J8112" s="450"/>
      <c r="K8112" s="450"/>
    </row>
    <row r="8113" spans="1:11">
      <c r="A8113" s="451" t="s">
        <v>20856</v>
      </c>
      <c r="B8113" s="451" t="s">
        <v>13400</v>
      </c>
      <c r="C8113" s="451" t="s">
        <v>13401</v>
      </c>
      <c r="D8113" s="451" t="s">
        <v>13402</v>
      </c>
      <c r="E8113" s="451"/>
      <c r="F8113" s="451" t="s">
        <v>13404</v>
      </c>
      <c r="G8113" s="451" t="s">
        <v>22877</v>
      </c>
      <c r="H8113" s="451" t="s">
        <v>22878</v>
      </c>
      <c r="I8113" s="451" t="s">
        <v>13402</v>
      </c>
      <c r="J8113" s="451" t="s">
        <v>37144</v>
      </c>
      <c r="K8113" s="451"/>
    </row>
    <row r="8114" spans="1:11">
      <c r="A8114" s="450" t="s">
        <v>20856</v>
      </c>
      <c r="B8114" s="450" t="s">
        <v>13400</v>
      </c>
      <c r="C8114" s="450" t="s">
        <v>13401</v>
      </c>
      <c r="D8114" s="450" t="s">
        <v>13402</v>
      </c>
      <c r="E8114" s="450" t="s">
        <v>13403</v>
      </c>
      <c r="F8114" s="450" t="s">
        <v>13404</v>
      </c>
      <c r="G8114" s="450"/>
      <c r="H8114" s="450"/>
      <c r="I8114" s="450"/>
      <c r="J8114" s="450"/>
      <c r="K8114" s="450"/>
    </row>
    <row r="8115" spans="1:11">
      <c r="A8115" s="451" t="s">
        <v>20857</v>
      </c>
      <c r="B8115" s="451" t="s">
        <v>13405</v>
      </c>
      <c r="C8115" s="451" t="s">
        <v>13406</v>
      </c>
      <c r="D8115" s="451" t="s">
        <v>13407</v>
      </c>
      <c r="E8115" s="451"/>
      <c r="F8115" s="451" t="s">
        <v>13409</v>
      </c>
      <c r="G8115" s="451" t="s">
        <v>22877</v>
      </c>
      <c r="H8115" s="451" t="s">
        <v>22878</v>
      </c>
      <c r="I8115" s="451" t="s">
        <v>13407</v>
      </c>
      <c r="J8115" s="451" t="s">
        <v>37145</v>
      </c>
      <c r="K8115" s="451"/>
    </row>
    <row r="8116" spans="1:11">
      <c r="A8116" s="450" t="s">
        <v>20857</v>
      </c>
      <c r="B8116" s="450" t="s">
        <v>13405</v>
      </c>
      <c r="C8116" s="450" t="s">
        <v>13406</v>
      </c>
      <c r="D8116" s="450" t="s">
        <v>13407</v>
      </c>
      <c r="E8116" s="450" t="s">
        <v>13408</v>
      </c>
      <c r="F8116" s="450" t="s">
        <v>13409</v>
      </c>
      <c r="G8116" s="450"/>
      <c r="H8116" s="450"/>
      <c r="I8116" s="450"/>
      <c r="J8116" s="450"/>
      <c r="K8116" s="450"/>
    </row>
    <row r="8117" spans="1:11">
      <c r="A8117" s="451" t="s">
        <v>20858</v>
      </c>
      <c r="B8117" s="451" t="s">
        <v>13410</v>
      </c>
      <c r="C8117" s="451" t="s">
        <v>13411</v>
      </c>
      <c r="D8117" s="451" t="s">
        <v>13412</v>
      </c>
      <c r="E8117" s="451"/>
      <c r="F8117" s="451" t="s">
        <v>13414</v>
      </c>
      <c r="G8117" s="451" t="s">
        <v>22877</v>
      </c>
      <c r="H8117" s="451" t="s">
        <v>22878</v>
      </c>
      <c r="I8117" s="451" t="s">
        <v>37146</v>
      </c>
      <c r="J8117" s="451" t="s">
        <v>37147</v>
      </c>
      <c r="K8117" s="451"/>
    </row>
    <row r="8118" spans="1:11">
      <c r="A8118" s="450" t="s">
        <v>20858</v>
      </c>
      <c r="B8118" s="450" t="s">
        <v>13410</v>
      </c>
      <c r="C8118" s="450" t="s">
        <v>13411</v>
      </c>
      <c r="D8118" s="450" t="s">
        <v>13412</v>
      </c>
      <c r="E8118" s="450" t="s">
        <v>13413</v>
      </c>
      <c r="F8118" s="450" t="s">
        <v>13414</v>
      </c>
      <c r="G8118" s="450"/>
      <c r="H8118" s="450"/>
      <c r="I8118" s="450"/>
      <c r="J8118" s="450"/>
      <c r="K8118" s="450"/>
    </row>
    <row r="8119" spans="1:11">
      <c r="A8119" s="451" t="s">
        <v>20859</v>
      </c>
      <c r="B8119" s="451" t="s">
        <v>13415</v>
      </c>
      <c r="C8119" s="451" t="s">
        <v>13416</v>
      </c>
      <c r="D8119" s="451" t="s">
        <v>13417</v>
      </c>
      <c r="E8119" s="451"/>
      <c r="F8119" s="451" t="s">
        <v>13419</v>
      </c>
      <c r="G8119" s="451" t="s">
        <v>22877</v>
      </c>
      <c r="H8119" s="451" t="s">
        <v>22878</v>
      </c>
      <c r="I8119" s="451" t="s">
        <v>37148</v>
      </c>
      <c r="J8119" s="451" t="s">
        <v>37149</v>
      </c>
      <c r="K8119" s="451"/>
    </row>
    <row r="8120" spans="1:11">
      <c r="A8120" s="450" t="s">
        <v>20859</v>
      </c>
      <c r="B8120" s="450" t="s">
        <v>13415</v>
      </c>
      <c r="C8120" s="450" t="s">
        <v>13416</v>
      </c>
      <c r="D8120" s="450" t="s">
        <v>13417</v>
      </c>
      <c r="E8120" s="450" t="s">
        <v>13418</v>
      </c>
      <c r="F8120" s="450" t="s">
        <v>13419</v>
      </c>
      <c r="G8120" s="450"/>
      <c r="H8120" s="450"/>
      <c r="I8120" s="450"/>
      <c r="J8120" s="450"/>
      <c r="K8120" s="450"/>
    </row>
    <row r="8121" spans="1:11">
      <c r="A8121" s="451" t="s">
        <v>20860</v>
      </c>
      <c r="B8121" s="451" t="s">
        <v>13420</v>
      </c>
      <c r="C8121" s="451" t="s">
        <v>13386</v>
      </c>
      <c r="D8121" s="451" t="s">
        <v>13421</v>
      </c>
      <c r="E8121" s="451"/>
      <c r="F8121" s="451" t="s">
        <v>13423</v>
      </c>
      <c r="G8121" s="451" t="s">
        <v>22877</v>
      </c>
      <c r="H8121" s="451" t="s">
        <v>22878</v>
      </c>
      <c r="I8121" s="451" t="s">
        <v>13421</v>
      </c>
      <c r="J8121" s="451" t="s">
        <v>37150</v>
      </c>
      <c r="K8121" s="451"/>
    </row>
    <row r="8122" spans="1:11">
      <c r="A8122" s="450" t="s">
        <v>20860</v>
      </c>
      <c r="B8122" s="450" t="s">
        <v>13420</v>
      </c>
      <c r="C8122" s="450" t="s">
        <v>13386</v>
      </c>
      <c r="D8122" s="450" t="s">
        <v>13421</v>
      </c>
      <c r="E8122" s="450" t="s">
        <v>13422</v>
      </c>
      <c r="F8122" s="450" t="s">
        <v>13423</v>
      </c>
      <c r="G8122" s="450"/>
      <c r="H8122" s="450"/>
      <c r="I8122" s="450"/>
      <c r="J8122" s="450"/>
      <c r="K8122" s="450"/>
    </row>
    <row r="8123" spans="1:11">
      <c r="A8123" s="451" t="s">
        <v>20861</v>
      </c>
      <c r="B8123" s="451" t="s">
        <v>13424</v>
      </c>
      <c r="C8123" s="451" t="s">
        <v>13425</v>
      </c>
      <c r="D8123" s="451" t="s">
        <v>13426</v>
      </c>
      <c r="E8123" s="451"/>
      <c r="F8123" s="451" t="s">
        <v>13428</v>
      </c>
      <c r="G8123" s="451" t="s">
        <v>22877</v>
      </c>
      <c r="H8123" s="451" t="s">
        <v>22878</v>
      </c>
      <c r="I8123" s="451" t="s">
        <v>13426</v>
      </c>
      <c r="J8123" s="451" t="s">
        <v>37151</v>
      </c>
      <c r="K8123" s="451"/>
    </row>
    <row r="8124" spans="1:11">
      <c r="A8124" s="450" t="s">
        <v>20861</v>
      </c>
      <c r="B8124" s="450" t="s">
        <v>13424</v>
      </c>
      <c r="C8124" s="450" t="s">
        <v>13425</v>
      </c>
      <c r="D8124" s="450" t="s">
        <v>13426</v>
      </c>
      <c r="E8124" s="450" t="s">
        <v>13427</v>
      </c>
      <c r="F8124" s="450" t="s">
        <v>13428</v>
      </c>
      <c r="G8124" s="450"/>
      <c r="H8124" s="450"/>
      <c r="I8124" s="450"/>
      <c r="J8124" s="450"/>
      <c r="K8124" s="450"/>
    </row>
    <row r="8125" spans="1:11">
      <c r="A8125" s="451" t="s">
        <v>20862</v>
      </c>
      <c r="B8125" s="451" t="s">
        <v>27557</v>
      </c>
      <c r="C8125" s="451" t="s">
        <v>13430</v>
      </c>
      <c r="D8125" s="451" t="s">
        <v>13431</v>
      </c>
      <c r="E8125" s="451"/>
      <c r="F8125" s="451" t="s">
        <v>13433</v>
      </c>
      <c r="G8125" s="451" t="s">
        <v>22877</v>
      </c>
      <c r="H8125" s="451" t="s">
        <v>22878</v>
      </c>
      <c r="I8125" s="451" t="s">
        <v>13431</v>
      </c>
      <c r="J8125" s="451" t="s">
        <v>27558</v>
      </c>
      <c r="K8125" s="451"/>
    </row>
    <row r="8126" spans="1:11">
      <c r="A8126" s="450" t="s">
        <v>20862</v>
      </c>
      <c r="B8126" s="450" t="s">
        <v>13429</v>
      </c>
      <c r="C8126" s="450" t="s">
        <v>13430</v>
      </c>
      <c r="D8126" s="450" t="s">
        <v>13431</v>
      </c>
      <c r="E8126" s="450" t="s">
        <v>13432</v>
      </c>
      <c r="F8126" s="450" t="s">
        <v>13433</v>
      </c>
      <c r="G8126" s="450"/>
      <c r="H8126" s="450"/>
      <c r="I8126" s="450"/>
      <c r="J8126" s="450"/>
      <c r="K8126" s="450"/>
    </row>
    <row r="8127" spans="1:11">
      <c r="A8127" s="451" t="s">
        <v>20863</v>
      </c>
      <c r="B8127" s="451" t="s">
        <v>13434</v>
      </c>
      <c r="C8127" s="451" t="s">
        <v>13435</v>
      </c>
      <c r="D8127" s="451" t="s">
        <v>13436</v>
      </c>
      <c r="E8127" s="451" t="s">
        <v>13437</v>
      </c>
      <c r="F8127" s="451" t="s">
        <v>13438</v>
      </c>
      <c r="G8127" s="451"/>
      <c r="H8127" s="451"/>
      <c r="I8127" s="451"/>
      <c r="J8127" s="451"/>
      <c r="K8127" s="451"/>
    </row>
    <row r="8128" spans="1:11">
      <c r="A8128" s="450" t="s">
        <v>27559</v>
      </c>
      <c r="B8128" s="450" t="s">
        <v>13434</v>
      </c>
      <c r="C8128" s="450" t="s">
        <v>27560</v>
      </c>
      <c r="D8128" s="450" t="s">
        <v>13436</v>
      </c>
      <c r="E8128" s="450"/>
      <c r="F8128" s="450" t="s">
        <v>13438</v>
      </c>
      <c r="G8128" s="450" t="s">
        <v>22877</v>
      </c>
      <c r="H8128" s="450" t="s">
        <v>22878</v>
      </c>
      <c r="I8128" s="450" t="s">
        <v>27561</v>
      </c>
      <c r="J8128" s="450" t="s">
        <v>27562</v>
      </c>
      <c r="K8128" s="450"/>
    </row>
    <row r="8129" spans="1:11">
      <c r="A8129" s="451" t="s">
        <v>20864</v>
      </c>
      <c r="B8129" s="451" t="s">
        <v>13439</v>
      </c>
      <c r="C8129" s="451" t="s">
        <v>13440</v>
      </c>
      <c r="D8129" s="451" t="s">
        <v>13441</v>
      </c>
      <c r="E8129" s="451"/>
      <c r="F8129" s="451" t="s">
        <v>13443</v>
      </c>
      <c r="G8129" s="451" t="s">
        <v>22877</v>
      </c>
      <c r="H8129" s="451" t="s">
        <v>22878</v>
      </c>
      <c r="I8129" s="451" t="s">
        <v>13441</v>
      </c>
      <c r="J8129" s="451" t="s">
        <v>37152</v>
      </c>
      <c r="K8129" s="451"/>
    </row>
    <row r="8130" spans="1:11">
      <c r="A8130" s="450" t="s">
        <v>20864</v>
      </c>
      <c r="B8130" s="450" t="s">
        <v>13439</v>
      </c>
      <c r="C8130" s="450" t="s">
        <v>13440</v>
      </c>
      <c r="D8130" s="450" t="s">
        <v>13441</v>
      </c>
      <c r="E8130" s="450" t="s">
        <v>13442</v>
      </c>
      <c r="F8130" s="450" t="s">
        <v>13443</v>
      </c>
      <c r="G8130" s="450"/>
      <c r="H8130" s="450"/>
      <c r="I8130" s="450"/>
      <c r="J8130" s="450"/>
      <c r="K8130" s="450"/>
    </row>
    <row r="8131" spans="1:11">
      <c r="A8131" s="451" t="s">
        <v>20865</v>
      </c>
      <c r="B8131" s="451" t="s">
        <v>13444</v>
      </c>
      <c r="C8131" s="451" t="s">
        <v>13445</v>
      </c>
      <c r="D8131" s="451" t="s">
        <v>13446</v>
      </c>
      <c r="E8131" s="451"/>
      <c r="F8131" s="451" t="s">
        <v>27563</v>
      </c>
      <c r="G8131" s="451" t="s">
        <v>22877</v>
      </c>
      <c r="H8131" s="451" t="s">
        <v>22878</v>
      </c>
      <c r="I8131" s="451" t="s">
        <v>13446</v>
      </c>
      <c r="J8131" s="451" t="s">
        <v>37153</v>
      </c>
      <c r="K8131" s="451"/>
    </row>
    <row r="8132" spans="1:11">
      <c r="A8132" s="450" t="s">
        <v>20865</v>
      </c>
      <c r="B8132" s="450" t="s">
        <v>13444</v>
      </c>
      <c r="C8132" s="450" t="s">
        <v>13445</v>
      </c>
      <c r="D8132" s="450" t="s">
        <v>13446</v>
      </c>
      <c r="E8132" s="450" t="s">
        <v>13447</v>
      </c>
      <c r="F8132" s="450" t="s">
        <v>27563</v>
      </c>
      <c r="G8132" s="450"/>
      <c r="H8132" s="450"/>
      <c r="I8132" s="450"/>
      <c r="J8132" s="450"/>
      <c r="K8132" s="450"/>
    </row>
    <row r="8133" spans="1:11">
      <c r="A8133" s="451" t="s">
        <v>20866</v>
      </c>
      <c r="B8133" s="451" t="s">
        <v>13449</v>
      </c>
      <c r="C8133" s="451" t="s">
        <v>13450</v>
      </c>
      <c r="D8133" s="451" t="s">
        <v>13451</v>
      </c>
      <c r="E8133" s="451"/>
      <c r="F8133" s="451" t="s">
        <v>13453</v>
      </c>
      <c r="G8133" s="451" t="s">
        <v>22877</v>
      </c>
      <c r="H8133" s="451" t="s">
        <v>22878</v>
      </c>
      <c r="I8133" s="451" t="s">
        <v>13451</v>
      </c>
      <c r="J8133" s="451" t="s">
        <v>37154</v>
      </c>
      <c r="K8133" s="451"/>
    </row>
    <row r="8134" spans="1:11">
      <c r="A8134" s="450" t="s">
        <v>20866</v>
      </c>
      <c r="B8134" s="450" t="s">
        <v>13449</v>
      </c>
      <c r="C8134" s="450" t="s">
        <v>13450</v>
      </c>
      <c r="D8134" s="450" t="s">
        <v>13451</v>
      </c>
      <c r="E8134" s="450" t="s">
        <v>13452</v>
      </c>
      <c r="F8134" s="450" t="s">
        <v>13453</v>
      </c>
      <c r="G8134" s="450"/>
      <c r="H8134" s="450"/>
      <c r="I8134" s="450"/>
      <c r="J8134" s="450"/>
      <c r="K8134" s="450"/>
    </row>
    <row r="8135" spans="1:11">
      <c r="A8135" s="451" t="s">
        <v>20867</v>
      </c>
      <c r="B8135" s="451" t="s">
        <v>27564</v>
      </c>
      <c r="C8135" s="451" t="s">
        <v>13455</v>
      </c>
      <c r="D8135" s="451" t="s">
        <v>13456</v>
      </c>
      <c r="E8135" s="451"/>
      <c r="F8135" s="451" t="s">
        <v>13458</v>
      </c>
      <c r="G8135" s="451" t="s">
        <v>22877</v>
      </c>
      <c r="H8135" s="451" t="s">
        <v>22878</v>
      </c>
      <c r="I8135" s="451" t="s">
        <v>13456</v>
      </c>
      <c r="J8135" s="451" t="s">
        <v>27565</v>
      </c>
      <c r="K8135" s="451"/>
    </row>
    <row r="8136" spans="1:11">
      <c r="A8136" s="450" t="s">
        <v>20867</v>
      </c>
      <c r="B8136" s="450" t="s">
        <v>13454</v>
      </c>
      <c r="C8136" s="450" t="s">
        <v>13455</v>
      </c>
      <c r="D8136" s="450" t="s">
        <v>13456</v>
      </c>
      <c r="E8136" s="450" t="s">
        <v>13457</v>
      </c>
      <c r="F8136" s="450" t="s">
        <v>13458</v>
      </c>
      <c r="G8136" s="450"/>
      <c r="H8136" s="450"/>
      <c r="I8136" s="450"/>
      <c r="J8136" s="450"/>
      <c r="K8136" s="450"/>
    </row>
    <row r="8137" spans="1:11">
      <c r="A8137" s="451" t="s">
        <v>20868</v>
      </c>
      <c r="B8137" s="451" t="s">
        <v>13459</v>
      </c>
      <c r="C8137" s="451" t="s">
        <v>13460</v>
      </c>
      <c r="D8137" s="451" t="s">
        <v>13461</v>
      </c>
      <c r="E8137" s="451"/>
      <c r="F8137" s="451" t="s">
        <v>13463</v>
      </c>
      <c r="G8137" s="451" t="s">
        <v>22877</v>
      </c>
      <c r="H8137" s="451" t="s">
        <v>22878</v>
      </c>
      <c r="I8137" s="451" t="s">
        <v>37155</v>
      </c>
      <c r="J8137" s="451" t="s">
        <v>37156</v>
      </c>
      <c r="K8137" s="451"/>
    </row>
    <row r="8138" spans="1:11">
      <c r="A8138" s="450" t="s">
        <v>20868</v>
      </c>
      <c r="B8138" s="450" t="s">
        <v>13459</v>
      </c>
      <c r="C8138" s="450" t="s">
        <v>13460</v>
      </c>
      <c r="D8138" s="450" t="s">
        <v>13461</v>
      </c>
      <c r="E8138" s="450" t="s">
        <v>13462</v>
      </c>
      <c r="F8138" s="450" t="s">
        <v>13463</v>
      </c>
      <c r="G8138" s="450"/>
      <c r="H8138" s="450"/>
      <c r="I8138" s="450"/>
      <c r="J8138" s="450"/>
      <c r="K8138" s="450"/>
    </row>
    <row r="8139" spans="1:11">
      <c r="A8139" s="451" t="s">
        <v>20869</v>
      </c>
      <c r="B8139" s="451" t="s">
        <v>13464</v>
      </c>
      <c r="C8139" s="451" t="s">
        <v>13465</v>
      </c>
      <c r="D8139" s="451" t="s">
        <v>13466</v>
      </c>
      <c r="E8139" s="451"/>
      <c r="F8139" s="451" t="s">
        <v>13468</v>
      </c>
      <c r="G8139" s="451" t="s">
        <v>22877</v>
      </c>
      <c r="H8139" s="451" t="s">
        <v>22878</v>
      </c>
      <c r="I8139" s="451" t="s">
        <v>13466</v>
      </c>
      <c r="J8139" s="451" t="s">
        <v>37157</v>
      </c>
      <c r="K8139" s="451"/>
    </row>
    <row r="8140" spans="1:11">
      <c r="A8140" s="450" t="s">
        <v>20869</v>
      </c>
      <c r="B8140" s="450" t="s">
        <v>13464</v>
      </c>
      <c r="C8140" s="450" t="s">
        <v>13465</v>
      </c>
      <c r="D8140" s="450" t="s">
        <v>13466</v>
      </c>
      <c r="E8140" s="450" t="s">
        <v>13467</v>
      </c>
      <c r="F8140" s="450" t="s">
        <v>13468</v>
      </c>
      <c r="G8140" s="450"/>
      <c r="H8140" s="450"/>
      <c r="I8140" s="450"/>
      <c r="J8140" s="450"/>
      <c r="K8140" s="450"/>
    </row>
    <row r="8141" spans="1:11">
      <c r="A8141" s="451" t="s">
        <v>20870</v>
      </c>
      <c r="B8141" s="451" t="s">
        <v>27566</v>
      </c>
      <c r="C8141" s="451" t="s">
        <v>13470</v>
      </c>
      <c r="D8141" s="451" t="s">
        <v>13471</v>
      </c>
      <c r="E8141" s="451"/>
      <c r="F8141" s="451" t="s">
        <v>12135</v>
      </c>
      <c r="G8141" s="451" t="s">
        <v>22877</v>
      </c>
      <c r="H8141" s="451" t="s">
        <v>22878</v>
      </c>
      <c r="I8141" s="451" t="s">
        <v>13471</v>
      </c>
      <c r="J8141" s="451" t="s">
        <v>27567</v>
      </c>
      <c r="K8141" s="451"/>
    </row>
    <row r="8142" spans="1:11">
      <c r="A8142" s="450" t="s">
        <v>20870</v>
      </c>
      <c r="B8142" s="450" t="s">
        <v>13469</v>
      </c>
      <c r="C8142" s="450" t="s">
        <v>13470</v>
      </c>
      <c r="D8142" s="450" t="s">
        <v>13471</v>
      </c>
      <c r="E8142" s="450" t="s">
        <v>13472</v>
      </c>
      <c r="F8142" s="450" t="s">
        <v>12135</v>
      </c>
      <c r="G8142" s="450"/>
      <c r="H8142" s="450"/>
      <c r="I8142" s="450"/>
      <c r="J8142" s="450"/>
      <c r="K8142" s="450"/>
    </row>
    <row r="8143" spans="1:11">
      <c r="A8143" s="451" t="s">
        <v>20871</v>
      </c>
      <c r="B8143" s="451" t="s">
        <v>13473</v>
      </c>
      <c r="C8143" s="451" t="s">
        <v>13474</v>
      </c>
      <c r="D8143" s="451" t="s">
        <v>13475</v>
      </c>
      <c r="E8143" s="451"/>
      <c r="F8143" s="451" t="s">
        <v>13477</v>
      </c>
      <c r="G8143" s="451" t="s">
        <v>22877</v>
      </c>
      <c r="H8143" s="451" t="s">
        <v>22878</v>
      </c>
      <c r="I8143" s="451" t="s">
        <v>33885</v>
      </c>
      <c r="J8143" s="451" t="s">
        <v>37158</v>
      </c>
      <c r="K8143" s="451"/>
    </row>
    <row r="8144" spans="1:11">
      <c r="A8144" s="450" t="s">
        <v>20871</v>
      </c>
      <c r="B8144" s="450" t="s">
        <v>13473</v>
      </c>
      <c r="C8144" s="450" t="s">
        <v>13474</v>
      </c>
      <c r="D8144" s="450" t="s">
        <v>13475</v>
      </c>
      <c r="E8144" s="450" t="s">
        <v>13476</v>
      </c>
      <c r="F8144" s="450" t="s">
        <v>13477</v>
      </c>
      <c r="G8144" s="450"/>
      <c r="H8144" s="450"/>
      <c r="I8144" s="450"/>
      <c r="J8144" s="450"/>
      <c r="K8144" s="450"/>
    </row>
    <row r="8145" spans="1:11">
      <c r="A8145" s="451" t="s">
        <v>20872</v>
      </c>
      <c r="B8145" s="451" t="s">
        <v>13478</v>
      </c>
      <c r="C8145" s="451" t="s">
        <v>13479</v>
      </c>
      <c r="D8145" s="451" t="s">
        <v>13480</v>
      </c>
      <c r="E8145" s="451"/>
      <c r="F8145" s="451" t="s">
        <v>13482</v>
      </c>
      <c r="G8145" s="451" t="s">
        <v>22877</v>
      </c>
      <c r="H8145" s="451" t="s">
        <v>22878</v>
      </c>
      <c r="I8145" s="451" t="s">
        <v>13480</v>
      </c>
      <c r="J8145" s="451" t="s">
        <v>37159</v>
      </c>
      <c r="K8145" s="451"/>
    </row>
    <row r="8146" spans="1:11">
      <c r="A8146" s="450" t="s">
        <v>20872</v>
      </c>
      <c r="B8146" s="450" t="s">
        <v>13478</v>
      </c>
      <c r="C8146" s="450" t="s">
        <v>13479</v>
      </c>
      <c r="D8146" s="450" t="s">
        <v>13480</v>
      </c>
      <c r="E8146" s="450" t="s">
        <v>13481</v>
      </c>
      <c r="F8146" s="450" t="s">
        <v>13482</v>
      </c>
      <c r="G8146" s="450"/>
      <c r="H8146" s="450"/>
      <c r="I8146" s="450"/>
      <c r="J8146" s="450"/>
      <c r="K8146" s="450"/>
    </row>
    <row r="8147" spans="1:11">
      <c r="A8147" s="451" t="s">
        <v>20873</v>
      </c>
      <c r="B8147" s="451" t="s">
        <v>13483</v>
      </c>
      <c r="C8147" s="451" t="s">
        <v>13484</v>
      </c>
      <c r="D8147" s="451" t="s">
        <v>13485</v>
      </c>
      <c r="E8147" s="451"/>
      <c r="F8147" s="451" t="s">
        <v>13487</v>
      </c>
      <c r="G8147" s="451" t="s">
        <v>22877</v>
      </c>
      <c r="H8147" s="451" t="s">
        <v>22878</v>
      </c>
      <c r="I8147" s="451" t="s">
        <v>37160</v>
      </c>
      <c r="J8147" s="451" t="s">
        <v>37161</v>
      </c>
      <c r="K8147" s="451"/>
    </row>
    <row r="8148" spans="1:11">
      <c r="A8148" s="450" t="s">
        <v>20873</v>
      </c>
      <c r="B8148" s="450" t="s">
        <v>13483</v>
      </c>
      <c r="C8148" s="450" t="s">
        <v>13484</v>
      </c>
      <c r="D8148" s="450" t="s">
        <v>13485</v>
      </c>
      <c r="E8148" s="450" t="s">
        <v>13486</v>
      </c>
      <c r="F8148" s="450" t="s">
        <v>13487</v>
      </c>
      <c r="G8148" s="450"/>
      <c r="H8148" s="450"/>
      <c r="I8148" s="450"/>
      <c r="J8148" s="450"/>
      <c r="K8148" s="450"/>
    </row>
    <row r="8149" spans="1:11">
      <c r="A8149" s="451" t="s">
        <v>20874</v>
      </c>
      <c r="B8149" s="451" t="s">
        <v>13488</v>
      </c>
      <c r="C8149" s="451" t="s">
        <v>13489</v>
      </c>
      <c r="D8149" s="451" t="s">
        <v>13490</v>
      </c>
      <c r="E8149" s="451"/>
      <c r="F8149" s="451" t="s">
        <v>13492</v>
      </c>
      <c r="G8149" s="451" t="s">
        <v>22877</v>
      </c>
      <c r="H8149" s="451" t="s">
        <v>22878</v>
      </c>
      <c r="I8149" s="451" t="s">
        <v>13490</v>
      </c>
      <c r="J8149" s="451" t="s">
        <v>37162</v>
      </c>
      <c r="K8149" s="451"/>
    </row>
    <row r="8150" spans="1:11">
      <c r="A8150" s="450" t="s">
        <v>20874</v>
      </c>
      <c r="B8150" s="450" t="s">
        <v>13488</v>
      </c>
      <c r="C8150" s="450" t="s">
        <v>13489</v>
      </c>
      <c r="D8150" s="450" t="s">
        <v>13490</v>
      </c>
      <c r="E8150" s="450" t="s">
        <v>13491</v>
      </c>
      <c r="F8150" s="450" t="s">
        <v>13492</v>
      </c>
      <c r="G8150" s="450"/>
      <c r="H8150" s="450"/>
      <c r="I8150" s="450"/>
      <c r="J8150" s="450"/>
      <c r="K8150" s="450"/>
    </row>
    <row r="8151" spans="1:11">
      <c r="A8151" s="451" t="s">
        <v>20875</v>
      </c>
      <c r="B8151" s="451" t="s">
        <v>27568</v>
      </c>
      <c r="C8151" s="451" t="s">
        <v>2425</v>
      </c>
      <c r="D8151" s="451" t="s">
        <v>13494</v>
      </c>
      <c r="E8151" s="451"/>
      <c r="F8151" s="451" t="s">
        <v>13496</v>
      </c>
      <c r="G8151" s="451" t="s">
        <v>22877</v>
      </c>
      <c r="H8151" s="451" t="s">
        <v>22878</v>
      </c>
      <c r="I8151" s="451" t="s">
        <v>13494</v>
      </c>
      <c r="J8151" s="451" t="s">
        <v>27569</v>
      </c>
      <c r="K8151" s="451"/>
    </row>
    <row r="8152" spans="1:11">
      <c r="A8152" s="450" t="s">
        <v>20875</v>
      </c>
      <c r="B8152" s="450" t="s">
        <v>13493</v>
      </c>
      <c r="C8152" s="450" t="s">
        <v>2425</v>
      </c>
      <c r="D8152" s="450" t="s">
        <v>13494</v>
      </c>
      <c r="E8152" s="450" t="s">
        <v>13495</v>
      </c>
      <c r="F8152" s="450" t="s">
        <v>13496</v>
      </c>
      <c r="G8152" s="450"/>
      <c r="H8152" s="450"/>
      <c r="I8152" s="450"/>
      <c r="J8152" s="450"/>
      <c r="K8152" s="450"/>
    </row>
    <row r="8153" spans="1:11">
      <c r="A8153" s="451" t="s">
        <v>27570</v>
      </c>
      <c r="B8153" s="451" t="s">
        <v>27571</v>
      </c>
      <c r="C8153" s="451" t="s">
        <v>27572</v>
      </c>
      <c r="D8153" s="451"/>
      <c r="E8153" s="451"/>
      <c r="F8153" s="451"/>
      <c r="G8153" s="451" t="s">
        <v>22877</v>
      </c>
      <c r="H8153" s="451" t="s">
        <v>22878</v>
      </c>
      <c r="I8153" s="451" t="s">
        <v>27573</v>
      </c>
      <c r="J8153" s="451" t="s">
        <v>27574</v>
      </c>
      <c r="K8153" s="451"/>
    </row>
    <row r="8154" spans="1:11">
      <c r="A8154" s="450" t="s">
        <v>20876</v>
      </c>
      <c r="B8154" s="450" t="s">
        <v>13497</v>
      </c>
      <c r="C8154" s="450" t="s">
        <v>13498</v>
      </c>
      <c r="D8154" s="450" t="s">
        <v>13499</v>
      </c>
      <c r="E8154" s="450"/>
      <c r="F8154" s="450" t="s">
        <v>13501</v>
      </c>
      <c r="G8154" s="450" t="s">
        <v>22882</v>
      </c>
      <c r="H8154" s="450" t="s">
        <v>22883</v>
      </c>
      <c r="I8154" s="450"/>
      <c r="J8154" s="450" t="s">
        <v>37163</v>
      </c>
      <c r="K8154" s="450"/>
    </row>
    <row r="8155" spans="1:11">
      <c r="A8155" s="451" t="s">
        <v>20876</v>
      </c>
      <c r="B8155" s="451" t="s">
        <v>13497</v>
      </c>
      <c r="C8155" s="451" t="s">
        <v>13498</v>
      </c>
      <c r="D8155" s="451" t="s">
        <v>13499</v>
      </c>
      <c r="E8155" s="451" t="s">
        <v>13500</v>
      </c>
      <c r="F8155" s="451" t="s">
        <v>13501</v>
      </c>
      <c r="G8155" s="451"/>
      <c r="H8155" s="451"/>
      <c r="I8155" s="451"/>
      <c r="J8155" s="451"/>
      <c r="K8155" s="451"/>
    </row>
    <row r="8156" spans="1:11">
      <c r="A8156" s="450" t="s">
        <v>20877</v>
      </c>
      <c r="B8156" s="450" t="s">
        <v>13502</v>
      </c>
      <c r="C8156" s="450" t="s">
        <v>13503</v>
      </c>
      <c r="D8156" s="450" t="s">
        <v>13504</v>
      </c>
      <c r="E8156" s="450"/>
      <c r="F8156" s="450" t="s">
        <v>12850</v>
      </c>
      <c r="G8156" s="450" t="s">
        <v>22877</v>
      </c>
      <c r="H8156" s="450" t="s">
        <v>22878</v>
      </c>
      <c r="I8156" s="450" t="s">
        <v>13504</v>
      </c>
      <c r="J8156" s="450" t="s">
        <v>37164</v>
      </c>
      <c r="K8156" s="450"/>
    </row>
    <row r="8157" spans="1:11">
      <c r="A8157" s="451" t="s">
        <v>20877</v>
      </c>
      <c r="B8157" s="451" t="s">
        <v>13502</v>
      </c>
      <c r="C8157" s="451" t="s">
        <v>13503</v>
      </c>
      <c r="D8157" s="451" t="s">
        <v>13504</v>
      </c>
      <c r="E8157" s="451" t="s">
        <v>13505</v>
      </c>
      <c r="F8157" s="451" t="s">
        <v>12850</v>
      </c>
      <c r="G8157" s="451"/>
      <c r="H8157" s="451"/>
      <c r="I8157" s="451"/>
      <c r="J8157" s="451"/>
      <c r="K8157" s="451"/>
    </row>
    <row r="8158" spans="1:11">
      <c r="A8158" s="450" t="s">
        <v>20878</v>
      </c>
      <c r="B8158" s="450" t="s">
        <v>13506</v>
      </c>
      <c r="C8158" s="450" t="s">
        <v>13507</v>
      </c>
      <c r="D8158" s="450" t="s">
        <v>13508</v>
      </c>
      <c r="E8158" s="450"/>
      <c r="F8158" s="450" t="s">
        <v>13510</v>
      </c>
      <c r="G8158" s="450" t="s">
        <v>22877</v>
      </c>
      <c r="H8158" s="450" t="s">
        <v>22878</v>
      </c>
      <c r="I8158" s="450" t="s">
        <v>37165</v>
      </c>
      <c r="J8158" s="450" t="s">
        <v>37166</v>
      </c>
      <c r="K8158" s="450"/>
    </row>
    <row r="8159" spans="1:11">
      <c r="A8159" s="451" t="s">
        <v>20878</v>
      </c>
      <c r="B8159" s="451" t="s">
        <v>13506</v>
      </c>
      <c r="C8159" s="451" t="s">
        <v>13507</v>
      </c>
      <c r="D8159" s="451" t="s">
        <v>13508</v>
      </c>
      <c r="E8159" s="451" t="s">
        <v>13509</v>
      </c>
      <c r="F8159" s="451" t="s">
        <v>13510</v>
      </c>
      <c r="G8159" s="451"/>
      <c r="H8159" s="451"/>
      <c r="I8159" s="451"/>
      <c r="J8159" s="451"/>
      <c r="K8159" s="451"/>
    </row>
    <row r="8160" spans="1:11">
      <c r="A8160" s="450" t="s">
        <v>20879</v>
      </c>
      <c r="B8160" s="450" t="s">
        <v>13511</v>
      </c>
      <c r="C8160" s="450" t="s">
        <v>13512</v>
      </c>
      <c r="D8160" s="450" t="s">
        <v>13513</v>
      </c>
      <c r="E8160" s="450"/>
      <c r="F8160" s="450" t="s">
        <v>13515</v>
      </c>
      <c r="G8160" s="450" t="s">
        <v>22877</v>
      </c>
      <c r="H8160" s="450" t="s">
        <v>22878</v>
      </c>
      <c r="I8160" s="450" t="s">
        <v>37167</v>
      </c>
      <c r="J8160" s="450" t="s">
        <v>37168</v>
      </c>
      <c r="K8160" s="450"/>
    </row>
    <row r="8161" spans="1:11">
      <c r="A8161" s="451" t="s">
        <v>20879</v>
      </c>
      <c r="B8161" s="451" t="s">
        <v>13511</v>
      </c>
      <c r="C8161" s="451" t="s">
        <v>13512</v>
      </c>
      <c r="D8161" s="451" t="s">
        <v>13513</v>
      </c>
      <c r="E8161" s="451" t="s">
        <v>13514</v>
      </c>
      <c r="F8161" s="451" t="s">
        <v>13515</v>
      </c>
      <c r="G8161" s="451"/>
      <c r="H8161" s="451"/>
      <c r="I8161" s="451"/>
      <c r="J8161" s="451"/>
      <c r="K8161" s="451"/>
    </row>
    <row r="8162" spans="1:11">
      <c r="A8162" s="450" t="s">
        <v>27575</v>
      </c>
      <c r="B8162" s="450" t="s">
        <v>21002</v>
      </c>
      <c r="C8162" s="450" t="s">
        <v>27576</v>
      </c>
      <c r="D8162" s="450" t="s">
        <v>13546</v>
      </c>
      <c r="E8162" s="450"/>
      <c r="F8162" s="450"/>
      <c r="G8162" s="450" t="s">
        <v>22877</v>
      </c>
      <c r="H8162" s="450" t="s">
        <v>22878</v>
      </c>
      <c r="I8162" s="450" t="s">
        <v>13546</v>
      </c>
      <c r="J8162" s="450" t="s">
        <v>27577</v>
      </c>
      <c r="K8162" s="450"/>
    </row>
    <row r="8163" spans="1:11">
      <c r="A8163" s="451" t="s">
        <v>27578</v>
      </c>
      <c r="B8163" s="451" t="s">
        <v>27579</v>
      </c>
      <c r="C8163" s="451" t="s">
        <v>27580</v>
      </c>
      <c r="D8163" s="451"/>
      <c r="E8163" s="451"/>
      <c r="F8163" s="451"/>
      <c r="G8163" s="451" t="s">
        <v>22877</v>
      </c>
      <c r="H8163" s="451" t="s">
        <v>22878</v>
      </c>
      <c r="I8163" s="451"/>
      <c r="J8163" s="451" t="s">
        <v>27581</v>
      </c>
      <c r="K8163" s="451"/>
    </row>
    <row r="8164" spans="1:11">
      <c r="A8164" s="450" t="s">
        <v>20880</v>
      </c>
      <c r="B8164" s="450" t="s">
        <v>27582</v>
      </c>
      <c r="C8164" s="450" t="s">
        <v>13517</v>
      </c>
      <c r="D8164" s="450" t="s">
        <v>13518</v>
      </c>
      <c r="E8164" s="450"/>
      <c r="F8164" s="450" t="s">
        <v>13520</v>
      </c>
      <c r="G8164" s="450" t="s">
        <v>22877</v>
      </c>
      <c r="H8164" s="450" t="s">
        <v>22878</v>
      </c>
      <c r="I8164" s="450" t="s">
        <v>13518</v>
      </c>
      <c r="J8164" s="450" t="s">
        <v>27583</v>
      </c>
      <c r="K8164" s="450"/>
    </row>
    <row r="8165" spans="1:11">
      <c r="A8165" s="451" t="s">
        <v>20880</v>
      </c>
      <c r="B8165" s="451" t="s">
        <v>13516</v>
      </c>
      <c r="C8165" s="451" t="s">
        <v>13517</v>
      </c>
      <c r="D8165" s="451" t="s">
        <v>13518</v>
      </c>
      <c r="E8165" s="451" t="s">
        <v>13519</v>
      </c>
      <c r="F8165" s="451" t="s">
        <v>13520</v>
      </c>
      <c r="G8165" s="451"/>
      <c r="H8165" s="451"/>
      <c r="I8165" s="451"/>
      <c r="J8165" s="451"/>
      <c r="K8165" s="451"/>
    </row>
    <row r="8166" spans="1:11">
      <c r="A8166" s="450" t="s">
        <v>20881</v>
      </c>
      <c r="B8166" s="450" t="s">
        <v>13521</v>
      </c>
      <c r="C8166" s="450" t="s">
        <v>13522</v>
      </c>
      <c r="D8166" s="450" t="s">
        <v>13523</v>
      </c>
      <c r="E8166" s="450"/>
      <c r="F8166" s="450" t="s">
        <v>13525</v>
      </c>
      <c r="G8166" s="450" t="s">
        <v>22877</v>
      </c>
      <c r="H8166" s="450" t="s">
        <v>22878</v>
      </c>
      <c r="I8166" s="450" t="s">
        <v>13523</v>
      </c>
      <c r="J8166" s="450" t="s">
        <v>37169</v>
      </c>
      <c r="K8166" s="450"/>
    </row>
    <row r="8167" spans="1:11">
      <c r="A8167" s="451" t="s">
        <v>20881</v>
      </c>
      <c r="B8167" s="451" t="s">
        <v>13521</v>
      </c>
      <c r="C8167" s="451" t="s">
        <v>13522</v>
      </c>
      <c r="D8167" s="451" t="s">
        <v>13523</v>
      </c>
      <c r="E8167" s="451" t="s">
        <v>13524</v>
      </c>
      <c r="F8167" s="451" t="s">
        <v>13525</v>
      </c>
      <c r="G8167" s="451"/>
      <c r="H8167" s="451"/>
      <c r="I8167" s="451"/>
      <c r="J8167" s="451"/>
      <c r="K8167" s="451"/>
    </row>
    <row r="8168" spans="1:11">
      <c r="A8168" s="450" t="s">
        <v>20882</v>
      </c>
      <c r="B8168" s="450" t="s">
        <v>27584</v>
      </c>
      <c r="C8168" s="450" t="s">
        <v>13527</v>
      </c>
      <c r="D8168" s="450" t="s">
        <v>13528</v>
      </c>
      <c r="E8168" s="450"/>
      <c r="F8168" s="450" t="s">
        <v>13530</v>
      </c>
      <c r="G8168" s="450" t="s">
        <v>22877</v>
      </c>
      <c r="H8168" s="450" t="s">
        <v>22878</v>
      </c>
      <c r="I8168" s="450" t="s">
        <v>13528</v>
      </c>
      <c r="J8168" s="450" t="s">
        <v>27585</v>
      </c>
      <c r="K8168" s="450"/>
    </row>
    <row r="8169" spans="1:11">
      <c r="A8169" s="451" t="s">
        <v>20882</v>
      </c>
      <c r="B8169" s="451" t="s">
        <v>13526</v>
      </c>
      <c r="C8169" s="451" t="s">
        <v>13527</v>
      </c>
      <c r="D8169" s="451" t="s">
        <v>13528</v>
      </c>
      <c r="E8169" s="451" t="s">
        <v>13529</v>
      </c>
      <c r="F8169" s="451" t="s">
        <v>13530</v>
      </c>
      <c r="G8169" s="451"/>
      <c r="H8169" s="451"/>
      <c r="I8169" s="451"/>
      <c r="J8169" s="451"/>
      <c r="K8169" s="451"/>
    </row>
    <row r="8170" spans="1:11">
      <c r="A8170" s="450" t="s">
        <v>20883</v>
      </c>
      <c r="B8170" s="450" t="s">
        <v>13531</v>
      </c>
      <c r="C8170" s="450" t="s">
        <v>13532</v>
      </c>
      <c r="D8170" s="450" t="s">
        <v>13533</v>
      </c>
      <c r="E8170" s="450"/>
      <c r="F8170" s="450" t="s">
        <v>13535</v>
      </c>
      <c r="G8170" s="450" t="s">
        <v>22877</v>
      </c>
      <c r="H8170" s="450" t="s">
        <v>22878</v>
      </c>
      <c r="I8170" s="450" t="s">
        <v>13533</v>
      </c>
      <c r="J8170" s="450" t="s">
        <v>37170</v>
      </c>
      <c r="K8170" s="450"/>
    </row>
    <row r="8171" spans="1:11">
      <c r="A8171" s="451" t="s">
        <v>20883</v>
      </c>
      <c r="B8171" s="451" t="s">
        <v>13531</v>
      </c>
      <c r="C8171" s="451" t="s">
        <v>13532</v>
      </c>
      <c r="D8171" s="451" t="s">
        <v>13533</v>
      </c>
      <c r="E8171" s="451" t="s">
        <v>13534</v>
      </c>
      <c r="F8171" s="451" t="s">
        <v>13535</v>
      </c>
      <c r="G8171" s="451"/>
      <c r="H8171" s="451"/>
      <c r="I8171" s="451"/>
      <c r="J8171" s="451"/>
      <c r="K8171" s="451"/>
    </row>
    <row r="8172" spans="1:11">
      <c r="A8172" s="450" t="s">
        <v>20884</v>
      </c>
      <c r="B8172" s="450" t="s">
        <v>13536</v>
      </c>
      <c r="C8172" s="450" t="s">
        <v>13537</v>
      </c>
      <c r="D8172" s="450" t="s">
        <v>13538</v>
      </c>
      <c r="E8172" s="450"/>
      <c r="F8172" s="450" t="s">
        <v>13540</v>
      </c>
      <c r="G8172" s="450" t="s">
        <v>22877</v>
      </c>
      <c r="H8172" s="450" t="s">
        <v>22878</v>
      </c>
      <c r="I8172" s="450" t="s">
        <v>13538</v>
      </c>
      <c r="J8172" s="450" t="s">
        <v>37171</v>
      </c>
      <c r="K8172" s="450"/>
    </row>
    <row r="8173" spans="1:11">
      <c r="A8173" s="451" t="s">
        <v>20884</v>
      </c>
      <c r="B8173" s="451" t="s">
        <v>13536</v>
      </c>
      <c r="C8173" s="451" t="s">
        <v>13537</v>
      </c>
      <c r="D8173" s="451" t="s">
        <v>13538</v>
      </c>
      <c r="E8173" s="451" t="s">
        <v>13539</v>
      </c>
      <c r="F8173" s="451" t="s">
        <v>13540</v>
      </c>
      <c r="G8173" s="451"/>
      <c r="H8173" s="451"/>
      <c r="I8173" s="451"/>
      <c r="J8173" s="451"/>
      <c r="K8173" s="451"/>
    </row>
    <row r="8174" spans="1:11">
      <c r="A8174" s="450" t="s">
        <v>20885</v>
      </c>
      <c r="B8174" s="450" t="s">
        <v>13541</v>
      </c>
      <c r="C8174" s="450" t="s">
        <v>13542</v>
      </c>
      <c r="D8174" s="450" t="s">
        <v>13543</v>
      </c>
      <c r="E8174" s="450"/>
      <c r="F8174" s="450" t="s">
        <v>13545</v>
      </c>
      <c r="G8174" s="450" t="s">
        <v>22877</v>
      </c>
      <c r="H8174" s="450" t="s">
        <v>22878</v>
      </c>
      <c r="I8174" s="450" t="s">
        <v>13543</v>
      </c>
      <c r="J8174" s="450" t="s">
        <v>37172</v>
      </c>
      <c r="K8174" s="450"/>
    </row>
    <row r="8175" spans="1:11">
      <c r="A8175" s="451" t="s">
        <v>20885</v>
      </c>
      <c r="B8175" s="451" t="s">
        <v>13541</v>
      </c>
      <c r="C8175" s="451" t="s">
        <v>13542</v>
      </c>
      <c r="D8175" s="451" t="s">
        <v>13543</v>
      </c>
      <c r="E8175" s="451" t="s">
        <v>13544</v>
      </c>
      <c r="F8175" s="451" t="s">
        <v>13545</v>
      </c>
      <c r="G8175" s="451"/>
      <c r="H8175" s="451"/>
      <c r="I8175" s="451"/>
      <c r="J8175" s="451"/>
      <c r="K8175" s="451"/>
    </row>
    <row r="8176" spans="1:11">
      <c r="A8176" s="450" t="s">
        <v>20886</v>
      </c>
      <c r="B8176" s="450" t="s">
        <v>21002</v>
      </c>
      <c r="C8176" s="450" t="s">
        <v>21009</v>
      </c>
      <c r="D8176" s="450" t="s">
        <v>13546</v>
      </c>
      <c r="E8176" s="450"/>
      <c r="F8176" s="450" t="s">
        <v>13548</v>
      </c>
      <c r="G8176" s="450" t="s">
        <v>22877</v>
      </c>
      <c r="H8176" s="450" t="s">
        <v>22878</v>
      </c>
      <c r="I8176" s="450" t="s">
        <v>13546</v>
      </c>
      <c r="J8176" s="450" t="s">
        <v>27577</v>
      </c>
      <c r="K8176" s="450"/>
    </row>
    <row r="8177" spans="1:11">
      <c r="A8177" s="451" t="s">
        <v>20886</v>
      </c>
      <c r="B8177" s="451" t="s">
        <v>21002</v>
      </c>
      <c r="C8177" s="451" t="s">
        <v>21009</v>
      </c>
      <c r="D8177" s="451" t="s">
        <v>13546</v>
      </c>
      <c r="E8177" s="451" t="s">
        <v>13547</v>
      </c>
      <c r="F8177" s="451" t="s">
        <v>13548</v>
      </c>
      <c r="G8177" s="451"/>
      <c r="H8177" s="451"/>
      <c r="I8177" s="451"/>
      <c r="J8177" s="451"/>
      <c r="K8177" s="451"/>
    </row>
    <row r="8178" spans="1:11">
      <c r="A8178" s="450" t="s">
        <v>20887</v>
      </c>
      <c r="B8178" s="450" t="s">
        <v>13549</v>
      </c>
      <c r="C8178" s="450" t="s">
        <v>13550</v>
      </c>
      <c r="D8178" s="450" t="s">
        <v>13551</v>
      </c>
      <c r="E8178" s="450"/>
      <c r="F8178" s="450" t="s">
        <v>13553</v>
      </c>
      <c r="G8178" s="450" t="s">
        <v>22877</v>
      </c>
      <c r="H8178" s="450" t="s">
        <v>22878</v>
      </c>
      <c r="I8178" s="450" t="s">
        <v>13551</v>
      </c>
      <c r="J8178" s="450" t="s">
        <v>37173</v>
      </c>
      <c r="K8178" s="450"/>
    </row>
    <row r="8179" spans="1:11">
      <c r="A8179" s="451" t="s">
        <v>20887</v>
      </c>
      <c r="B8179" s="451" t="s">
        <v>13549</v>
      </c>
      <c r="C8179" s="451" t="s">
        <v>13550</v>
      </c>
      <c r="D8179" s="451" t="s">
        <v>13551</v>
      </c>
      <c r="E8179" s="451" t="s">
        <v>13552</v>
      </c>
      <c r="F8179" s="451" t="s">
        <v>13553</v>
      </c>
      <c r="G8179" s="451"/>
      <c r="H8179" s="451"/>
      <c r="I8179" s="451"/>
      <c r="J8179" s="451"/>
      <c r="K8179" s="451"/>
    </row>
    <row r="8180" spans="1:11">
      <c r="A8180" s="450" t="s">
        <v>20888</v>
      </c>
      <c r="B8180" s="450" t="s">
        <v>13554</v>
      </c>
      <c r="C8180" s="450" t="s">
        <v>13555</v>
      </c>
      <c r="D8180" s="450" t="s">
        <v>13556</v>
      </c>
      <c r="E8180" s="450"/>
      <c r="F8180" s="450" t="s">
        <v>13558</v>
      </c>
      <c r="G8180" s="450" t="s">
        <v>22877</v>
      </c>
      <c r="H8180" s="450" t="s">
        <v>22878</v>
      </c>
      <c r="I8180" s="450" t="s">
        <v>13556</v>
      </c>
      <c r="J8180" s="450" t="s">
        <v>37174</v>
      </c>
      <c r="K8180" s="450"/>
    </row>
    <row r="8181" spans="1:11">
      <c r="A8181" s="451" t="s">
        <v>20888</v>
      </c>
      <c r="B8181" s="451" t="s">
        <v>13554</v>
      </c>
      <c r="C8181" s="451" t="s">
        <v>13555</v>
      </c>
      <c r="D8181" s="451" t="s">
        <v>13556</v>
      </c>
      <c r="E8181" s="451" t="s">
        <v>13557</v>
      </c>
      <c r="F8181" s="451" t="s">
        <v>13558</v>
      </c>
      <c r="G8181" s="451"/>
      <c r="H8181" s="451"/>
      <c r="I8181" s="451"/>
      <c r="J8181" s="451"/>
      <c r="K8181" s="451"/>
    </row>
    <row r="8182" spans="1:11">
      <c r="A8182" s="450" t="s">
        <v>20889</v>
      </c>
      <c r="B8182" s="450" t="s">
        <v>13559</v>
      </c>
      <c r="C8182" s="450" t="s">
        <v>13560</v>
      </c>
      <c r="D8182" s="450" t="s">
        <v>13561</v>
      </c>
      <c r="E8182" s="450"/>
      <c r="F8182" s="450" t="s">
        <v>13563</v>
      </c>
      <c r="G8182" s="450" t="s">
        <v>22877</v>
      </c>
      <c r="H8182" s="450" t="s">
        <v>22878</v>
      </c>
      <c r="I8182" s="450" t="s">
        <v>13561</v>
      </c>
      <c r="J8182" s="450" t="s">
        <v>37175</v>
      </c>
      <c r="K8182" s="450"/>
    </row>
    <row r="8183" spans="1:11">
      <c r="A8183" s="451" t="s">
        <v>20889</v>
      </c>
      <c r="B8183" s="451" t="s">
        <v>13559</v>
      </c>
      <c r="C8183" s="451" t="s">
        <v>13560</v>
      </c>
      <c r="D8183" s="451" t="s">
        <v>13561</v>
      </c>
      <c r="E8183" s="451" t="s">
        <v>13562</v>
      </c>
      <c r="F8183" s="451" t="s">
        <v>13563</v>
      </c>
      <c r="G8183" s="451"/>
      <c r="H8183" s="451"/>
      <c r="I8183" s="451"/>
      <c r="J8183" s="451"/>
      <c r="K8183" s="451"/>
    </row>
    <row r="8184" spans="1:11">
      <c r="A8184" s="450" t="s">
        <v>20890</v>
      </c>
      <c r="B8184" s="450" t="s">
        <v>13564</v>
      </c>
      <c r="C8184" s="450" t="s">
        <v>13565</v>
      </c>
      <c r="D8184" s="450" t="s">
        <v>13566</v>
      </c>
      <c r="E8184" s="450"/>
      <c r="F8184" s="450" t="s">
        <v>13520</v>
      </c>
      <c r="G8184" s="450" t="s">
        <v>22877</v>
      </c>
      <c r="H8184" s="450" t="s">
        <v>22878</v>
      </c>
      <c r="I8184" s="450" t="s">
        <v>37176</v>
      </c>
      <c r="J8184" s="450" t="s">
        <v>37177</v>
      </c>
      <c r="K8184" s="450"/>
    </row>
    <row r="8185" spans="1:11">
      <c r="A8185" s="451" t="s">
        <v>20890</v>
      </c>
      <c r="B8185" s="451" t="s">
        <v>13564</v>
      </c>
      <c r="C8185" s="451" t="s">
        <v>13565</v>
      </c>
      <c r="D8185" s="451" t="s">
        <v>13566</v>
      </c>
      <c r="E8185" s="451" t="s">
        <v>13567</v>
      </c>
      <c r="F8185" s="451" t="s">
        <v>13520</v>
      </c>
      <c r="G8185" s="451"/>
      <c r="H8185" s="451"/>
      <c r="I8185" s="451"/>
      <c r="J8185" s="451"/>
      <c r="K8185" s="451"/>
    </row>
    <row r="8186" spans="1:11">
      <c r="A8186" s="450" t="s">
        <v>20891</v>
      </c>
      <c r="B8186" s="450" t="s">
        <v>13568</v>
      </c>
      <c r="C8186" s="450" t="s">
        <v>13569</v>
      </c>
      <c r="D8186" s="450" t="s">
        <v>13570</v>
      </c>
      <c r="E8186" s="450"/>
      <c r="F8186" s="450" t="s">
        <v>13572</v>
      </c>
      <c r="G8186" s="450" t="s">
        <v>22882</v>
      </c>
      <c r="H8186" s="450" t="s">
        <v>22883</v>
      </c>
      <c r="I8186" s="450" t="s">
        <v>13570</v>
      </c>
      <c r="J8186" s="450" t="s">
        <v>37178</v>
      </c>
      <c r="K8186" s="450"/>
    </row>
    <row r="8187" spans="1:11">
      <c r="A8187" s="451" t="s">
        <v>20891</v>
      </c>
      <c r="B8187" s="451" t="s">
        <v>13568</v>
      </c>
      <c r="C8187" s="451" t="s">
        <v>13569</v>
      </c>
      <c r="D8187" s="451" t="s">
        <v>13570</v>
      </c>
      <c r="E8187" s="451" t="s">
        <v>13571</v>
      </c>
      <c r="F8187" s="451" t="s">
        <v>13572</v>
      </c>
      <c r="G8187" s="451"/>
      <c r="H8187" s="451"/>
      <c r="I8187" s="451"/>
      <c r="J8187" s="451"/>
      <c r="K8187" s="451"/>
    </row>
    <row r="8188" spans="1:11">
      <c r="A8188" s="450" t="s">
        <v>20892</v>
      </c>
      <c r="B8188" s="450" t="s">
        <v>13573</v>
      </c>
      <c r="C8188" s="450" t="s">
        <v>13574</v>
      </c>
      <c r="D8188" s="450" t="s">
        <v>13575</v>
      </c>
      <c r="E8188" s="450"/>
      <c r="F8188" s="450" t="s">
        <v>13577</v>
      </c>
      <c r="G8188" s="450" t="s">
        <v>22877</v>
      </c>
      <c r="H8188" s="450" t="s">
        <v>22878</v>
      </c>
      <c r="I8188" s="450" t="s">
        <v>13575</v>
      </c>
      <c r="J8188" s="450" t="s">
        <v>37179</v>
      </c>
      <c r="K8188" s="450"/>
    </row>
    <row r="8189" spans="1:11">
      <c r="A8189" s="451" t="s">
        <v>20892</v>
      </c>
      <c r="B8189" s="451" t="s">
        <v>13573</v>
      </c>
      <c r="C8189" s="451" t="s">
        <v>13574</v>
      </c>
      <c r="D8189" s="451" t="s">
        <v>13575</v>
      </c>
      <c r="E8189" s="451" t="s">
        <v>13576</v>
      </c>
      <c r="F8189" s="451" t="s">
        <v>13577</v>
      </c>
      <c r="G8189" s="451"/>
      <c r="H8189" s="451"/>
      <c r="I8189" s="451"/>
      <c r="J8189" s="451"/>
      <c r="K8189" s="451"/>
    </row>
    <row r="8190" spans="1:11">
      <c r="A8190" s="450" t="s">
        <v>20893</v>
      </c>
      <c r="B8190" s="450" t="s">
        <v>13578</v>
      </c>
      <c r="C8190" s="450" t="s">
        <v>13579</v>
      </c>
      <c r="D8190" s="450" t="s">
        <v>13580</v>
      </c>
      <c r="E8190" s="450"/>
      <c r="F8190" s="450" t="s">
        <v>13582</v>
      </c>
      <c r="G8190" s="450" t="s">
        <v>22877</v>
      </c>
      <c r="H8190" s="450" t="s">
        <v>22878</v>
      </c>
      <c r="I8190" s="450" t="s">
        <v>13580</v>
      </c>
      <c r="J8190" s="450" t="s">
        <v>37180</v>
      </c>
      <c r="K8190" s="450"/>
    </row>
    <row r="8191" spans="1:11">
      <c r="A8191" s="451" t="s">
        <v>20893</v>
      </c>
      <c r="B8191" s="451" t="s">
        <v>13578</v>
      </c>
      <c r="C8191" s="451" t="s">
        <v>13579</v>
      </c>
      <c r="D8191" s="451" t="s">
        <v>13580</v>
      </c>
      <c r="E8191" s="451" t="s">
        <v>13581</v>
      </c>
      <c r="F8191" s="451" t="s">
        <v>13582</v>
      </c>
      <c r="G8191" s="451"/>
      <c r="H8191" s="451"/>
      <c r="I8191" s="451"/>
      <c r="J8191" s="451"/>
      <c r="K8191" s="451"/>
    </row>
    <row r="8192" spans="1:11">
      <c r="A8192" s="450" t="s">
        <v>20894</v>
      </c>
      <c r="B8192" s="450" t="s">
        <v>13583</v>
      </c>
      <c r="C8192" s="450" t="s">
        <v>37181</v>
      </c>
      <c r="D8192" s="450" t="s">
        <v>13585</v>
      </c>
      <c r="E8192" s="450"/>
      <c r="F8192" s="450" t="s">
        <v>13587</v>
      </c>
      <c r="G8192" s="450" t="s">
        <v>22877</v>
      </c>
      <c r="H8192" s="450" t="s">
        <v>22878</v>
      </c>
      <c r="I8192" s="450" t="s">
        <v>13585</v>
      </c>
      <c r="J8192" s="450" t="s">
        <v>37182</v>
      </c>
      <c r="K8192" s="450"/>
    </row>
    <row r="8193" spans="1:11">
      <c r="A8193" s="451" t="s">
        <v>20894</v>
      </c>
      <c r="B8193" s="451" t="s">
        <v>13583</v>
      </c>
      <c r="C8193" s="451" t="s">
        <v>13584</v>
      </c>
      <c r="D8193" s="451" t="s">
        <v>13585</v>
      </c>
      <c r="E8193" s="451" t="s">
        <v>13586</v>
      </c>
      <c r="F8193" s="451" t="s">
        <v>13587</v>
      </c>
      <c r="G8193" s="451"/>
      <c r="H8193" s="451"/>
      <c r="I8193" s="451"/>
      <c r="J8193" s="451"/>
      <c r="K8193" s="451"/>
    </row>
    <row r="8194" spans="1:11">
      <c r="A8194" s="450" t="s">
        <v>20895</v>
      </c>
      <c r="B8194" s="450" t="s">
        <v>13588</v>
      </c>
      <c r="C8194" s="450" t="s">
        <v>13589</v>
      </c>
      <c r="D8194" s="450" t="s">
        <v>13590</v>
      </c>
      <c r="E8194" s="450"/>
      <c r="F8194" s="450" t="s">
        <v>13582</v>
      </c>
      <c r="G8194" s="450" t="s">
        <v>22877</v>
      </c>
      <c r="H8194" s="450" t="s">
        <v>22878</v>
      </c>
      <c r="I8194" s="450" t="s">
        <v>37183</v>
      </c>
      <c r="J8194" s="450" t="s">
        <v>37184</v>
      </c>
      <c r="K8194" s="450"/>
    </row>
    <row r="8195" spans="1:11">
      <c r="A8195" s="451" t="s">
        <v>20895</v>
      </c>
      <c r="B8195" s="451" t="s">
        <v>13588</v>
      </c>
      <c r="C8195" s="451" t="s">
        <v>13589</v>
      </c>
      <c r="D8195" s="451" t="s">
        <v>13590</v>
      </c>
      <c r="E8195" s="451" t="s">
        <v>13591</v>
      </c>
      <c r="F8195" s="451" t="s">
        <v>13582</v>
      </c>
      <c r="G8195" s="451"/>
      <c r="H8195" s="451"/>
      <c r="I8195" s="451"/>
      <c r="J8195" s="451"/>
      <c r="K8195" s="451"/>
    </row>
    <row r="8196" spans="1:11">
      <c r="A8196" s="450" t="s">
        <v>20896</v>
      </c>
      <c r="B8196" s="450" t="s">
        <v>13592</v>
      </c>
      <c r="C8196" s="450" t="s">
        <v>13593</v>
      </c>
      <c r="D8196" s="450" t="s">
        <v>13594</v>
      </c>
      <c r="E8196" s="450"/>
      <c r="F8196" s="450" t="s">
        <v>13596</v>
      </c>
      <c r="G8196" s="450" t="s">
        <v>22877</v>
      </c>
      <c r="H8196" s="450" t="s">
        <v>22878</v>
      </c>
      <c r="I8196" s="450" t="s">
        <v>13594</v>
      </c>
      <c r="J8196" s="450" t="s">
        <v>37185</v>
      </c>
      <c r="K8196" s="450"/>
    </row>
    <row r="8197" spans="1:11">
      <c r="A8197" s="451" t="s">
        <v>20896</v>
      </c>
      <c r="B8197" s="451" t="s">
        <v>13592</v>
      </c>
      <c r="C8197" s="451" t="s">
        <v>13593</v>
      </c>
      <c r="D8197" s="451" t="s">
        <v>13594</v>
      </c>
      <c r="E8197" s="451" t="s">
        <v>13595</v>
      </c>
      <c r="F8197" s="451" t="s">
        <v>13596</v>
      </c>
      <c r="G8197" s="451"/>
      <c r="H8197" s="451"/>
      <c r="I8197" s="451"/>
      <c r="J8197" s="451"/>
      <c r="K8197" s="451"/>
    </row>
    <row r="8198" spans="1:11">
      <c r="A8198" s="450" t="s">
        <v>20897</v>
      </c>
      <c r="B8198" s="450" t="s">
        <v>13597</v>
      </c>
      <c r="C8198" s="450" t="s">
        <v>13598</v>
      </c>
      <c r="D8198" s="450" t="s">
        <v>13599</v>
      </c>
      <c r="E8198" s="450"/>
      <c r="F8198" s="450" t="s">
        <v>13246</v>
      </c>
      <c r="G8198" s="450" t="s">
        <v>22877</v>
      </c>
      <c r="H8198" s="450" t="s">
        <v>22878</v>
      </c>
      <c r="I8198" s="450" t="s">
        <v>13599</v>
      </c>
      <c r="J8198" s="450" t="s">
        <v>27586</v>
      </c>
      <c r="K8198" s="450"/>
    </row>
    <row r="8199" spans="1:11">
      <c r="A8199" s="451" t="s">
        <v>20897</v>
      </c>
      <c r="B8199" s="451" t="s">
        <v>13597</v>
      </c>
      <c r="C8199" s="451" t="s">
        <v>13598</v>
      </c>
      <c r="D8199" s="451" t="s">
        <v>13599</v>
      </c>
      <c r="E8199" s="451" t="s">
        <v>13600</v>
      </c>
      <c r="F8199" s="451" t="s">
        <v>13246</v>
      </c>
      <c r="G8199" s="451"/>
      <c r="H8199" s="451"/>
      <c r="I8199" s="451"/>
      <c r="J8199" s="451"/>
      <c r="K8199" s="451"/>
    </row>
    <row r="8200" spans="1:11">
      <c r="A8200" s="450" t="s">
        <v>20898</v>
      </c>
      <c r="B8200" s="450" t="s">
        <v>13601</v>
      </c>
      <c r="C8200" s="450" t="s">
        <v>13602</v>
      </c>
      <c r="D8200" s="450" t="s">
        <v>13603</v>
      </c>
      <c r="E8200" s="450" t="s">
        <v>13604</v>
      </c>
      <c r="F8200" s="450" t="s">
        <v>13605</v>
      </c>
      <c r="G8200" s="450"/>
      <c r="H8200" s="450"/>
      <c r="I8200" s="450"/>
      <c r="J8200" s="450"/>
      <c r="K8200" s="450"/>
    </row>
    <row r="8201" spans="1:11">
      <c r="A8201" s="451" t="s">
        <v>27587</v>
      </c>
      <c r="B8201" s="451" t="s">
        <v>13601</v>
      </c>
      <c r="C8201" s="451" t="s">
        <v>13602</v>
      </c>
      <c r="D8201" s="451" t="s">
        <v>13603</v>
      </c>
      <c r="E8201" s="451"/>
      <c r="F8201" s="451" t="s">
        <v>13605</v>
      </c>
      <c r="G8201" s="451" t="s">
        <v>22877</v>
      </c>
      <c r="H8201" s="451" t="s">
        <v>22878</v>
      </c>
      <c r="I8201" s="451" t="s">
        <v>27588</v>
      </c>
      <c r="J8201" s="451" t="s">
        <v>27589</v>
      </c>
      <c r="K8201" s="451"/>
    </row>
    <row r="8202" spans="1:11">
      <c r="A8202" s="450" t="s">
        <v>20899</v>
      </c>
      <c r="B8202" s="450" t="s">
        <v>13606</v>
      </c>
      <c r="C8202" s="450" t="s">
        <v>13607</v>
      </c>
      <c r="D8202" s="450" t="s">
        <v>13608</v>
      </c>
      <c r="E8202" s="450"/>
      <c r="F8202" s="450" t="s">
        <v>13610</v>
      </c>
      <c r="G8202" s="450" t="s">
        <v>22877</v>
      </c>
      <c r="H8202" s="450" t="s">
        <v>22878</v>
      </c>
      <c r="I8202" s="450" t="s">
        <v>37186</v>
      </c>
      <c r="J8202" s="450" t="s">
        <v>37187</v>
      </c>
      <c r="K8202" s="450"/>
    </row>
    <row r="8203" spans="1:11">
      <c r="A8203" s="451" t="s">
        <v>20899</v>
      </c>
      <c r="B8203" s="451" t="s">
        <v>13606</v>
      </c>
      <c r="C8203" s="451" t="s">
        <v>13607</v>
      </c>
      <c r="D8203" s="451" t="s">
        <v>13608</v>
      </c>
      <c r="E8203" s="451" t="s">
        <v>13609</v>
      </c>
      <c r="F8203" s="451" t="s">
        <v>13610</v>
      </c>
      <c r="G8203" s="451"/>
      <c r="H8203" s="451"/>
      <c r="I8203" s="451"/>
      <c r="J8203" s="451"/>
      <c r="K8203" s="451"/>
    </row>
    <row r="8204" spans="1:11">
      <c r="A8204" s="450" t="s">
        <v>20900</v>
      </c>
      <c r="B8204" s="450" t="s">
        <v>13611</v>
      </c>
      <c r="C8204" s="450" t="s">
        <v>5701</v>
      </c>
      <c r="D8204" s="450" t="s">
        <v>13612</v>
      </c>
      <c r="E8204" s="450"/>
      <c r="F8204" s="450" t="s">
        <v>13614</v>
      </c>
      <c r="G8204" s="450" t="s">
        <v>22877</v>
      </c>
      <c r="H8204" s="450" t="s">
        <v>22878</v>
      </c>
      <c r="I8204" s="450" t="s">
        <v>13612</v>
      </c>
      <c r="J8204" s="450" t="s">
        <v>37188</v>
      </c>
      <c r="K8204" s="450"/>
    </row>
    <row r="8205" spans="1:11">
      <c r="A8205" s="451" t="s">
        <v>20900</v>
      </c>
      <c r="B8205" s="451" t="s">
        <v>13611</v>
      </c>
      <c r="C8205" s="451" t="s">
        <v>5701</v>
      </c>
      <c r="D8205" s="451" t="s">
        <v>13612</v>
      </c>
      <c r="E8205" s="451" t="s">
        <v>13613</v>
      </c>
      <c r="F8205" s="451" t="s">
        <v>13614</v>
      </c>
      <c r="G8205" s="451"/>
      <c r="H8205" s="451"/>
      <c r="I8205" s="451"/>
      <c r="J8205" s="451"/>
      <c r="K8205" s="451"/>
    </row>
    <row r="8206" spans="1:11">
      <c r="A8206" s="450" t="s">
        <v>20901</v>
      </c>
      <c r="B8206" s="450" t="s">
        <v>13615</v>
      </c>
      <c r="C8206" s="450" t="s">
        <v>13616</v>
      </c>
      <c r="D8206" s="450" t="s">
        <v>13617</v>
      </c>
      <c r="E8206" s="450"/>
      <c r="F8206" s="450" t="s">
        <v>13619</v>
      </c>
      <c r="G8206" s="450" t="s">
        <v>22877</v>
      </c>
      <c r="H8206" s="450" t="s">
        <v>22878</v>
      </c>
      <c r="I8206" s="450" t="s">
        <v>37189</v>
      </c>
      <c r="J8206" s="450" t="s">
        <v>37190</v>
      </c>
      <c r="K8206" s="450"/>
    </row>
    <row r="8207" spans="1:11">
      <c r="A8207" s="451" t="s">
        <v>20901</v>
      </c>
      <c r="B8207" s="451" t="s">
        <v>13615</v>
      </c>
      <c r="C8207" s="451" t="s">
        <v>13616</v>
      </c>
      <c r="D8207" s="451" t="s">
        <v>13617</v>
      </c>
      <c r="E8207" s="451" t="s">
        <v>13618</v>
      </c>
      <c r="F8207" s="451" t="s">
        <v>13619</v>
      </c>
      <c r="G8207" s="451"/>
      <c r="H8207" s="451"/>
      <c r="I8207" s="451"/>
      <c r="J8207" s="451"/>
      <c r="K8207" s="451"/>
    </row>
    <row r="8208" spans="1:11">
      <c r="A8208" s="450" t="s">
        <v>20902</v>
      </c>
      <c r="B8208" s="450" t="s">
        <v>13620</v>
      </c>
      <c r="C8208" s="450" t="s">
        <v>13621</v>
      </c>
      <c r="D8208" s="450" t="s">
        <v>13622</v>
      </c>
      <c r="E8208" s="450"/>
      <c r="F8208" s="450" t="s">
        <v>13624</v>
      </c>
      <c r="G8208" s="450" t="s">
        <v>22882</v>
      </c>
      <c r="H8208" s="450" t="s">
        <v>22883</v>
      </c>
      <c r="I8208" s="450" t="s">
        <v>13622</v>
      </c>
      <c r="J8208" s="450" t="s">
        <v>37191</v>
      </c>
      <c r="K8208" s="450"/>
    </row>
    <row r="8209" spans="1:11">
      <c r="A8209" s="451" t="s">
        <v>20902</v>
      </c>
      <c r="B8209" s="451" t="s">
        <v>13620</v>
      </c>
      <c r="C8209" s="451" t="s">
        <v>13621</v>
      </c>
      <c r="D8209" s="451" t="s">
        <v>13622</v>
      </c>
      <c r="E8209" s="451" t="s">
        <v>13623</v>
      </c>
      <c r="F8209" s="451" t="s">
        <v>13624</v>
      </c>
      <c r="G8209" s="451"/>
      <c r="H8209" s="451"/>
      <c r="I8209" s="451"/>
      <c r="J8209" s="451"/>
      <c r="K8209" s="451"/>
    </row>
    <row r="8210" spans="1:11">
      <c r="A8210" s="450" t="s">
        <v>20903</v>
      </c>
      <c r="B8210" s="450" t="s">
        <v>13625</v>
      </c>
      <c r="C8210" s="450" t="s">
        <v>13626</v>
      </c>
      <c r="D8210" s="450" t="s">
        <v>13627</v>
      </c>
      <c r="E8210" s="450"/>
      <c r="F8210" s="450" t="s">
        <v>13629</v>
      </c>
      <c r="G8210" s="450" t="s">
        <v>22877</v>
      </c>
      <c r="H8210" s="450" t="s">
        <v>22878</v>
      </c>
      <c r="I8210" s="450" t="s">
        <v>13627</v>
      </c>
      <c r="J8210" s="450" t="s">
        <v>37192</v>
      </c>
      <c r="K8210" s="450"/>
    </row>
    <row r="8211" spans="1:11">
      <c r="A8211" s="451" t="s">
        <v>20903</v>
      </c>
      <c r="B8211" s="451" t="s">
        <v>13625</v>
      </c>
      <c r="C8211" s="451" t="s">
        <v>13626</v>
      </c>
      <c r="D8211" s="451" t="s">
        <v>13627</v>
      </c>
      <c r="E8211" s="451" t="s">
        <v>13628</v>
      </c>
      <c r="F8211" s="451" t="s">
        <v>13629</v>
      </c>
      <c r="G8211" s="451"/>
      <c r="H8211" s="451"/>
      <c r="I8211" s="451"/>
      <c r="J8211" s="451"/>
      <c r="K8211" s="451"/>
    </row>
    <row r="8212" spans="1:11">
      <c r="A8212" s="450" t="s">
        <v>20904</v>
      </c>
      <c r="B8212" s="450" t="s">
        <v>13630</v>
      </c>
      <c r="C8212" s="450" t="s">
        <v>13631</v>
      </c>
      <c r="D8212" s="450" t="s">
        <v>13632</v>
      </c>
      <c r="E8212" s="450"/>
      <c r="F8212" s="450" t="s">
        <v>13634</v>
      </c>
      <c r="G8212" s="450" t="s">
        <v>22877</v>
      </c>
      <c r="H8212" s="450" t="s">
        <v>22878</v>
      </c>
      <c r="I8212" s="450" t="s">
        <v>13632</v>
      </c>
      <c r="J8212" s="450" t="s">
        <v>37193</v>
      </c>
      <c r="K8212" s="450"/>
    </row>
    <row r="8213" spans="1:11">
      <c r="A8213" s="451" t="s">
        <v>20904</v>
      </c>
      <c r="B8213" s="451" t="s">
        <v>13630</v>
      </c>
      <c r="C8213" s="451" t="s">
        <v>13631</v>
      </c>
      <c r="D8213" s="451" t="s">
        <v>13632</v>
      </c>
      <c r="E8213" s="451" t="s">
        <v>13633</v>
      </c>
      <c r="F8213" s="451" t="s">
        <v>13634</v>
      </c>
      <c r="G8213" s="451"/>
      <c r="H8213" s="451"/>
      <c r="I8213" s="451"/>
      <c r="J8213" s="451"/>
      <c r="K8213" s="451"/>
    </row>
    <row r="8214" spans="1:11">
      <c r="A8214" s="450" t="s">
        <v>20905</v>
      </c>
      <c r="B8214" s="450" t="s">
        <v>13635</v>
      </c>
      <c r="C8214" s="450" t="s">
        <v>13636</v>
      </c>
      <c r="D8214" s="450"/>
      <c r="E8214" s="450"/>
      <c r="F8214" s="450"/>
      <c r="G8214" s="450" t="s">
        <v>22882</v>
      </c>
      <c r="H8214" s="450" t="s">
        <v>22883</v>
      </c>
      <c r="I8214" s="450" t="s">
        <v>27590</v>
      </c>
      <c r="J8214" s="450" t="s">
        <v>27591</v>
      </c>
      <c r="K8214" s="450"/>
    </row>
    <row r="8215" spans="1:11">
      <c r="A8215" s="451" t="s">
        <v>27592</v>
      </c>
      <c r="B8215" s="451" t="s">
        <v>27593</v>
      </c>
      <c r="C8215" s="451" t="s">
        <v>13574</v>
      </c>
      <c r="D8215" s="451"/>
      <c r="E8215" s="451"/>
      <c r="F8215" s="451"/>
      <c r="G8215" s="451" t="s">
        <v>22877</v>
      </c>
      <c r="H8215" s="451" t="s">
        <v>22878</v>
      </c>
      <c r="I8215" s="451" t="s">
        <v>13575</v>
      </c>
      <c r="J8215" s="451" t="s">
        <v>27594</v>
      </c>
      <c r="K8215" s="451"/>
    </row>
    <row r="8216" spans="1:11">
      <c r="A8216" s="450" t="s">
        <v>20906</v>
      </c>
      <c r="B8216" s="450" t="s">
        <v>13637</v>
      </c>
      <c r="C8216" s="450" t="s">
        <v>13638</v>
      </c>
      <c r="D8216" s="450" t="s">
        <v>13639</v>
      </c>
      <c r="E8216" s="450"/>
      <c r="F8216" s="450" t="s">
        <v>13641</v>
      </c>
      <c r="G8216" s="450" t="s">
        <v>22877</v>
      </c>
      <c r="H8216" s="450" t="s">
        <v>22878</v>
      </c>
      <c r="I8216" s="450" t="s">
        <v>13639</v>
      </c>
      <c r="J8216" s="450" t="s">
        <v>37194</v>
      </c>
      <c r="K8216" s="450"/>
    </row>
    <row r="8217" spans="1:11">
      <c r="A8217" s="451" t="s">
        <v>20906</v>
      </c>
      <c r="B8217" s="451" t="s">
        <v>13637</v>
      </c>
      <c r="C8217" s="451" t="s">
        <v>13638</v>
      </c>
      <c r="D8217" s="451" t="s">
        <v>13639</v>
      </c>
      <c r="E8217" s="451" t="s">
        <v>13640</v>
      </c>
      <c r="F8217" s="451" t="s">
        <v>13641</v>
      </c>
      <c r="G8217" s="451"/>
      <c r="H8217" s="451"/>
      <c r="I8217" s="451"/>
      <c r="J8217" s="451"/>
      <c r="K8217" s="451"/>
    </row>
    <row r="8218" spans="1:11">
      <c r="A8218" s="450" t="s">
        <v>20907</v>
      </c>
      <c r="B8218" s="450" t="s">
        <v>13642</v>
      </c>
      <c r="C8218" s="450" t="s">
        <v>13643</v>
      </c>
      <c r="D8218" s="450" t="s">
        <v>13644</v>
      </c>
      <c r="E8218" s="450"/>
      <c r="F8218" s="450" t="s">
        <v>13646</v>
      </c>
      <c r="G8218" s="450" t="s">
        <v>22877</v>
      </c>
      <c r="H8218" s="450" t="s">
        <v>22878</v>
      </c>
      <c r="I8218" s="450" t="s">
        <v>13644</v>
      </c>
      <c r="J8218" s="450" t="s">
        <v>37195</v>
      </c>
      <c r="K8218" s="450"/>
    </row>
    <row r="8219" spans="1:11">
      <c r="A8219" s="451" t="s">
        <v>20907</v>
      </c>
      <c r="B8219" s="451" t="s">
        <v>13642</v>
      </c>
      <c r="C8219" s="451" t="s">
        <v>13643</v>
      </c>
      <c r="D8219" s="451" t="s">
        <v>13644</v>
      </c>
      <c r="E8219" s="451" t="s">
        <v>13645</v>
      </c>
      <c r="F8219" s="451" t="s">
        <v>13646</v>
      </c>
      <c r="G8219" s="451"/>
      <c r="H8219" s="451"/>
      <c r="I8219" s="451"/>
      <c r="J8219" s="451"/>
      <c r="K8219" s="451"/>
    </row>
    <row r="8220" spans="1:11">
      <c r="A8220" s="450" t="s">
        <v>20908</v>
      </c>
      <c r="B8220" s="450" t="s">
        <v>13647</v>
      </c>
      <c r="C8220" s="450" t="s">
        <v>13648</v>
      </c>
      <c r="D8220" s="450" t="s">
        <v>13649</v>
      </c>
      <c r="E8220" s="450"/>
      <c r="F8220" s="450" t="s">
        <v>13651</v>
      </c>
      <c r="G8220" s="450" t="s">
        <v>22877</v>
      </c>
      <c r="H8220" s="450" t="s">
        <v>22878</v>
      </c>
      <c r="I8220" s="450" t="s">
        <v>13649</v>
      </c>
      <c r="J8220" s="450" t="s">
        <v>37196</v>
      </c>
      <c r="K8220" s="450"/>
    </row>
    <row r="8221" spans="1:11">
      <c r="A8221" s="451" t="s">
        <v>20908</v>
      </c>
      <c r="B8221" s="451" t="s">
        <v>13647</v>
      </c>
      <c r="C8221" s="451" t="s">
        <v>13648</v>
      </c>
      <c r="D8221" s="451" t="s">
        <v>13649</v>
      </c>
      <c r="E8221" s="451" t="s">
        <v>13650</v>
      </c>
      <c r="F8221" s="451" t="s">
        <v>13651</v>
      </c>
      <c r="G8221" s="451"/>
      <c r="H8221" s="451"/>
      <c r="I8221" s="451"/>
      <c r="J8221" s="451"/>
      <c r="K8221" s="451"/>
    </row>
    <row r="8222" spans="1:11">
      <c r="A8222" s="450" t="s">
        <v>20909</v>
      </c>
      <c r="B8222" s="450" t="s">
        <v>27595</v>
      </c>
      <c r="C8222" s="450" t="s">
        <v>13653</v>
      </c>
      <c r="D8222" s="450" t="s">
        <v>13654</v>
      </c>
      <c r="E8222" s="450"/>
      <c r="F8222" s="450" t="s">
        <v>13656</v>
      </c>
      <c r="G8222" s="450" t="s">
        <v>22877</v>
      </c>
      <c r="H8222" s="450" t="s">
        <v>22878</v>
      </c>
      <c r="I8222" s="450" t="s">
        <v>13654</v>
      </c>
      <c r="J8222" s="450" t="s">
        <v>27596</v>
      </c>
      <c r="K8222" s="450"/>
    </row>
    <row r="8223" spans="1:11">
      <c r="A8223" s="451" t="s">
        <v>20909</v>
      </c>
      <c r="B8223" s="451" t="s">
        <v>13652</v>
      </c>
      <c r="C8223" s="451" t="s">
        <v>13653</v>
      </c>
      <c r="D8223" s="451" t="s">
        <v>13654</v>
      </c>
      <c r="E8223" s="451" t="s">
        <v>13655</v>
      </c>
      <c r="F8223" s="451" t="s">
        <v>13656</v>
      </c>
      <c r="G8223" s="451"/>
      <c r="H8223" s="451"/>
      <c r="I8223" s="451"/>
      <c r="J8223" s="451"/>
      <c r="K8223" s="451"/>
    </row>
    <row r="8224" spans="1:11">
      <c r="A8224" s="450" t="s">
        <v>20910</v>
      </c>
      <c r="B8224" s="450" t="s">
        <v>13657</v>
      </c>
      <c r="C8224" s="450" t="s">
        <v>13658</v>
      </c>
      <c r="D8224" s="450" t="s">
        <v>13659</v>
      </c>
      <c r="E8224" s="450"/>
      <c r="F8224" s="450" t="s">
        <v>37197</v>
      </c>
      <c r="G8224" s="450" t="s">
        <v>22877</v>
      </c>
      <c r="H8224" s="450" t="s">
        <v>22878</v>
      </c>
      <c r="I8224" s="450" t="s">
        <v>13659</v>
      </c>
      <c r="J8224" s="450" t="s">
        <v>37198</v>
      </c>
      <c r="K8224" s="450"/>
    </row>
    <row r="8225" spans="1:11">
      <c r="A8225" s="451" t="s">
        <v>20910</v>
      </c>
      <c r="B8225" s="451" t="s">
        <v>13657</v>
      </c>
      <c r="C8225" s="451" t="s">
        <v>13658</v>
      </c>
      <c r="D8225" s="451" t="s">
        <v>13659</v>
      </c>
      <c r="E8225" s="451" t="s">
        <v>13660</v>
      </c>
      <c r="F8225" s="451" t="s">
        <v>13661</v>
      </c>
      <c r="G8225" s="451"/>
      <c r="H8225" s="451"/>
      <c r="I8225" s="451"/>
      <c r="J8225" s="451"/>
      <c r="K8225" s="451"/>
    </row>
    <row r="8226" spans="1:11">
      <c r="A8226" s="450" t="s">
        <v>20911</v>
      </c>
      <c r="B8226" s="450" t="s">
        <v>13662</v>
      </c>
      <c r="C8226" s="450" t="s">
        <v>13663</v>
      </c>
      <c r="D8226" s="450" t="s">
        <v>13664</v>
      </c>
      <c r="E8226" s="450"/>
      <c r="F8226" s="450" t="s">
        <v>13666</v>
      </c>
      <c r="G8226" s="450" t="s">
        <v>22877</v>
      </c>
      <c r="H8226" s="450" t="s">
        <v>22878</v>
      </c>
      <c r="I8226" s="450" t="s">
        <v>13664</v>
      </c>
      <c r="J8226" s="450" t="s">
        <v>37199</v>
      </c>
      <c r="K8226" s="450"/>
    </row>
    <row r="8227" spans="1:11">
      <c r="A8227" s="451" t="s">
        <v>20911</v>
      </c>
      <c r="B8227" s="451" t="s">
        <v>13662</v>
      </c>
      <c r="C8227" s="451" t="s">
        <v>13663</v>
      </c>
      <c r="D8227" s="451" t="s">
        <v>13664</v>
      </c>
      <c r="E8227" s="451" t="s">
        <v>13665</v>
      </c>
      <c r="F8227" s="451" t="s">
        <v>13666</v>
      </c>
      <c r="G8227" s="451"/>
      <c r="H8227" s="451"/>
      <c r="I8227" s="451"/>
      <c r="J8227" s="451"/>
      <c r="K8227" s="451"/>
    </row>
    <row r="8228" spans="1:11">
      <c r="A8228" s="450" t="s">
        <v>20912</v>
      </c>
      <c r="B8228" s="450" t="s">
        <v>13667</v>
      </c>
      <c r="C8228" s="450" t="s">
        <v>13668</v>
      </c>
      <c r="D8228" s="450" t="s">
        <v>13669</v>
      </c>
      <c r="E8228" s="450"/>
      <c r="F8228" s="450" t="s">
        <v>13671</v>
      </c>
      <c r="G8228" s="450" t="s">
        <v>22877</v>
      </c>
      <c r="H8228" s="450" t="s">
        <v>22878</v>
      </c>
      <c r="I8228" s="450" t="s">
        <v>37200</v>
      </c>
      <c r="J8228" s="450" t="s">
        <v>37201</v>
      </c>
      <c r="K8228" s="450"/>
    </row>
    <row r="8229" spans="1:11">
      <c r="A8229" s="451" t="s">
        <v>20912</v>
      </c>
      <c r="B8229" s="451" t="s">
        <v>13667</v>
      </c>
      <c r="C8229" s="451" t="s">
        <v>13668</v>
      </c>
      <c r="D8229" s="451" t="s">
        <v>13669</v>
      </c>
      <c r="E8229" s="451" t="s">
        <v>13670</v>
      </c>
      <c r="F8229" s="451" t="s">
        <v>13671</v>
      </c>
      <c r="G8229" s="451"/>
      <c r="H8229" s="451"/>
      <c r="I8229" s="451"/>
      <c r="J8229" s="451"/>
      <c r="K8229" s="451"/>
    </row>
    <row r="8230" spans="1:11">
      <c r="A8230" s="450" t="s">
        <v>20913</v>
      </c>
      <c r="B8230" s="450" t="s">
        <v>13672</v>
      </c>
      <c r="C8230" s="450" t="s">
        <v>13673</v>
      </c>
      <c r="D8230" s="450" t="s">
        <v>13674</v>
      </c>
      <c r="E8230" s="450"/>
      <c r="F8230" s="450" t="s">
        <v>13676</v>
      </c>
      <c r="G8230" s="450" t="s">
        <v>22877</v>
      </c>
      <c r="H8230" s="450" t="s">
        <v>22878</v>
      </c>
      <c r="I8230" s="450" t="s">
        <v>13674</v>
      </c>
      <c r="J8230" s="450" t="s">
        <v>37202</v>
      </c>
      <c r="K8230" s="450"/>
    </row>
    <row r="8231" spans="1:11">
      <c r="A8231" s="451" t="s">
        <v>20913</v>
      </c>
      <c r="B8231" s="451" t="s">
        <v>13672</v>
      </c>
      <c r="C8231" s="451" t="s">
        <v>13673</v>
      </c>
      <c r="D8231" s="451" t="s">
        <v>13674</v>
      </c>
      <c r="E8231" s="451" t="s">
        <v>13675</v>
      </c>
      <c r="F8231" s="451" t="s">
        <v>13676</v>
      </c>
      <c r="G8231" s="451"/>
      <c r="H8231" s="451"/>
      <c r="I8231" s="451"/>
      <c r="J8231" s="451"/>
      <c r="K8231" s="451"/>
    </row>
    <row r="8232" spans="1:11">
      <c r="A8232" s="450" t="s">
        <v>20914</v>
      </c>
      <c r="B8232" s="450" t="s">
        <v>13677</v>
      </c>
      <c r="C8232" s="450" t="s">
        <v>13668</v>
      </c>
      <c r="D8232" s="450" t="s">
        <v>13678</v>
      </c>
      <c r="E8232" s="450"/>
      <c r="F8232" s="450" t="s">
        <v>13671</v>
      </c>
      <c r="G8232" s="450" t="s">
        <v>22877</v>
      </c>
      <c r="H8232" s="450" t="s">
        <v>22878</v>
      </c>
      <c r="I8232" s="450" t="s">
        <v>13678</v>
      </c>
      <c r="J8232" s="450" t="s">
        <v>37203</v>
      </c>
      <c r="K8232" s="450"/>
    </row>
    <row r="8233" spans="1:11">
      <c r="A8233" s="451" t="s">
        <v>20914</v>
      </c>
      <c r="B8233" s="451" t="s">
        <v>13677</v>
      </c>
      <c r="C8233" s="451" t="s">
        <v>13668</v>
      </c>
      <c r="D8233" s="451" t="s">
        <v>13678</v>
      </c>
      <c r="E8233" s="451" t="s">
        <v>13679</v>
      </c>
      <c r="F8233" s="451" t="s">
        <v>13671</v>
      </c>
      <c r="G8233" s="451"/>
      <c r="H8233" s="451"/>
      <c r="I8233" s="451"/>
      <c r="J8233" s="451"/>
      <c r="K8233" s="451"/>
    </row>
    <row r="8234" spans="1:11">
      <c r="A8234" s="450" t="s">
        <v>20915</v>
      </c>
      <c r="B8234" s="450" t="s">
        <v>13680</v>
      </c>
      <c r="C8234" s="450" t="s">
        <v>13681</v>
      </c>
      <c r="D8234" s="450" t="s">
        <v>13682</v>
      </c>
      <c r="E8234" s="450"/>
      <c r="F8234" s="450" t="s">
        <v>13684</v>
      </c>
      <c r="G8234" s="450" t="s">
        <v>22877</v>
      </c>
      <c r="H8234" s="450" t="s">
        <v>22878</v>
      </c>
      <c r="I8234" s="450" t="s">
        <v>13682</v>
      </c>
      <c r="J8234" s="450" t="s">
        <v>37204</v>
      </c>
      <c r="K8234" s="450"/>
    </row>
    <row r="8235" spans="1:11">
      <c r="A8235" s="451" t="s">
        <v>20915</v>
      </c>
      <c r="B8235" s="451" t="s">
        <v>13680</v>
      </c>
      <c r="C8235" s="451" t="s">
        <v>13681</v>
      </c>
      <c r="D8235" s="451" t="s">
        <v>13682</v>
      </c>
      <c r="E8235" s="451" t="s">
        <v>13683</v>
      </c>
      <c r="F8235" s="451" t="s">
        <v>13684</v>
      </c>
      <c r="G8235" s="451"/>
      <c r="H8235" s="451"/>
      <c r="I8235" s="451"/>
      <c r="J8235" s="451"/>
      <c r="K8235" s="451"/>
    </row>
    <row r="8236" spans="1:11">
      <c r="A8236" s="450" t="s">
        <v>20916</v>
      </c>
      <c r="B8236" s="450" t="s">
        <v>13685</v>
      </c>
      <c r="C8236" s="450" t="s">
        <v>13686</v>
      </c>
      <c r="D8236" s="450" t="s">
        <v>13687</v>
      </c>
      <c r="E8236" s="450"/>
      <c r="F8236" s="450" t="s">
        <v>13689</v>
      </c>
      <c r="G8236" s="450" t="s">
        <v>22877</v>
      </c>
      <c r="H8236" s="450" t="s">
        <v>22878</v>
      </c>
      <c r="I8236" s="450" t="s">
        <v>37205</v>
      </c>
      <c r="J8236" s="450" t="s">
        <v>37206</v>
      </c>
      <c r="K8236" s="450"/>
    </row>
    <row r="8237" spans="1:11">
      <c r="A8237" s="451" t="s">
        <v>20916</v>
      </c>
      <c r="B8237" s="451" t="s">
        <v>13685</v>
      </c>
      <c r="C8237" s="451" t="s">
        <v>13686</v>
      </c>
      <c r="D8237" s="451" t="s">
        <v>13687</v>
      </c>
      <c r="E8237" s="451" t="s">
        <v>13688</v>
      </c>
      <c r="F8237" s="451" t="s">
        <v>13689</v>
      </c>
      <c r="G8237" s="451"/>
      <c r="H8237" s="451"/>
      <c r="I8237" s="451"/>
      <c r="J8237" s="451"/>
      <c r="K8237" s="451"/>
    </row>
    <row r="8238" spans="1:11">
      <c r="A8238" s="450" t="s">
        <v>20917</v>
      </c>
      <c r="B8238" s="450" t="s">
        <v>13690</v>
      </c>
      <c r="C8238" s="450" t="s">
        <v>13691</v>
      </c>
      <c r="D8238" s="450" t="s">
        <v>13692</v>
      </c>
      <c r="E8238" s="450"/>
      <c r="F8238" s="450" t="s">
        <v>13694</v>
      </c>
      <c r="G8238" s="450" t="s">
        <v>22877</v>
      </c>
      <c r="H8238" s="450" t="s">
        <v>22878</v>
      </c>
      <c r="I8238" s="450" t="s">
        <v>37207</v>
      </c>
      <c r="J8238" s="450" t="s">
        <v>37208</v>
      </c>
      <c r="K8238" s="450"/>
    </row>
    <row r="8239" spans="1:11">
      <c r="A8239" s="451" t="s">
        <v>20917</v>
      </c>
      <c r="B8239" s="451" t="s">
        <v>13690</v>
      </c>
      <c r="C8239" s="451" t="s">
        <v>13691</v>
      </c>
      <c r="D8239" s="451" t="s">
        <v>13692</v>
      </c>
      <c r="E8239" s="451" t="s">
        <v>13693</v>
      </c>
      <c r="F8239" s="451" t="s">
        <v>13694</v>
      </c>
      <c r="G8239" s="451"/>
      <c r="H8239" s="451"/>
      <c r="I8239" s="451"/>
      <c r="J8239" s="451"/>
      <c r="K8239" s="451"/>
    </row>
    <row r="8240" spans="1:11">
      <c r="A8240" s="450" t="s">
        <v>20918</v>
      </c>
      <c r="B8240" s="450" t="s">
        <v>13695</v>
      </c>
      <c r="C8240" s="450" t="s">
        <v>13696</v>
      </c>
      <c r="D8240" s="450" t="s">
        <v>13697</v>
      </c>
      <c r="E8240" s="450"/>
      <c r="F8240" s="450" t="s">
        <v>13699</v>
      </c>
      <c r="G8240" s="450" t="s">
        <v>22882</v>
      </c>
      <c r="H8240" s="450" t="s">
        <v>22883</v>
      </c>
      <c r="I8240" s="450" t="s">
        <v>13697</v>
      </c>
      <c r="J8240" s="450" t="s">
        <v>37209</v>
      </c>
      <c r="K8240" s="450"/>
    </row>
    <row r="8241" spans="1:11">
      <c r="A8241" s="451" t="s">
        <v>20918</v>
      </c>
      <c r="B8241" s="451" t="s">
        <v>13695</v>
      </c>
      <c r="C8241" s="451" t="s">
        <v>13696</v>
      </c>
      <c r="D8241" s="451" t="s">
        <v>13697</v>
      </c>
      <c r="E8241" s="451" t="s">
        <v>13698</v>
      </c>
      <c r="F8241" s="451" t="s">
        <v>13699</v>
      </c>
      <c r="G8241" s="451"/>
      <c r="H8241" s="451"/>
      <c r="I8241" s="451"/>
      <c r="J8241" s="451"/>
      <c r="K8241" s="451"/>
    </row>
    <row r="8242" spans="1:11">
      <c r="A8242" s="450" t="s">
        <v>20919</v>
      </c>
      <c r="B8242" s="450" t="s">
        <v>13700</v>
      </c>
      <c r="C8242" s="450" t="s">
        <v>13701</v>
      </c>
      <c r="D8242" s="450" t="s">
        <v>13702</v>
      </c>
      <c r="E8242" s="450"/>
      <c r="F8242" s="450" t="s">
        <v>13704</v>
      </c>
      <c r="G8242" s="450" t="s">
        <v>22877</v>
      </c>
      <c r="H8242" s="450" t="s">
        <v>22878</v>
      </c>
      <c r="I8242" s="450" t="s">
        <v>13702</v>
      </c>
      <c r="J8242" s="450" t="s">
        <v>37210</v>
      </c>
      <c r="K8242" s="450"/>
    </row>
    <row r="8243" spans="1:11">
      <c r="A8243" s="451" t="s">
        <v>20919</v>
      </c>
      <c r="B8243" s="451" t="s">
        <v>13700</v>
      </c>
      <c r="C8243" s="451" t="s">
        <v>13701</v>
      </c>
      <c r="D8243" s="451" t="s">
        <v>13702</v>
      </c>
      <c r="E8243" s="451" t="s">
        <v>13703</v>
      </c>
      <c r="F8243" s="451" t="s">
        <v>13704</v>
      </c>
      <c r="G8243" s="451"/>
      <c r="H8243" s="451"/>
      <c r="I8243" s="451"/>
      <c r="J8243" s="451"/>
      <c r="K8243" s="451"/>
    </row>
    <row r="8244" spans="1:11">
      <c r="A8244" s="450" t="s">
        <v>20920</v>
      </c>
      <c r="B8244" s="450" t="s">
        <v>13705</v>
      </c>
      <c r="C8244" s="450" t="s">
        <v>13706</v>
      </c>
      <c r="D8244" s="450" t="s">
        <v>13707</v>
      </c>
      <c r="E8244" s="450"/>
      <c r="F8244" s="450" t="s">
        <v>13709</v>
      </c>
      <c r="G8244" s="450" t="s">
        <v>22877</v>
      </c>
      <c r="H8244" s="450" t="s">
        <v>22878</v>
      </c>
      <c r="I8244" s="450" t="s">
        <v>13707</v>
      </c>
      <c r="J8244" s="450" t="s">
        <v>37211</v>
      </c>
      <c r="K8244" s="450"/>
    </row>
    <row r="8245" spans="1:11">
      <c r="A8245" s="451" t="s">
        <v>20920</v>
      </c>
      <c r="B8245" s="451" t="s">
        <v>13705</v>
      </c>
      <c r="C8245" s="451" t="s">
        <v>13706</v>
      </c>
      <c r="D8245" s="451" t="s">
        <v>13707</v>
      </c>
      <c r="E8245" s="451" t="s">
        <v>13708</v>
      </c>
      <c r="F8245" s="451" t="s">
        <v>13709</v>
      </c>
      <c r="G8245" s="451"/>
      <c r="H8245" s="451"/>
      <c r="I8245" s="451"/>
      <c r="J8245" s="451"/>
      <c r="K8245" s="451"/>
    </row>
    <row r="8246" spans="1:11">
      <c r="A8246" s="450" t="s">
        <v>20921</v>
      </c>
      <c r="B8246" s="450" t="s">
        <v>27597</v>
      </c>
      <c r="C8246" s="450" t="s">
        <v>13711</v>
      </c>
      <c r="D8246" s="450" t="s">
        <v>13712</v>
      </c>
      <c r="E8246" s="450"/>
      <c r="F8246" s="450" t="s">
        <v>13714</v>
      </c>
      <c r="G8246" s="450" t="s">
        <v>22877</v>
      </c>
      <c r="H8246" s="450" t="s">
        <v>22878</v>
      </c>
      <c r="I8246" s="450" t="s">
        <v>13712</v>
      </c>
      <c r="J8246" s="450" t="s">
        <v>27598</v>
      </c>
      <c r="K8246" s="450"/>
    </row>
    <row r="8247" spans="1:11">
      <c r="A8247" s="451" t="s">
        <v>20921</v>
      </c>
      <c r="B8247" s="451" t="s">
        <v>13710</v>
      </c>
      <c r="C8247" s="451" t="s">
        <v>13711</v>
      </c>
      <c r="D8247" s="451" t="s">
        <v>13712</v>
      </c>
      <c r="E8247" s="451" t="s">
        <v>13713</v>
      </c>
      <c r="F8247" s="451" t="s">
        <v>13714</v>
      </c>
      <c r="G8247" s="451"/>
      <c r="H8247" s="451"/>
      <c r="I8247" s="451"/>
      <c r="J8247" s="451"/>
      <c r="K8247" s="451"/>
    </row>
    <row r="8248" spans="1:11">
      <c r="A8248" s="450" t="s">
        <v>20922</v>
      </c>
      <c r="B8248" s="450" t="s">
        <v>13715</v>
      </c>
      <c r="C8248" s="450" t="s">
        <v>13716</v>
      </c>
      <c r="D8248" s="450" t="s">
        <v>13717</v>
      </c>
      <c r="E8248" s="450"/>
      <c r="F8248" s="450" t="s">
        <v>13719</v>
      </c>
      <c r="G8248" s="450" t="s">
        <v>22877</v>
      </c>
      <c r="H8248" s="450" t="s">
        <v>22878</v>
      </c>
      <c r="I8248" s="450" t="s">
        <v>13717</v>
      </c>
      <c r="J8248" s="450" t="s">
        <v>37212</v>
      </c>
      <c r="K8248" s="450"/>
    </row>
    <row r="8249" spans="1:11">
      <c r="A8249" s="451" t="s">
        <v>20922</v>
      </c>
      <c r="B8249" s="451" t="s">
        <v>13715</v>
      </c>
      <c r="C8249" s="451" t="s">
        <v>13716</v>
      </c>
      <c r="D8249" s="451" t="s">
        <v>13717</v>
      </c>
      <c r="E8249" s="451" t="s">
        <v>13718</v>
      </c>
      <c r="F8249" s="451" t="s">
        <v>13719</v>
      </c>
      <c r="G8249" s="451"/>
      <c r="H8249" s="451"/>
      <c r="I8249" s="451"/>
      <c r="J8249" s="451"/>
      <c r="K8249" s="451"/>
    </row>
    <row r="8250" spans="1:11">
      <c r="A8250" s="450" t="s">
        <v>20923</v>
      </c>
      <c r="B8250" s="450" t="s">
        <v>13720</v>
      </c>
      <c r="C8250" s="450" t="s">
        <v>13721</v>
      </c>
      <c r="D8250" s="450" t="s">
        <v>13722</v>
      </c>
      <c r="E8250" s="450"/>
      <c r="F8250" s="450" t="s">
        <v>13724</v>
      </c>
      <c r="G8250" s="450" t="s">
        <v>22877</v>
      </c>
      <c r="H8250" s="450" t="s">
        <v>22878</v>
      </c>
      <c r="I8250" s="450" t="s">
        <v>13722</v>
      </c>
      <c r="J8250" s="450" t="s">
        <v>27599</v>
      </c>
      <c r="K8250" s="450"/>
    </row>
    <row r="8251" spans="1:11">
      <c r="A8251" s="451" t="s">
        <v>20923</v>
      </c>
      <c r="B8251" s="451" t="s">
        <v>13720</v>
      </c>
      <c r="C8251" s="451" t="s">
        <v>13721</v>
      </c>
      <c r="D8251" s="451" t="s">
        <v>13722</v>
      </c>
      <c r="E8251" s="451" t="s">
        <v>13723</v>
      </c>
      <c r="F8251" s="451" t="s">
        <v>13724</v>
      </c>
      <c r="G8251" s="451"/>
      <c r="H8251" s="451"/>
      <c r="I8251" s="451"/>
      <c r="J8251" s="451"/>
      <c r="K8251" s="451"/>
    </row>
    <row r="8252" spans="1:11">
      <c r="A8252" s="450" t="s">
        <v>20924</v>
      </c>
      <c r="B8252" s="450" t="s">
        <v>13725</v>
      </c>
      <c r="C8252" s="450" t="s">
        <v>13726</v>
      </c>
      <c r="D8252" s="450" t="s">
        <v>13727</v>
      </c>
      <c r="E8252" s="450"/>
      <c r="F8252" s="450" t="s">
        <v>13729</v>
      </c>
      <c r="G8252" s="450" t="s">
        <v>22877</v>
      </c>
      <c r="H8252" s="450" t="s">
        <v>22878</v>
      </c>
      <c r="I8252" s="450"/>
      <c r="J8252" s="450" t="s">
        <v>37213</v>
      </c>
      <c r="K8252" s="450"/>
    </row>
    <row r="8253" spans="1:11">
      <c r="A8253" s="451" t="s">
        <v>20924</v>
      </c>
      <c r="B8253" s="451" t="s">
        <v>13725</v>
      </c>
      <c r="C8253" s="451" t="s">
        <v>13726</v>
      </c>
      <c r="D8253" s="451" t="s">
        <v>13727</v>
      </c>
      <c r="E8253" s="451" t="s">
        <v>13728</v>
      </c>
      <c r="F8253" s="451" t="s">
        <v>13729</v>
      </c>
      <c r="G8253" s="451"/>
      <c r="H8253" s="451"/>
      <c r="I8253" s="451"/>
      <c r="J8253" s="451"/>
      <c r="K8253" s="451"/>
    </row>
    <row r="8254" spans="1:11">
      <c r="A8254" s="450" t="s">
        <v>20925</v>
      </c>
      <c r="B8254" s="450" t="s">
        <v>13730</v>
      </c>
      <c r="C8254" s="450" t="s">
        <v>13731</v>
      </c>
      <c r="D8254" s="450" t="s">
        <v>13732</v>
      </c>
      <c r="E8254" s="450"/>
      <c r="F8254" s="450" t="s">
        <v>13734</v>
      </c>
      <c r="G8254" s="450" t="s">
        <v>22877</v>
      </c>
      <c r="H8254" s="450" t="s">
        <v>22878</v>
      </c>
      <c r="I8254" s="450" t="s">
        <v>13732</v>
      </c>
      <c r="J8254" s="450" t="s">
        <v>37214</v>
      </c>
      <c r="K8254" s="450"/>
    </row>
    <row r="8255" spans="1:11">
      <c r="A8255" s="451" t="s">
        <v>20925</v>
      </c>
      <c r="B8255" s="451" t="s">
        <v>13730</v>
      </c>
      <c r="C8255" s="451" t="s">
        <v>13731</v>
      </c>
      <c r="D8255" s="451" t="s">
        <v>13732</v>
      </c>
      <c r="E8255" s="451" t="s">
        <v>13733</v>
      </c>
      <c r="F8255" s="451" t="s">
        <v>13734</v>
      </c>
      <c r="G8255" s="451"/>
      <c r="H8255" s="451"/>
      <c r="I8255" s="451"/>
      <c r="J8255" s="451"/>
      <c r="K8255" s="451"/>
    </row>
    <row r="8256" spans="1:11">
      <c r="A8256" s="450" t="s">
        <v>20926</v>
      </c>
      <c r="B8256" s="450" t="s">
        <v>13735</v>
      </c>
      <c r="C8256" s="450" t="s">
        <v>13736</v>
      </c>
      <c r="D8256" s="450" t="s">
        <v>13737</v>
      </c>
      <c r="E8256" s="450"/>
      <c r="F8256" s="450" t="s">
        <v>13739</v>
      </c>
      <c r="G8256" s="450" t="s">
        <v>22877</v>
      </c>
      <c r="H8256" s="450" t="s">
        <v>22878</v>
      </c>
      <c r="I8256" s="450" t="s">
        <v>37215</v>
      </c>
      <c r="J8256" s="450" t="s">
        <v>37216</v>
      </c>
      <c r="K8256" s="450"/>
    </row>
    <row r="8257" spans="1:11">
      <c r="A8257" s="451" t="s">
        <v>20926</v>
      </c>
      <c r="B8257" s="451" t="s">
        <v>13735</v>
      </c>
      <c r="C8257" s="451" t="s">
        <v>13736</v>
      </c>
      <c r="D8257" s="451" t="s">
        <v>13737</v>
      </c>
      <c r="E8257" s="451" t="s">
        <v>13738</v>
      </c>
      <c r="F8257" s="451" t="s">
        <v>13739</v>
      </c>
      <c r="G8257" s="451"/>
      <c r="H8257" s="451"/>
      <c r="I8257" s="451"/>
      <c r="J8257" s="451"/>
      <c r="K8257" s="451"/>
    </row>
    <row r="8258" spans="1:11">
      <c r="A8258" s="450" t="s">
        <v>20927</v>
      </c>
      <c r="B8258" s="450" t="s">
        <v>13740</v>
      </c>
      <c r="C8258" s="450" t="s">
        <v>13741</v>
      </c>
      <c r="D8258" s="450" t="s">
        <v>13742</v>
      </c>
      <c r="E8258" s="450"/>
      <c r="F8258" s="450" t="s">
        <v>37217</v>
      </c>
      <c r="G8258" s="450" t="s">
        <v>22877</v>
      </c>
      <c r="H8258" s="450" t="s">
        <v>22878</v>
      </c>
      <c r="I8258" s="450" t="s">
        <v>13742</v>
      </c>
      <c r="J8258" s="450" t="s">
        <v>37218</v>
      </c>
      <c r="K8258" s="450"/>
    </row>
    <row r="8259" spans="1:11">
      <c r="A8259" s="451" t="s">
        <v>20927</v>
      </c>
      <c r="B8259" s="451" t="s">
        <v>13740</v>
      </c>
      <c r="C8259" s="451" t="s">
        <v>13741</v>
      </c>
      <c r="D8259" s="451" t="s">
        <v>13742</v>
      </c>
      <c r="E8259" s="451" t="s">
        <v>13743</v>
      </c>
      <c r="F8259" s="451" t="s">
        <v>13744</v>
      </c>
      <c r="G8259" s="451"/>
      <c r="H8259" s="451"/>
      <c r="I8259" s="451"/>
      <c r="J8259" s="451"/>
      <c r="K8259" s="451"/>
    </row>
    <row r="8260" spans="1:11">
      <c r="A8260" s="450" t="s">
        <v>20928</v>
      </c>
      <c r="B8260" s="450" t="s">
        <v>27600</v>
      </c>
      <c r="C8260" s="450" t="s">
        <v>13746</v>
      </c>
      <c r="D8260" s="450" t="s">
        <v>13747</v>
      </c>
      <c r="E8260" s="450"/>
      <c r="F8260" s="450" t="s">
        <v>13749</v>
      </c>
      <c r="G8260" s="450" t="s">
        <v>22877</v>
      </c>
      <c r="H8260" s="450" t="s">
        <v>22878</v>
      </c>
      <c r="I8260" s="450" t="s">
        <v>13747</v>
      </c>
      <c r="J8260" s="450" t="s">
        <v>27601</v>
      </c>
      <c r="K8260" s="450"/>
    </row>
    <row r="8261" spans="1:11">
      <c r="A8261" s="451" t="s">
        <v>20928</v>
      </c>
      <c r="B8261" s="451" t="s">
        <v>13745</v>
      </c>
      <c r="C8261" s="451" t="s">
        <v>13746</v>
      </c>
      <c r="D8261" s="451" t="s">
        <v>13747</v>
      </c>
      <c r="E8261" s="451" t="s">
        <v>13748</v>
      </c>
      <c r="F8261" s="451" t="s">
        <v>13749</v>
      </c>
      <c r="G8261" s="451"/>
      <c r="H8261" s="451"/>
      <c r="I8261" s="451"/>
      <c r="J8261" s="451"/>
      <c r="K8261" s="451"/>
    </row>
    <row r="8262" spans="1:11">
      <c r="A8262" s="450" t="s">
        <v>20929</v>
      </c>
      <c r="B8262" s="450" t="s">
        <v>13750</v>
      </c>
      <c r="C8262" s="450" t="s">
        <v>13751</v>
      </c>
      <c r="D8262" s="450" t="s">
        <v>13752</v>
      </c>
      <c r="E8262" s="450"/>
      <c r="F8262" s="450" t="s">
        <v>13754</v>
      </c>
      <c r="G8262" s="450" t="s">
        <v>22882</v>
      </c>
      <c r="H8262" s="450" t="s">
        <v>22883</v>
      </c>
      <c r="I8262" s="450" t="s">
        <v>13752</v>
      </c>
      <c r="J8262" s="450" t="s">
        <v>37219</v>
      </c>
      <c r="K8262" s="450"/>
    </row>
    <row r="8263" spans="1:11">
      <c r="A8263" s="451" t="s">
        <v>20929</v>
      </c>
      <c r="B8263" s="451" t="s">
        <v>13750</v>
      </c>
      <c r="C8263" s="451" t="s">
        <v>13751</v>
      </c>
      <c r="D8263" s="451" t="s">
        <v>13752</v>
      </c>
      <c r="E8263" s="451" t="s">
        <v>13753</v>
      </c>
      <c r="F8263" s="451" t="s">
        <v>13754</v>
      </c>
      <c r="G8263" s="451"/>
      <c r="H8263" s="451"/>
      <c r="I8263" s="451"/>
      <c r="J8263" s="451"/>
      <c r="K8263" s="451"/>
    </row>
    <row r="8264" spans="1:11">
      <c r="A8264" s="450" t="s">
        <v>20930</v>
      </c>
      <c r="B8264" s="450" t="s">
        <v>13755</v>
      </c>
      <c r="C8264" s="450" t="s">
        <v>13756</v>
      </c>
      <c r="D8264" s="450" t="s">
        <v>13757</v>
      </c>
      <c r="E8264" s="450"/>
      <c r="F8264" s="450" t="s">
        <v>13749</v>
      </c>
      <c r="G8264" s="450" t="s">
        <v>22877</v>
      </c>
      <c r="H8264" s="450" t="s">
        <v>22878</v>
      </c>
      <c r="I8264" s="450" t="s">
        <v>13757</v>
      </c>
      <c r="J8264" s="450" t="s">
        <v>37220</v>
      </c>
      <c r="K8264" s="450"/>
    </row>
    <row r="8265" spans="1:11">
      <c r="A8265" s="451" t="s">
        <v>20930</v>
      </c>
      <c r="B8265" s="451" t="s">
        <v>13755</v>
      </c>
      <c r="C8265" s="451" t="s">
        <v>13756</v>
      </c>
      <c r="D8265" s="451" t="s">
        <v>13757</v>
      </c>
      <c r="E8265" s="451" t="s">
        <v>13758</v>
      </c>
      <c r="F8265" s="451" t="s">
        <v>13749</v>
      </c>
      <c r="G8265" s="451"/>
      <c r="H8265" s="451"/>
      <c r="I8265" s="451"/>
      <c r="J8265" s="451"/>
      <c r="K8265" s="451"/>
    </row>
    <row r="8266" spans="1:11">
      <c r="A8266" s="450" t="s">
        <v>20931</v>
      </c>
      <c r="B8266" s="450" t="s">
        <v>27602</v>
      </c>
      <c r="C8266" s="450" t="s">
        <v>13760</v>
      </c>
      <c r="D8266" s="450" t="s">
        <v>13761</v>
      </c>
      <c r="E8266" s="450"/>
      <c r="F8266" s="450" t="s">
        <v>13763</v>
      </c>
      <c r="G8266" s="450" t="s">
        <v>22877</v>
      </c>
      <c r="H8266" s="450" t="s">
        <v>22878</v>
      </c>
      <c r="I8266" s="450" t="s">
        <v>13761</v>
      </c>
      <c r="J8266" s="450" t="s">
        <v>27603</v>
      </c>
      <c r="K8266" s="450"/>
    </row>
    <row r="8267" spans="1:11">
      <c r="A8267" s="451" t="s">
        <v>20931</v>
      </c>
      <c r="B8267" s="451" t="s">
        <v>13759</v>
      </c>
      <c r="C8267" s="451" t="s">
        <v>13760</v>
      </c>
      <c r="D8267" s="451" t="s">
        <v>13761</v>
      </c>
      <c r="E8267" s="451" t="s">
        <v>13762</v>
      </c>
      <c r="F8267" s="451" t="s">
        <v>13763</v>
      </c>
      <c r="G8267" s="451"/>
      <c r="H8267" s="451"/>
      <c r="I8267" s="451"/>
      <c r="J8267" s="451"/>
      <c r="K8267" s="451"/>
    </row>
    <row r="8268" spans="1:11">
      <c r="A8268" s="450" t="s">
        <v>20932</v>
      </c>
      <c r="B8268" s="450" t="s">
        <v>13764</v>
      </c>
      <c r="C8268" s="450" t="s">
        <v>4059</v>
      </c>
      <c r="D8268" s="450" t="s">
        <v>13765</v>
      </c>
      <c r="E8268" s="450"/>
      <c r="F8268" s="450" t="s">
        <v>13767</v>
      </c>
      <c r="G8268" s="450" t="s">
        <v>22877</v>
      </c>
      <c r="H8268" s="450" t="s">
        <v>22878</v>
      </c>
      <c r="I8268" s="450" t="s">
        <v>13765</v>
      </c>
      <c r="J8268" s="450" t="s">
        <v>37221</v>
      </c>
      <c r="K8268" s="450"/>
    </row>
    <row r="8269" spans="1:11">
      <c r="A8269" s="451" t="s">
        <v>20932</v>
      </c>
      <c r="B8269" s="451" t="s">
        <v>13764</v>
      </c>
      <c r="C8269" s="451" t="s">
        <v>4059</v>
      </c>
      <c r="D8269" s="451" t="s">
        <v>13765</v>
      </c>
      <c r="E8269" s="451" t="s">
        <v>13766</v>
      </c>
      <c r="F8269" s="451" t="s">
        <v>13767</v>
      </c>
      <c r="G8269" s="451"/>
      <c r="H8269" s="451"/>
      <c r="I8269" s="451"/>
      <c r="J8269" s="451"/>
      <c r="K8269" s="451"/>
    </row>
    <row r="8270" spans="1:11">
      <c r="A8270" s="450" t="s">
        <v>20933</v>
      </c>
      <c r="B8270" s="450" t="s">
        <v>27604</v>
      </c>
      <c r="C8270" s="450" t="s">
        <v>13769</v>
      </c>
      <c r="D8270" s="450" t="s">
        <v>13770</v>
      </c>
      <c r="E8270" s="450"/>
      <c r="F8270" s="450" t="s">
        <v>13772</v>
      </c>
      <c r="G8270" s="450" t="s">
        <v>22877</v>
      </c>
      <c r="H8270" s="450" t="s">
        <v>22878</v>
      </c>
      <c r="I8270" s="450" t="s">
        <v>13770</v>
      </c>
      <c r="J8270" s="450" t="s">
        <v>27605</v>
      </c>
      <c r="K8270" s="450"/>
    </row>
    <row r="8271" spans="1:11">
      <c r="A8271" s="451" t="s">
        <v>20933</v>
      </c>
      <c r="B8271" s="451" t="s">
        <v>13768</v>
      </c>
      <c r="C8271" s="451" t="s">
        <v>13769</v>
      </c>
      <c r="D8271" s="451" t="s">
        <v>13770</v>
      </c>
      <c r="E8271" s="451" t="s">
        <v>13771</v>
      </c>
      <c r="F8271" s="451" t="s">
        <v>13772</v>
      </c>
      <c r="G8271" s="451"/>
      <c r="H8271" s="451"/>
      <c r="I8271" s="451"/>
      <c r="J8271" s="451"/>
      <c r="K8271" s="451"/>
    </row>
    <row r="8272" spans="1:11">
      <c r="A8272" s="450" t="s">
        <v>20934</v>
      </c>
      <c r="B8272" s="450" t="s">
        <v>13773</v>
      </c>
      <c r="C8272" s="450" t="s">
        <v>13774</v>
      </c>
      <c r="D8272" s="450" t="s">
        <v>13775</v>
      </c>
      <c r="E8272" s="450"/>
      <c r="F8272" s="450" t="s">
        <v>13777</v>
      </c>
      <c r="G8272" s="450" t="s">
        <v>22877</v>
      </c>
      <c r="H8272" s="450" t="s">
        <v>22878</v>
      </c>
      <c r="I8272" s="450" t="s">
        <v>13775</v>
      </c>
      <c r="J8272" s="450" t="s">
        <v>37222</v>
      </c>
      <c r="K8272" s="450"/>
    </row>
    <row r="8273" spans="1:11">
      <c r="A8273" s="451" t="s">
        <v>20934</v>
      </c>
      <c r="B8273" s="451" t="s">
        <v>13773</v>
      </c>
      <c r="C8273" s="451" t="s">
        <v>13774</v>
      </c>
      <c r="D8273" s="451" t="s">
        <v>13775</v>
      </c>
      <c r="E8273" s="451" t="s">
        <v>13776</v>
      </c>
      <c r="F8273" s="451" t="s">
        <v>13777</v>
      </c>
      <c r="G8273" s="451"/>
      <c r="H8273" s="451"/>
      <c r="I8273" s="451"/>
      <c r="J8273" s="451"/>
      <c r="K8273" s="451"/>
    </row>
    <row r="8274" spans="1:11">
      <c r="A8274" s="450" t="s">
        <v>20935</v>
      </c>
      <c r="B8274" s="450" t="s">
        <v>27606</v>
      </c>
      <c r="C8274" s="450" t="s">
        <v>13779</v>
      </c>
      <c r="D8274" s="450" t="s">
        <v>13780</v>
      </c>
      <c r="E8274" s="450"/>
      <c r="F8274" s="450" t="s">
        <v>13782</v>
      </c>
      <c r="G8274" s="450" t="s">
        <v>22877</v>
      </c>
      <c r="H8274" s="450" t="s">
        <v>22878</v>
      </c>
      <c r="I8274" s="450" t="s">
        <v>27607</v>
      </c>
      <c r="J8274" s="450" t="s">
        <v>27608</v>
      </c>
      <c r="K8274" s="450"/>
    </row>
    <row r="8275" spans="1:11">
      <c r="A8275" s="451" t="s">
        <v>20935</v>
      </c>
      <c r="B8275" s="451" t="s">
        <v>13778</v>
      </c>
      <c r="C8275" s="451" t="s">
        <v>13779</v>
      </c>
      <c r="D8275" s="451" t="s">
        <v>13780</v>
      </c>
      <c r="E8275" s="451" t="s">
        <v>13781</v>
      </c>
      <c r="F8275" s="451" t="s">
        <v>13782</v>
      </c>
      <c r="G8275" s="451"/>
      <c r="H8275" s="451"/>
      <c r="I8275" s="451"/>
      <c r="J8275" s="451"/>
      <c r="K8275" s="451"/>
    </row>
    <row r="8276" spans="1:11">
      <c r="A8276" s="450" t="s">
        <v>20936</v>
      </c>
      <c r="B8276" s="450" t="s">
        <v>13783</v>
      </c>
      <c r="C8276" s="450" t="s">
        <v>13784</v>
      </c>
      <c r="D8276" s="450" t="s">
        <v>13785</v>
      </c>
      <c r="E8276" s="450"/>
      <c r="F8276" s="450" t="s">
        <v>13787</v>
      </c>
      <c r="G8276" s="450" t="s">
        <v>22877</v>
      </c>
      <c r="H8276" s="450" t="s">
        <v>22878</v>
      </c>
      <c r="I8276" s="450" t="s">
        <v>13785</v>
      </c>
      <c r="J8276" s="450" t="s">
        <v>37223</v>
      </c>
      <c r="K8276" s="450"/>
    </row>
    <row r="8277" spans="1:11">
      <c r="A8277" s="451" t="s">
        <v>20936</v>
      </c>
      <c r="B8277" s="451" t="s">
        <v>13783</v>
      </c>
      <c r="C8277" s="451" t="s">
        <v>13784</v>
      </c>
      <c r="D8277" s="451" t="s">
        <v>13785</v>
      </c>
      <c r="E8277" s="451" t="s">
        <v>13786</v>
      </c>
      <c r="F8277" s="451" t="s">
        <v>13787</v>
      </c>
      <c r="G8277" s="451"/>
      <c r="H8277" s="451"/>
      <c r="I8277" s="451"/>
      <c r="J8277" s="451"/>
      <c r="K8277" s="451"/>
    </row>
    <row r="8278" spans="1:11">
      <c r="A8278" s="450" t="s">
        <v>20937</v>
      </c>
      <c r="B8278" s="450" t="s">
        <v>13788</v>
      </c>
      <c r="C8278" s="450" t="s">
        <v>13789</v>
      </c>
      <c r="D8278" s="450" t="s">
        <v>13790</v>
      </c>
      <c r="E8278" s="450"/>
      <c r="F8278" s="450" t="s">
        <v>13792</v>
      </c>
      <c r="G8278" s="450" t="s">
        <v>22877</v>
      </c>
      <c r="H8278" s="450" t="s">
        <v>22878</v>
      </c>
      <c r="I8278" s="450" t="s">
        <v>37224</v>
      </c>
      <c r="J8278" s="450" t="s">
        <v>37225</v>
      </c>
      <c r="K8278" s="450"/>
    </row>
    <row r="8279" spans="1:11">
      <c r="A8279" s="451" t="s">
        <v>20937</v>
      </c>
      <c r="B8279" s="451" t="s">
        <v>13788</v>
      </c>
      <c r="C8279" s="451" t="s">
        <v>13789</v>
      </c>
      <c r="D8279" s="451" t="s">
        <v>13790</v>
      </c>
      <c r="E8279" s="451" t="s">
        <v>13791</v>
      </c>
      <c r="F8279" s="451" t="s">
        <v>13792</v>
      </c>
      <c r="G8279" s="451"/>
      <c r="H8279" s="451"/>
      <c r="I8279" s="451"/>
      <c r="J8279" s="451"/>
      <c r="K8279" s="451"/>
    </row>
    <row r="8280" spans="1:11">
      <c r="A8280" s="450" t="s">
        <v>20938</v>
      </c>
      <c r="B8280" s="450" t="s">
        <v>27609</v>
      </c>
      <c r="C8280" s="450" t="s">
        <v>13794</v>
      </c>
      <c r="D8280" s="450" t="s">
        <v>13795</v>
      </c>
      <c r="E8280" s="450"/>
      <c r="F8280" s="450" t="s">
        <v>13797</v>
      </c>
      <c r="G8280" s="450" t="s">
        <v>22877</v>
      </c>
      <c r="H8280" s="450" t="s">
        <v>22878</v>
      </c>
      <c r="I8280" s="450" t="s">
        <v>27610</v>
      </c>
      <c r="J8280" s="450" t="s">
        <v>27611</v>
      </c>
      <c r="K8280" s="450"/>
    </row>
    <row r="8281" spans="1:11">
      <c r="A8281" s="451" t="s">
        <v>20938</v>
      </c>
      <c r="B8281" s="451" t="s">
        <v>13793</v>
      </c>
      <c r="C8281" s="451" t="s">
        <v>13794</v>
      </c>
      <c r="D8281" s="451" t="s">
        <v>13795</v>
      </c>
      <c r="E8281" s="451" t="s">
        <v>13796</v>
      </c>
      <c r="F8281" s="451" t="s">
        <v>13797</v>
      </c>
      <c r="G8281" s="451"/>
      <c r="H8281" s="451"/>
      <c r="I8281" s="451"/>
      <c r="J8281" s="451"/>
      <c r="K8281" s="451"/>
    </row>
    <row r="8282" spans="1:11">
      <c r="A8282" s="450" t="s">
        <v>20939</v>
      </c>
      <c r="B8282" s="450" t="s">
        <v>13798</v>
      </c>
      <c r="C8282" s="450" t="s">
        <v>13799</v>
      </c>
      <c r="D8282" s="450" t="s">
        <v>13800</v>
      </c>
      <c r="E8282" s="450"/>
      <c r="F8282" s="450" t="s">
        <v>13802</v>
      </c>
      <c r="G8282" s="450" t="s">
        <v>22882</v>
      </c>
      <c r="H8282" s="450" t="s">
        <v>22883</v>
      </c>
      <c r="I8282" s="450" t="s">
        <v>13800</v>
      </c>
      <c r="J8282" s="450" t="s">
        <v>37226</v>
      </c>
      <c r="K8282" s="450"/>
    </row>
    <row r="8283" spans="1:11">
      <c r="A8283" s="451" t="s">
        <v>20939</v>
      </c>
      <c r="B8283" s="451" t="s">
        <v>13798</v>
      </c>
      <c r="C8283" s="451" t="s">
        <v>13799</v>
      </c>
      <c r="D8283" s="451" t="s">
        <v>13800</v>
      </c>
      <c r="E8283" s="451" t="s">
        <v>13801</v>
      </c>
      <c r="F8283" s="451" t="s">
        <v>13802</v>
      </c>
      <c r="G8283" s="451"/>
      <c r="H8283" s="451"/>
      <c r="I8283" s="451"/>
      <c r="J8283" s="451"/>
      <c r="K8283" s="451"/>
    </row>
    <row r="8284" spans="1:11">
      <c r="A8284" s="450" t="s">
        <v>20940</v>
      </c>
      <c r="B8284" s="450" t="s">
        <v>13803</v>
      </c>
      <c r="C8284" s="450" t="s">
        <v>13804</v>
      </c>
      <c r="D8284" s="450" t="s">
        <v>13805</v>
      </c>
      <c r="E8284" s="450"/>
      <c r="F8284" s="450" t="s">
        <v>13807</v>
      </c>
      <c r="G8284" s="450" t="s">
        <v>22877</v>
      </c>
      <c r="H8284" s="450" t="s">
        <v>22878</v>
      </c>
      <c r="I8284" s="450" t="s">
        <v>37227</v>
      </c>
      <c r="J8284" s="450" t="s">
        <v>37228</v>
      </c>
      <c r="K8284" s="450"/>
    </row>
    <row r="8285" spans="1:11">
      <c r="A8285" s="451" t="s">
        <v>20940</v>
      </c>
      <c r="B8285" s="451" t="s">
        <v>13803</v>
      </c>
      <c r="C8285" s="451" t="s">
        <v>13804</v>
      </c>
      <c r="D8285" s="451" t="s">
        <v>13805</v>
      </c>
      <c r="E8285" s="451" t="s">
        <v>13806</v>
      </c>
      <c r="F8285" s="451" t="s">
        <v>13807</v>
      </c>
      <c r="G8285" s="451"/>
      <c r="H8285" s="451"/>
      <c r="I8285" s="451"/>
      <c r="J8285" s="451"/>
      <c r="K8285" s="451"/>
    </row>
    <row r="8286" spans="1:11">
      <c r="A8286" s="450" t="s">
        <v>20941</v>
      </c>
      <c r="B8286" s="450" t="s">
        <v>13808</v>
      </c>
      <c r="C8286" s="450" t="s">
        <v>13809</v>
      </c>
      <c r="D8286" s="450" t="s">
        <v>13810</v>
      </c>
      <c r="E8286" s="450"/>
      <c r="F8286" s="450" t="s">
        <v>13812</v>
      </c>
      <c r="G8286" s="450" t="s">
        <v>22877</v>
      </c>
      <c r="H8286" s="450" t="s">
        <v>22878</v>
      </c>
      <c r="I8286" s="450" t="s">
        <v>37229</v>
      </c>
      <c r="J8286" s="450" t="s">
        <v>37230</v>
      </c>
      <c r="K8286" s="450"/>
    </row>
    <row r="8287" spans="1:11">
      <c r="A8287" s="451" t="s">
        <v>20941</v>
      </c>
      <c r="B8287" s="451" t="s">
        <v>13808</v>
      </c>
      <c r="C8287" s="451" t="s">
        <v>13809</v>
      </c>
      <c r="D8287" s="451" t="s">
        <v>13810</v>
      </c>
      <c r="E8287" s="451" t="s">
        <v>13811</v>
      </c>
      <c r="F8287" s="451" t="s">
        <v>13812</v>
      </c>
      <c r="G8287" s="451"/>
      <c r="H8287" s="451"/>
      <c r="I8287" s="451"/>
      <c r="J8287" s="451"/>
      <c r="K8287" s="451"/>
    </row>
    <row r="8288" spans="1:11">
      <c r="A8288" s="450" t="s">
        <v>20942</v>
      </c>
      <c r="B8288" s="450" t="s">
        <v>27612</v>
      </c>
      <c r="C8288" s="450" t="s">
        <v>13814</v>
      </c>
      <c r="D8288" s="450" t="s">
        <v>13815</v>
      </c>
      <c r="E8288" s="450"/>
      <c r="F8288" s="450" t="s">
        <v>13817</v>
      </c>
      <c r="G8288" s="450" t="s">
        <v>22877</v>
      </c>
      <c r="H8288" s="450" t="s">
        <v>22878</v>
      </c>
      <c r="I8288" s="450" t="s">
        <v>13815</v>
      </c>
      <c r="J8288" s="450" t="s">
        <v>27613</v>
      </c>
      <c r="K8288" s="450"/>
    </row>
    <row r="8289" spans="1:11">
      <c r="A8289" s="451" t="s">
        <v>20942</v>
      </c>
      <c r="B8289" s="451" t="s">
        <v>13813</v>
      </c>
      <c r="C8289" s="451" t="s">
        <v>13814</v>
      </c>
      <c r="D8289" s="451" t="s">
        <v>13815</v>
      </c>
      <c r="E8289" s="451" t="s">
        <v>13816</v>
      </c>
      <c r="F8289" s="451" t="s">
        <v>13817</v>
      </c>
      <c r="G8289" s="451"/>
      <c r="H8289" s="451"/>
      <c r="I8289" s="451"/>
      <c r="J8289" s="451"/>
      <c r="K8289" s="451"/>
    </row>
    <row r="8290" spans="1:11">
      <c r="A8290" s="450" t="s">
        <v>20943</v>
      </c>
      <c r="B8290" s="450" t="s">
        <v>13818</v>
      </c>
      <c r="C8290" s="450" t="s">
        <v>13819</v>
      </c>
      <c r="D8290" s="450" t="s">
        <v>13820</v>
      </c>
      <c r="E8290" s="450"/>
      <c r="F8290" s="450" t="s">
        <v>13822</v>
      </c>
      <c r="G8290" s="450" t="s">
        <v>22877</v>
      </c>
      <c r="H8290" s="450" t="s">
        <v>22878</v>
      </c>
      <c r="I8290" s="450" t="s">
        <v>13820</v>
      </c>
      <c r="J8290" s="450" t="s">
        <v>37231</v>
      </c>
      <c r="K8290" s="450"/>
    </row>
    <row r="8291" spans="1:11">
      <c r="A8291" s="451" t="s">
        <v>20943</v>
      </c>
      <c r="B8291" s="451" t="s">
        <v>13818</v>
      </c>
      <c r="C8291" s="451" t="s">
        <v>13819</v>
      </c>
      <c r="D8291" s="451" t="s">
        <v>13820</v>
      </c>
      <c r="E8291" s="451" t="s">
        <v>13821</v>
      </c>
      <c r="F8291" s="451" t="s">
        <v>13822</v>
      </c>
      <c r="G8291" s="451"/>
      <c r="H8291" s="451"/>
      <c r="I8291" s="451"/>
      <c r="J8291" s="451"/>
      <c r="K8291" s="451"/>
    </row>
    <row r="8292" spans="1:11">
      <c r="A8292" s="450" t="s">
        <v>20944</v>
      </c>
      <c r="B8292" s="450" t="s">
        <v>13823</v>
      </c>
      <c r="C8292" s="450" t="s">
        <v>13824</v>
      </c>
      <c r="D8292" s="450" t="s">
        <v>13825</v>
      </c>
      <c r="E8292" s="450"/>
      <c r="F8292" s="450" t="s">
        <v>13827</v>
      </c>
      <c r="G8292" s="450" t="s">
        <v>22877</v>
      </c>
      <c r="H8292" s="450" t="s">
        <v>22878</v>
      </c>
      <c r="I8292" s="450" t="s">
        <v>37232</v>
      </c>
      <c r="J8292" s="450" t="s">
        <v>37233</v>
      </c>
      <c r="K8292" s="450"/>
    </row>
    <row r="8293" spans="1:11">
      <c r="A8293" s="451" t="s">
        <v>20944</v>
      </c>
      <c r="B8293" s="451" t="s">
        <v>13823</v>
      </c>
      <c r="C8293" s="451" t="s">
        <v>13824</v>
      </c>
      <c r="D8293" s="451" t="s">
        <v>13825</v>
      </c>
      <c r="E8293" s="451" t="s">
        <v>13826</v>
      </c>
      <c r="F8293" s="451" t="s">
        <v>13827</v>
      </c>
      <c r="G8293" s="451"/>
      <c r="H8293" s="451"/>
      <c r="I8293" s="451"/>
      <c r="J8293" s="451"/>
      <c r="K8293" s="451"/>
    </row>
    <row r="8294" spans="1:11">
      <c r="A8294" s="450" t="s">
        <v>20945</v>
      </c>
      <c r="B8294" s="450" t="s">
        <v>13828</v>
      </c>
      <c r="C8294" s="450" t="s">
        <v>13829</v>
      </c>
      <c r="D8294" s="450" t="s">
        <v>13830</v>
      </c>
      <c r="E8294" s="450"/>
      <c r="F8294" s="450" t="s">
        <v>13807</v>
      </c>
      <c r="G8294" s="450" t="s">
        <v>22877</v>
      </c>
      <c r="H8294" s="450" t="s">
        <v>22878</v>
      </c>
      <c r="I8294" s="450" t="s">
        <v>37234</v>
      </c>
      <c r="J8294" s="450" t="s">
        <v>37235</v>
      </c>
      <c r="K8294" s="450"/>
    </row>
    <row r="8295" spans="1:11">
      <c r="A8295" s="451" t="s">
        <v>20945</v>
      </c>
      <c r="B8295" s="451" t="s">
        <v>13828</v>
      </c>
      <c r="C8295" s="451" t="s">
        <v>13829</v>
      </c>
      <c r="D8295" s="451" t="s">
        <v>13830</v>
      </c>
      <c r="E8295" s="451" t="s">
        <v>13831</v>
      </c>
      <c r="F8295" s="451" t="s">
        <v>13807</v>
      </c>
      <c r="G8295" s="451"/>
      <c r="H8295" s="451"/>
      <c r="I8295" s="451"/>
      <c r="J8295" s="451"/>
      <c r="K8295" s="451"/>
    </row>
    <row r="8296" spans="1:11">
      <c r="A8296" s="450" t="s">
        <v>20946</v>
      </c>
      <c r="B8296" s="450" t="s">
        <v>13832</v>
      </c>
      <c r="C8296" s="450" t="s">
        <v>13833</v>
      </c>
      <c r="D8296" s="450" t="s">
        <v>13834</v>
      </c>
      <c r="E8296" s="450"/>
      <c r="F8296" s="450" t="s">
        <v>13836</v>
      </c>
      <c r="G8296" s="450" t="s">
        <v>22877</v>
      </c>
      <c r="H8296" s="450" t="s">
        <v>22878</v>
      </c>
      <c r="I8296" s="450" t="s">
        <v>27610</v>
      </c>
      <c r="J8296" s="450" t="s">
        <v>37236</v>
      </c>
      <c r="K8296" s="450"/>
    </row>
    <row r="8297" spans="1:11">
      <c r="A8297" s="451" t="s">
        <v>20946</v>
      </c>
      <c r="B8297" s="451" t="s">
        <v>13832</v>
      </c>
      <c r="C8297" s="451" t="s">
        <v>13833</v>
      </c>
      <c r="D8297" s="451" t="s">
        <v>13834</v>
      </c>
      <c r="E8297" s="451" t="s">
        <v>13835</v>
      </c>
      <c r="F8297" s="451" t="s">
        <v>13836</v>
      </c>
      <c r="G8297" s="451"/>
      <c r="H8297" s="451"/>
      <c r="I8297" s="451"/>
      <c r="J8297" s="451"/>
      <c r="K8297" s="451"/>
    </row>
    <row r="8298" spans="1:11">
      <c r="A8298" s="450" t="s">
        <v>20947</v>
      </c>
      <c r="B8298" s="450" t="s">
        <v>13837</v>
      </c>
      <c r="C8298" s="450" t="s">
        <v>13838</v>
      </c>
      <c r="D8298" s="450" t="s">
        <v>13839</v>
      </c>
      <c r="E8298" s="450"/>
      <c r="F8298" s="450" t="s">
        <v>13841</v>
      </c>
      <c r="G8298" s="450" t="s">
        <v>22882</v>
      </c>
      <c r="H8298" s="450" t="s">
        <v>22883</v>
      </c>
      <c r="I8298" s="450" t="s">
        <v>37237</v>
      </c>
      <c r="J8298" s="450" t="s">
        <v>37238</v>
      </c>
      <c r="K8298" s="450"/>
    </row>
    <row r="8299" spans="1:11">
      <c r="A8299" s="451" t="s">
        <v>20947</v>
      </c>
      <c r="B8299" s="451" t="s">
        <v>13837</v>
      </c>
      <c r="C8299" s="451" t="s">
        <v>13838</v>
      </c>
      <c r="D8299" s="451" t="s">
        <v>13839</v>
      </c>
      <c r="E8299" s="451" t="s">
        <v>13840</v>
      </c>
      <c r="F8299" s="451" t="s">
        <v>13841</v>
      </c>
      <c r="G8299" s="451"/>
      <c r="H8299" s="451"/>
      <c r="I8299" s="451"/>
      <c r="J8299" s="451"/>
      <c r="K8299" s="451"/>
    </row>
    <row r="8300" spans="1:11">
      <c r="A8300" s="450" t="s">
        <v>20948</v>
      </c>
      <c r="B8300" s="450" t="s">
        <v>13842</v>
      </c>
      <c r="C8300" s="450" t="s">
        <v>13843</v>
      </c>
      <c r="D8300" s="450" t="s">
        <v>13844</v>
      </c>
      <c r="E8300" s="450"/>
      <c r="F8300" s="450" t="s">
        <v>13836</v>
      </c>
      <c r="G8300" s="450" t="s">
        <v>22877</v>
      </c>
      <c r="H8300" s="450" t="s">
        <v>22878</v>
      </c>
      <c r="I8300" s="450" t="s">
        <v>13844</v>
      </c>
      <c r="J8300" s="450" t="s">
        <v>37239</v>
      </c>
      <c r="K8300" s="450"/>
    </row>
    <row r="8301" spans="1:11">
      <c r="A8301" s="451" t="s">
        <v>20948</v>
      </c>
      <c r="B8301" s="451" t="s">
        <v>13842</v>
      </c>
      <c r="C8301" s="451" t="s">
        <v>13843</v>
      </c>
      <c r="D8301" s="451" t="s">
        <v>13844</v>
      </c>
      <c r="E8301" s="451" t="s">
        <v>13845</v>
      </c>
      <c r="F8301" s="451" t="s">
        <v>13836</v>
      </c>
      <c r="G8301" s="451"/>
      <c r="H8301" s="451"/>
      <c r="I8301" s="451"/>
      <c r="J8301" s="451"/>
      <c r="K8301" s="451"/>
    </row>
    <row r="8302" spans="1:11">
      <c r="A8302" s="450" t="s">
        <v>20949</v>
      </c>
      <c r="B8302" s="450" t="s">
        <v>13846</v>
      </c>
      <c r="C8302" s="450" t="s">
        <v>13847</v>
      </c>
      <c r="D8302" s="450" t="s">
        <v>13848</v>
      </c>
      <c r="E8302" s="450"/>
      <c r="F8302" s="450" t="s">
        <v>13850</v>
      </c>
      <c r="G8302" s="450" t="s">
        <v>22877</v>
      </c>
      <c r="H8302" s="450" t="s">
        <v>22878</v>
      </c>
      <c r="I8302" s="450" t="s">
        <v>37240</v>
      </c>
      <c r="J8302" s="450" t="s">
        <v>37241</v>
      </c>
      <c r="K8302" s="450"/>
    </row>
    <row r="8303" spans="1:11">
      <c r="A8303" s="451" t="s">
        <v>20949</v>
      </c>
      <c r="B8303" s="451" t="s">
        <v>13846</v>
      </c>
      <c r="C8303" s="451" t="s">
        <v>13847</v>
      </c>
      <c r="D8303" s="451" t="s">
        <v>13848</v>
      </c>
      <c r="E8303" s="451" t="s">
        <v>13849</v>
      </c>
      <c r="F8303" s="451" t="s">
        <v>13850</v>
      </c>
      <c r="G8303" s="451"/>
      <c r="H8303" s="451"/>
      <c r="I8303" s="451"/>
      <c r="J8303" s="451"/>
      <c r="K8303" s="451"/>
    </row>
    <row r="8304" spans="1:11">
      <c r="A8304" s="450" t="s">
        <v>20950</v>
      </c>
      <c r="B8304" s="450" t="s">
        <v>13851</v>
      </c>
      <c r="C8304" s="450" t="s">
        <v>13852</v>
      </c>
      <c r="D8304" s="450" t="s">
        <v>13853</v>
      </c>
      <c r="E8304" s="450"/>
      <c r="F8304" s="450" t="s">
        <v>13855</v>
      </c>
      <c r="G8304" s="450" t="s">
        <v>22882</v>
      </c>
      <c r="H8304" s="450" t="s">
        <v>22883</v>
      </c>
      <c r="I8304" s="450" t="s">
        <v>13853</v>
      </c>
      <c r="J8304" s="450" t="s">
        <v>37242</v>
      </c>
      <c r="K8304" s="450"/>
    </row>
    <row r="8305" spans="1:11">
      <c r="A8305" s="451" t="s">
        <v>20950</v>
      </c>
      <c r="B8305" s="451" t="s">
        <v>13851</v>
      </c>
      <c r="C8305" s="451" t="s">
        <v>13852</v>
      </c>
      <c r="D8305" s="451" t="s">
        <v>13853</v>
      </c>
      <c r="E8305" s="451" t="s">
        <v>13854</v>
      </c>
      <c r="F8305" s="451" t="s">
        <v>13855</v>
      </c>
      <c r="G8305" s="451"/>
      <c r="H8305" s="451"/>
      <c r="I8305" s="451"/>
      <c r="J8305" s="451"/>
      <c r="K8305" s="451"/>
    </row>
    <row r="8306" spans="1:11">
      <c r="A8306" s="450" t="s">
        <v>20951</v>
      </c>
      <c r="B8306" s="450" t="s">
        <v>13856</v>
      </c>
      <c r="C8306" s="450" t="s">
        <v>13857</v>
      </c>
      <c r="D8306" s="450" t="s">
        <v>13858</v>
      </c>
      <c r="E8306" s="450"/>
      <c r="F8306" s="450" t="s">
        <v>13860</v>
      </c>
      <c r="G8306" s="450" t="s">
        <v>22877</v>
      </c>
      <c r="H8306" s="450" t="s">
        <v>22878</v>
      </c>
      <c r="I8306" s="450" t="s">
        <v>13858</v>
      </c>
      <c r="J8306" s="450" t="s">
        <v>37243</v>
      </c>
      <c r="K8306" s="450"/>
    </row>
    <row r="8307" spans="1:11">
      <c r="A8307" s="451" t="s">
        <v>20951</v>
      </c>
      <c r="B8307" s="451" t="s">
        <v>13856</v>
      </c>
      <c r="C8307" s="451" t="s">
        <v>13857</v>
      </c>
      <c r="D8307" s="451" t="s">
        <v>13858</v>
      </c>
      <c r="E8307" s="451" t="s">
        <v>13859</v>
      </c>
      <c r="F8307" s="451" t="s">
        <v>13860</v>
      </c>
      <c r="G8307" s="451"/>
      <c r="H8307" s="451"/>
      <c r="I8307" s="451"/>
      <c r="J8307" s="451"/>
      <c r="K8307" s="451"/>
    </row>
    <row r="8308" spans="1:11">
      <c r="A8308" s="450" t="s">
        <v>20952</v>
      </c>
      <c r="B8308" s="450" t="s">
        <v>13861</v>
      </c>
      <c r="C8308" s="450" t="s">
        <v>13862</v>
      </c>
      <c r="D8308" s="450" t="s">
        <v>13863</v>
      </c>
      <c r="E8308" s="450"/>
      <c r="F8308" s="450" t="s">
        <v>13865</v>
      </c>
      <c r="G8308" s="450" t="s">
        <v>22877</v>
      </c>
      <c r="H8308" s="450" t="s">
        <v>22878</v>
      </c>
      <c r="I8308" s="450" t="s">
        <v>37244</v>
      </c>
      <c r="J8308" s="450" t="s">
        <v>37245</v>
      </c>
      <c r="K8308" s="450"/>
    </row>
    <row r="8309" spans="1:11">
      <c r="A8309" s="451" t="s">
        <v>20952</v>
      </c>
      <c r="B8309" s="451" t="s">
        <v>13861</v>
      </c>
      <c r="C8309" s="451" t="s">
        <v>13862</v>
      </c>
      <c r="D8309" s="451" t="s">
        <v>13863</v>
      </c>
      <c r="E8309" s="451" t="s">
        <v>13864</v>
      </c>
      <c r="F8309" s="451" t="s">
        <v>13865</v>
      </c>
      <c r="G8309" s="451"/>
      <c r="H8309" s="451"/>
      <c r="I8309" s="451"/>
      <c r="J8309" s="451"/>
      <c r="K8309" s="451"/>
    </row>
    <row r="8310" spans="1:11">
      <c r="A8310" s="450" t="s">
        <v>20953</v>
      </c>
      <c r="B8310" s="450" t="s">
        <v>13866</v>
      </c>
      <c r="C8310" s="450" t="s">
        <v>13867</v>
      </c>
      <c r="D8310" s="450" t="s">
        <v>13868</v>
      </c>
      <c r="E8310" s="450"/>
      <c r="F8310" s="450" t="s">
        <v>13870</v>
      </c>
      <c r="G8310" s="450" t="s">
        <v>22877</v>
      </c>
      <c r="H8310" s="450" t="s">
        <v>22878</v>
      </c>
      <c r="I8310" s="450" t="s">
        <v>13868</v>
      </c>
      <c r="J8310" s="450" t="s">
        <v>37246</v>
      </c>
      <c r="K8310" s="450"/>
    </row>
    <row r="8311" spans="1:11">
      <c r="A8311" s="451" t="s">
        <v>20953</v>
      </c>
      <c r="B8311" s="451" t="s">
        <v>13866</v>
      </c>
      <c r="C8311" s="451" t="s">
        <v>13867</v>
      </c>
      <c r="D8311" s="451" t="s">
        <v>13868</v>
      </c>
      <c r="E8311" s="451" t="s">
        <v>13869</v>
      </c>
      <c r="F8311" s="451" t="s">
        <v>13870</v>
      </c>
      <c r="G8311" s="451"/>
      <c r="H8311" s="451"/>
      <c r="I8311" s="451"/>
      <c r="J8311" s="451"/>
      <c r="K8311" s="451"/>
    </row>
    <row r="8312" spans="1:11">
      <c r="A8312" s="450" t="s">
        <v>20954</v>
      </c>
      <c r="B8312" s="450" t="s">
        <v>27614</v>
      </c>
      <c r="C8312" s="450" t="s">
        <v>13872</v>
      </c>
      <c r="D8312" s="450" t="s">
        <v>13873</v>
      </c>
      <c r="E8312" s="450"/>
      <c r="F8312" s="450" t="s">
        <v>13875</v>
      </c>
      <c r="G8312" s="450" t="s">
        <v>22877</v>
      </c>
      <c r="H8312" s="450" t="s">
        <v>22878</v>
      </c>
      <c r="I8312" s="450" t="s">
        <v>13873</v>
      </c>
      <c r="J8312" s="450" t="s">
        <v>27615</v>
      </c>
      <c r="K8312" s="450"/>
    </row>
    <row r="8313" spans="1:11">
      <c r="A8313" s="451" t="s">
        <v>20954</v>
      </c>
      <c r="B8313" s="451" t="s">
        <v>13871</v>
      </c>
      <c r="C8313" s="451" t="s">
        <v>13872</v>
      </c>
      <c r="D8313" s="451" t="s">
        <v>13873</v>
      </c>
      <c r="E8313" s="451" t="s">
        <v>13874</v>
      </c>
      <c r="F8313" s="451" t="s">
        <v>13875</v>
      </c>
      <c r="G8313" s="451"/>
      <c r="H8313" s="451"/>
      <c r="I8313" s="451"/>
      <c r="J8313" s="451"/>
      <c r="K8313" s="451"/>
    </row>
    <row r="8314" spans="1:11">
      <c r="A8314" s="450" t="s">
        <v>20955</v>
      </c>
      <c r="B8314" s="450" t="s">
        <v>13876</v>
      </c>
      <c r="C8314" s="450" t="s">
        <v>13877</v>
      </c>
      <c r="D8314" s="450" t="s">
        <v>13878</v>
      </c>
      <c r="E8314" s="450"/>
      <c r="F8314" s="450" t="s">
        <v>13880</v>
      </c>
      <c r="G8314" s="450" t="s">
        <v>22882</v>
      </c>
      <c r="H8314" s="450" t="s">
        <v>22883</v>
      </c>
      <c r="I8314" s="450" t="s">
        <v>13878</v>
      </c>
      <c r="J8314" s="450" t="s">
        <v>37247</v>
      </c>
      <c r="K8314" s="450"/>
    </row>
    <row r="8315" spans="1:11">
      <c r="A8315" s="451" t="s">
        <v>20955</v>
      </c>
      <c r="B8315" s="451" t="s">
        <v>13876</v>
      </c>
      <c r="C8315" s="451" t="s">
        <v>13877</v>
      </c>
      <c r="D8315" s="451" t="s">
        <v>13878</v>
      </c>
      <c r="E8315" s="451" t="s">
        <v>13879</v>
      </c>
      <c r="F8315" s="451" t="s">
        <v>13880</v>
      </c>
      <c r="G8315" s="451"/>
      <c r="H8315" s="451"/>
      <c r="I8315" s="451"/>
      <c r="J8315" s="451"/>
      <c r="K8315" s="451"/>
    </row>
    <row r="8316" spans="1:11">
      <c r="A8316" s="450" t="s">
        <v>20956</v>
      </c>
      <c r="B8316" s="450" t="s">
        <v>13881</v>
      </c>
      <c r="C8316" s="450" t="s">
        <v>13882</v>
      </c>
      <c r="D8316" s="450" t="s">
        <v>13883</v>
      </c>
      <c r="E8316" s="450"/>
      <c r="F8316" s="450" t="s">
        <v>13885</v>
      </c>
      <c r="G8316" s="450" t="s">
        <v>22882</v>
      </c>
      <c r="H8316" s="450" t="s">
        <v>22883</v>
      </c>
      <c r="I8316" s="450" t="s">
        <v>13883</v>
      </c>
      <c r="J8316" s="450" t="s">
        <v>37248</v>
      </c>
      <c r="K8316" s="450"/>
    </row>
    <row r="8317" spans="1:11">
      <c r="A8317" s="451" t="s">
        <v>20956</v>
      </c>
      <c r="B8317" s="451" t="s">
        <v>13881</v>
      </c>
      <c r="C8317" s="451" t="s">
        <v>13882</v>
      </c>
      <c r="D8317" s="451" t="s">
        <v>13883</v>
      </c>
      <c r="E8317" s="451" t="s">
        <v>13884</v>
      </c>
      <c r="F8317" s="451" t="s">
        <v>13885</v>
      </c>
      <c r="G8317" s="451"/>
      <c r="H8317" s="451"/>
      <c r="I8317" s="451"/>
      <c r="J8317" s="451"/>
      <c r="K8317" s="451"/>
    </row>
    <row r="8318" spans="1:11">
      <c r="A8318" s="450" t="s">
        <v>20957</v>
      </c>
      <c r="B8318" s="450" t="s">
        <v>13886</v>
      </c>
      <c r="C8318" s="450" t="s">
        <v>13887</v>
      </c>
      <c r="D8318" s="450" t="s">
        <v>13888</v>
      </c>
      <c r="E8318" s="450"/>
      <c r="F8318" s="450" t="s">
        <v>13890</v>
      </c>
      <c r="G8318" s="450" t="s">
        <v>22877</v>
      </c>
      <c r="H8318" s="450" t="s">
        <v>22878</v>
      </c>
      <c r="I8318" s="450" t="s">
        <v>13888</v>
      </c>
      <c r="J8318" s="450" t="s">
        <v>37249</v>
      </c>
      <c r="K8318" s="450"/>
    </row>
    <row r="8319" spans="1:11">
      <c r="A8319" s="451" t="s">
        <v>20957</v>
      </c>
      <c r="B8319" s="451" t="s">
        <v>13886</v>
      </c>
      <c r="C8319" s="451" t="s">
        <v>13887</v>
      </c>
      <c r="D8319" s="451" t="s">
        <v>13888</v>
      </c>
      <c r="E8319" s="451" t="s">
        <v>13889</v>
      </c>
      <c r="F8319" s="451" t="s">
        <v>13890</v>
      </c>
      <c r="G8319" s="451"/>
      <c r="H8319" s="451"/>
      <c r="I8319" s="451"/>
      <c r="J8319" s="451"/>
      <c r="K8319" s="451"/>
    </row>
    <row r="8320" spans="1:11">
      <c r="A8320" s="450" t="s">
        <v>20958</v>
      </c>
      <c r="B8320" s="450" t="s">
        <v>27616</v>
      </c>
      <c r="C8320" s="450" t="s">
        <v>13892</v>
      </c>
      <c r="D8320" s="450" t="s">
        <v>13893</v>
      </c>
      <c r="E8320" s="450"/>
      <c r="F8320" s="450" t="s">
        <v>13895</v>
      </c>
      <c r="G8320" s="450" t="s">
        <v>22882</v>
      </c>
      <c r="H8320" s="450" t="s">
        <v>22883</v>
      </c>
      <c r="I8320" s="450" t="s">
        <v>13893</v>
      </c>
      <c r="J8320" s="450" t="s">
        <v>27617</v>
      </c>
      <c r="K8320" s="450"/>
    </row>
    <row r="8321" spans="1:11">
      <c r="A8321" s="451" t="s">
        <v>20958</v>
      </c>
      <c r="B8321" s="451" t="s">
        <v>13891</v>
      </c>
      <c r="C8321" s="451" t="s">
        <v>13892</v>
      </c>
      <c r="D8321" s="451" t="s">
        <v>13893</v>
      </c>
      <c r="E8321" s="451" t="s">
        <v>13894</v>
      </c>
      <c r="F8321" s="451" t="s">
        <v>13895</v>
      </c>
      <c r="G8321" s="451"/>
      <c r="H8321" s="451"/>
      <c r="I8321" s="451"/>
      <c r="J8321" s="451"/>
      <c r="K8321" s="451"/>
    </row>
    <row r="8322" spans="1:11">
      <c r="A8322" s="450" t="s">
        <v>20959</v>
      </c>
      <c r="B8322" s="450" t="s">
        <v>13896</v>
      </c>
      <c r="C8322" s="450" t="s">
        <v>13897</v>
      </c>
      <c r="D8322" s="450" t="s">
        <v>13898</v>
      </c>
      <c r="E8322" s="450"/>
      <c r="F8322" s="450" t="s">
        <v>13900</v>
      </c>
      <c r="G8322" s="450" t="s">
        <v>22877</v>
      </c>
      <c r="H8322" s="450" t="s">
        <v>22878</v>
      </c>
      <c r="I8322" s="450" t="s">
        <v>37250</v>
      </c>
      <c r="J8322" s="450" t="s">
        <v>37251</v>
      </c>
      <c r="K8322" s="450"/>
    </row>
    <row r="8323" spans="1:11">
      <c r="A8323" s="451" t="s">
        <v>20959</v>
      </c>
      <c r="B8323" s="451" t="s">
        <v>13896</v>
      </c>
      <c r="C8323" s="451" t="s">
        <v>13897</v>
      </c>
      <c r="D8323" s="451" t="s">
        <v>13898</v>
      </c>
      <c r="E8323" s="451" t="s">
        <v>13899</v>
      </c>
      <c r="F8323" s="451" t="s">
        <v>13900</v>
      </c>
      <c r="G8323" s="451"/>
      <c r="H8323" s="451"/>
      <c r="I8323" s="451"/>
      <c r="J8323" s="451"/>
      <c r="K8323" s="451"/>
    </row>
    <row r="8324" spans="1:11">
      <c r="A8324" s="450" t="s">
        <v>13901</v>
      </c>
      <c r="B8324" s="450"/>
      <c r="C8324" s="450" t="s">
        <v>4459</v>
      </c>
      <c r="D8324" s="450"/>
      <c r="E8324" s="450"/>
      <c r="F8324" s="450"/>
      <c r="G8324" s="450" t="s">
        <v>22877</v>
      </c>
      <c r="H8324" s="450" t="s">
        <v>22878</v>
      </c>
      <c r="I8324" s="450" t="s">
        <v>37252</v>
      </c>
      <c r="J8324" s="450" t="s">
        <v>22939</v>
      </c>
      <c r="K8324" s="450"/>
    </row>
    <row r="8325" spans="1:11">
      <c r="A8325" s="451" t="s">
        <v>13902</v>
      </c>
      <c r="B8325" s="451"/>
      <c r="C8325" s="451" t="s">
        <v>13903</v>
      </c>
      <c r="D8325" s="451"/>
      <c r="E8325" s="451"/>
      <c r="F8325" s="451"/>
      <c r="G8325" s="451" t="s">
        <v>22882</v>
      </c>
      <c r="H8325" s="451" t="s">
        <v>22883</v>
      </c>
      <c r="I8325" s="451"/>
      <c r="J8325" s="451" t="s">
        <v>22939</v>
      </c>
      <c r="K8325" s="451"/>
    </row>
    <row r="8326" spans="1:11">
      <c r="A8326" s="450" t="s">
        <v>13904</v>
      </c>
      <c r="B8326" s="450"/>
      <c r="C8326" s="450" t="s">
        <v>13905</v>
      </c>
      <c r="D8326" s="450"/>
      <c r="E8326" s="450"/>
      <c r="F8326" s="450"/>
      <c r="G8326" s="450" t="s">
        <v>22882</v>
      </c>
      <c r="H8326" s="450" t="s">
        <v>22883</v>
      </c>
      <c r="I8326" s="450"/>
      <c r="J8326" s="450" t="s">
        <v>25383</v>
      </c>
      <c r="K8326" s="450"/>
    </row>
    <row r="8327" spans="1:11">
      <c r="A8327" s="451" t="s">
        <v>13906</v>
      </c>
      <c r="B8327" s="451"/>
      <c r="C8327" s="451" t="s">
        <v>13907</v>
      </c>
      <c r="D8327" s="451"/>
      <c r="E8327" s="451"/>
      <c r="F8327" s="451"/>
      <c r="G8327" s="451" t="s">
        <v>22877</v>
      </c>
      <c r="H8327" s="451" t="s">
        <v>22878</v>
      </c>
      <c r="I8327" s="451" t="s">
        <v>27618</v>
      </c>
      <c r="J8327" s="451" t="s">
        <v>22939</v>
      </c>
      <c r="K8327" s="451"/>
    </row>
    <row r="8328" spans="1:11">
      <c r="A8328" s="450" t="s">
        <v>13908</v>
      </c>
      <c r="B8328" s="450" t="s">
        <v>13909</v>
      </c>
      <c r="C8328" s="450" t="s">
        <v>13910</v>
      </c>
      <c r="D8328" s="450" t="s">
        <v>13911</v>
      </c>
      <c r="E8328" s="450"/>
      <c r="F8328" s="450"/>
      <c r="G8328" s="450" t="s">
        <v>22877</v>
      </c>
      <c r="H8328" s="450" t="s">
        <v>22878</v>
      </c>
      <c r="I8328" s="450" t="s">
        <v>27619</v>
      </c>
      <c r="J8328" s="450" t="s">
        <v>27620</v>
      </c>
      <c r="K8328" s="450"/>
    </row>
    <row r="8329" spans="1:11">
      <c r="A8329" s="451" t="s">
        <v>13912</v>
      </c>
      <c r="B8329" s="451"/>
      <c r="C8329" s="451" t="s">
        <v>13913</v>
      </c>
      <c r="D8329" s="451"/>
      <c r="E8329" s="451"/>
      <c r="F8329" s="451"/>
      <c r="G8329" s="451" t="s">
        <v>22877</v>
      </c>
      <c r="H8329" s="451" t="s">
        <v>22878</v>
      </c>
      <c r="I8329" s="451" t="s">
        <v>37253</v>
      </c>
      <c r="J8329" s="451" t="s">
        <v>23121</v>
      </c>
      <c r="K8329" s="451"/>
    </row>
    <row r="8330" spans="1:11">
      <c r="A8330" s="450" t="s">
        <v>27621</v>
      </c>
      <c r="B8330" s="450"/>
      <c r="C8330" s="450" t="s">
        <v>10913</v>
      </c>
      <c r="D8330" s="450"/>
      <c r="E8330" s="450"/>
      <c r="F8330" s="450"/>
      <c r="G8330" s="450" t="s">
        <v>22877</v>
      </c>
      <c r="H8330" s="450" t="s">
        <v>22878</v>
      </c>
      <c r="I8330" s="450" t="s">
        <v>27622</v>
      </c>
      <c r="J8330" s="450" t="s">
        <v>23370</v>
      </c>
      <c r="K8330" s="450"/>
    </row>
    <row r="8331" spans="1:11">
      <c r="A8331" s="451" t="s">
        <v>13914</v>
      </c>
      <c r="B8331" s="451"/>
      <c r="C8331" s="451" t="s">
        <v>10913</v>
      </c>
      <c r="D8331" s="451"/>
      <c r="E8331" s="451"/>
      <c r="F8331" s="451"/>
      <c r="G8331" s="451"/>
      <c r="H8331" s="451"/>
      <c r="I8331" s="451"/>
      <c r="J8331" s="451"/>
      <c r="K8331" s="451"/>
    </row>
    <row r="8332" spans="1:11">
      <c r="A8332" s="450" t="s">
        <v>13915</v>
      </c>
      <c r="B8332" s="450" t="s">
        <v>13916</v>
      </c>
      <c r="C8332" s="450" t="s">
        <v>13917</v>
      </c>
      <c r="D8332" s="450"/>
      <c r="E8332" s="450"/>
      <c r="F8332" s="450"/>
      <c r="G8332" s="450" t="s">
        <v>22882</v>
      </c>
      <c r="H8332" s="450" t="s">
        <v>22883</v>
      </c>
      <c r="I8332" s="450"/>
      <c r="J8332" s="450" t="s">
        <v>27623</v>
      </c>
      <c r="K8332" s="450"/>
    </row>
    <row r="8333" spans="1:11">
      <c r="A8333" s="451" t="s">
        <v>13918</v>
      </c>
      <c r="B8333" s="451"/>
      <c r="C8333" s="451" t="s">
        <v>9304</v>
      </c>
      <c r="D8333" s="451"/>
      <c r="E8333" s="451"/>
      <c r="F8333" s="451"/>
      <c r="G8333" s="451" t="s">
        <v>22882</v>
      </c>
      <c r="H8333" s="451" t="s">
        <v>22883</v>
      </c>
      <c r="I8333" s="451" t="s">
        <v>37254</v>
      </c>
      <c r="J8333" s="451" t="s">
        <v>23133</v>
      </c>
      <c r="K8333" s="451"/>
    </row>
    <row r="8334" spans="1:11">
      <c r="A8334" s="450" t="s">
        <v>37255</v>
      </c>
      <c r="B8334" s="450"/>
      <c r="C8334" s="450" t="s">
        <v>10518</v>
      </c>
      <c r="D8334" s="450"/>
      <c r="E8334" s="450"/>
      <c r="F8334" s="450"/>
      <c r="G8334" s="450" t="s">
        <v>22877</v>
      </c>
      <c r="H8334" s="450" t="s">
        <v>22878</v>
      </c>
      <c r="I8334" s="450" t="s">
        <v>37256</v>
      </c>
      <c r="J8334" s="450" t="s">
        <v>23370</v>
      </c>
      <c r="K8334" s="450"/>
    </row>
    <row r="8335" spans="1:11">
      <c r="A8335" s="451" t="s">
        <v>13919</v>
      </c>
      <c r="B8335" s="451"/>
      <c r="C8335" s="451" t="s">
        <v>10518</v>
      </c>
      <c r="D8335" s="451"/>
      <c r="E8335" s="451"/>
      <c r="F8335" s="451"/>
      <c r="G8335" s="451"/>
      <c r="H8335" s="451"/>
      <c r="I8335" s="451"/>
      <c r="J8335" s="451"/>
      <c r="K8335" s="451"/>
    </row>
    <row r="8336" spans="1:11">
      <c r="A8336" s="450" t="s">
        <v>13920</v>
      </c>
      <c r="B8336" s="450" t="s">
        <v>11713</v>
      </c>
      <c r="C8336" s="450" t="s">
        <v>13921</v>
      </c>
      <c r="D8336" s="450"/>
      <c r="E8336" s="450"/>
      <c r="F8336" s="450"/>
      <c r="G8336" s="450" t="s">
        <v>22877</v>
      </c>
      <c r="H8336" s="450" t="s">
        <v>22878</v>
      </c>
      <c r="I8336" s="450" t="s">
        <v>27624</v>
      </c>
      <c r="J8336" s="450" t="s">
        <v>27625</v>
      </c>
      <c r="K8336" s="450"/>
    </row>
    <row r="8337" spans="1:11">
      <c r="A8337" s="451" t="s">
        <v>27626</v>
      </c>
      <c r="B8337" s="451" t="s">
        <v>27627</v>
      </c>
      <c r="C8337" s="451" t="s">
        <v>27628</v>
      </c>
      <c r="D8337" s="451" t="s">
        <v>27629</v>
      </c>
      <c r="E8337" s="451"/>
      <c r="F8337" s="451" t="s">
        <v>27630</v>
      </c>
      <c r="G8337" s="451" t="s">
        <v>22877</v>
      </c>
      <c r="H8337" s="451" t="s">
        <v>22878</v>
      </c>
      <c r="I8337" s="451" t="s">
        <v>27629</v>
      </c>
      <c r="J8337" s="451" t="s">
        <v>27631</v>
      </c>
      <c r="K8337" s="451"/>
    </row>
    <row r="8338" spans="1:11">
      <c r="A8338" s="450" t="s">
        <v>37257</v>
      </c>
      <c r="B8338" s="450"/>
      <c r="C8338" s="450" t="s">
        <v>13923</v>
      </c>
      <c r="D8338" s="450"/>
      <c r="E8338" s="450"/>
      <c r="F8338" s="450"/>
      <c r="G8338" s="450" t="s">
        <v>22877</v>
      </c>
      <c r="H8338" s="450" t="s">
        <v>22878</v>
      </c>
      <c r="I8338" s="450" t="s">
        <v>37258</v>
      </c>
      <c r="J8338" s="450" t="s">
        <v>22943</v>
      </c>
      <c r="K8338" s="450"/>
    </row>
    <row r="8339" spans="1:11">
      <c r="A8339" s="451" t="s">
        <v>13922</v>
      </c>
      <c r="B8339" s="451"/>
      <c r="C8339" s="451" t="s">
        <v>13923</v>
      </c>
      <c r="D8339" s="451"/>
      <c r="E8339" s="451"/>
      <c r="F8339" s="451"/>
      <c r="G8339" s="451"/>
      <c r="H8339" s="451"/>
      <c r="I8339" s="451"/>
      <c r="J8339" s="451"/>
      <c r="K8339" s="451"/>
    </row>
    <row r="8340" spans="1:11">
      <c r="A8340" s="450" t="s">
        <v>27632</v>
      </c>
      <c r="B8340" s="450" t="s">
        <v>27633</v>
      </c>
      <c r="C8340" s="450" t="s">
        <v>13925</v>
      </c>
      <c r="D8340" s="450"/>
      <c r="E8340" s="450"/>
      <c r="F8340" s="450"/>
      <c r="G8340" s="450" t="s">
        <v>22877</v>
      </c>
      <c r="H8340" s="450" t="s">
        <v>22878</v>
      </c>
      <c r="I8340" s="450" t="s">
        <v>27634</v>
      </c>
      <c r="J8340" s="450" t="s">
        <v>27635</v>
      </c>
      <c r="K8340" s="450"/>
    </row>
    <row r="8341" spans="1:11">
      <c r="A8341" s="451" t="s">
        <v>20161</v>
      </c>
      <c r="B8341" s="451" t="s">
        <v>13924</v>
      </c>
      <c r="C8341" s="451" t="s">
        <v>13925</v>
      </c>
      <c r="D8341" s="451"/>
      <c r="E8341" s="451"/>
      <c r="F8341" s="451"/>
      <c r="G8341" s="451"/>
      <c r="H8341" s="451"/>
      <c r="I8341" s="451"/>
      <c r="J8341" s="451"/>
      <c r="K8341" s="451"/>
    </row>
    <row r="8342" spans="1:11">
      <c r="A8342" s="450" t="s">
        <v>27636</v>
      </c>
      <c r="B8342" s="450" t="s">
        <v>27637</v>
      </c>
      <c r="C8342" s="450" t="s">
        <v>27638</v>
      </c>
      <c r="D8342" s="450"/>
      <c r="E8342" s="450"/>
      <c r="F8342" s="450"/>
      <c r="G8342" s="450" t="s">
        <v>22877</v>
      </c>
      <c r="H8342" s="450" t="s">
        <v>22878</v>
      </c>
      <c r="I8342" s="450" t="s">
        <v>27639</v>
      </c>
      <c r="J8342" s="450" t="s">
        <v>27640</v>
      </c>
      <c r="K8342" s="450"/>
    </row>
    <row r="8343" spans="1:11">
      <c r="A8343" s="451" t="s">
        <v>27641</v>
      </c>
      <c r="B8343" s="451" t="s">
        <v>27642</v>
      </c>
      <c r="C8343" s="451" t="s">
        <v>27643</v>
      </c>
      <c r="D8343" s="451" t="s">
        <v>27644</v>
      </c>
      <c r="E8343" s="451"/>
      <c r="F8343" s="451"/>
      <c r="G8343" s="451" t="s">
        <v>22877</v>
      </c>
      <c r="H8343" s="451" t="s">
        <v>22878</v>
      </c>
      <c r="I8343" s="451" t="s">
        <v>27644</v>
      </c>
      <c r="J8343" s="451" t="s">
        <v>27645</v>
      </c>
      <c r="K8343" s="451"/>
    </row>
    <row r="8344" spans="1:11">
      <c r="A8344" s="450" t="s">
        <v>27646</v>
      </c>
      <c r="B8344" s="450" t="s">
        <v>27647</v>
      </c>
      <c r="C8344" s="450" t="s">
        <v>27648</v>
      </c>
      <c r="D8344" s="450" t="s">
        <v>27649</v>
      </c>
      <c r="E8344" s="450"/>
      <c r="F8344" s="450" t="s">
        <v>27650</v>
      </c>
      <c r="G8344" s="450" t="s">
        <v>22877</v>
      </c>
      <c r="H8344" s="450" t="s">
        <v>22878</v>
      </c>
      <c r="I8344" s="450" t="s">
        <v>27649</v>
      </c>
      <c r="J8344" s="450" t="s">
        <v>27651</v>
      </c>
      <c r="K8344" s="450"/>
    </row>
    <row r="8345" spans="1:11">
      <c r="A8345" s="451" t="s">
        <v>13926</v>
      </c>
      <c r="B8345" s="451" t="s">
        <v>13927</v>
      </c>
      <c r="C8345" s="451" t="s">
        <v>2274</v>
      </c>
      <c r="D8345" s="451" t="s">
        <v>13928</v>
      </c>
      <c r="E8345" s="451"/>
      <c r="F8345" s="451"/>
      <c r="G8345" s="451" t="s">
        <v>22877</v>
      </c>
      <c r="H8345" s="451" t="s">
        <v>22878</v>
      </c>
      <c r="I8345" s="451" t="s">
        <v>13928</v>
      </c>
      <c r="J8345" s="451" t="s">
        <v>37259</v>
      </c>
      <c r="K8345" s="451"/>
    </row>
    <row r="8346" spans="1:11">
      <c r="A8346" s="450" t="s">
        <v>13926</v>
      </c>
      <c r="B8346" s="450" t="s">
        <v>13927</v>
      </c>
      <c r="C8346" s="450" t="s">
        <v>2274</v>
      </c>
      <c r="D8346" s="450" t="s">
        <v>13928</v>
      </c>
      <c r="E8346" s="450" t="s">
        <v>13929</v>
      </c>
      <c r="F8346" s="450"/>
      <c r="G8346" s="450"/>
      <c r="H8346" s="450"/>
      <c r="I8346" s="450"/>
      <c r="J8346" s="450"/>
      <c r="K8346" s="450"/>
    </row>
    <row r="8347" spans="1:11">
      <c r="A8347" s="451" t="s">
        <v>37260</v>
      </c>
      <c r="B8347" s="451" t="s">
        <v>13931</v>
      </c>
      <c r="C8347" s="451" t="s">
        <v>13932</v>
      </c>
      <c r="D8347" s="451"/>
      <c r="E8347" s="451"/>
      <c r="F8347" s="451"/>
      <c r="G8347" s="451" t="s">
        <v>22882</v>
      </c>
      <c r="H8347" s="451" t="s">
        <v>22883</v>
      </c>
      <c r="I8347" s="451" t="s">
        <v>37261</v>
      </c>
      <c r="J8347" s="451" t="s">
        <v>37262</v>
      </c>
      <c r="K8347" s="451"/>
    </row>
    <row r="8348" spans="1:11">
      <c r="A8348" s="450" t="s">
        <v>13930</v>
      </c>
      <c r="B8348" s="450" t="s">
        <v>13931</v>
      </c>
      <c r="C8348" s="450" t="s">
        <v>13932</v>
      </c>
      <c r="D8348" s="450"/>
      <c r="E8348" s="450"/>
      <c r="F8348" s="450"/>
      <c r="G8348" s="450"/>
      <c r="H8348" s="450"/>
      <c r="I8348" s="450"/>
      <c r="J8348" s="450"/>
      <c r="K8348" s="450"/>
    </row>
    <row r="8349" spans="1:11">
      <c r="A8349" s="451" t="s">
        <v>13933</v>
      </c>
      <c r="B8349" s="451"/>
      <c r="C8349" s="451" t="s">
        <v>13934</v>
      </c>
      <c r="D8349" s="451"/>
      <c r="E8349" s="451"/>
      <c r="F8349" s="451"/>
      <c r="G8349" s="451" t="s">
        <v>22882</v>
      </c>
      <c r="H8349" s="451" t="s">
        <v>22883</v>
      </c>
      <c r="I8349" s="451" t="s">
        <v>27652</v>
      </c>
      <c r="J8349" s="451" t="s">
        <v>22939</v>
      </c>
      <c r="K8349" s="451"/>
    </row>
    <row r="8350" spans="1:11">
      <c r="A8350" s="450" t="s">
        <v>27653</v>
      </c>
      <c r="B8350" s="450" t="s">
        <v>13935</v>
      </c>
      <c r="C8350" s="450" t="s">
        <v>11036</v>
      </c>
      <c r="D8350" s="450" t="s">
        <v>11037</v>
      </c>
      <c r="E8350" s="450"/>
      <c r="F8350" s="450" t="s">
        <v>13936</v>
      </c>
      <c r="G8350" s="450" t="s">
        <v>22877</v>
      </c>
      <c r="H8350" s="450" t="s">
        <v>22878</v>
      </c>
      <c r="I8350" s="450" t="s">
        <v>11037</v>
      </c>
      <c r="J8350" s="450" t="s">
        <v>27654</v>
      </c>
      <c r="K8350" s="450"/>
    </row>
    <row r="8351" spans="1:11">
      <c r="A8351" s="451" t="s">
        <v>20392</v>
      </c>
      <c r="B8351" s="451" t="s">
        <v>27655</v>
      </c>
      <c r="C8351" s="451" t="s">
        <v>12921</v>
      </c>
      <c r="D8351" s="451"/>
      <c r="E8351" s="451"/>
      <c r="F8351" s="451" t="s">
        <v>27656</v>
      </c>
      <c r="G8351" s="451" t="s">
        <v>22877</v>
      </c>
      <c r="H8351" s="451" t="s">
        <v>22878</v>
      </c>
      <c r="I8351" s="451" t="s">
        <v>27657</v>
      </c>
      <c r="J8351" s="451" t="s">
        <v>27658</v>
      </c>
      <c r="K8351" s="451"/>
    </row>
    <row r="8352" spans="1:11">
      <c r="A8352" s="450" t="s">
        <v>20392</v>
      </c>
      <c r="B8352" s="450" t="s">
        <v>20393</v>
      </c>
      <c r="C8352" s="450" t="s">
        <v>12921</v>
      </c>
      <c r="D8352" s="450" t="s">
        <v>20394</v>
      </c>
      <c r="E8352" s="450"/>
      <c r="F8352" s="450" t="s">
        <v>20395</v>
      </c>
      <c r="G8352" s="450"/>
      <c r="H8352" s="450"/>
      <c r="I8352" s="450"/>
      <c r="J8352" s="450"/>
      <c r="K8352" s="450"/>
    </row>
    <row r="8353" spans="1:11">
      <c r="A8353" s="451" t="s">
        <v>22113</v>
      </c>
      <c r="B8353" s="451" t="s">
        <v>22114</v>
      </c>
      <c r="C8353" s="451" t="s">
        <v>22115</v>
      </c>
      <c r="D8353" s="451">
        <v>6783096161</v>
      </c>
      <c r="E8353" s="451"/>
      <c r="F8353" s="451"/>
      <c r="G8353" s="451"/>
      <c r="H8353" s="451"/>
      <c r="I8353" s="451"/>
      <c r="J8353" s="451"/>
      <c r="K8353" s="451"/>
    </row>
    <row r="8354" spans="1:11">
      <c r="A8354" s="450" t="s">
        <v>27659</v>
      </c>
      <c r="B8354" s="450" t="s">
        <v>27660</v>
      </c>
      <c r="C8354" s="450" t="s">
        <v>27661</v>
      </c>
      <c r="D8354" s="450" t="s">
        <v>27662</v>
      </c>
      <c r="E8354" s="450"/>
      <c r="F8354" s="450"/>
      <c r="G8354" s="450" t="s">
        <v>22877</v>
      </c>
      <c r="H8354" s="450" t="s">
        <v>22878</v>
      </c>
      <c r="I8354" s="450" t="s">
        <v>27662</v>
      </c>
      <c r="J8354" s="450" t="s">
        <v>27663</v>
      </c>
      <c r="K8354" s="450"/>
    </row>
    <row r="8355" spans="1:11">
      <c r="A8355" s="451" t="s">
        <v>13937</v>
      </c>
      <c r="B8355" s="451"/>
      <c r="C8355" s="451" t="s">
        <v>13938</v>
      </c>
      <c r="D8355" s="451"/>
      <c r="E8355" s="451"/>
      <c r="F8355" s="451"/>
      <c r="G8355" s="451" t="s">
        <v>22877</v>
      </c>
      <c r="H8355" s="451" t="s">
        <v>22878</v>
      </c>
      <c r="I8355" s="451" t="s">
        <v>37263</v>
      </c>
      <c r="J8355" s="451" t="s">
        <v>22943</v>
      </c>
      <c r="K8355" s="451"/>
    </row>
    <row r="8356" spans="1:11">
      <c r="A8356" s="450" t="s">
        <v>13939</v>
      </c>
      <c r="B8356" s="450"/>
      <c r="C8356" s="450" t="s">
        <v>4698</v>
      </c>
      <c r="D8356" s="450"/>
      <c r="E8356" s="450"/>
      <c r="F8356" s="450"/>
      <c r="G8356" s="450" t="s">
        <v>22882</v>
      </c>
      <c r="H8356" s="450" t="s">
        <v>22883</v>
      </c>
      <c r="I8356" s="450" t="s">
        <v>37264</v>
      </c>
      <c r="J8356" s="450" t="s">
        <v>23121</v>
      </c>
      <c r="K8356" s="450"/>
    </row>
    <row r="8357" spans="1:11">
      <c r="A8357" s="451" t="s">
        <v>13940</v>
      </c>
      <c r="B8357" s="451"/>
      <c r="C8357" s="451" t="s">
        <v>1674</v>
      </c>
      <c r="D8357" s="451"/>
      <c r="E8357" s="451"/>
      <c r="F8357" s="451"/>
      <c r="G8357" s="451" t="s">
        <v>22877</v>
      </c>
      <c r="H8357" s="451" t="s">
        <v>22878</v>
      </c>
      <c r="I8357" s="451" t="s">
        <v>37265</v>
      </c>
      <c r="J8357" s="451" t="s">
        <v>22943</v>
      </c>
      <c r="K8357" s="451"/>
    </row>
    <row r="8358" spans="1:11">
      <c r="A8358" s="450" t="s">
        <v>13941</v>
      </c>
      <c r="B8358" s="450"/>
      <c r="C8358" s="450" t="s">
        <v>10789</v>
      </c>
      <c r="D8358" s="450"/>
      <c r="E8358" s="450"/>
      <c r="F8358" s="450"/>
      <c r="G8358" s="450"/>
      <c r="H8358" s="450"/>
      <c r="I8358" s="450"/>
      <c r="J8358" s="450"/>
      <c r="K8358" s="450"/>
    </row>
    <row r="8359" spans="1:11">
      <c r="A8359" s="451" t="s">
        <v>37266</v>
      </c>
      <c r="B8359" s="451"/>
      <c r="C8359" s="451" t="s">
        <v>10789</v>
      </c>
      <c r="D8359" s="451"/>
      <c r="E8359" s="451"/>
      <c r="F8359" s="451"/>
      <c r="G8359" s="451" t="s">
        <v>22877</v>
      </c>
      <c r="H8359" s="451" t="s">
        <v>22878</v>
      </c>
      <c r="I8359" s="451" t="s">
        <v>37267</v>
      </c>
      <c r="J8359" s="451" t="s">
        <v>22997</v>
      </c>
      <c r="K8359" s="451"/>
    </row>
    <row r="8360" spans="1:11">
      <c r="A8360" s="450" t="s">
        <v>13942</v>
      </c>
      <c r="B8360" s="450"/>
      <c r="C8360" s="450" t="s">
        <v>13943</v>
      </c>
      <c r="D8360" s="450"/>
      <c r="E8360" s="450"/>
      <c r="F8360" s="450"/>
      <c r="G8360" s="450" t="s">
        <v>22877</v>
      </c>
      <c r="H8360" s="450" t="s">
        <v>22878</v>
      </c>
      <c r="I8360" s="450" t="s">
        <v>27664</v>
      </c>
      <c r="J8360" s="450" t="s">
        <v>27665</v>
      </c>
      <c r="K8360" s="450"/>
    </row>
    <row r="8361" spans="1:11">
      <c r="A8361" s="451" t="s">
        <v>27666</v>
      </c>
      <c r="B8361" s="451" t="s">
        <v>10763</v>
      </c>
      <c r="C8361" s="451" t="s">
        <v>9687</v>
      </c>
      <c r="D8361" s="451" t="s">
        <v>10764</v>
      </c>
      <c r="E8361" s="451"/>
      <c r="F8361" s="451"/>
      <c r="G8361" s="451" t="s">
        <v>22877</v>
      </c>
      <c r="H8361" s="451" t="s">
        <v>22878</v>
      </c>
      <c r="I8361" s="451" t="s">
        <v>27667</v>
      </c>
      <c r="J8361" s="451" t="s">
        <v>27668</v>
      </c>
      <c r="K8361" s="451"/>
    </row>
    <row r="8362" spans="1:11">
      <c r="A8362" s="450" t="s">
        <v>27669</v>
      </c>
      <c r="B8362" s="450" t="s">
        <v>26828</v>
      </c>
      <c r="C8362" s="450" t="s">
        <v>27670</v>
      </c>
      <c r="D8362" s="450" t="s">
        <v>27671</v>
      </c>
      <c r="E8362" s="450"/>
      <c r="F8362" s="450"/>
      <c r="G8362" s="450" t="s">
        <v>22877</v>
      </c>
      <c r="H8362" s="450" t="s">
        <v>22878</v>
      </c>
      <c r="I8362" s="450" t="s">
        <v>27672</v>
      </c>
      <c r="J8362" s="450" t="s">
        <v>27673</v>
      </c>
      <c r="K8362" s="450"/>
    </row>
    <row r="8363" spans="1:11">
      <c r="A8363" s="451" t="s">
        <v>20162</v>
      </c>
      <c r="B8363" s="451" t="s">
        <v>20163</v>
      </c>
      <c r="C8363" s="451" t="s">
        <v>20164</v>
      </c>
      <c r="D8363" s="451"/>
      <c r="E8363" s="451"/>
      <c r="F8363" s="451"/>
      <c r="G8363" s="451" t="s">
        <v>22877</v>
      </c>
      <c r="H8363" s="451" t="s">
        <v>22878</v>
      </c>
      <c r="I8363" s="451" t="s">
        <v>27634</v>
      </c>
      <c r="J8363" s="451" t="s">
        <v>27674</v>
      </c>
      <c r="K8363" s="451"/>
    </row>
    <row r="8364" spans="1:11">
      <c r="A8364" s="450" t="s">
        <v>13944</v>
      </c>
      <c r="B8364" s="450" t="s">
        <v>13945</v>
      </c>
      <c r="C8364" s="450" t="s">
        <v>13946</v>
      </c>
      <c r="D8364" s="450" t="s">
        <v>13947</v>
      </c>
      <c r="E8364" s="450"/>
      <c r="F8364" s="450"/>
      <c r="G8364" s="450" t="s">
        <v>22882</v>
      </c>
      <c r="H8364" s="450" t="s">
        <v>22883</v>
      </c>
      <c r="I8364" s="450" t="s">
        <v>13947</v>
      </c>
      <c r="J8364" s="450" t="s">
        <v>27675</v>
      </c>
      <c r="K8364" s="450"/>
    </row>
    <row r="8365" spans="1:11">
      <c r="A8365" s="451" t="s">
        <v>27676</v>
      </c>
      <c r="B8365" s="451" t="s">
        <v>27677</v>
      </c>
      <c r="C8365" s="451" t="s">
        <v>20352</v>
      </c>
      <c r="D8365" s="451" t="s">
        <v>27678</v>
      </c>
      <c r="E8365" s="451"/>
      <c r="F8365" s="451"/>
      <c r="G8365" s="451" t="s">
        <v>22877</v>
      </c>
      <c r="H8365" s="451" t="s">
        <v>22878</v>
      </c>
      <c r="I8365" s="451" t="s">
        <v>27678</v>
      </c>
      <c r="J8365" s="451" t="s">
        <v>27679</v>
      </c>
      <c r="K8365" s="451"/>
    </row>
    <row r="8366" spans="1:11">
      <c r="A8366" s="450" t="s">
        <v>20351</v>
      </c>
      <c r="B8366" s="450" t="s">
        <v>20353</v>
      </c>
      <c r="C8366" s="450" t="s">
        <v>20352</v>
      </c>
      <c r="D8366" s="450" t="s">
        <v>20354</v>
      </c>
      <c r="E8366" s="450"/>
      <c r="F8366" s="450"/>
      <c r="G8366" s="450"/>
      <c r="H8366" s="450"/>
      <c r="I8366" s="450"/>
      <c r="J8366" s="450"/>
      <c r="K8366" s="450"/>
    </row>
    <row r="8367" spans="1:11">
      <c r="A8367" s="451" t="s">
        <v>37268</v>
      </c>
      <c r="B8367" s="451"/>
      <c r="C8367" s="451" t="s">
        <v>13949</v>
      </c>
      <c r="D8367" s="451"/>
      <c r="E8367" s="451"/>
      <c r="F8367" s="451"/>
      <c r="G8367" s="451" t="s">
        <v>22877</v>
      </c>
      <c r="H8367" s="451" t="s">
        <v>22878</v>
      </c>
      <c r="I8367" s="451" t="s">
        <v>37269</v>
      </c>
      <c r="J8367" s="451" t="s">
        <v>23121</v>
      </c>
      <c r="K8367" s="451"/>
    </row>
    <row r="8368" spans="1:11">
      <c r="A8368" s="450" t="s">
        <v>13948</v>
      </c>
      <c r="B8368" s="450"/>
      <c r="C8368" s="450" t="s">
        <v>13949</v>
      </c>
      <c r="D8368" s="450"/>
      <c r="E8368" s="450"/>
      <c r="F8368" s="450"/>
      <c r="G8368" s="450"/>
      <c r="H8368" s="450"/>
      <c r="I8368" s="450"/>
      <c r="J8368" s="450"/>
      <c r="K8368" s="450"/>
    </row>
    <row r="8369" spans="1:11">
      <c r="A8369" s="451" t="s">
        <v>13950</v>
      </c>
      <c r="B8369" s="451"/>
      <c r="C8369" s="451" t="s">
        <v>13951</v>
      </c>
      <c r="D8369" s="451"/>
      <c r="E8369" s="451"/>
      <c r="F8369" s="451"/>
      <c r="G8369" s="451" t="s">
        <v>22877</v>
      </c>
      <c r="H8369" s="451" t="s">
        <v>22878</v>
      </c>
      <c r="I8369" s="451" t="s">
        <v>27680</v>
      </c>
      <c r="J8369" s="451" t="s">
        <v>22939</v>
      </c>
      <c r="K8369" s="451"/>
    </row>
    <row r="8370" spans="1:11">
      <c r="A8370" s="450" t="s">
        <v>13952</v>
      </c>
      <c r="B8370" s="450" t="s">
        <v>13953</v>
      </c>
      <c r="C8370" s="450" t="s">
        <v>13954</v>
      </c>
      <c r="D8370" s="450"/>
      <c r="E8370" s="450"/>
      <c r="F8370" s="450"/>
      <c r="G8370" s="450" t="s">
        <v>22882</v>
      </c>
      <c r="H8370" s="450" t="s">
        <v>22883</v>
      </c>
      <c r="I8370" s="450" t="s">
        <v>27681</v>
      </c>
      <c r="J8370" s="450" t="s">
        <v>27682</v>
      </c>
      <c r="K8370" s="450"/>
    </row>
    <row r="8371" spans="1:11">
      <c r="A8371" s="451" t="s">
        <v>13955</v>
      </c>
      <c r="B8371" s="451" t="s">
        <v>13956</v>
      </c>
      <c r="C8371" s="451" t="s">
        <v>13957</v>
      </c>
      <c r="D8371" s="451"/>
      <c r="E8371" s="451"/>
      <c r="F8371" s="451"/>
      <c r="G8371" s="451" t="s">
        <v>22882</v>
      </c>
      <c r="H8371" s="451" t="s">
        <v>22883</v>
      </c>
      <c r="I8371" s="451" t="s">
        <v>27683</v>
      </c>
      <c r="J8371" s="451" t="s">
        <v>27684</v>
      </c>
      <c r="K8371" s="451"/>
    </row>
    <row r="8372" spans="1:11">
      <c r="A8372" s="450" t="s">
        <v>13958</v>
      </c>
      <c r="B8372" s="450" t="s">
        <v>13959</v>
      </c>
      <c r="C8372" s="450" t="s">
        <v>13960</v>
      </c>
      <c r="D8372" s="450" t="s">
        <v>13961</v>
      </c>
      <c r="E8372" s="450"/>
      <c r="F8372" s="450"/>
      <c r="G8372" s="450" t="s">
        <v>22882</v>
      </c>
      <c r="H8372" s="450" t="s">
        <v>22883</v>
      </c>
      <c r="I8372" s="450" t="s">
        <v>25747</v>
      </c>
      <c r="J8372" s="450" t="s">
        <v>37270</v>
      </c>
      <c r="K8372" s="450"/>
    </row>
    <row r="8373" spans="1:11">
      <c r="A8373" s="451" t="s">
        <v>13958</v>
      </c>
      <c r="B8373" s="451" t="s">
        <v>13959</v>
      </c>
      <c r="C8373" s="451" t="s">
        <v>13960</v>
      </c>
      <c r="D8373" s="451" t="s">
        <v>13961</v>
      </c>
      <c r="E8373" s="451" t="s">
        <v>13962</v>
      </c>
      <c r="F8373" s="451"/>
      <c r="G8373" s="451"/>
      <c r="H8373" s="451"/>
      <c r="I8373" s="451"/>
      <c r="J8373" s="451"/>
      <c r="K8373" s="451"/>
    </row>
    <row r="8374" spans="1:11">
      <c r="A8374" s="450" t="s">
        <v>13963</v>
      </c>
      <c r="B8374" s="450" t="s">
        <v>13964</v>
      </c>
      <c r="C8374" s="450" t="s">
        <v>13965</v>
      </c>
      <c r="D8374" s="450" t="s">
        <v>13966</v>
      </c>
      <c r="E8374" s="450"/>
      <c r="F8374" s="450"/>
      <c r="G8374" s="450" t="s">
        <v>22882</v>
      </c>
      <c r="H8374" s="450" t="s">
        <v>22883</v>
      </c>
      <c r="I8374" s="450" t="s">
        <v>13966</v>
      </c>
      <c r="J8374" s="450" t="s">
        <v>37271</v>
      </c>
      <c r="K8374" s="450"/>
    </row>
    <row r="8375" spans="1:11">
      <c r="A8375" s="451" t="s">
        <v>13963</v>
      </c>
      <c r="B8375" s="451" t="s">
        <v>13964</v>
      </c>
      <c r="C8375" s="451" t="s">
        <v>13965</v>
      </c>
      <c r="D8375" s="451" t="s">
        <v>13966</v>
      </c>
      <c r="E8375" s="451" t="s">
        <v>13967</v>
      </c>
      <c r="F8375" s="451"/>
      <c r="G8375" s="451"/>
      <c r="H8375" s="451"/>
      <c r="I8375" s="451"/>
      <c r="J8375" s="451"/>
      <c r="K8375" s="451"/>
    </row>
    <row r="8376" spans="1:11">
      <c r="A8376" s="450" t="s">
        <v>37272</v>
      </c>
      <c r="B8376" s="450"/>
      <c r="C8376" s="450" t="s">
        <v>13969</v>
      </c>
      <c r="D8376" s="450"/>
      <c r="E8376" s="450"/>
      <c r="F8376" s="450"/>
      <c r="G8376" s="450" t="s">
        <v>22877</v>
      </c>
      <c r="H8376" s="450" t="s">
        <v>22878</v>
      </c>
      <c r="I8376" s="450" t="s">
        <v>37273</v>
      </c>
      <c r="J8376" s="450" t="s">
        <v>22997</v>
      </c>
      <c r="K8376" s="450"/>
    </row>
    <row r="8377" spans="1:11">
      <c r="A8377" s="451" t="s">
        <v>13968</v>
      </c>
      <c r="B8377" s="451"/>
      <c r="C8377" s="451" t="s">
        <v>13969</v>
      </c>
      <c r="D8377" s="451"/>
      <c r="E8377" s="451"/>
      <c r="F8377" s="451"/>
      <c r="G8377" s="451"/>
      <c r="H8377" s="451"/>
      <c r="I8377" s="451"/>
      <c r="J8377" s="451"/>
      <c r="K8377" s="451"/>
    </row>
    <row r="8378" spans="1:11">
      <c r="A8378" s="450" t="s">
        <v>13970</v>
      </c>
      <c r="B8378" s="450"/>
      <c r="C8378" s="450" t="s">
        <v>13971</v>
      </c>
      <c r="D8378" s="450"/>
      <c r="E8378" s="450"/>
      <c r="F8378" s="450"/>
      <c r="G8378" s="450" t="s">
        <v>22877</v>
      </c>
      <c r="H8378" s="450" t="s">
        <v>22878</v>
      </c>
      <c r="I8378" s="450" t="s">
        <v>37274</v>
      </c>
      <c r="J8378" s="450" t="s">
        <v>22943</v>
      </c>
      <c r="K8378" s="450"/>
    </row>
    <row r="8379" spans="1:11">
      <c r="A8379" s="451" t="s">
        <v>37275</v>
      </c>
      <c r="B8379" s="451"/>
      <c r="C8379" s="451" t="s">
        <v>5011</v>
      </c>
      <c r="D8379" s="451"/>
      <c r="E8379" s="451"/>
      <c r="F8379" s="451"/>
      <c r="G8379" s="451" t="s">
        <v>22877</v>
      </c>
      <c r="H8379" s="451" t="s">
        <v>22878</v>
      </c>
      <c r="I8379" s="451" t="s">
        <v>37276</v>
      </c>
      <c r="J8379" s="451" t="s">
        <v>22948</v>
      </c>
      <c r="K8379" s="451"/>
    </row>
    <row r="8380" spans="1:11">
      <c r="A8380" s="450" t="s">
        <v>13972</v>
      </c>
      <c r="B8380" s="450"/>
      <c r="C8380" s="450" t="s">
        <v>5011</v>
      </c>
      <c r="D8380" s="450"/>
      <c r="E8380" s="450"/>
      <c r="F8380" s="450"/>
      <c r="G8380" s="450"/>
      <c r="H8380" s="450"/>
      <c r="I8380" s="450"/>
      <c r="J8380" s="450"/>
      <c r="K8380" s="450"/>
    </row>
    <row r="8381" spans="1:11">
      <c r="A8381" s="451" t="s">
        <v>21849</v>
      </c>
      <c r="B8381" s="451"/>
      <c r="C8381" s="451" t="s">
        <v>2781</v>
      </c>
      <c r="D8381" s="451"/>
      <c r="E8381" s="451"/>
      <c r="F8381" s="451"/>
      <c r="G8381" s="451" t="s">
        <v>22877</v>
      </c>
      <c r="H8381" s="451" t="s">
        <v>22878</v>
      </c>
      <c r="I8381" s="451" t="s">
        <v>37277</v>
      </c>
      <c r="J8381" s="451" t="s">
        <v>22939</v>
      </c>
      <c r="K8381" s="451"/>
    </row>
    <row r="8382" spans="1:11">
      <c r="A8382" s="450" t="s">
        <v>21850</v>
      </c>
      <c r="B8382" s="450"/>
      <c r="C8382" s="450" t="s">
        <v>1213</v>
      </c>
      <c r="D8382" s="450"/>
      <c r="E8382" s="450"/>
      <c r="F8382" s="450"/>
      <c r="G8382" s="450" t="s">
        <v>22877</v>
      </c>
      <c r="H8382" s="450" t="s">
        <v>22878</v>
      </c>
      <c r="I8382" s="450" t="s">
        <v>37278</v>
      </c>
      <c r="J8382" s="450" t="s">
        <v>22943</v>
      </c>
      <c r="K8382" s="450"/>
    </row>
    <row r="8383" spans="1:11">
      <c r="A8383" s="451" t="s">
        <v>37279</v>
      </c>
      <c r="B8383" s="451"/>
      <c r="C8383" s="451" t="s">
        <v>13973</v>
      </c>
      <c r="D8383" s="451"/>
      <c r="E8383" s="451"/>
      <c r="F8383" s="451"/>
      <c r="G8383" s="451" t="s">
        <v>22877</v>
      </c>
      <c r="H8383" s="451" t="s">
        <v>22878</v>
      </c>
      <c r="I8383" s="451" t="s">
        <v>37280</v>
      </c>
      <c r="J8383" s="451" t="s">
        <v>22943</v>
      </c>
      <c r="K8383" s="451"/>
    </row>
    <row r="8384" spans="1:11">
      <c r="A8384" s="450" t="s">
        <v>21851</v>
      </c>
      <c r="B8384" s="450"/>
      <c r="C8384" s="450" t="s">
        <v>13973</v>
      </c>
      <c r="D8384" s="450"/>
      <c r="E8384" s="450"/>
      <c r="F8384" s="450"/>
      <c r="G8384" s="450"/>
      <c r="H8384" s="450"/>
      <c r="I8384" s="450"/>
      <c r="J8384" s="450"/>
      <c r="K8384" s="450"/>
    </row>
    <row r="8385" spans="1:11">
      <c r="A8385" s="451" t="s">
        <v>13974</v>
      </c>
      <c r="B8385" s="451"/>
      <c r="C8385" s="451" t="s">
        <v>13975</v>
      </c>
      <c r="D8385" s="451"/>
      <c r="E8385" s="451"/>
      <c r="F8385" s="451"/>
      <c r="G8385" s="451"/>
      <c r="H8385" s="451"/>
      <c r="I8385" s="451"/>
      <c r="J8385" s="451"/>
      <c r="K8385" s="451"/>
    </row>
    <row r="8386" spans="1:11">
      <c r="A8386" s="450" t="s">
        <v>37281</v>
      </c>
      <c r="B8386" s="450"/>
      <c r="C8386" s="450" t="s">
        <v>13975</v>
      </c>
      <c r="D8386" s="450"/>
      <c r="E8386" s="450"/>
      <c r="F8386" s="450"/>
      <c r="G8386" s="450" t="s">
        <v>22877</v>
      </c>
      <c r="H8386" s="450" t="s">
        <v>22878</v>
      </c>
      <c r="I8386" s="450" t="s">
        <v>37282</v>
      </c>
      <c r="J8386" s="450" t="s">
        <v>22943</v>
      </c>
      <c r="K8386" s="450"/>
    </row>
    <row r="8387" spans="1:11">
      <c r="A8387" s="451" t="s">
        <v>13976</v>
      </c>
      <c r="B8387" s="451"/>
      <c r="C8387" s="451" t="s">
        <v>13977</v>
      </c>
      <c r="D8387" s="451"/>
      <c r="E8387" s="451"/>
      <c r="F8387" s="451"/>
      <c r="G8387" s="451"/>
      <c r="H8387" s="451"/>
      <c r="I8387" s="451"/>
      <c r="J8387" s="451"/>
      <c r="K8387" s="451"/>
    </row>
    <row r="8388" spans="1:11">
      <c r="A8388" s="450" t="s">
        <v>37283</v>
      </c>
      <c r="B8388" s="450"/>
      <c r="C8388" s="450" t="s">
        <v>13977</v>
      </c>
      <c r="D8388" s="450"/>
      <c r="E8388" s="450"/>
      <c r="F8388" s="450"/>
      <c r="G8388" s="450" t="s">
        <v>22882</v>
      </c>
      <c r="H8388" s="450" t="s">
        <v>22883</v>
      </c>
      <c r="I8388" s="450" t="s">
        <v>37284</v>
      </c>
      <c r="J8388" s="450" t="s">
        <v>22943</v>
      </c>
      <c r="K8388" s="450"/>
    </row>
    <row r="8389" spans="1:11">
      <c r="A8389" s="451" t="s">
        <v>13978</v>
      </c>
      <c r="B8389" s="451"/>
      <c r="C8389" s="451" t="s">
        <v>13979</v>
      </c>
      <c r="D8389" s="451"/>
      <c r="E8389" s="451"/>
      <c r="F8389" s="451"/>
      <c r="G8389" s="451"/>
      <c r="H8389" s="451"/>
      <c r="I8389" s="451"/>
      <c r="J8389" s="451"/>
      <c r="K8389" s="451"/>
    </row>
    <row r="8390" spans="1:11">
      <c r="A8390" s="450" t="s">
        <v>37285</v>
      </c>
      <c r="B8390" s="450"/>
      <c r="C8390" s="450" t="s">
        <v>13979</v>
      </c>
      <c r="D8390" s="450"/>
      <c r="E8390" s="450"/>
      <c r="F8390" s="450"/>
      <c r="G8390" s="450" t="s">
        <v>37286</v>
      </c>
      <c r="H8390" s="450" t="s">
        <v>22878</v>
      </c>
      <c r="I8390" s="450"/>
      <c r="J8390" s="450"/>
      <c r="K8390" s="450"/>
    </row>
    <row r="8391" spans="1:11">
      <c r="A8391" s="451" t="s">
        <v>13980</v>
      </c>
      <c r="B8391" s="451"/>
      <c r="C8391" s="451" t="s">
        <v>13981</v>
      </c>
      <c r="D8391" s="451"/>
      <c r="E8391" s="451"/>
      <c r="F8391" s="451"/>
      <c r="G8391" s="451" t="s">
        <v>22877</v>
      </c>
      <c r="H8391" s="451" t="s">
        <v>22878</v>
      </c>
      <c r="I8391" s="451" t="s">
        <v>27685</v>
      </c>
      <c r="J8391" s="451" t="s">
        <v>22997</v>
      </c>
      <c r="K8391" s="451"/>
    </row>
    <row r="8392" spans="1:11">
      <c r="A8392" s="450" t="s">
        <v>21852</v>
      </c>
      <c r="B8392" s="450" t="s">
        <v>13982</v>
      </c>
      <c r="C8392" s="450" t="s">
        <v>13983</v>
      </c>
      <c r="D8392" s="450">
        <v>9545275505</v>
      </c>
      <c r="E8392" s="450"/>
      <c r="F8392" s="450"/>
      <c r="G8392" s="450" t="s">
        <v>22877</v>
      </c>
      <c r="H8392" s="450" t="s">
        <v>22878</v>
      </c>
      <c r="I8392" s="450" t="s">
        <v>37287</v>
      </c>
      <c r="J8392" s="450" t="s">
        <v>37288</v>
      </c>
      <c r="K8392" s="450"/>
    </row>
    <row r="8393" spans="1:11">
      <c r="A8393" s="451" t="s">
        <v>21852</v>
      </c>
      <c r="B8393" s="451" t="s">
        <v>13982</v>
      </c>
      <c r="C8393" s="451" t="s">
        <v>13983</v>
      </c>
      <c r="D8393" s="451">
        <v>9545275505</v>
      </c>
      <c r="E8393" s="451">
        <v>9545275504</v>
      </c>
      <c r="F8393" s="451"/>
      <c r="G8393" s="451"/>
      <c r="H8393" s="451"/>
      <c r="I8393" s="451"/>
      <c r="J8393" s="451"/>
      <c r="K8393" s="451"/>
    </row>
    <row r="8394" spans="1:11">
      <c r="A8394" s="450" t="s">
        <v>21853</v>
      </c>
      <c r="B8394" s="450" t="s">
        <v>13984</v>
      </c>
      <c r="C8394" s="450" t="s">
        <v>13985</v>
      </c>
      <c r="D8394" s="450"/>
      <c r="E8394" s="450"/>
      <c r="F8394" s="450"/>
      <c r="G8394" s="450" t="s">
        <v>22877</v>
      </c>
      <c r="H8394" s="450" t="s">
        <v>22878</v>
      </c>
      <c r="I8394" s="450" t="s">
        <v>27686</v>
      </c>
      <c r="J8394" s="450" t="s">
        <v>27687</v>
      </c>
      <c r="K8394" s="450"/>
    </row>
    <row r="8395" spans="1:11">
      <c r="A8395" s="451" t="s">
        <v>13986</v>
      </c>
      <c r="B8395" s="451"/>
      <c r="C8395" s="451" t="s">
        <v>13987</v>
      </c>
      <c r="D8395" s="451"/>
      <c r="E8395" s="451"/>
      <c r="F8395" s="451"/>
      <c r="G8395" s="451" t="s">
        <v>22882</v>
      </c>
      <c r="H8395" s="451" t="s">
        <v>22883</v>
      </c>
      <c r="I8395" s="451" t="s">
        <v>37289</v>
      </c>
      <c r="J8395" s="451" t="s">
        <v>22939</v>
      </c>
      <c r="K8395" s="451"/>
    </row>
    <row r="8396" spans="1:11">
      <c r="A8396" s="450" t="s">
        <v>13988</v>
      </c>
      <c r="B8396" s="450"/>
      <c r="C8396" s="450" t="s">
        <v>13989</v>
      </c>
      <c r="D8396" s="450"/>
      <c r="E8396" s="450"/>
      <c r="F8396" s="450"/>
      <c r="G8396" s="450"/>
      <c r="H8396" s="450"/>
      <c r="I8396" s="450"/>
      <c r="J8396" s="450"/>
      <c r="K8396" s="450"/>
    </row>
    <row r="8397" spans="1:11">
      <c r="A8397" s="451" t="s">
        <v>37290</v>
      </c>
      <c r="B8397" s="451"/>
      <c r="C8397" s="451" t="s">
        <v>37291</v>
      </c>
      <c r="D8397" s="451"/>
      <c r="E8397" s="451"/>
      <c r="F8397" s="451"/>
      <c r="G8397" s="451" t="s">
        <v>22877</v>
      </c>
      <c r="H8397" s="451" t="s">
        <v>22878</v>
      </c>
      <c r="I8397" s="451" t="s">
        <v>37292</v>
      </c>
      <c r="J8397" s="451" t="s">
        <v>22939</v>
      </c>
      <c r="K8397" s="451"/>
    </row>
    <row r="8398" spans="1:11">
      <c r="A8398" s="450" t="s">
        <v>13990</v>
      </c>
      <c r="B8398" s="450"/>
      <c r="C8398" s="450" t="s">
        <v>13991</v>
      </c>
      <c r="D8398" s="450"/>
      <c r="E8398" s="450"/>
      <c r="F8398" s="450"/>
      <c r="G8398" s="450" t="s">
        <v>22877</v>
      </c>
      <c r="H8398" s="450" t="s">
        <v>22878</v>
      </c>
      <c r="I8398" s="450" t="s">
        <v>27688</v>
      </c>
      <c r="J8398" s="450" t="s">
        <v>22939</v>
      </c>
      <c r="K8398" s="450"/>
    </row>
    <row r="8399" spans="1:11">
      <c r="A8399" s="451" t="s">
        <v>13992</v>
      </c>
      <c r="B8399" s="451" t="s">
        <v>13993</v>
      </c>
      <c r="C8399" s="451" t="s">
        <v>3345</v>
      </c>
      <c r="D8399" s="451"/>
      <c r="E8399" s="451"/>
      <c r="F8399" s="451"/>
      <c r="G8399" s="451" t="s">
        <v>22877</v>
      </c>
      <c r="H8399" s="451" t="s">
        <v>22878</v>
      </c>
      <c r="I8399" s="451" t="s">
        <v>27689</v>
      </c>
      <c r="J8399" s="451" t="s">
        <v>27690</v>
      </c>
      <c r="K8399" s="451"/>
    </row>
    <row r="8400" spans="1:11">
      <c r="A8400" s="450" t="s">
        <v>13994</v>
      </c>
      <c r="B8400" s="450"/>
      <c r="C8400" s="450" t="s">
        <v>13995</v>
      </c>
      <c r="D8400" s="450"/>
      <c r="E8400" s="450"/>
      <c r="F8400" s="450"/>
      <c r="G8400" s="450" t="s">
        <v>22877</v>
      </c>
      <c r="H8400" s="450" t="s">
        <v>22878</v>
      </c>
      <c r="I8400" s="450" t="s">
        <v>27691</v>
      </c>
      <c r="J8400" s="450" t="s">
        <v>23121</v>
      </c>
      <c r="K8400" s="450"/>
    </row>
    <row r="8401" spans="1:11">
      <c r="A8401" s="451" t="s">
        <v>31989</v>
      </c>
      <c r="B8401" s="451" t="s">
        <v>13996</v>
      </c>
      <c r="C8401" s="451" t="s">
        <v>5417</v>
      </c>
      <c r="D8401" s="451" t="s">
        <v>13997</v>
      </c>
      <c r="E8401" s="451"/>
      <c r="F8401" s="451"/>
      <c r="G8401" s="451" t="s">
        <v>22882</v>
      </c>
      <c r="H8401" s="451" t="s">
        <v>22883</v>
      </c>
      <c r="I8401" s="451" t="s">
        <v>24865</v>
      </c>
      <c r="J8401" s="451" t="s">
        <v>27692</v>
      </c>
      <c r="K8401" s="451"/>
    </row>
    <row r="8402" spans="1:11">
      <c r="A8402" s="450" t="s">
        <v>21854</v>
      </c>
      <c r="B8402" s="450" t="s">
        <v>13996</v>
      </c>
      <c r="C8402" s="450" t="s">
        <v>5417</v>
      </c>
      <c r="D8402" s="450" t="s">
        <v>13997</v>
      </c>
      <c r="E8402" s="450" t="s">
        <v>13998</v>
      </c>
      <c r="F8402" s="450"/>
      <c r="G8402" s="450"/>
      <c r="H8402" s="450"/>
      <c r="I8402" s="450"/>
      <c r="J8402" s="450"/>
      <c r="K8402" s="450"/>
    </row>
    <row r="8403" spans="1:11">
      <c r="A8403" s="451" t="s">
        <v>13999</v>
      </c>
      <c r="B8403" s="451"/>
      <c r="C8403" s="451" t="s">
        <v>5651</v>
      </c>
      <c r="D8403" s="451"/>
      <c r="E8403" s="451"/>
      <c r="F8403" s="451"/>
      <c r="G8403" s="451"/>
      <c r="H8403" s="451"/>
      <c r="I8403" s="451"/>
      <c r="J8403" s="451"/>
      <c r="K8403" s="451"/>
    </row>
    <row r="8404" spans="1:11">
      <c r="A8404" s="450" t="s">
        <v>20165</v>
      </c>
      <c r="B8404" s="450"/>
      <c r="C8404" s="450" t="s">
        <v>13995</v>
      </c>
      <c r="D8404" s="450"/>
      <c r="E8404" s="450"/>
      <c r="F8404" s="450"/>
      <c r="G8404" s="450"/>
      <c r="H8404" s="450"/>
      <c r="I8404" s="450"/>
      <c r="J8404" s="450"/>
      <c r="K8404" s="450"/>
    </row>
    <row r="8405" spans="1:11">
      <c r="A8405" s="451" t="s">
        <v>20166</v>
      </c>
      <c r="B8405" s="451" t="s">
        <v>20167</v>
      </c>
      <c r="C8405" s="451" t="s">
        <v>20168</v>
      </c>
      <c r="D8405" s="451" t="s">
        <v>20169</v>
      </c>
      <c r="E8405" s="451"/>
      <c r="F8405" s="451"/>
      <c r="G8405" s="451"/>
      <c r="H8405" s="451"/>
      <c r="I8405" s="451"/>
      <c r="J8405" s="451"/>
      <c r="K8405" s="451"/>
    </row>
    <row r="8406" spans="1:11">
      <c r="A8406" s="450" t="s">
        <v>20170</v>
      </c>
      <c r="B8406" s="450"/>
      <c r="C8406" s="450" t="s">
        <v>20171</v>
      </c>
      <c r="D8406" s="450"/>
      <c r="E8406" s="450"/>
      <c r="F8406" s="450"/>
      <c r="G8406" s="450"/>
      <c r="H8406" s="450"/>
      <c r="I8406" s="450"/>
      <c r="J8406" s="450"/>
      <c r="K8406" s="450"/>
    </row>
    <row r="8407" spans="1:11">
      <c r="A8407" s="451" t="s">
        <v>14000</v>
      </c>
      <c r="B8407" s="451" t="s">
        <v>14001</v>
      </c>
      <c r="C8407" s="451" t="s">
        <v>14002</v>
      </c>
      <c r="D8407" s="451"/>
      <c r="E8407" s="451"/>
      <c r="F8407" s="451"/>
      <c r="G8407" s="451"/>
      <c r="H8407" s="451"/>
      <c r="I8407" s="451"/>
      <c r="J8407" s="451"/>
      <c r="K8407" s="451"/>
    </row>
    <row r="8408" spans="1:11">
      <c r="A8408" s="450" t="s">
        <v>14003</v>
      </c>
      <c r="B8408" s="450"/>
      <c r="C8408" s="450" t="s">
        <v>14004</v>
      </c>
      <c r="D8408" s="450"/>
      <c r="E8408" s="450"/>
      <c r="F8408" s="450"/>
      <c r="G8408" s="450" t="s">
        <v>22882</v>
      </c>
      <c r="H8408" s="450" t="s">
        <v>22883</v>
      </c>
      <c r="I8408" s="450"/>
      <c r="J8408" s="450" t="s">
        <v>22939</v>
      </c>
      <c r="K8408" s="450"/>
    </row>
    <row r="8409" spans="1:11">
      <c r="A8409" s="451" t="s">
        <v>14005</v>
      </c>
      <c r="B8409" s="451"/>
      <c r="C8409" s="451" t="s">
        <v>10413</v>
      </c>
      <c r="D8409" s="451"/>
      <c r="E8409" s="451"/>
      <c r="F8409" s="451"/>
      <c r="G8409" s="451"/>
      <c r="H8409" s="451"/>
      <c r="I8409" s="451"/>
      <c r="J8409" s="451"/>
      <c r="K8409" s="451"/>
    </row>
    <row r="8410" spans="1:11">
      <c r="A8410" s="450" t="s">
        <v>37293</v>
      </c>
      <c r="B8410" s="450"/>
      <c r="C8410" s="450" t="s">
        <v>10413</v>
      </c>
      <c r="D8410" s="450"/>
      <c r="E8410" s="450"/>
      <c r="F8410" s="450"/>
      <c r="G8410" s="450" t="s">
        <v>22882</v>
      </c>
      <c r="H8410" s="450" t="s">
        <v>22883</v>
      </c>
      <c r="I8410" s="450" t="s">
        <v>37294</v>
      </c>
      <c r="J8410" s="450" t="s">
        <v>22997</v>
      </c>
      <c r="K8410" s="450"/>
    </row>
    <row r="8411" spans="1:11">
      <c r="A8411" s="451" t="s">
        <v>14006</v>
      </c>
      <c r="B8411" s="451"/>
      <c r="C8411" s="451" t="s">
        <v>3686</v>
      </c>
      <c r="D8411" s="451"/>
      <c r="E8411" s="451"/>
      <c r="F8411" s="451"/>
      <c r="G8411" s="451" t="s">
        <v>22877</v>
      </c>
      <c r="H8411" s="451" t="s">
        <v>22878</v>
      </c>
      <c r="I8411" s="451" t="s">
        <v>35549</v>
      </c>
      <c r="J8411" s="451" t="s">
        <v>22939</v>
      </c>
      <c r="K8411" s="451"/>
    </row>
    <row r="8412" spans="1:11">
      <c r="A8412" s="450" t="s">
        <v>14007</v>
      </c>
      <c r="B8412" s="450"/>
      <c r="C8412" s="450" t="s">
        <v>9671</v>
      </c>
      <c r="D8412" s="450"/>
      <c r="E8412" s="450"/>
      <c r="F8412" s="450"/>
      <c r="G8412" s="450" t="s">
        <v>22882</v>
      </c>
      <c r="H8412" s="450" t="s">
        <v>22883</v>
      </c>
      <c r="I8412" s="450" t="s">
        <v>27693</v>
      </c>
      <c r="J8412" s="450" t="s">
        <v>23185</v>
      </c>
      <c r="K8412" s="450"/>
    </row>
    <row r="8413" spans="1:11">
      <c r="A8413" s="451" t="s">
        <v>14008</v>
      </c>
      <c r="B8413" s="451" t="s">
        <v>14009</v>
      </c>
      <c r="C8413" s="451" t="s">
        <v>14010</v>
      </c>
      <c r="D8413" s="451" t="s">
        <v>14011</v>
      </c>
      <c r="E8413" s="451"/>
      <c r="F8413" s="451"/>
      <c r="G8413" s="451" t="s">
        <v>22877</v>
      </c>
      <c r="H8413" s="451" t="s">
        <v>22878</v>
      </c>
      <c r="I8413" s="451" t="s">
        <v>37295</v>
      </c>
      <c r="J8413" s="451" t="s">
        <v>37296</v>
      </c>
      <c r="K8413" s="451"/>
    </row>
    <row r="8414" spans="1:11">
      <c r="A8414" s="450" t="s">
        <v>14008</v>
      </c>
      <c r="B8414" s="450" t="s">
        <v>14009</v>
      </c>
      <c r="C8414" s="450" t="s">
        <v>14010</v>
      </c>
      <c r="D8414" s="450" t="s">
        <v>14011</v>
      </c>
      <c r="E8414" s="450" t="s">
        <v>14012</v>
      </c>
      <c r="F8414" s="450"/>
      <c r="G8414" s="450"/>
      <c r="H8414" s="450"/>
      <c r="I8414" s="450"/>
      <c r="J8414" s="450"/>
      <c r="K8414" s="450"/>
    </row>
    <row r="8415" spans="1:11">
      <c r="A8415" s="451" t="s">
        <v>37297</v>
      </c>
      <c r="B8415" s="451"/>
      <c r="C8415" s="451" t="s">
        <v>7802</v>
      </c>
      <c r="D8415" s="451"/>
      <c r="E8415" s="451"/>
      <c r="F8415" s="451"/>
      <c r="G8415" s="451" t="s">
        <v>22877</v>
      </c>
      <c r="H8415" s="451" t="s">
        <v>22878</v>
      </c>
      <c r="I8415" s="451" t="s">
        <v>35164</v>
      </c>
      <c r="J8415" s="451" t="s">
        <v>22943</v>
      </c>
      <c r="K8415" s="451"/>
    </row>
    <row r="8416" spans="1:11">
      <c r="A8416" s="450" t="s">
        <v>14013</v>
      </c>
      <c r="B8416" s="450"/>
      <c r="C8416" s="450" t="s">
        <v>7802</v>
      </c>
      <c r="D8416" s="450"/>
      <c r="E8416" s="450"/>
      <c r="F8416" s="450"/>
      <c r="G8416" s="450"/>
      <c r="H8416" s="450"/>
      <c r="I8416" s="450"/>
      <c r="J8416" s="450"/>
      <c r="K8416" s="450"/>
    </row>
    <row r="8417" spans="1:11">
      <c r="A8417" s="451" t="s">
        <v>14014</v>
      </c>
      <c r="B8417" s="451" t="s">
        <v>14015</v>
      </c>
      <c r="C8417" s="451" t="s">
        <v>14016</v>
      </c>
      <c r="D8417" s="451" t="s">
        <v>14017</v>
      </c>
      <c r="E8417" s="451"/>
      <c r="F8417" s="451"/>
      <c r="G8417" s="451" t="s">
        <v>22882</v>
      </c>
      <c r="H8417" s="451" t="s">
        <v>22883</v>
      </c>
      <c r="I8417" s="451" t="s">
        <v>14017</v>
      </c>
      <c r="J8417" s="451" t="s">
        <v>27694</v>
      </c>
      <c r="K8417" s="451"/>
    </row>
    <row r="8418" spans="1:11">
      <c r="A8418" s="450" t="s">
        <v>14018</v>
      </c>
      <c r="B8418" s="450"/>
      <c r="C8418" s="450" t="s">
        <v>14019</v>
      </c>
      <c r="D8418" s="450"/>
      <c r="E8418" s="450"/>
      <c r="F8418" s="450"/>
      <c r="G8418" s="450" t="s">
        <v>22877</v>
      </c>
      <c r="H8418" s="450" t="s">
        <v>22878</v>
      </c>
      <c r="I8418" s="450" t="s">
        <v>27695</v>
      </c>
      <c r="J8418" s="450" t="s">
        <v>22939</v>
      </c>
      <c r="K8418" s="450"/>
    </row>
    <row r="8419" spans="1:11">
      <c r="A8419" s="451" t="s">
        <v>14020</v>
      </c>
      <c r="B8419" s="451" t="s">
        <v>14021</v>
      </c>
      <c r="C8419" s="451" t="s">
        <v>14022</v>
      </c>
      <c r="D8419" s="451" t="s">
        <v>14023</v>
      </c>
      <c r="E8419" s="451"/>
      <c r="F8419" s="451"/>
      <c r="G8419" s="451" t="s">
        <v>22877</v>
      </c>
      <c r="H8419" s="451" t="s">
        <v>22878</v>
      </c>
      <c r="I8419" s="451" t="s">
        <v>27696</v>
      </c>
      <c r="J8419" s="451" t="s">
        <v>37298</v>
      </c>
      <c r="K8419" s="451"/>
    </row>
    <row r="8420" spans="1:11">
      <c r="A8420" s="450" t="s">
        <v>14020</v>
      </c>
      <c r="B8420" s="450" t="s">
        <v>14021</v>
      </c>
      <c r="C8420" s="450" t="s">
        <v>14022</v>
      </c>
      <c r="D8420" s="450" t="s">
        <v>14023</v>
      </c>
      <c r="E8420" s="450" t="s">
        <v>14024</v>
      </c>
      <c r="F8420" s="450"/>
      <c r="G8420" s="450"/>
      <c r="H8420" s="450"/>
      <c r="I8420" s="450"/>
      <c r="J8420" s="450"/>
      <c r="K8420" s="450"/>
    </row>
    <row r="8421" spans="1:11">
      <c r="A8421" s="451" t="s">
        <v>14025</v>
      </c>
      <c r="B8421" s="451" t="s">
        <v>14026</v>
      </c>
      <c r="C8421" s="451" t="s">
        <v>14027</v>
      </c>
      <c r="D8421" s="451" t="s">
        <v>14028</v>
      </c>
      <c r="E8421" s="451"/>
      <c r="F8421" s="451"/>
      <c r="G8421" s="451" t="s">
        <v>22877</v>
      </c>
      <c r="H8421" s="451" t="s">
        <v>22878</v>
      </c>
      <c r="I8421" s="451" t="s">
        <v>14028</v>
      </c>
      <c r="J8421" s="451" t="s">
        <v>27697</v>
      </c>
      <c r="K8421" s="451"/>
    </row>
    <row r="8422" spans="1:11">
      <c r="A8422" s="450" t="s">
        <v>14029</v>
      </c>
      <c r="B8422" s="450"/>
      <c r="C8422" s="450" t="s">
        <v>14030</v>
      </c>
      <c r="D8422" s="450"/>
      <c r="E8422" s="450"/>
      <c r="F8422" s="450"/>
      <c r="G8422" s="450" t="s">
        <v>22882</v>
      </c>
      <c r="H8422" s="450" t="s">
        <v>22883</v>
      </c>
      <c r="I8422" s="450" t="s">
        <v>37299</v>
      </c>
      <c r="J8422" s="450" t="s">
        <v>22943</v>
      </c>
      <c r="K8422" s="450"/>
    </row>
    <row r="8423" spans="1:11">
      <c r="A8423" s="451" t="s">
        <v>14031</v>
      </c>
      <c r="B8423" s="451" t="s">
        <v>14032</v>
      </c>
      <c r="C8423" s="451" t="s">
        <v>14033</v>
      </c>
      <c r="D8423" s="451"/>
      <c r="E8423" s="451"/>
      <c r="F8423" s="451"/>
      <c r="G8423" s="451"/>
      <c r="H8423" s="451"/>
      <c r="I8423" s="451"/>
      <c r="J8423" s="451"/>
      <c r="K8423" s="451"/>
    </row>
    <row r="8424" spans="1:11">
      <c r="A8424" s="450" t="s">
        <v>14034</v>
      </c>
      <c r="B8424" s="450" t="s">
        <v>14035</v>
      </c>
      <c r="C8424" s="450" t="s">
        <v>14036</v>
      </c>
      <c r="D8424" s="450"/>
      <c r="E8424" s="450"/>
      <c r="F8424" s="450"/>
      <c r="G8424" s="450"/>
      <c r="H8424" s="450"/>
      <c r="I8424" s="450"/>
      <c r="J8424" s="450"/>
      <c r="K8424" s="450"/>
    </row>
    <row r="8425" spans="1:11">
      <c r="A8425" s="451" t="s">
        <v>14037</v>
      </c>
      <c r="B8425" s="451"/>
      <c r="C8425" s="451" t="s">
        <v>14038</v>
      </c>
      <c r="D8425" s="451"/>
      <c r="E8425" s="451"/>
      <c r="F8425" s="451"/>
      <c r="G8425" s="451"/>
      <c r="H8425" s="451"/>
      <c r="I8425" s="451"/>
      <c r="J8425" s="451"/>
      <c r="K8425" s="451"/>
    </row>
    <row r="8426" spans="1:11">
      <c r="A8426" s="450" t="s">
        <v>14039</v>
      </c>
      <c r="B8426" s="450"/>
      <c r="C8426" s="450" t="s">
        <v>14040</v>
      </c>
      <c r="D8426" s="450"/>
      <c r="E8426" s="450"/>
      <c r="F8426" s="450"/>
      <c r="G8426" s="450" t="s">
        <v>22882</v>
      </c>
      <c r="H8426" s="450" t="s">
        <v>22883</v>
      </c>
      <c r="I8426" s="450"/>
      <c r="J8426" s="450" t="s">
        <v>22997</v>
      </c>
      <c r="K8426" s="450"/>
    </row>
    <row r="8427" spans="1:11">
      <c r="A8427" s="451" t="s">
        <v>37300</v>
      </c>
      <c r="B8427" s="451"/>
      <c r="C8427" s="451" t="s">
        <v>14042</v>
      </c>
      <c r="D8427" s="451"/>
      <c r="E8427" s="451"/>
      <c r="F8427" s="451"/>
      <c r="G8427" s="451" t="s">
        <v>22882</v>
      </c>
      <c r="H8427" s="451" t="s">
        <v>22883</v>
      </c>
      <c r="I8427" s="451"/>
      <c r="J8427" s="451" t="s">
        <v>22943</v>
      </c>
      <c r="K8427" s="451"/>
    </row>
    <row r="8428" spans="1:11">
      <c r="A8428" s="450" t="s">
        <v>14041</v>
      </c>
      <c r="B8428" s="450"/>
      <c r="C8428" s="450" t="s">
        <v>14042</v>
      </c>
      <c r="D8428" s="450"/>
      <c r="E8428" s="450"/>
      <c r="F8428" s="450"/>
      <c r="G8428" s="450"/>
      <c r="H8428" s="450"/>
      <c r="I8428" s="450"/>
      <c r="J8428" s="450"/>
      <c r="K8428" s="450"/>
    </row>
    <row r="8429" spans="1:11">
      <c r="A8429" s="451" t="s">
        <v>37301</v>
      </c>
      <c r="B8429" s="451" t="s">
        <v>14043</v>
      </c>
      <c r="C8429" s="451" t="s">
        <v>14044</v>
      </c>
      <c r="D8429" s="451" t="s">
        <v>14045</v>
      </c>
      <c r="E8429" s="451"/>
      <c r="F8429" s="451"/>
      <c r="G8429" s="451" t="s">
        <v>22877</v>
      </c>
      <c r="H8429" s="451" t="s">
        <v>22878</v>
      </c>
      <c r="I8429" s="451" t="s">
        <v>14045</v>
      </c>
      <c r="J8429" s="451" t="s">
        <v>37302</v>
      </c>
      <c r="K8429" s="451"/>
    </row>
    <row r="8430" spans="1:11">
      <c r="A8430" s="450" t="s">
        <v>21855</v>
      </c>
      <c r="B8430" s="450" t="s">
        <v>14043</v>
      </c>
      <c r="C8430" s="450" t="s">
        <v>14044</v>
      </c>
      <c r="D8430" s="450" t="s">
        <v>14045</v>
      </c>
      <c r="E8430" s="450"/>
      <c r="F8430" s="450"/>
      <c r="G8430" s="450"/>
      <c r="H8430" s="450"/>
      <c r="I8430" s="450"/>
      <c r="J8430" s="450"/>
      <c r="K8430" s="450"/>
    </row>
    <row r="8431" spans="1:11">
      <c r="A8431" s="451" t="s">
        <v>14046</v>
      </c>
      <c r="B8431" s="451" t="s">
        <v>14047</v>
      </c>
      <c r="C8431" s="451" t="s">
        <v>14044</v>
      </c>
      <c r="D8431" s="451" t="s">
        <v>14048</v>
      </c>
      <c r="E8431" s="451"/>
      <c r="F8431" s="451"/>
      <c r="G8431" s="451" t="s">
        <v>22882</v>
      </c>
      <c r="H8431" s="451" t="s">
        <v>22883</v>
      </c>
      <c r="I8431" s="451" t="s">
        <v>37303</v>
      </c>
      <c r="J8431" s="451" t="s">
        <v>37304</v>
      </c>
      <c r="K8431" s="451"/>
    </row>
    <row r="8432" spans="1:11">
      <c r="A8432" s="450" t="s">
        <v>14046</v>
      </c>
      <c r="B8432" s="450" t="s">
        <v>14047</v>
      </c>
      <c r="C8432" s="450" t="s">
        <v>14044</v>
      </c>
      <c r="D8432" s="450" t="s">
        <v>14048</v>
      </c>
      <c r="E8432" s="450" t="s">
        <v>14049</v>
      </c>
      <c r="F8432" s="450"/>
      <c r="G8432" s="450"/>
      <c r="H8432" s="450"/>
      <c r="I8432" s="450"/>
      <c r="J8432" s="450"/>
      <c r="K8432" s="450"/>
    </row>
    <row r="8433" spans="1:11">
      <c r="A8433" s="451" t="s">
        <v>14050</v>
      </c>
      <c r="B8433" s="451"/>
      <c r="C8433" s="451" t="s">
        <v>14051</v>
      </c>
      <c r="D8433" s="451"/>
      <c r="E8433" s="451"/>
      <c r="F8433" s="451"/>
      <c r="G8433" s="451" t="s">
        <v>22877</v>
      </c>
      <c r="H8433" s="451" t="s">
        <v>22878</v>
      </c>
      <c r="I8433" s="451" t="s">
        <v>27698</v>
      </c>
      <c r="J8433" s="451" t="s">
        <v>22943</v>
      </c>
      <c r="K8433" s="451"/>
    </row>
    <row r="8434" spans="1:11">
      <c r="A8434" s="450" t="s">
        <v>27699</v>
      </c>
      <c r="B8434" s="450" t="s">
        <v>27700</v>
      </c>
      <c r="C8434" s="450" t="s">
        <v>27701</v>
      </c>
      <c r="D8434" s="450"/>
      <c r="E8434" s="450"/>
      <c r="F8434" s="450"/>
      <c r="G8434" s="450" t="s">
        <v>22877</v>
      </c>
      <c r="H8434" s="450" t="s">
        <v>22878</v>
      </c>
      <c r="I8434" s="450" t="s">
        <v>27702</v>
      </c>
      <c r="J8434" s="450" t="s">
        <v>27703</v>
      </c>
      <c r="K8434" s="450"/>
    </row>
    <row r="8435" spans="1:11">
      <c r="A8435" s="451" t="s">
        <v>14052</v>
      </c>
      <c r="B8435" s="451" t="s">
        <v>7553</v>
      </c>
      <c r="C8435" s="451" t="s">
        <v>14053</v>
      </c>
      <c r="D8435" s="451"/>
      <c r="E8435" s="451"/>
      <c r="F8435" s="451"/>
      <c r="G8435" s="451" t="s">
        <v>22882</v>
      </c>
      <c r="H8435" s="451" t="s">
        <v>22883</v>
      </c>
      <c r="I8435" s="451" t="s">
        <v>27704</v>
      </c>
      <c r="J8435" s="451" t="s">
        <v>27705</v>
      </c>
      <c r="K8435" s="451"/>
    </row>
    <row r="8436" spans="1:11">
      <c r="A8436" s="450" t="s">
        <v>14054</v>
      </c>
      <c r="B8436" s="450"/>
      <c r="C8436" s="450" t="s">
        <v>1937</v>
      </c>
      <c r="D8436" s="450"/>
      <c r="E8436" s="450"/>
      <c r="F8436" s="450"/>
      <c r="G8436" s="450" t="s">
        <v>22882</v>
      </c>
      <c r="H8436" s="450" t="s">
        <v>22883</v>
      </c>
      <c r="I8436" s="450" t="s">
        <v>27706</v>
      </c>
      <c r="J8436" s="450" t="s">
        <v>23121</v>
      </c>
      <c r="K8436" s="450"/>
    </row>
    <row r="8437" spans="1:11">
      <c r="A8437" s="451" t="s">
        <v>37305</v>
      </c>
      <c r="B8437" s="451" t="s">
        <v>14056</v>
      </c>
      <c r="C8437" s="451" t="s">
        <v>14057</v>
      </c>
      <c r="D8437" s="451" t="s">
        <v>14058</v>
      </c>
      <c r="E8437" s="451"/>
      <c r="F8437" s="451"/>
      <c r="G8437" s="451" t="s">
        <v>22877</v>
      </c>
      <c r="H8437" s="451" t="s">
        <v>22878</v>
      </c>
      <c r="I8437" s="451" t="s">
        <v>37306</v>
      </c>
      <c r="J8437" s="451" t="s">
        <v>37307</v>
      </c>
      <c r="K8437" s="451"/>
    </row>
    <row r="8438" spans="1:11">
      <c r="A8438" s="450" t="s">
        <v>14055</v>
      </c>
      <c r="B8438" s="450" t="s">
        <v>14056</v>
      </c>
      <c r="C8438" s="450" t="s">
        <v>14057</v>
      </c>
      <c r="D8438" s="450" t="s">
        <v>14058</v>
      </c>
      <c r="E8438" s="450" t="s">
        <v>14059</v>
      </c>
      <c r="F8438" s="450"/>
      <c r="G8438" s="450"/>
      <c r="H8438" s="450"/>
      <c r="I8438" s="450"/>
      <c r="J8438" s="450"/>
      <c r="K8438" s="450"/>
    </row>
    <row r="8439" spans="1:11">
      <c r="A8439" s="451" t="s">
        <v>14060</v>
      </c>
      <c r="B8439" s="451"/>
      <c r="C8439" s="451" t="s">
        <v>14061</v>
      </c>
      <c r="D8439" s="451"/>
      <c r="E8439" s="451"/>
      <c r="F8439" s="451"/>
      <c r="G8439" s="451" t="s">
        <v>22882</v>
      </c>
      <c r="H8439" s="451" t="s">
        <v>22883</v>
      </c>
      <c r="I8439" s="451" t="s">
        <v>37308</v>
      </c>
      <c r="J8439" s="451" t="s">
        <v>22943</v>
      </c>
      <c r="K8439" s="451"/>
    </row>
    <row r="8440" spans="1:11">
      <c r="A8440" s="450" t="s">
        <v>37309</v>
      </c>
      <c r="B8440" s="450"/>
      <c r="C8440" s="450" t="s">
        <v>14063</v>
      </c>
      <c r="D8440" s="450"/>
      <c r="E8440" s="450"/>
      <c r="F8440" s="450"/>
      <c r="G8440" s="450" t="s">
        <v>22877</v>
      </c>
      <c r="H8440" s="450" t="s">
        <v>22878</v>
      </c>
      <c r="I8440" s="450" t="s">
        <v>37310</v>
      </c>
      <c r="J8440" s="450" t="s">
        <v>22943</v>
      </c>
      <c r="K8440" s="450"/>
    </row>
    <row r="8441" spans="1:11">
      <c r="A8441" s="451" t="s">
        <v>14062</v>
      </c>
      <c r="B8441" s="451"/>
      <c r="C8441" s="451" t="s">
        <v>14063</v>
      </c>
      <c r="D8441" s="451"/>
      <c r="E8441" s="451"/>
      <c r="F8441" s="451"/>
      <c r="G8441" s="451"/>
      <c r="H8441" s="451"/>
      <c r="I8441" s="451"/>
      <c r="J8441" s="451"/>
      <c r="K8441" s="451"/>
    </row>
    <row r="8442" spans="1:11">
      <c r="A8442" s="450" t="s">
        <v>27707</v>
      </c>
      <c r="B8442" s="450" t="s">
        <v>14067</v>
      </c>
      <c r="C8442" s="450" t="s">
        <v>14068</v>
      </c>
      <c r="D8442" s="450"/>
      <c r="E8442" s="450"/>
      <c r="F8442" s="450"/>
      <c r="G8442" s="450" t="s">
        <v>22877</v>
      </c>
      <c r="H8442" s="450" t="s">
        <v>22878</v>
      </c>
      <c r="I8442" s="450" t="s">
        <v>27708</v>
      </c>
      <c r="J8442" s="450" t="s">
        <v>27709</v>
      </c>
      <c r="K8442" s="450"/>
    </row>
    <row r="8443" spans="1:11">
      <c r="A8443" s="451" t="s">
        <v>27710</v>
      </c>
      <c r="B8443" s="451"/>
      <c r="C8443" s="451" t="s">
        <v>14065</v>
      </c>
      <c r="D8443" s="451"/>
      <c r="E8443" s="451"/>
      <c r="F8443" s="451"/>
      <c r="G8443" s="451" t="s">
        <v>22877</v>
      </c>
      <c r="H8443" s="451" t="s">
        <v>22878</v>
      </c>
      <c r="I8443" s="451" t="s">
        <v>27711</v>
      </c>
      <c r="J8443" s="451" t="s">
        <v>23133</v>
      </c>
      <c r="K8443" s="451"/>
    </row>
    <row r="8444" spans="1:11">
      <c r="A8444" s="450" t="s">
        <v>14064</v>
      </c>
      <c r="B8444" s="450"/>
      <c r="C8444" s="450" t="s">
        <v>14065</v>
      </c>
      <c r="D8444" s="450"/>
      <c r="E8444" s="450"/>
      <c r="F8444" s="450"/>
      <c r="G8444" s="450"/>
      <c r="H8444" s="450"/>
      <c r="I8444" s="450"/>
      <c r="J8444" s="450"/>
      <c r="K8444" s="450"/>
    </row>
    <row r="8445" spans="1:11">
      <c r="A8445" s="451" t="s">
        <v>14066</v>
      </c>
      <c r="B8445" s="451" t="s">
        <v>14067</v>
      </c>
      <c r="C8445" s="451" t="s">
        <v>14068</v>
      </c>
      <c r="D8445" s="451"/>
      <c r="E8445" s="451"/>
      <c r="F8445" s="451"/>
      <c r="G8445" s="451"/>
      <c r="H8445" s="451"/>
      <c r="I8445" s="451"/>
      <c r="J8445" s="451"/>
      <c r="K8445" s="451"/>
    </row>
    <row r="8446" spans="1:11">
      <c r="A8446" s="450" t="s">
        <v>14069</v>
      </c>
      <c r="B8446" s="450" t="s">
        <v>27712</v>
      </c>
      <c r="C8446" s="450" t="s">
        <v>14071</v>
      </c>
      <c r="D8446" s="450" t="s">
        <v>14072</v>
      </c>
      <c r="E8446" s="450"/>
      <c r="F8446" s="450"/>
      <c r="G8446" s="450" t="s">
        <v>22877</v>
      </c>
      <c r="H8446" s="450" t="s">
        <v>22878</v>
      </c>
      <c r="I8446" s="450" t="s">
        <v>14072</v>
      </c>
      <c r="J8446" s="450" t="s">
        <v>27713</v>
      </c>
      <c r="K8446" s="450"/>
    </row>
    <row r="8447" spans="1:11">
      <c r="A8447" s="451" t="s">
        <v>14069</v>
      </c>
      <c r="B8447" s="451" t="s">
        <v>14070</v>
      </c>
      <c r="C8447" s="451" t="s">
        <v>14071</v>
      </c>
      <c r="D8447" s="451" t="s">
        <v>14072</v>
      </c>
      <c r="E8447" s="451" t="s">
        <v>14073</v>
      </c>
      <c r="F8447" s="451"/>
      <c r="G8447" s="451"/>
      <c r="H8447" s="451"/>
      <c r="I8447" s="451"/>
      <c r="J8447" s="451"/>
      <c r="K8447" s="451"/>
    </row>
    <row r="8448" spans="1:11">
      <c r="A8448" s="450" t="s">
        <v>37311</v>
      </c>
      <c r="B8448" s="450"/>
      <c r="C8448" s="450" t="s">
        <v>14075</v>
      </c>
      <c r="D8448" s="450"/>
      <c r="E8448" s="450"/>
      <c r="F8448" s="450"/>
      <c r="G8448" s="450" t="s">
        <v>22882</v>
      </c>
      <c r="H8448" s="450" t="s">
        <v>22883</v>
      </c>
      <c r="I8448" s="450"/>
      <c r="J8448" s="450" t="s">
        <v>22943</v>
      </c>
      <c r="K8448" s="450"/>
    </row>
    <row r="8449" spans="1:11">
      <c r="A8449" s="451" t="s">
        <v>14074</v>
      </c>
      <c r="B8449" s="451"/>
      <c r="C8449" s="451" t="s">
        <v>14075</v>
      </c>
      <c r="D8449" s="451"/>
      <c r="E8449" s="451"/>
      <c r="F8449" s="451"/>
      <c r="G8449" s="451"/>
      <c r="H8449" s="451"/>
      <c r="I8449" s="451"/>
      <c r="J8449" s="451"/>
      <c r="K8449" s="451"/>
    </row>
    <row r="8450" spans="1:11">
      <c r="A8450" s="450" t="s">
        <v>20963</v>
      </c>
      <c r="B8450" s="450" t="s">
        <v>20964</v>
      </c>
      <c r="C8450" s="450" t="s">
        <v>8163</v>
      </c>
      <c r="D8450" s="450" t="s">
        <v>20965</v>
      </c>
      <c r="E8450" s="450"/>
      <c r="F8450" s="450"/>
      <c r="G8450" s="450" t="s">
        <v>22877</v>
      </c>
      <c r="H8450" s="450" t="s">
        <v>22878</v>
      </c>
      <c r="I8450" s="450" t="s">
        <v>20965</v>
      </c>
      <c r="J8450" s="450" t="s">
        <v>27714</v>
      </c>
      <c r="K8450" s="450"/>
    </row>
    <row r="8451" spans="1:11">
      <c r="A8451" s="451" t="s">
        <v>14076</v>
      </c>
      <c r="B8451" s="451"/>
      <c r="C8451" s="451" t="s">
        <v>3520</v>
      </c>
      <c r="D8451" s="451"/>
      <c r="E8451" s="451"/>
      <c r="F8451" s="451"/>
      <c r="G8451" s="451" t="s">
        <v>22877</v>
      </c>
      <c r="H8451" s="451" t="s">
        <v>22878</v>
      </c>
      <c r="I8451" s="451" t="s">
        <v>37312</v>
      </c>
      <c r="J8451" s="451" t="s">
        <v>22943</v>
      </c>
      <c r="K8451" s="451"/>
    </row>
    <row r="8452" spans="1:11">
      <c r="A8452" s="450" t="s">
        <v>14077</v>
      </c>
      <c r="B8452" s="450"/>
      <c r="C8452" s="450" t="s">
        <v>14078</v>
      </c>
      <c r="D8452" s="450"/>
      <c r="E8452" s="450"/>
      <c r="F8452" s="450"/>
      <c r="G8452" s="450" t="s">
        <v>22882</v>
      </c>
      <c r="H8452" s="450" t="s">
        <v>22883</v>
      </c>
      <c r="I8452" s="450" t="s">
        <v>27715</v>
      </c>
      <c r="J8452" s="450" t="s">
        <v>22943</v>
      </c>
      <c r="K8452" s="450"/>
    </row>
    <row r="8453" spans="1:11">
      <c r="A8453" s="451" t="s">
        <v>37313</v>
      </c>
      <c r="B8453" s="451" t="s">
        <v>14080</v>
      </c>
      <c r="C8453" s="451" t="s">
        <v>1395</v>
      </c>
      <c r="D8453" s="451" t="s">
        <v>14081</v>
      </c>
      <c r="E8453" s="451"/>
      <c r="F8453" s="451"/>
      <c r="G8453" s="451" t="s">
        <v>22882</v>
      </c>
      <c r="H8453" s="451" t="s">
        <v>22883</v>
      </c>
      <c r="I8453" s="451" t="s">
        <v>37314</v>
      </c>
      <c r="J8453" s="451" t="s">
        <v>37315</v>
      </c>
      <c r="K8453" s="451"/>
    </row>
    <row r="8454" spans="1:11">
      <c r="A8454" s="450" t="s">
        <v>14079</v>
      </c>
      <c r="B8454" s="450" t="s">
        <v>14080</v>
      </c>
      <c r="C8454" s="450" t="s">
        <v>1395</v>
      </c>
      <c r="D8454" s="450" t="s">
        <v>14081</v>
      </c>
      <c r="E8454" s="450" t="s">
        <v>14082</v>
      </c>
      <c r="F8454" s="450"/>
      <c r="G8454" s="450"/>
      <c r="H8454" s="450"/>
      <c r="I8454" s="450"/>
      <c r="J8454" s="450"/>
      <c r="K8454" s="450"/>
    </row>
    <row r="8455" spans="1:11">
      <c r="A8455" s="451" t="s">
        <v>14083</v>
      </c>
      <c r="B8455" s="451"/>
      <c r="C8455" s="451" t="s">
        <v>4164</v>
      </c>
      <c r="D8455" s="451"/>
      <c r="E8455" s="451"/>
      <c r="F8455" s="451"/>
      <c r="G8455" s="451" t="s">
        <v>22882</v>
      </c>
      <c r="H8455" s="451" t="s">
        <v>22883</v>
      </c>
      <c r="I8455" s="451" t="s">
        <v>37316</v>
      </c>
      <c r="J8455" s="451" t="s">
        <v>22943</v>
      </c>
      <c r="K8455" s="451"/>
    </row>
    <row r="8456" spans="1:11">
      <c r="A8456" s="450" t="s">
        <v>14084</v>
      </c>
      <c r="B8456" s="450"/>
      <c r="C8456" s="450" t="s">
        <v>2133</v>
      </c>
      <c r="D8456" s="450"/>
      <c r="E8456" s="450"/>
      <c r="F8456" s="450"/>
      <c r="G8456" s="450"/>
      <c r="H8456" s="450"/>
      <c r="I8456" s="450"/>
      <c r="J8456" s="450"/>
      <c r="K8456" s="450"/>
    </row>
    <row r="8457" spans="1:11">
      <c r="A8457" s="451" t="s">
        <v>37317</v>
      </c>
      <c r="B8457" s="451"/>
      <c r="C8457" s="451" t="s">
        <v>2133</v>
      </c>
      <c r="D8457" s="451"/>
      <c r="E8457" s="451"/>
      <c r="F8457" s="451"/>
      <c r="G8457" s="451" t="s">
        <v>22877</v>
      </c>
      <c r="H8457" s="451" t="s">
        <v>22878</v>
      </c>
      <c r="I8457" s="451" t="s">
        <v>35045</v>
      </c>
      <c r="J8457" s="451" t="s">
        <v>22943</v>
      </c>
      <c r="K8457" s="451"/>
    </row>
    <row r="8458" spans="1:11">
      <c r="A8458" s="450" t="s">
        <v>14085</v>
      </c>
      <c r="B8458" s="450"/>
      <c r="C8458" s="450" t="s">
        <v>14086</v>
      </c>
      <c r="D8458" s="450"/>
      <c r="E8458" s="450"/>
      <c r="F8458" s="450"/>
      <c r="G8458" s="450" t="s">
        <v>22877</v>
      </c>
      <c r="H8458" s="450" t="s">
        <v>22878</v>
      </c>
      <c r="I8458" s="450" t="s">
        <v>27716</v>
      </c>
      <c r="J8458" s="450" t="s">
        <v>22939</v>
      </c>
      <c r="K8458" s="450"/>
    </row>
    <row r="8459" spans="1:11">
      <c r="A8459" s="451" t="s">
        <v>14087</v>
      </c>
      <c r="B8459" s="451"/>
      <c r="C8459" s="451" t="s">
        <v>14088</v>
      </c>
      <c r="D8459" s="451"/>
      <c r="E8459" s="451"/>
      <c r="F8459" s="451"/>
      <c r="G8459" s="451"/>
      <c r="H8459" s="451"/>
      <c r="I8459" s="451"/>
      <c r="J8459" s="451"/>
      <c r="K8459" s="451"/>
    </row>
    <row r="8460" spans="1:11">
      <c r="A8460" s="450" t="s">
        <v>14089</v>
      </c>
      <c r="B8460" s="450" t="s">
        <v>14090</v>
      </c>
      <c r="C8460" s="450" t="s">
        <v>14091</v>
      </c>
      <c r="D8460" s="450" t="s">
        <v>14092</v>
      </c>
      <c r="E8460" s="450"/>
      <c r="F8460" s="450"/>
      <c r="G8460" s="450"/>
      <c r="H8460" s="450"/>
      <c r="I8460" s="450"/>
      <c r="J8460" s="450"/>
      <c r="K8460" s="450"/>
    </row>
    <row r="8461" spans="1:11">
      <c r="A8461" s="451" t="s">
        <v>14093</v>
      </c>
      <c r="B8461" s="451"/>
      <c r="C8461" s="451" t="s">
        <v>14094</v>
      </c>
      <c r="D8461" s="451"/>
      <c r="E8461" s="451"/>
      <c r="F8461" s="451"/>
      <c r="G8461" s="451"/>
      <c r="H8461" s="451"/>
      <c r="I8461" s="451"/>
      <c r="J8461" s="451"/>
      <c r="K8461" s="451"/>
    </row>
    <row r="8462" spans="1:11">
      <c r="A8462" s="450" t="s">
        <v>14095</v>
      </c>
      <c r="B8462" s="450"/>
      <c r="C8462" s="450" t="s">
        <v>14096</v>
      </c>
      <c r="D8462" s="450"/>
      <c r="E8462" s="450"/>
      <c r="F8462" s="450"/>
      <c r="G8462" s="450"/>
      <c r="H8462" s="450"/>
      <c r="I8462" s="450"/>
      <c r="J8462" s="450"/>
      <c r="K8462" s="450"/>
    </row>
    <row r="8463" spans="1:11">
      <c r="A8463" s="451" t="s">
        <v>14097</v>
      </c>
      <c r="B8463" s="451" t="s">
        <v>14098</v>
      </c>
      <c r="C8463" s="451" t="s">
        <v>14099</v>
      </c>
      <c r="D8463" s="451" t="s">
        <v>14100</v>
      </c>
      <c r="E8463" s="451"/>
      <c r="F8463" s="451" t="s">
        <v>14101</v>
      </c>
      <c r="G8463" s="451"/>
      <c r="H8463" s="451"/>
      <c r="I8463" s="451"/>
      <c r="J8463" s="451"/>
      <c r="K8463" s="451"/>
    </row>
    <row r="8464" spans="1:11">
      <c r="A8464" s="450" t="s">
        <v>20172</v>
      </c>
      <c r="B8464" s="450" t="s">
        <v>20173</v>
      </c>
      <c r="C8464" s="450" t="s">
        <v>20174</v>
      </c>
      <c r="D8464" s="450" t="s">
        <v>20175</v>
      </c>
      <c r="E8464" s="450"/>
      <c r="F8464" s="450"/>
      <c r="G8464" s="450"/>
      <c r="H8464" s="450"/>
      <c r="I8464" s="450"/>
      <c r="J8464" s="450"/>
      <c r="K8464" s="450"/>
    </row>
    <row r="8465" spans="1:11">
      <c r="A8465" s="451" t="s">
        <v>14102</v>
      </c>
      <c r="B8465" s="451"/>
      <c r="C8465" s="451" t="s">
        <v>7544</v>
      </c>
      <c r="D8465" s="451"/>
      <c r="E8465" s="451"/>
      <c r="F8465" s="451"/>
      <c r="G8465" s="451" t="s">
        <v>22877</v>
      </c>
      <c r="H8465" s="451" t="s">
        <v>22878</v>
      </c>
      <c r="I8465" s="451" t="s">
        <v>37318</v>
      </c>
      <c r="J8465" s="451" t="s">
        <v>22939</v>
      </c>
      <c r="K8465" s="451"/>
    </row>
    <row r="8466" spans="1:11">
      <c r="A8466" s="450" t="s">
        <v>14103</v>
      </c>
      <c r="B8466" s="450"/>
      <c r="C8466" s="450" t="s">
        <v>13995</v>
      </c>
      <c r="D8466" s="450"/>
      <c r="E8466" s="450"/>
      <c r="F8466" s="450"/>
      <c r="G8466" s="450"/>
      <c r="H8466" s="450"/>
      <c r="I8466" s="450"/>
      <c r="J8466" s="450"/>
      <c r="K8466" s="450"/>
    </row>
    <row r="8467" spans="1:11">
      <c r="A8467" s="451" t="s">
        <v>14104</v>
      </c>
      <c r="B8467" s="451" t="s">
        <v>14105</v>
      </c>
      <c r="C8467" s="451" t="s">
        <v>1031</v>
      </c>
      <c r="D8467" s="451" t="s">
        <v>14106</v>
      </c>
      <c r="E8467" s="451"/>
      <c r="F8467" s="451"/>
      <c r="G8467" s="451" t="s">
        <v>22877</v>
      </c>
      <c r="H8467" s="451" t="s">
        <v>22878</v>
      </c>
      <c r="I8467" s="451" t="s">
        <v>14106</v>
      </c>
      <c r="J8467" s="451" t="s">
        <v>27717</v>
      </c>
      <c r="K8467" s="451"/>
    </row>
    <row r="8468" spans="1:11">
      <c r="A8468" s="450" t="s">
        <v>14107</v>
      </c>
      <c r="B8468" s="450"/>
      <c r="C8468" s="450" t="s">
        <v>8131</v>
      </c>
      <c r="D8468" s="450"/>
      <c r="E8468" s="450"/>
      <c r="F8468" s="450"/>
      <c r="G8468" s="450" t="s">
        <v>22882</v>
      </c>
      <c r="H8468" s="450" t="s">
        <v>22883</v>
      </c>
      <c r="I8468" s="450"/>
      <c r="J8468" s="450" t="s">
        <v>22997</v>
      </c>
      <c r="K8468" s="450"/>
    </row>
    <row r="8469" spans="1:11">
      <c r="A8469" s="451" t="s">
        <v>14108</v>
      </c>
      <c r="B8469" s="451"/>
      <c r="C8469" s="451" t="s">
        <v>10938</v>
      </c>
      <c r="D8469" s="451"/>
      <c r="E8469" s="451"/>
      <c r="F8469" s="451"/>
      <c r="G8469" s="451" t="s">
        <v>22877</v>
      </c>
      <c r="H8469" s="451" t="s">
        <v>22878</v>
      </c>
      <c r="I8469" s="451" t="s">
        <v>27718</v>
      </c>
      <c r="J8469" s="451" t="s">
        <v>22939</v>
      </c>
      <c r="K8469" s="451"/>
    </row>
    <row r="8470" spans="1:11">
      <c r="A8470" s="450" t="s">
        <v>27719</v>
      </c>
      <c r="B8470" s="450" t="s">
        <v>14195</v>
      </c>
      <c r="C8470" s="450" t="s">
        <v>12758</v>
      </c>
      <c r="D8470" s="450"/>
      <c r="E8470" s="450"/>
      <c r="F8470" s="450"/>
      <c r="G8470" s="450" t="s">
        <v>22877</v>
      </c>
      <c r="H8470" s="450" t="s">
        <v>22878</v>
      </c>
      <c r="I8470" s="450" t="s">
        <v>27720</v>
      </c>
      <c r="J8470" s="450" t="s">
        <v>27721</v>
      </c>
      <c r="K8470" s="450"/>
    </row>
    <row r="8471" spans="1:11">
      <c r="A8471" s="451" t="s">
        <v>14109</v>
      </c>
      <c r="B8471" s="451"/>
      <c r="C8471" s="451" t="s">
        <v>14110</v>
      </c>
      <c r="D8471" s="451"/>
      <c r="E8471" s="451"/>
      <c r="F8471" s="451"/>
      <c r="G8471" s="451" t="s">
        <v>22877</v>
      </c>
      <c r="H8471" s="451" t="s">
        <v>22878</v>
      </c>
      <c r="I8471" s="451" t="s">
        <v>37319</v>
      </c>
      <c r="J8471" s="451" t="s">
        <v>22939</v>
      </c>
      <c r="K8471" s="451"/>
    </row>
    <row r="8472" spans="1:11">
      <c r="A8472" s="450" t="s">
        <v>14111</v>
      </c>
      <c r="B8472" s="450"/>
      <c r="C8472" s="450" t="s">
        <v>14112</v>
      </c>
      <c r="D8472" s="450"/>
      <c r="E8472" s="450"/>
      <c r="F8472" s="450"/>
      <c r="G8472" s="450" t="s">
        <v>22877</v>
      </c>
      <c r="H8472" s="450" t="s">
        <v>22878</v>
      </c>
      <c r="I8472" s="450" t="s">
        <v>37320</v>
      </c>
      <c r="J8472" s="450" t="s">
        <v>23185</v>
      </c>
      <c r="K8472" s="450"/>
    </row>
    <row r="8473" spans="1:11">
      <c r="A8473" s="451" t="s">
        <v>14113</v>
      </c>
      <c r="B8473" s="451"/>
      <c r="C8473" s="451" t="s">
        <v>7563</v>
      </c>
      <c r="D8473" s="451"/>
      <c r="E8473" s="451"/>
      <c r="F8473" s="451"/>
      <c r="G8473" s="451" t="s">
        <v>22877</v>
      </c>
      <c r="H8473" s="451" t="s">
        <v>22878</v>
      </c>
      <c r="I8473" s="451" t="s">
        <v>37321</v>
      </c>
      <c r="J8473" s="451" t="s">
        <v>22943</v>
      </c>
      <c r="K8473" s="451"/>
    </row>
    <row r="8474" spans="1:11">
      <c r="A8474" s="450" t="s">
        <v>37322</v>
      </c>
      <c r="B8474" s="450"/>
      <c r="C8474" s="450" t="s">
        <v>7471</v>
      </c>
      <c r="D8474" s="450"/>
      <c r="E8474" s="450"/>
      <c r="F8474" s="450"/>
      <c r="G8474" s="450" t="s">
        <v>22877</v>
      </c>
      <c r="H8474" s="450" t="s">
        <v>22878</v>
      </c>
      <c r="I8474" s="450" t="s">
        <v>37323</v>
      </c>
      <c r="J8474" s="450" t="s">
        <v>22943</v>
      </c>
      <c r="K8474" s="450"/>
    </row>
    <row r="8475" spans="1:11">
      <c r="A8475" s="451" t="s">
        <v>14114</v>
      </c>
      <c r="B8475" s="451"/>
      <c r="C8475" s="451" t="s">
        <v>7471</v>
      </c>
      <c r="D8475" s="451"/>
      <c r="E8475" s="451"/>
      <c r="F8475" s="451"/>
      <c r="G8475" s="451"/>
      <c r="H8475" s="451"/>
      <c r="I8475" s="451"/>
      <c r="J8475" s="451"/>
      <c r="K8475" s="451"/>
    </row>
    <row r="8476" spans="1:11">
      <c r="A8476" s="450" t="s">
        <v>20176</v>
      </c>
      <c r="B8476" s="450"/>
      <c r="C8476" s="450" t="s">
        <v>20177</v>
      </c>
      <c r="D8476" s="450"/>
      <c r="E8476" s="450"/>
      <c r="F8476" s="450"/>
      <c r="G8476" s="450"/>
      <c r="H8476" s="450"/>
      <c r="I8476" s="450"/>
      <c r="J8476" s="450"/>
      <c r="K8476" s="450"/>
    </row>
    <row r="8477" spans="1:11">
      <c r="A8477" s="451" t="s">
        <v>14115</v>
      </c>
      <c r="B8477" s="451"/>
      <c r="C8477" s="451" t="s">
        <v>14116</v>
      </c>
      <c r="D8477" s="451"/>
      <c r="E8477" s="451"/>
      <c r="F8477" s="451"/>
      <c r="G8477" s="451" t="s">
        <v>22877</v>
      </c>
      <c r="H8477" s="451" t="s">
        <v>22878</v>
      </c>
      <c r="I8477" s="451" t="s">
        <v>27722</v>
      </c>
      <c r="J8477" s="451" t="s">
        <v>22939</v>
      </c>
      <c r="K8477" s="451"/>
    </row>
    <row r="8478" spans="1:11">
      <c r="A8478" s="450" t="s">
        <v>14117</v>
      </c>
      <c r="B8478" s="450" t="s">
        <v>14118</v>
      </c>
      <c r="C8478" s="450" t="s">
        <v>14119</v>
      </c>
      <c r="D8478" s="450" t="s">
        <v>14120</v>
      </c>
      <c r="E8478" s="450"/>
      <c r="F8478" s="450"/>
      <c r="G8478" s="450" t="s">
        <v>22877</v>
      </c>
      <c r="H8478" s="450" t="s">
        <v>22878</v>
      </c>
      <c r="I8478" s="450" t="s">
        <v>37324</v>
      </c>
      <c r="J8478" s="450" t="s">
        <v>37325</v>
      </c>
      <c r="K8478" s="450"/>
    </row>
    <row r="8479" spans="1:11">
      <c r="A8479" s="451" t="s">
        <v>14117</v>
      </c>
      <c r="B8479" s="451" t="s">
        <v>14118</v>
      </c>
      <c r="C8479" s="451" t="s">
        <v>14119</v>
      </c>
      <c r="D8479" s="451" t="s">
        <v>14120</v>
      </c>
      <c r="E8479" s="451" t="s">
        <v>14121</v>
      </c>
      <c r="F8479" s="451"/>
      <c r="G8479" s="451"/>
      <c r="H8479" s="451"/>
      <c r="I8479" s="451"/>
      <c r="J8479" s="451"/>
      <c r="K8479" s="451"/>
    </row>
    <row r="8480" spans="1:11">
      <c r="A8480" s="450" t="s">
        <v>37326</v>
      </c>
      <c r="B8480" s="450" t="s">
        <v>14123</v>
      </c>
      <c r="C8480" s="450" t="s">
        <v>37327</v>
      </c>
      <c r="D8480" s="450" t="s">
        <v>14125</v>
      </c>
      <c r="E8480" s="450"/>
      <c r="F8480" s="450"/>
      <c r="G8480" s="450" t="s">
        <v>22877</v>
      </c>
      <c r="H8480" s="450" t="s">
        <v>22878</v>
      </c>
      <c r="I8480" s="450" t="s">
        <v>37328</v>
      </c>
      <c r="J8480" s="450" t="s">
        <v>37329</v>
      </c>
      <c r="K8480" s="450"/>
    </row>
    <row r="8481" spans="1:11">
      <c r="A8481" s="451" t="s">
        <v>14122</v>
      </c>
      <c r="B8481" s="451" t="s">
        <v>14123</v>
      </c>
      <c r="C8481" s="451" t="s">
        <v>14124</v>
      </c>
      <c r="D8481" s="451" t="s">
        <v>14125</v>
      </c>
      <c r="E8481" s="451" t="s">
        <v>14126</v>
      </c>
      <c r="F8481" s="451"/>
      <c r="G8481" s="451"/>
      <c r="H8481" s="451"/>
      <c r="I8481" s="451"/>
      <c r="J8481" s="451"/>
      <c r="K8481" s="451"/>
    </row>
    <row r="8482" spans="1:11">
      <c r="A8482" s="450" t="s">
        <v>14127</v>
      </c>
      <c r="B8482" s="450"/>
      <c r="C8482" s="450" t="s">
        <v>14119</v>
      </c>
      <c r="D8482" s="450"/>
      <c r="E8482" s="450"/>
      <c r="F8482" s="450"/>
      <c r="G8482" s="450" t="s">
        <v>22877</v>
      </c>
      <c r="H8482" s="450" t="s">
        <v>22878</v>
      </c>
      <c r="I8482" s="450" t="s">
        <v>37324</v>
      </c>
      <c r="J8482" s="450" t="s">
        <v>23121</v>
      </c>
      <c r="K8482" s="450"/>
    </row>
    <row r="8483" spans="1:11">
      <c r="A8483" s="451" t="s">
        <v>14128</v>
      </c>
      <c r="B8483" s="451"/>
      <c r="C8483" s="451" t="s">
        <v>14129</v>
      </c>
      <c r="D8483" s="451"/>
      <c r="E8483" s="451"/>
      <c r="F8483" s="451"/>
      <c r="G8483" s="451" t="s">
        <v>22877</v>
      </c>
      <c r="H8483" s="451" t="s">
        <v>22878</v>
      </c>
      <c r="I8483" s="451" t="s">
        <v>27723</v>
      </c>
      <c r="J8483" s="451" t="s">
        <v>22943</v>
      </c>
      <c r="K8483" s="451"/>
    </row>
    <row r="8484" spans="1:11">
      <c r="A8484" s="450" t="s">
        <v>27724</v>
      </c>
      <c r="B8484" s="450" t="s">
        <v>27725</v>
      </c>
      <c r="C8484" s="450" t="s">
        <v>27726</v>
      </c>
      <c r="D8484" s="450"/>
      <c r="E8484" s="450"/>
      <c r="F8484" s="450"/>
      <c r="G8484" s="450" t="s">
        <v>22877</v>
      </c>
      <c r="H8484" s="450" t="s">
        <v>22878</v>
      </c>
      <c r="I8484" s="450" t="s">
        <v>27727</v>
      </c>
      <c r="J8484" s="450" t="s">
        <v>27728</v>
      </c>
      <c r="K8484" s="450"/>
    </row>
    <row r="8485" spans="1:11">
      <c r="A8485" s="451" t="s">
        <v>37330</v>
      </c>
      <c r="B8485" s="451"/>
      <c r="C8485" s="451" t="s">
        <v>5184</v>
      </c>
      <c r="D8485" s="451"/>
      <c r="E8485" s="451"/>
      <c r="F8485" s="451"/>
      <c r="G8485" s="451" t="s">
        <v>22877</v>
      </c>
      <c r="H8485" s="451" t="s">
        <v>22878</v>
      </c>
      <c r="I8485" s="451" t="s">
        <v>37331</v>
      </c>
      <c r="J8485" s="451" t="s">
        <v>22943</v>
      </c>
      <c r="K8485" s="451"/>
    </row>
    <row r="8486" spans="1:11">
      <c r="A8486" s="450" t="s">
        <v>14130</v>
      </c>
      <c r="B8486" s="450"/>
      <c r="C8486" s="450" t="s">
        <v>14131</v>
      </c>
      <c r="D8486" s="450"/>
      <c r="E8486" s="450"/>
      <c r="F8486" s="450"/>
      <c r="G8486" s="450" t="s">
        <v>22877</v>
      </c>
      <c r="H8486" s="450" t="s">
        <v>22878</v>
      </c>
      <c r="I8486" s="450" t="s">
        <v>37332</v>
      </c>
      <c r="J8486" s="450" t="s">
        <v>22997</v>
      </c>
      <c r="K8486" s="450"/>
    </row>
    <row r="8487" spans="1:11">
      <c r="A8487" s="451" t="s">
        <v>14132</v>
      </c>
      <c r="B8487" s="451"/>
      <c r="C8487" s="451" t="s">
        <v>5184</v>
      </c>
      <c r="D8487" s="451"/>
      <c r="E8487" s="451"/>
      <c r="F8487" s="451"/>
      <c r="G8487" s="451"/>
      <c r="H8487" s="451"/>
      <c r="I8487" s="451"/>
      <c r="J8487" s="451"/>
      <c r="K8487" s="451"/>
    </row>
    <row r="8488" spans="1:11">
      <c r="A8488" s="450" t="s">
        <v>14133</v>
      </c>
      <c r="B8488" s="450"/>
      <c r="C8488" s="450" t="s">
        <v>13938</v>
      </c>
      <c r="D8488" s="450"/>
      <c r="E8488" s="450"/>
      <c r="F8488" s="450"/>
      <c r="G8488" s="450" t="s">
        <v>22877</v>
      </c>
      <c r="H8488" s="450" t="s">
        <v>22878</v>
      </c>
      <c r="I8488" s="450" t="s">
        <v>37333</v>
      </c>
      <c r="J8488" s="450" t="s">
        <v>23133</v>
      </c>
      <c r="K8488" s="450"/>
    </row>
    <row r="8489" spans="1:11">
      <c r="A8489" s="451" t="s">
        <v>14134</v>
      </c>
      <c r="B8489" s="451"/>
      <c r="C8489" s="451" t="s">
        <v>14135</v>
      </c>
      <c r="D8489" s="451"/>
      <c r="E8489" s="451"/>
      <c r="F8489" s="451"/>
      <c r="G8489" s="451" t="s">
        <v>22877</v>
      </c>
      <c r="H8489" s="451" t="s">
        <v>22878</v>
      </c>
      <c r="I8489" s="451" t="s">
        <v>37334</v>
      </c>
      <c r="J8489" s="451" t="s">
        <v>22943</v>
      </c>
      <c r="K8489" s="451"/>
    </row>
    <row r="8490" spans="1:11">
      <c r="A8490" s="450" t="s">
        <v>37335</v>
      </c>
      <c r="B8490" s="450"/>
      <c r="C8490" s="450" t="s">
        <v>14137</v>
      </c>
      <c r="D8490" s="450"/>
      <c r="E8490" s="450"/>
      <c r="F8490" s="450"/>
      <c r="G8490" s="450" t="s">
        <v>22882</v>
      </c>
      <c r="H8490" s="450" t="s">
        <v>22883</v>
      </c>
      <c r="I8490" s="450"/>
      <c r="J8490" s="450" t="s">
        <v>23370</v>
      </c>
      <c r="K8490" s="450"/>
    </row>
    <row r="8491" spans="1:11">
      <c r="A8491" s="451" t="s">
        <v>14136</v>
      </c>
      <c r="B8491" s="451"/>
      <c r="C8491" s="451" t="s">
        <v>14137</v>
      </c>
      <c r="D8491" s="451"/>
      <c r="E8491" s="451"/>
      <c r="F8491" s="451"/>
      <c r="G8491" s="451"/>
      <c r="H8491" s="451"/>
      <c r="I8491" s="451"/>
      <c r="J8491" s="451"/>
      <c r="K8491" s="451"/>
    </row>
    <row r="8492" spans="1:11">
      <c r="A8492" s="450" t="s">
        <v>14138</v>
      </c>
      <c r="B8492" s="450"/>
      <c r="C8492" s="450" t="s">
        <v>5520</v>
      </c>
      <c r="D8492" s="450"/>
      <c r="E8492" s="450"/>
      <c r="F8492" s="450"/>
      <c r="G8492" s="450" t="s">
        <v>22877</v>
      </c>
      <c r="H8492" s="450" t="s">
        <v>22878</v>
      </c>
      <c r="I8492" s="450" t="s">
        <v>37336</v>
      </c>
      <c r="J8492" s="450" t="s">
        <v>22939</v>
      </c>
      <c r="K8492" s="450"/>
    </row>
    <row r="8493" spans="1:11">
      <c r="A8493" s="451" t="s">
        <v>37337</v>
      </c>
      <c r="B8493" s="451"/>
      <c r="C8493" s="451" t="s">
        <v>14140</v>
      </c>
      <c r="D8493" s="451"/>
      <c r="E8493" s="451"/>
      <c r="F8493" s="451"/>
      <c r="G8493" s="451" t="s">
        <v>22882</v>
      </c>
      <c r="H8493" s="451" t="s">
        <v>22883</v>
      </c>
      <c r="I8493" s="451" t="s">
        <v>37338</v>
      </c>
      <c r="J8493" s="451" t="s">
        <v>22939</v>
      </c>
      <c r="K8493" s="451"/>
    </row>
    <row r="8494" spans="1:11">
      <c r="A8494" s="450" t="s">
        <v>14139</v>
      </c>
      <c r="B8494" s="450"/>
      <c r="C8494" s="450" t="s">
        <v>14140</v>
      </c>
      <c r="D8494" s="450"/>
      <c r="E8494" s="450"/>
      <c r="F8494" s="450"/>
      <c r="G8494" s="450"/>
      <c r="H8494" s="450"/>
      <c r="I8494" s="450"/>
      <c r="J8494" s="450"/>
      <c r="K8494" s="450"/>
    </row>
    <row r="8495" spans="1:11">
      <c r="A8495" s="451" t="s">
        <v>14141</v>
      </c>
      <c r="B8495" s="451" t="s">
        <v>14142</v>
      </c>
      <c r="C8495" s="451" t="s">
        <v>14143</v>
      </c>
      <c r="D8495" s="451" t="s">
        <v>14144</v>
      </c>
      <c r="E8495" s="451"/>
      <c r="F8495" s="451"/>
      <c r="G8495" s="451" t="s">
        <v>22882</v>
      </c>
      <c r="H8495" s="451" t="s">
        <v>22883</v>
      </c>
      <c r="I8495" s="451" t="s">
        <v>27729</v>
      </c>
      <c r="J8495" s="451" t="s">
        <v>27730</v>
      </c>
      <c r="K8495" s="451"/>
    </row>
    <row r="8496" spans="1:11">
      <c r="A8496" s="450" t="s">
        <v>37339</v>
      </c>
      <c r="B8496" s="450"/>
      <c r="C8496" s="450" t="s">
        <v>14146</v>
      </c>
      <c r="D8496" s="450"/>
      <c r="E8496" s="450"/>
      <c r="F8496" s="450"/>
      <c r="G8496" s="450" t="s">
        <v>22882</v>
      </c>
      <c r="H8496" s="450" t="s">
        <v>22883</v>
      </c>
      <c r="I8496" s="450" t="s">
        <v>37340</v>
      </c>
      <c r="J8496" s="450" t="s">
        <v>22943</v>
      </c>
      <c r="K8496" s="450"/>
    </row>
    <row r="8497" spans="1:11">
      <c r="A8497" s="451" t="s">
        <v>14145</v>
      </c>
      <c r="B8497" s="451"/>
      <c r="C8497" s="451" t="s">
        <v>14146</v>
      </c>
      <c r="D8497" s="451"/>
      <c r="E8497" s="451"/>
      <c r="F8497" s="451"/>
      <c r="G8497" s="451"/>
      <c r="H8497" s="451"/>
      <c r="I8497" s="451"/>
      <c r="J8497" s="451"/>
      <c r="K8497" s="451"/>
    </row>
    <row r="8498" spans="1:11">
      <c r="A8498" s="450" t="s">
        <v>14147</v>
      </c>
      <c r="B8498" s="450"/>
      <c r="C8498" s="450" t="s">
        <v>9525</v>
      </c>
      <c r="D8498" s="450"/>
      <c r="E8498" s="450"/>
      <c r="F8498" s="450"/>
      <c r="G8498" s="450" t="s">
        <v>22882</v>
      </c>
      <c r="H8498" s="450" t="s">
        <v>22883</v>
      </c>
      <c r="I8498" s="450"/>
      <c r="J8498" s="450" t="s">
        <v>22939</v>
      </c>
      <c r="K8498" s="450"/>
    </row>
    <row r="8499" spans="1:11">
      <c r="A8499" s="451" t="s">
        <v>14148</v>
      </c>
      <c r="B8499" s="451"/>
      <c r="C8499" s="451" t="s">
        <v>1780</v>
      </c>
      <c r="D8499" s="451"/>
      <c r="E8499" s="451"/>
      <c r="F8499" s="451"/>
      <c r="G8499" s="451" t="s">
        <v>22877</v>
      </c>
      <c r="H8499" s="451" t="s">
        <v>22878</v>
      </c>
      <c r="I8499" s="451" t="s">
        <v>37341</v>
      </c>
      <c r="J8499" s="451" t="s">
        <v>22939</v>
      </c>
      <c r="K8499" s="451"/>
    </row>
    <row r="8500" spans="1:11">
      <c r="A8500" s="450" t="s">
        <v>37342</v>
      </c>
      <c r="B8500" s="450"/>
      <c r="C8500" s="450" t="s">
        <v>14150</v>
      </c>
      <c r="D8500" s="450"/>
      <c r="E8500" s="450"/>
      <c r="F8500" s="450"/>
      <c r="G8500" s="450" t="s">
        <v>22877</v>
      </c>
      <c r="H8500" s="450" t="s">
        <v>22878</v>
      </c>
      <c r="I8500" s="450" t="s">
        <v>37343</v>
      </c>
      <c r="J8500" s="450" t="s">
        <v>22943</v>
      </c>
      <c r="K8500" s="450"/>
    </row>
    <row r="8501" spans="1:11">
      <c r="A8501" s="451" t="s">
        <v>14149</v>
      </c>
      <c r="B8501" s="451"/>
      <c r="C8501" s="451" t="s">
        <v>14150</v>
      </c>
      <c r="D8501" s="451"/>
      <c r="E8501" s="451"/>
      <c r="F8501" s="451"/>
      <c r="G8501" s="451"/>
      <c r="H8501" s="451"/>
      <c r="I8501" s="451"/>
      <c r="J8501" s="451"/>
      <c r="K8501" s="451"/>
    </row>
    <row r="8502" spans="1:11">
      <c r="A8502" s="450" t="s">
        <v>37344</v>
      </c>
      <c r="B8502" s="450"/>
      <c r="C8502" s="450" t="s">
        <v>5208</v>
      </c>
      <c r="D8502" s="450"/>
      <c r="E8502" s="450"/>
      <c r="F8502" s="450"/>
      <c r="G8502" s="450" t="s">
        <v>22877</v>
      </c>
      <c r="H8502" s="450" t="s">
        <v>22878</v>
      </c>
      <c r="I8502" s="450" t="s">
        <v>37345</v>
      </c>
      <c r="J8502" s="450" t="s">
        <v>22943</v>
      </c>
      <c r="K8502" s="450"/>
    </row>
    <row r="8503" spans="1:11">
      <c r="A8503" s="451" t="s">
        <v>14151</v>
      </c>
      <c r="B8503" s="451"/>
      <c r="C8503" s="451" t="s">
        <v>5208</v>
      </c>
      <c r="D8503" s="451"/>
      <c r="E8503" s="451"/>
      <c r="F8503" s="451"/>
      <c r="G8503" s="451"/>
      <c r="H8503" s="451"/>
      <c r="I8503" s="451"/>
      <c r="J8503" s="451"/>
      <c r="K8503" s="451"/>
    </row>
    <row r="8504" spans="1:11">
      <c r="A8504" s="450" t="s">
        <v>37346</v>
      </c>
      <c r="B8504" s="450" t="s">
        <v>14153</v>
      </c>
      <c r="C8504" s="450" t="s">
        <v>14154</v>
      </c>
      <c r="D8504" s="450" t="s">
        <v>14155</v>
      </c>
      <c r="E8504" s="450"/>
      <c r="F8504" s="450"/>
      <c r="G8504" s="450" t="s">
        <v>22882</v>
      </c>
      <c r="H8504" s="450" t="s">
        <v>22883</v>
      </c>
      <c r="I8504" s="450" t="s">
        <v>14155</v>
      </c>
      <c r="J8504" s="450" t="s">
        <v>37347</v>
      </c>
      <c r="K8504" s="450"/>
    </row>
    <row r="8505" spans="1:11">
      <c r="A8505" s="451" t="s">
        <v>14152</v>
      </c>
      <c r="B8505" s="451" t="s">
        <v>14153</v>
      </c>
      <c r="C8505" s="451" t="s">
        <v>14154</v>
      </c>
      <c r="D8505" s="451" t="s">
        <v>14155</v>
      </c>
      <c r="E8505" s="451" t="s">
        <v>14155</v>
      </c>
      <c r="F8505" s="451"/>
      <c r="G8505" s="451"/>
      <c r="H8505" s="451"/>
      <c r="I8505" s="451"/>
      <c r="J8505" s="451"/>
      <c r="K8505" s="451"/>
    </row>
    <row r="8506" spans="1:11">
      <c r="A8506" s="450" t="s">
        <v>14156</v>
      </c>
      <c r="B8506" s="450"/>
      <c r="C8506" s="450" t="s">
        <v>14157</v>
      </c>
      <c r="D8506" s="450"/>
      <c r="E8506" s="450"/>
      <c r="F8506" s="450"/>
      <c r="G8506" s="450" t="s">
        <v>22877</v>
      </c>
      <c r="H8506" s="450" t="s">
        <v>22878</v>
      </c>
      <c r="I8506" s="450" t="s">
        <v>37348</v>
      </c>
      <c r="J8506" s="450" t="s">
        <v>23133</v>
      </c>
      <c r="K8506" s="450"/>
    </row>
    <row r="8507" spans="1:11">
      <c r="A8507" s="451" t="s">
        <v>14158</v>
      </c>
      <c r="B8507" s="451"/>
      <c r="C8507" s="451" t="s">
        <v>2880</v>
      </c>
      <c r="D8507" s="451"/>
      <c r="E8507" s="451"/>
      <c r="F8507" s="451"/>
      <c r="G8507" s="451" t="s">
        <v>22882</v>
      </c>
      <c r="H8507" s="451" t="s">
        <v>22883</v>
      </c>
      <c r="I8507" s="451"/>
      <c r="J8507" s="451" t="s">
        <v>22939</v>
      </c>
      <c r="K8507" s="451"/>
    </row>
    <row r="8508" spans="1:11">
      <c r="A8508" s="450" t="s">
        <v>27731</v>
      </c>
      <c r="B8508" s="450" t="s">
        <v>27732</v>
      </c>
      <c r="C8508" s="450" t="s">
        <v>27733</v>
      </c>
      <c r="D8508" s="450"/>
      <c r="E8508" s="450"/>
      <c r="F8508" s="450"/>
      <c r="G8508" s="450" t="s">
        <v>22877</v>
      </c>
      <c r="H8508" s="450" t="s">
        <v>22878</v>
      </c>
      <c r="I8508" s="450" t="s">
        <v>27734</v>
      </c>
      <c r="J8508" s="450" t="s">
        <v>27735</v>
      </c>
      <c r="K8508" s="450"/>
    </row>
    <row r="8509" spans="1:11">
      <c r="A8509" s="451" t="s">
        <v>30038</v>
      </c>
      <c r="B8509" s="451" t="s">
        <v>30039</v>
      </c>
      <c r="C8509" s="451" t="s">
        <v>30040</v>
      </c>
      <c r="D8509" s="451"/>
      <c r="E8509" s="451"/>
      <c r="F8509" s="451"/>
      <c r="G8509" s="451"/>
      <c r="H8509" s="451"/>
      <c r="I8509" s="451"/>
      <c r="J8509" s="451"/>
      <c r="K8509" s="451"/>
    </row>
    <row r="8510" spans="1:11">
      <c r="A8510" s="450" t="s">
        <v>14159</v>
      </c>
      <c r="B8510" s="450"/>
      <c r="C8510" s="450" t="s">
        <v>14160</v>
      </c>
      <c r="D8510" s="450"/>
      <c r="E8510" s="450"/>
      <c r="F8510" s="450"/>
      <c r="G8510" s="450" t="s">
        <v>22877</v>
      </c>
      <c r="H8510" s="450" t="s">
        <v>22878</v>
      </c>
      <c r="I8510" s="450" t="s">
        <v>37349</v>
      </c>
      <c r="J8510" s="450" t="s">
        <v>23185</v>
      </c>
      <c r="K8510" s="450"/>
    </row>
    <row r="8511" spans="1:11">
      <c r="A8511" s="451" t="s">
        <v>14161</v>
      </c>
      <c r="B8511" s="451"/>
      <c r="C8511" s="451" t="s">
        <v>14162</v>
      </c>
      <c r="D8511" s="451"/>
      <c r="E8511" s="451"/>
      <c r="F8511" s="451"/>
      <c r="G8511" s="451" t="s">
        <v>22882</v>
      </c>
      <c r="H8511" s="451" t="s">
        <v>22883</v>
      </c>
      <c r="I8511" s="451" t="s">
        <v>37350</v>
      </c>
      <c r="J8511" s="451" t="s">
        <v>23185</v>
      </c>
      <c r="K8511" s="451"/>
    </row>
    <row r="8512" spans="1:11">
      <c r="A8512" s="450" t="s">
        <v>14163</v>
      </c>
      <c r="B8512" s="450"/>
      <c r="C8512" s="450" t="s">
        <v>14164</v>
      </c>
      <c r="D8512" s="450"/>
      <c r="E8512" s="450"/>
      <c r="F8512" s="450"/>
      <c r="G8512" s="450" t="s">
        <v>22877</v>
      </c>
      <c r="H8512" s="450" t="s">
        <v>22878</v>
      </c>
      <c r="I8512" s="450" t="s">
        <v>37351</v>
      </c>
      <c r="J8512" s="450" t="s">
        <v>36280</v>
      </c>
      <c r="K8512" s="450"/>
    </row>
    <row r="8513" spans="1:11">
      <c r="A8513" s="451" t="s">
        <v>14165</v>
      </c>
      <c r="B8513" s="451"/>
      <c r="C8513" s="451" t="s">
        <v>14166</v>
      </c>
      <c r="D8513" s="451"/>
      <c r="E8513" s="451"/>
      <c r="F8513" s="451"/>
      <c r="G8513" s="451" t="s">
        <v>22877</v>
      </c>
      <c r="H8513" s="451" t="s">
        <v>22878</v>
      </c>
      <c r="I8513" s="451" t="s">
        <v>37352</v>
      </c>
      <c r="J8513" s="451" t="s">
        <v>22997</v>
      </c>
      <c r="K8513" s="451"/>
    </row>
    <row r="8514" spans="1:11">
      <c r="A8514" s="450" t="s">
        <v>21856</v>
      </c>
      <c r="B8514" s="450"/>
      <c r="C8514" s="450" t="s">
        <v>14167</v>
      </c>
      <c r="D8514" s="450"/>
      <c r="E8514" s="450"/>
      <c r="F8514" s="450"/>
      <c r="G8514" s="450" t="s">
        <v>22877</v>
      </c>
      <c r="H8514" s="450" t="s">
        <v>22878</v>
      </c>
      <c r="I8514" s="450" t="s">
        <v>27736</v>
      </c>
      <c r="J8514" s="450" t="s">
        <v>22939</v>
      </c>
      <c r="K8514" s="450"/>
    </row>
    <row r="8515" spans="1:11">
      <c r="A8515" s="451" t="s">
        <v>27737</v>
      </c>
      <c r="B8515" s="451" t="s">
        <v>27738</v>
      </c>
      <c r="C8515" s="451" t="s">
        <v>27739</v>
      </c>
      <c r="D8515" s="451"/>
      <c r="E8515" s="451"/>
      <c r="F8515" s="451"/>
      <c r="G8515" s="451" t="s">
        <v>22877</v>
      </c>
      <c r="H8515" s="451" t="s">
        <v>22878</v>
      </c>
      <c r="I8515" s="451" t="s">
        <v>27740</v>
      </c>
      <c r="J8515" s="451" t="s">
        <v>27741</v>
      </c>
      <c r="K8515" s="451"/>
    </row>
    <row r="8516" spans="1:11">
      <c r="A8516" s="450" t="s">
        <v>37353</v>
      </c>
      <c r="B8516" s="450" t="s">
        <v>37354</v>
      </c>
      <c r="C8516" s="450" t="s">
        <v>16604</v>
      </c>
      <c r="D8516" s="450" t="s">
        <v>37355</v>
      </c>
      <c r="E8516" s="450"/>
      <c r="F8516" s="450"/>
      <c r="G8516" s="450"/>
      <c r="H8516" s="450"/>
      <c r="I8516" s="450"/>
      <c r="J8516" s="450"/>
      <c r="K8516" s="450"/>
    </row>
    <row r="8517" spans="1:11">
      <c r="A8517" s="451" t="s">
        <v>14168</v>
      </c>
      <c r="B8517" s="451"/>
      <c r="C8517" s="451" t="s">
        <v>14169</v>
      </c>
      <c r="D8517" s="451"/>
      <c r="E8517" s="451"/>
      <c r="F8517" s="451"/>
      <c r="G8517" s="451" t="s">
        <v>22882</v>
      </c>
      <c r="H8517" s="451" t="s">
        <v>22883</v>
      </c>
      <c r="I8517" s="451"/>
      <c r="J8517" s="451" t="s">
        <v>23121</v>
      </c>
      <c r="K8517" s="451"/>
    </row>
    <row r="8518" spans="1:11">
      <c r="A8518" s="450" t="s">
        <v>37356</v>
      </c>
      <c r="B8518" s="450"/>
      <c r="C8518" s="450" t="s">
        <v>14172</v>
      </c>
      <c r="D8518" s="450"/>
      <c r="E8518" s="450"/>
      <c r="F8518" s="450"/>
      <c r="G8518" s="450" t="s">
        <v>22877</v>
      </c>
      <c r="H8518" s="450" t="s">
        <v>22878</v>
      </c>
      <c r="I8518" s="450" t="s">
        <v>37357</v>
      </c>
      <c r="J8518" s="450" t="s">
        <v>22943</v>
      </c>
      <c r="K8518" s="450"/>
    </row>
    <row r="8519" spans="1:11">
      <c r="A8519" s="451" t="s">
        <v>37358</v>
      </c>
      <c r="B8519" s="451"/>
      <c r="C8519" s="451" t="s">
        <v>6203</v>
      </c>
      <c r="D8519" s="451"/>
      <c r="E8519" s="451"/>
      <c r="F8519" s="451"/>
      <c r="G8519" s="451" t="s">
        <v>22877</v>
      </c>
      <c r="H8519" s="451" t="s">
        <v>22878</v>
      </c>
      <c r="I8519" s="451" t="s">
        <v>37359</v>
      </c>
      <c r="J8519" s="451" t="s">
        <v>23121</v>
      </c>
      <c r="K8519" s="451"/>
    </row>
    <row r="8520" spans="1:11">
      <c r="A8520" s="450" t="s">
        <v>14170</v>
      </c>
      <c r="B8520" s="450"/>
      <c r="C8520" s="450" t="s">
        <v>6203</v>
      </c>
      <c r="D8520" s="450"/>
      <c r="E8520" s="450"/>
      <c r="F8520" s="450"/>
      <c r="G8520" s="450"/>
      <c r="H8520" s="450"/>
      <c r="I8520" s="450"/>
      <c r="J8520" s="450"/>
      <c r="K8520" s="450"/>
    </row>
    <row r="8521" spans="1:11">
      <c r="A8521" s="451" t="s">
        <v>14171</v>
      </c>
      <c r="B8521" s="451"/>
      <c r="C8521" s="451" t="s">
        <v>14172</v>
      </c>
      <c r="D8521" s="451"/>
      <c r="E8521" s="451"/>
      <c r="F8521" s="451"/>
      <c r="G8521" s="451"/>
      <c r="H8521" s="451"/>
      <c r="I8521" s="451"/>
      <c r="J8521" s="451"/>
      <c r="K8521" s="451"/>
    </row>
    <row r="8522" spans="1:11">
      <c r="A8522" s="450" t="s">
        <v>14173</v>
      </c>
      <c r="B8522" s="450"/>
      <c r="C8522" s="450" t="s">
        <v>2528</v>
      </c>
      <c r="D8522" s="450"/>
      <c r="E8522" s="450"/>
      <c r="F8522" s="450"/>
      <c r="G8522" s="450"/>
      <c r="H8522" s="450"/>
      <c r="I8522" s="450"/>
      <c r="J8522" s="450"/>
      <c r="K8522" s="450"/>
    </row>
    <row r="8523" spans="1:11">
      <c r="A8523" s="451" t="s">
        <v>14174</v>
      </c>
      <c r="B8523" s="451" t="s">
        <v>14175</v>
      </c>
      <c r="C8523" s="451" t="s">
        <v>14176</v>
      </c>
      <c r="D8523" s="451"/>
      <c r="E8523" s="451"/>
      <c r="F8523" s="451"/>
      <c r="G8523" s="451" t="s">
        <v>22877</v>
      </c>
      <c r="H8523" s="451" t="s">
        <v>22878</v>
      </c>
      <c r="I8523" s="451" t="s">
        <v>27742</v>
      </c>
      <c r="J8523" s="451" t="s">
        <v>27743</v>
      </c>
      <c r="K8523" s="451"/>
    </row>
    <row r="8524" spans="1:11">
      <c r="A8524" s="450" t="s">
        <v>27744</v>
      </c>
      <c r="B8524" s="450"/>
      <c r="C8524" s="450" t="s">
        <v>2528</v>
      </c>
      <c r="D8524" s="450"/>
      <c r="E8524" s="450"/>
      <c r="F8524" s="450"/>
      <c r="G8524" s="450" t="s">
        <v>22877</v>
      </c>
      <c r="H8524" s="450" t="s">
        <v>22878</v>
      </c>
      <c r="I8524" s="450" t="s">
        <v>22824</v>
      </c>
      <c r="J8524" s="450" t="s">
        <v>22943</v>
      </c>
      <c r="K8524" s="450"/>
    </row>
    <row r="8525" spans="1:11">
      <c r="A8525" s="451" t="s">
        <v>31990</v>
      </c>
      <c r="B8525" s="451" t="s">
        <v>27745</v>
      </c>
      <c r="C8525" s="451" t="s">
        <v>14178</v>
      </c>
      <c r="D8525" s="451"/>
      <c r="E8525" s="451"/>
      <c r="F8525" s="451"/>
      <c r="G8525" s="451" t="s">
        <v>22877</v>
      </c>
      <c r="H8525" s="451" t="s">
        <v>22878</v>
      </c>
      <c r="I8525" s="451" t="s">
        <v>27746</v>
      </c>
      <c r="J8525" s="451" t="s">
        <v>27747</v>
      </c>
      <c r="K8525" s="451"/>
    </row>
    <row r="8526" spans="1:11">
      <c r="A8526" s="450" t="s">
        <v>21857</v>
      </c>
      <c r="B8526" s="450" t="s">
        <v>14177</v>
      </c>
      <c r="C8526" s="450" t="s">
        <v>14178</v>
      </c>
      <c r="D8526" s="450"/>
      <c r="E8526" s="450"/>
      <c r="F8526" s="450"/>
      <c r="G8526" s="450"/>
      <c r="H8526" s="450"/>
      <c r="I8526" s="450"/>
      <c r="J8526" s="450"/>
      <c r="K8526" s="450"/>
    </row>
    <row r="8527" spans="1:11">
      <c r="A8527" s="451" t="s">
        <v>14179</v>
      </c>
      <c r="B8527" s="451"/>
      <c r="C8527" s="451" t="s">
        <v>11482</v>
      </c>
      <c r="D8527" s="451"/>
      <c r="E8527" s="451"/>
      <c r="F8527" s="451"/>
      <c r="G8527" s="451" t="s">
        <v>22882</v>
      </c>
      <c r="H8527" s="451" t="s">
        <v>22883</v>
      </c>
      <c r="I8527" s="451"/>
      <c r="J8527" s="451" t="s">
        <v>22943</v>
      </c>
      <c r="K8527" s="451"/>
    </row>
    <row r="8528" spans="1:11">
      <c r="A8528" s="450" t="s">
        <v>14180</v>
      </c>
      <c r="B8528" s="450"/>
      <c r="C8528" s="450" t="s">
        <v>11206</v>
      </c>
      <c r="D8528" s="450"/>
      <c r="E8528" s="450"/>
      <c r="F8528" s="450"/>
      <c r="G8528" s="450" t="s">
        <v>22877</v>
      </c>
      <c r="H8528" s="450" t="s">
        <v>22878</v>
      </c>
      <c r="I8528" s="450" t="s">
        <v>37360</v>
      </c>
      <c r="J8528" s="450" t="s">
        <v>22939</v>
      </c>
      <c r="K8528" s="450"/>
    </row>
    <row r="8529" spans="1:11">
      <c r="A8529" s="451" t="s">
        <v>37361</v>
      </c>
      <c r="B8529" s="451"/>
      <c r="C8529" s="451" t="s">
        <v>6417</v>
      </c>
      <c r="D8529" s="451"/>
      <c r="E8529" s="451"/>
      <c r="F8529" s="451"/>
      <c r="G8529" s="451" t="s">
        <v>22877</v>
      </c>
      <c r="H8529" s="451" t="s">
        <v>22878</v>
      </c>
      <c r="I8529" s="451" t="s">
        <v>37362</v>
      </c>
      <c r="J8529" s="451" t="s">
        <v>23133</v>
      </c>
      <c r="K8529" s="451"/>
    </row>
    <row r="8530" spans="1:11">
      <c r="A8530" s="450" t="s">
        <v>14181</v>
      </c>
      <c r="B8530" s="450"/>
      <c r="C8530" s="450" t="s">
        <v>6417</v>
      </c>
      <c r="D8530" s="450"/>
      <c r="E8530" s="450"/>
      <c r="F8530" s="450"/>
      <c r="G8530" s="450"/>
      <c r="H8530" s="450"/>
      <c r="I8530" s="450"/>
      <c r="J8530" s="450"/>
      <c r="K8530" s="450"/>
    </row>
    <row r="8531" spans="1:11">
      <c r="A8531" s="451" t="s">
        <v>21858</v>
      </c>
      <c r="B8531" s="451"/>
      <c r="C8531" s="451" t="s">
        <v>14182</v>
      </c>
      <c r="D8531" s="451"/>
      <c r="E8531" s="451"/>
      <c r="F8531" s="451"/>
      <c r="G8531" s="451" t="s">
        <v>22877</v>
      </c>
      <c r="H8531" s="451" t="s">
        <v>22878</v>
      </c>
      <c r="I8531" s="451" t="s">
        <v>37363</v>
      </c>
      <c r="J8531" s="451" t="s">
        <v>22939</v>
      </c>
      <c r="K8531" s="451"/>
    </row>
    <row r="8532" spans="1:11">
      <c r="A8532" s="450" t="s">
        <v>14183</v>
      </c>
      <c r="B8532" s="450"/>
      <c r="C8532" s="450" t="s">
        <v>6276</v>
      </c>
      <c r="D8532" s="450"/>
      <c r="E8532" s="450"/>
      <c r="F8532" s="450"/>
      <c r="G8532" s="450" t="s">
        <v>22877</v>
      </c>
      <c r="H8532" s="450" t="s">
        <v>22878</v>
      </c>
      <c r="I8532" s="450" t="s">
        <v>37364</v>
      </c>
      <c r="J8532" s="450" t="s">
        <v>22943</v>
      </c>
      <c r="K8532" s="450"/>
    </row>
    <row r="8533" spans="1:11">
      <c r="A8533" s="451" t="s">
        <v>14184</v>
      </c>
      <c r="B8533" s="451"/>
      <c r="C8533" s="451" t="s">
        <v>14185</v>
      </c>
      <c r="D8533" s="451"/>
      <c r="E8533" s="451"/>
      <c r="F8533" s="451"/>
      <c r="G8533" s="451"/>
      <c r="H8533" s="451"/>
      <c r="I8533" s="451"/>
      <c r="J8533" s="451"/>
      <c r="K8533" s="451"/>
    </row>
    <row r="8534" spans="1:11">
      <c r="A8534" s="450" t="s">
        <v>37365</v>
      </c>
      <c r="B8534" s="450"/>
      <c r="C8534" s="450" t="s">
        <v>14185</v>
      </c>
      <c r="D8534" s="450"/>
      <c r="E8534" s="450"/>
      <c r="F8534" s="450"/>
      <c r="G8534" s="450" t="s">
        <v>22882</v>
      </c>
      <c r="H8534" s="450" t="s">
        <v>22883</v>
      </c>
      <c r="I8534" s="450"/>
      <c r="J8534" s="450" t="s">
        <v>22943</v>
      </c>
      <c r="K8534" s="450"/>
    </row>
    <row r="8535" spans="1:11">
      <c r="A8535" s="451" t="s">
        <v>14186</v>
      </c>
      <c r="B8535" s="451" t="s">
        <v>14187</v>
      </c>
      <c r="C8535" s="451" t="s">
        <v>10697</v>
      </c>
      <c r="D8535" s="451" t="s">
        <v>14188</v>
      </c>
      <c r="E8535" s="451"/>
      <c r="F8535" s="451"/>
      <c r="G8535" s="451" t="s">
        <v>22882</v>
      </c>
      <c r="H8535" s="451" t="s">
        <v>22883</v>
      </c>
      <c r="I8535" s="451"/>
      <c r="J8535" s="451" t="s">
        <v>37366</v>
      </c>
      <c r="K8535" s="451"/>
    </row>
    <row r="8536" spans="1:11">
      <c r="A8536" s="450" t="s">
        <v>14189</v>
      </c>
      <c r="B8536" s="450"/>
      <c r="C8536" s="450" t="s">
        <v>1912</v>
      </c>
      <c r="D8536" s="450"/>
      <c r="E8536" s="450"/>
      <c r="F8536" s="450"/>
      <c r="G8536" s="450" t="s">
        <v>22882</v>
      </c>
      <c r="H8536" s="450" t="s">
        <v>22883</v>
      </c>
      <c r="I8536" s="450"/>
      <c r="J8536" s="450" t="s">
        <v>23121</v>
      </c>
      <c r="K8536" s="450"/>
    </row>
    <row r="8537" spans="1:11">
      <c r="A8537" s="451" t="s">
        <v>37367</v>
      </c>
      <c r="B8537" s="451"/>
      <c r="C8537" s="451" t="s">
        <v>14191</v>
      </c>
      <c r="D8537" s="451"/>
      <c r="E8537" s="451"/>
      <c r="F8537" s="451"/>
      <c r="G8537" s="451" t="s">
        <v>22882</v>
      </c>
      <c r="H8537" s="451" t="s">
        <v>22883</v>
      </c>
      <c r="I8537" s="451"/>
      <c r="J8537" s="451" t="s">
        <v>22939</v>
      </c>
      <c r="K8537" s="451"/>
    </row>
    <row r="8538" spans="1:11">
      <c r="A8538" s="450" t="s">
        <v>14190</v>
      </c>
      <c r="B8538" s="450"/>
      <c r="C8538" s="450" t="s">
        <v>14191</v>
      </c>
      <c r="D8538" s="450"/>
      <c r="E8538" s="450"/>
      <c r="F8538" s="450"/>
      <c r="G8538" s="450"/>
      <c r="H8538" s="450"/>
      <c r="I8538" s="450"/>
      <c r="J8538" s="450"/>
      <c r="K8538" s="450"/>
    </row>
    <row r="8539" spans="1:11">
      <c r="A8539" s="451" t="s">
        <v>14192</v>
      </c>
      <c r="B8539" s="451"/>
      <c r="C8539" s="451" t="s">
        <v>14193</v>
      </c>
      <c r="D8539" s="451"/>
      <c r="E8539" s="451"/>
      <c r="F8539" s="451"/>
      <c r="G8539" s="451" t="s">
        <v>22882</v>
      </c>
      <c r="H8539" s="451" t="s">
        <v>22883</v>
      </c>
      <c r="I8539" s="451"/>
      <c r="J8539" s="451" t="s">
        <v>22939</v>
      </c>
      <c r="K8539" s="451"/>
    </row>
    <row r="8540" spans="1:11">
      <c r="A8540" s="450" t="s">
        <v>37368</v>
      </c>
      <c r="B8540" s="450" t="s">
        <v>14195</v>
      </c>
      <c r="C8540" s="450" t="s">
        <v>12758</v>
      </c>
      <c r="D8540" s="450"/>
      <c r="E8540" s="450"/>
      <c r="F8540" s="450"/>
      <c r="G8540" s="450" t="s">
        <v>22877</v>
      </c>
      <c r="H8540" s="450" t="s">
        <v>22878</v>
      </c>
      <c r="I8540" s="450" t="s">
        <v>27720</v>
      </c>
      <c r="J8540" s="450" t="s">
        <v>37369</v>
      </c>
      <c r="K8540" s="450"/>
    </row>
    <row r="8541" spans="1:11">
      <c r="A8541" s="451" t="s">
        <v>14194</v>
      </c>
      <c r="B8541" s="451" t="s">
        <v>14195</v>
      </c>
      <c r="C8541" s="451" t="s">
        <v>12758</v>
      </c>
      <c r="D8541" s="451"/>
      <c r="E8541" s="451"/>
      <c r="F8541" s="451"/>
      <c r="G8541" s="451"/>
      <c r="H8541" s="451"/>
      <c r="I8541" s="451"/>
      <c r="J8541" s="451"/>
      <c r="K8541" s="451"/>
    </row>
    <row r="8542" spans="1:11">
      <c r="A8542" s="450" t="s">
        <v>14196</v>
      </c>
      <c r="B8542" s="450"/>
      <c r="C8542" s="450" t="s">
        <v>14197</v>
      </c>
      <c r="D8542" s="450"/>
      <c r="E8542" s="450"/>
      <c r="F8542" s="450"/>
      <c r="G8542" s="450" t="s">
        <v>22877</v>
      </c>
      <c r="H8542" s="450" t="s">
        <v>22878</v>
      </c>
      <c r="I8542" s="450" t="s">
        <v>27748</v>
      </c>
      <c r="J8542" s="450" t="s">
        <v>22943</v>
      </c>
      <c r="K8542" s="450"/>
    </row>
    <row r="8543" spans="1:11">
      <c r="A8543" s="451" t="s">
        <v>14198</v>
      </c>
      <c r="B8543" s="451" t="s">
        <v>27749</v>
      </c>
      <c r="C8543" s="451" t="s">
        <v>14200</v>
      </c>
      <c r="D8543" s="451" t="s">
        <v>27750</v>
      </c>
      <c r="E8543" s="451"/>
      <c r="F8543" s="451"/>
      <c r="G8543" s="451" t="s">
        <v>22877</v>
      </c>
      <c r="H8543" s="451" t="s">
        <v>22878</v>
      </c>
      <c r="I8543" s="451" t="s">
        <v>27751</v>
      </c>
      <c r="J8543" s="451" t="s">
        <v>27752</v>
      </c>
      <c r="K8543" s="451"/>
    </row>
    <row r="8544" spans="1:11">
      <c r="A8544" s="450" t="s">
        <v>14198</v>
      </c>
      <c r="B8544" s="450" t="s">
        <v>14199</v>
      </c>
      <c r="C8544" s="450" t="s">
        <v>14200</v>
      </c>
      <c r="D8544" s="450" t="s">
        <v>14201</v>
      </c>
      <c r="E8544" s="450"/>
      <c r="F8544" s="450"/>
      <c r="G8544" s="450"/>
      <c r="H8544" s="450"/>
      <c r="I8544" s="450"/>
      <c r="J8544" s="450"/>
      <c r="K8544" s="450"/>
    </row>
    <row r="8545" spans="1:11">
      <c r="A8545" s="451" t="s">
        <v>37370</v>
      </c>
      <c r="B8545" s="451"/>
      <c r="C8545" s="451" t="s">
        <v>5651</v>
      </c>
      <c r="D8545" s="451"/>
      <c r="E8545" s="451"/>
      <c r="F8545" s="451"/>
      <c r="G8545" s="451" t="s">
        <v>22877</v>
      </c>
      <c r="H8545" s="451" t="s">
        <v>22878</v>
      </c>
      <c r="I8545" s="451" t="s">
        <v>37371</v>
      </c>
      <c r="J8545" s="451" t="s">
        <v>22943</v>
      </c>
      <c r="K8545" s="451"/>
    </row>
    <row r="8546" spans="1:11">
      <c r="A8546" s="450" t="s">
        <v>37372</v>
      </c>
      <c r="B8546" s="450"/>
      <c r="C8546" s="450" t="s">
        <v>14203</v>
      </c>
      <c r="D8546" s="450"/>
      <c r="E8546" s="450"/>
      <c r="F8546" s="450"/>
      <c r="G8546" s="450" t="s">
        <v>22877</v>
      </c>
      <c r="H8546" s="450" t="s">
        <v>22878</v>
      </c>
      <c r="I8546" s="450" t="s">
        <v>37373</v>
      </c>
      <c r="J8546" s="450" t="s">
        <v>22943</v>
      </c>
      <c r="K8546" s="450"/>
    </row>
    <row r="8547" spans="1:11">
      <c r="A8547" s="451" t="s">
        <v>14202</v>
      </c>
      <c r="B8547" s="451"/>
      <c r="C8547" s="451" t="s">
        <v>14203</v>
      </c>
      <c r="D8547" s="451"/>
      <c r="E8547" s="451"/>
      <c r="F8547" s="451"/>
      <c r="G8547" s="451"/>
      <c r="H8547" s="451"/>
      <c r="I8547" s="451"/>
      <c r="J8547" s="451"/>
      <c r="K8547" s="451"/>
    </row>
    <row r="8548" spans="1:11">
      <c r="A8548" s="450" t="s">
        <v>14204</v>
      </c>
      <c r="B8548" s="450"/>
      <c r="C8548" s="450" t="s">
        <v>14205</v>
      </c>
      <c r="D8548" s="450"/>
      <c r="E8548" s="450"/>
      <c r="F8548" s="450"/>
      <c r="G8548" s="450" t="s">
        <v>22877</v>
      </c>
      <c r="H8548" s="450" t="s">
        <v>22878</v>
      </c>
      <c r="I8548" s="450" t="s">
        <v>37374</v>
      </c>
      <c r="J8548" s="450" t="s">
        <v>22943</v>
      </c>
      <c r="K8548" s="450"/>
    </row>
    <row r="8549" spans="1:11">
      <c r="A8549" s="451" t="s">
        <v>37375</v>
      </c>
      <c r="B8549" s="451"/>
      <c r="C8549" s="451" t="s">
        <v>10913</v>
      </c>
      <c r="D8549" s="451"/>
      <c r="E8549" s="451"/>
      <c r="F8549" s="451"/>
      <c r="G8549" s="451" t="s">
        <v>22877</v>
      </c>
      <c r="H8549" s="451" t="s">
        <v>22878</v>
      </c>
      <c r="I8549" s="451" t="s">
        <v>37376</v>
      </c>
      <c r="J8549" s="451" t="s">
        <v>22948</v>
      </c>
      <c r="K8549" s="451"/>
    </row>
    <row r="8550" spans="1:11">
      <c r="A8550" s="450" t="s">
        <v>14206</v>
      </c>
      <c r="B8550" s="450"/>
      <c r="C8550" s="450" t="s">
        <v>14207</v>
      </c>
      <c r="D8550" s="450"/>
      <c r="E8550" s="450"/>
      <c r="F8550" s="450"/>
      <c r="G8550" s="450"/>
      <c r="H8550" s="450"/>
      <c r="I8550" s="450"/>
      <c r="J8550" s="450"/>
      <c r="K8550" s="450"/>
    </row>
    <row r="8551" spans="1:11">
      <c r="A8551" s="451" t="s">
        <v>37377</v>
      </c>
      <c r="B8551" s="451"/>
      <c r="C8551" s="451" t="s">
        <v>37378</v>
      </c>
      <c r="D8551" s="451"/>
      <c r="E8551" s="451"/>
      <c r="F8551" s="451"/>
      <c r="G8551" s="451" t="s">
        <v>22882</v>
      </c>
      <c r="H8551" s="451" t="s">
        <v>22883</v>
      </c>
      <c r="I8551" s="451"/>
      <c r="J8551" s="451" t="s">
        <v>22943</v>
      </c>
      <c r="K8551" s="451"/>
    </row>
    <row r="8552" spans="1:11">
      <c r="A8552" s="450" t="s">
        <v>14208</v>
      </c>
      <c r="B8552" s="450"/>
      <c r="C8552" s="450" t="s">
        <v>10913</v>
      </c>
      <c r="D8552" s="450"/>
      <c r="E8552" s="450"/>
      <c r="F8552" s="450"/>
      <c r="G8552" s="450"/>
      <c r="H8552" s="450"/>
      <c r="I8552" s="450"/>
      <c r="J8552" s="450"/>
      <c r="K8552" s="450"/>
    </row>
    <row r="8553" spans="1:11">
      <c r="A8553" s="451" t="s">
        <v>14209</v>
      </c>
      <c r="B8553" s="451" t="s">
        <v>14210</v>
      </c>
      <c r="C8553" s="451" t="s">
        <v>5833</v>
      </c>
      <c r="D8553" s="451" t="s">
        <v>14211</v>
      </c>
      <c r="E8553" s="451" t="s">
        <v>14212</v>
      </c>
      <c r="F8553" s="451"/>
      <c r="G8553" s="451"/>
      <c r="H8553" s="451"/>
      <c r="I8553" s="451"/>
      <c r="J8553" s="451"/>
      <c r="K8553" s="451"/>
    </row>
    <row r="8554" spans="1:11">
      <c r="A8554" s="450" t="s">
        <v>14213</v>
      </c>
      <c r="B8554" s="450"/>
      <c r="C8554" s="450" t="s">
        <v>14214</v>
      </c>
      <c r="D8554" s="450"/>
      <c r="E8554" s="450"/>
      <c r="F8554" s="450"/>
      <c r="G8554" s="450" t="s">
        <v>22882</v>
      </c>
      <c r="H8554" s="450" t="s">
        <v>22883</v>
      </c>
      <c r="I8554" s="450"/>
      <c r="J8554" s="450" t="s">
        <v>22939</v>
      </c>
      <c r="K8554" s="450"/>
    </row>
    <row r="8555" spans="1:11">
      <c r="A8555" s="451" t="s">
        <v>14215</v>
      </c>
      <c r="B8555" s="451" t="s">
        <v>27753</v>
      </c>
      <c r="C8555" s="451" t="s">
        <v>14217</v>
      </c>
      <c r="D8555" s="451"/>
      <c r="E8555" s="451"/>
      <c r="F8555" s="451" t="s">
        <v>27754</v>
      </c>
      <c r="G8555" s="451" t="s">
        <v>22877</v>
      </c>
      <c r="H8555" s="451" t="s">
        <v>22878</v>
      </c>
      <c r="I8555" s="451" t="s">
        <v>27755</v>
      </c>
      <c r="J8555" s="451" t="s">
        <v>27756</v>
      </c>
      <c r="K8555" s="451"/>
    </row>
    <row r="8556" spans="1:11">
      <c r="A8556" s="450" t="s">
        <v>14215</v>
      </c>
      <c r="B8556" s="450" t="s">
        <v>14216</v>
      </c>
      <c r="C8556" s="450" t="s">
        <v>14217</v>
      </c>
      <c r="D8556" s="450"/>
      <c r="E8556" s="450"/>
      <c r="F8556" s="450" t="s">
        <v>14218</v>
      </c>
      <c r="G8556" s="450"/>
      <c r="H8556" s="450"/>
      <c r="I8556" s="450"/>
      <c r="J8556" s="450"/>
      <c r="K8556" s="450"/>
    </row>
    <row r="8557" spans="1:11">
      <c r="A8557" s="451" t="s">
        <v>37379</v>
      </c>
      <c r="B8557" s="451"/>
      <c r="C8557" s="451" t="s">
        <v>4073</v>
      </c>
      <c r="D8557" s="451"/>
      <c r="E8557" s="451"/>
      <c r="F8557" s="451"/>
      <c r="G8557" s="451" t="s">
        <v>22882</v>
      </c>
      <c r="H8557" s="451" t="s">
        <v>22883</v>
      </c>
      <c r="I8557" s="451"/>
      <c r="J8557" s="451" t="s">
        <v>22943</v>
      </c>
      <c r="K8557" s="451"/>
    </row>
    <row r="8558" spans="1:11">
      <c r="A8558" s="450" t="s">
        <v>14219</v>
      </c>
      <c r="B8558" s="450"/>
      <c r="C8558" s="450" t="s">
        <v>4073</v>
      </c>
      <c r="D8558" s="450"/>
      <c r="E8558" s="450"/>
      <c r="F8558" s="450"/>
      <c r="G8558" s="450"/>
      <c r="H8558" s="450"/>
      <c r="I8558" s="450"/>
      <c r="J8558" s="450"/>
      <c r="K8558" s="450"/>
    </row>
    <row r="8559" spans="1:11">
      <c r="A8559" s="451" t="s">
        <v>14220</v>
      </c>
      <c r="B8559" s="451"/>
      <c r="C8559" s="451" t="s">
        <v>6106</v>
      </c>
      <c r="D8559" s="451"/>
      <c r="E8559" s="451"/>
      <c r="F8559" s="451"/>
      <c r="G8559" s="451" t="s">
        <v>22882</v>
      </c>
      <c r="H8559" s="451" t="s">
        <v>22883</v>
      </c>
      <c r="I8559" s="451"/>
      <c r="J8559" s="451" t="s">
        <v>22943</v>
      </c>
      <c r="K8559" s="451"/>
    </row>
    <row r="8560" spans="1:11">
      <c r="A8560" s="450" t="s">
        <v>14221</v>
      </c>
      <c r="B8560" s="450"/>
      <c r="C8560" s="450" t="s">
        <v>14222</v>
      </c>
      <c r="D8560" s="450"/>
      <c r="E8560" s="450"/>
      <c r="F8560" s="450"/>
      <c r="G8560" s="450" t="s">
        <v>22877</v>
      </c>
      <c r="H8560" s="450" t="s">
        <v>22878</v>
      </c>
      <c r="I8560" s="450" t="s">
        <v>37380</v>
      </c>
      <c r="J8560" s="450" t="s">
        <v>22943</v>
      </c>
      <c r="K8560" s="450"/>
    </row>
    <row r="8561" spans="1:11">
      <c r="A8561" s="451" t="s">
        <v>37381</v>
      </c>
      <c r="B8561" s="451"/>
      <c r="C8561" s="451" t="s">
        <v>2511</v>
      </c>
      <c r="D8561" s="451"/>
      <c r="E8561" s="451"/>
      <c r="F8561" s="451"/>
      <c r="G8561" s="451" t="s">
        <v>22877</v>
      </c>
      <c r="H8561" s="451" t="s">
        <v>22878</v>
      </c>
      <c r="I8561" s="451" t="s">
        <v>37382</v>
      </c>
      <c r="J8561" s="451" t="s">
        <v>22943</v>
      </c>
      <c r="K8561" s="451"/>
    </row>
    <row r="8562" spans="1:11">
      <c r="A8562" s="450" t="s">
        <v>14223</v>
      </c>
      <c r="B8562" s="450"/>
      <c r="C8562" s="450" t="s">
        <v>2511</v>
      </c>
      <c r="D8562" s="450"/>
      <c r="E8562" s="450"/>
      <c r="F8562" s="450"/>
      <c r="G8562" s="450"/>
      <c r="H8562" s="450"/>
      <c r="I8562" s="450"/>
      <c r="J8562" s="450"/>
      <c r="K8562" s="450"/>
    </row>
    <row r="8563" spans="1:11">
      <c r="A8563" s="451" t="s">
        <v>37383</v>
      </c>
      <c r="B8563" s="451"/>
      <c r="C8563" s="451" t="s">
        <v>14225</v>
      </c>
      <c r="D8563" s="451"/>
      <c r="E8563" s="451"/>
      <c r="F8563" s="451"/>
      <c r="G8563" s="451" t="s">
        <v>22877</v>
      </c>
      <c r="H8563" s="451" t="s">
        <v>22878</v>
      </c>
      <c r="I8563" s="451" t="s">
        <v>37384</v>
      </c>
      <c r="J8563" s="451" t="s">
        <v>23370</v>
      </c>
      <c r="K8563" s="451"/>
    </row>
    <row r="8564" spans="1:11">
      <c r="A8564" s="450" t="s">
        <v>14224</v>
      </c>
      <c r="B8564" s="450"/>
      <c r="C8564" s="450" t="s">
        <v>14225</v>
      </c>
      <c r="D8564" s="450"/>
      <c r="E8564" s="450"/>
      <c r="F8564" s="450"/>
      <c r="G8564" s="450"/>
      <c r="H8564" s="450"/>
      <c r="I8564" s="450"/>
      <c r="J8564" s="450"/>
      <c r="K8564" s="450"/>
    </row>
    <row r="8565" spans="1:11">
      <c r="A8565" s="451" t="s">
        <v>14226</v>
      </c>
      <c r="B8565" s="451"/>
      <c r="C8565" s="451" t="s">
        <v>14227</v>
      </c>
      <c r="D8565" s="451"/>
      <c r="E8565" s="451"/>
      <c r="F8565" s="451"/>
      <c r="G8565" s="451"/>
      <c r="H8565" s="451"/>
      <c r="I8565" s="451"/>
      <c r="J8565" s="451"/>
      <c r="K8565" s="451"/>
    </row>
    <row r="8566" spans="1:11">
      <c r="A8566" s="450" t="s">
        <v>27757</v>
      </c>
      <c r="B8566" s="450" t="s">
        <v>27758</v>
      </c>
      <c r="C8566" s="450" t="s">
        <v>27759</v>
      </c>
      <c r="D8566" s="450" t="s">
        <v>27760</v>
      </c>
      <c r="E8566" s="450"/>
      <c r="F8566" s="450" t="s">
        <v>27761</v>
      </c>
      <c r="G8566" s="450" t="s">
        <v>22877</v>
      </c>
      <c r="H8566" s="450" t="s">
        <v>22878</v>
      </c>
      <c r="I8566" s="450" t="s">
        <v>27760</v>
      </c>
      <c r="J8566" s="450" t="s">
        <v>27762</v>
      </c>
      <c r="K8566" s="450"/>
    </row>
    <row r="8567" spans="1:11">
      <c r="A8567" s="451" t="s">
        <v>31991</v>
      </c>
      <c r="B8567" s="451"/>
      <c r="C8567" s="451" t="s">
        <v>14228</v>
      </c>
      <c r="D8567" s="451"/>
      <c r="E8567" s="451"/>
      <c r="F8567" s="451"/>
      <c r="G8567" s="451" t="s">
        <v>22877</v>
      </c>
      <c r="H8567" s="451" t="s">
        <v>22878</v>
      </c>
      <c r="I8567" s="451" t="s">
        <v>27763</v>
      </c>
      <c r="J8567" s="451" t="s">
        <v>22943</v>
      </c>
      <c r="K8567" s="451"/>
    </row>
    <row r="8568" spans="1:11">
      <c r="A8568" s="450" t="s">
        <v>21859</v>
      </c>
      <c r="B8568" s="450"/>
      <c r="C8568" s="450" t="s">
        <v>14228</v>
      </c>
      <c r="D8568" s="450"/>
      <c r="E8568" s="450"/>
      <c r="F8568" s="450"/>
      <c r="G8568" s="450"/>
      <c r="H8568" s="450"/>
      <c r="I8568" s="450"/>
      <c r="J8568" s="450"/>
      <c r="K8568" s="450"/>
    </row>
    <row r="8569" spans="1:11">
      <c r="A8569" s="451" t="s">
        <v>14229</v>
      </c>
      <c r="B8569" s="451" t="s">
        <v>14230</v>
      </c>
      <c r="C8569" s="451" t="s">
        <v>14033</v>
      </c>
      <c r="D8569" s="451"/>
      <c r="E8569" s="451"/>
      <c r="F8569" s="451"/>
      <c r="G8569" s="451"/>
      <c r="H8569" s="451"/>
      <c r="I8569" s="451"/>
      <c r="J8569" s="451"/>
      <c r="K8569" s="451"/>
    </row>
    <row r="8570" spans="1:11">
      <c r="A8570" s="450" t="s">
        <v>37385</v>
      </c>
      <c r="B8570" s="450" t="s">
        <v>14232</v>
      </c>
      <c r="C8570" s="450" t="s">
        <v>14233</v>
      </c>
      <c r="D8570" s="450" t="s">
        <v>14234</v>
      </c>
      <c r="E8570" s="450"/>
      <c r="F8570" s="450"/>
      <c r="G8570" s="450" t="s">
        <v>22882</v>
      </c>
      <c r="H8570" s="450" t="s">
        <v>22883</v>
      </c>
      <c r="I8570" s="450" t="s">
        <v>37386</v>
      </c>
      <c r="J8570" s="450" t="s">
        <v>37387</v>
      </c>
      <c r="K8570" s="450"/>
    </row>
    <row r="8571" spans="1:11">
      <c r="A8571" s="451" t="s">
        <v>14231</v>
      </c>
      <c r="B8571" s="451" t="s">
        <v>14232</v>
      </c>
      <c r="C8571" s="451" t="s">
        <v>14233</v>
      </c>
      <c r="D8571" s="451" t="s">
        <v>14234</v>
      </c>
      <c r="E8571" s="451"/>
      <c r="F8571" s="451"/>
      <c r="G8571" s="451"/>
      <c r="H8571" s="451"/>
      <c r="I8571" s="451"/>
      <c r="J8571" s="451"/>
      <c r="K8571" s="451"/>
    </row>
    <row r="8572" spans="1:11">
      <c r="A8572" s="450" t="s">
        <v>14235</v>
      </c>
      <c r="B8572" s="450"/>
      <c r="C8572" s="450" t="s">
        <v>4084</v>
      </c>
      <c r="D8572" s="450"/>
      <c r="E8572" s="450"/>
      <c r="F8572" s="450"/>
      <c r="G8572" s="450" t="s">
        <v>22877</v>
      </c>
      <c r="H8572" s="450" t="s">
        <v>22878</v>
      </c>
      <c r="I8572" s="450" t="s">
        <v>27764</v>
      </c>
      <c r="J8572" s="450" t="s">
        <v>22939</v>
      </c>
      <c r="K8572" s="450"/>
    </row>
    <row r="8573" spans="1:11">
      <c r="A8573" s="451" t="s">
        <v>14236</v>
      </c>
      <c r="B8573" s="451" t="s">
        <v>14237</v>
      </c>
      <c r="C8573" s="451" t="s">
        <v>14238</v>
      </c>
      <c r="D8573" s="451" t="s">
        <v>14239</v>
      </c>
      <c r="E8573" s="451"/>
      <c r="F8573" s="451"/>
      <c r="G8573" s="451" t="s">
        <v>22877</v>
      </c>
      <c r="H8573" s="451" t="s">
        <v>22878</v>
      </c>
      <c r="I8573" s="451" t="s">
        <v>37388</v>
      </c>
      <c r="J8573" s="451" t="s">
        <v>37389</v>
      </c>
      <c r="K8573" s="451"/>
    </row>
    <row r="8574" spans="1:11">
      <c r="A8574" s="450" t="s">
        <v>14236</v>
      </c>
      <c r="B8574" s="450" t="s">
        <v>14237</v>
      </c>
      <c r="C8574" s="450" t="s">
        <v>14238</v>
      </c>
      <c r="D8574" s="450" t="s">
        <v>14239</v>
      </c>
      <c r="E8574" s="450" t="s">
        <v>14240</v>
      </c>
      <c r="F8574" s="450"/>
      <c r="G8574" s="450"/>
      <c r="H8574" s="450"/>
      <c r="I8574" s="450"/>
      <c r="J8574" s="450"/>
      <c r="K8574" s="450"/>
    </row>
    <row r="8575" spans="1:11">
      <c r="A8575" s="451" t="s">
        <v>14241</v>
      </c>
      <c r="B8575" s="451" t="s">
        <v>14242</v>
      </c>
      <c r="C8575" s="451" t="s">
        <v>14243</v>
      </c>
      <c r="D8575" s="451" t="s">
        <v>14244</v>
      </c>
      <c r="E8575" s="451"/>
      <c r="F8575" s="451"/>
      <c r="G8575" s="451" t="s">
        <v>22877</v>
      </c>
      <c r="H8575" s="451" t="s">
        <v>22878</v>
      </c>
      <c r="I8575" s="451" t="s">
        <v>14244</v>
      </c>
      <c r="J8575" s="451" t="s">
        <v>37390</v>
      </c>
      <c r="K8575" s="451"/>
    </row>
    <row r="8576" spans="1:11">
      <c r="A8576" s="450" t="s">
        <v>14241</v>
      </c>
      <c r="B8576" s="450" t="s">
        <v>14242</v>
      </c>
      <c r="C8576" s="450" t="s">
        <v>14243</v>
      </c>
      <c r="D8576" s="450" t="s">
        <v>14244</v>
      </c>
      <c r="E8576" s="450" t="s">
        <v>14245</v>
      </c>
      <c r="F8576" s="450"/>
      <c r="G8576" s="450"/>
      <c r="H8576" s="450"/>
      <c r="I8576" s="450"/>
      <c r="J8576" s="450"/>
      <c r="K8576" s="450"/>
    </row>
    <row r="8577" spans="1:11">
      <c r="A8577" s="451" t="s">
        <v>14246</v>
      </c>
      <c r="B8577" s="451" t="s">
        <v>14247</v>
      </c>
      <c r="C8577" s="451" t="s">
        <v>8131</v>
      </c>
      <c r="D8577" s="451" t="s">
        <v>14248</v>
      </c>
      <c r="E8577" s="451"/>
      <c r="F8577" s="451"/>
      <c r="G8577" s="451" t="s">
        <v>22877</v>
      </c>
      <c r="H8577" s="451" t="s">
        <v>22878</v>
      </c>
      <c r="I8577" s="451" t="s">
        <v>14248</v>
      </c>
      <c r="J8577" s="451" t="s">
        <v>37391</v>
      </c>
      <c r="K8577" s="451"/>
    </row>
    <row r="8578" spans="1:11">
      <c r="A8578" s="450" t="s">
        <v>14246</v>
      </c>
      <c r="B8578" s="450" t="s">
        <v>14247</v>
      </c>
      <c r="C8578" s="450" t="s">
        <v>8131</v>
      </c>
      <c r="D8578" s="450" t="s">
        <v>14248</v>
      </c>
      <c r="E8578" s="450" t="s">
        <v>14249</v>
      </c>
      <c r="F8578" s="450"/>
      <c r="G8578" s="450"/>
      <c r="H8578" s="450"/>
      <c r="I8578" s="450"/>
      <c r="J8578" s="450"/>
      <c r="K8578" s="450"/>
    </row>
    <row r="8579" spans="1:11">
      <c r="A8579" s="451" t="s">
        <v>14250</v>
      </c>
      <c r="B8579" s="451"/>
      <c r="C8579" s="451" t="s">
        <v>14251</v>
      </c>
      <c r="D8579" s="451"/>
      <c r="E8579" s="451"/>
      <c r="F8579" s="451"/>
      <c r="G8579" s="451" t="s">
        <v>22877</v>
      </c>
      <c r="H8579" s="451" t="s">
        <v>22878</v>
      </c>
      <c r="I8579" s="451" t="s">
        <v>27765</v>
      </c>
      <c r="J8579" s="451" t="s">
        <v>22939</v>
      </c>
      <c r="K8579" s="451"/>
    </row>
    <row r="8580" spans="1:11">
      <c r="A8580" s="450" t="s">
        <v>37392</v>
      </c>
      <c r="B8580" s="450" t="s">
        <v>37393</v>
      </c>
      <c r="C8580" s="450" t="s">
        <v>3839</v>
      </c>
      <c r="D8580" s="450" t="s">
        <v>14254</v>
      </c>
      <c r="E8580" s="450"/>
      <c r="F8580" s="450"/>
      <c r="G8580" s="450" t="s">
        <v>22882</v>
      </c>
      <c r="H8580" s="450" t="s">
        <v>22883</v>
      </c>
      <c r="I8580" s="450"/>
      <c r="J8580" s="450" t="s">
        <v>37394</v>
      </c>
      <c r="K8580" s="450"/>
    </row>
    <row r="8581" spans="1:11">
      <c r="A8581" s="451" t="s">
        <v>14252</v>
      </c>
      <c r="B8581" s="451" t="s">
        <v>14253</v>
      </c>
      <c r="C8581" s="451" t="s">
        <v>3839</v>
      </c>
      <c r="D8581" s="451" t="s">
        <v>14254</v>
      </c>
      <c r="E8581" s="451" t="s">
        <v>14255</v>
      </c>
      <c r="F8581" s="451"/>
      <c r="G8581" s="451"/>
      <c r="H8581" s="451"/>
      <c r="I8581" s="451"/>
      <c r="J8581" s="451"/>
      <c r="K8581" s="451"/>
    </row>
    <row r="8582" spans="1:11">
      <c r="A8582" s="450" t="s">
        <v>27766</v>
      </c>
      <c r="B8582" s="450" t="s">
        <v>27767</v>
      </c>
      <c r="C8582" s="450" t="s">
        <v>27768</v>
      </c>
      <c r="D8582" s="450"/>
      <c r="E8582" s="450"/>
      <c r="F8582" s="450"/>
      <c r="G8582" s="450" t="s">
        <v>22877</v>
      </c>
      <c r="H8582" s="450" t="s">
        <v>22878</v>
      </c>
      <c r="I8582" s="450"/>
      <c r="J8582" s="450" t="s">
        <v>27769</v>
      </c>
      <c r="K8582" s="450"/>
    </row>
    <row r="8583" spans="1:11">
      <c r="A8583" s="451" t="s">
        <v>14256</v>
      </c>
      <c r="B8583" s="451" t="s">
        <v>14257</v>
      </c>
      <c r="C8583" s="451" t="s">
        <v>5570</v>
      </c>
      <c r="D8583" s="451" t="s">
        <v>14258</v>
      </c>
      <c r="E8583" s="451"/>
      <c r="F8583" s="451"/>
      <c r="G8583" s="451" t="s">
        <v>22877</v>
      </c>
      <c r="H8583" s="451" t="s">
        <v>22878</v>
      </c>
      <c r="I8583" s="451" t="s">
        <v>14258</v>
      </c>
      <c r="J8583" s="451" t="s">
        <v>37395</v>
      </c>
      <c r="K8583" s="451"/>
    </row>
    <row r="8584" spans="1:11">
      <c r="A8584" s="450" t="s">
        <v>14256</v>
      </c>
      <c r="B8584" s="450" t="s">
        <v>14257</v>
      </c>
      <c r="C8584" s="450" t="s">
        <v>5570</v>
      </c>
      <c r="D8584" s="450" t="s">
        <v>14258</v>
      </c>
      <c r="E8584" s="450" t="s">
        <v>14259</v>
      </c>
      <c r="F8584" s="450"/>
      <c r="G8584" s="450"/>
      <c r="H8584" s="450"/>
      <c r="I8584" s="450"/>
      <c r="J8584" s="450"/>
      <c r="K8584" s="450"/>
    </row>
    <row r="8585" spans="1:11">
      <c r="A8585" s="451" t="s">
        <v>21860</v>
      </c>
      <c r="B8585" s="451"/>
      <c r="C8585" s="451" t="s">
        <v>14260</v>
      </c>
      <c r="D8585" s="451"/>
      <c r="E8585" s="451"/>
      <c r="F8585" s="451"/>
      <c r="G8585" s="451" t="s">
        <v>22877</v>
      </c>
      <c r="H8585" s="451" t="s">
        <v>22878</v>
      </c>
      <c r="I8585" s="451" t="s">
        <v>27770</v>
      </c>
      <c r="J8585" s="451" t="s">
        <v>23133</v>
      </c>
      <c r="K8585" s="451"/>
    </row>
    <row r="8586" spans="1:11">
      <c r="A8586" s="450" t="s">
        <v>14261</v>
      </c>
      <c r="B8586" s="450" t="s">
        <v>14262</v>
      </c>
      <c r="C8586" s="450" t="s">
        <v>14263</v>
      </c>
      <c r="D8586" s="450" t="s">
        <v>14264</v>
      </c>
      <c r="E8586" s="450" t="s">
        <v>14264</v>
      </c>
      <c r="F8586" s="450"/>
      <c r="G8586" s="450"/>
      <c r="H8586" s="450"/>
      <c r="I8586" s="450"/>
      <c r="J8586" s="450"/>
      <c r="K8586" s="450"/>
    </row>
    <row r="8587" spans="1:11">
      <c r="A8587" s="451" t="s">
        <v>27771</v>
      </c>
      <c r="B8587" s="451" t="s">
        <v>14262</v>
      </c>
      <c r="C8587" s="451" t="s">
        <v>14263</v>
      </c>
      <c r="D8587" s="451" t="s">
        <v>14264</v>
      </c>
      <c r="E8587" s="451"/>
      <c r="F8587" s="451"/>
      <c r="G8587" s="451" t="s">
        <v>22877</v>
      </c>
      <c r="H8587" s="451" t="s">
        <v>22878</v>
      </c>
      <c r="I8587" s="451" t="s">
        <v>14264</v>
      </c>
      <c r="J8587" s="451" t="s">
        <v>27772</v>
      </c>
      <c r="K8587" s="451"/>
    </row>
    <row r="8588" spans="1:11">
      <c r="A8588" s="450" t="s">
        <v>14267</v>
      </c>
      <c r="B8588" s="450" t="s">
        <v>14268</v>
      </c>
      <c r="C8588" s="450" t="s">
        <v>14269</v>
      </c>
      <c r="D8588" s="450" t="s">
        <v>14270</v>
      </c>
      <c r="E8588" s="450"/>
      <c r="F8588" s="450"/>
      <c r="G8588" s="450" t="s">
        <v>22877</v>
      </c>
      <c r="H8588" s="450" t="s">
        <v>22878</v>
      </c>
      <c r="I8588" s="450" t="s">
        <v>27773</v>
      </c>
      <c r="J8588" s="450" t="s">
        <v>27774</v>
      </c>
      <c r="K8588" s="450"/>
    </row>
    <row r="8589" spans="1:11">
      <c r="A8589" s="451" t="s">
        <v>14271</v>
      </c>
      <c r="B8589" s="451" t="s">
        <v>14272</v>
      </c>
      <c r="C8589" s="451" t="s">
        <v>14205</v>
      </c>
      <c r="D8589" s="451"/>
      <c r="E8589" s="451"/>
      <c r="F8589" s="451"/>
      <c r="G8589" s="451" t="s">
        <v>22877</v>
      </c>
      <c r="H8589" s="451" t="s">
        <v>22878</v>
      </c>
      <c r="I8589" s="451"/>
      <c r="J8589" s="451" t="s">
        <v>37396</v>
      </c>
      <c r="K8589" s="451"/>
    </row>
    <row r="8590" spans="1:11">
      <c r="A8590" s="450" t="s">
        <v>21861</v>
      </c>
      <c r="B8590" s="450"/>
      <c r="C8590" s="450" t="s">
        <v>14265</v>
      </c>
      <c r="D8590" s="450"/>
      <c r="E8590" s="450"/>
      <c r="F8590" s="450"/>
      <c r="G8590" s="450" t="s">
        <v>22882</v>
      </c>
      <c r="H8590" s="450" t="s">
        <v>22883</v>
      </c>
      <c r="I8590" s="450"/>
      <c r="J8590" s="450" t="s">
        <v>22939</v>
      </c>
      <c r="K8590" s="450"/>
    </row>
    <row r="8591" spans="1:11">
      <c r="A8591" s="451" t="s">
        <v>21862</v>
      </c>
      <c r="B8591" s="451"/>
      <c r="C8591" s="451" t="s">
        <v>14266</v>
      </c>
      <c r="D8591" s="451"/>
      <c r="E8591" s="451"/>
      <c r="F8591" s="451"/>
      <c r="G8591" s="451" t="s">
        <v>22877</v>
      </c>
      <c r="H8591" s="451" t="s">
        <v>22878</v>
      </c>
      <c r="I8591" s="451"/>
      <c r="J8591" s="451" t="s">
        <v>22997</v>
      </c>
      <c r="K8591" s="451"/>
    </row>
    <row r="8592" spans="1:11">
      <c r="A8592" s="450" t="s">
        <v>27775</v>
      </c>
      <c r="B8592" s="450" t="s">
        <v>14274</v>
      </c>
      <c r="C8592" s="450" t="s">
        <v>5091</v>
      </c>
      <c r="D8592" s="450" t="s">
        <v>14275</v>
      </c>
      <c r="E8592" s="450"/>
      <c r="F8592" s="450"/>
      <c r="G8592" s="450" t="s">
        <v>22877</v>
      </c>
      <c r="H8592" s="450" t="s">
        <v>22878</v>
      </c>
      <c r="I8592" s="450" t="s">
        <v>27776</v>
      </c>
      <c r="J8592" s="450" t="s">
        <v>27777</v>
      </c>
      <c r="K8592" s="450"/>
    </row>
    <row r="8593" spans="1:11">
      <c r="A8593" s="451" t="s">
        <v>27778</v>
      </c>
      <c r="B8593" s="451" t="s">
        <v>14278</v>
      </c>
      <c r="C8593" s="451" t="s">
        <v>6812</v>
      </c>
      <c r="D8593" s="451" t="s">
        <v>14279</v>
      </c>
      <c r="E8593" s="451"/>
      <c r="F8593" s="451"/>
      <c r="G8593" s="451" t="s">
        <v>22877</v>
      </c>
      <c r="H8593" s="451" t="s">
        <v>22878</v>
      </c>
      <c r="I8593" s="451" t="s">
        <v>27779</v>
      </c>
      <c r="J8593" s="451" t="s">
        <v>27780</v>
      </c>
      <c r="K8593" s="451"/>
    </row>
    <row r="8594" spans="1:11">
      <c r="A8594" s="450" t="s">
        <v>14273</v>
      </c>
      <c r="B8594" s="450" t="s">
        <v>14274</v>
      </c>
      <c r="C8594" s="450" t="s">
        <v>5091</v>
      </c>
      <c r="D8594" s="450" t="s">
        <v>14275</v>
      </c>
      <c r="E8594" s="450" t="s">
        <v>14276</v>
      </c>
      <c r="F8594" s="450"/>
      <c r="G8594" s="450"/>
      <c r="H8594" s="450"/>
      <c r="I8594" s="450"/>
      <c r="J8594" s="450"/>
      <c r="K8594" s="450"/>
    </row>
    <row r="8595" spans="1:11">
      <c r="A8595" s="451" t="s">
        <v>14277</v>
      </c>
      <c r="B8595" s="451" t="s">
        <v>14278</v>
      </c>
      <c r="C8595" s="451" t="s">
        <v>6812</v>
      </c>
      <c r="D8595" s="451" t="s">
        <v>14279</v>
      </c>
      <c r="E8595" s="451" t="s">
        <v>14280</v>
      </c>
      <c r="F8595" s="451"/>
      <c r="G8595" s="451"/>
      <c r="H8595" s="451"/>
      <c r="I8595" s="451"/>
      <c r="J8595" s="451"/>
      <c r="K8595" s="451"/>
    </row>
    <row r="8596" spans="1:11">
      <c r="A8596" s="450" t="s">
        <v>37397</v>
      </c>
      <c r="B8596" s="450" t="s">
        <v>37398</v>
      </c>
      <c r="C8596" s="450" t="s">
        <v>37399</v>
      </c>
      <c r="D8596" s="450"/>
      <c r="E8596" s="450"/>
      <c r="F8596" s="450"/>
      <c r="G8596" s="450"/>
      <c r="H8596" s="450"/>
      <c r="I8596" s="450"/>
      <c r="J8596" s="450"/>
      <c r="K8596" s="450"/>
    </row>
    <row r="8597" spans="1:11">
      <c r="A8597" s="451" t="s">
        <v>14281</v>
      </c>
      <c r="B8597" s="451"/>
      <c r="C8597" s="451" t="s">
        <v>14282</v>
      </c>
      <c r="D8597" s="451"/>
      <c r="E8597" s="451"/>
      <c r="F8597" s="451"/>
      <c r="G8597" s="451" t="s">
        <v>22882</v>
      </c>
      <c r="H8597" s="451" t="s">
        <v>22883</v>
      </c>
      <c r="I8597" s="451"/>
      <c r="J8597" s="451" t="s">
        <v>22939</v>
      </c>
      <c r="K8597" s="451"/>
    </row>
    <row r="8598" spans="1:11">
      <c r="A8598" s="450" t="s">
        <v>27781</v>
      </c>
      <c r="B8598" s="450" t="s">
        <v>14284</v>
      </c>
      <c r="C8598" s="450" t="s">
        <v>14285</v>
      </c>
      <c r="D8598" s="450" t="s">
        <v>14286</v>
      </c>
      <c r="E8598" s="450"/>
      <c r="F8598" s="450"/>
      <c r="G8598" s="450" t="s">
        <v>22877</v>
      </c>
      <c r="H8598" s="450" t="s">
        <v>22878</v>
      </c>
      <c r="I8598" s="450" t="s">
        <v>14286</v>
      </c>
      <c r="J8598" s="450" t="s">
        <v>27782</v>
      </c>
      <c r="K8598" s="450"/>
    </row>
    <row r="8599" spans="1:11">
      <c r="A8599" s="451" t="s">
        <v>14283</v>
      </c>
      <c r="B8599" s="451" t="s">
        <v>14284</v>
      </c>
      <c r="C8599" s="451" t="s">
        <v>14285</v>
      </c>
      <c r="D8599" s="451" t="s">
        <v>14286</v>
      </c>
      <c r="E8599" s="451" t="s">
        <v>14287</v>
      </c>
      <c r="F8599" s="451"/>
      <c r="G8599" s="451"/>
      <c r="H8599" s="451"/>
      <c r="I8599" s="451"/>
      <c r="J8599" s="451"/>
      <c r="K8599" s="451"/>
    </row>
    <row r="8600" spans="1:11">
      <c r="A8600" s="450" t="s">
        <v>14288</v>
      </c>
      <c r="B8600" s="450" t="s">
        <v>14289</v>
      </c>
      <c r="C8600" s="450" t="s">
        <v>14290</v>
      </c>
      <c r="D8600" s="450"/>
      <c r="E8600" s="450"/>
      <c r="F8600" s="450"/>
      <c r="G8600" s="450"/>
      <c r="H8600" s="450"/>
      <c r="I8600" s="450"/>
      <c r="J8600" s="450"/>
      <c r="K8600" s="450"/>
    </row>
    <row r="8601" spans="1:11">
      <c r="A8601" s="451" t="s">
        <v>27783</v>
      </c>
      <c r="B8601" s="451" t="s">
        <v>14289</v>
      </c>
      <c r="C8601" s="451" t="s">
        <v>14290</v>
      </c>
      <c r="D8601" s="451"/>
      <c r="E8601" s="451"/>
      <c r="F8601" s="451"/>
      <c r="G8601" s="451" t="s">
        <v>22877</v>
      </c>
      <c r="H8601" s="451" t="s">
        <v>22878</v>
      </c>
      <c r="I8601" s="451" t="s">
        <v>27784</v>
      </c>
      <c r="J8601" s="451" t="s">
        <v>27785</v>
      </c>
      <c r="K8601" s="451"/>
    </row>
    <row r="8602" spans="1:11">
      <c r="A8602" s="450" t="s">
        <v>14291</v>
      </c>
      <c r="B8602" s="450" t="s">
        <v>14292</v>
      </c>
      <c r="C8602" s="450" t="s">
        <v>14293</v>
      </c>
      <c r="D8602" s="450" t="s">
        <v>14294</v>
      </c>
      <c r="E8602" s="450"/>
      <c r="F8602" s="450"/>
      <c r="G8602" s="450" t="s">
        <v>22877</v>
      </c>
      <c r="H8602" s="450" t="s">
        <v>22878</v>
      </c>
      <c r="I8602" s="450" t="s">
        <v>14294</v>
      </c>
      <c r="J8602" s="450" t="s">
        <v>27786</v>
      </c>
      <c r="K8602" s="450"/>
    </row>
    <row r="8603" spans="1:11">
      <c r="A8603" s="451" t="s">
        <v>14291</v>
      </c>
      <c r="B8603" s="451" t="s">
        <v>14292</v>
      </c>
      <c r="C8603" s="451" t="s">
        <v>14293</v>
      </c>
      <c r="D8603" s="451" t="s">
        <v>14294</v>
      </c>
      <c r="E8603" s="451" t="s">
        <v>14295</v>
      </c>
      <c r="F8603" s="451"/>
      <c r="G8603" s="451"/>
      <c r="H8603" s="451"/>
      <c r="I8603" s="451"/>
      <c r="J8603" s="451"/>
      <c r="K8603" s="451"/>
    </row>
    <row r="8604" spans="1:11">
      <c r="A8604" s="450" t="s">
        <v>37400</v>
      </c>
      <c r="B8604" s="450"/>
      <c r="C8604" s="450" t="s">
        <v>14297</v>
      </c>
      <c r="D8604" s="450"/>
      <c r="E8604" s="450"/>
      <c r="F8604" s="450"/>
      <c r="G8604" s="450" t="s">
        <v>22882</v>
      </c>
      <c r="H8604" s="450" t="s">
        <v>22883</v>
      </c>
      <c r="I8604" s="450"/>
      <c r="J8604" s="450" t="s">
        <v>22939</v>
      </c>
      <c r="K8604" s="450"/>
    </row>
    <row r="8605" spans="1:11">
      <c r="A8605" s="451" t="s">
        <v>14296</v>
      </c>
      <c r="B8605" s="451"/>
      <c r="C8605" s="451" t="s">
        <v>14297</v>
      </c>
      <c r="D8605" s="451"/>
      <c r="E8605" s="451"/>
      <c r="F8605" s="451"/>
      <c r="G8605" s="451"/>
      <c r="H8605" s="451"/>
      <c r="I8605" s="451"/>
      <c r="J8605" s="451"/>
      <c r="K8605" s="451"/>
    </row>
    <row r="8606" spans="1:11">
      <c r="A8606" s="450" t="s">
        <v>27787</v>
      </c>
      <c r="B8606" s="450" t="s">
        <v>27788</v>
      </c>
      <c r="C8606" s="450" t="s">
        <v>27789</v>
      </c>
      <c r="D8606" s="450"/>
      <c r="E8606" s="450"/>
      <c r="F8606" s="450"/>
      <c r="G8606" s="450" t="s">
        <v>22877</v>
      </c>
      <c r="H8606" s="450" t="s">
        <v>22878</v>
      </c>
      <c r="I8606" s="450" t="s">
        <v>27790</v>
      </c>
      <c r="J8606" s="450" t="s">
        <v>27791</v>
      </c>
      <c r="K8606" s="450"/>
    </row>
    <row r="8607" spans="1:11">
      <c r="A8607" s="451" t="s">
        <v>14298</v>
      </c>
      <c r="B8607" s="451"/>
      <c r="C8607" s="451" t="s">
        <v>14299</v>
      </c>
      <c r="D8607" s="451"/>
      <c r="E8607" s="451"/>
      <c r="F8607" s="451"/>
      <c r="G8607" s="451" t="s">
        <v>22882</v>
      </c>
      <c r="H8607" s="451" t="s">
        <v>22883</v>
      </c>
      <c r="I8607" s="451"/>
      <c r="J8607" s="451" t="s">
        <v>22939</v>
      </c>
      <c r="K8607" s="451"/>
    </row>
    <row r="8608" spans="1:11">
      <c r="A8608" s="450" t="s">
        <v>14300</v>
      </c>
      <c r="B8608" s="450"/>
      <c r="C8608" s="450" t="s">
        <v>14301</v>
      </c>
      <c r="D8608" s="450"/>
      <c r="E8608" s="450"/>
      <c r="F8608" s="450"/>
      <c r="G8608" s="450" t="s">
        <v>22877</v>
      </c>
      <c r="H8608" s="450" t="s">
        <v>22878</v>
      </c>
      <c r="I8608" s="450" t="s">
        <v>37401</v>
      </c>
      <c r="J8608" s="450" t="s">
        <v>22902</v>
      </c>
      <c r="K8608" s="450"/>
    </row>
    <row r="8609" spans="1:11">
      <c r="A8609" s="451" t="s">
        <v>14302</v>
      </c>
      <c r="B8609" s="451"/>
      <c r="C8609" s="451" t="s">
        <v>14303</v>
      </c>
      <c r="D8609" s="451"/>
      <c r="E8609" s="451"/>
      <c r="F8609" s="451"/>
      <c r="G8609" s="451" t="s">
        <v>22882</v>
      </c>
      <c r="H8609" s="451" t="s">
        <v>22883</v>
      </c>
      <c r="I8609" s="451"/>
      <c r="J8609" s="451" t="s">
        <v>22939</v>
      </c>
      <c r="K8609" s="451"/>
    </row>
    <row r="8610" spans="1:11">
      <c r="A8610" s="450" t="s">
        <v>37402</v>
      </c>
      <c r="B8610" s="450" t="s">
        <v>14305</v>
      </c>
      <c r="C8610" s="450" t="s">
        <v>14306</v>
      </c>
      <c r="D8610" s="450"/>
      <c r="E8610" s="450"/>
      <c r="F8610" s="450" t="s">
        <v>37403</v>
      </c>
      <c r="G8610" s="450" t="s">
        <v>22877</v>
      </c>
      <c r="H8610" s="450" t="s">
        <v>22878</v>
      </c>
      <c r="I8610" s="450" t="s">
        <v>37404</v>
      </c>
      <c r="J8610" s="450" t="s">
        <v>37405</v>
      </c>
      <c r="K8610" s="450"/>
    </row>
    <row r="8611" spans="1:11">
      <c r="A8611" s="451" t="s">
        <v>14304</v>
      </c>
      <c r="B8611" s="451" t="s">
        <v>14305</v>
      </c>
      <c r="C8611" s="451" t="s">
        <v>14306</v>
      </c>
      <c r="D8611" s="451"/>
      <c r="E8611" s="451"/>
      <c r="F8611" s="451" t="s">
        <v>14307</v>
      </c>
      <c r="G8611" s="451"/>
      <c r="H8611" s="451"/>
      <c r="I8611" s="451"/>
      <c r="J8611" s="451"/>
      <c r="K8611" s="451"/>
    </row>
    <row r="8612" spans="1:11">
      <c r="A8612" s="450" t="s">
        <v>14308</v>
      </c>
      <c r="B8612" s="450" t="s">
        <v>14309</v>
      </c>
      <c r="C8612" s="450" t="s">
        <v>14310</v>
      </c>
      <c r="D8612" s="450" t="s">
        <v>14311</v>
      </c>
      <c r="E8612" s="450"/>
      <c r="F8612" s="450"/>
      <c r="G8612" s="450" t="s">
        <v>22877</v>
      </c>
      <c r="H8612" s="450" t="s">
        <v>22878</v>
      </c>
      <c r="I8612" s="450" t="s">
        <v>27792</v>
      </c>
      <c r="J8612" s="450" t="s">
        <v>27793</v>
      </c>
      <c r="K8612" s="450"/>
    </row>
    <row r="8613" spans="1:11">
      <c r="A8613" s="451" t="s">
        <v>14312</v>
      </c>
      <c r="B8613" s="451"/>
      <c r="C8613" s="451" t="s">
        <v>14313</v>
      </c>
      <c r="D8613" s="451"/>
      <c r="E8613" s="451"/>
      <c r="F8613" s="451"/>
      <c r="G8613" s="451" t="s">
        <v>22877</v>
      </c>
      <c r="H8613" s="451" t="s">
        <v>22878</v>
      </c>
      <c r="I8613" s="451" t="s">
        <v>37406</v>
      </c>
      <c r="J8613" s="451" t="s">
        <v>23133</v>
      </c>
      <c r="K8613" s="451"/>
    </row>
    <row r="8614" spans="1:11">
      <c r="A8614" s="450" t="s">
        <v>14314</v>
      </c>
      <c r="B8614" s="450"/>
      <c r="C8614" s="450" t="s">
        <v>6976</v>
      </c>
      <c r="D8614" s="450"/>
      <c r="E8614" s="450"/>
      <c r="F8614" s="450"/>
      <c r="G8614" s="450" t="s">
        <v>22877</v>
      </c>
      <c r="H8614" s="450" t="s">
        <v>22878</v>
      </c>
      <c r="I8614" s="450" t="s">
        <v>37407</v>
      </c>
      <c r="J8614" s="450" t="s">
        <v>22939</v>
      </c>
      <c r="K8614" s="450"/>
    </row>
    <row r="8615" spans="1:11">
      <c r="A8615" s="451" t="s">
        <v>37408</v>
      </c>
      <c r="B8615" s="451"/>
      <c r="C8615" s="451" t="s">
        <v>5175</v>
      </c>
      <c r="D8615" s="451"/>
      <c r="E8615" s="451"/>
      <c r="F8615" s="451"/>
      <c r="G8615" s="451" t="s">
        <v>22877</v>
      </c>
      <c r="H8615" s="451" t="s">
        <v>22878</v>
      </c>
      <c r="I8615" s="451" t="s">
        <v>27794</v>
      </c>
      <c r="J8615" s="451" t="s">
        <v>22939</v>
      </c>
      <c r="K8615" s="451"/>
    </row>
    <row r="8616" spans="1:11">
      <c r="A8616" s="450" t="s">
        <v>14315</v>
      </c>
      <c r="B8616" s="450"/>
      <c r="C8616" s="450" t="s">
        <v>5175</v>
      </c>
      <c r="D8616" s="450"/>
      <c r="E8616" s="450"/>
      <c r="F8616" s="450"/>
      <c r="G8616" s="450"/>
      <c r="H8616" s="450"/>
      <c r="I8616" s="450"/>
      <c r="J8616" s="450"/>
      <c r="K8616" s="450"/>
    </row>
    <row r="8617" spans="1:11">
      <c r="A8617" s="451" t="s">
        <v>27795</v>
      </c>
      <c r="B8617" s="451" t="s">
        <v>27796</v>
      </c>
      <c r="C8617" s="451" t="s">
        <v>27797</v>
      </c>
      <c r="D8617" s="451"/>
      <c r="E8617" s="451"/>
      <c r="F8617" s="451"/>
      <c r="G8617" s="451" t="s">
        <v>22877</v>
      </c>
      <c r="H8617" s="451" t="s">
        <v>22878</v>
      </c>
      <c r="I8617" s="451" t="s">
        <v>27794</v>
      </c>
      <c r="J8617" s="451" t="s">
        <v>27798</v>
      </c>
      <c r="K8617" s="451"/>
    </row>
    <row r="8618" spans="1:11">
      <c r="A8618" s="450" t="s">
        <v>37409</v>
      </c>
      <c r="B8618" s="450" t="s">
        <v>14317</v>
      </c>
      <c r="C8618" s="450" t="s">
        <v>14318</v>
      </c>
      <c r="D8618" s="450" t="s">
        <v>14319</v>
      </c>
      <c r="E8618" s="450"/>
      <c r="F8618" s="450"/>
      <c r="G8618" s="450" t="s">
        <v>22877</v>
      </c>
      <c r="H8618" s="450" t="s">
        <v>22878</v>
      </c>
      <c r="I8618" s="450" t="s">
        <v>34731</v>
      </c>
      <c r="J8618" s="450" t="s">
        <v>37410</v>
      </c>
      <c r="K8618" s="450"/>
    </row>
    <row r="8619" spans="1:11">
      <c r="A8619" s="451" t="s">
        <v>14316</v>
      </c>
      <c r="B8619" s="451" t="s">
        <v>14317</v>
      </c>
      <c r="C8619" s="451" t="s">
        <v>14318</v>
      </c>
      <c r="D8619" s="451" t="s">
        <v>14319</v>
      </c>
      <c r="E8619" s="451" t="s">
        <v>14320</v>
      </c>
      <c r="F8619" s="451"/>
      <c r="G8619" s="451"/>
      <c r="H8619" s="451"/>
      <c r="I8619" s="451"/>
      <c r="J8619" s="451"/>
      <c r="K8619" s="451"/>
    </row>
    <row r="8620" spans="1:11">
      <c r="A8620" s="450" t="s">
        <v>37411</v>
      </c>
      <c r="B8620" s="450"/>
      <c r="C8620" s="450" t="s">
        <v>14324</v>
      </c>
      <c r="D8620" s="450"/>
      <c r="E8620" s="450"/>
      <c r="F8620" s="450"/>
      <c r="G8620" s="450" t="s">
        <v>22877</v>
      </c>
      <c r="H8620" s="450" t="s">
        <v>22878</v>
      </c>
      <c r="I8620" s="450" t="s">
        <v>37412</v>
      </c>
      <c r="J8620" s="450" t="s">
        <v>22943</v>
      </c>
      <c r="K8620" s="450"/>
    </row>
    <row r="8621" spans="1:11">
      <c r="A8621" s="451" t="s">
        <v>14321</v>
      </c>
      <c r="B8621" s="451"/>
      <c r="C8621" s="451" t="s">
        <v>14322</v>
      </c>
      <c r="D8621" s="451"/>
      <c r="E8621" s="451"/>
      <c r="F8621" s="451"/>
      <c r="G8621" s="451" t="s">
        <v>22877</v>
      </c>
      <c r="H8621" s="451" t="s">
        <v>22878</v>
      </c>
      <c r="I8621" s="451" t="s">
        <v>37413</v>
      </c>
      <c r="J8621" s="451" t="s">
        <v>22939</v>
      </c>
      <c r="K8621" s="451"/>
    </row>
    <row r="8622" spans="1:11">
      <c r="A8622" s="450" t="s">
        <v>14323</v>
      </c>
      <c r="B8622" s="450"/>
      <c r="C8622" s="450" t="s">
        <v>14324</v>
      </c>
      <c r="D8622" s="450"/>
      <c r="E8622" s="450"/>
      <c r="F8622" s="450"/>
      <c r="G8622" s="450"/>
      <c r="H8622" s="450"/>
      <c r="I8622" s="450"/>
      <c r="J8622" s="450"/>
      <c r="K8622" s="450"/>
    </row>
    <row r="8623" spans="1:11">
      <c r="A8623" s="451" t="s">
        <v>21863</v>
      </c>
      <c r="B8623" s="451"/>
      <c r="C8623" s="451" t="s">
        <v>7835</v>
      </c>
      <c r="D8623" s="451"/>
      <c r="E8623" s="451"/>
      <c r="F8623" s="451"/>
      <c r="G8623" s="451" t="s">
        <v>22882</v>
      </c>
      <c r="H8623" s="451" t="s">
        <v>22883</v>
      </c>
      <c r="I8623" s="451"/>
      <c r="J8623" s="451" t="s">
        <v>22997</v>
      </c>
      <c r="K8623" s="451"/>
    </row>
    <row r="8624" spans="1:11">
      <c r="A8624" s="450" t="s">
        <v>14325</v>
      </c>
      <c r="B8624" s="450"/>
      <c r="C8624" s="450" t="s">
        <v>14326</v>
      </c>
      <c r="D8624" s="450"/>
      <c r="E8624" s="450"/>
      <c r="F8624" s="450"/>
      <c r="G8624" s="450" t="s">
        <v>22877</v>
      </c>
      <c r="H8624" s="450" t="s">
        <v>22878</v>
      </c>
      <c r="I8624" s="450" t="s">
        <v>27799</v>
      </c>
      <c r="J8624" s="450" t="s">
        <v>22939</v>
      </c>
      <c r="K8624" s="450"/>
    </row>
    <row r="8625" spans="1:11">
      <c r="A8625" s="451" t="s">
        <v>27800</v>
      </c>
      <c r="B8625" s="451" t="s">
        <v>27801</v>
      </c>
      <c r="C8625" s="451" t="s">
        <v>27802</v>
      </c>
      <c r="D8625" s="451"/>
      <c r="E8625" s="451"/>
      <c r="F8625" s="451"/>
      <c r="G8625" s="451" t="s">
        <v>22877</v>
      </c>
      <c r="H8625" s="451" t="s">
        <v>22878</v>
      </c>
      <c r="I8625" s="451" t="s">
        <v>27803</v>
      </c>
      <c r="J8625" s="451" t="s">
        <v>27804</v>
      </c>
      <c r="K8625" s="451"/>
    </row>
    <row r="8626" spans="1:11">
      <c r="A8626" s="450" t="s">
        <v>14327</v>
      </c>
      <c r="B8626" s="450"/>
      <c r="C8626" s="450" t="s">
        <v>14328</v>
      </c>
      <c r="D8626" s="450"/>
      <c r="E8626" s="450"/>
      <c r="F8626" s="450"/>
      <c r="G8626" s="450" t="s">
        <v>22877</v>
      </c>
      <c r="H8626" s="450" t="s">
        <v>22878</v>
      </c>
      <c r="I8626" s="450" t="s">
        <v>37414</v>
      </c>
      <c r="J8626" s="450" t="s">
        <v>22939</v>
      </c>
      <c r="K8626" s="450"/>
    </row>
    <row r="8627" spans="1:11">
      <c r="A8627" s="451" t="s">
        <v>14329</v>
      </c>
      <c r="B8627" s="451"/>
      <c r="C8627" s="451" t="s">
        <v>10861</v>
      </c>
      <c r="D8627" s="451"/>
      <c r="E8627" s="451"/>
      <c r="F8627" s="451"/>
      <c r="G8627" s="451" t="s">
        <v>22877</v>
      </c>
      <c r="H8627" s="451" t="s">
        <v>22878</v>
      </c>
      <c r="I8627" s="451" t="s">
        <v>27805</v>
      </c>
      <c r="J8627" s="451" t="s">
        <v>22943</v>
      </c>
      <c r="K8627" s="451"/>
    </row>
    <row r="8628" spans="1:11">
      <c r="A8628" s="450" t="s">
        <v>14330</v>
      </c>
      <c r="B8628" s="450" t="s">
        <v>14331</v>
      </c>
      <c r="C8628" s="450" t="s">
        <v>1363</v>
      </c>
      <c r="D8628" s="450" t="s">
        <v>14332</v>
      </c>
      <c r="E8628" s="450"/>
      <c r="F8628" s="450"/>
      <c r="G8628" s="450" t="s">
        <v>22877</v>
      </c>
      <c r="H8628" s="450" t="s">
        <v>22878</v>
      </c>
      <c r="I8628" s="450" t="s">
        <v>14332</v>
      </c>
      <c r="J8628" s="450" t="s">
        <v>37415</v>
      </c>
      <c r="K8628" s="450"/>
    </row>
    <row r="8629" spans="1:11">
      <c r="A8629" s="451" t="s">
        <v>14330</v>
      </c>
      <c r="B8629" s="451" t="s">
        <v>14331</v>
      </c>
      <c r="C8629" s="451" t="s">
        <v>1363</v>
      </c>
      <c r="D8629" s="451" t="s">
        <v>14332</v>
      </c>
      <c r="E8629" s="451" t="s">
        <v>14333</v>
      </c>
      <c r="F8629" s="451"/>
      <c r="G8629" s="451"/>
      <c r="H8629" s="451"/>
      <c r="I8629" s="451"/>
      <c r="J8629" s="451"/>
      <c r="K8629" s="451"/>
    </row>
    <row r="8630" spans="1:11">
      <c r="A8630" s="450" t="s">
        <v>14334</v>
      </c>
      <c r="B8630" s="450"/>
      <c r="C8630" s="450" t="s">
        <v>7041</v>
      </c>
      <c r="D8630" s="450"/>
      <c r="E8630" s="450"/>
      <c r="F8630" s="450"/>
      <c r="G8630" s="450" t="s">
        <v>22877</v>
      </c>
      <c r="H8630" s="450" t="s">
        <v>22878</v>
      </c>
      <c r="I8630" s="450" t="s">
        <v>37416</v>
      </c>
      <c r="J8630" s="450" t="s">
        <v>22939</v>
      </c>
      <c r="K8630" s="450"/>
    </row>
    <row r="8631" spans="1:11">
      <c r="A8631" s="451" t="s">
        <v>14335</v>
      </c>
      <c r="B8631" s="451"/>
      <c r="C8631" s="451" t="s">
        <v>14336</v>
      </c>
      <c r="D8631" s="451"/>
      <c r="E8631" s="451"/>
      <c r="F8631" s="451"/>
      <c r="G8631" s="451" t="s">
        <v>22877</v>
      </c>
      <c r="H8631" s="451" t="s">
        <v>22878</v>
      </c>
      <c r="I8631" s="451" t="s">
        <v>37417</v>
      </c>
      <c r="J8631" s="451" t="s">
        <v>22939</v>
      </c>
      <c r="K8631" s="451"/>
    </row>
    <row r="8632" spans="1:11">
      <c r="A8632" s="450" t="s">
        <v>14337</v>
      </c>
      <c r="B8632" s="450"/>
      <c r="C8632" s="450" t="s">
        <v>14338</v>
      </c>
      <c r="D8632" s="450"/>
      <c r="E8632" s="450"/>
      <c r="F8632" s="450"/>
      <c r="G8632" s="450" t="s">
        <v>22877</v>
      </c>
      <c r="H8632" s="450" t="s">
        <v>22878</v>
      </c>
      <c r="I8632" s="450" t="s">
        <v>37418</v>
      </c>
      <c r="J8632" s="450" t="s">
        <v>23121</v>
      </c>
      <c r="K8632" s="450"/>
    </row>
    <row r="8633" spans="1:11">
      <c r="A8633" s="451" t="s">
        <v>14339</v>
      </c>
      <c r="B8633" s="451"/>
      <c r="C8633" s="451" t="s">
        <v>10413</v>
      </c>
      <c r="D8633" s="451"/>
      <c r="E8633" s="451"/>
      <c r="F8633" s="451"/>
      <c r="G8633" s="451" t="s">
        <v>22882</v>
      </c>
      <c r="H8633" s="451" t="s">
        <v>22883</v>
      </c>
      <c r="I8633" s="451"/>
      <c r="J8633" s="451" t="s">
        <v>22939</v>
      </c>
      <c r="K8633" s="451"/>
    </row>
    <row r="8634" spans="1:11">
      <c r="A8634" s="450" t="s">
        <v>37419</v>
      </c>
      <c r="B8634" s="450" t="s">
        <v>14341</v>
      </c>
      <c r="C8634" s="450" t="s">
        <v>14342</v>
      </c>
      <c r="D8634" s="450"/>
      <c r="E8634" s="450"/>
      <c r="F8634" s="450"/>
      <c r="G8634" s="450" t="s">
        <v>22882</v>
      </c>
      <c r="H8634" s="450" t="s">
        <v>22883</v>
      </c>
      <c r="I8634" s="450"/>
      <c r="J8634" s="450" t="s">
        <v>37420</v>
      </c>
      <c r="K8634" s="450"/>
    </row>
    <row r="8635" spans="1:11">
      <c r="A8635" s="451" t="s">
        <v>14340</v>
      </c>
      <c r="B8635" s="451" t="s">
        <v>14341</v>
      </c>
      <c r="C8635" s="451" t="s">
        <v>14342</v>
      </c>
      <c r="D8635" s="451"/>
      <c r="E8635" s="451"/>
      <c r="F8635" s="451"/>
      <c r="G8635" s="451"/>
      <c r="H8635" s="451"/>
      <c r="I8635" s="451"/>
      <c r="J8635" s="451"/>
      <c r="K8635" s="451"/>
    </row>
    <row r="8636" spans="1:11">
      <c r="A8636" s="450" t="s">
        <v>14343</v>
      </c>
      <c r="B8636" s="450"/>
      <c r="C8636" s="450" t="s">
        <v>7563</v>
      </c>
      <c r="D8636" s="450"/>
      <c r="E8636" s="450"/>
      <c r="F8636" s="450"/>
      <c r="G8636" s="450" t="s">
        <v>22882</v>
      </c>
      <c r="H8636" s="450" t="s">
        <v>22883</v>
      </c>
      <c r="I8636" s="450"/>
      <c r="J8636" s="450" t="s">
        <v>23185</v>
      </c>
      <c r="K8636" s="450"/>
    </row>
    <row r="8637" spans="1:11">
      <c r="A8637" s="451" t="s">
        <v>14344</v>
      </c>
      <c r="B8637" s="451"/>
      <c r="C8637" s="451" t="s">
        <v>14345</v>
      </c>
      <c r="D8637" s="451"/>
      <c r="E8637" s="451"/>
      <c r="F8637" s="451"/>
      <c r="G8637" s="451" t="s">
        <v>22877</v>
      </c>
      <c r="H8637" s="451" t="s">
        <v>22878</v>
      </c>
      <c r="I8637" s="451" t="s">
        <v>37421</v>
      </c>
      <c r="J8637" s="451" t="s">
        <v>22939</v>
      </c>
      <c r="K8637" s="451"/>
    </row>
    <row r="8638" spans="1:11">
      <c r="A8638" s="450" t="s">
        <v>37422</v>
      </c>
      <c r="B8638" s="450"/>
      <c r="C8638" s="450" t="s">
        <v>14347</v>
      </c>
      <c r="D8638" s="450"/>
      <c r="E8638" s="450"/>
      <c r="F8638" s="450"/>
      <c r="G8638" s="450" t="s">
        <v>22877</v>
      </c>
      <c r="H8638" s="450" t="s">
        <v>22878</v>
      </c>
      <c r="I8638" s="450" t="s">
        <v>37423</v>
      </c>
      <c r="J8638" s="450" t="s">
        <v>23121</v>
      </c>
      <c r="K8638" s="450"/>
    </row>
    <row r="8639" spans="1:11">
      <c r="A8639" s="451" t="s">
        <v>14346</v>
      </c>
      <c r="B8639" s="451"/>
      <c r="C8639" s="451" t="s">
        <v>14347</v>
      </c>
      <c r="D8639" s="451"/>
      <c r="E8639" s="451"/>
      <c r="F8639" s="451"/>
      <c r="G8639" s="451"/>
      <c r="H8639" s="451"/>
      <c r="I8639" s="451"/>
      <c r="J8639" s="451"/>
      <c r="K8639" s="451"/>
    </row>
    <row r="8640" spans="1:11">
      <c r="A8640" s="450" t="s">
        <v>14348</v>
      </c>
      <c r="B8640" s="450"/>
      <c r="C8640" s="450" t="s">
        <v>14349</v>
      </c>
      <c r="D8640" s="450"/>
      <c r="E8640" s="450"/>
      <c r="F8640" s="450"/>
      <c r="G8640" s="450" t="s">
        <v>22877</v>
      </c>
      <c r="H8640" s="450" t="s">
        <v>22878</v>
      </c>
      <c r="I8640" s="450" t="s">
        <v>37424</v>
      </c>
      <c r="J8640" s="450" t="s">
        <v>22939</v>
      </c>
      <c r="K8640" s="450"/>
    </row>
    <row r="8641" spans="1:11">
      <c r="A8641" s="451" t="s">
        <v>14350</v>
      </c>
      <c r="B8641" s="451"/>
      <c r="C8641" s="451" t="s">
        <v>14351</v>
      </c>
      <c r="D8641" s="451"/>
      <c r="E8641" s="451"/>
      <c r="F8641" s="451"/>
      <c r="G8641" s="451" t="s">
        <v>22882</v>
      </c>
      <c r="H8641" s="451" t="s">
        <v>22883</v>
      </c>
      <c r="I8641" s="451"/>
      <c r="J8641" s="451" t="s">
        <v>23121</v>
      </c>
      <c r="K8641" s="451"/>
    </row>
    <row r="8642" spans="1:11">
      <c r="A8642" s="450" t="s">
        <v>14352</v>
      </c>
      <c r="B8642" s="450"/>
      <c r="C8642" s="450" t="s">
        <v>14353</v>
      </c>
      <c r="D8642" s="450"/>
      <c r="E8642" s="450"/>
      <c r="F8642" s="450"/>
      <c r="G8642" s="450" t="s">
        <v>22882</v>
      </c>
      <c r="H8642" s="450" t="s">
        <v>22883</v>
      </c>
      <c r="I8642" s="450"/>
      <c r="J8642" s="450" t="s">
        <v>23121</v>
      </c>
      <c r="K8642" s="450"/>
    </row>
    <row r="8643" spans="1:11">
      <c r="A8643" s="451" t="s">
        <v>14354</v>
      </c>
      <c r="B8643" s="451"/>
      <c r="C8643" s="451" t="s">
        <v>2100</v>
      </c>
      <c r="D8643" s="451"/>
      <c r="E8643" s="451"/>
      <c r="F8643" s="451"/>
      <c r="G8643" s="451" t="s">
        <v>22877</v>
      </c>
      <c r="H8643" s="451" t="s">
        <v>22878</v>
      </c>
      <c r="I8643" s="451" t="s">
        <v>37425</v>
      </c>
      <c r="J8643" s="451" t="s">
        <v>22939</v>
      </c>
      <c r="K8643" s="451"/>
    </row>
    <row r="8644" spans="1:11">
      <c r="A8644" s="450" t="s">
        <v>14355</v>
      </c>
      <c r="B8644" s="450"/>
      <c r="C8644" s="450" t="s">
        <v>14356</v>
      </c>
      <c r="D8644" s="450"/>
      <c r="E8644" s="450"/>
      <c r="F8644" s="450"/>
      <c r="G8644" s="450" t="s">
        <v>22882</v>
      </c>
      <c r="H8644" s="450" t="s">
        <v>22883</v>
      </c>
      <c r="I8644" s="450"/>
      <c r="J8644" s="450" t="s">
        <v>22943</v>
      </c>
      <c r="K8644" s="450"/>
    </row>
    <row r="8645" spans="1:11">
      <c r="A8645" s="451" t="s">
        <v>14357</v>
      </c>
      <c r="B8645" s="451"/>
      <c r="C8645" s="451" t="s">
        <v>7794</v>
      </c>
      <c r="D8645" s="451"/>
      <c r="E8645" s="451"/>
      <c r="F8645" s="451"/>
      <c r="G8645" s="451" t="s">
        <v>22882</v>
      </c>
      <c r="H8645" s="451" t="s">
        <v>22883</v>
      </c>
      <c r="I8645" s="451"/>
      <c r="J8645" s="451" t="s">
        <v>22939</v>
      </c>
      <c r="K8645" s="451"/>
    </row>
    <row r="8646" spans="1:11">
      <c r="A8646" s="450" t="s">
        <v>14358</v>
      </c>
      <c r="B8646" s="450"/>
      <c r="C8646" s="450" t="s">
        <v>1213</v>
      </c>
      <c r="D8646" s="450"/>
      <c r="E8646" s="450"/>
      <c r="F8646" s="450"/>
      <c r="G8646" s="450" t="s">
        <v>22882</v>
      </c>
      <c r="H8646" s="450" t="s">
        <v>22883</v>
      </c>
      <c r="I8646" s="450"/>
      <c r="J8646" s="450" t="s">
        <v>22939</v>
      </c>
      <c r="K8646" s="450"/>
    </row>
    <row r="8647" spans="1:11">
      <c r="A8647" s="451" t="s">
        <v>14359</v>
      </c>
      <c r="B8647" s="451"/>
      <c r="C8647" s="451" t="s">
        <v>10456</v>
      </c>
      <c r="D8647" s="451"/>
      <c r="E8647" s="451"/>
      <c r="F8647" s="451"/>
      <c r="G8647" s="451" t="s">
        <v>22882</v>
      </c>
      <c r="H8647" s="451" t="s">
        <v>22883</v>
      </c>
      <c r="I8647" s="451"/>
      <c r="J8647" s="451" t="s">
        <v>22939</v>
      </c>
      <c r="K8647" s="451"/>
    </row>
    <row r="8648" spans="1:11">
      <c r="A8648" s="450" t="s">
        <v>37426</v>
      </c>
      <c r="B8648" s="450"/>
      <c r="C8648" s="450" t="s">
        <v>14361</v>
      </c>
      <c r="D8648" s="450"/>
      <c r="E8648" s="450"/>
      <c r="F8648" s="450"/>
      <c r="G8648" s="450" t="s">
        <v>22882</v>
      </c>
      <c r="H8648" s="450" t="s">
        <v>22883</v>
      </c>
      <c r="I8648" s="450"/>
      <c r="J8648" s="450" t="s">
        <v>22943</v>
      </c>
      <c r="K8648" s="450"/>
    </row>
    <row r="8649" spans="1:11">
      <c r="A8649" s="451" t="s">
        <v>14360</v>
      </c>
      <c r="B8649" s="451"/>
      <c r="C8649" s="451" t="s">
        <v>14361</v>
      </c>
      <c r="D8649" s="451"/>
      <c r="E8649" s="451"/>
      <c r="F8649" s="451"/>
      <c r="G8649" s="451"/>
      <c r="H8649" s="451"/>
      <c r="I8649" s="451"/>
      <c r="J8649" s="451"/>
      <c r="K8649" s="451"/>
    </row>
    <row r="8650" spans="1:11">
      <c r="A8650" s="450" t="s">
        <v>14362</v>
      </c>
      <c r="B8650" s="450"/>
      <c r="C8650" s="450" t="s">
        <v>14363</v>
      </c>
      <c r="D8650" s="450"/>
      <c r="E8650" s="450"/>
      <c r="F8650" s="450"/>
      <c r="G8650" s="450" t="s">
        <v>22877</v>
      </c>
      <c r="H8650" s="450" t="s">
        <v>22878</v>
      </c>
      <c r="I8650" s="450" t="s">
        <v>37427</v>
      </c>
      <c r="J8650" s="450" t="s">
        <v>23121</v>
      </c>
      <c r="K8650" s="450"/>
    </row>
    <row r="8651" spans="1:11">
      <c r="A8651" s="451" t="s">
        <v>14364</v>
      </c>
      <c r="B8651" s="451"/>
      <c r="C8651" s="451" t="s">
        <v>14365</v>
      </c>
      <c r="D8651" s="451"/>
      <c r="E8651" s="451"/>
      <c r="F8651" s="451"/>
      <c r="G8651" s="451" t="s">
        <v>22882</v>
      </c>
      <c r="H8651" s="451" t="s">
        <v>22883</v>
      </c>
      <c r="I8651" s="451"/>
      <c r="J8651" s="451" t="s">
        <v>23121</v>
      </c>
      <c r="K8651" s="451"/>
    </row>
    <row r="8652" spans="1:11">
      <c r="A8652" s="450" t="s">
        <v>14366</v>
      </c>
      <c r="B8652" s="450"/>
      <c r="C8652" s="450" t="s">
        <v>14367</v>
      </c>
      <c r="D8652" s="450"/>
      <c r="E8652" s="450"/>
      <c r="F8652" s="450"/>
      <c r="G8652" s="450" t="s">
        <v>22882</v>
      </c>
      <c r="H8652" s="450" t="s">
        <v>22883</v>
      </c>
      <c r="I8652" s="450"/>
      <c r="J8652" s="450" t="s">
        <v>22939</v>
      </c>
      <c r="K8652" s="450"/>
    </row>
    <row r="8653" spans="1:11">
      <c r="A8653" s="451" t="s">
        <v>37428</v>
      </c>
      <c r="B8653" s="451"/>
      <c r="C8653" s="451" t="s">
        <v>14369</v>
      </c>
      <c r="D8653" s="451"/>
      <c r="E8653" s="451"/>
      <c r="F8653" s="451"/>
      <c r="G8653" s="451" t="s">
        <v>22882</v>
      </c>
      <c r="H8653" s="451" t="s">
        <v>22883</v>
      </c>
      <c r="I8653" s="451"/>
      <c r="J8653" s="451" t="s">
        <v>23121</v>
      </c>
      <c r="K8653" s="451"/>
    </row>
    <row r="8654" spans="1:11">
      <c r="A8654" s="450" t="s">
        <v>14368</v>
      </c>
      <c r="B8654" s="450"/>
      <c r="C8654" s="450" t="s">
        <v>14369</v>
      </c>
      <c r="D8654" s="450"/>
      <c r="E8654" s="450"/>
      <c r="F8654" s="450"/>
      <c r="G8654" s="450"/>
      <c r="H8654" s="450"/>
      <c r="I8654" s="450"/>
      <c r="J8654" s="450"/>
      <c r="K8654" s="450"/>
    </row>
    <row r="8655" spans="1:11">
      <c r="A8655" s="451" t="s">
        <v>27806</v>
      </c>
      <c r="B8655" s="451" t="s">
        <v>14371</v>
      </c>
      <c r="C8655" s="451" t="s">
        <v>5592</v>
      </c>
      <c r="D8655" s="451"/>
      <c r="E8655" s="451"/>
      <c r="F8655" s="451"/>
      <c r="G8655" s="451" t="s">
        <v>22877</v>
      </c>
      <c r="H8655" s="451" t="s">
        <v>22878</v>
      </c>
      <c r="I8655" s="451" t="s">
        <v>27807</v>
      </c>
      <c r="J8655" s="451" t="s">
        <v>27808</v>
      </c>
      <c r="K8655" s="451"/>
    </row>
    <row r="8656" spans="1:11">
      <c r="A8656" s="450" t="s">
        <v>14370</v>
      </c>
      <c r="B8656" s="450" t="s">
        <v>14371</v>
      </c>
      <c r="C8656" s="450" t="s">
        <v>5592</v>
      </c>
      <c r="D8656" s="450"/>
      <c r="E8656" s="450"/>
      <c r="F8656" s="450"/>
      <c r="G8656" s="450"/>
      <c r="H8656" s="450"/>
      <c r="I8656" s="450"/>
      <c r="J8656" s="450"/>
      <c r="K8656" s="450"/>
    </row>
    <row r="8657" spans="1:11">
      <c r="A8657" s="451" t="s">
        <v>14372</v>
      </c>
      <c r="B8657" s="451" t="s">
        <v>14373</v>
      </c>
      <c r="C8657" s="451" t="s">
        <v>14374</v>
      </c>
      <c r="D8657" s="451" t="s">
        <v>14375</v>
      </c>
      <c r="E8657" s="451"/>
      <c r="F8657" s="451"/>
      <c r="G8657" s="451" t="s">
        <v>22882</v>
      </c>
      <c r="H8657" s="451" t="s">
        <v>22883</v>
      </c>
      <c r="I8657" s="451"/>
      <c r="J8657" s="451" t="s">
        <v>37429</v>
      </c>
      <c r="K8657" s="451"/>
    </row>
    <row r="8658" spans="1:11">
      <c r="A8658" s="450" t="s">
        <v>37430</v>
      </c>
      <c r="B8658" s="450"/>
      <c r="C8658" s="450" t="s">
        <v>14377</v>
      </c>
      <c r="D8658" s="450"/>
      <c r="E8658" s="450"/>
      <c r="F8658" s="450"/>
      <c r="G8658" s="450" t="s">
        <v>22877</v>
      </c>
      <c r="H8658" s="450" t="s">
        <v>22878</v>
      </c>
      <c r="I8658" s="450"/>
      <c r="J8658" s="450" t="s">
        <v>22948</v>
      </c>
      <c r="K8658" s="450"/>
    </row>
    <row r="8659" spans="1:11">
      <c r="A8659" s="451" t="s">
        <v>14376</v>
      </c>
      <c r="B8659" s="451"/>
      <c r="C8659" s="451" t="s">
        <v>14377</v>
      </c>
      <c r="D8659" s="451"/>
      <c r="E8659" s="451"/>
      <c r="F8659" s="451"/>
      <c r="G8659" s="451"/>
      <c r="H8659" s="451"/>
      <c r="I8659" s="451"/>
      <c r="J8659" s="451"/>
      <c r="K8659" s="451"/>
    </row>
    <row r="8660" spans="1:11">
      <c r="A8660" s="450" t="s">
        <v>14378</v>
      </c>
      <c r="B8660" s="450"/>
      <c r="C8660" s="450" t="s">
        <v>14379</v>
      </c>
      <c r="D8660" s="450"/>
      <c r="E8660" s="450"/>
      <c r="F8660" s="450"/>
      <c r="G8660" s="450" t="s">
        <v>22877</v>
      </c>
      <c r="H8660" s="450" t="s">
        <v>22878</v>
      </c>
      <c r="I8660" s="450" t="s">
        <v>37431</v>
      </c>
      <c r="J8660" s="450" t="s">
        <v>22939</v>
      </c>
      <c r="K8660" s="450"/>
    </row>
    <row r="8661" spans="1:11">
      <c r="A8661" s="451" t="s">
        <v>37432</v>
      </c>
      <c r="B8661" s="451"/>
      <c r="C8661" s="451" t="s">
        <v>14381</v>
      </c>
      <c r="D8661" s="451"/>
      <c r="E8661" s="451"/>
      <c r="F8661" s="451"/>
      <c r="G8661" s="451" t="s">
        <v>22877</v>
      </c>
      <c r="H8661" s="451" t="s">
        <v>22878</v>
      </c>
      <c r="I8661" s="451" t="s">
        <v>37433</v>
      </c>
      <c r="J8661" s="451" t="s">
        <v>37434</v>
      </c>
      <c r="K8661" s="451"/>
    </row>
    <row r="8662" spans="1:11">
      <c r="A8662" s="450" t="s">
        <v>14380</v>
      </c>
      <c r="B8662" s="450"/>
      <c r="C8662" s="450" t="s">
        <v>14381</v>
      </c>
      <c r="D8662" s="450"/>
      <c r="E8662" s="450"/>
      <c r="F8662" s="450"/>
      <c r="G8662" s="450"/>
      <c r="H8662" s="450"/>
      <c r="I8662" s="450"/>
      <c r="J8662" s="450"/>
      <c r="K8662" s="450"/>
    </row>
    <row r="8663" spans="1:11">
      <c r="A8663" s="451" t="s">
        <v>21864</v>
      </c>
      <c r="B8663" s="451"/>
      <c r="C8663" s="451" t="s">
        <v>14382</v>
      </c>
      <c r="D8663" s="451"/>
      <c r="E8663" s="451"/>
      <c r="F8663" s="451"/>
      <c r="G8663" s="451" t="s">
        <v>22882</v>
      </c>
      <c r="H8663" s="451" t="s">
        <v>22883</v>
      </c>
      <c r="I8663" s="451"/>
      <c r="J8663" s="451" t="s">
        <v>22943</v>
      </c>
      <c r="K8663" s="451"/>
    </row>
    <row r="8664" spans="1:11">
      <c r="A8664" s="450" t="s">
        <v>14383</v>
      </c>
      <c r="B8664" s="450"/>
      <c r="C8664" s="450" t="s">
        <v>14384</v>
      </c>
      <c r="D8664" s="450"/>
      <c r="E8664" s="450"/>
      <c r="F8664" s="450"/>
      <c r="G8664" s="450" t="s">
        <v>22877</v>
      </c>
      <c r="H8664" s="450" t="s">
        <v>22878</v>
      </c>
      <c r="I8664" s="450" t="s">
        <v>37435</v>
      </c>
      <c r="J8664" s="450" t="s">
        <v>22939</v>
      </c>
      <c r="K8664" s="450"/>
    </row>
    <row r="8665" spans="1:11">
      <c r="A8665" s="451" t="s">
        <v>14385</v>
      </c>
      <c r="B8665" s="451"/>
      <c r="C8665" s="451" t="s">
        <v>3706</v>
      </c>
      <c r="D8665" s="451"/>
      <c r="E8665" s="451"/>
      <c r="F8665" s="451"/>
      <c r="G8665" s="451" t="s">
        <v>22882</v>
      </c>
      <c r="H8665" s="451" t="s">
        <v>22883</v>
      </c>
      <c r="I8665" s="451"/>
      <c r="J8665" s="451" t="s">
        <v>22997</v>
      </c>
      <c r="K8665" s="451"/>
    </row>
    <row r="8666" spans="1:11">
      <c r="A8666" s="450" t="s">
        <v>14386</v>
      </c>
      <c r="B8666" s="450"/>
      <c r="C8666" s="450" t="s">
        <v>14387</v>
      </c>
      <c r="D8666" s="450"/>
      <c r="E8666" s="450"/>
      <c r="F8666" s="450"/>
      <c r="G8666" s="450" t="s">
        <v>22877</v>
      </c>
      <c r="H8666" s="450" t="s">
        <v>22878</v>
      </c>
      <c r="I8666" s="450" t="s">
        <v>27809</v>
      </c>
      <c r="J8666" s="450" t="s">
        <v>22997</v>
      </c>
      <c r="K8666" s="450"/>
    </row>
    <row r="8667" spans="1:11">
      <c r="A8667" s="451" t="s">
        <v>27810</v>
      </c>
      <c r="B8667" s="451" t="s">
        <v>37436</v>
      </c>
      <c r="C8667" s="451" t="s">
        <v>37437</v>
      </c>
      <c r="D8667" s="451">
        <v>2563275541</v>
      </c>
      <c r="E8667" s="451"/>
      <c r="F8667" s="451"/>
      <c r="G8667" s="451" t="s">
        <v>22877</v>
      </c>
      <c r="H8667" s="451" t="s">
        <v>22878</v>
      </c>
      <c r="I8667" s="451" t="s">
        <v>27811</v>
      </c>
      <c r="J8667" s="451" t="s">
        <v>37438</v>
      </c>
      <c r="K8667" s="451"/>
    </row>
    <row r="8668" spans="1:11">
      <c r="A8668" s="450" t="s">
        <v>27810</v>
      </c>
      <c r="B8668" s="450" t="s">
        <v>27812</v>
      </c>
      <c r="C8668" s="450" t="s">
        <v>27813</v>
      </c>
      <c r="D8668" s="450"/>
      <c r="E8668" s="450"/>
      <c r="F8668" s="450"/>
      <c r="G8668" s="450" t="s">
        <v>22877</v>
      </c>
      <c r="H8668" s="450" t="s">
        <v>22878</v>
      </c>
      <c r="I8668" s="450" t="s">
        <v>27811</v>
      </c>
      <c r="J8668" s="450" t="s">
        <v>27814</v>
      </c>
      <c r="K8668" s="450"/>
    </row>
    <row r="8669" spans="1:11">
      <c r="A8669" s="451" t="s">
        <v>27815</v>
      </c>
      <c r="B8669" s="451" t="s">
        <v>27816</v>
      </c>
      <c r="C8669" s="451" t="s">
        <v>27817</v>
      </c>
      <c r="D8669" s="451"/>
      <c r="E8669" s="451"/>
      <c r="F8669" s="451"/>
      <c r="G8669" s="451" t="s">
        <v>22877</v>
      </c>
      <c r="H8669" s="451" t="s">
        <v>22878</v>
      </c>
      <c r="I8669" s="451" t="s">
        <v>27818</v>
      </c>
      <c r="J8669" s="451" t="s">
        <v>27819</v>
      </c>
      <c r="K8669" s="451"/>
    </row>
    <row r="8670" spans="1:11">
      <c r="A8670" s="450" t="s">
        <v>14388</v>
      </c>
      <c r="B8670" s="450"/>
      <c r="C8670" s="450" t="s">
        <v>14389</v>
      </c>
      <c r="D8670" s="450"/>
      <c r="E8670" s="450"/>
      <c r="F8670" s="450"/>
      <c r="G8670" s="450"/>
      <c r="H8670" s="450"/>
      <c r="I8670" s="450"/>
      <c r="J8670" s="450"/>
      <c r="K8670" s="450"/>
    </row>
    <row r="8671" spans="1:11">
      <c r="A8671" s="451" t="s">
        <v>27820</v>
      </c>
      <c r="B8671" s="451"/>
      <c r="C8671" s="451" t="s">
        <v>27821</v>
      </c>
      <c r="D8671" s="451"/>
      <c r="E8671" s="451"/>
      <c r="F8671" s="451"/>
      <c r="G8671" s="451" t="s">
        <v>22877</v>
      </c>
      <c r="H8671" s="451" t="s">
        <v>22878</v>
      </c>
      <c r="I8671" s="451" t="s">
        <v>27822</v>
      </c>
      <c r="J8671" s="451" t="s">
        <v>23133</v>
      </c>
      <c r="K8671" s="451"/>
    </row>
    <row r="8672" spans="1:11">
      <c r="A8672" s="450" t="s">
        <v>27823</v>
      </c>
      <c r="B8672" s="450" t="s">
        <v>27824</v>
      </c>
      <c r="C8672" s="450" t="s">
        <v>27825</v>
      </c>
      <c r="D8672" s="450"/>
      <c r="E8672" s="450"/>
      <c r="F8672" s="450"/>
      <c r="G8672" s="450" t="s">
        <v>22877</v>
      </c>
      <c r="H8672" s="450" t="s">
        <v>22878</v>
      </c>
      <c r="I8672" s="450" t="s">
        <v>27826</v>
      </c>
      <c r="J8672" s="450" t="s">
        <v>27827</v>
      </c>
      <c r="K8672" s="450"/>
    </row>
    <row r="8673" spans="1:11">
      <c r="A8673" s="451" t="s">
        <v>14390</v>
      </c>
      <c r="B8673" s="451"/>
      <c r="C8673" s="451" t="s">
        <v>14391</v>
      </c>
      <c r="D8673" s="451"/>
      <c r="E8673" s="451"/>
      <c r="F8673" s="451"/>
      <c r="G8673" s="451" t="s">
        <v>22877</v>
      </c>
      <c r="H8673" s="451" t="s">
        <v>22878</v>
      </c>
      <c r="I8673" s="451" t="s">
        <v>37439</v>
      </c>
      <c r="J8673" s="451" t="s">
        <v>22997</v>
      </c>
      <c r="K8673" s="451"/>
    </row>
    <row r="8674" spans="1:11">
      <c r="A8674" s="450" t="s">
        <v>14392</v>
      </c>
      <c r="B8674" s="450"/>
      <c r="C8674" s="450" t="s">
        <v>14393</v>
      </c>
      <c r="D8674" s="450"/>
      <c r="E8674" s="450"/>
      <c r="F8674" s="450"/>
      <c r="G8674" s="450"/>
      <c r="H8674" s="450"/>
      <c r="I8674" s="450"/>
      <c r="J8674" s="450"/>
      <c r="K8674" s="450"/>
    </row>
    <row r="8675" spans="1:11">
      <c r="A8675" s="451" t="s">
        <v>37440</v>
      </c>
      <c r="B8675" s="451"/>
      <c r="C8675" s="451" t="s">
        <v>14393</v>
      </c>
      <c r="D8675" s="451"/>
      <c r="E8675" s="451"/>
      <c r="F8675" s="451"/>
      <c r="G8675" s="451" t="s">
        <v>22877</v>
      </c>
      <c r="H8675" s="451" t="s">
        <v>22878</v>
      </c>
      <c r="I8675" s="451" t="s">
        <v>37441</v>
      </c>
      <c r="J8675" s="451" t="s">
        <v>22939</v>
      </c>
      <c r="K8675" s="451"/>
    </row>
    <row r="8676" spans="1:11">
      <c r="A8676" s="450" t="s">
        <v>14394</v>
      </c>
      <c r="B8676" s="450"/>
      <c r="C8676" s="450" t="s">
        <v>14395</v>
      </c>
      <c r="D8676" s="450"/>
      <c r="E8676" s="450"/>
      <c r="F8676" s="450"/>
      <c r="G8676" s="450" t="s">
        <v>22877</v>
      </c>
      <c r="H8676" s="450" t="s">
        <v>22878</v>
      </c>
      <c r="I8676" s="450" t="s">
        <v>37442</v>
      </c>
      <c r="J8676" s="450" t="s">
        <v>22997</v>
      </c>
      <c r="K8676" s="450"/>
    </row>
    <row r="8677" spans="1:11">
      <c r="A8677" s="451" t="s">
        <v>14396</v>
      </c>
      <c r="B8677" s="451"/>
      <c r="C8677" s="451" t="s">
        <v>14397</v>
      </c>
      <c r="D8677" s="451"/>
      <c r="E8677" s="451"/>
      <c r="F8677" s="451"/>
      <c r="G8677" s="451" t="s">
        <v>22877</v>
      </c>
      <c r="H8677" s="451" t="s">
        <v>22878</v>
      </c>
      <c r="I8677" s="451" t="s">
        <v>27828</v>
      </c>
      <c r="J8677" s="451" t="s">
        <v>22943</v>
      </c>
      <c r="K8677" s="451"/>
    </row>
    <row r="8678" spans="1:11">
      <c r="A8678" s="450" t="s">
        <v>14398</v>
      </c>
      <c r="B8678" s="450" t="s">
        <v>14399</v>
      </c>
      <c r="C8678" s="450" t="s">
        <v>4390</v>
      </c>
      <c r="D8678" s="450" t="s">
        <v>14400</v>
      </c>
      <c r="E8678" s="450"/>
      <c r="F8678" s="450"/>
      <c r="G8678" s="450" t="s">
        <v>22877</v>
      </c>
      <c r="H8678" s="450" t="s">
        <v>22878</v>
      </c>
      <c r="I8678" s="450" t="s">
        <v>14400</v>
      </c>
      <c r="J8678" s="450" t="s">
        <v>37443</v>
      </c>
      <c r="K8678" s="450"/>
    </row>
    <row r="8679" spans="1:11">
      <c r="A8679" s="451" t="s">
        <v>14398</v>
      </c>
      <c r="B8679" s="451" t="s">
        <v>14399</v>
      </c>
      <c r="C8679" s="451" t="s">
        <v>4390</v>
      </c>
      <c r="D8679" s="451" t="s">
        <v>14400</v>
      </c>
      <c r="E8679" s="451" t="s">
        <v>14401</v>
      </c>
      <c r="F8679" s="451"/>
      <c r="G8679" s="451"/>
      <c r="H8679" s="451"/>
      <c r="I8679" s="451"/>
      <c r="J8679" s="451"/>
      <c r="K8679" s="451"/>
    </row>
    <row r="8680" spans="1:11">
      <c r="A8680" s="450" t="s">
        <v>14402</v>
      </c>
      <c r="B8680" s="450" t="s">
        <v>14403</v>
      </c>
      <c r="C8680" s="450" t="s">
        <v>14404</v>
      </c>
      <c r="D8680" s="450" t="s">
        <v>14405</v>
      </c>
      <c r="E8680" s="450"/>
      <c r="F8680" s="450"/>
      <c r="G8680" s="450" t="s">
        <v>22877</v>
      </c>
      <c r="H8680" s="450" t="s">
        <v>22878</v>
      </c>
      <c r="I8680" s="450" t="s">
        <v>37444</v>
      </c>
      <c r="J8680" s="450" t="s">
        <v>37445</v>
      </c>
      <c r="K8680" s="450"/>
    </row>
    <row r="8681" spans="1:11">
      <c r="A8681" s="451" t="s">
        <v>14402</v>
      </c>
      <c r="B8681" s="451" t="s">
        <v>14403</v>
      </c>
      <c r="C8681" s="451" t="s">
        <v>14404</v>
      </c>
      <c r="D8681" s="451" t="s">
        <v>14405</v>
      </c>
      <c r="E8681" s="451">
        <v>2055621379</v>
      </c>
      <c r="F8681" s="451"/>
      <c r="G8681" s="451"/>
      <c r="H8681" s="451"/>
      <c r="I8681" s="451"/>
      <c r="J8681" s="451"/>
      <c r="K8681" s="451"/>
    </row>
    <row r="8682" spans="1:11">
      <c r="A8682" s="450" t="s">
        <v>14406</v>
      </c>
      <c r="B8682" s="450" t="s">
        <v>14407</v>
      </c>
      <c r="C8682" s="450" t="s">
        <v>10469</v>
      </c>
      <c r="D8682" s="450" t="s">
        <v>6921</v>
      </c>
      <c r="E8682" s="450"/>
      <c r="F8682" s="450"/>
      <c r="G8682" s="450" t="s">
        <v>22877</v>
      </c>
      <c r="H8682" s="450" t="s">
        <v>22878</v>
      </c>
      <c r="I8682" s="450" t="s">
        <v>37446</v>
      </c>
      <c r="J8682" s="450" t="s">
        <v>37447</v>
      </c>
      <c r="K8682" s="450"/>
    </row>
    <row r="8683" spans="1:11">
      <c r="A8683" s="451" t="s">
        <v>14406</v>
      </c>
      <c r="B8683" s="451" t="s">
        <v>14407</v>
      </c>
      <c r="C8683" s="451" t="s">
        <v>10469</v>
      </c>
      <c r="D8683" s="451" t="s">
        <v>6921</v>
      </c>
      <c r="E8683" s="451" t="s">
        <v>6922</v>
      </c>
      <c r="F8683" s="451"/>
      <c r="G8683" s="451"/>
      <c r="H8683" s="451"/>
      <c r="I8683" s="451"/>
      <c r="J8683" s="451"/>
      <c r="K8683" s="451"/>
    </row>
    <row r="8684" spans="1:11">
      <c r="A8684" s="450" t="s">
        <v>27829</v>
      </c>
      <c r="B8684" s="450" t="s">
        <v>4385</v>
      </c>
      <c r="C8684" s="450" t="s">
        <v>2168</v>
      </c>
      <c r="D8684" s="450" t="s">
        <v>4386</v>
      </c>
      <c r="E8684" s="450"/>
      <c r="F8684" s="450"/>
      <c r="G8684" s="450" t="s">
        <v>22877</v>
      </c>
      <c r="H8684" s="450" t="s">
        <v>22878</v>
      </c>
      <c r="I8684" s="450" t="s">
        <v>27830</v>
      </c>
      <c r="J8684" s="450" t="s">
        <v>27831</v>
      </c>
      <c r="K8684" s="450"/>
    </row>
    <row r="8685" spans="1:11">
      <c r="A8685" s="451" t="s">
        <v>14408</v>
      </c>
      <c r="B8685" s="451" t="s">
        <v>14399</v>
      </c>
      <c r="C8685" s="451" t="s">
        <v>4390</v>
      </c>
      <c r="D8685" s="451" t="s">
        <v>4391</v>
      </c>
      <c r="E8685" s="451"/>
      <c r="F8685" s="451"/>
      <c r="G8685" s="451" t="s">
        <v>22877</v>
      </c>
      <c r="H8685" s="451" t="s">
        <v>22878</v>
      </c>
      <c r="I8685" s="451" t="s">
        <v>27832</v>
      </c>
      <c r="J8685" s="451" t="s">
        <v>27833</v>
      </c>
      <c r="K8685" s="451"/>
    </row>
    <row r="8686" spans="1:11">
      <c r="A8686" s="450" t="s">
        <v>14408</v>
      </c>
      <c r="B8686" s="450" t="s">
        <v>27834</v>
      </c>
      <c r="C8686" s="450" t="s">
        <v>27835</v>
      </c>
      <c r="D8686" s="450"/>
      <c r="E8686" s="450"/>
      <c r="F8686" s="450" t="s">
        <v>6000</v>
      </c>
      <c r="G8686" s="450" t="s">
        <v>22877</v>
      </c>
      <c r="H8686" s="450" t="s">
        <v>22878</v>
      </c>
      <c r="I8686" s="450" t="s">
        <v>27836</v>
      </c>
      <c r="J8686" s="450" t="s">
        <v>27837</v>
      </c>
      <c r="K8686" s="450"/>
    </row>
    <row r="8687" spans="1:11">
      <c r="A8687" s="451" t="s">
        <v>14408</v>
      </c>
      <c r="B8687" s="451" t="s">
        <v>14409</v>
      </c>
      <c r="C8687" s="451" t="s">
        <v>14410</v>
      </c>
      <c r="D8687" s="451"/>
      <c r="E8687" s="451"/>
      <c r="F8687" s="451" t="s">
        <v>6000</v>
      </c>
      <c r="G8687" s="451"/>
      <c r="H8687" s="451"/>
      <c r="I8687" s="451"/>
      <c r="J8687" s="451"/>
      <c r="K8687" s="451"/>
    </row>
    <row r="8688" spans="1:11">
      <c r="A8688" s="450" t="s">
        <v>27838</v>
      </c>
      <c r="B8688" s="450" t="s">
        <v>27839</v>
      </c>
      <c r="C8688" s="450" t="s">
        <v>22086</v>
      </c>
      <c r="D8688" s="450"/>
      <c r="E8688" s="450"/>
      <c r="F8688" s="450"/>
      <c r="G8688" s="450" t="s">
        <v>22877</v>
      </c>
      <c r="H8688" s="450" t="s">
        <v>22878</v>
      </c>
      <c r="I8688" s="450" t="s">
        <v>27840</v>
      </c>
      <c r="J8688" s="450" t="s">
        <v>27841</v>
      </c>
      <c r="K8688" s="450"/>
    </row>
    <row r="8689" spans="1:11">
      <c r="A8689" s="451" t="s">
        <v>14411</v>
      </c>
      <c r="B8689" s="451" t="s">
        <v>27842</v>
      </c>
      <c r="C8689" s="451" t="s">
        <v>2168</v>
      </c>
      <c r="D8689" s="451" t="s">
        <v>14413</v>
      </c>
      <c r="E8689" s="451"/>
      <c r="F8689" s="451"/>
      <c r="G8689" s="451" t="s">
        <v>22877</v>
      </c>
      <c r="H8689" s="451" t="s">
        <v>22878</v>
      </c>
      <c r="I8689" s="451" t="s">
        <v>27311</v>
      </c>
      <c r="J8689" s="451" t="s">
        <v>27843</v>
      </c>
      <c r="K8689" s="451"/>
    </row>
    <row r="8690" spans="1:11">
      <c r="A8690" s="450" t="s">
        <v>14411</v>
      </c>
      <c r="B8690" s="450" t="s">
        <v>14412</v>
      </c>
      <c r="C8690" s="450" t="s">
        <v>2168</v>
      </c>
      <c r="D8690" s="450" t="s">
        <v>14413</v>
      </c>
      <c r="E8690" s="450" t="s">
        <v>14414</v>
      </c>
      <c r="F8690" s="450"/>
      <c r="G8690" s="450"/>
      <c r="H8690" s="450"/>
      <c r="I8690" s="450"/>
      <c r="J8690" s="450"/>
      <c r="K8690" s="450"/>
    </row>
    <row r="8691" spans="1:11">
      <c r="A8691" s="451" t="s">
        <v>14415</v>
      </c>
      <c r="B8691" s="451" t="s">
        <v>14416</v>
      </c>
      <c r="C8691" s="451" t="s">
        <v>14417</v>
      </c>
      <c r="D8691" s="451"/>
      <c r="E8691" s="451"/>
      <c r="F8691" s="451"/>
      <c r="G8691" s="451" t="s">
        <v>22877</v>
      </c>
      <c r="H8691" s="451" t="s">
        <v>22878</v>
      </c>
      <c r="I8691" s="451" t="s">
        <v>27844</v>
      </c>
      <c r="J8691" s="451" t="s">
        <v>27845</v>
      </c>
      <c r="K8691" s="451"/>
    </row>
    <row r="8692" spans="1:11">
      <c r="A8692" s="450" t="s">
        <v>14418</v>
      </c>
      <c r="B8692" s="450" t="s">
        <v>27846</v>
      </c>
      <c r="C8692" s="450" t="s">
        <v>2957</v>
      </c>
      <c r="D8692" s="450"/>
      <c r="E8692" s="450"/>
      <c r="F8692" s="450"/>
      <c r="G8692" s="450" t="s">
        <v>22877</v>
      </c>
      <c r="H8692" s="450" t="s">
        <v>22878</v>
      </c>
      <c r="I8692" s="450" t="s">
        <v>27847</v>
      </c>
      <c r="J8692" s="450" t="s">
        <v>27848</v>
      </c>
      <c r="K8692" s="450"/>
    </row>
    <row r="8693" spans="1:11">
      <c r="A8693" s="451" t="s">
        <v>14418</v>
      </c>
      <c r="B8693" s="451" t="s">
        <v>14419</v>
      </c>
      <c r="C8693" s="451" t="s">
        <v>2957</v>
      </c>
      <c r="D8693" s="451"/>
      <c r="E8693" s="451"/>
      <c r="F8693" s="451"/>
      <c r="G8693" s="451"/>
      <c r="H8693" s="451"/>
      <c r="I8693" s="451"/>
      <c r="J8693" s="451"/>
      <c r="K8693" s="451"/>
    </row>
    <row r="8694" spans="1:11">
      <c r="A8694" s="450" t="s">
        <v>14420</v>
      </c>
      <c r="B8694" s="450" t="s">
        <v>14421</v>
      </c>
      <c r="C8694" s="450" t="s">
        <v>2168</v>
      </c>
      <c r="D8694" s="450"/>
      <c r="E8694" s="450"/>
      <c r="F8694" s="450"/>
      <c r="G8694" s="450" t="s">
        <v>22877</v>
      </c>
      <c r="H8694" s="450" t="s">
        <v>22878</v>
      </c>
      <c r="I8694" s="450" t="s">
        <v>27849</v>
      </c>
      <c r="J8694" s="450" t="s">
        <v>27850</v>
      </c>
      <c r="K8694" s="450"/>
    </row>
    <row r="8695" spans="1:11">
      <c r="A8695" s="451" t="s">
        <v>14422</v>
      </c>
      <c r="B8695" s="451" t="s">
        <v>14423</v>
      </c>
      <c r="C8695" s="451" t="s">
        <v>14424</v>
      </c>
      <c r="D8695" s="451"/>
      <c r="E8695" s="451"/>
      <c r="F8695" s="451"/>
      <c r="G8695" s="451"/>
      <c r="H8695" s="451"/>
      <c r="I8695" s="451"/>
      <c r="J8695" s="451"/>
      <c r="K8695" s="451"/>
    </row>
    <row r="8696" spans="1:11">
      <c r="A8696" s="450" t="s">
        <v>27851</v>
      </c>
      <c r="B8696" s="450" t="s">
        <v>27852</v>
      </c>
      <c r="C8696" s="450" t="s">
        <v>14426</v>
      </c>
      <c r="D8696" s="450"/>
      <c r="E8696" s="450"/>
      <c r="F8696" s="450"/>
      <c r="G8696" s="450" t="s">
        <v>22877</v>
      </c>
      <c r="H8696" s="450" t="s">
        <v>22878</v>
      </c>
      <c r="I8696" s="450" t="s">
        <v>27853</v>
      </c>
      <c r="J8696" s="450" t="s">
        <v>27854</v>
      </c>
      <c r="K8696" s="450"/>
    </row>
    <row r="8697" spans="1:11">
      <c r="A8697" s="451" t="s">
        <v>14425</v>
      </c>
      <c r="B8697" s="451"/>
      <c r="C8697" s="451" t="s">
        <v>14426</v>
      </c>
      <c r="D8697" s="451"/>
      <c r="E8697" s="451"/>
      <c r="F8697" s="451"/>
      <c r="G8697" s="451"/>
      <c r="H8697" s="451"/>
      <c r="I8697" s="451"/>
      <c r="J8697" s="451"/>
      <c r="K8697" s="451"/>
    </row>
    <row r="8698" spans="1:11">
      <c r="A8698" s="450" t="s">
        <v>27855</v>
      </c>
      <c r="B8698" s="450" t="s">
        <v>14423</v>
      </c>
      <c r="C8698" s="450" t="s">
        <v>14424</v>
      </c>
      <c r="D8698" s="450"/>
      <c r="E8698" s="450"/>
      <c r="F8698" s="450"/>
      <c r="G8698" s="450" t="s">
        <v>22877</v>
      </c>
      <c r="H8698" s="450" t="s">
        <v>22878</v>
      </c>
      <c r="I8698" s="450" t="s">
        <v>27856</v>
      </c>
      <c r="J8698" s="450" t="s">
        <v>27857</v>
      </c>
      <c r="K8698" s="450"/>
    </row>
    <row r="8699" spans="1:11">
      <c r="A8699" s="451" t="s">
        <v>14427</v>
      </c>
      <c r="B8699" s="451" t="s">
        <v>14428</v>
      </c>
      <c r="C8699" s="451" t="s">
        <v>14429</v>
      </c>
      <c r="D8699" s="451" t="s">
        <v>8453</v>
      </c>
      <c r="E8699" s="451"/>
      <c r="F8699" s="451" t="s">
        <v>14431</v>
      </c>
      <c r="G8699" s="451" t="s">
        <v>22877</v>
      </c>
      <c r="H8699" s="451" t="s">
        <v>22878</v>
      </c>
      <c r="I8699" s="451" t="s">
        <v>37448</v>
      </c>
      <c r="J8699" s="451" t="s">
        <v>37449</v>
      </c>
      <c r="K8699" s="451"/>
    </row>
    <row r="8700" spans="1:11">
      <c r="A8700" s="450" t="s">
        <v>14427</v>
      </c>
      <c r="B8700" s="450" t="s">
        <v>14428</v>
      </c>
      <c r="C8700" s="450" t="s">
        <v>14429</v>
      </c>
      <c r="D8700" s="450" t="s">
        <v>8453</v>
      </c>
      <c r="E8700" s="450" t="s">
        <v>14430</v>
      </c>
      <c r="F8700" s="450" t="s">
        <v>14431</v>
      </c>
      <c r="G8700" s="450"/>
      <c r="H8700" s="450"/>
      <c r="I8700" s="450"/>
      <c r="J8700" s="450"/>
      <c r="K8700" s="450"/>
    </row>
    <row r="8701" spans="1:11">
      <c r="A8701" s="451" t="s">
        <v>27858</v>
      </c>
      <c r="B8701" s="451" t="s">
        <v>27859</v>
      </c>
      <c r="C8701" s="451" t="s">
        <v>26403</v>
      </c>
      <c r="D8701" s="451"/>
      <c r="E8701" s="451"/>
      <c r="F8701" s="451"/>
      <c r="G8701" s="451" t="s">
        <v>22877</v>
      </c>
      <c r="H8701" s="451" t="s">
        <v>22878</v>
      </c>
      <c r="I8701" s="451" t="s">
        <v>27860</v>
      </c>
      <c r="J8701" s="451" t="s">
        <v>27861</v>
      </c>
      <c r="K8701" s="451"/>
    </row>
    <row r="8702" spans="1:11">
      <c r="A8702" s="450" t="s">
        <v>14432</v>
      </c>
      <c r="B8702" s="450" t="s">
        <v>14433</v>
      </c>
      <c r="C8702" s="450" t="s">
        <v>4350</v>
      </c>
      <c r="D8702" s="450" t="s">
        <v>6921</v>
      </c>
      <c r="E8702" s="450"/>
      <c r="F8702" s="450"/>
      <c r="G8702" s="450" t="s">
        <v>22877</v>
      </c>
      <c r="H8702" s="450" t="s">
        <v>22878</v>
      </c>
      <c r="I8702" s="450" t="s">
        <v>37446</v>
      </c>
      <c r="J8702" s="450" t="s">
        <v>6920</v>
      </c>
      <c r="K8702" s="450"/>
    </row>
    <row r="8703" spans="1:11">
      <c r="A8703" s="451" t="s">
        <v>14432</v>
      </c>
      <c r="B8703" s="451" t="s">
        <v>14433</v>
      </c>
      <c r="C8703" s="451" t="s">
        <v>4350</v>
      </c>
      <c r="D8703" s="451" t="s">
        <v>6921</v>
      </c>
      <c r="E8703" s="451" t="s">
        <v>6922</v>
      </c>
      <c r="F8703" s="451"/>
      <c r="G8703" s="451"/>
      <c r="H8703" s="451"/>
      <c r="I8703" s="451"/>
      <c r="J8703" s="451"/>
      <c r="K8703" s="451"/>
    </row>
    <row r="8704" spans="1:11">
      <c r="A8704" s="450" t="s">
        <v>14434</v>
      </c>
      <c r="B8704" s="450"/>
      <c r="C8704" s="450" t="s">
        <v>14435</v>
      </c>
      <c r="D8704" s="450"/>
      <c r="E8704" s="450"/>
      <c r="F8704" s="450"/>
      <c r="G8704" s="450" t="s">
        <v>22877</v>
      </c>
      <c r="H8704" s="450" t="s">
        <v>22878</v>
      </c>
      <c r="I8704" s="450" t="s">
        <v>37450</v>
      </c>
      <c r="J8704" s="450" t="s">
        <v>22943</v>
      </c>
      <c r="K8704" s="450"/>
    </row>
    <row r="8705" spans="1:11">
      <c r="A8705" s="451" t="s">
        <v>14436</v>
      </c>
      <c r="B8705" s="451"/>
      <c r="C8705" s="451" t="s">
        <v>14437</v>
      </c>
      <c r="D8705" s="451" t="s">
        <v>14438</v>
      </c>
      <c r="E8705" s="451"/>
      <c r="F8705" s="451"/>
      <c r="G8705" s="451" t="s">
        <v>22877</v>
      </c>
      <c r="H8705" s="451" t="s">
        <v>22878</v>
      </c>
      <c r="I8705" s="451" t="s">
        <v>14438</v>
      </c>
      <c r="J8705" s="451" t="s">
        <v>37451</v>
      </c>
      <c r="K8705" s="451"/>
    </row>
    <row r="8706" spans="1:11">
      <c r="A8706" s="450" t="s">
        <v>14436</v>
      </c>
      <c r="B8706" s="450"/>
      <c r="C8706" s="450" t="s">
        <v>14437</v>
      </c>
      <c r="D8706" s="450" t="s">
        <v>14438</v>
      </c>
      <c r="E8706" s="450" t="s">
        <v>14439</v>
      </c>
      <c r="F8706" s="450"/>
      <c r="G8706" s="450"/>
      <c r="H8706" s="450"/>
      <c r="I8706" s="450"/>
      <c r="J8706" s="450"/>
      <c r="K8706" s="450"/>
    </row>
    <row r="8707" spans="1:11">
      <c r="A8707" s="451" t="s">
        <v>37452</v>
      </c>
      <c r="B8707" s="451" t="s">
        <v>14441</v>
      </c>
      <c r="C8707" s="451" t="s">
        <v>2098</v>
      </c>
      <c r="D8707" s="451" t="s">
        <v>14442</v>
      </c>
      <c r="E8707" s="451"/>
      <c r="F8707" s="451"/>
      <c r="G8707" s="451" t="s">
        <v>22877</v>
      </c>
      <c r="H8707" s="451" t="s">
        <v>22878</v>
      </c>
      <c r="I8707" s="451" t="s">
        <v>37453</v>
      </c>
      <c r="J8707" s="451" t="s">
        <v>37454</v>
      </c>
      <c r="K8707" s="451"/>
    </row>
    <row r="8708" spans="1:11">
      <c r="A8708" s="450" t="s">
        <v>14440</v>
      </c>
      <c r="B8708" s="450" t="s">
        <v>14441</v>
      </c>
      <c r="C8708" s="450" t="s">
        <v>2098</v>
      </c>
      <c r="D8708" s="450" t="s">
        <v>14442</v>
      </c>
      <c r="E8708" s="450" t="s">
        <v>14443</v>
      </c>
      <c r="F8708" s="450"/>
      <c r="G8708" s="450"/>
      <c r="H8708" s="450"/>
      <c r="I8708" s="450"/>
      <c r="J8708" s="450"/>
      <c r="K8708" s="450"/>
    </row>
    <row r="8709" spans="1:11">
      <c r="A8709" s="451" t="s">
        <v>14444</v>
      </c>
      <c r="B8709" s="451"/>
      <c r="C8709" s="451" t="s">
        <v>1883</v>
      </c>
      <c r="D8709" s="451"/>
      <c r="E8709" s="451"/>
      <c r="F8709" s="451"/>
      <c r="G8709" s="451" t="s">
        <v>22877</v>
      </c>
      <c r="H8709" s="451" t="s">
        <v>22878</v>
      </c>
      <c r="I8709" s="451" t="s">
        <v>27862</v>
      </c>
      <c r="J8709" s="451" t="s">
        <v>22939</v>
      </c>
      <c r="K8709" s="451"/>
    </row>
    <row r="8710" spans="1:11">
      <c r="A8710" s="450" t="s">
        <v>14445</v>
      </c>
      <c r="B8710" s="450" t="s">
        <v>14446</v>
      </c>
      <c r="C8710" s="450" t="s">
        <v>3780</v>
      </c>
      <c r="D8710" s="450"/>
      <c r="E8710" s="450"/>
      <c r="F8710" s="450"/>
      <c r="G8710" s="450" t="s">
        <v>22877</v>
      </c>
      <c r="H8710" s="450" t="s">
        <v>22878</v>
      </c>
      <c r="I8710" s="450" t="s">
        <v>27863</v>
      </c>
      <c r="J8710" s="450" t="s">
        <v>27864</v>
      </c>
      <c r="K8710" s="450"/>
    </row>
    <row r="8711" spans="1:11">
      <c r="A8711" s="451" t="s">
        <v>14447</v>
      </c>
      <c r="B8711" s="451" t="s">
        <v>14448</v>
      </c>
      <c r="C8711" s="451" t="s">
        <v>14449</v>
      </c>
      <c r="D8711" s="451" t="s">
        <v>14450</v>
      </c>
      <c r="E8711" s="451"/>
      <c r="F8711" s="451"/>
      <c r="G8711" s="451" t="s">
        <v>22882</v>
      </c>
      <c r="H8711" s="451" t="s">
        <v>22883</v>
      </c>
      <c r="I8711" s="451"/>
      <c r="J8711" s="451" t="s">
        <v>37455</v>
      </c>
      <c r="K8711" s="451"/>
    </row>
    <row r="8712" spans="1:11">
      <c r="A8712" s="450" t="s">
        <v>14447</v>
      </c>
      <c r="B8712" s="450" t="s">
        <v>14448</v>
      </c>
      <c r="C8712" s="450" t="s">
        <v>14449</v>
      </c>
      <c r="D8712" s="450" t="s">
        <v>14450</v>
      </c>
      <c r="E8712" s="450" t="s">
        <v>14451</v>
      </c>
      <c r="F8712" s="450"/>
      <c r="G8712" s="450"/>
      <c r="H8712" s="450"/>
      <c r="I8712" s="450"/>
      <c r="J8712" s="450"/>
      <c r="K8712" s="450"/>
    </row>
    <row r="8713" spans="1:11">
      <c r="A8713" s="451" t="s">
        <v>14452</v>
      </c>
      <c r="B8713" s="451" t="s">
        <v>14453</v>
      </c>
      <c r="C8713" s="451" t="s">
        <v>14454</v>
      </c>
      <c r="D8713" s="451"/>
      <c r="E8713" s="451"/>
      <c r="F8713" s="451"/>
      <c r="G8713" s="451"/>
      <c r="H8713" s="451"/>
      <c r="I8713" s="451"/>
      <c r="J8713" s="451"/>
      <c r="K8713" s="451"/>
    </row>
    <row r="8714" spans="1:11">
      <c r="A8714" s="450" t="s">
        <v>37456</v>
      </c>
      <c r="B8714" s="450" t="s">
        <v>37457</v>
      </c>
      <c r="C8714" s="450" t="s">
        <v>37458</v>
      </c>
      <c r="D8714" s="450"/>
      <c r="E8714" s="450"/>
      <c r="F8714" s="450"/>
      <c r="G8714" s="450" t="s">
        <v>22882</v>
      </c>
      <c r="H8714" s="450" t="s">
        <v>22883</v>
      </c>
      <c r="I8714" s="450"/>
      <c r="J8714" s="450" t="s">
        <v>37459</v>
      </c>
      <c r="K8714" s="450"/>
    </row>
    <row r="8715" spans="1:11">
      <c r="A8715" s="451" t="s">
        <v>14455</v>
      </c>
      <c r="B8715" s="451"/>
      <c r="C8715" s="451" t="s">
        <v>14456</v>
      </c>
      <c r="D8715" s="451"/>
      <c r="E8715" s="451"/>
      <c r="F8715" s="451"/>
      <c r="G8715" s="451" t="s">
        <v>22882</v>
      </c>
      <c r="H8715" s="451" t="s">
        <v>22883</v>
      </c>
      <c r="I8715" s="451"/>
      <c r="J8715" s="451" t="s">
        <v>22939</v>
      </c>
      <c r="K8715" s="451"/>
    </row>
    <row r="8716" spans="1:11">
      <c r="A8716" s="450" t="s">
        <v>14457</v>
      </c>
      <c r="B8716" s="450"/>
      <c r="C8716" s="450" t="s">
        <v>14437</v>
      </c>
      <c r="D8716" s="450" t="s">
        <v>14438</v>
      </c>
      <c r="E8716" s="450"/>
      <c r="F8716" s="450"/>
      <c r="G8716" s="450" t="s">
        <v>22877</v>
      </c>
      <c r="H8716" s="450" t="s">
        <v>22878</v>
      </c>
      <c r="I8716" s="450" t="s">
        <v>14438</v>
      </c>
      <c r="J8716" s="450" t="s">
        <v>37451</v>
      </c>
      <c r="K8716" s="450"/>
    </row>
    <row r="8717" spans="1:11">
      <c r="A8717" s="451" t="s">
        <v>14457</v>
      </c>
      <c r="B8717" s="451"/>
      <c r="C8717" s="451" t="s">
        <v>14437</v>
      </c>
      <c r="D8717" s="451" t="s">
        <v>14438</v>
      </c>
      <c r="E8717" s="451" t="s">
        <v>14439</v>
      </c>
      <c r="F8717" s="451"/>
      <c r="G8717" s="451"/>
      <c r="H8717" s="451"/>
      <c r="I8717" s="451"/>
      <c r="J8717" s="451"/>
      <c r="K8717" s="451"/>
    </row>
    <row r="8718" spans="1:11">
      <c r="A8718" s="450" t="s">
        <v>14458</v>
      </c>
      <c r="B8718" s="450"/>
      <c r="C8718" s="450" t="s">
        <v>14397</v>
      </c>
      <c r="D8718" s="450"/>
      <c r="E8718" s="450"/>
      <c r="F8718" s="450"/>
      <c r="G8718" s="450" t="s">
        <v>22877</v>
      </c>
      <c r="H8718" s="450" t="s">
        <v>22878</v>
      </c>
      <c r="I8718" s="450" t="s">
        <v>27828</v>
      </c>
      <c r="J8718" s="450" t="s">
        <v>22939</v>
      </c>
      <c r="K8718" s="450"/>
    </row>
    <row r="8719" spans="1:11">
      <c r="A8719" s="451" t="s">
        <v>37460</v>
      </c>
      <c r="B8719" s="451"/>
      <c r="C8719" s="451" t="s">
        <v>10631</v>
      </c>
      <c r="D8719" s="451"/>
      <c r="E8719" s="451"/>
      <c r="F8719" s="451"/>
      <c r="G8719" s="451" t="s">
        <v>22882</v>
      </c>
      <c r="H8719" s="451" t="s">
        <v>22883</v>
      </c>
      <c r="I8719" s="451"/>
      <c r="J8719" s="451" t="s">
        <v>22943</v>
      </c>
      <c r="K8719" s="451"/>
    </row>
    <row r="8720" spans="1:11">
      <c r="A8720" s="450" t="s">
        <v>14459</v>
      </c>
      <c r="B8720" s="450"/>
      <c r="C8720" s="450" t="s">
        <v>10631</v>
      </c>
      <c r="D8720" s="450"/>
      <c r="E8720" s="450"/>
      <c r="F8720" s="450"/>
      <c r="G8720" s="450"/>
      <c r="H8720" s="450"/>
      <c r="I8720" s="450"/>
      <c r="J8720" s="450"/>
      <c r="K8720" s="450"/>
    </row>
    <row r="8721" spans="1:11">
      <c r="A8721" s="451" t="s">
        <v>37461</v>
      </c>
      <c r="B8721" s="451" t="s">
        <v>14461</v>
      </c>
      <c r="C8721" s="451" t="s">
        <v>14462</v>
      </c>
      <c r="D8721" s="451" t="s">
        <v>14463</v>
      </c>
      <c r="E8721" s="451"/>
      <c r="F8721" s="451"/>
      <c r="G8721" s="451" t="s">
        <v>22877</v>
      </c>
      <c r="H8721" s="451" t="s">
        <v>22878</v>
      </c>
      <c r="I8721" s="451" t="s">
        <v>37462</v>
      </c>
      <c r="J8721" s="451" t="s">
        <v>37463</v>
      </c>
      <c r="K8721" s="451"/>
    </row>
    <row r="8722" spans="1:11">
      <c r="A8722" s="450" t="s">
        <v>14460</v>
      </c>
      <c r="B8722" s="450" t="s">
        <v>14461</v>
      </c>
      <c r="C8722" s="450" t="s">
        <v>14462</v>
      </c>
      <c r="D8722" s="450" t="s">
        <v>14463</v>
      </c>
      <c r="E8722" s="450"/>
      <c r="F8722" s="450"/>
      <c r="G8722" s="450"/>
      <c r="H8722" s="450"/>
      <c r="I8722" s="450"/>
      <c r="J8722" s="450"/>
      <c r="K8722" s="450"/>
    </row>
    <row r="8723" spans="1:11">
      <c r="A8723" s="451" t="s">
        <v>37464</v>
      </c>
      <c r="B8723" s="451"/>
      <c r="C8723" s="451" t="s">
        <v>13995</v>
      </c>
      <c r="D8723" s="451"/>
      <c r="E8723" s="451"/>
      <c r="F8723" s="451"/>
      <c r="G8723" s="451" t="s">
        <v>22877</v>
      </c>
      <c r="H8723" s="451" t="s">
        <v>22878</v>
      </c>
      <c r="I8723" s="451" t="s">
        <v>37465</v>
      </c>
      <c r="J8723" s="451" t="s">
        <v>23370</v>
      </c>
      <c r="K8723" s="451"/>
    </row>
    <row r="8724" spans="1:11">
      <c r="A8724" s="450" t="s">
        <v>37466</v>
      </c>
      <c r="B8724" s="450"/>
      <c r="C8724" s="450" t="s">
        <v>14465</v>
      </c>
      <c r="D8724" s="450"/>
      <c r="E8724" s="450"/>
      <c r="F8724" s="450"/>
      <c r="G8724" s="450" t="s">
        <v>22882</v>
      </c>
      <c r="H8724" s="450" t="s">
        <v>22883</v>
      </c>
      <c r="I8724" s="450"/>
      <c r="J8724" s="450" t="s">
        <v>22943</v>
      </c>
      <c r="K8724" s="450"/>
    </row>
    <row r="8725" spans="1:11">
      <c r="A8725" s="451" t="s">
        <v>14464</v>
      </c>
      <c r="B8725" s="451"/>
      <c r="C8725" s="451" t="s">
        <v>14465</v>
      </c>
      <c r="D8725" s="451"/>
      <c r="E8725" s="451"/>
      <c r="F8725" s="451"/>
      <c r="G8725" s="451"/>
      <c r="H8725" s="451"/>
      <c r="I8725" s="451"/>
      <c r="J8725" s="451"/>
      <c r="K8725" s="451"/>
    </row>
    <row r="8726" spans="1:11">
      <c r="A8726" s="450" t="s">
        <v>14466</v>
      </c>
      <c r="B8726" s="450"/>
      <c r="C8726" s="450" t="s">
        <v>14467</v>
      </c>
      <c r="D8726" s="450"/>
      <c r="E8726" s="450"/>
      <c r="F8726" s="450"/>
      <c r="G8726" s="450"/>
      <c r="H8726" s="450"/>
      <c r="I8726" s="450"/>
      <c r="J8726" s="450"/>
      <c r="K8726" s="450"/>
    </row>
    <row r="8727" spans="1:11">
      <c r="A8727" s="451" t="s">
        <v>14468</v>
      </c>
      <c r="B8727" s="451"/>
      <c r="C8727" s="451" t="s">
        <v>14469</v>
      </c>
      <c r="D8727" s="451"/>
      <c r="E8727" s="451"/>
      <c r="F8727" s="451"/>
      <c r="G8727" s="451" t="s">
        <v>22877</v>
      </c>
      <c r="H8727" s="451" t="s">
        <v>22878</v>
      </c>
      <c r="I8727" s="451" t="s">
        <v>37467</v>
      </c>
      <c r="J8727" s="451" t="s">
        <v>22939</v>
      </c>
      <c r="K8727" s="451"/>
    </row>
    <row r="8728" spans="1:11">
      <c r="A8728" s="450" t="s">
        <v>14470</v>
      </c>
      <c r="B8728" s="450"/>
      <c r="C8728" s="450" t="s">
        <v>14471</v>
      </c>
      <c r="D8728" s="450"/>
      <c r="E8728" s="450"/>
      <c r="F8728" s="450"/>
      <c r="G8728" s="450" t="s">
        <v>22877</v>
      </c>
      <c r="H8728" s="450" t="s">
        <v>22878</v>
      </c>
      <c r="I8728" s="450" t="s">
        <v>27865</v>
      </c>
      <c r="J8728" s="450" t="s">
        <v>22939</v>
      </c>
      <c r="K8728" s="450"/>
    </row>
    <row r="8729" spans="1:11">
      <c r="A8729" s="451" t="s">
        <v>14472</v>
      </c>
      <c r="B8729" s="451" t="s">
        <v>14473</v>
      </c>
      <c r="C8729" s="451" t="s">
        <v>14474</v>
      </c>
      <c r="D8729" s="451" t="s">
        <v>14475</v>
      </c>
      <c r="E8729" s="451"/>
      <c r="F8729" s="451"/>
      <c r="G8729" s="451" t="s">
        <v>22877</v>
      </c>
      <c r="H8729" s="451" t="s">
        <v>22878</v>
      </c>
      <c r="I8729" s="451" t="s">
        <v>37468</v>
      </c>
      <c r="J8729" s="451" t="s">
        <v>37469</v>
      </c>
      <c r="K8729" s="451"/>
    </row>
    <row r="8730" spans="1:11">
      <c r="A8730" s="450" t="s">
        <v>14472</v>
      </c>
      <c r="B8730" s="450" t="s">
        <v>14473</v>
      </c>
      <c r="C8730" s="450" t="s">
        <v>14474</v>
      </c>
      <c r="D8730" s="450" t="s">
        <v>14475</v>
      </c>
      <c r="E8730" s="450" t="s">
        <v>14476</v>
      </c>
      <c r="F8730" s="450"/>
      <c r="G8730" s="450"/>
      <c r="H8730" s="450"/>
      <c r="I8730" s="450"/>
      <c r="J8730" s="450"/>
      <c r="K8730" s="450"/>
    </row>
    <row r="8731" spans="1:11">
      <c r="A8731" s="451" t="s">
        <v>37470</v>
      </c>
      <c r="B8731" s="451"/>
      <c r="C8731" s="451" t="s">
        <v>14478</v>
      </c>
      <c r="D8731" s="451"/>
      <c r="E8731" s="451"/>
      <c r="F8731" s="451"/>
      <c r="G8731" s="451" t="s">
        <v>22877</v>
      </c>
      <c r="H8731" s="451" t="s">
        <v>22878</v>
      </c>
      <c r="I8731" s="451" t="s">
        <v>37471</v>
      </c>
      <c r="J8731" s="451" t="s">
        <v>22943</v>
      </c>
      <c r="K8731" s="451"/>
    </row>
    <row r="8732" spans="1:11">
      <c r="A8732" s="450" t="s">
        <v>37472</v>
      </c>
      <c r="B8732" s="450"/>
      <c r="C8732" s="450" t="s">
        <v>14480</v>
      </c>
      <c r="D8732" s="450"/>
      <c r="E8732" s="450"/>
      <c r="F8732" s="450"/>
      <c r="G8732" s="450" t="s">
        <v>22877</v>
      </c>
      <c r="H8732" s="450" t="s">
        <v>22878</v>
      </c>
      <c r="I8732" s="450" t="s">
        <v>37473</v>
      </c>
      <c r="J8732" s="450" t="s">
        <v>22943</v>
      </c>
      <c r="K8732" s="450"/>
    </row>
    <row r="8733" spans="1:11">
      <c r="A8733" s="451" t="s">
        <v>14477</v>
      </c>
      <c r="B8733" s="451"/>
      <c r="C8733" s="451" t="s">
        <v>14478</v>
      </c>
      <c r="D8733" s="451"/>
      <c r="E8733" s="451"/>
      <c r="F8733" s="451"/>
      <c r="G8733" s="451"/>
      <c r="H8733" s="451"/>
      <c r="I8733" s="451"/>
      <c r="J8733" s="451"/>
      <c r="K8733" s="451"/>
    </row>
    <row r="8734" spans="1:11">
      <c r="A8734" s="450" t="s">
        <v>14479</v>
      </c>
      <c r="B8734" s="450"/>
      <c r="C8734" s="450" t="s">
        <v>14480</v>
      </c>
      <c r="D8734" s="450"/>
      <c r="E8734" s="450"/>
      <c r="F8734" s="450"/>
      <c r="G8734" s="450"/>
      <c r="H8734" s="450"/>
      <c r="I8734" s="450"/>
      <c r="J8734" s="450"/>
      <c r="K8734" s="450"/>
    </row>
    <row r="8735" spans="1:11">
      <c r="A8735" s="451" t="s">
        <v>14481</v>
      </c>
      <c r="B8735" s="451" t="s">
        <v>14482</v>
      </c>
      <c r="C8735" s="451" t="s">
        <v>1510</v>
      </c>
      <c r="D8735" s="451" t="s">
        <v>14483</v>
      </c>
      <c r="E8735" s="451"/>
      <c r="F8735" s="451"/>
      <c r="G8735" s="451" t="s">
        <v>22882</v>
      </c>
      <c r="H8735" s="451" t="s">
        <v>22883</v>
      </c>
      <c r="I8735" s="451" t="s">
        <v>14483</v>
      </c>
      <c r="J8735" s="451" t="s">
        <v>37474</v>
      </c>
      <c r="K8735" s="451"/>
    </row>
    <row r="8736" spans="1:11">
      <c r="A8736" s="450" t="s">
        <v>14481</v>
      </c>
      <c r="B8736" s="450" t="s">
        <v>14482</v>
      </c>
      <c r="C8736" s="450" t="s">
        <v>1510</v>
      </c>
      <c r="D8736" s="450" t="s">
        <v>14483</v>
      </c>
      <c r="E8736" s="450" t="s">
        <v>14484</v>
      </c>
      <c r="F8736" s="450"/>
      <c r="G8736" s="450"/>
      <c r="H8736" s="450"/>
      <c r="I8736" s="450"/>
      <c r="J8736" s="450"/>
      <c r="K8736" s="450"/>
    </row>
    <row r="8737" spans="1:11">
      <c r="A8737" s="451" t="s">
        <v>14485</v>
      </c>
      <c r="B8737" s="451"/>
      <c r="C8737" s="451" t="s">
        <v>14486</v>
      </c>
      <c r="D8737" s="451"/>
      <c r="E8737" s="451"/>
      <c r="F8737" s="451"/>
      <c r="G8737" s="451" t="s">
        <v>22882</v>
      </c>
      <c r="H8737" s="451" t="s">
        <v>22883</v>
      </c>
      <c r="I8737" s="451" t="s">
        <v>37475</v>
      </c>
      <c r="J8737" s="451" t="s">
        <v>22939</v>
      </c>
      <c r="K8737" s="451"/>
    </row>
    <row r="8738" spans="1:11">
      <c r="A8738" s="450" t="s">
        <v>14487</v>
      </c>
      <c r="B8738" s="450"/>
      <c r="C8738" s="450" t="s">
        <v>3951</v>
      </c>
      <c r="D8738" s="450"/>
      <c r="E8738" s="450"/>
      <c r="F8738" s="450"/>
      <c r="G8738" s="450" t="s">
        <v>22877</v>
      </c>
      <c r="H8738" s="450" t="s">
        <v>22878</v>
      </c>
      <c r="I8738" s="450" t="s">
        <v>37476</v>
      </c>
      <c r="J8738" s="450" t="s">
        <v>22943</v>
      </c>
      <c r="K8738" s="450"/>
    </row>
    <row r="8739" spans="1:11">
      <c r="A8739" s="451" t="s">
        <v>14488</v>
      </c>
      <c r="B8739" s="451"/>
      <c r="C8739" s="451" t="s">
        <v>14489</v>
      </c>
      <c r="D8739" s="451"/>
      <c r="E8739" s="451"/>
      <c r="F8739" s="451"/>
      <c r="G8739" s="451" t="s">
        <v>22877</v>
      </c>
      <c r="H8739" s="451" t="s">
        <v>22878</v>
      </c>
      <c r="I8739" s="451" t="s">
        <v>37477</v>
      </c>
      <c r="J8739" s="451" t="s">
        <v>22943</v>
      </c>
      <c r="K8739" s="451"/>
    </row>
    <row r="8740" spans="1:11">
      <c r="A8740" s="450" t="s">
        <v>14490</v>
      </c>
      <c r="B8740" s="450"/>
      <c r="C8740" s="450" t="s">
        <v>4904</v>
      </c>
      <c r="D8740" s="450"/>
      <c r="E8740" s="450"/>
      <c r="F8740" s="450"/>
      <c r="G8740" s="450" t="s">
        <v>22877</v>
      </c>
      <c r="H8740" s="450" t="s">
        <v>22878</v>
      </c>
      <c r="I8740" s="450" t="s">
        <v>37478</v>
      </c>
      <c r="J8740" s="450" t="s">
        <v>22997</v>
      </c>
      <c r="K8740" s="450"/>
    </row>
    <row r="8741" spans="1:11">
      <c r="A8741" s="451" t="s">
        <v>14491</v>
      </c>
      <c r="B8741" s="451"/>
      <c r="C8741" s="451" t="s">
        <v>14492</v>
      </c>
      <c r="D8741" s="451"/>
      <c r="E8741" s="451"/>
      <c r="F8741" s="451"/>
      <c r="G8741" s="451" t="s">
        <v>22877</v>
      </c>
      <c r="H8741" s="451" t="s">
        <v>22878</v>
      </c>
      <c r="I8741" s="451" t="s">
        <v>37479</v>
      </c>
      <c r="J8741" s="451" t="s">
        <v>22939</v>
      </c>
      <c r="K8741" s="451"/>
    </row>
    <row r="8742" spans="1:11">
      <c r="A8742" s="450" t="s">
        <v>21865</v>
      </c>
      <c r="B8742" s="450"/>
      <c r="C8742" s="450" t="s">
        <v>14493</v>
      </c>
      <c r="D8742" s="450"/>
      <c r="E8742" s="450"/>
      <c r="F8742" s="450"/>
      <c r="G8742" s="450" t="s">
        <v>22877</v>
      </c>
      <c r="H8742" s="450" t="s">
        <v>22878</v>
      </c>
      <c r="I8742" s="450" t="s">
        <v>27866</v>
      </c>
      <c r="J8742" s="450" t="s">
        <v>22939</v>
      </c>
      <c r="K8742" s="450"/>
    </row>
    <row r="8743" spans="1:11">
      <c r="A8743" s="451" t="s">
        <v>14494</v>
      </c>
      <c r="B8743" s="451" t="s">
        <v>14495</v>
      </c>
      <c r="C8743" s="451" t="s">
        <v>14496</v>
      </c>
      <c r="D8743" s="451" t="s">
        <v>14497</v>
      </c>
      <c r="E8743" s="451"/>
      <c r="F8743" s="451"/>
      <c r="G8743" s="451" t="s">
        <v>22877</v>
      </c>
      <c r="H8743" s="451" t="s">
        <v>22878</v>
      </c>
      <c r="I8743" s="451" t="s">
        <v>27867</v>
      </c>
      <c r="J8743" s="451" t="s">
        <v>27868</v>
      </c>
      <c r="K8743" s="451"/>
    </row>
    <row r="8744" spans="1:11">
      <c r="A8744" s="450" t="s">
        <v>27869</v>
      </c>
      <c r="B8744" s="450" t="s">
        <v>27870</v>
      </c>
      <c r="C8744" s="450" t="s">
        <v>14500</v>
      </c>
      <c r="D8744" s="450" t="s">
        <v>14501</v>
      </c>
      <c r="E8744" s="450"/>
      <c r="F8744" s="450"/>
      <c r="G8744" s="450" t="s">
        <v>22877</v>
      </c>
      <c r="H8744" s="450" t="s">
        <v>22878</v>
      </c>
      <c r="I8744" s="450" t="s">
        <v>27871</v>
      </c>
      <c r="J8744" s="450" t="s">
        <v>27872</v>
      </c>
      <c r="K8744" s="450"/>
    </row>
    <row r="8745" spans="1:11">
      <c r="A8745" s="451" t="s">
        <v>14498</v>
      </c>
      <c r="B8745" s="451" t="s">
        <v>14499</v>
      </c>
      <c r="C8745" s="451" t="s">
        <v>14500</v>
      </c>
      <c r="D8745" s="451" t="s">
        <v>14501</v>
      </c>
      <c r="E8745" s="451" t="s">
        <v>14502</v>
      </c>
      <c r="F8745" s="451"/>
      <c r="G8745" s="451"/>
      <c r="H8745" s="451"/>
      <c r="I8745" s="451"/>
      <c r="J8745" s="451"/>
      <c r="K8745" s="451"/>
    </row>
    <row r="8746" spans="1:11">
      <c r="A8746" s="450" t="s">
        <v>21866</v>
      </c>
      <c r="B8746" s="450" t="s">
        <v>14503</v>
      </c>
      <c r="C8746" s="450" t="s">
        <v>14504</v>
      </c>
      <c r="D8746" s="450"/>
      <c r="E8746" s="450"/>
      <c r="F8746" s="450"/>
      <c r="G8746" s="450" t="s">
        <v>22877</v>
      </c>
      <c r="H8746" s="450" t="s">
        <v>22878</v>
      </c>
      <c r="I8746" s="450" t="s">
        <v>27873</v>
      </c>
      <c r="J8746" s="450" t="s">
        <v>27874</v>
      </c>
      <c r="K8746" s="450"/>
    </row>
    <row r="8747" spans="1:11">
      <c r="A8747" s="451" t="s">
        <v>27875</v>
      </c>
      <c r="B8747" s="451" t="s">
        <v>27876</v>
      </c>
      <c r="C8747" s="451" t="s">
        <v>2727</v>
      </c>
      <c r="D8747" s="451"/>
      <c r="E8747" s="451"/>
      <c r="F8747" s="451"/>
      <c r="G8747" s="451" t="s">
        <v>22877</v>
      </c>
      <c r="H8747" s="451" t="s">
        <v>22878</v>
      </c>
      <c r="I8747" s="451" t="s">
        <v>27877</v>
      </c>
      <c r="J8747" s="451" t="s">
        <v>27878</v>
      </c>
      <c r="K8747" s="451"/>
    </row>
    <row r="8748" spans="1:11">
      <c r="A8748" s="450" t="s">
        <v>14505</v>
      </c>
      <c r="B8748" s="450" t="s">
        <v>14506</v>
      </c>
      <c r="C8748" s="450" t="s">
        <v>2727</v>
      </c>
      <c r="D8748" s="450"/>
      <c r="E8748" s="450"/>
      <c r="F8748" s="450"/>
      <c r="G8748" s="450"/>
      <c r="H8748" s="450"/>
      <c r="I8748" s="450"/>
      <c r="J8748" s="450"/>
      <c r="K8748" s="450"/>
    </row>
    <row r="8749" spans="1:11">
      <c r="A8749" s="451" t="s">
        <v>14507</v>
      </c>
      <c r="B8749" s="451" t="s">
        <v>14508</v>
      </c>
      <c r="C8749" s="451" t="s">
        <v>14509</v>
      </c>
      <c r="D8749" s="451" t="s">
        <v>14510</v>
      </c>
      <c r="E8749" s="451"/>
      <c r="F8749" s="451"/>
      <c r="G8749" s="451" t="s">
        <v>22877</v>
      </c>
      <c r="H8749" s="451" t="s">
        <v>22878</v>
      </c>
      <c r="I8749" s="451" t="s">
        <v>23389</v>
      </c>
      <c r="J8749" s="451" t="s">
        <v>27879</v>
      </c>
      <c r="K8749" s="451"/>
    </row>
    <row r="8750" spans="1:11">
      <c r="A8750" s="450" t="s">
        <v>14507</v>
      </c>
      <c r="B8750" s="450" t="s">
        <v>14508</v>
      </c>
      <c r="C8750" s="450" t="s">
        <v>14509</v>
      </c>
      <c r="D8750" s="450" t="s">
        <v>14510</v>
      </c>
      <c r="E8750" s="450" t="s">
        <v>14511</v>
      </c>
      <c r="F8750" s="450"/>
      <c r="G8750" s="450"/>
      <c r="H8750" s="450"/>
      <c r="I8750" s="450"/>
      <c r="J8750" s="450"/>
      <c r="K8750" s="450"/>
    </row>
    <row r="8751" spans="1:11">
      <c r="A8751" s="451" t="s">
        <v>14512</v>
      </c>
      <c r="B8751" s="451"/>
      <c r="C8751" s="451" t="s">
        <v>3814</v>
      </c>
      <c r="D8751" s="451"/>
      <c r="E8751" s="451"/>
      <c r="F8751" s="451"/>
      <c r="G8751" s="451" t="s">
        <v>22882</v>
      </c>
      <c r="H8751" s="451" t="s">
        <v>22883</v>
      </c>
      <c r="I8751" s="451"/>
      <c r="J8751" s="451" t="s">
        <v>22943</v>
      </c>
      <c r="K8751" s="451"/>
    </row>
    <row r="8752" spans="1:11">
      <c r="A8752" s="450" t="s">
        <v>14513</v>
      </c>
      <c r="B8752" s="450"/>
      <c r="C8752" s="450" t="s">
        <v>6286</v>
      </c>
      <c r="D8752" s="450"/>
      <c r="E8752" s="450"/>
      <c r="F8752" s="450"/>
      <c r="G8752" s="450" t="s">
        <v>22877</v>
      </c>
      <c r="H8752" s="450" t="s">
        <v>22878</v>
      </c>
      <c r="I8752" s="450" t="s">
        <v>37480</v>
      </c>
      <c r="J8752" s="450" t="s">
        <v>22943</v>
      </c>
      <c r="K8752" s="450"/>
    </row>
    <row r="8753" spans="1:11">
      <c r="A8753" s="451" t="s">
        <v>37481</v>
      </c>
      <c r="B8753" s="451"/>
      <c r="C8753" s="451" t="s">
        <v>14467</v>
      </c>
      <c r="D8753" s="451"/>
      <c r="E8753" s="451"/>
      <c r="F8753" s="451"/>
      <c r="G8753" s="451" t="s">
        <v>22882</v>
      </c>
      <c r="H8753" s="451" t="s">
        <v>22883</v>
      </c>
      <c r="I8753" s="451"/>
      <c r="J8753" s="451" t="s">
        <v>22943</v>
      </c>
      <c r="K8753" s="451"/>
    </row>
    <row r="8754" spans="1:11">
      <c r="A8754" s="450" t="s">
        <v>14514</v>
      </c>
      <c r="B8754" s="450"/>
      <c r="C8754" s="450" t="s">
        <v>14515</v>
      </c>
      <c r="D8754" s="450"/>
      <c r="E8754" s="450"/>
      <c r="F8754" s="450"/>
      <c r="G8754" s="450" t="s">
        <v>22877</v>
      </c>
      <c r="H8754" s="450" t="s">
        <v>22878</v>
      </c>
      <c r="I8754" s="450" t="s">
        <v>37482</v>
      </c>
      <c r="J8754" s="450" t="s">
        <v>23185</v>
      </c>
      <c r="K8754" s="450"/>
    </row>
    <row r="8755" spans="1:11">
      <c r="A8755" s="451" t="s">
        <v>14516</v>
      </c>
      <c r="B8755" s="451"/>
      <c r="C8755" s="451" t="s">
        <v>14517</v>
      </c>
      <c r="D8755" s="451"/>
      <c r="E8755" s="451"/>
      <c r="F8755" s="451"/>
      <c r="G8755" s="451" t="s">
        <v>22882</v>
      </c>
      <c r="H8755" s="451" t="s">
        <v>22883</v>
      </c>
      <c r="I8755" s="451"/>
      <c r="J8755" s="451" t="s">
        <v>22943</v>
      </c>
      <c r="K8755" s="451"/>
    </row>
    <row r="8756" spans="1:11">
      <c r="A8756" s="450" t="s">
        <v>14518</v>
      </c>
      <c r="B8756" s="450"/>
      <c r="C8756" s="450" t="s">
        <v>11353</v>
      </c>
      <c r="D8756" s="450"/>
      <c r="E8756" s="450"/>
      <c r="F8756" s="450"/>
      <c r="G8756" s="450" t="s">
        <v>22877</v>
      </c>
      <c r="H8756" s="450" t="s">
        <v>22878</v>
      </c>
      <c r="I8756" s="450" t="s">
        <v>37483</v>
      </c>
      <c r="J8756" s="450" t="s">
        <v>22943</v>
      </c>
      <c r="K8756" s="450"/>
    </row>
    <row r="8757" spans="1:11">
      <c r="A8757" s="451" t="s">
        <v>14519</v>
      </c>
      <c r="B8757" s="451"/>
      <c r="C8757" s="451" t="s">
        <v>2793</v>
      </c>
      <c r="D8757" s="451"/>
      <c r="E8757" s="451"/>
      <c r="F8757" s="451"/>
      <c r="G8757" s="451" t="s">
        <v>22877</v>
      </c>
      <c r="H8757" s="451" t="s">
        <v>22878</v>
      </c>
      <c r="I8757" s="451" t="s">
        <v>27880</v>
      </c>
      <c r="J8757" s="451" t="s">
        <v>23370</v>
      </c>
      <c r="K8757" s="451"/>
    </row>
    <row r="8758" spans="1:11">
      <c r="A8758" s="450" t="s">
        <v>37484</v>
      </c>
      <c r="B8758" s="450" t="s">
        <v>14521</v>
      </c>
      <c r="C8758" s="450" t="s">
        <v>14522</v>
      </c>
      <c r="D8758" s="450"/>
      <c r="E8758" s="450"/>
      <c r="F8758" s="450"/>
      <c r="G8758" s="450" t="s">
        <v>22877</v>
      </c>
      <c r="H8758" s="450" t="s">
        <v>22878</v>
      </c>
      <c r="I8758" s="450" t="s">
        <v>37485</v>
      </c>
      <c r="J8758" s="450" t="s">
        <v>37486</v>
      </c>
      <c r="K8758" s="450"/>
    </row>
    <row r="8759" spans="1:11">
      <c r="A8759" s="451" t="s">
        <v>14520</v>
      </c>
      <c r="B8759" s="451" t="s">
        <v>14521</v>
      </c>
      <c r="C8759" s="451" t="s">
        <v>14522</v>
      </c>
      <c r="D8759" s="451"/>
      <c r="E8759" s="451"/>
      <c r="F8759" s="451"/>
      <c r="G8759" s="451"/>
      <c r="H8759" s="451"/>
      <c r="I8759" s="451"/>
      <c r="J8759" s="451"/>
      <c r="K8759" s="451"/>
    </row>
    <row r="8760" spans="1:11">
      <c r="A8760" s="450" t="s">
        <v>27881</v>
      </c>
      <c r="B8760" s="450" t="s">
        <v>27882</v>
      </c>
      <c r="C8760" s="450" t="s">
        <v>5958</v>
      </c>
      <c r="D8760" s="450" t="s">
        <v>14525</v>
      </c>
      <c r="E8760" s="450"/>
      <c r="F8760" s="450"/>
      <c r="G8760" s="450" t="s">
        <v>22877</v>
      </c>
      <c r="H8760" s="450" t="s">
        <v>22878</v>
      </c>
      <c r="I8760" s="450" t="s">
        <v>27883</v>
      </c>
      <c r="J8760" s="450" t="s">
        <v>27884</v>
      </c>
      <c r="K8760" s="450"/>
    </row>
    <row r="8761" spans="1:11">
      <c r="A8761" s="451" t="s">
        <v>14523</v>
      </c>
      <c r="B8761" s="451" t="s">
        <v>14524</v>
      </c>
      <c r="C8761" s="451" t="s">
        <v>5958</v>
      </c>
      <c r="D8761" s="451" t="s">
        <v>14525</v>
      </c>
      <c r="E8761" s="451" t="s">
        <v>14526</v>
      </c>
      <c r="F8761" s="451"/>
      <c r="G8761" s="451"/>
      <c r="H8761" s="451"/>
      <c r="I8761" s="451"/>
      <c r="J8761" s="451"/>
      <c r="K8761" s="451"/>
    </row>
    <row r="8762" spans="1:11">
      <c r="A8762" s="450" t="s">
        <v>21867</v>
      </c>
      <c r="B8762" s="450"/>
      <c r="C8762" s="450" t="s">
        <v>14527</v>
      </c>
      <c r="D8762" s="450"/>
      <c r="E8762" s="450"/>
      <c r="F8762" s="450"/>
      <c r="G8762" s="450" t="s">
        <v>22877</v>
      </c>
      <c r="H8762" s="450" t="s">
        <v>22878</v>
      </c>
      <c r="I8762" s="450" t="s">
        <v>37487</v>
      </c>
      <c r="J8762" s="450" t="s">
        <v>22939</v>
      </c>
      <c r="K8762" s="450"/>
    </row>
    <row r="8763" spans="1:11">
      <c r="A8763" s="451" t="s">
        <v>14528</v>
      </c>
      <c r="B8763" s="451"/>
      <c r="C8763" s="451" t="s">
        <v>14529</v>
      </c>
      <c r="D8763" s="451"/>
      <c r="E8763" s="451"/>
      <c r="F8763" s="451"/>
      <c r="G8763" s="451" t="s">
        <v>22877</v>
      </c>
      <c r="H8763" s="451" t="s">
        <v>22878</v>
      </c>
      <c r="I8763" s="451" t="s">
        <v>37488</v>
      </c>
      <c r="J8763" s="451" t="s">
        <v>22939</v>
      </c>
      <c r="K8763" s="451"/>
    </row>
    <row r="8764" spans="1:11">
      <c r="A8764" s="450" t="s">
        <v>21868</v>
      </c>
      <c r="B8764" s="450"/>
      <c r="C8764" s="450" t="s">
        <v>14530</v>
      </c>
      <c r="D8764" s="450"/>
      <c r="E8764" s="450"/>
      <c r="F8764" s="450"/>
      <c r="G8764" s="450" t="s">
        <v>22877</v>
      </c>
      <c r="H8764" s="450" t="s">
        <v>22878</v>
      </c>
      <c r="I8764" s="450" t="s">
        <v>37489</v>
      </c>
      <c r="J8764" s="450" t="s">
        <v>22939</v>
      </c>
      <c r="K8764" s="450"/>
    </row>
    <row r="8765" spans="1:11">
      <c r="A8765" s="451" t="s">
        <v>14531</v>
      </c>
      <c r="B8765" s="451"/>
      <c r="C8765" s="451" t="s">
        <v>14532</v>
      </c>
      <c r="D8765" s="451"/>
      <c r="E8765" s="451"/>
      <c r="F8765" s="451"/>
      <c r="G8765" s="451"/>
      <c r="H8765" s="451"/>
      <c r="I8765" s="451"/>
      <c r="J8765" s="451"/>
      <c r="K8765" s="451"/>
    </row>
    <row r="8766" spans="1:11">
      <c r="A8766" s="450" t="s">
        <v>27885</v>
      </c>
      <c r="B8766" s="450"/>
      <c r="C8766" s="450" t="s">
        <v>27886</v>
      </c>
      <c r="D8766" s="450"/>
      <c r="E8766" s="450"/>
      <c r="F8766" s="450"/>
      <c r="G8766" s="450" t="s">
        <v>22877</v>
      </c>
      <c r="H8766" s="450" t="s">
        <v>22878</v>
      </c>
      <c r="I8766" s="450" t="s">
        <v>27887</v>
      </c>
      <c r="J8766" s="450" t="s">
        <v>22997</v>
      </c>
      <c r="K8766" s="450"/>
    </row>
    <row r="8767" spans="1:11">
      <c r="A8767" s="451" t="s">
        <v>27888</v>
      </c>
      <c r="B8767" s="451" t="s">
        <v>14537</v>
      </c>
      <c r="C8767" s="451" t="s">
        <v>14538</v>
      </c>
      <c r="D8767" s="451"/>
      <c r="E8767" s="451"/>
      <c r="F8767" s="451" t="s">
        <v>14539</v>
      </c>
      <c r="G8767" s="451" t="s">
        <v>22877</v>
      </c>
      <c r="H8767" s="451" t="s">
        <v>22878</v>
      </c>
      <c r="I8767" s="451" t="s">
        <v>27889</v>
      </c>
      <c r="J8767" s="451" t="s">
        <v>27890</v>
      </c>
      <c r="K8767" s="451"/>
    </row>
    <row r="8768" spans="1:11">
      <c r="A8768" s="450" t="s">
        <v>14536</v>
      </c>
      <c r="B8768" s="450" t="s">
        <v>14537</v>
      </c>
      <c r="C8768" s="450" t="s">
        <v>14538</v>
      </c>
      <c r="D8768" s="450"/>
      <c r="E8768" s="450"/>
      <c r="F8768" s="450" t="s">
        <v>14539</v>
      </c>
      <c r="G8768" s="450"/>
      <c r="H8768" s="450"/>
      <c r="I8768" s="450"/>
      <c r="J8768" s="450"/>
      <c r="K8768" s="450"/>
    </row>
    <row r="8769" spans="1:11">
      <c r="A8769" s="451" t="s">
        <v>21869</v>
      </c>
      <c r="B8769" s="451" t="s">
        <v>14533</v>
      </c>
      <c r="C8769" s="451" t="s">
        <v>14534</v>
      </c>
      <c r="D8769" s="451" t="s">
        <v>14535</v>
      </c>
      <c r="E8769" s="451"/>
      <c r="F8769" s="451"/>
      <c r="G8769" s="451" t="s">
        <v>22882</v>
      </c>
      <c r="H8769" s="451" t="s">
        <v>22883</v>
      </c>
      <c r="I8769" s="451"/>
      <c r="J8769" s="451" t="s">
        <v>27891</v>
      </c>
      <c r="K8769" s="451"/>
    </row>
    <row r="8770" spans="1:11">
      <c r="A8770" s="450" t="s">
        <v>27892</v>
      </c>
      <c r="B8770" s="450" t="s">
        <v>27893</v>
      </c>
      <c r="C8770" s="450" t="s">
        <v>10629</v>
      </c>
      <c r="D8770" s="450" t="s">
        <v>14542</v>
      </c>
      <c r="E8770" s="450"/>
      <c r="F8770" s="450"/>
      <c r="G8770" s="450" t="s">
        <v>22877</v>
      </c>
      <c r="H8770" s="450" t="s">
        <v>22878</v>
      </c>
      <c r="I8770" s="450" t="s">
        <v>27894</v>
      </c>
      <c r="J8770" s="450" t="s">
        <v>27895</v>
      </c>
      <c r="K8770" s="450"/>
    </row>
    <row r="8771" spans="1:11">
      <c r="A8771" s="451" t="s">
        <v>14540</v>
      </c>
      <c r="B8771" s="451" t="s">
        <v>14541</v>
      </c>
      <c r="C8771" s="451" t="s">
        <v>10629</v>
      </c>
      <c r="D8771" s="451" t="s">
        <v>14542</v>
      </c>
      <c r="E8771" s="451" t="s">
        <v>14543</v>
      </c>
      <c r="F8771" s="451"/>
      <c r="G8771" s="451"/>
      <c r="H8771" s="451"/>
      <c r="I8771" s="451"/>
      <c r="J8771" s="451"/>
      <c r="K8771" s="451"/>
    </row>
    <row r="8772" spans="1:11">
      <c r="A8772" s="450" t="s">
        <v>27896</v>
      </c>
      <c r="B8772" s="450" t="s">
        <v>14554</v>
      </c>
      <c r="C8772" s="450" t="s">
        <v>14555</v>
      </c>
      <c r="D8772" s="450" t="s">
        <v>14556</v>
      </c>
      <c r="E8772" s="450"/>
      <c r="F8772" s="450"/>
      <c r="G8772" s="450" t="s">
        <v>22882</v>
      </c>
      <c r="H8772" s="450" t="s">
        <v>22883</v>
      </c>
      <c r="I8772" s="450" t="s">
        <v>27696</v>
      </c>
      <c r="J8772" s="450" t="s">
        <v>27897</v>
      </c>
      <c r="K8772" s="450"/>
    </row>
    <row r="8773" spans="1:11">
      <c r="A8773" s="451" t="s">
        <v>27898</v>
      </c>
      <c r="B8773" s="451" t="s">
        <v>14545</v>
      </c>
      <c r="C8773" s="451" t="s">
        <v>3334</v>
      </c>
      <c r="D8773" s="451" t="s">
        <v>14546</v>
      </c>
      <c r="E8773" s="451"/>
      <c r="F8773" s="451"/>
      <c r="G8773" s="451" t="s">
        <v>22877</v>
      </c>
      <c r="H8773" s="451" t="s">
        <v>22878</v>
      </c>
      <c r="I8773" s="451" t="s">
        <v>14546</v>
      </c>
      <c r="J8773" s="451" t="s">
        <v>27899</v>
      </c>
      <c r="K8773" s="451"/>
    </row>
    <row r="8774" spans="1:11">
      <c r="A8774" s="450" t="s">
        <v>37490</v>
      </c>
      <c r="B8774" s="450" t="s">
        <v>14549</v>
      </c>
      <c r="C8774" s="450" t="s">
        <v>14550</v>
      </c>
      <c r="D8774" s="450" t="s">
        <v>14551</v>
      </c>
      <c r="E8774" s="450"/>
      <c r="F8774" s="450"/>
      <c r="G8774" s="450" t="s">
        <v>22877</v>
      </c>
      <c r="H8774" s="450" t="s">
        <v>22878</v>
      </c>
      <c r="I8774" s="450" t="s">
        <v>37491</v>
      </c>
      <c r="J8774" s="450" t="s">
        <v>37492</v>
      </c>
      <c r="K8774" s="450"/>
    </row>
    <row r="8775" spans="1:11">
      <c r="A8775" s="451" t="s">
        <v>14544</v>
      </c>
      <c r="B8775" s="451" t="s">
        <v>14545</v>
      </c>
      <c r="C8775" s="451" t="s">
        <v>3334</v>
      </c>
      <c r="D8775" s="451" t="s">
        <v>14546</v>
      </c>
      <c r="E8775" s="451" t="s">
        <v>14547</v>
      </c>
      <c r="F8775" s="451"/>
      <c r="G8775" s="451"/>
      <c r="H8775" s="451"/>
      <c r="I8775" s="451"/>
      <c r="J8775" s="451"/>
      <c r="K8775" s="451"/>
    </row>
    <row r="8776" spans="1:11">
      <c r="A8776" s="450" t="s">
        <v>14548</v>
      </c>
      <c r="B8776" s="450" t="s">
        <v>14549</v>
      </c>
      <c r="C8776" s="450" t="s">
        <v>14550</v>
      </c>
      <c r="D8776" s="450" t="s">
        <v>14551</v>
      </c>
      <c r="E8776" s="450" t="s">
        <v>14552</v>
      </c>
      <c r="F8776" s="450"/>
      <c r="G8776" s="450"/>
      <c r="H8776" s="450"/>
      <c r="I8776" s="450"/>
      <c r="J8776" s="450"/>
      <c r="K8776" s="450"/>
    </row>
    <row r="8777" spans="1:11">
      <c r="A8777" s="451" t="s">
        <v>27900</v>
      </c>
      <c r="B8777" s="451" t="s">
        <v>14559</v>
      </c>
      <c r="C8777" s="451" t="s">
        <v>3085</v>
      </c>
      <c r="D8777" s="451" t="s">
        <v>14560</v>
      </c>
      <c r="E8777" s="451"/>
      <c r="F8777" s="451"/>
      <c r="G8777" s="451" t="s">
        <v>22877</v>
      </c>
      <c r="H8777" s="451" t="s">
        <v>22878</v>
      </c>
      <c r="I8777" s="451" t="s">
        <v>27901</v>
      </c>
      <c r="J8777" s="451" t="s">
        <v>27902</v>
      </c>
      <c r="K8777" s="451"/>
    </row>
    <row r="8778" spans="1:11">
      <c r="A8778" s="450" t="s">
        <v>14553</v>
      </c>
      <c r="B8778" s="450" t="s">
        <v>14554</v>
      </c>
      <c r="C8778" s="450" t="s">
        <v>14555</v>
      </c>
      <c r="D8778" s="450" t="s">
        <v>14556</v>
      </c>
      <c r="E8778" s="450" t="s">
        <v>14557</v>
      </c>
      <c r="F8778" s="450"/>
      <c r="G8778" s="450"/>
      <c r="H8778" s="450"/>
      <c r="I8778" s="450"/>
      <c r="J8778" s="450"/>
      <c r="K8778" s="450"/>
    </row>
    <row r="8779" spans="1:11">
      <c r="A8779" s="451" t="s">
        <v>14558</v>
      </c>
      <c r="B8779" s="451" t="s">
        <v>14559</v>
      </c>
      <c r="C8779" s="451" t="s">
        <v>3085</v>
      </c>
      <c r="D8779" s="451" t="s">
        <v>14560</v>
      </c>
      <c r="E8779" s="451" t="s">
        <v>14561</v>
      </c>
      <c r="F8779" s="451"/>
      <c r="G8779" s="451"/>
      <c r="H8779" s="451"/>
      <c r="I8779" s="451"/>
      <c r="J8779" s="451"/>
      <c r="K8779" s="451"/>
    </row>
    <row r="8780" spans="1:11">
      <c r="A8780" s="450" t="s">
        <v>14562</v>
      </c>
      <c r="B8780" s="450"/>
      <c r="C8780" s="450" t="s">
        <v>14563</v>
      </c>
      <c r="D8780" s="450"/>
      <c r="E8780" s="450"/>
      <c r="F8780" s="450"/>
      <c r="G8780" s="450"/>
      <c r="H8780" s="450"/>
      <c r="I8780" s="450"/>
      <c r="J8780" s="450"/>
      <c r="K8780" s="450"/>
    </row>
    <row r="8781" spans="1:11">
      <c r="A8781" s="451" t="s">
        <v>37493</v>
      </c>
      <c r="B8781" s="451"/>
      <c r="C8781" s="451" t="s">
        <v>14563</v>
      </c>
      <c r="D8781" s="451"/>
      <c r="E8781" s="451"/>
      <c r="F8781" s="451"/>
      <c r="G8781" s="451" t="s">
        <v>22877</v>
      </c>
      <c r="H8781" s="451" t="s">
        <v>22878</v>
      </c>
      <c r="I8781" s="451" t="s">
        <v>37494</v>
      </c>
      <c r="J8781" s="451" t="s">
        <v>22943</v>
      </c>
      <c r="K8781" s="451"/>
    </row>
    <row r="8782" spans="1:11">
      <c r="A8782" s="450" t="s">
        <v>21870</v>
      </c>
      <c r="B8782" s="450"/>
      <c r="C8782" s="450" t="s">
        <v>14564</v>
      </c>
      <c r="D8782" s="450"/>
      <c r="E8782" s="450"/>
      <c r="F8782" s="450"/>
      <c r="G8782" s="450" t="s">
        <v>22882</v>
      </c>
      <c r="H8782" s="450" t="s">
        <v>22883</v>
      </c>
      <c r="I8782" s="450"/>
      <c r="J8782" s="450" t="s">
        <v>22943</v>
      </c>
      <c r="K8782" s="450"/>
    </row>
    <row r="8783" spans="1:11">
      <c r="A8783" s="451" t="s">
        <v>14565</v>
      </c>
      <c r="B8783" s="451"/>
      <c r="C8783" s="451" t="s">
        <v>14566</v>
      </c>
      <c r="D8783" s="451"/>
      <c r="E8783" s="451"/>
      <c r="F8783" s="451"/>
      <c r="G8783" s="451" t="s">
        <v>22877</v>
      </c>
      <c r="H8783" s="451" t="s">
        <v>22878</v>
      </c>
      <c r="I8783" s="451" t="s">
        <v>37495</v>
      </c>
      <c r="J8783" s="451" t="s">
        <v>22943</v>
      </c>
      <c r="K8783" s="451"/>
    </row>
    <row r="8784" spans="1:11">
      <c r="A8784" s="450" t="s">
        <v>14567</v>
      </c>
      <c r="B8784" s="450"/>
      <c r="C8784" s="450" t="s">
        <v>14568</v>
      </c>
      <c r="D8784" s="450"/>
      <c r="E8784" s="450"/>
      <c r="F8784" s="450"/>
      <c r="G8784" s="450"/>
      <c r="H8784" s="450"/>
      <c r="I8784" s="450"/>
      <c r="J8784" s="450"/>
      <c r="K8784" s="450"/>
    </row>
    <row r="8785" spans="1:11">
      <c r="A8785" s="451" t="s">
        <v>37496</v>
      </c>
      <c r="B8785" s="451"/>
      <c r="C8785" s="451" t="s">
        <v>14568</v>
      </c>
      <c r="D8785" s="451"/>
      <c r="E8785" s="451"/>
      <c r="F8785" s="451"/>
      <c r="G8785" s="451" t="s">
        <v>22877</v>
      </c>
      <c r="H8785" s="451" t="s">
        <v>22878</v>
      </c>
      <c r="I8785" s="451" t="s">
        <v>37497</v>
      </c>
      <c r="J8785" s="451" t="s">
        <v>22997</v>
      </c>
      <c r="K8785" s="451"/>
    </row>
    <row r="8786" spans="1:11">
      <c r="A8786" s="450" t="s">
        <v>37498</v>
      </c>
      <c r="B8786" s="450"/>
      <c r="C8786" s="450" t="s">
        <v>5582</v>
      </c>
      <c r="D8786" s="450"/>
      <c r="E8786" s="450"/>
      <c r="F8786" s="450"/>
      <c r="G8786" s="450" t="s">
        <v>22877</v>
      </c>
      <c r="H8786" s="450" t="s">
        <v>22878</v>
      </c>
      <c r="I8786" s="450" t="s">
        <v>37499</v>
      </c>
      <c r="J8786" s="450" t="s">
        <v>22943</v>
      </c>
      <c r="K8786" s="450"/>
    </row>
    <row r="8787" spans="1:11">
      <c r="A8787" s="451" t="s">
        <v>14569</v>
      </c>
      <c r="B8787" s="451"/>
      <c r="C8787" s="451" t="s">
        <v>5582</v>
      </c>
      <c r="D8787" s="451"/>
      <c r="E8787" s="451"/>
      <c r="F8787" s="451"/>
      <c r="G8787" s="451"/>
      <c r="H8787" s="451"/>
      <c r="I8787" s="451"/>
      <c r="J8787" s="451"/>
      <c r="K8787" s="451"/>
    </row>
    <row r="8788" spans="1:11">
      <c r="A8788" s="450" t="s">
        <v>14570</v>
      </c>
      <c r="B8788" s="450"/>
      <c r="C8788" s="450" t="s">
        <v>14571</v>
      </c>
      <c r="D8788" s="450"/>
      <c r="E8788" s="450"/>
      <c r="F8788" s="450"/>
      <c r="G8788" s="450" t="s">
        <v>22882</v>
      </c>
      <c r="H8788" s="450" t="s">
        <v>22883</v>
      </c>
      <c r="I8788" s="450"/>
      <c r="J8788" s="450" t="s">
        <v>22997</v>
      </c>
      <c r="K8788" s="450"/>
    </row>
    <row r="8789" spans="1:11">
      <c r="A8789" s="451" t="s">
        <v>27903</v>
      </c>
      <c r="B8789" s="451" t="s">
        <v>27904</v>
      </c>
      <c r="C8789" s="451" t="s">
        <v>27905</v>
      </c>
      <c r="D8789" s="451"/>
      <c r="E8789" s="451"/>
      <c r="F8789" s="451"/>
      <c r="G8789" s="451" t="s">
        <v>22877</v>
      </c>
      <c r="H8789" s="451" t="s">
        <v>22878</v>
      </c>
      <c r="I8789" s="451" t="s">
        <v>27906</v>
      </c>
      <c r="J8789" s="451" t="s">
        <v>27907</v>
      </c>
      <c r="K8789" s="451"/>
    </row>
    <row r="8790" spans="1:11">
      <c r="A8790" s="450" t="s">
        <v>14572</v>
      </c>
      <c r="B8790" s="450" t="s">
        <v>14573</v>
      </c>
      <c r="C8790" s="450" t="s">
        <v>14574</v>
      </c>
      <c r="D8790" s="450"/>
      <c r="E8790" s="450"/>
      <c r="F8790" s="450"/>
      <c r="G8790" s="450" t="s">
        <v>22877</v>
      </c>
      <c r="H8790" s="450" t="s">
        <v>22878</v>
      </c>
      <c r="I8790" s="450" t="s">
        <v>27908</v>
      </c>
      <c r="J8790" s="450" t="s">
        <v>27909</v>
      </c>
      <c r="K8790" s="450"/>
    </row>
    <row r="8791" spans="1:11">
      <c r="A8791" s="451" t="s">
        <v>14575</v>
      </c>
      <c r="B8791" s="451"/>
      <c r="C8791" s="451" t="s">
        <v>6153</v>
      </c>
      <c r="D8791" s="451"/>
      <c r="E8791" s="451"/>
      <c r="F8791" s="451"/>
      <c r="G8791" s="451" t="s">
        <v>22882</v>
      </c>
      <c r="H8791" s="451" t="s">
        <v>22883</v>
      </c>
      <c r="I8791" s="451"/>
      <c r="J8791" s="451" t="s">
        <v>22943</v>
      </c>
      <c r="K8791" s="451"/>
    </row>
    <row r="8792" spans="1:11">
      <c r="A8792" s="450" t="s">
        <v>14576</v>
      </c>
      <c r="B8792" s="450"/>
      <c r="C8792" s="450" t="s">
        <v>14486</v>
      </c>
      <c r="D8792" s="450"/>
      <c r="E8792" s="450"/>
      <c r="F8792" s="450"/>
      <c r="G8792" s="450" t="s">
        <v>22877</v>
      </c>
      <c r="H8792" s="450" t="s">
        <v>22878</v>
      </c>
      <c r="I8792" s="450" t="s">
        <v>37500</v>
      </c>
      <c r="J8792" s="450" t="s">
        <v>22939</v>
      </c>
      <c r="K8792" s="450"/>
    </row>
    <row r="8793" spans="1:11">
      <c r="A8793" s="451" t="s">
        <v>14577</v>
      </c>
      <c r="B8793" s="451"/>
      <c r="C8793" s="451" t="s">
        <v>14578</v>
      </c>
      <c r="D8793" s="451"/>
      <c r="E8793" s="451"/>
      <c r="F8793" s="451"/>
      <c r="G8793" s="451" t="s">
        <v>22877</v>
      </c>
      <c r="H8793" s="451" t="s">
        <v>22878</v>
      </c>
      <c r="I8793" s="451" t="s">
        <v>27910</v>
      </c>
      <c r="J8793" s="451" t="s">
        <v>23185</v>
      </c>
      <c r="K8793" s="451"/>
    </row>
    <row r="8794" spans="1:11">
      <c r="A8794" s="450" t="s">
        <v>27911</v>
      </c>
      <c r="B8794" s="450" t="s">
        <v>27912</v>
      </c>
      <c r="C8794" s="450" t="s">
        <v>27913</v>
      </c>
      <c r="D8794" s="450"/>
      <c r="E8794" s="450"/>
      <c r="F8794" s="450"/>
      <c r="G8794" s="450" t="s">
        <v>22877</v>
      </c>
      <c r="H8794" s="450" t="s">
        <v>22878</v>
      </c>
      <c r="I8794" s="450" t="s">
        <v>27914</v>
      </c>
      <c r="J8794" s="450" t="s">
        <v>27915</v>
      </c>
      <c r="K8794" s="450"/>
    </row>
    <row r="8795" spans="1:11">
      <c r="A8795" s="451" t="s">
        <v>14579</v>
      </c>
      <c r="B8795" s="451"/>
      <c r="C8795" s="451" t="s">
        <v>1791</v>
      </c>
      <c r="D8795" s="451"/>
      <c r="E8795" s="451"/>
      <c r="F8795" s="451"/>
      <c r="G8795" s="451" t="s">
        <v>22877</v>
      </c>
      <c r="H8795" s="451" t="s">
        <v>22878</v>
      </c>
      <c r="I8795" s="451" t="s">
        <v>37501</v>
      </c>
      <c r="J8795" s="451" t="s">
        <v>22943</v>
      </c>
      <c r="K8795" s="451"/>
    </row>
    <row r="8796" spans="1:11">
      <c r="A8796" s="450" t="s">
        <v>14580</v>
      </c>
      <c r="B8796" s="450"/>
      <c r="C8796" s="450" t="s">
        <v>14581</v>
      </c>
      <c r="D8796" s="450"/>
      <c r="E8796" s="450"/>
      <c r="F8796" s="450"/>
      <c r="G8796" s="450" t="s">
        <v>22882</v>
      </c>
      <c r="H8796" s="450" t="s">
        <v>22883</v>
      </c>
      <c r="I8796" s="450"/>
      <c r="J8796" s="450" t="s">
        <v>23185</v>
      </c>
      <c r="K8796" s="450"/>
    </row>
    <row r="8797" spans="1:11">
      <c r="A8797" s="451" t="s">
        <v>27916</v>
      </c>
      <c r="B8797" s="451" t="s">
        <v>27917</v>
      </c>
      <c r="C8797" s="451" t="s">
        <v>27918</v>
      </c>
      <c r="D8797" s="451"/>
      <c r="E8797" s="451"/>
      <c r="F8797" s="451"/>
      <c r="G8797" s="451" t="s">
        <v>22877</v>
      </c>
      <c r="H8797" s="451" t="s">
        <v>22878</v>
      </c>
      <c r="I8797" s="451" t="s">
        <v>27919</v>
      </c>
      <c r="J8797" s="451" t="s">
        <v>27920</v>
      </c>
      <c r="K8797" s="451"/>
    </row>
    <row r="8798" spans="1:11">
      <c r="A8798" s="450" t="s">
        <v>14582</v>
      </c>
      <c r="B8798" s="450"/>
      <c r="C8798" s="450" t="s">
        <v>14583</v>
      </c>
      <c r="D8798" s="450"/>
      <c r="E8798" s="450"/>
      <c r="F8798" s="450"/>
      <c r="G8798" s="450" t="s">
        <v>22882</v>
      </c>
      <c r="H8798" s="450" t="s">
        <v>22883</v>
      </c>
      <c r="I8798" s="450"/>
      <c r="J8798" s="450" t="s">
        <v>23370</v>
      </c>
      <c r="K8798" s="450"/>
    </row>
    <row r="8799" spans="1:11">
      <c r="A8799" s="451" t="s">
        <v>14584</v>
      </c>
      <c r="B8799" s="451"/>
      <c r="C8799" s="451" t="s">
        <v>14585</v>
      </c>
      <c r="D8799" s="451"/>
      <c r="E8799" s="451"/>
      <c r="F8799" s="451"/>
      <c r="G8799" s="451" t="s">
        <v>22882</v>
      </c>
      <c r="H8799" s="451" t="s">
        <v>22883</v>
      </c>
      <c r="I8799" s="451"/>
      <c r="J8799" s="451" t="s">
        <v>23370</v>
      </c>
      <c r="K8799" s="451"/>
    </row>
    <row r="8800" spans="1:11">
      <c r="A8800" s="450" t="s">
        <v>14586</v>
      </c>
      <c r="B8800" s="450"/>
      <c r="C8800" s="450" t="s">
        <v>14587</v>
      </c>
      <c r="D8800" s="450"/>
      <c r="E8800" s="450"/>
      <c r="F8800" s="450"/>
      <c r="G8800" s="450" t="s">
        <v>22882</v>
      </c>
      <c r="H8800" s="450" t="s">
        <v>22883</v>
      </c>
      <c r="I8800" s="450"/>
      <c r="J8800" s="450" t="s">
        <v>23185</v>
      </c>
      <c r="K8800" s="450"/>
    </row>
    <row r="8801" spans="1:11">
      <c r="A8801" s="451" t="s">
        <v>37502</v>
      </c>
      <c r="B8801" s="451"/>
      <c r="C8801" s="451" t="s">
        <v>16564</v>
      </c>
      <c r="D8801" s="451"/>
      <c r="E8801" s="451"/>
      <c r="F8801" s="451"/>
      <c r="G8801" s="451" t="s">
        <v>22882</v>
      </c>
      <c r="H8801" s="451" t="s">
        <v>22883</v>
      </c>
      <c r="I8801" s="451"/>
      <c r="J8801" s="451" t="s">
        <v>23370</v>
      </c>
      <c r="K8801" s="451"/>
    </row>
    <row r="8802" spans="1:11">
      <c r="A8802" s="450" t="s">
        <v>14588</v>
      </c>
      <c r="B8802" s="450"/>
      <c r="C8802" s="450" t="s">
        <v>1232</v>
      </c>
      <c r="D8802" s="450"/>
      <c r="E8802" s="450"/>
      <c r="F8802" s="450"/>
      <c r="G8802" s="450"/>
      <c r="H8802" s="450"/>
      <c r="I8802" s="450"/>
      <c r="J8802" s="450"/>
      <c r="K8802" s="450"/>
    </row>
    <row r="8803" spans="1:11">
      <c r="A8803" s="451" t="s">
        <v>14589</v>
      </c>
      <c r="B8803" s="451"/>
      <c r="C8803" s="451" t="s">
        <v>14590</v>
      </c>
      <c r="D8803" s="451"/>
      <c r="E8803" s="451"/>
      <c r="F8803" s="451"/>
      <c r="G8803" s="451" t="s">
        <v>22877</v>
      </c>
      <c r="H8803" s="451" t="s">
        <v>22878</v>
      </c>
      <c r="I8803" s="451" t="s">
        <v>27921</v>
      </c>
      <c r="J8803" s="451" t="s">
        <v>27922</v>
      </c>
      <c r="K8803" s="451"/>
    </row>
    <row r="8804" spans="1:11">
      <c r="A8804" s="450" t="s">
        <v>14591</v>
      </c>
      <c r="B8804" s="450"/>
      <c r="C8804" s="450" t="s">
        <v>1626</v>
      </c>
      <c r="D8804" s="450"/>
      <c r="E8804" s="450"/>
      <c r="F8804" s="450"/>
      <c r="G8804" s="450" t="s">
        <v>22882</v>
      </c>
      <c r="H8804" s="450" t="s">
        <v>22883</v>
      </c>
      <c r="I8804" s="450"/>
      <c r="J8804" s="450" t="s">
        <v>22943</v>
      </c>
      <c r="K8804" s="450"/>
    </row>
    <row r="8805" spans="1:11">
      <c r="A8805" s="451" t="s">
        <v>21309</v>
      </c>
      <c r="B8805" s="451" t="s">
        <v>21311</v>
      </c>
      <c r="C8805" s="451" t="s">
        <v>12798</v>
      </c>
      <c r="D8805" s="451" t="s">
        <v>21310</v>
      </c>
      <c r="E8805" s="451"/>
      <c r="F8805" s="451"/>
      <c r="G8805" s="451"/>
      <c r="H8805" s="451"/>
      <c r="I8805" s="451"/>
      <c r="J8805" s="451"/>
      <c r="K8805" s="451"/>
    </row>
    <row r="8806" spans="1:11">
      <c r="A8806" s="450" t="s">
        <v>14592</v>
      </c>
      <c r="B8806" s="450"/>
      <c r="C8806" s="450" t="s">
        <v>8967</v>
      </c>
      <c r="D8806" s="450"/>
      <c r="E8806" s="450"/>
      <c r="F8806" s="450"/>
      <c r="G8806" s="450" t="s">
        <v>22877</v>
      </c>
      <c r="H8806" s="450" t="s">
        <v>22878</v>
      </c>
      <c r="I8806" s="450" t="s">
        <v>37503</v>
      </c>
      <c r="J8806" s="450" t="s">
        <v>22939</v>
      </c>
      <c r="K8806" s="450"/>
    </row>
    <row r="8807" spans="1:11">
      <c r="A8807" s="451" t="s">
        <v>14593</v>
      </c>
      <c r="B8807" s="451"/>
      <c r="C8807" s="451" t="s">
        <v>14594</v>
      </c>
      <c r="D8807" s="451"/>
      <c r="E8807" s="451"/>
      <c r="F8807" s="451"/>
      <c r="G8807" s="451" t="s">
        <v>22877</v>
      </c>
      <c r="H8807" s="451" t="s">
        <v>22878</v>
      </c>
      <c r="I8807" s="451" t="s">
        <v>37504</v>
      </c>
      <c r="J8807" s="451" t="s">
        <v>22939</v>
      </c>
      <c r="K8807" s="451"/>
    </row>
    <row r="8808" spans="1:11">
      <c r="A8808" s="450" t="s">
        <v>14595</v>
      </c>
      <c r="B8808" s="450"/>
      <c r="C8808" s="450" t="s">
        <v>14596</v>
      </c>
      <c r="D8808" s="450"/>
      <c r="E8808" s="450"/>
      <c r="F8808" s="450"/>
      <c r="G8808" s="450" t="s">
        <v>22882</v>
      </c>
      <c r="H8808" s="450" t="s">
        <v>22883</v>
      </c>
      <c r="I8808" s="450"/>
      <c r="J8808" s="450" t="s">
        <v>22943</v>
      </c>
      <c r="K8808" s="450"/>
    </row>
    <row r="8809" spans="1:11">
      <c r="A8809" s="451" t="s">
        <v>14597</v>
      </c>
      <c r="B8809" s="451" t="s">
        <v>14598</v>
      </c>
      <c r="C8809" s="451" t="s">
        <v>14599</v>
      </c>
      <c r="D8809" s="451" t="s">
        <v>14600</v>
      </c>
      <c r="E8809" s="451"/>
      <c r="F8809" s="451"/>
      <c r="G8809" s="451" t="s">
        <v>22877</v>
      </c>
      <c r="H8809" s="451" t="s">
        <v>22878</v>
      </c>
      <c r="I8809" s="451" t="s">
        <v>14600</v>
      </c>
      <c r="J8809" s="451" t="s">
        <v>37505</v>
      </c>
      <c r="K8809" s="451"/>
    </row>
    <row r="8810" spans="1:11">
      <c r="A8810" s="450" t="s">
        <v>14597</v>
      </c>
      <c r="B8810" s="450" t="s">
        <v>14598</v>
      </c>
      <c r="C8810" s="450" t="s">
        <v>14599</v>
      </c>
      <c r="D8810" s="450" t="s">
        <v>14600</v>
      </c>
      <c r="E8810" s="450" t="s">
        <v>14601</v>
      </c>
      <c r="F8810" s="450"/>
      <c r="G8810" s="450"/>
      <c r="H8810" s="450"/>
      <c r="I8810" s="450"/>
      <c r="J8810" s="450"/>
      <c r="K8810" s="450"/>
    </row>
    <row r="8811" spans="1:11">
      <c r="A8811" s="451" t="s">
        <v>37506</v>
      </c>
      <c r="B8811" s="451"/>
      <c r="C8811" s="451" t="s">
        <v>14603</v>
      </c>
      <c r="D8811" s="451"/>
      <c r="E8811" s="451"/>
      <c r="F8811" s="451"/>
      <c r="G8811" s="451" t="s">
        <v>22877</v>
      </c>
      <c r="H8811" s="451" t="s">
        <v>22878</v>
      </c>
      <c r="I8811" s="451" t="s">
        <v>37507</v>
      </c>
      <c r="J8811" s="451" t="s">
        <v>22943</v>
      </c>
      <c r="K8811" s="451"/>
    </row>
    <row r="8812" spans="1:11">
      <c r="A8812" s="450" t="s">
        <v>14602</v>
      </c>
      <c r="B8812" s="450"/>
      <c r="C8812" s="450" t="s">
        <v>14603</v>
      </c>
      <c r="D8812" s="450"/>
      <c r="E8812" s="450"/>
      <c r="F8812" s="450"/>
      <c r="G8812" s="450"/>
      <c r="H8812" s="450"/>
      <c r="I8812" s="450"/>
      <c r="J8812" s="450"/>
      <c r="K8812" s="450"/>
    </row>
    <row r="8813" spans="1:11">
      <c r="A8813" s="451" t="s">
        <v>14604</v>
      </c>
      <c r="B8813" s="451"/>
      <c r="C8813" s="451" t="s">
        <v>14605</v>
      </c>
      <c r="D8813" s="451"/>
      <c r="E8813" s="451"/>
      <c r="F8813" s="451"/>
      <c r="G8813" s="451" t="s">
        <v>22882</v>
      </c>
      <c r="H8813" s="451" t="s">
        <v>22883</v>
      </c>
      <c r="I8813" s="451"/>
      <c r="J8813" s="451" t="s">
        <v>23133</v>
      </c>
      <c r="K8813" s="451"/>
    </row>
    <row r="8814" spans="1:11">
      <c r="A8814" s="450" t="s">
        <v>14606</v>
      </c>
      <c r="B8814" s="450"/>
      <c r="C8814" s="450" t="s">
        <v>14607</v>
      </c>
      <c r="D8814" s="450"/>
      <c r="E8814" s="450"/>
      <c r="F8814" s="450"/>
      <c r="G8814" s="450" t="s">
        <v>22882</v>
      </c>
      <c r="H8814" s="450" t="s">
        <v>22883</v>
      </c>
      <c r="I8814" s="450" t="s">
        <v>37508</v>
      </c>
      <c r="J8814" s="450" t="s">
        <v>22939</v>
      </c>
      <c r="K8814" s="450"/>
    </row>
    <row r="8815" spans="1:11">
      <c r="A8815" s="451" t="s">
        <v>14608</v>
      </c>
      <c r="B8815" s="451"/>
      <c r="C8815" s="451" t="s">
        <v>14609</v>
      </c>
      <c r="D8815" s="451"/>
      <c r="E8815" s="451"/>
      <c r="F8815" s="451"/>
      <c r="G8815" s="451" t="s">
        <v>22877</v>
      </c>
      <c r="H8815" s="451" t="s">
        <v>22878</v>
      </c>
      <c r="I8815" s="451" t="s">
        <v>37509</v>
      </c>
      <c r="J8815" s="451" t="s">
        <v>23370</v>
      </c>
      <c r="K8815" s="451"/>
    </row>
    <row r="8816" spans="1:11">
      <c r="A8816" s="450" t="s">
        <v>14610</v>
      </c>
      <c r="B8816" s="450"/>
      <c r="C8816" s="450" t="s">
        <v>14611</v>
      </c>
      <c r="D8816" s="450"/>
      <c r="E8816" s="450"/>
      <c r="F8816" s="450"/>
      <c r="G8816" s="450" t="s">
        <v>22877</v>
      </c>
      <c r="H8816" s="450" t="s">
        <v>22878</v>
      </c>
      <c r="I8816" s="450" t="s">
        <v>27923</v>
      </c>
      <c r="J8816" s="450" t="s">
        <v>22939</v>
      </c>
      <c r="K8816" s="450"/>
    </row>
    <row r="8817" spans="1:11">
      <c r="A8817" s="451" t="s">
        <v>14612</v>
      </c>
      <c r="B8817" s="451" t="s">
        <v>14613</v>
      </c>
      <c r="C8817" s="451" t="s">
        <v>14614</v>
      </c>
      <c r="D8817" s="451" t="s">
        <v>14615</v>
      </c>
      <c r="E8817" s="451"/>
      <c r="F8817" s="451"/>
      <c r="G8817" s="451" t="s">
        <v>22877</v>
      </c>
      <c r="H8817" s="451" t="s">
        <v>22878</v>
      </c>
      <c r="I8817" s="451" t="s">
        <v>14615</v>
      </c>
      <c r="J8817" s="451" t="s">
        <v>37510</v>
      </c>
      <c r="K8817" s="451"/>
    </row>
    <row r="8818" spans="1:11">
      <c r="A8818" s="450" t="s">
        <v>14612</v>
      </c>
      <c r="B8818" s="450" t="s">
        <v>14613</v>
      </c>
      <c r="C8818" s="450" t="s">
        <v>14614</v>
      </c>
      <c r="D8818" s="450" t="s">
        <v>14615</v>
      </c>
      <c r="E8818" s="450" t="s">
        <v>14616</v>
      </c>
      <c r="F8818" s="450"/>
      <c r="G8818" s="450"/>
      <c r="H8818" s="450"/>
      <c r="I8818" s="450"/>
      <c r="J8818" s="450"/>
      <c r="K8818" s="450"/>
    </row>
    <row r="8819" spans="1:11">
      <c r="A8819" s="451" t="s">
        <v>14617</v>
      </c>
      <c r="B8819" s="451" t="s">
        <v>14618</v>
      </c>
      <c r="C8819" s="451" t="s">
        <v>1218</v>
      </c>
      <c r="D8819" s="451" t="s">
        <v>14619</v>
      </c>
      <c r="E8819" s="451"/>
      <c r="F8819" s="451"/>
      <c r="G8819" s="451" t="s">
        <v>22877</v>
      </c>
      <c r="H8819" s="451" t="s">
        <v>22878</v>
      </c>
      <c r="I8819" s="451" t="s">
        <v>14619</v>
      </c>
      <c r="J8819" s="451" t="s">
        <v>37511</v>
      </c>
      <c r="K8819" s="451"/>
    </row>
    <row r="8820" spans="1:11">
      <c r="A8820" s="450" t="s">
        <v>14617</v>
      </c>
      <c r="B8820" s="450" t="s">
        <v>14618</v>
      </c>
      <c r="C8820" s="450" t="s">
        <v>1218</v>
      </c>
      <c r="D8820" s="450" t="s">
        <v>14619</v>
      </c>
      <c r="E8820" s="450" t="s">
        <v>1220</v>
      </c>
      <c r="F8820" s="450"/>
      <c r="G8820" s="450"/>
      <c r="H8820" s="450"/>
      <c r="I8820" s="450"/>
      <c r="J8820" s="450"/>
      <c r="K8820" s="450"/>
    </row>
    <row r="8821" spans="1:11">
      <c r="A8821" s="451" t="s">
        <v>14620</v>
      </c>
      <c r="B8821" s="451" t="s">
        <v>14621</v>
      </c>
      <c r="C8821" s="451" t="s">
        <v>14622</v>
      </c>
      <c r="D8821" s="451" t="s">
        <v>14623</v>
      </c>
      <c r="E8821" s="451"/>
      <c r="F8821" s="451"/>
      <c r="G8821" s="451" t="s">
        <v>22882</v>
      </c>
      <c r="H8821" s="451" t="s">
        <v>22883</v>
      </c>
      <c r="I8821" s="451" t="s">
        <v>25689</v>
      </c>
      <c r="J8821" s="451" t="s">
        <v>37512</v>
      </c>
      <c r="K8821" s="451"/>
    </row>
    <row r="8822" spans="1:11">
      <c r="A8822" s="450" t="s">
        <v>14620</v>
      </c>
      <c r="B8822" s="450" t="s">
        <v>14621</v>
      </c>
      <c r="C8822" s="450" t="s">
        <v>14622</v>
      </c>
      <c r="D8822" s="450" t="s">
        <v>14623</v>
      </c>
      <c r="E8822" s="450" t="s">
        <v>14624</v>
      </c>
      <c r="F8822" s="450"/>
      <c r="G8822" s="450"/>
      <c r="H8822" s="450"/>
      <c r="I8822" s="450"/>
      <c r="J8822" s="450"/>
      <c r="K8822" s="450"/>
    </row>
    <row r="8823" spans="1:11">
      <c r="A8823" s="451" t="s">
        <v>37513</v>
      </c>
      <c r="B8823" s="451"/>
      <c r="C8823" s="451" t="s">
        <v>14626</v>
      </c>
      <c r="D8823" s="451"/>
      <c r="E8823" s="451"/>
      <c r="F8823" s="451"/>
      <c r="G8823" s="451" t="s">
        <v>22877</v>
      </c>
      <c r="H8823" s="451" t="s">
        <v>22878</v>
      </c>
      <c r="I8823" s="451" t="s">
        <v>37514</v>
      </c>
      <c r="J8823" s="451" t="s">
        <v>22939</v>
      </c>
      <c r="K8823" s="451"/>
    </row>
    <row r="8824" spans="1:11">
      <c r="A8824" s="450" t="s">
        <v>14625</v>
      </c>
      <c r="B8824" s="450"/>
      <c r="C8824" s="450" t="s">
        <v>14626</v>
      </c>
      <c r="D8824" s="450"/>
      <c r="E8824" s="450"/>
      <c r="F8824" s="450"/>
      <c r="G8824" s="450"/>
      <c r="H8824" s="450"/>
      <c r="I8824" s="450"/>
      <c r="J8824" s="450"/>
      <c r="K8824" s="450"/>
    </row>
    <row r="8825" spans="1:11">
      <c r="A8825" s="451" t="s">
        <v>27924</v>
      </c>
      <c r="B8825" s="451" t="s">
        <v>14628</v>
      </c>
      <c r="C8825" s="451" t="s">
        <v>14603</v>
      </c>
      <c r="D8825" s="451" t="s">
        <v>14629</v>
      </c>
      <c r="E8825" s="451"/>
      <c r="F8825" s="451"/>
      <c r="G8825" s="451" t="s">
        <v>22877</v>
      </c>
      <c r="H8825" s="451" t="s">
        <v>22878</v>
      </c>
      <c r="I8825" s="451" t="s">
        <v>23389</v>
      </c>
      <c r="J8825" s="451" t="s">
        <v>27925</v>
      </c>
      <c r="K8825" s="451"/>
    </row>
    <row r="8826" spans="1:11">
      <c r="A8826" s="450" t="s">
        <v>37515</v>
      </c>
      <c r="B8826" s="450"/>
      <c r="C8826" s="450" t="s">
        <v>14632</v>
      </c>
      <c r="D8826" s="450"/>
      <c r="E8826" s="450"/>
      <c r="F8826" s="450"/>
      <c r="G8826" s="450" t="s">
        <v>22882</v>
      </c>
      <c r="H8826" s="450" t="s">
        <v>22883</v>
      </c>
      <c r="I8826" s="450" t="s">
        <v>37516</v>
      </c>
      <c r="J8826" s="450" t="s">
        <v>22943</v>
      </c>
      <c r="K8826" s="450"/>
    </row>
    <row r="8827" spans="1:11">
      <c r="A8827" s="451" t="s">
        <v>14627</v>
      </c>
      <c r="B8827" s="451" t="s">
        <v>14628</v>
      </c>
      <c r="C8827" s="451" t="s">
        <v>14603</v>
      </c>
      <c r="D8827" s="451" t="s">
        <v>14629</v>
      </c>
      <c r="E8827" s="451" t="s">
        <v>14630</v>
      </c>
      <c r="F8827" s="451"/>
      <c r="G8827" s="451"/>
      <c r="H8827" s="451"/>
      <c r="I8827" s="451"/>
      <c r="J8827" s="451"/>
      <c r="K8827" s="451"/>
    </row>
    <row r="8828" spans="1:11">
      <c r="A8828" s="450" t="s">
        <v>14631</v>
      </c>
      <c r="B8828" s="450"/>
      <c r="C8828" s="450" t="s">
        <v>14632</v>
      </c>
      <c r="D8828" s="450"/>
      <c r="E8828" s="450"/>
      <c r="F8828" s="450"/>
      <c r="G8828" s="450"/>
      <c r="H8828" s="450"/>
      <c r="I8828" s="450"/>
      <c r="J8828" s="450"/>
      <c r="K8828" s="450"/>
    </row>
    <row r="8829" spans="1:11">
      <c r="A8829" s="451" t="s">
        <v>14633</v>
      </c>
      <c r="B8829" s="451"/>
      <c r="C8829" s="451" t="s">
        <v>14634</v>
      </c>
      <c r="D8829" s="451"/>
      <c r="E8829" s="451"/>
      <c r="F8829" s="451"/>
      <c r="G8829" s="451" t="s">
        <v>22877</v>
      </c>
      <c r="H8829" s="451" t="s">
        <v>22878</v>
      </c>
      <c r="I8829" s="451" t="s">
        <v>37517</v>
      </c>
      <c r="J8829" s="451" t="s">
        <v>22939</v>
      </c>
      <c r="K8829" s="451"/>
    </row>
    <row r="8830" spans="1:11">
      <c r="A8830" s="450" t="s">
        <v>14635</v>
      </c>
      <c r="B8830" s="450"/>
      <c r="C8830" s="450" t="s">
        <v>4999</v>
      </c>
      <c r="D8830" s="450"/>
      <c r="E8830" s="450"/>
      <c r="F8830" s="450"/>
      <c r="G8830" s="450" t="s">
        <v>22882</v>
      </c>
      <c r="H8830" s="450" t="s">
        <v>22883</v>
      </c>
      <c r="I8830" s="450" t="s">
        <v>37518</v>
      </c>
      <c r="J8830" s="450" t="s">
        <v>23133</v>
      </c>
      <c r="K8830" s="450"/>
    </row>
    <row r="8831" spans="1:11">
      <c r="A8831" s="451" t="s">
        <v>14636</v>
      </c>
      <c r="B8831" s="451"/>
      <c r="C8831" s="451" t="s">
        <v>2045</v>
      </c>
      <c r="D8831" s="451"/>
      <c r="E8831" s="451"/>
      <c r="F8831" s="451"/>
      <c r="G8831" s="451" t="s">
        <v>22882</v>
      </c>
      <c r="H8831" s="451" t="s">
        <v>22883</v>
      </c>
      <c r="I8831" s="451" t="s">
        <v>37519</v>
      </c>
      <c r="J8831" s="451" t="s">
        <v>22997</v>
      </c>
      <c r="K8831" s="451"/>
    </row>
    <row r="8832" spans="1:11">
      <c r="A8832" s="450" t="s">
        <v>14637</v>
      </c>
      <c r="B8832" s="450"/>
      <c r="C8832" s="450" t="s">
        <v>4682</v>
      </c>
      <c r="D8832" s="450"/>
      <c r="E8832" s="450"/>
      <c r="F8832" s="450"/>
      <c r="G8832" s="450" t="s">
        <v>22877</v>
      </c>
      <c r="H8832" s="450" t="s">
        <v>22878</v>
      </c>
      <c r="I8832" s="450" t="s">
        <v>37520</v>
      </c>
      <c r="J8832" s="450" t="s">
        <v>22997</v>
      </c>
      <c r="K8832" s="450"/>
    </row>
    <row r="8833" spans="1:11">
      <c r="A8833" s="451" t="s">
        <v>14638</v>
      </c>
      <c r="B8833" s="451"/>
      <c r="C8833" s="451" t="s">
        <v>7973</v>
      </c>
      <c r="D8833" s="451"/>
      <c r="E8833" s="451"/>
      <c r="F8833" s="451"/>
      <c r="G8833" s="451" t="s">
        <v>22877</v>
      </c>
      <c r="H8833" s="451" t="s">
        <v>22878</v>
      </c>
      <c r="I8833" s="451" t="s">
        <v>37521</v>
      </c>
      <c r="J8833" s="451" t="s">
        <v>22943</v>
      </c>
      <c r="K8833" s="451"/>
    </row>
    <row r="8834" spans="1:11">
      <c r="A8834" s="450" t="s">
        <v>14639</v>
      </c>
      <c r="B8834" s="450"/>
      <c r="C8834" s="450" t="s">
        <v>7055</v>
      </c>
      <c r="D8834" s="450"/>
      <c r="E8834" s="450"/>
      <c r="F8834" s="450"/>
      <c r="G8834" s="450" t="s">
        <v>22877</v>
      </c>
      <c r="H8834" s="450" t="s">
        <v>22878</v>
      </c>
      <c r="I8834" s="450" t="s">
        <v>26037</v>
      </c>
      <c r="J8834" s="450" t="s">
        <v>23370</v>
      </c>
      <c r="K8834" s="450"/>
    </row>
    <row r="8835" spans="1:11">
      <c r="A8835" s="451" t="s">
        <v>14640</v>
      </c>
      <c r="B8835" s="451"/>
      <c r="C8835" s="451" t="s">
        <v>14641</v>
      </c>
      <c r="D8835" s="451"/>
      <c r="E8835" s="451"/>
      <c r="F8835" s="451"/>
      <c r="G8835" s="451" t="s">
        <v>22882</v>
      </c>
      <c r="H8835" s="451" t="s">
        <v>22883</v>
      </c>
      <c r="I8835" s="451"/>
      <c r="J8835" s="451" t="s">
        <v>23133</v>
      </c>
      <c r="K8835" s="451"/>
    </row>
    <row r="8836" spans="1:11">
      <c r="A8836" s="450" t="s">
        <v>14642</v>
      </c>
      <c r="B8836" s="450"/>
      <c r="C8836" s="450" t="s">
        <v>14643</v>
      </c>
      <c r="D8836" s="450"/>
      <c r="E8836" s="450"/>
      <c r="F8836" s="450"/>
      <c r="G8836" s="450" t="s">
        <v>22877</v>
      </c>
      <c r="H8836" s="450" t="s">
        <v>22878</v>
      </c>
      <c r="I8836" s="450" t="s">
        <v>27926</v>
      </c>
      <c r="J8836" s="450" t="s">
        <v>22943</v>
      </c>
      <c r="K8836" s="450"/>
    </row>
    <row r="8837" spans="1:11">
      <c r="A8837" s="451" t="s">
        <v>14644</v>
      </c>
      <c r="B8837" s="451" t="s">
        <v>14645</v>
      </c>
      <c r="C8837" s="451" t="s">
        <v>14646</v>
      </c>
      <c r="D8837" s="451"/>
      <c r="E8837" s="451"/>
      <c r="F8837" s="451"/>
      <c r="G8837" s="451"/>
      <c r="H8837" s="451"/>
      <c r="I8837" s="451"/>
      <c r="J8837" s="451"/>
      <c r="K8837" s="451"/>
    </row>
    <row r="8838" spans="1:11">
      <c r="A8838" s="450" t="s">
        <v>27927</v>
      </c>
      <c r="B8838" s="450" t="s">
        <v>27928</v>
      </c>
      <c r="C8838" s="450" t="s">
        <v>14646</v>
      </c>
      <c r="D8838" s="450"/>
      <c r="E8838" s="450"/>
      <c r="F8838" s="450"/>
      <c r="G8838" s="450" t="s">
        <v>22877</v>
      </c>
      <c r="H8838" s="450" t="s">
        <v>22878</v>
      </c>
      <c r="I8838" s="450" t="s">
        <v>27929</v>
      </c>
      <c r="J8838" s="450" t="s">
        <v>27930</v>
      </c>
      <c r="K8838" s="450"/>
    </row>
    <row r="8839" spans="1:11">
      <c r="A8839" s="451" t="s">
        <v>21871</v>
      </c>
      <c r="B8839" s="451" t="s">
        <v>14647</v>
      </c>
      <c r="C8839" s="451" t="s">
        <v>14648</v>
      </c>
      <c r="D8839" s="451" t="s">
        <v>14649</v>
      </c>
      <c r="E8839" s="451"/>
      <c r="F8839" s="451"/>
      <c r="G8839" s="451" t="s">
        <v>22877</v>
      </c>
      <c r="H8839" s="451" t="s">
        <v>22878</v>
      </c>
      <c r="I8839" s="451" t="s">
        <v>37522</v>
      </c>
      <c r="J8839" s="451" t="s">
        <v>37523</v>
      </c>
      <c r="K8839" s="451"/>
    </row>
    <row r="8840" spans="1:11">
      <c r="A8840" s="450" t="s">
        <v>21871</v>
      </c>
      <c r="B8840" s="450" t="s">
        <v>14647</v>
      </c>
      <c r="C8840" s="450" t="s">
        <v>14648</v>
      </c>
      <c r="D8840" s="450" t="s">
        <v>14649</v>
      </c>
      <c r="E8840" s="450" t="s">
        <v>14650</v>
      </c>
      <c r="F8840" s="450"/>
      <c r="G8840" s="450"/>
      <c r="H8840" s="450"/>
      <c r="I8840" s="450"/>
      <c r="J8840" s="450"/>
      <c r="K8840" s="450"/>
    </row>
    <row r="8841" spans="1:11">
      <c r="A8841" s="451" t="s">
        <v>14651</v>
      </c>
      <c r="B8841" s="451"/>
      <c r="C8841" s="451" t="s">
        <v>14652</v>
      </c>
      <c r="D8841" s="451"/>
      <c r="E8841" s="451"/>
      <c r="F8841" s="451"/>
      <c r="G8841" s="451" t="s">
        <v>22877</v>
      </c>
      <c r="H8841" s="451" t="s">
        <v>22878</v>
      </c>
      <c r="I8841" s="451" t="s">
        <v>37524</v>
      </c>
      <c r="J8841" s="451" t="s">
        <v>22943</v>
      </c>
      <c r="K8841" s="451"/>
    </row>
    <row r="8842" spans="1:11">
      <c r="A8842" s="450" t="s">
        <v>37525</v>
      </c>
      <c r="B8842" s="450"/>
      <c r="C8842" s="450" t="s">
        <v>14654</v>
      </c>
      <c r="D8842" s="450"/>
      <c r="E8842" s="450"/>
      <c r="F8842" s="450"/>
      <c r="G8842" s="450" t="s">
        <v>22877</v>
      </c>
      <c r="H8842" s="450" t="s">
        <v>22878</v>
      </c>
      <c r="I8842" s="450" t="s">
        <v>37526</v>
      </c>
      <c r="J8842" s="450" t="s">
        <v>23370</v>
      </c>
      <c r="K8842" s="450"/>
    </row>
    <row r="8843" spans="1:11">
      <c r="A8843" s="451" t="s">
        <v>14653</v>
      </c>
      <c r="B8843" s="451"/>
      <c r="C8843" s="451" t="s">
        <v>14654</v>
      </c>
      <c r="D8843" s="451"/>
      <c r="E8843" s="451"/>
      <c r="F8843" s="451"/>
      <c r="G8843" s="451"/>
      <c r="H8843" s="451"/>
      <c r="I8843" s="451"/>
      <c r="J8843" s="451"/>
      <c r="K8843" s="451"/>
    </row>
    <row r="8844" spans="1:11">
      <c r="A8844" s="450" t="s">
        <v>14655</v>
      </c>
      <c r="B8844" s="450"/>
      <c r="C8844" s="450" t="s">
        <v>14656</v>
      </c>
      <c r="D8844" s="450"/>
      <c r="E8844" s="450"/>
      <c r="F8844" s="450"/>
      <c r="G8844" s="450" t="s">
        <v>22882</v>
      </c>
      <c r="H8844" s="450" t="s">
        <v>22883</v>
      </c>
      <c r="I8844" s="450"/>
      <c r="J8844" s="450" t="s">
        <v>23121</v>
      </c>
      <c r="K8844" s="450"/>
    </row>
    <row r="8845" spans="1:11">
      <c r="A8845" s="451" t="s">
        <v>37527</v>
      </c>
      <c r="B8845" s="451"/>
      <c r="C8845" s="451" t="s">
        <v>14658</v>
      </c>
      <c r="D8845" s="451"/>
      <c r="E8845" s="451"/>
      <c r="F8845" s="451"/>
      <c r="G8845" s="451" t="s">
        <v>22877</v>
      </c>
      <c r="H8845" s="451" t="s">
        <v>22878</v>
      </c>
      <c r="I8845" s="451" t="s">
        <v>37528</v>
      </c>
      <c r="J8845" s="451" t="s">
        <v>22943</v>
      </c>
      <c r="K8845" s="451"/>
    </row>
    <row r="8846" spans="1:11">
      <c r="A8846" s="450" t="s">
        <v>14657</v>
      </c>
      <c r="B8846" s="450"/>
      <c r="C8846" s="450" t="s">
        <v>14658</v>
      </c>
      <c r="D8846" s="450"/>
      <c r="E8846" s="450"/>
      <c r="F8846" s="450"/>
      <c r="G8846" s="450"/>
      <c r="H8846" s="450"/>
      <c r="I8846" s="450"/>
      <c r="J8846" s="450"/>
      <c r="K8846" s="450"/>
    </row>
    <row r="8847" spans="1:11">
      <c r="A8847" s="451" t="s">
        <v>37529</v>
      </c>
      <c r="B8847" s="451"/>
      <c r="C8847" s="451" t="s">
        <v>14660</v>
      </c>
      <c r="D8847" s="451"/>
      <c r="E8847" s="451"/>
      <c r="F8847" s="451"/>
      <c r="G8847" s="451" t="s">
        <v>22877</v>
      </c>
      <c r="H8847" s="451" t="s">
        <v>22878</v>
      </c>
      <c r="I8847" s="451" t="s">
        <v>37530</v>
      </c>
      <c r="J8847" s="451" t="s">
        <v>23121</v>
      </c>
      <c r="K8847" s="451"/>
    </row>
    <row r="8848" spans="1:11">
      <c r="A8848" s="450" t="s">
        <v>37531</v>
      </c>
      <c r="B8848" s="450"/>
      <c r="C8848" s="450" t="s">
        <v>14662</v>
      </c>
      <c r="D8848" s="450"/>
      <c r="E8848" s="450"/>
      <c r="F8848" s="450"/>
      <c r="G8848" s="450" t="s">
        <v>22877</v>
      </c>
      <c r="H8848" s="450" t="s">
        <v>22878</v>
      </c>
      <c r="I8848" s="450" t="s">
        <v>37532</v>
      </c>
      <c r="J8848" s="450" t="s">
        <v>22943</v>
      </c>
      <c r="K8848" s="450"/>
    </row>
    <row r="8849" spans="1:11">
      <c r="A8849" s="451" t="s">
        <v>14659</v>
      </c>
      <c r="B8849" s="451"/>
      <c r="C8849" s="451" t="s">
        <v>14660</v>
      </c>
      <c r="D8849" s="451"/>
      <c r="E8849" s="451"/>
      <c r="F8849" s="451"/>
      <c r="G8849" s="451"/>
      <c r="H8849" s="451"/>
      <c r="I8849" s="451"/>
      <c r="J8849" s="451"/>
      <c r="K8849" s="451"/>
    </row>
    <row r="8850" spans="1:11">
      <c r="A8850" s="450" t="s">
        <v>14661</v>
      </c>
      <c r="B8850" s="450"/>
      <c r="C8850" s="450" t="s">
        <v>14662</v>
      </c>
      <c r="D8850" s="450"/>
      <c r="E8850" s="450"/>
      <c r="F8850" s="450"/>
      <c r="G8850" s="450"/>
      <c r="H8850" s="450"/>
      <c r="I8850" s="450"/>
      <c r="J8850" s="450"/>
      <c r="K8850" s="450"/>
    </row>
    <row r="8851" spans="1:11">
      <c r="A8851" s="451" t="s">
        <v>14663</v>
      </c>
      <c r="B8851" s="451"/>
      <c r="C8851" s="451" t="s">
        <v>14664</v>
      </c>
      <c r="D8851" s="451"/>
      <c r="E8851" s="451"/>
      <c r="F8851" s="451"/>
      <c r="G8851" s="451"/>
      <c r="H8851" s="451"/>
      <c r="I8851" s="451"/>
      <c r="J8851" s="451"/>
      <c r="K8851" s="451"/>
    </row>
    <row r="8852" spans="1:11">
      <c r="A8852" s="450" t="s">
        <v>37533</v>
      </c>
      <c r="B8852" s="450"/>
      <c r="C8852" s="450" t="s">
        <v>14664</v>
      </c>
      <c r="D8852" s="450"/>
      <c r="E8852" s="450"/>
      <c r="F8852" s="450"/>
      <c r="G8852" s="450" t="s">
        <v>22877</v>
      </c>
      <c r="H8852" s="450" t="s">
        <v>22878</v>
      </c>
      <c r="I8852" s="450" t="s">
        <v>37534</v>
      </c>
      <c r="J8852" s="450" t="s">
        <v>22943</v>
      </c>
      <c r="K8852" s="450"/>
    </row>
    <row r="8853" spans="1:11">
      <c r="A8853" s="451" t="s">
        <v>14665</v>
      </c>
      <c r="B8853" s="451"/>
      <c r="C8853" s="451" t="s">
        <v>14666</v>
      </c>
      <c r="D8853" s="451"/>
      <c r="E8853" s="451"/>
      <c r="F8853" s="451"/>
      <c r="G8853" s="451"/>
      <c r="H8853" s="451"/>
      <c r="I8853" s="451"/>
      <c r="J8853" s="451"/>
      <c r="K8853" s="451"/>
    </row>
    <row r="8854" spans="1:11">
      <c r="A8854" s="450" t="s">
        <v>37535</v>
      </c>
      <c r="B8854" s="450"/>
      <c r="C8854" s="450" t="s">
        <v>14666</v>
      </c>
      <c r="D8854" s="450"/>
      <c r="E8854" s="450"/>
      <c r="F8854" s="450"/>
      <c r="G8854" s="450" t="s">
        <v>22882</v>
      </c>
      <c r="H8854" s="450" t="s">
        <v>22883</v>
      </c>
      <c r="I8854" s="450" t="s">
        <v>37536</v>
      </c>
      <c r="J8854" s="450" t="s">
        <v>22939</v>
      </c>
      <c r="K8854" s="450"/>
    </row>
    <row r="8855" spans="1:11">
      <c r="A8855" s="451" t="s">
        <v>14667</v>
      </c>
      <c r="B8855" s="451"/>
      <c r="C8855" s="451" t="s">
        <v>3336</v>
      </c>
      <c r="D8855" s="451"/>
      <c r="E8855" s="451"/>
      <c r="F8855" s="451"/>
      <c r="G8855" s="451"/>
      <c r="H8855" s="451"/>
      <c r="I8855" s="451"/>
      <c r="J8855" s="451"/>
      <c r="K8855" s="451"/>
    </row>
    <row r="8856" spans="1:11">
      <c r="A8856" s="450" t="s">
        <v>37537</v>
      </c>
      <c r="B8856" s="450"/>
      <c r="C8856" s="450" t="s">
        <v>3336</v>
      </c>
      <c r="D8856" s="450"/>
      <c r="E8856" s="450"/>
      <c r="F8856" s="450"/>
      <c r="G8856" s="450" t="s">
        <v>22877</v>
      </c>
      <c r="H8856" s="450" t="s">
        <v>22878</v>
      </c>
      <c r="I8856" s="450" t="s">
        <v>37538</v>
      </c>
      <c r="J8856" s="450" t="s">
        <v>22948</v>
      </c>
      <c r="K8856" s="450"/>
    </row>
    <row r="8857" spans="1:11">
      <c r="A8857" s="451" t="s">
        <v>37539</v>
      </c>
      <c r="B8857" s="451"/>
      <c r="C8857" s="451" t="s">
        <v>2650</v>
      </c>
      <c r="D8857" s="451"/>
      <c r="E8857" s="451"/>
      <c r="F8857" s="451"/>
      <c r="G8857" s="451" t="s">
        <v>22877</v>
      </c>
      <c r="H8857" s="451" t="s">
        <v>22878</v>
      </c>
      <c r="I8857" s="451" t="s">
        <v>37540</v>
      </c>
      <c r="J8857" s="451" t="s">
        <v>22943</v>
      </c>
      <c r="K8857" s="451"/>
    </row>
    <row r="8858" spans="1:11">
      <c r="A8858" s="450" t="s">
        <v>14668</v>
      </c>
      <c r="B8858" s="450"/>
      <c r="C8858" s="450" t="s">
        <v>2650</v>
      </c>
      <c r="D8858" s="450"/>
      <c r="E8858" s="450"/>
      <c r="F8858" s="450"/>
      <c r="G8858" s="450"/>
      <c r="H8858" s="450"/>
      <c r="I8858" s="450"/>
      <c r="J8858" s="450"/>
      <c r="K8858" s="450"/>
    </row>
    <row r="8859" spans="1:11">
      <c r="A8859" s="451" t="s">
        <v>21872</v>
      </c>
      <c r="B8859" s="451" t="s">
        <v>14669</v>
      </c>
      <c r="C8859" s="451" t="s">
        <v>14670</v>
      </c>
      <c r="D8859" s="451" t="s">
        <v>14671</v>
      </c>
      <c r="E8859" s="451"/>
      <c r="F8859" s="451"/>
      <c r="G8859" s="451" t="s">
        <v>22877</v>
      </c>
      <c r="H8859" s="451" t="s">
        <v>22878</v>
      </c>
      <c r="I8859" s="451" t="s">
        <v>14671</v>
      </c>
      <c r="J8859" s="451" t="s">
        <v>27931</v>
      </c>
      <c r="K8859" s="451"/>
    </row>
    <row r="8860" spans="1:11">
      <c r="A8860" s="450" t="s">
        <v>21872</v>
      </c>
      <c r="B8860" s="450" t="s">
        <v>14669</v>
      </c>
      <c r="C8860" s="450" t="s">
        <v>14670</v>
      </c>
      <c r="D8860" s="450" t="s">
        <v>14671</v>
      </c>
      <c r="E8860" s="450" t="s">
        <v>14672</v>
      </c>
      <c r="F8860" s="450"/>
      <c r="G8860" s="450"/>
      <c r="H8860" s="450"/>
      <c r="I8860" s="450"/>
      <c r="J8860" s="450"/>
      <c r="K8860" s="450"/>
    </row>
    <row r="8861" spans="1:11">
      <c r="A8861" s="451" t="s">
        <v>14673</v>
      </c>
      <c r="B8861" s="451"/>
      <c r="C8861" s="451" t="s">
        <v>14674</v>
      </c>
      <c r="D8861" s="451"/>
      <c r="E8861" s="451"/>
      <c r="F8861" s="451"/>
      <c r="G8861" s="451" t="s">
        <v>22882</v>
      </c>
      <c r="H8861" s="451" t="s">
        <v>22883</v>
      </c>
      <c r="I8861" s="451"/>
      <c r="J8861" s="451" t="s">
        <v>22939</v>
      </c>
      <c r="K8861" s="451"/>
    </row>
    <row r="8862" spans="1:11">
      <c r="A8862" s="450" t="s">
        <v>14675</v>
      </c>
      <c r="B8862" s="450"/>
      <c r="C8862" s="450" t="s">
        <v>7185</v>
      </c>
      <c r="D8862" s="450"/>
      <c r="E8862" s="450"/>
      <c r="F8862" s="450"/>
      <c r="G8862" s="450" t="s">
        <v>22877</v>
      </c>
      <c r="H8862" s="450" t="s">
        <v>22878</v>
      </c>
      <c r="I8862" s="450" t="s">
        <v>27932</v>
      </c>
      <c r="J8862" s="450" t="s">
        <v>22939</v>
      </c>
      <c r="K8862" s="450"/>
    </row>
    <row r="8863" spans="1:11">
      <c r="A8863" s="451" t="s">
        <v>14676</v>
      </c>
      <c r="B8863" s="451"/>
      <c r="C8863" s="451" t="s">
        <v>14677</v>
      </c>
      <c r="D8863" s="451"/>
      <c r="E8863" s="451"/>
      <c r="F8863" s="451"/>
      <c r="G8863" s="451" t="s">
        <v>37541</v>
      </c>
      <c r="H8863" s="451" t="s">
        <v>22883</v>
      </c>
      <c r="I8863" s="451"/>
      <c r="J8863" s="451"/>
      <c r="K8863" s="451" t="s">
        <v>37542</v>
      </c>
    </row>
    <row r="8864" spans="1:11">
      <c r="A8864" s="450" t="s">
        <v>14678</v>
      </c>
      <c r="B8864" s="450"/>
      <c r="C8864" s="450" t="s">
        <v>14679</v>
      </c>
      <c r="D8864" s="450"/>
      <c r="E8864" s="450"/>
      <c r="F8864" s="450"/>
      <c r="G8864" s="450" t="s">
        <v>23073</v>
      </c>
      <c r="H8864" s="450" t="s">
        <v>22878</v>
      </c>
      <c r="I8864" s="450"/>
      <c r="J8864" s="450"/>
      <c r="K8864" s="450"/>
    </row>
    <row r="8865" spans="1:11">
      <c r="A8865" s="451" t="s">
        <v>27933</v>
      </c>
      <c r="B8865" s="451" t="s">
        <v>27934</v>
      </c>
      <c r="C8865" s="451" t="s">
        <v>27935</v>
      </c>
      <c r="D8865" s="451"/>
      <c r="E8865" s="451"/>
      <c r="F8865" s="451"/>
      <c r="G8865" s="451" t="s">
        <v>23102</v>
      </c>
      <c r="H8865" s="451" t="s">
        <v>22878</v>
      </c>
      <c r="I8865" s="451"/>
      <c r="J8865" s="451" t="s">
        <v>27934</v>
      </c>
      <c r="K8865" s="451"/>
    </row>
    <row r="8866" spans="1:11">
      <c r="A8866" s="450" t="s">
        <v>14680</v>
      </c>
      <c r="B8866" s="450"/>
      <c r="C8866" s="450" t="s">
        <v>14681</v>
      </c>
      <c r="D8866" s="450"/>
      <c r="E8866" s="450"/>
      <c r="F8866" s="450"/>
      <c r="G8866" s="450" t="s">
        <v>22882</v>
      </c>
      <c r="H8866" s="450" t="s">
        <v>22883</v>
      </c>
      <c r="I8866" s="450" t="s">
        <v>37543</v>
      </c>
      <c r="J8866" s="450" t="s">
        <v>37544</v>
      </c>
      <c r="K8866" s="450" t="s">
        <v>23726</v>
      </c>
    </row>
    <row r="8867" spans="1:11">
      <c r="A8867" s="451" t="s">
        <v>14682</v>
      </c>
      <c r="B8867" s="451"/>
      <c r="C8867" s="451" t="s">
        <v>3064</v>
      </c>
      <c r="D8867" s="451"/>
      <c r="E8867" s="451"/>
      <c r="F8867" s="451"/>
      <c r="G8867" s="451" t="s">
        <v>22877</v>
      </c>
      <c r="H8867" s="451" t="s">
        <v>22878</v>
      </c>
      <c r="I8867" s="451" t="s">
        <v>27936</v>
      </c>
      <c r="J8867" s="451" t="s">
        <v>23185</v>
      </c>
      <c r="K8867" s="451"/>
    </row>
    <row r="8868" spans="1:11">
      <c r="A8868" s="450" t="s">
        <v>14683</v>
      </c>
      <c r="B8868" s="450" t="s">
        <v>27937</v>
      </c>
      <c r="C8868" s="450" t="s">
        <v>14685</v>
      </c>
      <c r="D8868" s="450" t="s">
        <v>14686</v>
      </c>
      <c r="E8868" s="450"/>
      <c r="F8868" s="450"/>
      <c r="G8868" s="450" t="s">
        <v>22877</v>
      </c>
      <c r="H8868" s="450" t="s">
        <v>22878</v>
      </c>
      <c r="I8868" s="450" t="s">
        <v>27938</v>
      </c>
      <c r="J8868" s="450" t="s">
        <v>27939</v>
      </c>
      <c r="K8868" s="450"/>
    </row>
    <row r="8869" spans="1:11">
      <c r="A8869" s="451" t="s">
        <v>14683</v>
      </c>
      <c r="B8869" s="451" t="s">
        <v>14684</v>
      </c>
      <c r="C8869" s="451" t="s">
        <v>14685</v>
      </c>
      <c r="D8869" s="451" t="s">
        <v>14686</v>
      </c>
      <c r="E8869" s="451"/>
      <c r="F8869" s="451"/>
      <c r="G8869" s="451"/>
      <c r="H8869" s="451"/>
      <c r="I8869" s="451"/>
      <c r="J8869" s="451"/>
      <c r="K8869" s="451"/>
    </row>
    <row r="8870" spans="1:11">
      <c r="A8870" s="450" t="s">
        <v>14687</v>
      </c>
      <c r="B8870" s="450"/>
      <c r="C8870" s="450" t="s">
        <v>9384</v>
      </c>
      <c r="D8870" s="450"/>
      <c r="E8870" s="450"/>
      <c r="F8870" s="450"/>
      <c r="G8870" s="450" t="s">
        <v>22877</v>
      </c>
      <c r="H8870" s="450" t="s">
        <v>22878</v>
      </c>
      <c r="I8870" s="450" t="s">
        <v>27940</v>
      </c>
      <c r="J8870" s="450" t="s">
        <v>23185</v>
      </c>
      <c r="K8870" s="450"/>
    </row>
    <row r="8871" spans="1:11">
      <c r="A8871" s="451" t="s">
        <v>14688</v>
      </c>
      <c r="B8871" s="451" t="s">
        <v>14689</v>
      </c>
      <c r="C8871" s="451" t="s">
        <v>14690</v>
      </c>
      <c r="D8871" s="451"/>
      <c r="E8871" s="451"/>
      <c r="F8871" s="451" t="s">
        <v>14691</v>
      </c>
      <c r="G8871" s="451" t="s">
        <v>22877</v>
      </c>
      <c r="H8871" s="451" t="s">
        <v>22878</v>
      </c>
      <c r="I8871" s="451" t="s">
        <v>27941</v>
      </c>
      <c r="J8871" s="451" t="s">
        <v>27942</v>
      </c>
      <c r="K8871" s="451"/>
    </row>
    <row r="8872" spans="1:11">
      <c r="A8872" s="450" t="s">
        <v>37545</v>
      </c>
      <c r="B8872" s="450"/>
      <c r="C8872" s="450" t="s">
        <v>5685</v>
      </c>
      <c r="D8872" s="450"/>
      <c r="E8872" s="450"/>
      <c r="F8872" s="450"/>
      <c r="G8872" s="450" t="s">
        <v>22882</v>
      </c>
      <c r="H8872" s="450" t="s">
        <v>22883</v>
      </c>
      <c r="I8872" s="450"/>
      <c r="J8872" s="450" t="s">
        <v>27943</v>
      </c>
      <c r="K8872" s="450"/>
    </row>
    <row r="8873" spans="1:11">
      <c r="A8873" s="451" t="s">
        <v>14692</v>
      </c>
      <c r="B8873" s="451"/>
      <c r="C8873" s="451" t="s">
        <v>5685</v>
      </c>
      <c r="D8873" s="451"/>
      <c r="E8873" s="451"/>
      <c r="F8873" s="451"/>
      <c r="G8873" s="451"/>
      <c r="H8873" s="451"/>
      <c r="I8873" s="451"/>
      <c r="J8873" s="451"/>
      <c r="K8873" s="451"/>
    </row>
    <row r="8874" spans="1:11">
      <c r="A8874" s="450" t="s">
        <v>14693</v>
      </c>
      <c r="B8874" s="450" t="s">
        <v>27944</v>
      </c>
      <c r="C8874" s="450" t="s">
        <v>3271</v>
      </c>
      <c r="D8874" s="450" t="s">
        <v>14695</v>
      </c>
      <c r="E8874" s="450"/>
      <c r="F8874" s="450"/>
      <c r="G8874" s="450" t="s">
        <v>22877</v>
      </c>
      <c r="H8874" s="450" t="s">
        <v>22878</v>
      </c>
      <c r="I8874" s="450" t="s">
        <v>24393</v>
      </c>
      <c r="J8874" s="450" t="s">
        <v>27945</v>
      </c>
      <c r="K8874" s="450"/>
    </row>
    <row r="8875" spans="1:11">
      <c r="A8875" s="451" t="s">
        <v>14693</v>
      </c>
      <c r="B8875" s="451" t="s">
        <v>14694</v>
      </c>
      <c r="C8875" s="451" t="s">
        <v>3271</v>
      </c>
      <c r="D8875" s="451" t="s">
        <v>14695</v>
      </c>
      <c r="E8875" s="451" t="s">
        <v>14696</v>
      </c>
      <c r="F8875" s="451"/>
      <c r="G8875" s="451"/>
      <c r="H8875" s="451"/>
      <c r="I8875" s="451"/>
      <c r="J8875" s="451"/>
      <c r="K8875" s="451"/>
    </row>
    <row r="8876" spans="1:11">
      <c r="A8876" s="450" t="s">
        <v>27946</v>
      </c>
      <c r="B8876" s="450" t="s">
        <v>27947</v>
      </c>
      <c r="C8876" s="450" t="s">
        <v>13779</v>
      </c>
      <c r="D8876" s="450">
        <v>5095472494</v>
      </c>
      <c r="E8876" s="450"/>
      <c r="F8876" s="450"/>
      <c r="G8876" s="450" t="s">
        <v>22877</v>
      </c>
      <c r="H8876" s="450" t="s">
        <v>22878</v>
      </c>
      <c r="I8876" s="450" t="s">
        <v>27948</v>
      </c>
      <c r="J8876" s="450" t="s">
        <v>27949</v>
      </c>
      <c r="K8876" s="450"/>
    </row>
    <row r="8877" spans="1:11">
      <c r="A8877" s="451" t="s">
        <v>27950</v>
      </c>
      <c r="B8877" s="451" t="s">
        <v>27951</v>
      </c>
      <c r="C8877" s="451" t="s">
        <v>27952</v>
      </c>
      <c r="D8877" s="451"/>
      <c r="E8877" s="451"/>
      <c r="F8877" s="451"/>
      <c r="G8877" s="451" t="s">
        <v>22877</v>
      </c>
      <c r="H8877" s="451" t="s">
        <v>22878</v>
      </c>
      <c r="I8877" s="451" t="s">
        <v>27953</v>
      </c>
      <c r="J8877" s="451" t="s">
        <v>27954</v>
      </c>
      <c r="K8877" s="451"/>
    </row>
    <row r="8878" spans="1:11">
      <c r="A8878" s="450" t="s">
        <v>14697</v>
      </c>
      <c r="B8878" s="450"/>
      <c r="C8878" s="450" t="s">
        <v>14698</v>
      </c>
      <c r="D8878" s="450"/>
      <c r="E8878" s="450"/>
      <c r="F8878" s="450"/>
      <c r="G8878" s="450" t="s">
        <v>22882</v>
      </c>
      <c r="H8878" s="450" t="s">
        <v>22883</v>
      </c>
      <c r="I8878" s="450"/>
      <c r="J8878" s="450" t="s">
        <v>27943</v>
      </c>
      <c r="K8878" s="450"/>
    </row>
    <row r="8879" spans="1:11">
      <c r="A8879" s="451" t="s">
        <v>14699</v>
      </c>
      <c r="B8879" s="451"/>
      <c r="C8879" s="451" t="s">
        <v>14700</v>
      </c>
      <c r="D8879" s="451"/>
      <c r="E8879" s="451"/>
      <c r="F8879" s="451"/>
      <c r="G8879" s="451" t="s">
        <v>22877</v>
      </c>
      <c r="H8879" s="451" t="s">
        <v>22878</v>
      </c>
      <c r="I8879" s="451" t="s">
        <v>37546</v>
      </c>
      <c r="J8879" s="451" t="s">
        <v>23370</v>
      </c>
      <c r="K8879" s="451"/>
    </row>
    <row r="8880" spans="1:11">
      <c r="A8880" s="450" t="s">
        <v>14701</v>
      </c>
      <c r="B8880" s="450"/>
      <c r="C8880" s="450" t="s">
        <v>14702</v>
      </c>
      <c r="D8880" s="450"/>
      <c r="E8880" s="450"/>
      <c r="F8880" s="450"/>
      <c r="G8880" s="450" t="s">
        <v>22877</v>
      </c>
      <c r="H8880" s="450" t="s">
        <v>22878</v>
      </c>
      <c r="I8880" s="450" t="s">
        <v>37547</v>
      </c>
      <c r="J8880" s="450" t="s">
        <v>23185</v>
      </c>
      <c r="K8880" s="450"/>
    </row>
    <row r="8881" spans="1:11">
      <c r="A8881" s="451" t="s">
        <v>14703</v>
      </c>
      <c r="B8881" s="451" t="s">
        <v>14704</v>
      </c>
      <c r="C8881" s="451" t="s">
        <v>14705</v>
      </c>
      <c r="D8881" s="451"/>
      <c r="E8881" s="451"/>
      <c r="F8881" s="451"/>
      <c r="G8881" s="451"/>
      <c r="H8881" s="451"/>
      <c r="I8881" s="451"/>
      <c r="J8881" s="451"/>
      <c r="K8881" s="451"/>
    </row>
    <row r="8882" spans="1:11">
      <c r="A8882" s="450" t="s">
        <v>14706</v>
      </c>
      <c r="B8882" s="450"/>
      <c r="C8882" s="450" t="s">
        <v>14707</v>
      </c>
      <c r="D8882" s="450"/>
      <c r="E8882" s="450"/>
      <c r="F8882" s="450"/>
      <c r="G8882" s="450"/>
      <c r="H8882" s="450"/>
      <c r="I8882" s="450"/>
      <c r="J8882" s="450"/>
      <c r="K8882" s="450"/>
    </row>
    <row r="8883" spans="1:11">
      <c r="A8883" s="451" t="s">
        <v>14708</v>
      </c>
      <c r="B8883" s="451"/>
      <c r="C8883" s="451" t="s">
        <v>14709</v>
      </c>
      <c r="D8883" s="451"/>
      <c r="E8883" s="451"/>
      <c r="F8883" s="451"/>
      <c r="G8883" s="451"/>
      <c r="H8883" s="451"/>
      <c r="I8883" s="451"/>
      <c r="J8883" s="451"/>
      <c r="K8883" s="451"/>
    </row>
    <row r="8884" spans="1:11">
      <c r="A8884" s="450" t="s">
        <v>14710</v>
      </c>
      <c r="B8884" s="450"/>
      <c r="C8884" s="450" t="s">
        <v>6536</v>
      </c>
      <c r="D8884" s="450"/>
      <c r="E8884" s="450"/>
      <c r="F8884" s="450"/>
      <c r="G8884" s="450"/>
      <c r="H8884" s="450"/>
      <c r="I8884" s="450"/>
      <c r="J8884" s="450"/>
      <c r="K8884" s="450"/>
    </row>
    <row r="8885" spans="1:11">
      <c r="A8885" s="451" t="s">
        <v>14711</v>
      </c>
      <c r="B8885" s="451"/>
      <c r="C8885" s="451" t="s">
        <v>5718</v>
      </c>
      <c r="D8885" s="451"/>
      <c r="E8885" s="451"/>
      <c r="F8885" s="451"/>
      <c r="G8885" s="451"/>
      <c r="H8885" s="451"/>
      <c r="I8885" s="451"/>
      <c r="J8885" s="451"/>
      <c r="K8885" s="451"/>
    </row>
    <row r="8886" spans="1:11">
      <c r="A8886" s="450" t="s">
        <v>14712</v>
      </c>
      <c r="B8886" s="450"/>
      <c r="C8886" s="450" t="s">
        <v>14713</v>
      </c>
      <c r="D8886" s="450"/>
      <c r="E8886" s="450"/>
      <c r="F8886" s="450"/>
      <c r="G8886" s="450" t="s">
        <v>22882</v>
      </c>
      <c r="H8886" s="450" t="s">
        <v>22883</v>
      </c>
      <c r="I8886" s="450" t="s">
        <v>27955</v>
      </c>
      <c r="J8886" s="450" t="s">
        <v>22997</v>
      </c>
      <c r="K8886" s="450"/>
    </row>
    <row r="8887" spans="1:11">
      <c r="A8887" s="451" t="s">
        <v>14714</v>
      </c>
      <c r="B8887" s="451" t="s">
        <v>27956</v>
      </c>
      <c r="C8887" s="451" t="s">
        <v>14716</v>
      </c>
      <c r="D8887" s="451" t="s">
        <v>14717</v>
      </c>
      <c r="E8887" s="451"/>
      <c r="F8887" s="451"/>
      <c r="G8887" s="451" t="s">
        <v>22877</v>
      </c>
      <c r="H8887" s="451" t="s">
        <v>22878</v>
      </c>
      <c r="I8887" s="451" t="s">
        <v>27957</v>
      </c>
      <c r="J8887" s="451" t="s">
        <v>27958</v>
      </c>
      <c r="K8887" s="451"/>
    </row>
    <row r="8888" spans="1:11">
      <c r="A8888" s="450" t="s">
        <v>14714</v>
      </c>
      <c r="B8888" s="450" t="s">
        <v>14715</v>
      </c>
      <c r="C8888" s="450" t="s">
        <v>14716</v>
      </c>
      <c r="D8888" s="450" t="s">
        <v>14717</v>
      </c>
      <c r="E8888" s="450"/>
      <c r="F8888" s="450"/>
      <c r="G8888" s="450"/>
      <c r="H8888" s="450"/>
      <c r="I8888" s="450"/>
      <c r="J8888" s="450"/>
      <c r="K8888" s="450"/>
    </row>
    <row r="8889" spans="1:11">
      <c r="A8889" s="451" t="s">
        <v>14718</v>
      </c>
      <c r="B8889" s="451" t="s">
        <v>37548</v>
      </c>
      <c r="C8889" s="451" t="s">
        <v>14071</v>
      </c>
      <c r="D8889" s="451" t="s">
        <v>14720</v>
      </c>
      <c r="E8889" s="451"/>
      <c r="F8889" s="451"/>
      <c r="G8889" s="451" t="s">
        <v>22882</v>
      </c>
      <c r="H8889" s="451" t="s">
        <v>22883</v>
      </c>
      <c r="I8889" s="451"/>
      <c r="J8889" s="451" t="s">
        <v>37549</v>
      </c>
      <c r="K8889" s="451"/>
    </row>
    <row r="8890" spans="1:11">
      <c r="A8890" s="450" t="s">
        <v>14718</v>
      </c>
      <c r="B8890" s="450" t="s">
        <v>14719</v>
      </c>
      <c r="C8890" s="450" t="s">
        <v>14071</v>
      </c>
      <c r="D8890" s="450" t="s">
        <v>14720</v>
      </c>
      <c r="E8890" s="450"/>
      <c r="F8890" s="450"/>
      <c r="G8890" s="450"/>
      <c r="H8890" s="450"/>
      <c r="I8890" s="450"/>
      <c r="J8890" s="450"/>
      <c r="K8890" s="450"/>
    </row>
    <row r="8891" spans="1:11">
      <c r="A8891" s="451" t="s">
        <v>37550</v>
      </c>
      <c r="B8891" s="451" t="s">
        <v>37551</v>
      </c>
      <c r="C8891" s="451" t="s">
        <v>37552</v>
      </c>
      <c r="D8891" s="451" t="s">
        <v>14724</v>
      </c>
      <c r="E8891" s="451"/>
      <c r="F8891" s="451"/>
      <c r="G8891" s="451" t="s">
        <v>22882</v>
      </c>
      <c r="H8891" s="451" t="s">
        <v>22883</v>
      </c>
      <c r="I8891" s="451"/>
      <c r="J8891" s="451" t="s">
        <v>37553</v>
      </c>
      <c r="K8891" s="451"/>
    </row>
    <row r="8892" spans="1:11">
      <c r="A8892" s="450" t="s">
        <v>14721</v>
      </c>
      <c r="B8892" s="450" t="s">
        <v>14722</v>
      </c>
      <c r="C8892" s="450" t="s">
        <v>14723</v>
      </c>
      <c r="D8892" s="450" t="s">
        <v>14724</v>
      </c>
      <c r="E8892" s="450"/>
      <c r="F8892" s="450"/>
      <c r="G8892" s="450"/>
      <c r="H8892" s="450"/>
      <c r="I8892" s="450"/>
      <c r="J8892" s="450"/>
      <c r="K8892" s="450"/>
    </row>
    <row r="8893" spans="1:11">
      <c r="A8893" s="451" t="s">
        <v>14725</v>
      </c>
      <c r="B8893" s="451" t="s">
        <v>27959</v>
      </c>
      <c r="C8893" s="451" t="s">
        <v>9824</v>
      </c>
      <c r="D8893" s="451" t="s">
        <v>14727</v>
      </c>
      <c r="E8893" s="451"/>
      <c r="F8893" s="451"/>
      <c r="G8893" s="451" t="s">
        <v>22877</v>
      </c>
      <c r="H8893" s="451" t="s">
        <v>22878</v>
      </c>
      <c r="I8893" s="451" t="s">
        <v>27960</v>
      </c>
      <c r="J8893" s="451" t="s">
        <v>27961</v>
      </c>
      <c r="K8893" s="451"/>
    </row>
    <row r="8894" spans="1:11">
      <c r="A8894" s="450" t="s">
        <v>14725</v>
      </c>
      <c r="B8894" s="450" t="s">
        <v>14726</v>
      </c>
      <c r="C8894" s="450" t="s">
        <v>9824</v>
      </c>
      <c r="D8894" s="450" t="s">
        <v>14727</v>
      </c>
      <c r="E8894" s="450"/>
      <c r="F8894" s="450"/>
      <c r="G8894" s="450"/>
      <c r="H8894" s="450"/>
      <c r="I8894" s="450"/>
      <c r="J8894" s="450"/>
      <c r="K8894" s="450"/>
    </row>
    <row r="8895" spans="1:11">
      <c r="A8895" s="451" t="s">
        <v>14728</v>
      </c>
      <c r="B8895" s="451" t="s">
        <v>37554</v>
      </c>
      <c r="C8895" s="451" t="s">
        <v>14730</v>
      </c>
      <c r="D8895" s="451" t="s">
        <v>14731</v>
      </c>
      <c r="E8895" s="451"/>
      <c r="F8895" s="451"/>
      <c r="G8895" s="451" t="s">
        <v>22882</v>
      </c>
      <c r="H8895" s="451" t="s">
        <v>22883</v>
      </c>
      <c r="I8895" s="451"/>
      <c r="J8895" s="451" t="s">
        <v>37555</v>
      </c>
      <c r="K8895" s="451"/>
    </row>
    <row r="8896" spans="1:11">
      <c r="A8896" s="450" t="s">
        <v>14728</v>
      </c>
      <c r="B8896" s="450" t="s">
        <v>14729</v>
      </c>
      <c r="C8896" s="450" t="s">
        <v>14730</v>
      </c>
      <c r="D8896" s="450" t="s">
        <v>14731</v>
      </c>
      <c r="E8896" s="450"/>
      <c r="F8896" s="450"/>
      <c r="G8896" s="450"/>
      <c r="H8896" s="450"/>
      <c r="I8896" s="450"/>
      <c r="J8896" s="450"/>
      <c r="K8896" s="450"/>
    </row>
    <row r="8897" spans="1:11">
      <c r="A8897" s="451" t="s">
        <v>14732</v>
      </c>
      <c r="B8897" s="451" t="s">
        <v>14733</v>
      </c>
      <c r="C8897" s="451" t="s">
        <v>11615</v>
      </c>
      <c r="D8897" s="451" t="s">
        <v>14734</v>
      </c>
      <c r="E8897" s="451"/>
      <c r="F8897" s="451"/>
      <c r="G8897" s="451" t="s">
        <v>22877</v>
      </c>
      <c r="H8897" s="451" t="s">
        <v>22878</v>
      </c>
      <c r="I8897" s="451" t="s">
        <v>27962</v>
      </c>
      <c r="J8897" s="451" t="s">
        <v>27963</v>
      </c>
      <c r="K8897" s="451"/>
    </row>
    <row r="8898" spans="1:11">
      <c r="A8898" s="450" t="s">
        <v>14735</v>
      </c>
      <c r="B8898" s="450" t="s">
        <v>27964</v>
      </c>
      <c r="C8898" s="450" t="s">
        <v>14737</v>
      </c>
      <c r="D8898" s="450" t="s">
        <v>14738</v>
      </c>
      <c r="E8898" s="450"/>
      <c r="F8898" s="450"/>
      <c r="G8898" s="450" t="s">
        <v>22877</v>
      </c>
      <c r="H8898" s="450" t="s">
        <v>22878</v>
      </c>
      <c r="I8898" s="450" t="s">
        <v>27965</v>
      </c>
      <c r="J8898" s="450" t="s">
        <v>27966</v>
      </c>
      <c r="K8898" s="450"/>
    </row>
    <row r="8899" spans="1:11">
      <c r="A8899" s="451" t="s">
        <v>14735</v>
      </c>
      <c r="B8899" s="451" t="s">
        <v>14736</v>
      </c>
      <c r="C8899" s="451" t="s">
        <v>14737</v>
      </c>
      <c r="D8899" s="451" t="s">
        <v>14738</v>
      </c>
      <c r="E8899" s="451"/>
      <c r="F8899" s="451"/>
      <c r="G8899" s="451"/>
      <c r="H8899" s="451"/>
      <c r="I8899" s="451"/>
      <c r="J8899" s="451"/>
      <c r="K8899" s="451"/>
    </row>
    <row r="8900" spans="1:11">
      <c r="A8900" s="450" t="s">
        <v>21873</v>
      </c>
      <c r="B8900" s="450"/>
      <c r="C8900" s="450" t="s">
        <v>11070</v>
      </c>
      <c r="D8900" s="450"/>
      <c r="E8900" s="450"/>
      <c r="F8900" s="450"/>
      <c r="G8900" s="450" t="s">
        <v>22882</v>
      </c>
      <c r="H8900" s="450" t="s">
        <v>22883</v>
      </c>
      <c r="I8900" s="450"/>
      <c r="J8900" s="450" t="s">
        <v>23185</v>
      </c>
      <c r="K8900" s="450"/>
    </row>
    <row r="8901" spans="1:11">
      <c r="A8901" s="451" t="s">
        <v>27967</v>
      </c>
      <c r="B8901" s="451" t="s">
        <v>27968</v>
      </c>
      <c r="C8901" s="451" t="s">
        <v>16604</v>
      </c>
      <c r="D8901" s="451"/>
      <c r="E8901" s="451"/>
      <c r="F8901" s="451"/>
      <c r="G8901" s="451" t="s">
        <v>22877</v>
      </c>
      <c r="H8901" s="451" t="s">
        <v>22878</v>
      </c>
      <c r="I8901" s="451" t="s">
        <v>27969</v>
      </c>
      <c r="J8901" s="451" t="s">
        <v>27970</v>
      </c>
      <c r="K8901" s="451"/>
    </row>
    <row r="8902" spans="1:11">
      <c r="A8902" s="450" t="s">
        <v>14739</v>
      </c>
      <c r="B8902" s="450"/>
      <c r="C8902" s="450" t="s">
        <v>6102</v>
      </c>
      <c r="D8902" s="450"/>
      <c r="E8902" s="450"/>
      <c r="F8902" s="450"/>
      <c r="G8902" s="450"/>
      <c r="H8902" s="450"/>
      <c r="I8902" s="450"/>
      <c r="J8902" s="450"/>
      <c r="K8902" s="450"/>
    </row>
    <row r="8903" spans="1:11">
      <c r="A8903" s="451" t="s">
        <v>37556</v>
      </c>
      <c r="B8903" s="451"/>
      <c r="C8903" s="451" t="s">
        <v>34439</v>
      </c>
      <c r="D8903" s="451"/>
      <c r="E8903" s="451"/>
      <c r="F8903" s="451"/>
      <c r="G8903" s="451" t="s">
        <v>22877</v>
      </c>
      <c r="H8903" s="451" t="s">
        <v>22878</v>
      </c>
      <c r="I8903" s="451" t="s">
        <v>37557</v>
      </c>
      <c r="J8903" s="451" t="s">
        <v>23185</v>
      </c>
      <c r="K8903" s="451"/>
    </row>
    <row r="8904" spans="1:11">
      <c r="A8904" s="450" t="s">
        <v>14740</v>
      </c>
      <c r="B8904" s="450"/>
      <c r="C8904" s="450" t="s">
        <v>14741</v>
      </c>
      <c r="D8904" s="450"/>
      <c r="E8904" s="450"/>
      <c r="F8904" s="450"/>
      <c r="G8904" s="450" t="s">
        <v>22882</v>
      </c>
      <c r="H8904" s="450" t="s">
        <v>22883</v>
      </c>
      <c r="I8904" s="450" t="s">
        <v>27971</v>
      </c>
      <c r="J8904" s="450" t="s">
        <v>27943</v>
      </c>
      <c r="K8904" s="450"/>
    </row>
    <row r="8905" spans="1:11">
      <c r="A8905" s="451" t="s">
        <v>27972</v>
      </c>
      <c r="B8905" s="451" t="s">
        <v>27973</v>
      </c>
      <c r="C8905" s="451" t="s">
        <v>27974</v>
      </c>
      <c r="D8905" s="451"/>
      <c r="E8905" s="451"/>
      <c r="F8905" s="451"/>
      <c r="G8905" s="451" t="s">
        <v>22882</v>
      </c>
      <c r="H8905" s="451" t="s">
        <v>22883</v>
      </c>
      <c r="I8905" s="451" t="s">
        <v>27975</v>
      </c>
      <c r="J8905" s="451" t="s">
        <v>27976</v>
      </c>
      <c r="K8905" s="451"/>
    </row>
    <row r="8906" spans="1:11">
      <c r="A8906" s="450" t="s">
        <v>14742</v>
      </c>
      <c r="B8906" s="450"/>
      <c r="C8906" s="450" t="s">
        <v>9002</v>
      </c>
      <c r="D8906" s="450"/>
      <c r="E8906" s="450"/>
      <c r="F8906" s="450"/>
      <c r="G8906" s="450"/>
      <c r="H8906" s="450"/>
      <c r="I8906" s="450"/>
      <c r="J8906" s="450"/>
      <c r="K8906" s="450"/>
    </row>
    <row r="8907" spans="1:11">
      <c r="A8907" s="451" t="s">
        <v>14743</v>
      </c>
      <c r="B8907" s="451"/>
      <c r="C8907" s="451" t="s">
        <v>14744</v>
      </c>
      <c r="D8907" s="451"/>
      <c r="E8907" s="451"/>
      <c r="F8907" s="451"/>
      <c r="G8907" s="451" t="s">
        <v>22882</v>
      </c>
      <c r="H8907" s="451" t="s">
        <v>22883</v>
      </c>
      <c r="I8907" s="451"/>
      <c r="J8907" s="451" t="s">
        <v>23185</v>
      </c>
      <c r="K8907" s="451"/>
    </row>
    <row r="8908" spans="1:11">
      <c r="A8908" s="450" t="s">
        <v>37558</v>
      </c>
      <c r="B8908" s="450"/>
      <c r="C8908" s="450" t="s">
        <v>9002</v>
      </c>
      <c r="D8908" s="450"/>
      <c r="E8908" s="450"/>
      <c r="F8908" s="450"/>
      <c r="G8908" s="450" t="s">
        <v>22882</v>
      </c>
      <c r="H8908" s="450" t="s">
        <v>22883</v>
      </c>
      <c r="I8908" s="450"/>
      <c r="J8908" s="450" t="s">
        <v>23185</v>
      </c>
      <c r="K8908" s="450"/>
    </row>
    <row r="8909" spans="1:11">
      <c r="A8909" s="451" t="s">
        <v>14745</v>
      </c>
      <c r="B8909" s="451"/>
      <c r="C8909" s="451" t="s">
        <v>6420</v>
      </c>
      <c r="D8909" s="451"/>
      <c r="E8909" s="451"/>
      <c r="F8909" s="451"/>
      <c r="G8909" s="451" t="s">
        <v>22877</v>
      </c>
      <c r="H8909" s="451" t="s">
        <v>22878</v>
      </c>
      <c r="I8909" s="451" t="s">
        <v>37559</v>
      </c>
      <c r="J8909" s="451" t="s">
        <v>23185</v>
      </c>
      <c r="K8909" s="451"/>
    </row>
    <row r="8910" spans="1:11">
      <c r="A8910" s="450" t="s">
        <v>14746</v>
      </c>
      <c r="B8910" s="450"/>
      <c r="C8910" s="450" t="s">
        <v>1031</v>
      </c>
      <c r="D8910" s="450"/>
      <c r="E8910" s="450"/>
      <c r="F8910" s="450"/>
      <c r="G8910" s="450" t="s">
        <v>22882</v>
      </c>
      <c r="H8910" s="450" t="s">
        <v>22883</v>
      </c>
      <c r="I8910" s="450"/>
      <c r="J8910" s="450" t="s">
        <v>27977</v>
      </c>
      <c r="K8910" s="450"/>
    </row>
    <row r="8911" spans="1:11">
      <c r="A8911" s="451" t="s">
        <v>14747</v>
      </c>
      <c r="B8911" s="451"/>
      <c r="C8911" s="451" t="s">
        <v>14748</v>
      </c>
      <c r="D8911" s="451"/>
      <c r="E8911" s="451"/>
      <c r="F8911" s="451"/>
      <c r="G8911" s="451" t="s">
        <v>22877</v>
      </c>
      <c r="H8911" s="451" t="s">
        <v>22878</v>
      </c>
      <c r="I8911" s="451" t="s">
        <v>37560</v>
      </c>
      <c r="J8911" s="451" t="s">
        <v>23179</v>
      </c>
      <c r="K8911" s="451"/>
    </row>
    <row r="8912" spans="1:11">
      <c r="A8912" s="450" t="s">
        <v>14749</v>
      </c>
      <c r="B8912" s="450"/>
      <c r="C8912" s="450" t="s">
        <v>14750</v>
      </c>
      <c r="D8912" s="450"/>
      <c r="E8912" s="450"/>
      <c r="F8912" s="450"/>
      <c r="G8912" s="450" t="s">
        <v>22877</v>
      </c>
      <c r="H8912" s="450" t="s">
        <v>22878</v>
      </c>
      <c r="I8912" s="450" t="s">
        <v>27978</v>
      </c>
      <c r="J8912" s="450" t="s">
        <v>23185</v>
      </c>
      <c r="K8912" s="450"/>
    </row>
    <row r="8913" spans="1:11">
      <c r="A8913" s="451" t="s">
        <v>14751</v>
      </c>
      <c r="B8913" s="451" t="s">
        <v>14752</v>
      </c>
      <c r="C8913" s="451" t="s">
        <v>10211</v>
      </c>
      <c r="D8913" s="451" t="s">
        <v>14753</v>
      </c>
      <c r="E8913" s="451"/>
      <c r="F8913" s="451"/>
      <c r="G8913" s="451" t="s">
        <v>22877</v>
      </c>
      <c r="H8913" s="451" t="s">
        <v>22878</v>
      </c>
      <c r="I8913" s="451" t="s">
        <v>14753</v>
      </c>
      <c r="J8913" s="451" t="s">
        <v>27979</v>
      </c>
      <c r="K8913" s="451"/>
    </row>
    <row r="8914" spans="1:11">
      <c r="A8914" s="450" t="s">
        <v>14751</v>
      </c>
      <c r="B8914" s="450" t="s">
        <v>14752</v>
      </c>
      <c r="C8914" s="450" t="s">
        <v>10211</v>
      </c>
      <c r="D8914" s="450" t="s">
        <v>14753</v>
      </c>
      <c r="E8914" s="450" t="s">
        <v>14754</v>
      </c>
      <c r="F8914" s="450"/>
      <c r="G8914" s="450"/>
      <c r="H8914" s="450"/>
      <c r="I8914" s="450"/>
      <c r="J8914" s="450"/>
      <c r="K8914" s="450"/>
    </row>
    <row r="8915" spans="1:11">
      <c r="A8915" s="451" t="s">
        <v>14755</v>
      </c>
      <c r="B8915" s="451" t="s">
        <v>14756</v>
      </c>
      <c r="C8915" s="451" t="s">
        <v>14757</v>
      </c>
      <c r="D8915" s="451"/>
      <c r="E8915" s="451"/>
      <c r="F8915" s="451"/>
      <c r="G8915" s="451" t="s">
        <v>22882</v>
      </c>
      <c r="H8915" s="451" t="s">
        <v>22883</v>
      </c>
      <c r="I8915" s="451"/>
      <c r="J8915" s="451" t="s">
        <v>37561</v>
      </c>
      <c r="K8915" s="451"/>
    </row>
    <row r="8916" spans="1:11">
      <c r="A8916" s="450" t="s">
        <v>14758</v>
      </c>
      <c r="B8916" s="450" t="s">
        <v>14759</v>
      </c>
      <c r="C8916" s="450" t="s">
        <v>2796</v>
      </c>
      <c r="D8916" s="450" t="s">
        <v>2797</v>
      </c>
      <c r="E8916" s="450"/>
      <c r="F8916" s="450"/>
      <c r="G8916" s="450" t="s">
        <v>22882</v>
      </c>
      <c r="H8916" s="450" t="s">
        <v>22883</v>
      </c>
      <c r="I8916" s="450"/>
      <c r="J8916" s="450" t="s">
        <v>37562</v>
      </c>
      <c r="K8916" s="450"/>
    </row>
    <row r="8917" spans="1:11">
      <c r="A8917" s="451" t="s">
        <v>14758</v>
      </c>
      <c r="B8917" s="451" t="s">
        <v>14759</v>
      </c>
      <c r="C8917" s="451" t="s">
        <v>2796</v>
      </c>
      <c r="D8917" s="451" t="s">
        <v>2797</v>
      </c>
      <c r="E8917" s="451" t="s">
        <v>14760</v>
      </c>
      <c r="F8917" s="451"/>
      <c r="G8917" s="451"/>
      <c r="H8917" s="451"/>
      <c r="I8917" s="451"/>
      <c r="J8917" s="451"/>
      <c r="K8917" s="451"/>
    </row>
    <row r="8918" spans="1:11">
      <c r="A8918" s="450" t="s">
        <v>14761</v>
      </c>
      <c r="B8918" s="450"/>
      <c r="C8918" s="450" t="s">
        <v>14762</v>
      </c>
      <c r="D8918" s="450"/>
      <c r="E8918" s="450"/>
      <c r="F8918" s="450"/>
      <c r="G8918" s="450" t="s">
        <v>22882</v>
      </c>
      <c r="H8918" s="450" t="s">
        <v>22883</v>
      </c>
      <c r="I8918" s="450" t="s">
        <v>37563</v>
      </c>
      <c r="J8918" s="450" t="s">
        <v>27980</v>
      </c>
      <c r="K8918" s="450"/>
    </row>
    <row r="8919" spans="1:11">
      <c r="A8919" s="451" t="s">
        <v>21874</v>
      </c>
      <c r="B8919" s="451"/>
      <c r="C8919" s="451" t="s">
        <v>2104</v>
      </c>
      <c r="D8919" s="451"/>
      <c r="E8919" s="451"/>
      <c r="F8919" s="451"/>
      <c r="G8919" s="451" t="s">
        <v>22877</v>
      </c>
      <c r="H8919" s="451" t="s">
        <v>22878</v>
      </c>
      <c r="I8919" s="451" t="s">
        <v>37564</v>
      </c>
      <c r="J8919" s="451" t="s">
        <v>23121</v>
      </c>
      <c r="K8919" s="451"/>
    </row>
    <row r="8920" spans="1:11">
      <c r="A8920" s="450" t="s">
        <v>37565</v>
      </c>
      <c r="B8920" s="450"/>
      <c r="C8920" s="450" t="s">
        <v>14764</v>
      </c>
      <c r="D8920" s="450"/>
      <c r="E8920" s="450"/>
      <c r="F8920" s="450"/>
      <c r="G8920" s="450" t="s">
        <v>22882</v>
      </c>
      <c r="H8920" s="450" t="s">
        <v>22883</v>
      </c>
      <c r="I8920" s="450"/>
      <c r="J8920" s="450" t="s">
        <v>27980</v>
      </c>
      <c r="K8920" s="450"/>
    </row>
    <row r="8921" spans="1:11">
      <c r="A8921" s="451" t="s">
        <v>14763</v>
      </c>
      <c r="B8921" s="451"/>
      <c r="C8921" s="451" t="s">
        <v>14764</v>
      </c>
      <c r="D8921" s="451"/>
      <c r="E8921" s="451"/>
      <c r="F8921" s="451"/>
      <c r="G8921" s="451"/>
      <c r="H8921" s="451"/>
      <c r="I8921" s="451"/>
      <c r="J8921" s="451"/>
      <c r="K8921" s="451"/>
    </row>
    <row r="8922" spans="1:11">
      <c r="A8922" s="450" t="s">
        <v>21875</v>
      </c>
      <c r="B8922" s="450"/>
      <c r="C8922" s="450" t="s">
        <v>14765</v>
      </c>
      <c r="D8922" s="450"/>
      <c r="E8922" s="450"/>
      <c r="F8922" s="450"/>
      <c r="G8922" s="450" t="s">
        <v>22877</v>
      </c>
      <c r="H8922" s="450" t="s">
        <v>22878</v>
      </c>
      <c r="I8922" s="450" t="s">
        <v>37566</v>
      </c>
      <c r="J8922" s="450" t="s">
        <v>23185</v>
      </c>
      <c r="K8922" s="450"/>
    </row>
    <row r="8923" spans="1:11">
      <c r="A8923" s="451" t="s">
        <v>14766</v>
      </c>
      <c r="B8923" s="451"/>
      <c r="C8923" s="451" t="s">
        <v>4938</v>
      </c>
      <c r="D8923" s="451"/>
      <c r="E8923" s="451"/>
      <c r="F8923" s="451"/>
      <c r="G8923" s="451" t="s">
        <v>22882</v>
      </c>
      <c r="H8923" s="451" t="s">
        <v>22883</v>
      </c>
      <c r="I8923" s="451" t="s">
        <v>27981</v>
      </c>
      <c r="J8923" s="451" t="s">
        <v>23185</v>
      </c>
      <c r="K8923" s="451"/>
    </row>
    <row r="8924" spans="1:11">
      <c r="A8924" s="450" t="s">
        <v>27982</v>
      </c>
      <c r="B8924" s="450" t="s">
        <v>27983</v>
      </c>
      <c r="C8924" s="450" t="s">
        <v>14769</v>
      </c>
      <c r="D8924" s="450" t="s">
        <v>14770</v>
      </c>
      <c r="E8924" s="450"/>
      <c r="F8924" s="450" t="s">
        <v>14772</v>
      </c>
      <c r="G8924" s="450" t="s">
        <v>22882</v>
      </c>
      <c r="H8924" s="450" t="s">
        <v>22883</v>
      </c>
      <c r="I8924" s="450" t="s">
        <v>14770</v>
      </c>
      <c r="J8924" s="450" t="s">
        <v>27984</v>
      </c>
      <c r="K8924" s="450"/>
    </row>
    <row r="8925" spans="1:11">
      <c r="A8925" s="451" t="s">
        <v>14767</v>
      </c>
      <c r="B8925" s="451" t="s">
        <v>14768</v>
      </c>
      <c r="C8925" s="451" t="s">
        <v>14769</v>
      </c>
      <c r="D8925" s="451" t="s">
        <v>14770</v>
      </c>
      <c r="E8925" s="451" t="s">
        <v>14771</v>
      </c>
      <c r="F8925" s="451" t="s">
        <v>14772</v>
      </c>
      <c r="G8925" s="451"/>
      <c r="H8925" s="451"/>
      <c r="I8925" s="451"/>
      <c r="J8925" s="451"/>
      <c r="K8925" s="451"/>
    </row>
    <row r="8926" spans="1:11">
      <c r="A8926" s="450" t="s">
        <v>14773</v>
      </c>
      <c r="B8926" s="450"/>
      <c r="C8926" s="450" t="s">
        <v>1213</v>
      </c>
      <c r="D8926" s="450"/>
      <c r="E8926" s="450"/>
      <c r="F8926" s="450"/>
      <c r="G8926" s="450" t="s">
        <v>22877</v>
      </c>
      <c r="H8926" s="450" t="s">
        <v>22878</v>
      </c>
      <c r="I8926" s="450" t="s">
        <v>37567</v>
      </c>
      <c r="J8926" s="450" t="s">
        <v>23185</v>
      </c>
      <c r="K8926" s="450"/>
    </row>
    <row r="8927" spans="1:11">
      <c r="A8927" s="451" t="s">
        <v>14774</v>
      </c>
      <c r="B8927" s="451"/>
      <c r="C8927" s="451" t="s">
        <v>14775</v>
      </c>
      <c r="D8927" s="451"/>
      <c r="E8927" s="451"/>
      <c r="F8927" s="451"/>
      <c r="G8927" s="451" t="s">
        <v>22882</v>
      </c>
      <c r="H8927" s="451" t="s">
        <v>22883</v>
      </c>
      <c r="I8927" s="451"/>
      <c r="J8927" s="451" t="s">
        <v>23185</v>
      </c>
      <c r="K8927" s="451"/>
    </row>
    <row r="8928" spans="1:11">
      <c r="A8928" s="450" t="s">
        <v>14776</v>
      </c>
      <c r="B8928" s="450"/>
      <c r="C8928" s="450" t="s">
        <v>10159</v>
      </c>
      <c r="D8928" s="450"/>
      <c r="E8928" s="450"/>
      <c r="F8928" s="450"/>
      <c r="G8928" s="450" t="s">
        <v>22877</v>
      </c>
      <c r="H8928" s="450" t="s">
        <v>22878</v>
      </c>
      <c r="I8928" s="450" t="s">
        <v>37568</v>
      </c>
      <c r="J8928" s="450" t="s">
        <v>27943</v>
      </c>
      <c r="K8928" s="450"/>
    </row>
    <row r="8929" spans="1:11">
      <c r="A8929" s="451" t="s">
        <v>14777</v>
      </c>
      <c r="B8929" s="451"/>
      <c r="C8929" s="451" t="s">
        <v>14778</v>
      </c>
      <c r="D8929" s="451"/>
      <c r="E8929" s="451"/>
      <c r="F8929" s="451"/>
      <c r="G8929" s="451"/>
      <c r="H8929" s="451"/>
      <c r="I8929" s="451"/>
      <c r="J8929" s="451"/>
      <c r="K8929" s="451"/>
    </row>
    <row r="8930" spans="1:11">
      <c r="A8930" s="450" t="s">
        <v>27985</v>
      </c>
      <c r="B8930" s="450"/>
      <c r="C8930" s="450" t="s">
        <v>14778</v>
      </c>
      <c r="D8930" s="450"/>
      <c r="E8930" s="450"/>
      <c r="F8930" s="450"/>
      <c r="G8930" s="450" t="s">
        <v>22877</v>
      </c>
      <c r="H8930" s="450" t="s">
        <v>22878</v>
      </c>
      <c r="I8930" s="450" t="s">
        <v>27986</v>
      </c>
      <c r="J8930" s="450" t="s">
        <v>23185</v>
      </c>
      <c r="K8930" s="450"/>
    </row>
    <row r="8931" spans="1:11">
      <c r="A8931" s="451" t="s">
        <v>14779</v>
      </c>
      <c r="B8931" s="451" t="s">
        <v>14780</v>
      </c>
      <c r="C8931" s="451" t="s">
        <v>14781</v>
      </c>
      <c r="D8931" s="451"/>
      <c r="E8931" s="451"/>
      <c r="F8931" s="451"/>
      <c r="G8931" s="451"/>
      <c r="H8931" s="451"/>
      <c r="I8931" s="451"/>
      <c r="J8931" s="451"/>
      <c r="K8931" s="451"/>
    </row>
    <row r="8932" spans="1:11">
      <c r="A8932" s="450" t="s">
        <v>27987</v>
      </c>
      <c r="B8932" s="450" t="s">
        <v>14780</v>
      </c>
      <c r="C8932" s="450" t="s">
        <v>14781</v>
      </c>
      <c r="D8932" s="450"/>
      <c r="E8932" s="450"/>
      <c r="F8932" s="450"/>
      <c r="G8932" s="450" t="s">
        <v>22877</v>
      </c>
      <c r="H8932" s="450" t="s">
        <v>22878</v>
      </c>
      <c r="I8932" s="450" t="s">
        <v>27988</v>
      </c>
      <c r="J8932" s="450" t="s">
        <v>27989</v>
      </c>
      <c r="K8932" s="450"/>
    </row>
    <row r="8933" spans="1:11">
      <c r="A8933" s="451" t="s">
        <v>27990</v>
      </c>
      <c r="B8933" s="451" t="s">
        <v>27991</v>
      </c>
      <c r="C8933" s="451" t="s">
        <v>27992</v>
      </c>
      <c r="D8933" s="451"/>
      <c r="E8933" s="451"/>
      <c r="F8933" s="451"/>
      <c r="G8933" s="451" t="s">
        <v>22882</v>
      </c>
      <c r="H8933" s="451" t="s">
        <v>22883</v>
      </c>
      <c r="I8933" s="451" t="s">
        <v>27993</v>
      </c>
      <c r="J8933" s="451" t="s">
        <v>27994</v>
      </c>
      <c r="K8933" s="451"/>
    </row>
    <row r="8934" spans="1:11">
      <c r="A8934" s="450" t="s">
        <v>14782</v>
      </c>
      <c r="B8934" s="450"/>
      <c r="C8934" s="450" t="s">
        <v>14783</v>
      </c>
      <c r="D8934" s="450"/>
      <c r="E8934" s="450"/>
      <c r="F8934" s="450"/>
      <c r="G8934" s="450"/>
      <c r="H8934" s="450"/>
      <c r="I8934" s="450"/>
      <c r="J8934" s="450"/>
      <c r="K8934" s="450"/>
    </row>
    <row r="8935" spans="1:11">
      <c r="A8935" s="451" t="s">
        <v>27995</v>
      </c>
      <c r="B8935" s="451" t="s">
        <v>14785</v>
      </c>
      <c r="C8935" s="451" t="s">
        <v>14786</v>
      </c>
      <c r="D8935" s="451" t="s">
        <v>14787</v>
      </c>
      <c r="E8935" s="451"/>
      <c r="F8935" s="451"/>
      <c r="G8935" s="451" t="s">
        <v>22882</v>
      </c>
      <c r="H8935" s="451" t="s">
        <v>22883</v>
      </c>
      <c r="I8935" s="451" t="s">
        <v>27996</v>
      </c>
      <c r="J8935" s="451" t="s">
        <v>27997</v>
      </c>
      <c r="K8935" s="451"/>
    </row>
    <row r="8936" spans="1:11">
      <c r="A8936" s="450" t="s">
        <v>14784</v>
      </c>
      <c r="B8936" s="450" t="s">
        <v>14785</v>
      </c>
      <c r="C8936" s="450" t="s">
        <v>14786</v>
      </c>
      <c r="D8936" s="450" t="s">
        <v>14787</v>
      </c>
      <c r="E8936" s="450" t="s">
        <v>14788</v>
      </c>
      <c r="F8936" s="450"/>
      <c r="G8936" s="450"/>
      <c r="H8936" s="450"/>
      <c r="I8936" s="450"/>
      <c r="J8936" s="450"/>
      <c r="K8936" s="450"/>
    </row>
    <row r="8937" spans="1:11">
      <c r="A8937" s="451" t="s">
        <v>37569</v>
      </c>
      <c r="B8937" s="451"/>
      <c r="C8937" s="451" t="s">
        <v>14790</v>
      </c>
      <c r="D8937" s="451"/>
      <c r="E8937" s="451"/>
      <c r="F8937" s="451"/>
      <c r="G8937" s="451" t="s">
        <v>22882</v>
      </c>
      <c r="H8937" s="451" t="s">
        <v>22883</v>
      </c>
      <c r="I8937" s="451"/>
      <c r="J8937" s="451" t="s">
        <v>23185</v>
      </c>
      <c r="K8937" s="451"/>
    </row>
    <row r="8938" spans="1:11">
      <c r="A8938" s="450" t="s">
        <v>14789</v>
      </c>
      <c r="B8938" s="450"/>
      <c r="C8938" s="450" t="s">
        <v>14790</v>
      </c>
      <c r="D8938" s="450"/>
      <c r="E8938" s="450"/>
      <c r="F8938" s="450"/>
      <c r="G8938" s="450"/>
      <c r="H8938" s="450"/>
      <c r="I8938" s="450"/>
      <c r="J8938" s="450"/>
      <c r="K8938" s="450"/>
    </row>
    <row r="8939" spans="1:11">
      <c r="A8939" s="451" t="s">
        <v>14791</v>
      </c>
      <c r="B8939" s="451"/>
      <c r="C8939" s="451" t="s">
        <v>8165</v>
      </c>
      <c r="D8939" s="451"/>
      <c r="E8939" s="451"/>
      <c r="F8939" s="451"/>
      <c r="G8939" s="451" t="s">
        <v>22877</v>
      </c>
      <c r="H8939" s="451" t="s">
        <v>22878</v>
      </c>
      <c r="I8939" s="451" t="s">
        <v>37570</v>
      </c>
      <c r="J8939" s="451" t="s">
        <v>23185</v>
      </c>
      <c r="K8939" s="451"/>
    </row>
    <row r="8940" spans="1:11">
      <c r="A8940" s="450" t="s">
        <v>27998</v>
      </c>
      <c r="B8940" s="450"/>
      <c r="C8940" s="450" t="s">
        <v>14783</v>
      </c>
      <c r="D8940" s="450"/>
      <c r="E8940" s="450"/>
      <c r="F8940" s="450"/>
      <c r="G8940" s="450" t="s">
        <v>22882</v>
      </c>
      <c r="H8940" s="450" t="s">
        <v>22883</v>
      </c>
      <c r="I8940" s="450" t="s">
        <v>27999</v>
      </c>
      <c r="J8940" s="450" t="s">
        <v>27977</v>
      </c>
      <c r="K8940" s="450"/>
    </row>
    <row r="8941" spans="1:11">
      <c r="A8941" s="451" t="s">
        <v>14792</v>
      </c>
      <c r="B8941" s="451" t="s">
        <v>14793</v>
      </c>
      <c r="C8941" s="451" t="s">
        <v>8628</v>
      </c>
      <c r="D8941" s="451"/>
      <c r="E8941" s="451"/>
      <c r="F8941" s="451"/>
      <c r="G8941" s="451" t="s">
        <v>22877</v>
      </c>
      <c r="H8941" s="451" t="s">
        <v>22878</v>
      </c>
      <c r="I8941" s="451" t="s">
        <v>28000</v>
      </c>
      <c r="J8941" s="451" t="s">
        <v>28001</v>
      </c>
      <c r="K8941" s="451"/>
    </row>
    <row r="8942" spans="1:11">
      <c r="A8942" s="450" t="s">
        <v>14794</v>
      </c>
      <c r="B8942" s="450"/>
      <c r="C8942" s="450" t="s">
        <v>14795</v>
      </c>
      <c r="D8942" s="450"/>
      <c r="E8942" s="450"/>
      <c r="F8942" s="450"/>
      <c r="G8942" s="450" t="s">
        <v>22877</v>
      </c>
      <c r="H8942" s="450" t="s">
        <v>22878</v>
      </c>
      <c r="I8942" s="450" t="s">
        <v>37571</v>
      </c>
      <c r="J8942" s="450" t="s">
        <v>23185</v>
      </c>
      <c r="K8942" s="450"/>
    </row>
    <row r="8943" spans="1:11">
      <c r="A8943" s="451" t="s">
        <v>37572</v>
      </c>
      <c r="B8943" s="451"/>
      <c r="C8943" s="451" t="s">
        <v>14797</v>
      </c>
      <c r="D8943" s="451"/>
      <c r="E8943" s="451"/>
      <c r="F8943" s="451"/>
      <c r="G8943" s="451" t="s">
        <v>22877</v>
      </c>
      <c r="H8943" s="451" t="s">
        <v>22878</v>
      </c>
      <c r="I8943" s="451" t="s">
        <v>37573</v>
      </c>
      <c r="J8943" s="451" t="s">
        <v>37574</v>
      </c>
      <c r="K8943" s="451"/>
    </row>
    <row r="8944" spans="1:11">
      <c r="A8944" s="450" t="s">
        <v>14796</v>
      </c>
      <c r="B8944" s="450"/>
      <c r="C8944" s="450" t="s">
        <v>14797</v>
      </c>
      <c r="D8944" s="450"/>
      <c r="E8944" s="450"/>
      <c r="F8944" s="450"/>
      <c r="G8944" s="450"/>
      <c r="H8944" s="450"/>
      <c r="I8944" s="450"/>
      <c r="J8944" s="450"/>
      <c r="K8944" s="450"/>
    </row>
    <row r="8945" spans="1:11">
      <c r="A8945" s="451" t="s">
        <v>21876</v>
      </c>
      <c r="B8945" s="451" t="s">
        <v>28002</v>
      </c>
      <c r="C8945" s="451" t="s">
        <v>28003</v>
      </c>
      <c r="D8945" s="451" t="s">
        <v>6685</v>
      </c>
      <c r="E8945" s="451"/>
      <c r="F8945" s="451" t="s">
        <v>22125</v>
      </c>
      <c r="G8945" s="451" t="s">
        <v>22877</v>
      </c>
      <c r="H8945" s="451" t="s">
        <v>22878</v>
      </c>
      <c r="I8945" s="451" t="s">
        <v>6685</v>
      </c>
      <c r="J8945" s="451" t="s">
        <v>28004</v>
      </c>
      <c r="K8945" s="451"/>
    </row>
    <row r="8946" spans="1:11">
      <c r="A8946" s="450" t="s">
        <v>21876</v>
      </c>
      <c r="B8946" s="450" t="s">
        <v>14798</v>
      </c>
      <c r="C8946" s="450" t="s">
        <v>14799</v>
      </c>
      <c r="D8946" s="450" t="s">
        <v>6685</v>
      </c>
      <c r="E8946" s="450" t="s">
        <v>6686</v>
      </c>
      <c r="F8946" s="450" t="s">
        <v>22125</v>
      </c>
      <c r="G8946" s="450"/>
      <c r="H8946" s="450"/>
      <c r="I8946" s="450"/>
      <c r="J8946" s="450"/>
      <c r="K8946" s="450"/>
    </row>
    <row r="8947" spans="1:11">
      <c r="A8947" s="451" t="s">
        <v>14800</v>
      </c>
      <c r="B8947" s="451"/>
      <c r="C8947" s="451" t="s">
        <v>14801</v>
      </c>
      <c r="D8947" s="451"/>
      <c r="E8947" s="451"/>
      <c r="F8947" s="451"/>
      <c r="G8947" s="451" t="s">
        <v>22877</v>
      </c>
      <c r="H8947" s="451" t="s">
        <v>22878</v>
      </c>
      <c r="I8947" s="451" t="s">
        <v>37575</v>
      </c>
      <c r="J8947" s="451" t="s">
        <v>23179</v>
      </c>
      <c r="K8947" s="451"/>
    </row>
    <row r="8948" spans="1:11">
      <c r="A8948" s="450" t="s">
        <v>14802</v>
      </c>
      <c r="B8948" s="450"/>
      <c r="C8948" s="450" t="s">
        <v>14803</v>
      </c>
      <c r="D8948" s="450"/>
      <c r="E8948" s="450"/>
      <c r="F8948" s="450"/>
      <c r="G8948" s="450" t="s">
        <v>22882</v>
      </c>
      <c r="H8948" s="450" t="s">
        <v>22883</v>
      </c>
      <c r="I8948" s="450" t="s">
        <v>37576</v>
      </c>
      <c r="J8948" s="450" t="s">
        <v>23185</v>
      </c>
      <c r="K8948" s="450"/>
    </row>
    <row r="8949" spans="1:11">
      <c r="A8949" s="451" t="s">
        <v>14804</v>
      </c>
      <c r="B8949" s="451"/>
      <c r="C8949" s="451" t="s">
        <v>14805</v>
      </c>
      <c r="D8949" s="451"/>
      <c r="E8949" s="451"/>
      <c r="F8949" s="451"/>
      <c r="G8949" s="451" t="s">
        <v>22877</v>
      </c>
      <c r="H8949" s="451" t="s">
        <v>22878</v>
      </c>
      <c r="I8949" s="451" t="s">
        <v>37577</v>
      </c>
      <c r="J8949" s="451" t="s">
        <v>23185</v>
      </c>
      <c r="K8949" s="451"/>
    </row>
    <row r="8950" spans="1:11">
      <c r="A8950" s="450" t="s">
        <v>14806</v>
      </c>
      <c r="B8950" s="450"/>
      <c r="C8950" s="450" t="s">
        <v>14807</v>
      </c>
      <c r="D8950" s="450"/>
      <c r="E8950" s="450"/>
      <c r="F8950" s="450"/>
      <c r="G8950" s="450" t="s">
        <v>22877</v>
      </c>
      <c r="H8950" s="450" t="s">
        <v>22878</v>
      </c>
      <c r="I8950" s="450" t="s">
        <v>37578</v>
      </c>
      <c r="J8950" s="450" t="s">
        <v>23185</v>
      </c>
      <c r="K8950" s="450"/>
    </row>
    <row r="8951" spans="1:11">
      <c r="A8951" s="451" t="s">
        <v>14808</v>
      </c>
      <c r="B8951" s="451"/>
      <c r="C8951" s="451" t="s">
        <v>3006</v>
      </c>
      <c r="D8951" s="451"/>
      <c r="E8951" s="451"/>
      <c r="F8951" s="451"/>
      <c r="G8951" s="451" t="s">
        <v>22882</v>
      </c>
      <c r="H8951" s="451" t="s">
        <v>22883</v>
      </c>
      <c r="I8951" s="451"/>
      <c r="J8951" s="451" t="s">
        <v>27943</v>
      </c>
      <c r="K8951" s="451"/>
    </row>
    <row r="8952" spans="1:11">
      <c r="A8952" s="450" t="s">
        <v>37579</v>
      </c>
      <c r="B8952" s="450" t="s">
        <v>20293</v>
      </c>
      <c r="C8952" s="450" t="s">
        <v>16302</v>
      </c>
      <c r="D8952" s="450" t="s">
        <v>20294</v>
      </c>
      <c r="E8952" s="450"/>
      <c r="F8952" s="450" t="s">
        <v>20295</v>
      </c>
      <c r="G8952" s="450" t="s">
        <v>22877</v>
      </c>
      <c r="H8952" s="450" t="s">
        <v>22878</v>
      </c>
      <c r="I8952" s="450" t="s">
        <v>20294</v>
      </c>
      <c r="J8952" s="450" t="s">
        <v>37580</v>
      </c>
      <c r="K8952" s="450"/>
    </row>
    <row r="8953" spans="1:11">
      <c r="A8953" s="451" t="s">
        <v>20292</v>
      </c>
      <c r="B8953" s="451" t="s">
        <v>20293</v>
      </c>
      <c r="C8953" s="451" t="s">
        <v>16302</v>
      </c>
      <c r="D8953" s="451" t="s">
        <v>20294</v>
      </c>
      <c r="E8953" s="451"/>
      <c r="F8953" s="451" t="s">
        <v>20295</v>
      </c>
      <c r="G8953" s="451"/>
      <c r="H8953" s="451"/>
      <c r="I8953" s="451"/>
      <c r="J8953" s="451"/>
      <c r="K8953" s="451"/>
    </row>
    <row r="8954" spans="1:11">
      <c r="A8954" s="450" t="s">
        <v>14809</v>
      </c>
      <c r="B8954" s="450"/>
      <c r="C8954" s="450" t="s">
        <v>14810</v>
      </c>
      <c r="D8954" s="450"/>
      <c r="E8954" s="450"/>
      <c r="F8954" s="450"/>
      <c r="G8954" s="450" t="s">
        <v>22877</v>
      </c>
      <c r="H8954" s="450" t="s">
        <v>22878</v>
      </c>
      <c r="I8954" s="450" t="s">
        <v>28005</v>
      </c>
      <c r="J8954" s="450" t="s">
        <v>23185</v>
      </c>
      <c r="K8954" s="450"/>
    </row>
    <row r="8955" spans="1:11">
      <c r="A8955" s="451" t="s">
        <v>28006</v>
      </c>
      <c r="B8955" s="451" t="s">
        <v>28007</v>
      </c>
      <c r="C8955" s="451" t="s">
        <v>28008</v>
      </c>
      <c r="D8955" s="451"/>
      <c r="E8955" s="451"/>
      <c r="F8955" s="451"/>
      <c r="G8955" s="451" t="s">
        <v>22877</v>
      </c>
      <c r="H8955" s="451" t="s">
        <v>22878</v>
      </c>
      <c r="I8955" s="451" t="s">
        <v>28009</v>
      </c>
      <c r="J8955" s="451" t="s">
        <v>28010</v>
      </c>
      <c r="K8955" s="451"/>
    </row>
    <row r="8956" spans="1:11">
      <c r="A8956" s="450" t="s">
        <v>14811</v>
      </c>
      <c r="B8956" s="450"/>
      <c r="C8956" s="450" t="s">
        <v>14812</v>
      </c>
      <c r="D8956" s="450"/>
      <c r="E8956" s="450"/>
      <c r="F8956" s="450"/>
      <c r="G8956" s="450" t="s">
        <v>22877</v>
      </c>
      <c r="H8956" s="450" t="s">
        <v>22878</v>
      </c>
      <c r="I8956" s="450" t="s">
        <v>37581</v>
      </c>
      <c r="J8956" s="450" t="s">
        <v>27980</v>
      </c>
      <c r="K8956" s="450"/>
    </row>
    <row r="8957" spans="1:11">
      <c r="A8957" s="451" t="s">
        <v>14813</v>
      </c>
      <c r="B8957" s="451"/>
      <c r="C8957" s="451" t="s">
        <v>14814</v>
      </c>
      <c r="D8957" s="451"/>
      <c r="E8957" s="451"/>
      <c r="F8957" s="451"/>
      <c r="G8957" s="451"/>
      <c r="H8957" s="451"/>
      <c r="I8957" s="451"/>
      <c r="J8957" s="451"/>
      <c r="K8957" s="451"/>
    </row>
    <row r="8958" spans="1:11">
      <c r="A8958" s="450" t="s">
        <v>37582</v>
      </c>
      <c r="B8958" s="450"/>
      <c r="C8958" s="450" t="s">
        <v>14814</v>
      </c>
      <c r="D8958" s="450"/>
      <c r="E8958" s="450"/>
      <c r="F8958" s="450"/>
      <c r="G8958" s="450" t="s">
        <v>22877</v>
      </c>
      <c r="H8958" s="450" t="s">
        <v>22878</v>
      </c>
      <c r="I8958" s="450" t="s">
        <v>37583</v>
      </c>
      <c r="J8958" s="450" t="s">
        <v>27943</v>
      </c>
      <c r="K8958" s="450"/>
    </row>
    <row r="8959" spans="1:11">
      <c r="A8959" s="451" t="s">
        <v>14815</v>
      </c>
      <c r="B8959" s="451"/>
      <c r="C8959" s="451" t="s">
        <v>14816</v>
      </c>
      <c r="D8959" s="451"/>
      <c r="E8959" s="451"/>
      <c r="F8959" s="451"/>
      <c r="G8959" s="451" t="s">
        <v>22877</v>
      </c>
      <c r="H8959" s="451" t="s">
        <v>22878</v>
      </c>
      <c r="I8959" s="451" t="s">
        <v>37584</v>
      </c>
      <c r="J8959" s="451" t="s">
        <v>27943</v>
      </c>
      <c r="K8959" s="451"/>
    </row>
    <row r="8960" spans="1:11">
      <c r="A8960" s="450" t="s">
        <v>14817</v>
      </c>
      <c r="B8960" s="450"/>
      <c r="C8960" s="450" t="s">
        <v>14818</v>
      </c>
      <c r="D8960" s="450"/>
      <c r="E8960" s="450"/>
      <c r="F8960" s="450"/>
      <c r="G8960" s="450" t="s">
        <v>23115</v>
      </c>
      <c r="H8960" s="450" t="s">
        <v>22878</v>
      </c>
      <c r="I8960" s="450"/>
      <c r="J8960" s="450"/>
      <c r="K8960" s="450"/>
    </row>
    <row r="8961" spans="1:11">
      <c r="A8961" s="451" t="s">
        <v>14819</v>
      </c>
      <c r="B8961" s="451" t="s">
        <v>14820</v>
      </c>
      <c r="C8961" s="451" t="s">
        <v>14821</v>
      </c>
      <c r="D8961" s="451"/>
      <c r="E8961" s="451"/>
      <c r="F8961" s="451"/>
      <c r="G8961" s="451" t="s">
        <v>22877</v>
      </c>
      <c r="H8961" s="451" t="s">
        <v>22878</v>
      </c>
      <c r="I8961" s="451" t="s">
        <v>28011</v>
      </c>
      <c r="J8961" s="451" t="s">
        <v>28012</v>
      </c>
      <c r="K8961" s="451"/>
    </row>
    <row r="8962" spans="1:11">
      <c r="A8962" s="450" t="s">
        <v>28013</v>
      </c>
      <c r="B8962" s="450"/>
      <c r="C8962" s="450" t="s">
        <v>5364</v>
      </c>
      <c r="D8962" s="450"/>
      <c r="E8962" s="450"/>
      <c r="F8962" s="450"/>
      <c r="G8962" s="450" t="s">
        <v>22877</v>
      </c>
      <c r="H8962" s="450" t="s">
        <v>22878</v>
      </c>
      <c r="I8962" s="450" t="s">
        <v>28014</v>
      </c>
      <c r="J8962" s="450" t="s">
        <v>27943</v>
      </c>
      <c r="K8962" s="450"/>
    </row>
    <row r="8963" spans="1:11">
      <c r="A8963" s="451" t="s">
        <v>14822</v>
      </c>
      <c r="B8963" s="451"/>
      <c r="C8963" s="451" t="s">
        <v>5364</v>
      </c>
      <c r="D8963" s="451"/>
      <c r="E8963" s="451"/>
      <c r="F8963" s="451"/>
      <c r="G8963" s="451"/>
      <c r="H8963" s="451"/>
      <c r="I8963" s="451"/>
      <c r="J8963" s="451"/>
      <c r="K8963" s="451"/>
    </row>
    <row r="8964" spans="1:11">
      <c r="A8964" s="450" t="s">
        <v>14823</v>
      </c>
      <c r="B8964" s="450" t="s">
        <v>14824</v>
      </c>
      <c r="C8964" s="450" t="s">
        <v>2168</v>
      </c>
      <c r="D8964" s="450" t="s">
        <v>14825</v>
      </c>
      <c r="E8964" s="450"/>
      <c r="F8964" s="450"/>
      <c r="G8964" s="450"/>
      <c r="H8964" s="450"/>
      <c r="I8964" s="450"/>
      <c r="J8964" s="450"/>
      <c r="K8964" s="450"/>
    </row>
    <row r="8965" spans="1:11">
      <c r="A8965" s="451" t="s">
        <v>28015</v>
      </c>
      <c r="B8965" s="451" t="s">
        <v>14824</v>
      </c>
      <c r="C8965" s="451" t="s">
        <v>2168</v>
      </c>
      <c r="D8965" s="451" t="s">
        <v>14825</v>
      </c>
      <c r="E8965" s="451"/>
      <c r="F8965" s="451"/>
      <c r="G8965" s="451" t="s">
        <v>22882</v>
      </c>
      <c r="H8965" s="451" t="s">
        <v>22883</v>
      </c>
      <c r="I8965" s="451"/>
      <c r="J8965" s="451" t="s">
        <v>28016</v>
      </c>
      <c r="K8965" s="451"/>
    </row>
    <row r="8966" spans="1:11">
      <c r="A8966" s="450" t="s">
        <v>14826</v>
      </c>
      <c r="B8966" s="450"/>
      <c r="C8966" s="450" t="s">
        <v>14827</v>
      </c>
      <c r="D8966" s="450"/>
      <c r="E8966" s="450"/>
      <c r="F8966" s="450"/>
      <c r="G8966" s="450" t="s">
        <v>22882</v>
      </c>
      <c r="H8966" s="450" t="s">
        <v>22883</v>
      </c>
      <c r="I8966" s="450" t="s">
        <v>28017</v>
      </c>
      <c r="J8966" s="450" t="s">
        <v>23121</v>
      </c>
      <c r="K8966" s="450"/>
    </row>
    <row r="8967" spans="1:11">
      <c r="A8967" s="451" t="s">
        <v>14828</v>
      </c>
      <c r="B8967" s="451" t="s">
        <v>14829</v>
      </c>
      <c r="C8967" s="451" t="s">
        <v>14830</v>
      </c>
      <c r="D8967" s="451"/>
      <c r="E8967" s="451"/>
      <c r="F8967" s="451"/>
      <c r="G8967" s="451" t="s">
        <v>22877</v>
      </c>
      <c r="H8967" s="451" t="s">
        <v>22878</v>
      </c>
      <c r="I8967" s="451" t="s">
        <v>37585</v>
      </c>
      <c r="J8967" s="451" t="s">
        <v>37586</v>
      </c>
      <c r="K8967" s="451"/>
    </row>
    <row r="8968" spans="1:11">
      <c r="A8968" s="450" t="s">
        <v>14828</v>
      </c>
      <c r="B8968" s="450" t="s">
        <v>14832</v>
      </c>
      <c r="C8968" s="450" t="s">
        <v>14833</v>
      </c>
      <c r="D8968" s="450"/>
      <c r="E8968" s="450"/>
      <c r="F8968" s="450" t="s">
        <v>14834</v>
      </c>
      <c r="G8968" s="450" t="s">
        <v>22877</v>
      </c>
      <c r="H8968" s="450" t="s">
        <v>22878</v>
      </c>
      <c r="I8968" s="450" t="s">
        <v>37585</v>
      </c>
      <c r="J8968" s="450" t="s">
        <v>37587</v>
      </c>
      <c r="K8968" s="450"/>
    </row>
    <row r="8969" spans="1:11">
      <c r="A8969" s="451" t="s">
        <v>14831</v>
      </c>
      <c r="B8969" s="451" t="s">
        <v>14832</v>
      </c>
      <c r="C8969" s="451" t="s">
        <v>14833</v>
      </c>
      <c r="D8969" s="451"/>
      <c r="E8969" s="451"/>
      <c r="F8969" s="451" t="s">
        <v>14834</v>
      </c>
      <c r="G8969" s="451"/>
      <c r="H8969" s="451"/>
      <c r="I8969" s="451"/>
      <c r="J8969" s="451"/>
      <c r="K8969" s="451"/>
    </row>
    <row r="8970" spans="1:11">
      <c r="A8970" s="450" t="s">
        <v>14835</v>
      </c>
      <c r="B8970" s="450"/>
      <c r="C8970" s="450" t="s">
        <v>14836</v>
      </c>
      <c r="D8970" s="450"/>
      <c r="E8970" s="450"/>
      <c r="F8970" s="450"/>
      <c r="G8970" s="450" t="s">
        <v>22877</v>
      </c>
      <c r="H8970" s="450" t="s">
        <v>22878</v>
      </c>
      <c r="I8970" s="450" t="s">
        <v>37588</v>
      </c>
      <c r="J8970" s="450" t="s">
        <v>27977</v>
      </c>
      <c r="K8970" s="450"/>
    </row>
    <row r="8971" spans="1:11">
      <c r="A8971" s="451" t="s">
        <v>14837</v>
      </c>
      <c r="B8971" s="451"/>
      <c r="C8971" s="451" t="s">
        <v>14838</v>
      </c>
      <c r="D8971" s="451"/>
      <c r="E8971" s="451"/>
      <c r="F8971" s="451"/>
      <c r="G8971" s="451" t="s">
        <v>22882</v>
      </c>
      <c r="H8971" s="451" t="s">
        <v>22883</v>
      </c>
      <c r="I8971" s="451"/>
      <c r="J8971" s="451" t="s">
        <v>23185</v>
      </c>
      <c r="K8971" s="451"/>
    </row>
    <row r="8972" spans="1:11">
      <c r="A8972" s="450" t="s">
        <v>14839</v>
      </c>
      <c r="B8972" s="450"/>
      <c r="C8972" s="450" t="s">
        <v>14840</v>
      </c>
      <c r="D8972" s="450"/>
      <c r="E8972" s="450"/>
      <c r="F8972" s="450"/>
      <c r="G8972" s="450" t="s">
        <v>22877</v>
      </c>
      <c r="H8972" s="450" t="s">
        <v>22878</v>
      </c>
      <c r="I8972" s="450" t="s">
        <v>28018</v>
      </c>
      <c r="J8972" s="450" t="s">
        <v>27980</v>
      </c>
      <c r="K8972" s="450"/>
    </row>
    <row r="8973" spans="1:11">
      <c r="A8973" s="451" t="s">
        <v>37589</v>
      </c>
      <c r="B8973" s="451" t="s">
        <v>14842</v>
      </c>
      <c r="C8973" s="451" t="s">
        <v>37590</v>
      </c>
      <c r="D8973" s="451"/>
      <c r="E8973" s="451"/>
      <c r="F8973" s="451" t="s">
        <v>14844</v>
      </c>
      <c r="G8973" s="451" t="s">
        <v>22882</v>
      </c>
      <c r="H8973" s="451" t="s">
        <v>22883</v>
      </c>
      <c r="I8973" s="451"/>
      <c r="J8973" s="451" t="s">
        <v>37591</v>
      </c>
      <c r="K8973" s="451"/>
    </row>
    <row r="8974" spans="1:11">
      <c r="A8974" s="450" t="s">
        <v>14841</v>
      </c>
      <c r="B8974" s="450" t="s">
        <v>14842</v>
      </c>
      <c r="C8974" s="450" t="s">
        <v>14843</v>
      </c>
      <c r="D8974" s="450"/>
      <c r="E8974" s="450"/>
      <c r="F8974" s="450" t="s">
        <v>14844</v>
      </c>
      <c r="G8974" s="450"/>
      <c r="H8974" s="450"/>
      <c r="I8974" s="450"/>
      <c r="J8974" s="450"/>
      <c r="K8974" s="450"/>
    </row>
    <row r="8975" spans="1:11">
      <c r="A8975" s="451" t="s">
        <v>14845</v>
      </c>
      <c r="B8975" s="451" t="s">
        <v>14846</v>
      </c>
      <c r="C8975" s="451" t="s">
        <v>10186</v>
      </c>
      <c r="D8975" s="451" t="s">
        <v>14847</v>
      </c>
      <c r="E8975" s="451"/>
      <c r="F8975" s="451"/>
      <c r="G8975" s="451" t="s">
        <v>22877</v>
      </c>
      <c r="H8975" s="451" t="s">
        <v>22878</v>
      </c>
      <c r="I8975" s="451" t="s">
        <v>14847</v>
      </c>
      <c r="J8975" s="451" t="s">
        <v>28019</v>
      </c>
      <c r="K8975" s="451"/>
    </row>
    <row r="8976" spans="1:11">
      <c r="A8976" s="450" t="s">
        <v>14848</v>
      </c>
      <c r="B8976" s="450" t="s">
        <v>14849</v>
      </c>
      <c r="C8976" s="450" t="s">
        <v>14850</v>
      </c>
      <c r="D8976" s="450" t="s">
        <v>14851</v>
      </c>
      <c r="E8976" s="450"/>
      <c r="F8976" s="450"/>
      <c r="G8976" s="450" t="s">
        <v>22877</v>
      </c>
      <c r="H8976" s="450" t="s">
        <v>22878</v>
      </c>
      <c r="I8976" s="450" t="s">
        <v>28020</v>
      </c>
      <c r="J8976" s="450" t="s">
        <v>28021</v>
      </c>
      <c r="K8976" s="450"/>
    </row>
    <row r="8977" spans="1:11">
      <c r="A8977" s="451" t="s">
        <v>37592</v>
      </c>
      <c r="B8977" s="451" t="s">
        <v>14853</v>
      </c>
      <c r="C8977" s="451" t="s">
        <v>1190</v>
      </c>
      <c r="D8977" s="451" t="s">
        <v>14854</v>
      </c>
      <c r="E8977" s="451"/>
      <c r="F8977" s="451"/>
      <c r="G8977" s="451" t="s">
        <v>22877</v>
      </c>
      <c r="H8977" s="451" t="s">
        <v>22878</v>
      </c>
      <c r="I8977" s="451" t="s">
        <v>37593</v>
      </c>
      <c r="J8977" s="451" t="s">
        <v>37594</v>
      </c>
      <c r="K8977" s="451"/>
    </row>
    <row r="8978" spans="1:11">
      <c r="A8978" s="450" t="s">
        <v>14852</v>
      </c>
      <c r="B8978" s="450" t="s">
        <v>14853</v>
      </c>
      <c r="C8978" s="450" t="s">
        <v>1190</v>
      </c>
      <c r="D8978" s="450" t="s">
        <v>14854</v>
      </c>
      <c r="E8978" s="450"/>
      <c r="F8978" s="450"/>
      <c r="G8978" s="450"/>
      <c r="H8978" s="450"/>
      <c r="I8978" s="450"/>
      <c r="J8978" s="450"/>
      <c r="K8978" s="450"/>
    </row>
    <row r="8979" spans="1:11">
      <c r="A8979" s="451" t="s">
        <v>14855</v>
      </c>
      <c r="B8979" s="451"/>
      <c r="C8979" s="451" t="s">
        <v>4710</v>
      </c>
      <c r="D8979" s="451"/>
      <c r="E8979" s="451"/>
      <c r="F8979" s="451"/>
      <c r="G8979" s="451" t="s">
        <v>22877</v>
      </c>
      <c r="H8979" s="451" t="s">
        <v>22878</v>
      </c>
      <c r="I8979" s="451" t="s">
        <v>37595</v>
      </c>
      <c r="J8979" s="451" t="s">
        <v>23185</v>
      </c>
      <c r="K8979" s="451"/>
    </row>
    <row r="8980" spans="1:11">
      <c r="A8980" s="450" t="s">
        <v>14856</v>
      </c>
      <c r="B8980" s="450"/>
      <c r="C8980" s="450" t="s">
        <v>2560</v>
      </c>
      <c r="D8980" s="450"/>
      <c r="E8980" s="450"/>
      <c r="F8980" s="450"/>
      <c r="G8980" s="450" t="s">
        <v>22882</v>
      </c>
      <c r="H8980" s="450" t="s">
        <v>22883</v>
      </c>
      <c r="I8980" s="450" t="s">
        <v>37596</v>
      </c>
      <c r="J8980" s="450" t="s">
        <v>27943</v>
      </c>
      <c r="K8980" s="450"/>
    </row>
    <row r="8981" spans="1:11">
      <c r="A8981" s="451" t="s">
        <v>14857</v>
      </c>
      <c r="B8981" s="451"/>
      <c r="C8981" s="451" t="s">
        <v>14858</v>
      </c>
      <c r="D8981" s="451"/>
      <c r="E8981" s="451"/>
      <c r="F8981" s="451"/>
      <c r="G8981" s="451" t="s">
        <v>22877</v>
      </c>
      <c r="H8981" s="451" t="s">
        <v>22878</v>
      </c>
      <c r="I8981" s="451" t="s">
        <v>37597</v>
      </c>
      <c r="J8981" s="451" t="s">
        <v>27943</v>
      </c>
      <c r="K8981" s="451"/>
    </row>
    <row r="8982" spans="1:11">
      <c r="A8982" s="450" t="s">
        <v>37598</v>
      </c>
      <c r="B8982" s="450"/>
      <c r="C8982" s="450" t="s">
        <v>23781</v>
      </c>
      <c r="D8982" s="450"/>
      <c r="E8982" s="450"/>
      <c r="F8982" s="450"/>
      <c r="G8982" s="450" t="s">
        <v>22877</v>
      </c>
      <c r="H8982" s="450" t="s">
        <v>22878</v>
      </c>
      <c r="I8982" s="450" t="s">
        <v>37599</v>
      </c>
      <c r="J8982" s="450" t="s">
        <v>37574</v>
      </c>
      <c r="K8982" s="450"/>
    </row>
    <row r="8983" spans="1:11">
      <c r="A8983" s="451" t="s">
        <v>14859</v>
      </c>
      <c r="B8983" s="451"/>
      <c r="C8983" s="451" t="s">
        <v>14860</v>
      </c>
      <c r="D8983" s="451"/>
      <c r="E8983" s="451"/>
      <c r="F8983" s="451"/>
      <c r="G8983" s="451" t="s">
        <v>22877</v>
      </c>
      <c r="H8983" s="451" t="s">
        <v>22878</v>
      </c>
      <c r="I8983" s="451" t="s">
        <v>37600</v>
      </c>
      <c r="J8983" s="451" t="s">
        <v>23185</v>
      </c>
      <c r="K8983" s="451"/>
    </row>
    <row r="8984" spans="1:11">
      <c r="A8984" s="450" t="s">
        <v>14861</v>
      </c>
      <c r="B8984" s="450"/>
      <c r="C8984" s="450" t="s">
        <v>998</v>
      </c>
      <c r="D8984" s="450"/>
      <c r="E8984" s="450"/>
      <c r="F8984" s="450"/>
      <c r="G8984" s="450"/>
      <c r="H8984" s="450"/>
      <c r="I8984" s="450"/>
      <c r="J8984" s="450"/>
      <c r="K8984" s="450"/>
    </row>
    <row r="8985" spans="1:11">
      <c r="A8985" s="451" t="s">
        <v>37601</v>
      </c>
      <c r="B8985" s="451"/>
      <c r="C8985" s="451" t="s">
        <v>998</v>
      </c>
      <c r="D8985" s="451"/>
      <c r="E8985" s="451"/>
      <c r="F8985" s="451"/>
      <c r="G8985" s="451" t="s">
        <v>22882</v>
      </c>
      <c r="H8985" s="451" t="s">
        <v>22883</v>
      </c>
      <c r="I8985" s="451"/>
      <c r="J8985" s="451" t="s">
        <v>23370</v>
      </c>
      <c r="K8985" s="451"/>
    </row>
    <row r="8986" spans="1:11">
      <c r="A8986" s="450" t="s">
        <v>14862</v>
      </c>
      <c r="B8986" s="450"/>
      <c r="C8986" s="450" t="s">
        <v>14863</v>
      </c>
      <c r="D8986" s="450" t="s">
        <v>14864</v>
      </c>
      <c r="E8986" s="450"/>
      <c r="F8986" s="450"/>
      <c r="G8986" s="450" t="s">
        <v>22882</v>
      </c>
      <c r="H8986" s="450" t="s">
        <v>22883</v>
      </c>
      <c r="I8986" s="450"/>
      <c r="J8986" s="450" t="s">
        <v>37602</v>
      </c>
      <c r="K8986" s="450"/>
    </row>
    <row r="8987" spans="1:11">
      <c r="A8987" s="451" t="s">
        <v>14862</v>
      </c>
      <c r="B8987" s="451"/>
      <c r="C8987" s="451" t="s">
        <v>14863</v>
      </c>
      <c r="D8987" s="451" t="s">
        <v>14864</v>
      </c>
      <c r="E8987" s="451" t="s">
        <v>14865</v>
      </c>
      <c r="F8987" s="451"/>
      <c r="G8987" s="451"/>
      <c r="H8987" s="451"/>
      <c r="I8987" s="451"/>
      <c r="J8987" s="451"/>
      <c r="K8987" s="451"/>
    </row>
    <row r="8988" spans="1:11">
      <c r="A8988" s="450" t="s">
        <v>14866</v>
      </c>
      <c r="B8988" s="450"/>
      <c r="C8988" s="450" t="s">
        <v>4192</v>
      </c>
      <c r="D8988" s="450"/>
      <c r="E8988" s="450"/>
      <c r="F8988" s="450"/>
      <c r="G8988" s="450"/>
      <c r="H8988" s="450"/>
      <c r="I8988" s="450"/>
      <c r="J8988" s="450"/>
      <c r="K8988" s="450"/>
    </row>
    <row r="8989" spans="1:11">
      <c r="A8989" s="451" t="s">
        <v>21877</v>
      </c>
      <c r="B8989" s="451"/>
      <c r="C8989" s="451" t="s">
        <v>1164</v>
      </c>
      <c r="D8989" s="451"/>
      <c r="E8989" s="451"/>
      <c r="F8989" s="451"/>
      <c r="G8989" s="451" t="s">
        <v>22877</v>
      </c>
      <c r="H8989" s="451" t="s">
        <v>22878</v>
      </c>
      <c r="I8989" s="451" t="s">
        <v>37603</v>
      </c>
      <c r="J8989" s="451" t="s">
        <v>23185</v>
      </c>
      <c r="K8989" s="451"/>
    </row>
    <row r="8990" spans="1:11">
      <c r="A8990" s="450" t="s">
        <v>37604</v>
      </c>
      <c r="B8990" s="450"/>
      <c r="C8990" s="450" t="s">
        <v>14868</v>
      </c>
      <c r="D8990" s="450"/>
      <c r="E8990" s="450"/>
      <c r="F8990" s="450"/>
      <c r="G8990" s="450" t="s">
        <v>22877</v>
      </c>
      <c r="H8990" s="450" t="s">
        <v>22878</v>
      </c>
      <c r="I8990" s="450" t="s">
        <v>37605</v>
      </c>
      <c r="J8990" s="450" t="s">
        <v>27943</v>
      </c>
      <c r="K8990" s="450"/>
    </row>
    <row r="8991" spans="1:11">
      <c r="A8991" s="451" t="s">
        <v>14867</v>
      </c>
      <c r="B8991" s="451"/>
      <c r="C8991" s="451" t="s">
        <v>14868</v>
      </c>
      <c r="D8991" s="451"/>
      <c r="E8991" s="451"/>
      <c r="F8991" s="451"/>
      <c r="G8991" s="451"/>
      <c r="H8991" s="451"/>
      <c r="I8991" s="451"/>
      <c r="J8991" s="451"/>
      <c r="K8991" s="451"/>
    </row>
    <row r="8992" spans="1:11">
      <c r="A8992" s="450" t="s">
        <v>14869</v>
      </c>
      <c r="B8992" s="450" t="s">
        <v>14870</v>
      </c>
      <c r="C8992" s="450" t="s">
        <v>14871</v>
      </c>
      <c r="D8992" s="450"/>
      <c r="E8992" s="450"/>
      <c r="F8992" s="450"/>
      <c r="G8992" s="450" t="s">
        <v>22877</v>
      </c>
      <c r="H8992" s="450" t="s">
        <v>22878</v>
      </c>
      <c r="I8992" s="450" t="s">
        <v>28022</v>
      </c>
      <c r="J8992" s="450" t="s">
        <v>28023</v>
      </c>
      <c r="K8992" s="450"/>
    </row>
    <row r="8993" spans="1:11">
      <c r="A8993" s="451" t="s">
        <v>14872</v>
      </c>
      <c r="B8993" s="451"/>
      <c r="C8993" s="451" t="s">
        <v>14873</v>
      </c>
      <c r="D8993" s="451"/>
      <c r="E8993" s="451"/>
      <c r="F8993" s="451"/>
      <c r="G8993" s="451" t="s">
        <v>22877</v>
      </c>
      <c r="H8993" s="451" t="s">
        <v>22878</v>
      </c>
      <c r="I8993" s="451" t="s">
        <v>28024</v>
      </c>
      <c r="J8993" s="451" t="s">
        <v>23185</v>
      </c>
      <c r="K8993" s="451"/>
    </row>
    <row r="8994" spans="1:11">
      <c r="A8994" s="450" t="s">
        <v>28025</v>
      </c>
      <c r="B8994" s="450" t="s">
        <v>28026</v>
      </c>
      <c r="C8994" s="450" t="s">
        <v>20142</v>
      </c>
      <c r="D8994" s="450"/>
      <c r="E8994" s="450"/>
      <c r="F8994" s="450"/>
      <c r="G8994" s="450" t="s">
        <v>22877</v>
      </c>
      <c r="H8994" s="450" t="s">
        <v>22878</v>
      </c>
      <c r="I8994" s="450" t="s">
        <v>28027</v>
      </c>
      <c r="J8994" s="450" t="s">
        <v>28028</v>
      </c>
      <c r="K8994" s="450"/>
    </row>
    <row r="8995" spans="1:11">
      <c r="A8995" s="451" t="s">
        <v>14874</v>
      </c>
      <c r="B8995" s="451" t="s">
        <v>14875</v>
      </c>
      <c r="C8995" s="451" t="s">
        <v>4131</v>
      </c>
      <c r="D8995" s="451"/>
      <c r="E8995" s="451"/>
      <c r="F8995" s="451"/>
      <c r="G8995" s="451" t="s">
        <v>22877</v>
      </c>
      <c r="H8995" s="451" t="s">
        <v>22878</v>
      </c>
      <c r="I8995" s="451" t="s">
        <v>28029</v>
      </c>
      <c r="J8995" s="451" t="s">
        <v>28030</v>
      </c>
      <c r="K8995" s="451"/>
    </row>
    <row r="8996" spans="1:11">
      <c r="A8996" s="450" t="s">
        <v>37606</v>
      </c>
      <c r="B8996" s="450"/>
      <c r="C8996" s="450" t="s">
        <v>10963</v>
      </c>
      <c r="D8996" s="450"/>
      <c r="E8996" s="450"/>
      <c r="F8996" s="450"/>
      <c r="G8996" s="450" t="s">
        <v>22882</v>
      </c>
      <c r="H8996" s="450" t="s">
        <v>22883</v>
      </c>
      <c r="I8996" s="450"/>
      <c r="J8996" s="450" t="s">
        <v>27943</v>
      </c>
      <c r="K8996" s="450"/>
    </row>
    <row r="8997" spans="1:11">
      <c r="A8997" s="451" t="s">
        <v>14876</v>
      </c>
      <c r="B8997" s="451"/>
      <c r="C8997" s="451" t="s">
        <v>10963</v>
      </c>
      <c r="D8997" s="451"/>
      <c r="E8997" s="451"/>
      <c r="F8997" s="451"/>
      <c r="G8997" s="451"/>
      <c r="H8997" s="451"/>
      <c r="I8997" s="451"/>
      <c r="J8997" s="451"/>
      <c r="K8997" s="451"/>
    </row>
    <row r="8998" spans="1:11">
      <c r="A8998" s="450" t="s">
        <v>14877</v>
      </c>
      <c r="B8998" s="450"/>
      <c r="C8998" s="450" t="s">
        <v>14878</v>
      </c>
      <c r="D8998" s="450"/>
      <c r="E8998" s="450"/>
      <c r="F8998" s="450"/>
      <c r="G8998" s="450" t="s">
        <v>22882</v>
      </c>
      <c r="H8998" s="450" t="s">
        <v>22883</v>
      </c>
      <c r="I8998" s="450"/>
      <c r="J8998" s="450" t="s">
        <v>27977</v>
      </c>
      <c r="K8998" s="450"/>
    </row>
    <row r="8999" spans="1:11">
      <c r="A8999" s="451" t="s">
        <v>37607</v>
      </c>
      <c r="B8999" s="451"/>
      <c r="C8999" s="451" t="s">
        <v>6495</v>
      </c>
      <c r="D8999" s="451"/>
      <c r="E8999" s="451"/>
      <c r="F8999" s="451"/>
      <c r="G8999" s="451" t="s">
        <v>22882</v>
      </c>
      <c r="H8999" s="451" t="s">
        <v>22883</v>
      </c>
      <c r="I8999" s="451" t="s">
        <v>37608</v>
      </c>
      <c r="J8999" s="451" t="s">
        <v>27943</v>
      </c>
      <c r="K8999" s="451"/>
    </row>
    <row r="9000" spans="1:11">
      <c r="A9000" s="450" t="s">
        <v>14879</v>
      </c>
      <c r="B9000" s="450"/>
      <c r="C9000" s="450" t="s">
        <v>6495</v>
      </c>
      <c r="D9000" s="450"/>
      <c r="E9000" s="450"/>
      <c r="F9000" s="450"/>
      <c r="G9000" s="450"/>
      <c r="H9000" s="450"/>
      <c r="I9000" s="450"/>
      <c r="J9000" s="450"/>
      <c r="K9000" s="450"/>
    </row>
    <row r="9001" spans="1:11">
      <c r="A9001" s="451" t="s">
        <v>14880</v>
      </c>
      <c r="B9001" s="451"/>
      <c r="C9001" s="451" t="s">
        <v>14881</v>
      </c>
      <c r="D9001" s="451"/>
      <c r="E9001" s="451"/>
      <c r="F9001" s="451"/>
      <c r="G9001" s="451" t="s">
        <v>22877</v>
      </c>
      <c r="H9001" s="451" t="s">
        <v>22878</v>
      </c>
      <c r="I9001" s="451" t="s">
        <v>28031</v>
      </c>
      <c r="J9001" s="451" t="s">
        <v>23185</v>
      </c>
      <c r="K9001" s="451"/>
    </row>
    <row r="9002" spans="1:11">
      <c r="A9002" s="450" t="s">
        <v>28032</v>
      </c>
      <c r="B9002" s="450" t="s">
        <v>14704</v>
      </c>
      <c r="C9002" s="450" t="s">
        <v>14705</v>
      </c>
      <c r="D9002" s="450"/>
      <c r="E9002" s="450"/>
      <c r="F9002" s="450"/>
      <c r="G9002" s="450" t="s">
        <v>22877</v>
      </c>
      <c r="H9002" s="450" t="s">
        <v>22878</v>
      </c>
      <c r="I9002" s="450" t="s">
        <v>28033</v>
      </c>
      <c r="J9002" s="450" t="s">
        <v>28034</v>
      </c>
      <c r="K9002" s="450"/>
    </row>
    <row r="9003" spans="1:11">
      <c r="A9003" s="451" t="s">
        <v>37609</v>
      </c>
      <c r="B9003" s="451" t="s">
        <v>14883</v>
      </c>
      <c r="C9003" s="451" t="s">
        <v>14884</v>
      </c>
      <c r="D9003" s="451" t="s">
        <v>14885</v>
      </c>
      <c r="E9003" s="451"/>
      <c r="F9003" s="451"/>
      <c r="G9003" s="451" t="s">
        <v>22877</v>
      </c>
      <c r="H9003" s="451" t="s">
        <v>22878</v>
      </c>
      <c r="I9003" s="451" t="s">
        <v>14885</v>
      </c>
      <c r="J9003" s="451" t="s">
        <v>37610</v>
      </c>
      <c r="K9003" s="451"/>
    </row>
    <row r="9004" spans="1:11">
      <c r="A9004" s="450" t="s">
        <v>14882</v>
      </c>
      <c r="B9004" s="450" t="s">
        <v>14883</v>
      </c>
      <c r="C9004" s="450" t="s">
        <v>14884</v>
      </c>
      <c r="D9004" s="450" t="s">
        <v>14885</v>
      </c>
      <c r="E9004" s="450" t="s">
        <v>14885</v>
      </c>
      <c r="F9004" s="450"/>
      <c r="G9004" s="450"/>
      <c r="H9004" s="450"/>
      <c r="I9004" s="450"/>
      <c r="J9004" s="450"/>
      <c r="K9004" s="450"/>
    </row>
    <row r="9005" spans="1:11">
      <c r="A9005" s="451" t="s">
        <v>14886</v>
      </c>
      <c r="B9005" s="451"/>
      <c r="C9005" s="451" t="s">
        <v>14887</v>
      </c>
      <c r="D9005" s="451"/>
      <c r="E9005" s="451"/>
      <c r="F9005" s="451"/>
      <c r="G9005" s="451" t="s">
        <v>22877</v>
      </c>
      <c r="H9005" s="451" t="s">
        <v>22878</v>
      </c>
      <c r="I9005" s="451" t="s">
        <v>37611</v>
      </c>
      <c r="J9005" s="451" t="s">
        <v>23185</v>
      </c>
      <c r="K9005" s="451"/>
    </row>
    <row r="9006" spans="1:11">
      <c r="A9006" s="450" t="s">
        <v>14888</v>
      </c>
      <c r="B9006" s="450"/>
      <c r="C9006" s="450" t="s">
        <v>5657</v>
      </c>
      <c r="D9006" s="450"/>
      <c r="E9006" s="450"/>
      <c r="F9006" s="450"/>
      <c r="G9006" s="450" t="s">
        <v>22877</v>
      </c>
      <c r="H9006" s="450" t="s">
        <v>22878</v>
      </c>
      <c r="I9006" s="450" t="s">
        <v>37612</v>
      </c>
      <c r="J9006" s="450" t="s">
        <v>37613</v>
      </c>
      <c r="K9006" s="450"/>
    </row>
    <row r="9007" spans="1:11">
      <c r="A9007" s="451" t="s">
        <v>37614</v>
      </c>
      <c r="B9007" s="451"/>
      <c r="C9007" s="451" t="s">
        <v>8370</v>
      </c>
      <c r="D9007" s="451"/>
      <c r="E9007" s="451"/>
      <c r="F9007" s="451"/>
      <c r="G9007" s="451" t="s">
        <v>22877</v>
      </c>
      <c r="H9007" s="451" t="s">
        <v>22878</v>
      </c>
      <c r="I9007" s="451" t="s">
        <v>37615</v>
      </c>
      <c r="J9007" s="451" t="s">
        <v>22997</v>
      </c>
      <c r="K9007" s="451"/>
    </row>
    <row r="9008" spans="1:11">
      <c r="A9008" s="450" t="s">
        <v>21878</v>
      </c>
      <c r="B9008" s="450"/>
      <c r="C9008" s="450" t="s">
        <v>8370</v>
      </c>
      <c r="D9008" s="450"/>
      <c r="E9008" s="450"/>
      <c r="F9008" s="450"/>
      <c r="G9008" s="450"/>
      <c r="H9008" s="450"/>
      <c r="I9008" s="450"/>
      <c r="J9008" s="450"/>
      <c r="K9008" s="450"/>
    </row>
    <row r="9009" spans="1:11">
      <c r="A9009" s="451" t="s">
        <v>37616</v>
      </c>
      <c r="B9009" s="451"/>
      <c r="C9009" s="451" t="s">
        <v>14016</v>
      </c>
      <c r="D9009" s="451"/>
      <c r="E9009" s="451"/>
      <c r="F9009" s="451"/>
      <c r="G9009" s="451" t="s">
        <v>22877</v>
      </c>
      <c r="H9009" s="451" t="s">
        <v>22878</v>
      </c>
      <c r="I9009" s="451" t="s">
        <v>37617</v>
      </c>
      <c r="J9009" s="451" t="s">
        <v>22943</v>
      </c>
      <c r="K9009" s="451"/>
    </row>
    <row r="9010" spans="1:11">
      <c r="A9010" s="450" t="s">
        <v>14889</v>
      </c>
      <c r="B9010" s="450"/>
      <c r="C9010" s="450" t="s">
        <v>14016</v>
      </c>
      <c r="D9010" s="450"/>
      <c r="E9010" s="450"/>
      <c r="F9010" s="450"/>
      <c r="G9010" s="450"/>
      <c r="H9010" s="450"/>
      <c r="I9010" s="450"/>
      <c r="J9010" s="450"/>
      <c r="K9010" s="450"/>
    </row>
    <row r="9011" spans="1:11">
      <c r="A9011" s="451" t="s">
        <v>14890</v>
      </c>
      <c r="B9011" s="451"/>
      <c r="C9011" s="451" t="s">
        <v>14891</v>
      </c>
      <c r="D9011" s="451"/>
      <c r="E9011" s="451"/>
      <c r="F9011" s="451"/>
      <c r="G9011" s="451" t="s">
        <v>22877</v>
      </c>
      <c r="H9011" s="451" t="s">
        <v>22878</v>
      </c>
      <c r="I9011" s="451" t="s">
        <v>37618</v>
      </c>
      <c r="J9011" s="451" t="s">
        <v>37619</v>
      </c>
      <c r="K9011" s="451"/>
    </row>
    <row r="9012" spans="1:11">
      <c r="A9012" s="450" t="s">
        <v>14892</v>
      </c>
      <c r="B9012" s="450"/>
      <c r="C9012" s="450" t="s">
        <v>14893</v>
      </c>
      <c r="D9012" s="450"/>
      <c r="E9012" s="450"/>
      <c r="F9012" s="450"/>
      <c r="G9012" s="450" t="s">
        <v>22877</v>
      </c>
      <c r="H9012" s="450" t="s">
        <v>22878</v>
      </c>
      <c r="I9012" s="450" t="s">
        <v>28035</v>
      </c>
      <c r="J9012" s="450" t="s">
        <v>22943</v>
      </c>
      <c r="K9012" s="450"/>
    </row>
    <row r="9013" spans="1:11">
      <c r="A9013" s="451" t="s">
        <v>37620</v>
      </c>
      <c r="B9013" s="451" t="s">
        <v>14895</v>
      </c>
      <c r="C9013" s="451" t="s">
        <v>14896</v>
      </c>
      <c r="D9013" s="451"/>
      <c r="E9013" s="451"/>
      <c r="F9013" s="451"/>
      <c r="G9013" s="451" t="s">
        <v>22877</v>
      </c>
      <c r="H9013" s="451" t="s">
        <v>22878</v>
      </c>
      <c r="I9013" s="451" t="s">
        <v>37621</v>
      </c>
      <c r="J9013" s="451" t="s">
        <v>37622</v>
      </c>
      <c r="K9013" s="451"/>
    </row>
    <row r="9014" spans="1:11">
      <c r="A9014" s="450" t="s">
        <v>14894</v>
      </c>
      <c r="B9014" s="450" t="s">
        <v>14895</v>
      </c>
      <c r="C9014" s="450" t="s">
        <v>14896</v>
      </c>
      <c r="D9014" s="450"/>
      <c r="E9014" s="450"/>
      <c r="F9014" s="450"/>
      <c r="G9014" s="450"/>
      <c r="H9014" s="450"/>
      <c r="I9014" s="450"/>
      <c r="J9014" s="450"/>
      <c r="K9014" s="450"/>
    </row>
    <row r="9015" spans="1:11">
      <c r="A9015" s="451" t="s">
        <v>28036</v>
      </c>
      <c r="B9015" s="451" t="s">
        <v>28037</v>
      </c>
      <c r="C9015" s="451" t="s">
        <v>14899</v>
      </c>
      <c r="D9015" s="451" t="s">
        <v>14900</v>
      </c>
      <c r="E9015" s="451"/>
      <c r="F9015" s="451"/>
      <c r="G9015" s="451" t="s">
        <v>22877</v>
      </c>
      <c r="H9015" s="451" t="s">
        <v>22878</v>
      </c>
      <c r="I9015" s="451" t="s">
        <v>14900</v>
      </c>
      <c r="J9015" s="451" t="s">
        <v>28038</v>
      </c>
      <c r="K9015" s="451"/>
    </row>
    <row r="9016" spans="1:11">
      <c r="A9016" s="450" t="s">
        <v>14897</v>
      </c>
      <c r="B9016" s="450" t="s">
        <v>14898</v>
      </c>
      <c r="C9016" s="450" t="s">
        <v>14899</v>
      </c>
      <c r="D9016" s="450" t="s">
        <v>14900</v>
      </c>
      <c r="E9016" s="450" t="s">
        <v>14901</v>
      </c>
      <c r="F9016" s="450"/>
      <c r="G9016" s="450"/>
      <c r="H9016" s="450"/>
      <c r="I9016" s="450"/>
      <c r="J9016" s="450"/>
      <c r="K9016" s="450"/>
    </row>
    <row r="9017" spans="1:11">
      <c r="A9017" s="451" t="s">
        <v>21879</v>
      </c>
      <c r="B9017" s="451"/>
      <c r="C9017" s="451" t="s">
        <v>14902</v>
      </c>
      <c r="D9017" s="451"/>
      <c r="E9017" s="451"/>
      <c r="F9017" s="451"/>
      <c r="G9017" s="451" t="s">
        <v>22877</v>
      </c>
      <c r="H9017" s="451" t="s">
        <v>22878</v>
      </c>
      <c r="I9017" s="451" t="s">
        <v>37623</v>
      </c>
      <c r="J9017" s="451" t="s">
        <v>23185</v>
      </c>
      <c r="K9017" s="451"/>
    </row>
    <row r="9018" spans="1:11">
      <c r="A9018" s="450" t="s">
        <v>14903</v>
      </c>
      <c r="B9018" s="450"/>
      <c r="C9018" s="450" t="s">
        <v>1081</v>
      </c>
      <c r="D9018" s="450"/>
      <c r="E9018" s="450"/>
      <c r="F9018" s="450"/>
      <c r="G9018" s="450" t="s">
        <v>22877</v>
      </c>
      <c r="H9018" s="450" t="s">
        <v>22878</v>
      </c>
      <c r="I9018" s="450" t="s">
        <v>37624</v>
      </c>
      <c r="J9018" s="450" t="s">
        <v>22943</v>
      </c>
      <c r="K9018" s="450"/>
    </row>
    <row r="9019" spans="1:11">
      <c r="A9019" s="451" t="s">
        <v>14904</v>
      </c>
      <c r="B9019" s="451"/>
      <c r="C9019" s="451" t="s">
        <v>14061</v>
      </c>
      <c r="D9019" s="451"/>
      <c r="E9019" s="451"/>
      <c r="F9019" s="451"/>
      <c r="G9019" s="451" t="s">
        <v>22877</v>
      </c>
      <c r="H9019" s="451" t="s">
        <v>22878</v>
      </c>
      <c r="I9019" s="451" t="s">
        <v>37625</v>
      </c>
      <c r="J9019" s="451" t="s">
        <v>23370</v>
      </c>
      <c r="K9019" s="451"/>
    </row>
    <row r="9020" spans="1:11">
      <c r="A9020" s="450" t="s">
        <v>14905</v>
      </c>
      <c r="B9020" s="450"/>
      <c r="C9020" s="450" t="s">
        <v>14906</v>
      </c>
      <c r="D9020" s="450"/>
      <c r="E9020" s="450"/>
      <c r="F9020" s="450"/>
      <c r="G9020" s="450" t="s">
        <v>22877</v>
      </c>
      <c r="H9020" s="450" t="s">
        <v>22878</v>
      </c>
      <c r="I9020" s="450" t="s">
        <v>37626</v>
      </c>
      <c r="J9020" s="450" t="s">
        <v>22939</v>
      </c>
      <c r="K9020" s="450"/>
    </row>
    <row r="9021" spans="1:11">
      <c r="A9021" s="451" t="s">
        <v>37627</v>
      </c>
      <c r="B9021" s="451"/>
      <c r="C9021" s="451" t="s">
        <v>14908</v>
      </c>
      <c r="D9021" s="451"/>
      <c r="E9021" s="451"/>
      <c r="F9021" s="451"/>
      <c r="G9021" s="451" t="s">
        <v>22877</v>
      </c>
      <c r="H9021" s="451" t="s">
        <v>22878</v>
      </c>
      <c r="I9021" s="451" t="s">
        <v>37628</v>
      </c>
      <c r="J9021" s="451" t="s">
        <v>23370</v>
      </c>
      <c r="K9021" s="451"/>
    </row>
    <row r="9022" spans="1:11">
      <c r="A9022" s="450" t="s">
        <v>14907</v>
      </c>
      <c r="B9022" s="450"/>
      <c r="C9022" s="450" t="s">
        <v>14908</v>
      </c>
      <c r="D9022" s="450"/>
      <c r="E9022" s="450"/>
      <c r="F9022" s="450"/>
      <c r="G9022" s="450"/>
      <c r="H9022" s="450"/>
      <c r="I9022" s="450"/>
      <c r="J9022" s="450"/>
      <c r="K9022" s="450"/>
    </row>
    <row r="9023" spans="1:11">
      <c r="A9023" s="451" t="s">
        <v>14909</v>
      </c>
      <c r="B9023" s="451"/>
      <c r="C9023" s="451" t="s">
        <v>14910</v>
      </c>
      <c r="D9023" s="451"/>
      <c r="E9023" s="451"/>
      <c r="F9023" s="451"/>
      <c r="G9023" s="451" t="s">
        <v>22882</v>
      </c>
      <c r="H9023" s="451" t="s">
        <v>22883</v>
      </c>
      <c r="I9023" s="451" t="s">
        <v>37629</v>
      </c>
      <c r="J9023" s="451" t="s">
        <v>22943</v>
      </c>
      <c r="K9023" s="451"/>
    </row>
    <row r="9024" spans="1:11">
      <c r="A9024" s="450" t="s">
        <v>14911</v>
      </c>
      <c r="B9024" s="450"/>
      <c r="C9024" s="450" t="s">
        <v>6930</v>
      </c>
      <c r="D9024" s="450"/>
      <c r="E9024" s="450"/>
      <c r="F9024" s="450"/>
      <c r="G9024" s="450"/>
      <c r="H9024" s="450"/>
      <c r="I9024" s="450"/>
      <c r="J9024" s="450"/>
      <c r="K9024" s="450"/>
    </row>
    <row r="9025" spans="1:11">
      <c r="A9025" s="451" t="s">
        <v>37630</v>
      </c>
      <c r="B9025" s="451"/>
      <c r="C9025" s="451" t="s">
        <v>6930</v>
      </c>
      <c r="D9025" s="451"/>
      <c r="E9025" s="451"/>
      <c r="F9025" s="451"/>
      <c r="G9025" s="451" t="s">
        <v>22877</v>
      </c>
      <c r="H9025" s="451" t="s">
        <v>22878</v>
      </c>
      <c r="I9025" s="451" t="s">
        <v>37631</v>
      </c>
      <c r="J9025" s="451" t="s">
        <v>22997</v>
      </c>
      <c r="K9025" s="451"/>
    </row>
    <row r="9026" spans="1:11">
      <c r="A9026" s="450" t="s">
        <v>14912</v>
      </c>
      <c r="B9026" s="450"/>
      <c r="C9026" s="450" t="s">
        <v>7176</v>
      </c>
      <c r="D9026" s="450"/>
      <c r="E9026" s="450"/>
      <c r="F9026" s="450"/>
      <c r="G9026" s="450" t="s">
        <v>22877</v>
      </c>
      <c r="H9026" s="450" t="s">
        <v>22878</v>
      </c>
      <c r="I9026" s="450" t="s">
        <v>37632</v>
      </c>
      <c r="J9026" s="450" t="s">
        <v>22948</v>
      </c>
      <c r="K9026" s="450"/>
    </row>
    <row r="9027" spans="1:11">
      <c r="A9027" s="451" t="s">
        <v>37633</v>
      </c>
      <c r="B9027" s="451" t="s">
        <v>37634</v>
      </c>
      <c r="C9027" s="451" t="s">
        <v>37635</v>
      </c>
      <c r="D9027" s="451"/>
      <c r="E9027" s="451"/>
      <c r="F9027" s="451"/>
      <c r="G9027" s="451"/>
      <c r="H9027" s="451"/>
      <c r="I9027" s="451"/>
      <c r="J9027" s="451"/>
      <c r="K9027" s="451"/>
    </row>
    <row r="9028" spans="1:11">
      <c r="A9028" s="450" t="s">
        <v>14913</v>
      </c>
      <c r="B9028" s="450"/>
      <c r="C9028" s="450" t="s">
        <v>1421</v>
      </c>
      <c r="D9028" s="450"/>
      <c r="E9028" s="450"/>
      <c r="F9028" s="450"/>
      <c r="G9028" s="450" t="s">
        <v>22882</v>
      </c>
      <c r="H9028" s="450" t="s">
        <v>22883</v>
      </c>
      <c r="I9028" s="450"/>
      <c r="J9028" s="450" t="s">
        <v>22943</v>
      </c>
      <c r="K9028" s="450"/>
    </row>
    <row r="9029" spans="1:11">
      <c r="A9029" s="451" t="s">
        <v>14914</v>
      </c>
      <c r="B9029" s="451"/>
      <c r="C9029" s="451" t="s">
        <v>14915</v>
      </c>
      <c r="D9029" s="451"/>
      <c r="E9029" s="451"/>
      <c r="F9029" s="451"/>
      <c r="G9029" s="451" t="s">
        <v>22877</v>
      </c>
      <c r="H9029" s="451" t="s">
        <v>22878</v>
      </c>
      <c r="I9029" s="451" t="s">
        <v>37636</v>
      </c>
      <c r="J9029" s="451" t="s">
        <v>22943</v>
      </c>
      <c r="K9029" s="451"/>
    </row>
    <row r="9030" spans="1:11">
      <c r="A9030" s="450" t="s">
        <v>14916</v>
      </c>
      <c r="B9030" s="450"/>
      <c r="C9030" s="450" t="s">
        <v>14917</v>
      </c>
      <c r="D9030" s="450"/>
      <c r="E9030" s="450"/>
      <c r="F9030" s="450"/>
      <c r="G9030" s="450" t="s">
        <v>22877</v>
      </c>
      <c r="H9030" s="450" t="s">
        <v>22878</v>
      </c>
      <c r="I9030" s="450" t="s">
        <v>37637</v>
      </c>
      <c r="J9030" s="450" t="s">
        <v>22943</v>
      </c>
      <c r="K9030" s="450"/>
    </row>
    <row r="9031" spans="1:11">
      <c r="A9031" s="451" t="s">
        <v>14918</v>
      </c>
      <c r="B9031" s="451"/>
      <c r="C9031" s="451" t="s">
        <v>14919</v>
      </c>
      <c r="D9031" s="451"/>
      <c r="E9031" s="451"/>
      <c r="F9031" s="451"/>
      <c r="G9031" s="451" t="s">
        <v>22877</v>
      </c>
      <c r="H9031" s="451" t="s">
        <v>22878</v>
      </c>
      <c r="I9031" s="451" t="s">
        <v>37638</v>
      </c>
      <c r="J9031" s="451" t="s">
        <v>22943</v>
      </c>
      <c r="K9031" s="451"/>
    </row>
    <row r="9032" spans="1:11">
      <c r="A9032" s="450" t="s">
        <v>14920</v>
      </c>
      <c r="B9032" s="450"/>
      <c r="C9032" s="450" t="s">
        <v>14921</v>
      </c>
      <c r="D9032" s="450"/>
      <c r="E9032" s="450"/>
      <c r="F9032" s="450"/>
      <c r="G9032" s="450" t="s">
        <v>22882</v>
      </c>
      <c r="H9032" s="450" t="s">
        <v>22883</v>
      </c>
      <c r="I9032" s="450"/>
      <c r="J9032" s="450" t="s">
        <v>22939</v>
      </c>
      <c r="K9032" s="450"/>
    </row>
    <row r="9033" spans="1:11">
      <c r="A9033" s="451" t="s">
        <v>37639</v>
      </c>
      <c r="B9033" s="451"/>
      <c r="C9033" s="451" t="s">
        <v>14707</v>
      </c>
      <c r="D9033" s="451"/>
      <c r="E9033" s="451"/>
      <c r="F9033" s="451"/>
      <c r="G9033" s="451" t="s">
        <v>22877</v>
      </c>
      <c r="H9033" s="451" t="s">
        <v>22878</v>
      </c>
      <c r="I9033" s="451" t="s">
        <v>37640</v>
      </c>
      <c r="J9033" s="451" t="s">
        <v>22997</v>
      </c>
      <c r="K9033" s="451"/>
    </row>
    <row r="9034" spans="1:11">
      <c r="A9034" s="450" t="s">
        <v>14922</v>
      </c>
      <c r="B9034" s="450"/>
      <c r="C9034" s="450" t="s">
        <v>14923</v>
      </c>
      <c r="D9034" s="450"/>
      <c r="E9034" s="450"/>
      <c r="F9034" s="450"/>
      <c r="G9034" s="450" t="s">
        <v>22877</v>
      </c>
      <c r="H9034" s="450" t="s">
        <v>22878</v>
      </c>
      <c r="I9034" s="450" t="s">
        <v>37641</v>
      </c>
      <c r="J9034" s="450" t="s">
        <v>22943</v>
      </c>
      <c r="K9034" s="450"/>
    </row>
    <row r="9035" spans="1:11">
      <c r="A9035" s="451" t="s">
        <v>14924</v>
      </c>
      <c r="B9035" s="451"/>
      <c r="C9035" s="451" t="s">
        <v>14925</v>
      </c>
      <c r="D9035" s="451"/>
      <c r="E9035" s="451"/>
      <c r="F9035" s="451"/>
      <c r="G9035" s="451" t="s">
        <v>22877</v>
      </c>
      <c r="H9035" s="451" t="s">
        <v>22878</v>
      </c>
      <c r="I9035" s="451" t="s">
        <v>37642</v>
      </c>
      <c r="J9035" s="451" t="s">
        <v>22948</v>
      </c>
      <c r="K9035" s="451"/>
    </row>
    <row r="9036" spans="1:11">
      <c r="A9036" s="450" t="s">
        <v>37643</v>
      </c>
      <c r="B9036" s="450"/>
      <c r="C9036" s="450" t="s">
        <v>2304</v>
      </c>
      <c r="D9036" s="450"/>
      <c r="E9036" s="450"/>
      <c r="F9036" s="450"/>
      <c r="G9036" s="450" t="s">
        <v>22882</v>
      </c>
      <c r="H9036" s="450" t="s">
        <v>22883</v>
      </c>
      <c r="I9036" s="450" t="s">
        <v>37644</v>
      </c>
      <c r="J9036" s="450" t="s">
        <v>22943</v>
      </c>
      <c r="K9036" s="450"/>
    </row>
    <row r="9037" spans="1:11">
      <c r="A9037" s="451" t="s">
        <v>14926</v>
      </c>
      <c r="B9037" s="451"/>
      <c r="C9037" s="451" t="s">
        <v>2304</v>
      </c>
      <c r="D9037" s="451"/>
      <c r="E9037" s="451"/>
      <c r="F9037" s="451"/>
      <c r="G9037" s="451"/>
      <c r="H9037" s="451"/>
      <c r="I9037" s="451"/>
      <c r="J9037" s="451"/>
      <c r="K9037" s="451"/>
    </row>
    <row r="9038" spans="1:11">
      <c r="A9038" s="450" t="s">
        <v>14927</v>
      </c>
      <c r="B9038" s="450"/>
      <c r="C9038" s="450" t="s">
        <v>14928</v>
      </c>
      <c r="D9038" s="450"/>
      <c r="E9038" s="450"/>
      <c r="F9038" s="450"/>
      <c r="G9038" s="450" t="s">
        <v>22877</v>
      </c>
      <c r="H9038" s="450" t="s">
        <v>22878</v>
      </c>
      <c r="I9038" s="450" t="s">
        <v>28039</v>
      </c>
      <c r="J9038" s="450" t="s">
        <v>22943</v>
      </c>
      <c r="K9038" s="450"/>
    </row>
    <row r="9039" spans="1:11">
      <c r="A9039" s="451" t="s">
        <v>28040</v>
      </c>
      <c r="B9039" s="451" t="s">
        <v>28041</v>
      </c>
      <c r="C9039" s="451" t="s">
        <v>2168</v>
      </c>
      <c r="D9039" s="451" t="s">
        <v>14931</v>
      </c>
      <c r="E9039" s="451"/>
      <c r="F9039" s="451"/>
      <c r="G9039" s="451" t="s">
        <v>22877</v>
      </c>
      <c r="H9039" s="451" t="s">
        <v>22878</v>
      </c>
      <c r="I9039" s="451" t="s">
        <v>14931</v>
      </c>
      <c r="J9039" s="451" t="s">
        <v>28042</v>
      </c>
      <c r="K9039" s="451"/>
    </row>
    <row r="9040" spans="1:11">
      <c r="A9040" s="450" t="s">
        <v>14929</v>
      </c>
      <c r="B9040" s="450" t="s">
        <v>14930</v>
      </c>
      <c r="C9040" s="450" t="s">
        <v>2168</v>
      </c>
      <c r="D9040" s="450" t="s">
        <v>14931</v>
      </c>
      <c r="E9040" s="450" t="s">
        <v>14932</v>
      </c>
      <c r="F9040" s="450"/>
      <c r="G9040" s="450"/>
      <c r="H9040" s="450"/>
      <c r="I9040" s="450"/>
      <c r="J9040" s="450"/>
      <c r="K9040" s="450"/>
    </row>
    <row r="9041" spans="1:11">
      <c r="A9041" s="451" t="s">
        <v>14933</v>
      </c>
      <c r="B9041" s="451"/>
      <c r="C9041" s="451" t="s">
        <v>14934</v>
      </c>
      <c r="D9041" s="451"/>
      <c r="E9041" s="451"/>
      <c r="F9041" s="451"/>
      <c r="G9041" s="451" t="s">
        <v>22882</v>
      </c>
      <c r="H9041" s="451" t="s">
        <v>22883</v>
      </c>
      <c r="I9041" s="451"/>
      <c r="J9041" s="451" t="s">
        <v>22939</v>
      </c>
      <c r="K9041" s="451"/>
    </row>
    <row r="9042" spans="1:11">
      <c r="A9042" s="450" t="s">
        <v>37645</v>
      </c>
      <c r="B9042" s="450"/>
      <c r="C9042" s="450" t="s">
        <v>14936</v>
      </c>
      <c r="D9042" s="450"/>
      <c r="E9042" s="450"/>
      <c r="F9042" s="450"/>
      <c r="G9042" s="450" t="s">
        <v>22877</v>
      </c>
      <c r="H9042" s="450" t="s">
        <v>22878</v>
      </c>
      <c r="I9042" s="450" t="s">
        <v>37646</v>
      </c>
      <c r="J9042" s="450" t="s">
        <v>23370</v>
      </c>
      <c r="K9042" s="450"/>
    </row>
    <row r="9043" spans="1:11">
      <c r="A9043" s="451" t="s">
        <v>14935</v>
      </c>
      <c r="B9043" s="451"/>
      <c r="C9043" s="451" t="s">
        <v>14936</v>
      </c>
      <c r="D9043" s="451"/>
      <c r="E9043" s="451"/>
      <c r="F9043" s="451"/>
      <c r="G9043" s="451"/>
      <c r="H9043" s="451"/>
      <c r="I9043" s="451"/>
      <c r="J9043" s="451"/>
      <c r="K9043" s="451"/>
    </row>
    <row r="9044" spans="1:11">
      <c r="A9044" s="450" t="s">
        <v>37647</v>
      </c>
      <c r="B9044" s="450"/>
      <c r="C9044" s="450" t="s">
        <v>4942</v>
      </c>
      <c r="D9044" s="450"/>
      <c r="E9044" s="450"/>
      <c r="F9044" s="450"/>
      <c r="G9044" s="450" t="s">
        <v>22882</v>
      </c>
      <c r="H9044" s="450" t="s">
        <v>22883</v>
      </c>
      <c r="I9044" s="450"/>
      <c r="J9044" s="450" t="s">
        <v>23370</v>
      </c>
      <c r="K9044" s="450"/>
    </row>
    <row r="9045" spans="1:11">
      <c r="A9045" s="451" t="s">
        <v>14937</v>
      </c>
      <c r="B9045" s="451"/>
      <c r="C9045" s="451" t="s">
        <v>4942</v>
      </c>
      <c r="D9045" s="451"/>
      <c r="E9045" s="451"/>
      <c r="F9045" s="451"/>
      <c r="G9045" s="451"/>
      <c r="H9045" s="451"/>
      <c r="I9045" s="451"/>
      <c r="J9045" s="451"/>
      <c r="K9045" s="451"/>
    </row>
    <row r="9046" spans="1:11">
      <c r="A9046" s="450" t="s">
        <v>37648</v>
      </c>
      <c r="B9046" s="450"/>
      <c r="C9046" s="450" t="s">
        <v>14609</v>
      </c>
      <c r="D9046" s="450"/>
      <c r="E9046" s="450"/>
      <c r="F9046" s="450"/>
      <c r="G9046" s="450" t="s">
        <v>22882</v>
      </c>
      <c r="H9046" s="450" t="s">
        <v>22883</v>
      </c>
      <c r="I9046" s="450" t="s">
        <v>37649</v>
      </c>
      <c r="J9046" s="450" t="s">
        <v>22943</v>
      </c>
      <c r="K9046" s="450"/>
    </row>
    <row r="9047" spans="1:11">
      <c r="A9047" s="451" t="s">
        <v>14938</v>
      </c>
      <c r="B9047" s="451"/>
      <c r="C9047" s="451" t="s">
        <v>14609</v>
      </c>
      <c r="D9047" s="451"/>
      <c r="E9047" s="451"/>
      <c r="F9047" s="451"/>
      <c r="G9047" s="451"/>
      <c r="H9047" s="451"/>
      <c r="I9047" s="451"/>
      <c r="J9047" s="451"/>
      <c r="K9047" s="451"/>
    </row>
    <row r="9048" spans="1:11">
      <c r="A9048" s="450" t="s">
        <v>14939</v>
      </c>
      <c r="B9048" s="450"/>
      <c r="C9048" s="450" t="s">
        <v>14940</v>
      </c>
      <c r="D9048" s="450"/>
      <c r="E9048" s="450"/>
      <c r="F9048" s="450"/>
      <c r="G9048" s="450" t="s">
        <v>22882</v>
      </c>
      <c r="H9048" s="450" t="s">
        <v>22883</v>
      </c>
      <c r="I9048" s="450" t="s">
        <v>37650</v>
      </c>
      <c r="J9048" s="450" t="s">
        <v>22943</v>
      </c>
      <c r="K9048" s="450"/>
    </row>
    <row r="9049" spans="1:11">
      <c r="A9049" s="451" t="s">
        <v>14941</v>
      </c>
      <c r="B9049" s="451"/>
      <c r="C9049" s="451" t="s">
        <v>14942</v>
      </c>
      <c r="D9049" s="451"/>
      <c r="E9049" s="451"/>
      <c r="F9049" s="451"/>
      <c r="G9049" s="451" t="s">
        <v>22877</v>
      </c>
      <c r="H9049" s="451" t="s">
        <v>22878</v>
      </c>
      <c r="I9049" s="451" t="s">
        <v>28043</v>
      </c>
      <c r="J9049" s="451" t="s">
        <v>22943</v>
      </c>
      <c r="K9049" s="451"/>
    </row>
    <row r="9050" spans="1:11">
      <c r="A9050" s="450" t="s">
        <v>14943</v>
      </c>
      <c r="B9050" s="450" t="s">
        <v>28044</v>
      </c>
      <c r="C9050" s="450" t="s">
        <v>7289</v>
      </c>
      <c r="D9050" s="450"/>
      <c r="E9050" s="450"/>
      <c r="F9050" s="450"/>
      <c r="G9050" s="450" t="s">
        <v>22877</v>
      </c>
      <c r="H9050" s="450" t="s">
        <v>22878</v>
      </c>
      <c r="I9050" s="450" t="s">
        <v>28045</v>
      </c>
      <c r="J9050" s="450" t="s">
        <v>28046</v>
      </c>
      <c r="K9050" s="450"/>
    </row>
    <row r="9051" spans="1:11">
      <c r="A9051" s="451" t="s">
        <v>14943</v>
      </c>
      <c r="B9051" s="451" t="s">
        <v>14944</v>
      </c>
      <c r="C9051" s="451" t="s">
        <v>7289</v>
      </c>
      <c r="D9051" s="451"/>
      <c r="E9051" s="451"/>
      <c r="F9051" s="451"/>
      <c r="G9051" s="451"/>
      <c r="H9051" s="451"/>
      <c r="I9051" s="451"/>
      <c r="J9051" s="451"/>
      <c r="K9051" s="451"/>
    </row>
    <row r="9052" spans="1:11">
      <c r="A9052" s="450" t="s">
        <v>37651</v>
      </c>
      <c r="B9052" s="450"/>
      <c r="C9052" s="450" t="s">
        <v>11628</v>
      </c>
      <c r="D9052" s="450"/>
      <c r="E9052" s="450"/>
      <c r="F9052" s="450"/>
      <c r="G9052" s="450" t="s">
        <v>22877</v>
      </c>
      <c r="H9052" s="450" t="s">
        <v>22878</v>
      </c>
      <c r="I9052" s="450" t="s">
        <v>37652</v>
      </c>
      <c r="J9052" s="450" t="s">
        <v>22943</v>
      </c>
      <c r="K9052" s="450"/>
    </row>
    <row r="9053" spans="1:11">
      <c r="A9053" s="451" t="s">
        <v>14945</v>
      </c>
      <c r="B9053" s="451"/>
      <c r="C9053" s="451" t="s">
        <v>11628</v>
      </c>
      <c r="D9053" s="451"/>
      <c r="E9053" s="451"/>
      <c r="F9053" s="451"/>
      <c r="G9053" s="451"/>
      <c r="H9053" s="451"/>
      <c r="I9053" s="451"/>
      <c r="J9053" s="451"/>
      <c r="K9053" s="451"/>
    </row>
    <row r="9054" spans="1:11">
      <c r="A9054" s="450" t="s">
        <v>14946</v>
      </c>
      <c r="B9054" s="450"/>
      <c r="C9054" s="450" t="s">
        <v>4565</v>
      </c>
      <c r="D9054" s="450"/>
      <c r="E9054" s="450"/>
      <c r="F9054" s="450"/>
      <c r="G9054" s="450" t="s">
        <v>22877</v>
      </c>
      <c r="H9054" s="450" t="s">
        <v>22878</v>
      </c>
      <c r="I9054" s="450" t="s">
        <v>28047</v>
      </c>
      <c r="J9054" s="450" t="s">
        <v>22939</v>
      </c>
      <c r="K9054" s="450"/>
    </row>
    <row r="9055" spans="1:11">
      <c r="A9055" s="451" t="s">
        <v>14947</v>
      </c>
      <c r="B9055" s="451" t="s">
        <v>14948</v>
      </c>
      <c r="C9055" s="451" t="s">
        <v>24554</v>
      </c>
      <c r="D9055" s="451"/>
      <c r="E9055" s="451"/>
      <c r="F9055" s="451"/>
      <c r="G9055" s="451" t="s">
        <v>22877</v>
      </c>
      <c r="H9055" s="451" t="s">
        <v>22878</v>
      </c>
      <c r="I9055" s="451" t="s">
        <v>37653</v>
      </c>
      <c r="J9055" s="451" t="s">
        <v>37654</v>
      </c>
      <c r="K9055" s="451"/>
    </row>
    <row r="9056" spans="1:11">
      <c r="A9056" s="450" t="s">
        <v>14947</v>
      </c>
      <c r="B9056" s="450" t="s">
        <v>14948</v>
      </c>
      <c r="C9056" s="450" t="s">
        <v>6096</v>
      </c>
      <c r="D9056" s="450"/>
      <c r="E9056" s="450"/>
      <c r="F9056" s="450"/>
      <c r="G9056" s="450"/>
      <c r="H9056" s="450"/>
      <c r="I9056" s="450"/>
      <c r="J9056" s="450"/>
      <c r="K9056" s="450"/>
    </row>
    <row r="9057" spans="1:11">
      <c r="A9057" s="451" t="s">
        <v>14949</v>
      </c>
      <c r="B9057" s="451" t="s">
        <v>14950</v>
      </c>
      <c r="C9057" s="451" t="s">
        <v>14951</v>
      </c>
      <c r="D9057" s="451" t="s">
        <v>14952</v>
      </c>
      <c r="E9057" s="451"/>
      <c r="F9057" s="451"/>
      <c r="G9057" s="451" t="s">
        <v>22877</v>
      </c>
      <c r="H9057" s="451" t="s">
        <v>22878</v>
      </c>
      <c r="I9057" s="451" t="s">
        <v>14952</v>
      </c>
      <c r="J9057" s="451" t="s">
        <v>37655</v>
      </c>
      <c r="K9057" s="451"/>
    </row>
    <row r="9058" spans="1:11">
      <c r="A9058" s="450" t="s">
        <v>14949</v>
      </c>
      <c r="B9058" s="450" t="s">
        <v>14950</v>
      </c>
      <c r="C9058" s="450" t="s">
        <v>14951</v>
      </c>
      <c r="D9058" s="450" t="s">
        <v>14952</v>
      </c>
      <c r="E9058" s="450" t="s">
        <v>14953</v>
      </c>
      <c r="F9058" s="450"/>
      <c r="G9058" s="450"/>
      <c r="H9058" s="450"/>
      <c r="I9058" s="450"/>
      <c r="J9058" s="450"/>
      <c r="K9058" s="450"/>
    </row>
    <row r="9059" spans="1:11">
      <c r="A9059" s="451" t="s">
        <v>14954</v>
      </c>
      <c r="B9059" s="451"/>
      <c r="C9059" s="451" t="s">
        <v>4997</v>
      </c>
      <c r="D9059" s="451"/>
      <c r="E9059" s="451"/>
      <c r="F9059" s="451"/>
      <c r="G9059" s="451" t="s">
        <v>22877</v>
      </c>
      <c r="H9059" s="451" t="s">
        <v>22878</v>
      </c>
      <c r="I9059" s="451" t="s">
        <v>37656</v>
      </c>
      <c r="J9059" s="451" t="s">
        <v>22997</v>
      </c>
      <c r="K9059" s="451"/>
    </row>
    <row r="9060" spans="1:11">
      <c r="A9060" s="450" t="s">
        <v>14955</v>
      </c>
      <c r="B9060" s="450"/>
      <c r="C9060" s="450" t="s">
        <v>14956</v>
      </c>
      <c r="D9060" s="450"/>
      <c r="E9060" s="450"/>
      <c r="F9060" s="450"/>
      <c r="G9060" s="450" t="s">
        <v>22882</v>
      </c>
      <c r="H9060" s="450" t="s">
        <v>22883</v>
      </c>
      <c r="I9060" s="450" t="s">
        <v>37657</v>
      </c>
      <c r="J9060" s="450" t="s">
        <v>22939</v>
      </c>
      <c r="K9060" s="450"/>
    </row>
    <row r="9061" spans="1:11">
      <c r="A9061" s="451" t="s">
        <v>14957</v>
      </c>
      <c r="B9061" s="451"/>
      <c r="C9061" s="451" t="s">
        <v>14958</v>
      </c>
      <c r="D9061" s="451"/>
      <c r="E9061" s="451"/>
      <c r="F9061" s="451"/>
      <c r="G9061" s="451" t="s">
        <v>22877</v>
      </c>
      <c r="H9061" s="451" t="s">
        <v>22878</v>
      </c>
      <c r="I9061" s="451" t="s">
        <v>37658</v>
      </c>
      <c r="J9061" s="451" t="s">
        <v>23185</v>
      </c>
      <c r="K9061" s="451"/>
    </row>
    <row r="9062" spans="1:11">
      <c r="A9062" s="450" t="s">
        <v>14959</v>
      </c>
      <c r="B9062" s="450"/>
      <c r="C9062" s="450" t="s">
        <v>14960</v>
      </c>
      <c r="D9062" s="450" t="s">
        <v>14961</v>
      </c>
      <c r="E9062" s="450"/>
      <c r="F9062" s="450"/>
      <c r="G9062" s="450" t="s">
        <v>37659</v>
      </c>
      <c r="H9062" s="450" t="s">
        <v>22878</v>
      </c>
      <c r="I9062" s="450" t="s">
        <v>37660</v>
      </c>
      <c r="J9062" s="450"/>
      <c r="K9062" s="450"/>
    </row>
    <row r="9063" spans="1:11">
      <c r="A9063" s="451" t="s">
        <v>14962</v>
      </c>
      <c r="B9063" s="451"/>
      <c r="C9063" s="451" t="s">
        <v>2313</v>
      </c>
      <c r="D9063" s="451"/>
      <c r="E9063" s="451"/>
      <c r="F9063" s="451"/>
      <c r="G9063" s="451" t="s">
        <v>22877</v>
      </c>
      <c r="H9063" s="451" t="s">
        <v>22878</v>
      </c>
      <c r="I9063" s="451" t="s">
        <v>23245</v>
      </c>
      <c r="J9063" s="451" t="s">
        <v>22997</v>
      </c>
      <c r="K9063" s="451"/>
    </row>
    <row r="9064" spans="1:11">
      <c r="A9064" s="450" t="s">
        <v>21880</v>
      </c>
      <c r="B9064" s="450"/>
      <c r="C9064" s="450" t="s">
        <v>2313</v>
      </c>
      <c r="D9064" s="450"/>
      <c r="E9064" s="450"/>
      <c r="F9064" s="450"/>
      <c r="G9064" s="450" t="s">
        <v>22877</v>
      </c>
      <c r="H9064" s="450" t="s">
        <v>22878</v>
      </c>
      <c r="I9064" s="450" t="s">
        <v>28048</v>
      </c>
      <c r="J9064" s="450" t="s">
        <v>22939</v>
      </c>
      <c r="K9064" s="450"/>
    </row>
    <row r="9065" spans="1:11">
      <c r="A9065" s="451" t="s">
        <v>28049</v>
      </c>
      <c r="B9065" s="451" t="s">
        <v>14964</v>
      </c>
      <c r="C9065" s="451" t="s">
        <v>14965</v>
      </c>
      <c r="D9065" s="451" t="s">
        <v>14966</v>
      </c>
      <c r="E9065" s="451"/>
      <c r="F9065" s="451"/>
      <c r="G9065" s="451" t="s">
        <v>22882</v>
      </c>
      <c r="H9065" s="451" t="s">
        <v>22883</v>
      </c>
      <c r="I9065" s="451" t="s">
        <v>28050</v>
      </c>
      <c r="J9065" s="451" t="s">
        <v>28051</v>
      </c>
      <c r="K9065" s="451"/>
    </row>
    <row r="9066" spans="1:11">
      <c r="A9066" s="450" t="s">
        <v>14963</v>
      </c>
      <c r="B9066" s="450" t="s">
        <v>14964</v>
      </c>
      <c r="C9066" s="450" t="s">
        <v>14965</v>
      </c>
      <c r="D9066" s="450" t="s">
        <v>14966</v>
      </c>
      <c r="E9066" s="450" t="s">
        <v>14967</v>
      </c>
      <c r="F9066" s="450"/>
      <c r="G9066" s="450"/>
      <c r="H9066" s="450"/>
      <c r="I9066" s="450"/>
      <c r="J9066" s="450"/>
      <c r="K9066" s="450"/>
    </row>
    <row r="9067" spans="1:11">
      <c r="A9067" s="451" t="s">
        <v>21329</v>
      </c>
      <c r="B9067" s="451" t="s">
        <v>21328</v>
      </c>
      <c r="C9067" s="451" t="s">
        <v>21327</v>
      </c>
      <c r="D9067" s="451" t="s">
        <v>21326</v>
      </c>
      <c r="E9067" s="451"/>
      <c r="F9067" s="451"/>
      <c r="G9067" s="451"/>
      <c r="H9067" s="451"/>
      <c r="I9067" s="451"/>
      <c r="J9067" s="451"/>
      <c r="K9067" s="451"/>
    </row>
    <row r="9068" spans="1:11">
      <c r="A9068" s="450" t="s">
        <v>14968</v>
      </c>
      <c r="B9068" s="450"/>
      <c r="C9068" s="450" t="s">
        <v>14969</v>
      </c>
      <c r="D9068" s="450"/>
      <c r="E9068" s="450"/>
      <c r="F9068" s="450"/>
      <c r="G9068" s="450" t="s">
        <v>22877</v>
      </c>
      <c r="H9068" s="450" t="s">
        <v>22878</v>
      </c>
      <c r="I9068" s="450" t="s">
        <v>37661</v>
      </c>
      <c r="J9068" s="450" t="s">
        <v>22943</v>
      </c>
      <c r="K9068" s="450"/>
    </row>
    <row r="9069" spans="1:11">
      <c r="A9069" s="451" t="s">
        <v>14970</v>
      </c>
      <c r="B9069" s="451"/>
      <c r="C9069" s="451" t="s">
        <v>14971</v>
      </c>
      <c r="D9069" s="451"/>
      <c r="E9069" s="451"/>
      <c r="F9069" s="451"/>
      <c r="G9069" s="451" t="s">
        <v>22882</v>
      </c>
      <c r="H9069" s="451" t="s">
        <v>22883</v>
      </c>
      <c r="I9069" s="451"/>
      <c r="J9069" s="451" t="s">
        <v>22943</v>
      </c>
      <c r="K9069" s="451"/>
    </row>
    <row r="9070" spans="1:11">
      <c r="A9070" s="450" t="s">
        <v>14972</v>
      </c>
      <c r="B9070" s="450"/>
      <c r="C9070" s="450" t="s">
        <v>14973</v>
      </c>
      <c r="D9070" s="450"/>
      <c r="E9070" s="450"/>
      <c r="F9070" s="450"/>
      <c r="G9070" s="450"/>
      <c r="H9070" s="450"/>
      <c r="I9070" s="450"/>
      <c r="J9070" s="450"/>
      <c r="K9070" s="450"/>
    </row>
    <row r="9071" spans="1:11">
      <c r="A9071" s="451" t="s">
        <v>37662</v>
      </c>
      <c r="B9071" s="451"/>
      <c r="C9071" s="451" t="s">
        <v>14973</v>
      </c>
      <c r="D9071" s="451"/>
      <c r="E9071" s="451"/>
      <c r="F9071" s="451"/>
      <c r="G9071" s="451" t="s">
        <v>22877</v>
      </c>
      <c r="H9071" s="451" t="s">
        <v>22878</v>
      </c>
      <c r="I9071" s="451" t="s">
        <v>37663</v>
      </c>
      <c r="J9071" s="451" t="s">
        <v>22943</v>
      </c>
      <c r="K9071" s="451"/>
    </row>
    <row r="9072" spans="1:11">
      <c r="A9072" s="450" t="s">
        <v>14974</v>
      </c>
      <c r="B9072" s="450"/>
      <c r="C9072" s="450" t="s">
        <v>11029</v>
      </c>
      <c r="D9072" s="450"/>
      <c r="E9072" s="450"/>
      <c r="F9072" s="450"/>
      <c r="G9072" s="450"/>
      <c r="H9072" s="450"/>
      <c r="I9072" s="450"/>
      <c r="J9072" s="450"/>
      <c r="K9072" s="450"/>
    </row>
    <row r="9073" spans="1:11">
      <c r="A9073" s="451" t="s">
        <v>28052</v>
      </c>
      <c r="B9073" s="451"/>
      <c r="C9073" s="451" t="s">
        <v>11029</v>
      </c>
      <c r="D9073" s="451"/>
      <c r="E9073" s="451"/>
      <c r="F9073" s="451"/>
      <c r="G9073" s="451" t="s">
        <v>22877</v>
      </c>
      <c r="H9073" s="451" t="s">
        <v>22878</v>
      </c>
      <c r="I9073" s="451" t="s">
        <v>28053</v>
      </c>
      <c r="J9073" s="451" t="s">
        <v>22943</v>
      </c>
      <c r="K9073" s="451"/>
    </row>
    <row r="9074" spans="1:11">
      <c r="A9074" s="450" t="s">
        <v>37664</v>
      </c>
      <c r="B9074" s="450" t="s">
        <v>14975</v>
      </c>
      <c r="C9074" s="450" t="s">
        <v>1354</v>
      </c>
      <c r="D9074" s="450" t="s">
        <v>14976</v>
      </c>
      <c r="E9074" s="450"/>
      <c r="F9074" s="450"/>
      <c r="G9074" s="450" t="s">
        <v>22877</v>
      </c>
      <c r="H9074" s="450" t="s">
        <v>22878</v>
      </c>
      <c r="I9074" s="450" t="s">
        <v>37665</v>
      </c>
      <c r="J9074" s="450" t="s">
        <v>37666</v>
      </c>
      <c r="K9074" s="450"/>
    </row>
    <row r="9075" spans="1:11">
      <c r="A9075" s="451" t="s">
        <v>21881</v>
      </c>
      <c r="B9075" s="451" t="s">
        <v>14975</v>
      </c>
      <c r="C9075" s="451" t="s">
        <v>1354</v>
      </c>
      <c r="D9075" s="451" t="s">
        <v>14976</v>
      </c>
      <c r="E9075" s="451" t="s">
        <v>14977</v>
      </c>
      <c r="F9075" s="451"/>
      <c r="G9075" s="451"/>
      <c r="H9075" s="451"/>
      <c r="I9075" s="451"/>
      <c r="J9075" s="451"/>
      <c r="K9075" s="451"/>
    </row>
    <row r="9076" spans="1:11">
      <c r="A9076" s="450" t="s">
        <v>14978</v>
      </c>
      <c r="B9076" s="450"/>
      <c r="C9076" s="450"/>
      <c r="D9076" s="450" t="s">
        <v>14979</v>
      </c>
      <c r="E9076" s="450"/>
      <c r="F9076" s="450" t="s">
        <v>37667</v>
      </c>
      <c r="G9076" s="450" t="s">
        <v>22877</v>
      </c>
      <c r="H9076" s="450" t="s">
        <v>22878</v>
      </c>
      <c r="I9076" s="450" t="s">
        <v>37668</v>
      </c>
      <c r="J9076" s="450" t="s">
        <v>37669</v>
      </c>
      <c r="K9076" s="450"/>
    </row>
    <row r="9077" spans="1:11">
      <c r="A9077" s="451" t="s">
        <v>14978</v>
      </c>
      <c r="B9077" s="451"/>
      <c r="C9077" s="451"/>
      <c r="D9077" s="451" t="s">
        <v>14979</v>
      </c>
      <c r="E9077" s="451" t="s">
        <v>14980</v>
      </c>
      <c r="F9077" s="451" t="s">
        <v>14981</v>
      </c>
      <c r="G9077" s="451"/>
      <c r="H9077" s="451"/>
      <c r="I9077" s="451"/>
      <c r="J9077" s="451"/>
      <c r="K9077" s="451"/>
    </row>
    <row r="9078" spans="1:11">
      <c r="A9078" s="450" t="s">
        <v>14982</v>
      </c>
      <c r="B9078" s="450"/>
      <c r="C9078" s="450" t="s">
        <v>14713</v>
      </c>
      <c r="D9078" s="450"/>
      <c r="E9078" s="450"/>
      <c r="F9078" s="450"/>
      <c r="G9078" s="450" t="s">
        <v>22882</v>
      </c>
      <c r="H9078" s="450" t="s">
        <v>22883</v>
      </c>
      <c r="I9078" s="450" t="s">
        <v>28054</v>
      </c>
      <c r="J9078" s="450" t="s">
        <v>23133</v>
      </c>
      <c r="K9078" s="450"/>
    </row>
    <row r="9079" spans="1:11">
      <c r="A9079" s="451" t="s">
        <v>14983</v>
      </c>
      <c r="B9079" s="451" t="s">
        <v>37670</v>
      </c>
      <c r="C9079" s="451" t="s">
        <v>14985</v>
      </c>
      <c r="D9079" s="451"/>
      <c r="E9079" s="451"/>
      <c r="F9079" s="451"/>
      <c r="G9079" s="451" t="s">
        <v>22882</v>
      </c>
      <c r="H9079" s="451" t="s">
        <v>22883</v>
      </c>
      <c r="I9079" s="451"/>
      <c r="J9079" s="451" t="s">
        <v>37671</v>
      </c>
      <c r="K9079" s="451"/>
    </row>
    <row r="9080" spans="1:11">
      <c r="A9080" s="450" t="s">
        <v>14983</v>
      </c>
      <c r="B9080" s="450" t="s">
        <v>14984</v>
      </c>
      <c r="C9080" s="450" t="s">
        <v>14985</v>
      </c>
      <c r="D9080" s="450"/>
      <c r="E9080" s="450"/>
      <c r="F9080" s="450"/>
      <c r="G9080" s="450"/>
      <c r="H9080" s="450"/>
      <c r="I9080" s="450"/>
      <c r="J9080" s="450"/>
      <c r="K9080" s="450"/>
    </row>
    <row r="9081" spans="1:11">
      <c r="A9081" s="451" t="s">
        <v>28055</v>
      </c>
      <c r="B9081" s="451" t="s">
        <v>28056</v>
      </c>
      <c r="C9081" s="451" t="s">
        <v>28057</v>
      </c>
      <c r="D9081" s="451"/>
      <c r="E9081" s="451"/>
      <c r="F9081" s="451"/>
      <c r="G9081" s="451" t="s">
        <v>22877</v>
      </c>
      <c r="H9081" s="451" t="s">
        <v>22878</v>
      </c>
      <c r="I9081" s="451" t="s">
        <v>28058</v>
      </c>
      <c r="J9081" s="451" t="s">
        <v>28059</v>
      </c>
      <c r="K9081" s="451"/>
    </row>
    <row r="9082" spans="1:11">
      <c r="A9082" s="450" t="s">
        <v>14986</v>
      </c>
      <c r="B9082" s="450" t="s">
        <v>28060</v>
      </c>
      <c r="C9082" s="450" t="s">
        <v>14988</v>
      </c>
      <c r="D9082" s="450"/>
      <c r="E9082" s="450"/>
      <c r="F9082" s="450"/>
      <c r="G9082" s="450" t="s">
        <v>22882</v>
      </c>
      <c r="H9082" s="450" t="s">
        <v>22883</v>
      </c>
      <c r="I9082" s="450" t="s">
        <v>28061</v>
      </c>
      <c r="J9082" s="450" t="s">
        <v>28062</v>
      </c>
      <c r="K9082" s="450"/>
    </row>
    <row r="9083" spans="1:11">
      <c r="A9083" s="451" t="s">
        <v>14986</v>
      </c>
      <c r="B9083" s="451" t="s">
        <v>14987</v>
      </c>
      <c r="C9083" s="451" t="s">
        <v>14988</v>
      </c>
      <c r="D9083" s="451"/>
      <c r="E9083" s="451"/>
      <c r="F9083" s="451"/>
      <c r="G9083" s="451"/>
      <c r="H9083" s="451"/>
      <c r="I9083" s="451"/>
      <c r="J9083" s="451"/>
      <c r="K9083" s="451"/>
    </row>
    <row r="9084" spans="1:11">
      <c r="A9084" s="450" t="s">
        <v>14989</v>
      </c>
      <c r="B9084" s="450"/>
      <c r="C9084" s="450" t="s">
        <v>2793</v>
      </c>
      <c r="D9084" s="450"/>
      <c r="E9084" s="450"/>
      <c r="F9084" s="450"/>
      <c r="G9084" s="450" t="s">
        <v>22882</v>
      </c>
      <c r="H9084" s="450" t="s">
        <v>22883</v>
      </c>
      <c r="I9084" s="450" t="s">
        <v>28063</v>
      </c>
      <c r="J9084" s="450" t="s">
        <v>22943</v>
      </c>
      <c r="K9084" s="450"/>
    </row>
    <row r="9085" spans="1:11">
      <c r="A9085" s="451" t="s">
        <v>21882</v>
      </c>
      <c r="B9085" s="451" t="s">
        <v>14990</v>
      </c>
      <c r="C9085" s="451" t="s">
        <v>4695</v>
      </c>
      <c r="D9085" s="451"/>
      <c r="E9085" s="451"/>
      <c r="F9085" s="451"/>
      <c r="G9085" s="451" t="s">
        <v>22877</v>
      </c>
      <c r="H9085" s="451" t="s">
        <v>22878</v>
      </c>
      <c r="I9085" s="451" t="s">
        <v>28064</v>
      </c>
      <c r="J9085" s="451" t="s">
        <v>28065</v>
      </c>
      <c r="K9085" s="451"/>
    </row>
    <row r="9086" spans="1:11">
      <c r="A9086" s="450" t="s">
        <v>14991</v>
      </c>
      <c r="B9086" s="450"/>
      <c r="C9086" s="450" t="s">
        <v>14992</v>
      </c>
      <c r="D9086" s="450"/>
      <c r="E9086" s="450"/>
      <c r="F9086" s="450"/>
      <c r="G9086" s="450"/>
      <c r="H9086" s="450"/>
      <c r="I9086" s="450"/>
      <c r="J9086" s="450"/>
      <c r="K9086" s="450"/>
    </row>
    <row r="9087" spans="1:11">
      <c r="A9087" s="451" t="s">
        <v>28066</v>
      </c>
      <c r="B9087" s="451"/>
      <c r="C9087" s="451" t="s">
        <v>14992</v>
      </c>
      <c r="D9087" s="451"/>
      <c r="E9087" s="451"/>
      <c r="F9087" s="451"/>
      <c r="G9087" s="451" t="s">
        <v>22877</v>
      </c>
      <c r="H9087" s="451" t="s">
        <v>22878</v>
      </c>
      <c r="I9087" s="451" t="s">
        <v>28067</v>
      </c>
      <c r="J9087" s="451" t="s">
        <v>22943</v>
      </c>
      <c r="K9087" s="451"/>
    </row>
    <row r="9088" spans="1:11">
      <c r="A9088" s="450" t="s">
        <v>28068</v>
      </c>
      <c r="B9088" s="450" t="s">
        <v>14994</v>
      </c>
      <c r="C9088" s="450" t="s">
        <v>8266</v>
      </c>
      <c r="D9088" s="450" t="s">
        <v>14995</v>
      </c>
      <c r="E9088" s="450"/>
      <c r="F9088" s="450"/>
      <c r="G9088" s="450" t="s">
        <v>22882</v>
      </c>
      <c r="H9088" s="450" t="s">
        <v>22883</v>
      </c>
      <c r="I9088" s="450" t="s">
        <v>28069</v>
      </c>
      <c r="J9088" s="450" t="s">
        <v>28070</v>
      </c>
      <c r="K9088" s="450"/>
    </row>
    <row r="9089" spans="1:11">
      <c r="A9089" s="451" t="s">
        <v>14993</v>
      </c>
      <c r="B9089" s="451" t="s">
        <v>14994</v>
      </c>
      <c r="C9089" s="451" t="s">
        <v>8266</v>
      </c>
      <c r="D9089" s="451" t="s">
        <v>14995</v>
      </c>
      <c r="E9089" s="451" t="s">
        <v>14996</v>
      </c>
      <c r="F9089" s="451"/>
      <c r="G9089" s="451"/>
      <c r="H9089" s="451"/>
      <c r="I9089" s="451"/>
      <c r="J9089" s="451"/>
      <c r="K9089" s="451"/>
    </row>
    <row r="9090" spans="1:11">
      <c r="A9090" s="450" t="s">
        <v>14997</v>
      </c>
      <c r="B9090" s="450" t="s">
        <v>14998</v>
      </c>
      <c r="C9090" s="450" t="s">
        <v>4131</v>
      </c>
      <c r="D9090" s="450"/>
      <c r="E9090" s="450"/>
      <c r="F9090" s="450"/>
      <c r="G9090" s="450"/>
      <c r="H9090" s="450"/>
      <c r="I9090" s="450"/>
      <c r="J9090" s="450"/>
      <c r="K9090" s="450"/>
    </row>
    <row r="9091" spans="1:11">
      <c r="A9091" s="451" t="s">
        <v>28071</v>
      </c>
      <c r="B9091" s="451" t="s">
        <v>14998</v>
      </c>
      <c r="C9091" s="451" t="s">
        <v>4131</v>
      </c>
      <c r="D9091" s="451"/>
      <c r="E9091" s="451"/>
      <c r="F9091" s="451"/>
      <c r="G9091" s="451" t="s">
        <v>22877</v>
      </c>
      <c r="H9091" s="451" t="s">
        <v>22878</v>
      </c>
      <c r="I9091" s="451" t="s">
        <v>28072</v>
      </c>
      <c r="J9091" s="451" t="s">
        <v>28073</v>
      </c>
      <c r="K9091" s="451"/>
    </row>
    <row r="9092" spans="1:11">
      <c r="A9092" s="450" t="s">
        <v>14999</v>
      </c>
      <c r="B9092" s="450"/>
      <c r="C9092" s="450" t="s">
        <v>15000</v>
      </c>
      <c r="D9092" s="450"/>
      <c r="E9092" s="450"/>
      <c r="F9092" s="450"/>
      <c r="G9092" s="450" t="s">
        <v>23091</v>
      </c>
      <c r="H9092" s="450" t="s">
        <v>22878</v>
      </c>
      <c r="I9092" s="450" t="s">
        <v>37672</v>
      </c>
      <c r="J9092" s="450" t="s">
        <v>37673</v>
      </c>
      <c r="K9092" s="450"/>
    </row>
    <row r="9093" spans="1:11">
      <c r="A9093" s="451" t="s">
        <v>15001</v>
      </c>
      <c r="B9093" s="451"/>
      <c r="C9093" s="451" t="s">
        <v>15002</v>
      </c>
      <c r="D9093" s="451"/>
      <c r="E9093" s="451"/>
      <c r="F9093" s="451"/>
      <c r="G9093" s="451" t="s">
        <v>22882</v>
      </c>
      <c r="H9093" s="451" t="s">
        <v>22883</v>
      </c>
      <c r="I9093" s="451"/>
      <c r="J9093" s="451" t="s">
        <v>22943</v>
      </c>
      <c r="K9093" s="451"/>
    </row>
    <row r="9094" spans="1:11">
      <c r="A9094" s="450" t="s">
        <v>37674</v>
      </c>
      <c r="B9094" s="450"/>
      <c r="C9094" s="450" t="s">
        <v>15004</v>
      </c>
      <c r="D9094" s="450"/>
      <c r="E9094" s="450"/>
      <c r="F9094" s="450"/>
      <c r="G9094" s="450" t="s">
        <v>22877</v>
      </c>
      <c r="H9094" s="450" t="s">
        <v>22878</v>
      </c>
      <c r="I9094" s="450" t="s">
        <v>37675</v>
      </c>
      <c r="J9094" s="450" t="s">
        <v>23370</v>
      </c>
      <c r="K9094" s="450"/>
    </row>
    <row r="9095" spans="1:11">
      <c r="A9095" s="451" t="s">
        <v>15003</v>
      </c>
      <c r="B9095" s="451"/>
      <c r="C9095" s="451" t="s">
        <v>15004</v>
      </c>
      <c r="D9095" s="451"/>
      <c r="E9095" s="451"/>
      <c r="F9095" s="451"/>
      <c r="G9095" s="451"/>
      <c r="H9095" s="451"/>
      <c r="I9095" s="451"/>
      <c r="J9095" s="451"/>
      <c r="K9095" s="451"/>
    </row>
    <row r="9096" spans="1:11">
      <c r="A9096" s="450" t="s">
        <v>37676</v>
      </c>
      <c r="B9096" s="450"/>
      <c r="C9096" s="450" t="s">
        <v>15006</v>
      </c>
      <c r="D9096" s="450"/>
      <c r="E9096" s="450"/>
      <c r="F9096" s="450"/>
      <c r="G9096" s="450" t="s">
        <v>22877</v>
      </c>
      <c r="H9096" s="450" t="s">
        <v>22878</v>
      </c>
      <c r="I9096" s="450" t="s">
        <v>37677</v>
      </c>
      <c r="J9096" s="450" t="s">
        <v>22939</v>
      </c>
      <c r="K9096" s="450"/>
    </row>
    <row r="9097" spans="1:11">
      <c r="A9097" s="451" t="s">
        <v>15005</v>
      </c>
      <c r="B9097" s="451"/>
      <c r="C9097" s="451" t="s">
        <v>15006</v>
      </c>
      <c r="D9097" s="451"/>
      <c r="E9097" s="451"/>
      <c r="F9097" s="451"/>
      <c r="G9097" s="451"/>
      <c r="H9097" s="451"/>
      <c r="I9097" s="451"/>
      <c r="J9097" s="451"/>
      <c r="K9097" s="451"/>
    </row>
    <row r="9098" spans="1:11">
      <c r="A9098" s="450" t="s">
        <v>15007</v>
      </c>
      <c r="B9098" s="450" t="s">
        <v>15008</v>
      </c>
      <c r="C9098" s="450" t="s">
        <v>1213</v>
      </c>
      <c r="D9098" s="450" t="s">
        <v>15009</v>
      </c>
      <c r="E9098" s="450"/>
      <c r="F9098" s="450"/>
      <c r="G9098" s="450" t="s">
        <v>22877</v>
      </c>
      <c r="H9098" s="450" t="s">
        <v>22878</v>
      </c>
      <c r="I9098" s="450" t="s">
        <v>15009</v>
      </c>
      <c r="J9098" s="450" t="s">
        <v>28074</v>
      </c>
      <c r="K9098" s="450"/>
    </row>
    <row r="9099" spans="1:11">
      <c r="A9099" s="451" t="s">
        <v>15007</v>
      </c>
      <c r="B9099" s="451" t="s">
        <v>15008</v>
      </c>
      <c r="C9099" s="451" t="s">
        <v>1213</v>
      </c>
      <c r="D9099" s="451" t="s">
        <v>15009</v>
      </c>
      <c r="E9099" s="451" t="s">
        <v>15010</v>
      </c>
      <c r="F9099" s="451"/>
      <c r="G9099" s="451"/>
      <c r="H9099" s="451"/>
      <c r="I9099" s="451"/>
      <c r="J9099" s="451"/>
      <c r="K9099" s="451"/>
    </row>
    <row r="9100" spans="1:11">
      <c r="A9100" s="450" t="s">
        <v>15011</v>
      </c>
      <c r="B9100" s="450"/>
      <c r="C9100" s="450" t="s">
        <v>15012</v>
      </c>
      <c r="D9100" s="450"/>
      <c r="E9100" s="450"/>
      <c r="F9100" s="450"/>
      <c r="G9100" s="450" t="s">
        <v>22882</v>
      </c>
      <c r="H9100" s="450" t="s">
        <v>22883</v>
      </c>
      <c r="I9100" s="450"/>
      <c r="J9100" s="450" t="s">
        <v>22943</v>
      </c>
      <c r="K9100" s="450"/>
    </row>
    <row r="9101" spans="1:11">
      <c r="A9101" s="451" t="s">
        <v>15013</v>
      </c>
      <c r="B9101" s="451"/>
      <c r="C9101" s="451" t="s">
        <v>15014</v>
      </c>
      <c r="D9101" s="451"/>
      <c r="E9101" s="451"/>
      <c r="F9101" s="451"/>
      <c r="G9101" s="451" t="s">
        <v>22877</v>
      </c>
      <c r="H9101" s="451" t="s">
        <v>22878</v>
      </c>
      <c r="I9101" s="451" t="s">
        <v>37678</v>
      </c>
      <c r="J9101" s="451" t="s">
        <v>22939</v>
      </c>
      <c r="K9101" s="451"/>
    </row>
    <row r="9102" spans="1:11">
      <c r="A9102" s="450" t="s">
        <v>37679</v>
      </c>
      <c r="B9102" s="450"/>
      <c r="C9102" s="450" t="s">
        <v>1187</v>
      </c>
      <c r="D9102" s="450"/>
      <c r="E9102" s="450"/>
      <c r="F9102" s="450"/>
      <c r="G9102" s="450" t="s">
        <v>22877</v>
      </c>
      <c r="H9102" s="450" t="s">
        <v>22878</v>
      </c>
      <c r="I9102" s="450" t="s">
        <v>37680</v>
      </c>
      <c r="J9102" s="450" t="s">
        <v>22943</v>
      </c>
      <c r="K9102" s="450"/>
    </row>
    <row r="9103" spans="1:11">
      <c r="A9103" s="451" t="s">
        <v>15015</v>
      </c>
      <c r="B9103" s="451"/>
      <c r="C9103" s="451" t="s">
        <v>1187</v>
      </c>
      <c r="D9103" s="451"/>
      <c r="E9103" s="451"/>
      <c r="F9103" s="451"/>
      <c r="G9103" s="451"/>
      <c r="H9103" s="451"/>
      <c r="I9103" s="451"/>
      <c r="J9103" s="451"/>
      <c r="K9103" s="451"/>
    </row>
    <row r="9104" spans="1:11">
      <c r="A9104" s="450" t="s">
        <v>15016</v>
      </c>
      <c r="B9104" s="450"/>
      <c r="C9104" s="450" t="s">
        <v>15017</v>
      </c>
      <c r="D9104" s="450"/>
      <c r="E9104" s="450"/>
      <c r="F9104" s="450"/>
      <c r="G9104" s="450" t="s">
        <v>22877</v>
      </c>
      <c r="H9104" s="450" t="s">
        <v>22878</v>
      </c>
      <c r="I9104" s="450" t="s">
        <v>28075</v>
      </c>
      <c r="J9104" s="450" t="s">
        <v>22943</v>
      </c>
      <c r="K9104" s="450"/>
    </row>
    <row r="9105" spans="1:11">
      <c r="A9105" s="451" t="s">
        <v>37681</v>
      </c>
      <c r="B9105" s="451"/>
      <c r="C9105" s="451" t="s">
        <v>15021</v>
      </c>
      <c r="D9105" s="451"/>
      <c r="E9105" s="451"/>
      <c r="F9105" s="451"/>
      <c r="G9105" s="451" t="s">
        <v>22882</v>
      </c>
      <c r="H9105" s="451" t="s">
        <v>22883</v>
      </c>
      <c r="I9105" s="451"/>
      <c r="J9105" s="451" t="s">
        <v>23370</v>
      </c>
      <c r="K9105" s="451"/>
    </row>
    <row r="9106" spans="1:11">
      <c r="A9106" s="450" t="s">
        <v>15018</v>
      </c>
      <c r="B9106" s="450"/>
      <c r="C9106" s="450" t="s">
        <v>15019</v>
      </c>
      <c r="D9106" s="450"/>
      <c r="E9106" s="450"/>
      <c r="F9106" s="450"/>
      <c r="G9106" s="450" t="s">
        <v>22882</v>
      </c>
      <c r="H9106" s="450" t="s">
        <v>22883</v>
      </c>
      <c r="I9106" s="450"/>
      <c r="J9106" s="450" t="s">
        <v>22943</v>
      </c>
      <c r="K9106" s="450"/>
    </row>
    <row r="9107" spans="1:11">
      <c r="A9107" s="451" t="s">
        <v>15020</v>
      </c>
      <c r="B9107" s="451"/>
      <c r="C9107" s="451" t="s">
        <v>15021</v>
      </c>
      <c r="D9107" s="451"/>
      <c r="E9107" s="451"/>
      <c r="F9107" s="451"/>
      <c r="G9107" s="451"/>
      <c r="H9107" s="451"/>
      <c r="I9107" s="451"/>
      <c r="J9107" s="451"/>
      <c r="K9107" s="451"/>
    </row>
    <row r="9108" spans="1:11">
      <c r="A9108" s="450" t="s">
        <v>15022</v>
      </c>
      <c r="B9108" s="450" t="s">
        <v>15023</v>
      </c>
      <c r="C9108" s="450" t="s">
        <v>15024</v>
      </c>
      <c r="D9108" s="450" t="s">
        <v>15025</v>
      </c>
      <c r="E9108" s="450" t="s">
        <v>15026</v>
      </c>
      <c r="F9108" s="450"/>
      <c r="G9108" s="450"/>
      <c r="H9108" s="450"/>
      <c r="I9108" s="450"/>
      <c r="J9108" s="450"/>
      <c r="K9108" s="450"/>
    </row>
    <row r="9109" spans="1:11">
      <c r="A9109" s="451" t="s">
        <v>28076</v>
      </c>
      <c r="B9109" s="451" t="s">
        <v>15023</v>
      </c>
      <c r="C9109" s="451" t="s">
        <v>15024</v>
      </c>
      <c r="D9109" s="451" t="s">
        <v>15025</v>
      </c>
      <c r="E9109" s="451"/>
      <c r="F9109" s="451"/>
      <c r="G9109" s="451" t="s">
        <v>23824</v>
      </c>
      <c r="H9109" s="451" t="s">
        <v>22878</v>
      </c>
      <c r="I9109" s="451" t="s">
        <v>15025</v>
      </c>
      <c r="J9109" s="451" t="s">
        <v>15023</v>
      </c>
      <c r="K9109" s="451"/>
    </row>
    <row r="9110" spans="1:11">
      <c r="A9110" s="450" t="s">
        <v>15027</v>
      </c>
      <c r="B9110" s="450" t="s">
        <v>15028</v>
      </c>
      <c r="C9110" s="450" t="s">
        <v>5116</v>
      </c>
      <c r="D9110" s="450"/>
      <c r="E9110" s="450"/>
      <c r="F9110" s="450"/>
      <c r="G9110" s="450" t="s">
        <v>22882</v>
      </c>
      <c r="H9110" s="450" t="s">
        <v>22883</v>
      </c>
      <c r="I9110" s="450" t="s">
        <v>28077</v>
      </c>
      <c r="J9110" s="450" t="s">
        <v>28078</v>
      </c>
      <c r="K9110" s="450"/>
    </row>
    <row r="9111" spans="1:11">
      <c r="A9111" s="451" t="s">
        <v>15029</v>
      </c>
      <c r="B9111" s="451"/>
      <c r="C9111" s="451" t="s">
        <v>15030</v>
      </c>
      <c r="D9111" s="451"/>
      <c r="E9111" s="451"/>
      <c r="F9111" s="451"/>
      <c r="G9111" s="451" t="s">
        <v>22882</v>
      </c>
      <c r="H9111" s="451" t="s">
        <v>22883</v>
      </c>
      <c r="I9111" s="451" t="s">
        <v>37682</v>
      </c>
      <c r="J9111" s="451" t="s">
        <v>22943</v>
      </c>
      <c r="K9111" s="451"/>
    </row>
    <row r="9112" spans="1:11">
      <c r="A9112" s="450" t="s">
        <v>37683</v>
      </c>
      <c r="B9112" s="450"/>
      <c r="C9112" s="450" t="s">
        <v>15032</v>
      </c>
      <c r="D9112" s="450"/>
      <c r="E9112" s="450"/>
      <c r="F9112" s="450"/>
      <c r="G9112" s="450" t="s">
        <v>22877</v>
      </c>
      <c r="H9112" s="450" t="s">
        <v>22878</v>
      </c>
      <c r="I9112" s="450" t="s">
        <v>37684</v>
      </c>
      <c r="J9112" s="450" t="s">
        <v>22943</v>
      </c>
      <c r="K9112" s="450"/>
    </row>
    <row r="9113" spans="1:11">
      <c r="A9113" s="451" t="s">
        <v>15031</v>
      </c>
      <c r="B9113" s="451"/>
      <c r="C9113" s="451" t="s">
        <v>15032</v>
      </c>
      <c r="D9113" s="451"/>
      <c r="E9113" s="451"/>
      <c r="F9113" s="451"/>
      <c r="G9113" s="451"/>
      <c r="H9113" s="451"/>
      <c r="I9113" s="451"/>
      <c r="J9113" s="451"/>
      <c r="K9113" s="451"/>
    </row>
    <row r="9114" spans="1:11">
      <c r="A9114" s="450" t="s">
        <v>15033</v>
      </c>
      <c r="B9114" s="450"/>
      <c r="C9114" s="450" t="s">
        <v>15034</v>
      </c>
      <c r="D9114" s="450"/>
      <c r="E9114" s="450"/>
      <c r="F9114" s="450"/>
      <c r="G9114" s="450"/>
      <c r="H9114" s="450"/>
      <c r="I9114" s="450"/>
      <c r="J9114" s="450"/>
      <c r="K9114" s="450"/>
    </row>
    <row r="9115" spans="1:11">
      <c r="A9115" s="451" t="s">
        <v>28079</v>
      </c>
      <c r="B9115" s="451"/>
      <c r="C9115" s="451" t="s">
        <v>28080</v>
      </c>
      <c r="D9115" s="451"/>
      <c r="E9115" s="451"/>
      <c r="F9115" s="451"/>
      <c r="G9115" s="451" t="s">
        <v>22882</v>
      </c>
      <c r="H9115" s="451" t="s">
        <v>22883</v>
      </c>
      <c r="I9115" s="451" t="s">
        <v>28081</v>
      </c>
      <c r="J9115" s="451" t="s">
        <v>22948</v>
      </c>
      <c r="K9115" s="451"/>
    </row>
    <row r="9116" spans="1:11">
      <c r="A9116" s="450" t="s">
        <v>15035</v>
      </c>
      <c r="B9116" s="450" t="s">
        <v>15036</v>
      </c>
      <c r="C9116" s="450" t="s">
        <v>15037</v>
      </c>
      <c r="D9116" s="450" t="s">
        <v>15038</v>
      </c>
      <c r="E9116" s="450"/>
      <c r="F9116" s="450"/>
      <c r="G9116" s="450" t="s">
        <v>22882</v>
      </c>
      <c r="H9116" s="450" t="s">
        <v>22883</v>
      </c>
      <c r="I9116" s="450" t="s">
        <v>15038</v>
      </c>
      <c r="J9116" s="450" t="s">
        <v>37685</v>
      </c>
      <c r="K9116" s="450"/>
    </row>
    <row r="9117" spans="1:11">
      <c r="A9117" s="451" t="s">
        <v>15035</v>
      </c>
      <c r="B9117" s="451" t="s">
        <v>15036</v>
      </c>
      <c r="C9117" s="451" t="s">
        <v>15037</v>
      </c>
      <c r="D9117" s="451" t="s">
        <v>15038</v>
      </c>
      <c r="E9117" s="451" t="s">
        <v>15039</v>
      </c>
      <c r="F9117" s="451"/>
      <c r="G9117" s="451"/>
      <c r="H9117" s="451"/>
      <c r="I9117" s="451"/>
      <c r="J9117" s="451"/>
      <c r="K9117" s="451"/>
    </row>
    <row r="9118" spans="1:11">
      <c r="A9118" s="450" t="s">
        <v>37686</v>
      </c>
      <c r="B9118" s="450"/>
      <c r="C9118" s="450" t="s">
        <v>5709</v>
      </c>
      <c r="D9118" s="450"/>
      <c r="E9118" s="450"/>
      <c r="F9118" s="450"/>
      <c r="G9118" s="450" t="s">
        <v>22882</v>
      </c>
      <c r="H9118" s="450" t="s">
        <v>22883</v>
      </c>
      <c r="I9118" s="450" t="s">
        <v>37687</v>
      </c>
      <c r="J9118" s="450" t="s">
        <v>22997</v>
      </c>
      <c r="K9118" s="450"/>
    </row>
    <row r="9119" spans="1:11">
      <c r="A9119" s="451" t="s">
        <v>15040</v>
      </c>
      <c r="B9119" s="451"/>
      <c r="C9119" s="451" t="s">
        <v>5709</v>
      </c>
      <c r="D9119" s="451"/>
      <c r="E9119" s="451"/>
      <c r="F9119" s="451"/>
      <c r="G9119" s="451"/>
      <c r="H9119" s="451"/>
      <c r="I9119" s="451"/>
      <c r="J9119" s="451"/>
      <c r="K9119" s="451"/>
    </row>
    <row r="9120" spans="1:11">
      <c r="A9120" s="450" t="s">
        <v>15041</v>
      </c>
      <c r="B9120" s="450" t="s">
        <v>15042</v>
      </c>
      <c r="C9120" s="450" t="s">
        <v>2518</v>
      </c>
      <c r="D9120" s="450" t="s">
        <v>15043</v>
      </c>
      <c r="E9120" s="450"/>
      <c r="F9120" s="450"/>
      <c r="G9120" s="450" t="s">
        <v>22877</v>
      </c>
      <c r="H9120" s="450" t="s">
        <v>22878</v>
      </c>
      <c r="I9120" s="450" t="s">
        <v>37688</v>
      </c>
      <c r="J9120" s="450" t="s">
        <v>37689</v>
      </c>
      <c r="K9120" s="450"/>
    </row>
    <row r="9121" spans="1:11">
      <c r="A9121" s="451" t="s">
        <v>15041</v>
      </c>
      <c r="B9121" s="451" t="s">
        <v>15042</v>
      </c>
      <c r="C9121" s="451" t="s">
        <v>2518</v>
      </c>
      <c r="D9121" s="451" t="s">
        <v>15043</v>
      </c>
      <c r="E9121" s="451" t="s">
        <v>15044</v>
      </c>
      <c r="F9121" s="451"/>
      <c r="G9121" s="451"/>
      <c r="H9121" s="451"/>
      <c r="I9121" s="451"/>
      <c r="J9121" s="451"/>
      <c r="K9121" s="451"/>
    </row>
    <row r="9122" spans="1:11">
      <c r="A9122" s="450" t="s">
        <v>28082</v>
      </c>
      <c r="B9122" s="450" t="s">
        <v>28083</v>
      </c>
      <c r="C9122" s="450" t="s">
        <v>21203</v>
      </c>
      <c r="D9122" s="450"/>
      <c r="E9122" s="450"/>
      <c r="F9122" s="450"/>
      <c r="G9122" s="450" t="s">
        <v>22877</v>
      </c>
      <c r="H9122" s="450" t="s">
        <v>22878</v>
      </c>
      <c r="I9122" s="450" t="s">
        <v>28084</v>
      </c>
      <c r="J9122" s="450" t="s">
        <v>28085</v>
      </c>
      <c r="K9122" s="450"/>
    </row>
    <row r="9123" spans="1:11">
      <c r="A9123" s="451" t="s">
        <v>15045</v>
      </c>
      <c r="B9123" s="451"/>
      <c r="C9123" s="451" t="s">
        <v>15046</v>
      </c>
      <c r="D9123" s="451"/>
      <c r="E9123" s="451"/>
      <c r="F9123" s="451"/>
      <c r="G9123" s="451"/>
      <c r="H9123" s="451"/>
      <c r="I9123" s="451"/>
      <c r="J9123" s="451"/>
      <c r="K9123" s="451"/>
    </row>
    <row r="9124" spans="1:11">
      <c r="A9124" s="450" t="s">
        <v>37690</v>
      </c>
      <c r="B9124" s="450"/>
      <c r="C9124" s="450" t="s">
        <v>15046</v>
      </c>
      <c r="D9124" s="450"/>
      <c r="E9124" s="450"/>
      <c r="F9124" s="450"/>
      <c r="G9124" s="450" t="s">
        <v>22877</v>
      </c>
      <c r="H9124" s="450" t="s">
        <v>22878</v>
      </c>
      <c r="I9124" s="450" t="s">
        <v>37691</v>
      </c>
      <c r="J9124" s="450" t="s">
        <v>22943</v>
      </c>
      <c r="K9124" s="450"/>
    </row>
    <row r="9125" spans="1:11">
      <c r="A9125" s="451" t="s">
        <v>15047</v>
      </c>
      <c r="B9125" s="451"/>
      <c r="C9125" s="451" t="s">
        <v>7965</v>
      </c>
      <c r="D9125" s="451"/>
      <c r="E9125" s="451"/>
      <c r="F9125" s="451"/>
      <c r="G9125" s="451" t="s">
        <v>22882</v>
      </c>
      <c r="H9125" s="451" t="s">
        <v>22883</v>
      </c>
      <c r="I9125" s="451"/>
      <c r="J9125" s="451" t="s">
        <v>22939</v>
      </c>
      <c r="K9125" s="451"/>
    </row>
    <row r="9126" spans="1:11">
      <c r="A9126" s="450" t="s">
        <v>37692</v>
      </c>
      <c r="B9126" s="450"/>
      <c r="C9126" s="450" t="s">
        <v>15049</v>
      </c>
      <c r="D9126" s="450"/>
      <c r="E9126" s="450"/>
      <c r="F9126" s="450"/>
      <c r="G9126" s="450" t="s">
        <v>22877</v>
      </c>
      <c r="H9126" s="450" t="s">
        <v>22878</v>
      </c>
      <c r="I9126" s="450" t="s">
        <v>37693</v>
      </c>
      <c r="J9126" s="450" t="s">
        <v>22997</v>
      </c>
      <c r="K9126" s="450"/>
    </row>
    <row r="9127" spans="1:11">
      <c r="A9127" s="451" t="s">
        <v>15048</v>
      </c>
      <c r="B9127" s="451"/>
      <c r="C9127" s="451" t="s">
        <v>15049</v>
      </c>
      <c r="D9127" s="451"/>
      <c r="E9127" s="451"/>
      <c r="F9127" s="451"/>
      <c r="G9127" s="451"/>
      <c r="H9127" s="451"/>
      <c r="I9127" s="451"/>
      <c r="J9127" s="451"/>
      <c r="K9127" s="451"/>
    </row>
    <row r="9128" spans="1:11">
      <c r="A9128" s="450" t="s">
        <v>15050</v>
      </c>
      <c r="B9128" s="450"/>
      <c r="C9128" s="450" t="s">
        <v>15051</v>
      </c>
      <c r="D9128" s="450"/>
      <c r="E9128" s="450"/>
      <c r="F9128" s="450"/>
      <c r="G9128" s="450" t="s">
        <v>22877</v>
      </c>
      <c r="H9128" s="450" t="s">
        <v>22878</v>
      </c>
      <c r="I9128" s="450" t="s">
        <v>37694</v>
      </c>
      <c r="J9128" s="450" t="s">
        <v>22939</v>
      </c>
      <c r="K9128" s="450"/>
    </row>
    <row r="9129" spans="1:11">
      <c r="A9129" s="451" t="s">
        <v>37695</v>
      </c>
      <c r="B9129" s="451"/>
      <c r="C9129" s="451" t="s">
        <v>15053</v>
      </c>
      <c r="D9129" s="451"/>
      <c r="E9129" s="451"/>
      <c r="F9129" s="451"/>
      <c r="G9129" s="451" t="s">
        <v>22877</v>
      </c>
      <c r="H9129" s="451" t="s">
        <v>22878</v>
      </c>
      <c r="I9129" s="451" t="s">
        <v>37696</v>
      </c>
      <c r="J9129" s="451" t="s">
        <v>22997</v>
      </c>
      <c r="K9129" s="451"/>
    </row>
    <row r="9130" spans="1:11">
      <c r="A9130" s="450" t="s">
        <v>15052</v>
      </c>
      <c r="B9130" s="450"/>
      <c r="C9130" s="450" t="s">
        <v>15053</v>
      </c>
      <c r="D9130" s="450"/>
      <c r="E9130" s="450"/>
      <c r="F9130" s="450"/>
      <c r="G9130" s="450"/>
      <c r="H9130" s="450"/>
      <c r="I9130" s="450"/>
      <c r="J9130" s="450"/>
      <c r="K9130" s="450"/>
    </row>
    <row r="9131" spans="1:11">
      <c r="A9131" s="451" t="s">
        <v>37697</v>
      </c>
      <c r="B9131" s="451"/>
      <c r="C9131" s="451" t="s">
        <v>15055</v>
      </c>
      <c r="D9131" s="451"/>
      <c r="E9131" s="451"/>
      <c r="F9131" s="451"/>
      <c r="G9131" s="451" t="s">
        <v>22882</v>
      </c>
      <c r="H9131" s="451" t="s">
        <v>22883</v>
      </c>
      <c r="I9131" s="451" t="s">
        <v>37698</v>
      </c>
      <c r="J9131" s="451" t="s">
        <v>22943</v>
      </c>
      <c r="K9131" s="451"/>
    </row>
    <row r="9132" spans="1:11">
      <c r="A9132" s="450" t="s">
        <v>15054</v>
      </c>
      <c r="B9132" s="450"/>
      <c r="C9132" s="450" t="s">
        <v>15055</v>
      </c>
      <c r="D9132" s="450"/>
      <c r="E9132" s="450"/>
      <c r="F9132" s="450"/>
      <c r="G9132" s="450"/>
      <c r="H9132" s="450"/>
      <c r="I9132" s="450"/>
      <c r="J9132" s="450"/>
      <c r="K9132" s="450"/>
    </row>
    <row r="9133" spans="1:11">
      <c r="A9133" s="451" t="s">
        <v>37699</v>
      </c>
      <c r="B9133" s="451"/>
      <c r="C9133" s="451" t="s">
        <v>15058</v>
      </c>
      <c r="D9133" s="451"/>
      <c r="E9133" s="451"/>
      <c r="F9133" s="451"/>
      <c r="G9133" s="451" t="s">
        <v>22877</v>
      </c>
      <c r="H9133" s="451" t="s">
        <v>22878</v>
      </c>
      <c r="I9133" s="451" t="s">
        <v>37700</v>
      </c>
      <c r="J9133" s="451" t="s">
        <v>23370</v>
      </c>
      <c r="K9133" s="451"/>
    </row>
    <row r="9134" spans="1:11">
      <c r="A9134" s="450" t="s">
        <v>21883</v>
      </c>
      <c r="B9134" s="450"/>
      <c r="C9134" s="450" t="s">
        <v>15056</v>
      </c>
      <c r="D9134" s="450"/>
      <c r="E9134" s="450"/>
      <c r="F9134" s="450"/>
      <c r="G9134" s="450" t="s">
        <v>22877</v>
      </c>
      <c r="H9134" s="450" t="s">
        <v>22878</v>
      </c>
      <c r="I9134" s="450" t="s">
        <v>37701</v>
      </c>
      <c r="J9134" s="450" t="s">
        <v>22939</v>
      </c>
      <c r="K9134" s="450"/>
    </row>
    <row r="9135" spans="1:11">
      <c r="A9135" s="451" t="s">
        <v>15057</v>
      </c>
      <c r="B9135" s="451"/>
      <c r="C9135" s="451" t="s">
        <v>15058</v>
      </c>
      <c r="D9135" s="451"/>
      <c r="E9135" s="451"/>
      <c r="F9135" s="451"/>
      <c r="G9135" s="451"/>
      <c r="H9135" s="451"/>
      <c r="I9135" s="451"/>
      <c r="J9135" s="451"/>
      <c r="K9135" s="451"/>
    </row>
    <row r="9136" spans="1:11">
      <c r="A9136" s="450" t="s">
        <v>28086</v>
      </c>
      <c r="B9136" s="450" t="s">
        <v>28087</v>
      </c>
      <c r="C9136" s="450" t="s">
        <v>28088</v>
      </c>
      <c r="D9136" s="450" t="s">
        <v>28089</v>
      </c>
      <c r="E9136" s="450"/>
      <c r="F9136" s="450"/>
      <c r="G9136" s="450" t="s">
        <v>22877</v>
      </c>
      <c r="H9136" s="450" t="s">
        <v>22878</v>
      </c>
      <c r="I9136" s="450" t="s">
        <v>28089</v>
      </c>
      <c r="J9136" s="450" t="s">
        <v>28090</v>
      </c>
      <c r="K9136" s="450"/>
    </row>
    <row r="9137" spans="1:11">
      <c r="A9137" s="451" t="s">
        <v>37702</v>
      </c>
      <c r="B9137" s="451"/>
      <c r="C9137" s="451" t="s">
        <v>15060</v>
      </c>
      <c r="D9137" s="451"/>
      <c r="E9137" s="451"/>
      <c r="F9137" s="451"/>
      <c r="G9137" s="451" t="s">
        <v>22877</v>
      </c>
      <c r="H9137" s="451" t="s">
        <v>22878</v>
      </c>
      <c r="I9137" s="451" t="s">
        <v>37703</v>
      </c>
      <c r="J9137" s="451" t="s">
        <v>22997</v>
      </c>
      <c r="K9137" s="451"/>
    </row>
    <row r="9138" spans="1:11">
      <c r="A9138" s="450" t="s">
        <v>15059</v>
      </c>
      <c r="B9138" s="450"/>
      <c r="C9138" s="450" t="s">
        <v>15060</v>
      </c>
      <c r="D9138" s="450"/>
      <c r="E9138" s="450"/>
      <c r="F9138" s="450"/>
      <c r="G9138" s="450"/>
      <c r="H9138" s="450"/>
      <c r="I9138" s="450"/>
      <c r="J9138" s="450"/>
      <c r="K9138" s="450"/>
    </row>
    <row r="9139" spans="1:11">
      <c r="A9139" s="451" t="s">
        <v>37704</v>
      </c>
      <c r="B9139" s="451"/>
      <c r="C9139" s="451" t="s">
        <v>15062</v>
      </c>
      <c r="D9139" s="451"/>
      <c r="E9139" s="451"/>
      <c r="F9139" s="451"/>
      <c r="G9139" s="451" t="s">
        <v>22877</v>
      </c>
      <c r="H9139" s="451" t="s">
        <v>22878</v>
      </c>
      <c r="I9139" s="451" t="s">
        <v>37705</v>
      </c>
      <c r="J9139" s="451" t="s">
        <v>22943</v>
      </c>
      <c r="K9139" s="451"/>
    </row>
    <row r="9140" spans="1:11">
      <c r="A9140" s="450" t="s">
        <v>15061</v>
      </c>
      <c r="B9140" s="450"/>
      <c r="C9140" s="450" t="s">
        <v>15062</v>
      </c>
      <c r="D9140" s="450"/>
      <c r="E9140" s="450"/>
      <c r="F9140" s="450"/>
      <c r="G9140" s="450"/>
      <c r="H9140" s="450"/>
      <c r="I9140" s="450"/>
      <c r="J9140" s="450"/>
      <c r="K9140" s="450"/>
    </row>
    <row r="9141" spans="1:11">
      <c r="A9141" s="451" t="s">
        <v>15063</v>
      </c>
      <c r="B9141" s="451" t="s">
        <v>28091</v>
      </c>
      <c r="C9141" s="451" t="s">
        <v>15065</v>
      </c>
      <c r="D9141" s="451" t="s">
        <v>15066</v>
      </c>
      <c r="E9141" s="451"/>
      <c r="F9141" s="451"/>
      <c r="G9141" s="451" t="s">
        <v>22877</v>
      </c>
      <c r="H9141" s="451" t="s">
        <v>22878</v>
      </c>
      <c r="I9141" s="451" t="s">
        <v>15066</v>
      </c>
      <c r="J9141" s="451" t="s">
        <v>28092</v>
      </c>
      <c r="K9141" s="451"/>
    </row>
    <row r="9142" spans="1:11">
      <c r="A9142" s="450" t="s">
        <v>15063</v>
      </c>
      <c r="B9142" s="450" t="s">
        <v>15064</v>
      </c>
      <c r="C9142" s="450" t="s">
        <v>15065</v>
      </c>
      <c r="D9142" s="450" t="s">
        <v>15066</v>
      </c>
      <c r="E9142" s="450" t="s">
        <v>15067</v>
      </c>
      <c r="F9142" s="450"/>
      <c r="G9142" s="450"/>
      <c r="H9142" s="450"/>
      <c r="I9142" s="450"/>
      <c r="J9142" s="450"/>
      <c r="K9142" s="450"/>
    </row>
    <row r="9143" spans="1:11">
      <c r="A9143" s="451" t="s">
        <v>15068</v>
      </c>
      <c r="B9143" s="451"/>
      <c r="C9143" s="451" t="s">
        <v>8131</v>
      </c>
      <c r="D9143" s="451"/>
      <c r="E9143" s="451"/>
      <c r="F9143" s="451"/>
      <c r="G9143" s="451" t="s">
        <v>22877</v>
      </c>
      <c r="H9143" s="451" t="s">
        <v>22878</v>
      </c>
      <c r="I9143" s="451" t="s">
        <v>25979</v>
      </c>
      <c r="J9143" s="451" t="s">
        <v>22939</v>
      </c>
      <c r="K9143" s="451"/>
    </row>
    <row r="9144" spans="1:11">
      <c r="A9144" s="450" t="s">
        <v>15069</v>
      </c>
      <c r="B9144" s="450" t="s">
        <v>15070</v>
      </c>
      <c r="C9144" s="450" t="s">
        <v>8523</v>
      </c>
      <c r="D9144" s="450"/>
      <c r="E9144" s="450"/>
      <c r="F9144" s="450"/>
      <c r="G9144" s="450" t="s">
        <v>22877</v>
      </c>
      <c r="H9144" s="450" t="s">
        <v>22878</v>
      </c>
      <c r="I9144" s="450" t="s">
        <v>28093</v>
      </c>
      <c r="J9144" s="450" t="s">
        <v>28094</v>
      </c>
      <c r="K9144" s="450"/>
    </row>
    <row r="9145" spans="1:11">
      <c r="A9145" s="451" t="s">
        <v>15071</v>
      </c>
      <c r="B9145" s="451"/>
      <c r="C9145" s="451" t="s">
        <v>14365</v>
      </c>
      <c r="D9145" s="451"/>
      <c r="E9145" s="451"/>
      <c r="F9145" s="451"/>
      <c r="G9145" s="451" t="s">
        <v>22877</v>
      </c>
      <c r="H9145" s="451" t="s">
        <v>22878</v>
      </c>
      <c r="I9145" s="451" t="s">
        <v>28095</v>
      </c>
      <c r="J9145" s="451" t="s">
        <v>22943</v>
      </c>
      <c r="K9145" s="451"/>
    </row>
    <row r="9146" spans="1:11">
      <c r="A9146" s="450" t="s">
        <v>28096</v>
      </c>
      <c r="B9146" s="450" t="s">
        <v>15073</v>
      </c>
      <c r="C9146" s="450" t="s">
        <v>15074</v>
      </c>
      <c r="D9146" s="450"/>
      <c r="E9146" s="450"/>
      <c r="F9146" s="450"/>
      <c r="G9146" s="450" t="s">
        <v>22877</v>
      </c>
      <c r="H9146" s="450" t="s">
        <v>22878</v>
      </c>
      <c r="I9146" s="450" t="s">
        <v>28097</v>
      </c>
      <c r="J9146" s="450" t="s">
        <v>28098</v>
      </c>
      <c r="K9146" s="450"/>
    </row>
    <row r="9147" spans="1:11">
      <c r="A9147" s="451" t="s">
        <v>15072</v>
      </c>
      <c r="B9147" s="451" t="s">
        <v>15073</v>
      </c>
      <c r="C9147" s="451" t="s">
        <v>15074</v>
      </c>
      <c r="D9147" s="451"/>
      <c r="E9147" s="451"/>
      <c r="F9147" s="451"/>
      <c r="G9147" s="451"/>
      <c r="H9147" s="451"/>
      <c r="I9147" s="451"/>
      <c r="J9147" s="451"/>
      <c r="K9147" s="451"/>
    </row>
    <row r="9148" spans="1:11">
      <c r="A9148" s="450" t="s">
        <v>15075</v>
      </c>
      <c r="B9148" s="450"/>
      <c r="C9148" s="450" t="s">
        <v>8796</v>
      </c>
      <c r="D9148" s="450"/>
      <c r="E9148" s="450"/>
      <c r="F9148" s="450"/>
      <c r="G9148" s="450"/>
      <c r="H9148" s="450"/>
      <c r="I9148" s="450"/>
      <c r="J9148" s="450"/>
      <c r="K9148" s="450"/>
    </row>
    <row r="9149" spans="1:11">
      <c r="A9149" s="451" t="s">
        <v>37706</v>
      </c>
      <c r="B9149" s="451"/>
      <c r="C9149" s="451" t="s">
        <v>8796</v>
      </c>
      <c r="D9149" s="451"/>
      <c r="E9149" s="451"/>
      <c r="F9149" s="451"/>
      <c r="G9149" s="451" t="s">
        <v>22882</v>
      </c>
      <c r="H9149" s="451" t="s">
        <v>22883</v>
      </c>
      <c r="I9149" s="451" t="s">
        <v>37707</v>
      </c>
      <c r="J9149" s="451" t="s">
        <v>22943</v>
      </c>
      <c r="K9149" s="451"/>
    </row>
    <row r="9150" spans="1:11">
      <c r="A9150" s="450" t="s">
        <v>37708</v>
      </c>
      <c r="B9150" s="450"/>
      <c r="C9150" s="450" t="s">
        <v>15077</v>
      </c>
      <c r="D9150" s="450"/>
      <c r="E9150" s="450"/>
      <c r="F9150" s="450"/>
      <c r="G9150" s="450" t="s">
        <v>22877</v>
      </c>
      <c r="H9150" s="450" t="s">
        <v>22878</v>
      </c>
      <c r="I9150" s="450" t="s">
        <v>37709</v>
      </c>
      <c r="J9150" s="450" t="s">
        <v>22942</v>
      </c>
      <c r="K9150" s="450"/>
    </row>
    <row r="9151" spans="1:11">
      <c r="A9151" s="451" t="s">
        <v>37710</v>
      </c>
      <c r="B9151" s="451"/>
      <c r="C9151" s="451" t="s">
        <v>15079</v>
      </c>
      <c r="D9151" s="451"/>
      <c r="E9151" s="451"/>
      <c r="F9151" s="451"/>
      <c r="G9151" s="451" t="s">
        <v>22877</v>
      </c>
      <c r="H9151" s="451" t="s">
        <v>22878</v>
      </c>
      <c r="I9151" s="451" t="s">
        <v>37711</v>
      </c>
      <c r="J9151" s="451" t="s">
        <v>22943</v>
      </c>
      <c r="K9151" s="451"/>
    </row>
    <row r="9152" spans="1:11">
      <c r="A9152" s="450" t="s">
        <v>15076</v>
      </c>
      <c r="B9152" s="450"/>
      <c r="C9152" s="450" t="s">
        <v>15077</v>
      </c>
      <c r="D9152" s="450"/>
      <c r="E9152" s="450"/>
      <c r="F9152" s="450"/>
      <c r="G9152" s="450"/>
      <c r="H9152" s="450"/>
      <c r="I9152" s="450"/>
      <c r="J9152" s="450"/>
      <c r="K9152" s="450"/>
    </row>
    <row r="9153" spans="1:11">
      <c r="A9153" s="451" t="s">
        <v>15078</v>
      </c>
      <c r="B9153" s="451"/>
      <c r="C9153" s="451" t="s">
        <v>15079</v>
      </c>
      <c r="D9153" s="451"/>
      <c r="E9153" s="451"/>
      <c r="F9153" s="451"/>
      <c r="G9153" s="451"/>
      <c r="H9153" s="451"/>
      <c r="I9153" s="451"/>
      <c r="J9153" s="451"/>
      <c r="K9153" s="451"/>
    </row>
    <row r="9154" spans="1:11">
      <c r="A9154" s="450" t="s">
        <v>28099</v>
      </c>
      <c r="B9154" s="450" t="s">
        <v>28100</v>
      </c>
      <c r="C9154" s="450" t="s">
        <v>28101</v>
      </c>
      <c r="D9154" s="450" t="s">
        <v>28102</v>
      </c>
      <c r="E9154" s="450"/>
      <c r="F9154" s="450"/>
      <c r="G9154" s="450" t="s">
        <v>22877</v>
      </c>
      <c r="H9154" s="450" t="s">
        <v>22878</v>
      </c>
      <c r="I9154" s="450" t="s">
        <v>27380</v>
      </c>
      <c r="J9154" s="450" t="s">
        <v>28103</v>
      </c>
      <c r="K9154" s="450"/>
    </row>
    <row r="9155" spans="1:11">
      <c r="A9155" s="451" t="s">
        <v>28104</v>
      </c>
      <c r="B9155" s="451" t="s">
        <v>28105</v>
      </c>
      <c r="C9155" s="451" t="s">
        <v>28106</v>
      </c>
      <c r="D9155" s="451"/>
      <c r="E9155" s="451"/>
      <c r="F9155" s="451"/>
      <c r="G9155" s="451" t="s">
        <v>23084</v>
      </c>
      <c r="H9155" s="451" t="s">
        <v>22878</v>
      </c>
      <c r="I9155" s="451"/>
      <c r="J9155" s="451" t="s">
        <v>28105</v>
      </c>
      <c r="K9155" s="451"/>
    </row>
    <row r="9156" spans="1:11">
      <c r="A9156" s="450" t="s">
        <v>28107</v>
      </c>
      <c r="B9156" s="450" t="s">
        <v>28108</v>
      </c>
      <c r="C9156" s="450" t="s">
        <v>28109</v>
      </c>
      <c r="D9156" s="450"/>
      <c r="E9156" s="450"/>
      <c r="F9156" s="450"/>
      <c r="G9156" s="450" t="s">
        <v>22877</v>
      </c>
      <c r="H9156" s="450" t="s">
        <v>22878</v>
      </c>
      <c r="I9156" s="450" t="s">
        <v>28110</v>
      </c>
      <c r="J9156" s="450" t="s">
        <v>28111</v>
      </c>
      <c r="K9156" s="450"/>
    </row>
    <row r="9157" spans="1:11">
      <c r="A9157" s="451" t="s">
        <v>15080</v>
      </c>
      <c r="B9157" s="451"/>
      <c r="C9157" s="451" t="s">
        <v>9488</v>
      </c>
      <c r="D9157" s="451"/>
      <c r="E9157" s="451"/>
      <c r="F9157" s="451"/>
      <c r="G9157" s="451" t="s">
        <v>22877</v>
      </c>
      <c r="H9157" s="451" t="s">
        <v>22878</v>
      </c>
      <c r="I9157" s="451" t="s">
        <v>37712</v>
      </c>
      <c r="J9157" s="451" t="s">
        <v>22939</v>
      </c>
      <c r="K9157" s="451"/>
    </row>
    <row r="9158" spans="1:11">
      <c r="A9158" s="450" t="s">
        <v>15081</v>
      </c>
      <c r="B9158" s="450"/>
      <c r="C9158" s="450" t="s">
        <v>15082</v>
      </c>
      <c r="D9158" s="450"/>
      <c r="E9158" s="450"/>
      <c r="F9158" s="450"/>
      <c r="G9158" s="450" t="s">
        <v>22877</v>
      </c>
      <c r="H9158" s="450" t="s">
        <v>22878</v>
      </c>
      <c r="I9158" s="450" t="s">
        <v>37713</v>
      </c>
      <c r="J9158" s="450" t="s">
        <v>22943</v>
      </c>
      <c r="K9158" s="450"/>
    </row>
    <row r="9159" spans="1:11">
      <c r="A9159" s="451" t="s">
        <v>15083</v>
      </c>
      <c r="B9159" s="451"/>
      <c r="C9159" s="451" t="s">
        <v>2962</v>
      </c>
      <c r="D9159" s="451"/>
      <c r="E9159" s="451"/>
      <c r="F9159" s="451"/>
      <c r="G9159" s="451" t="s">
        <v>22877</v>
      </c>
      <c r="H9159" s="451" t="s">
        <v>22878</v>
      </c>
      <c r="I9159" s="451" t="s">
        <v>37714</v>
      </c>
      <c r="J9159" s="451" t="s">
        <v>22943</v>
      </c>
      <c r="K9159" s="451"/>
    </row>
    <row r="9160" spans="1:11">
      <c r="A9160" s="450" t="s">
        <v>15084</v>
      </c>
      <c r="B9160" s="450"/>
      <c r="C9160" s="450" t="s">
        <v>15085</v>
      </c>
      <c r="D9160" s="450"/>
      <c r="E9160" s="450"/>
      <c r="F9160" s="450"/>
      <c r="G9160" s="450" t="s">
        <v>22877</v>
      </c>
      <c r="H9160" s="450" t="s">
        <v>22878</v>
      </c>
      <c r="I9160" s="450" t="s">
        <v>37715</v>
      </c>
      <c r="J9160" s="450" t="s">
        <v>23370</v>
      </c>
      <c r="K9160" s="450"/>
    </row>
    <row r="9161" spans="1:11">
      <c r="A9161" s="451" t="s">
        <v>15086</v>
      </c>
      <c r="B9161" s="451"/>
      <c r="C9161" s="451" t="s">
        <v>15087</v>
      </c>
      <c r="D9161" s="451"/>
      <c r="E9161" s="451"/>
      <c r="F9161" s="451"/>
      <c r="G9161" s="451" t="s">
        <v>22877</v>
      </c>
      <c r="H9161" s="451" t="s">
        <v>22878</v>
      </c>
      <c r="I9161" s="451" t="s">
        <v>37716</v>
      </c>
      <c r="J9161" s="451" t="s">
        <v>22943</v>
      </c>
      <c r="K9161" s="451"/>
    </row>
    <row r="9162" spans="1:11">
      <c r="A9162" s="450" t="s">
        <v>15088</v>
      </c>
      <c r="B9162" s="450"/>
      <c r="C9162" s="450" t="s">
        <v>9324</v>
      </c>
      <c r="D9162" s="450"/>
      <c r="E9162" s="450"/>
      <c r="F9162" s="450"/>
      <c r="G9162" s="450" t="s">
        <v>22882</v>
      </c>
      <c r="H9162" s="450" t="s">
        <v>22883</v>
      </c>
      <c r="I9162" s="450" t="s">
        <v>28112</v>
      </c>
      <c r="J9162" s="450" t="s">
        <v>22943</v>
      </c>
      <c r="K9162" s="450"/>
    </row>
    <row r="9163" spans="1:11">
      <c r="A9163" s="451" t="s">
        <v>15089</v>
      </c>
      <c r="B9163" s="451" t="s">
        <v>15090</v>
      </c>
      <c r="C9163" s="451" t="s">
        <v>15091</v>
      </c>
      <c r="D9163" s="451" t="s">
        <v>15092</v>
      </c>
      <c r="E9163" s="451"/>
      <c r="F9163" s="451"/>
      <c r="G9163" s="451" t="s">
        <v>22877</v>
      </c>
      <c r="H9163" s="451" t="s">
        <v>22878</v>
      </c>
      <c r="I9163" s="451" t="s">
        <v>37717</v>
      </c>
      <c r="J9163" s="451" t="s">
        <v>37718</v>
      </c>
      <c r="K9163" s="451"/>
    </row>
    <row r="9164" spans="1:11">
      <c r="A9164" s="450" t="s">
        <v>15089</v>
      </c>
      <c r="B9164" s="450" t="s">
        <v>15090</v>
      </c>
      <c r="C9164" s="450" t="s">
        <v>15091</v>
      </c>
      <c r="D9164" s="450" t="s">
        <v>15092</v>
      </c>
      <c r="E9164" s="450" t="s">
        <v>15093</v>
      </c>
      <c r="F9164" s="450"/>
      <c r="G9164" s="450"/>
      <c r="H9164" s="450"/>
      <c r="I9164" s="450"/>
      <c r="J9164" s="450"/>
      <c r="K9164" s="450"/>
    </row>
    <row r="9165" spans="1:11">
      <c r="A9165" s="451" t="s">
        <v>37719</v>
      </c>
      <c r="B9165" s="451"/>
      <c r="C9165" s="451" t="s">
        <v>15095</v>
      </c>
      <c r="D9165" s="451"/>
      <c r="E9165" s="451"/>
      <c r="F9165" s="451"/>
      <c r="G9165" s="451" t="s">
        <v>22877</v>
      </c>
      <c r="H9165" s="451" t="s">
        <v>22878</v>
      </c>
      <c r="I9165" s="451" t="s">
        <v>37720</v>
      </c>
      <c r="J9165" s="451" t="s">
        <v>22943</v>
      </c>
      <c r="K9165" s="451"/>
    </row>
    <row r="9166" spans="1:11">
      <c r="A9166" s="450" t="s">
        <v>15094</v>
      </c>
      <c r="B9166" s="450"/>
      <c r="C9166" s="450" t="s">
        <v>15095</v>
      </c>
      <c r="D9166" s="450"/>
      <c r="E9166" s="450"/>
      <c r="F9166" s="450"/>
      <c r="G9166" s="450"/>
      <c r="H9166" s="450"/>
      <c r="I9166" s="450"/>
      <c r="J9166" s="450"/>
      <c r="K9166" s="450"/>
    </row>
    <row r="9167" spans="1:11">
      <c r="A9167" s="451" t="s">
        <v>28113</v>
      </c>
      <c r="B9167" s="451" t="s">
        <v>28114</v>
      </c>
      <c r="C9167" s="451" t="s">
        <v>3905</v>
      </c>
      <c r="D9167" s="451" t="s">
        <v>15098</v>
      </c>
      <c r="E9167" s="451"/>
      <c r="F9167" s="451"/>
      <c r="G9167" s="451" t="s">
        <v>22882</v>
      </c>
      <c r="H9167" s="451" t="s">
        <v>22883</v>
      </c>
      <c r="I9167" s="451" t="s">
        <v>15098</v>
      </c>
      <c r="J9167" s="451" t="s">
        <v>28115</v>
      </c>
      <c r="K9167" s="451"/>
    </row>
    <row r="9168" spans="1:11">
      <c r="A9168" s="450" t="s">
        <v>15096</v>
      </c>
      <c r="B9168" s="450" t="s">
        <v>15097</v>
      </c>
      <c r="C9168" s="450" t="s">
        <v>3905</v>
      </c>
      <c r="D9168" s="450" t="s">
        <v>15098</v>
      </c>
      <c r="E9168" s="450" t="s">
        <v>15099</v>
      </c>
      <c r="F9168" s="450"/>
      <c r="G9168" s="450"/>
      <c r="H9168" s="450"/>
      <c r="I9168" s="450"/>
      <c r="J9168" s="450"/>
      <c r="K9168" s="450"/>
    </row>
    <row r="9169" spans="1:11">
      <c r="A9169" s="451" t="s">
        <v>15100</v>
      </c>
      <c r="B9169" s="451"/>
      <c r="C9169" s="451" t="s">
        <v>15101</v>
      </c>
      <c r="D9169" s="451"/>
      <c r="E9169" s="451"/>
      <c r="F9169" s="451"/>
      <c r="G9169" s="451" t="s">
        <v>22882</v>
      </c>
      <c r="H9169" s="451" t="s">
        <v>22883</v>
      </c>
      <c r="I9169" s="451" t="s">
        <v>37721</v>
      </c>
      <c r="J9169" s="451" t="s">
        <v>22997</v>
      </c>
      <c r="K9169" s="451"/>
    </row>
    <row r="9170" spans="1:11">
      <c r="A9170" s="450" t="s">
        <v>37722</v>
      </c>
      <c r="B9170" s="450"/>
      <c r="C9170" s="450" t="s">
        <v>15103</v>
      </c>
      <c r="D9170" s="450"/>
      <c r="E9170" s="450"/>
      <c r="F9170" s="450"/>
      <c r="G9170" s="450" t="s">
        <v>22882</v>
      </c>
      <c r="H9170" s="450" t="s">
        <v>22883</v>
      </c>
      <c r="I9170" s="450"/>
      <c r="J9170" s="450" t="s">
        <v>23370</v>
      </c>
      <c r="K9170" s="450"/>
    </row>
    <row r="9171" spans="1:11">
      <c r="A9171" s="451" t="s">
        <v>15102</v>
      </c>
      <c r="B9171" s="451"/>
      <c r="C9171" s="451" t="s">
        <v>15103</v>
      </c>
      <c r="D9171" s="451"/>
      <c r="E9171" s="451"/>
      <c r="F9171" s="451"/>
      <c r="G9171" s="451"/>
      <c r="H9171" s="451"/>
      <c r="I9171" s="451"/>
      <c r="J9171" s="451"/>
      <c r="K9171" s="451"/>
    </row>
    <row r="9172" spans="1:11">
      <c r="A9172" s="450" t="s">
        <v>37723</v>
      </c>
      <c r="B9172" s="450"/>
      <c r="C9172" s="450" t="s">
        <v>9377</v>
      </c>
      <c r="D9172" s="450"/>
      <c r="E9172" s="450"/>
      <c r="F9172" s="450"/>
      <c r="G9172" s="450" t="s">
        <v>22882</v>
      </c>
      <c r="H9172" s="450" t="s">
        <v>22883</v>
      </c>
      <c r="I9172" s="450" t="s">
        <v>37724</v>
      </c>
      <c r="J9172" s="450" t="s">
        <v>22997</v>
      </c>
      <c r="K9172" s="450"/>
    </row>
    <row r="9173" spans="1:11">
      <c r="A9173" s="451" t="s">
        <v>15104</v>
      </c>
      <c r="B9173" s="451"/>
      <c r="C9173" s="451" t="s">
        <v>9377</v>
      </c>
      <c r="D9173" s="451"/>
      <c r="E9173" s="451"/>
      <c r="F9173" s="451"/>
      <c r="G9173" s="451"/>
      <c r="H9173" s="451"/>
      <c r="I9173" s="451"/>
      <c r="J9173" s="451"/>
      <c r="K9173" s="451"/>
    </row>
    <row r="9174" spans="1:11">
      <c r="A9174" s="450" t="s">
        <v>28116</v>
      </c>
      <c r="B9174" s="450"/>
      <c r="C9174" s="450" t="s">
        <v>15021</v>
      </c>
      <c r="D9174" s="450"/>
      <c r="E9174" s="450"/>
      <c r="F9174" s="450"/>
      <c r="G9174" s="450" t="s">
        <v>22877</v>
      </c>
      <c r="H9174" s="450" t="s">
        <v>22878</v>
      </c>
      <c r="I9174" s="450" t="s">
        <v>28117</v>
      </c>
      <c r="J9174" s="450" t="s">
        <v>23370</v>
      </c>
      <c r="K9174" s="450"/>
    </row>
    <row r="9175" spans="1:11">
      <c r="A9175" s="451" t="s">
        <v>37725</v>
      </c>
      <c r="B9175" s="451" t="s">
        <v>15106</v>
      </c>
      <c r="C9175" s="451" t="s">
        <v>15107</v>
      </c>
      <c r="D9175" s="451" t="s">
        <v>15108</v>
      </c>
      <c r="E9175" s="451"/>
      <c r="F9175" s="451"/>
      <c r="G9175" s="451" t="s">
        <v>22877</v>
      </c>
      <c r="H9175" s="451" t="s">
        <v>22878</v>
      </c>
      <c r="I9175" s="451" t="s">
        <v>15108</v>
      </c>
      <c r="J9175" s="451" t="s">
        <v>37726</v>
      </c>
      <c r="K9175" s="451"/>
    </row>
    <row r="9176" spans="1:11">
      <c r="A9176" s="450" t="s">
        <v>15105</v>
      </c>
      <c r="B9176" s="450" t="s">
        <v>15106</v>
      </c>
      <c r="C9176" s="450" t="s">
        <v>15107</v>
      </c>
      <c r="D9176" s="450" t="s">
        <v>15108</v>
      </c>
      <c r="E9176" s="450" t="s">
        <v>15109</v>
      </c>
      <c r="F9176" s="450"/>
      <c r="G9176" s="450"/>
      <c r="H9176" s="450"/>
      <c r="I9176" s="450"/>
      <c r="J9176" s="450"/>
      <c r="K9176" s="450"/>
    </row>
    <row r="9177" spans="1:11">
      <c r="A9177" s="451" t="s">
        <v>15110</v>
      </c>
      <c r="B9177" s="451"/>
      <c r="C9177" s="451" t="s">
        <v>15111</v>
      </c>
      <c r="D9177" s="451"/>
      <c r="E9177" s="451"/>
      <c r="F9177" s="451"/>
      <c r="G9177" s="451" t="s">
        <v>22877</v>
      </c>
      <c r="H9177" s="451" t="s">
        <v>22878</v>
      </c>
      <c r="I9177" s="451" t="s">
        <v>37727</v>
      </c>
      <c r="J9177" s="451" t="s">
        <v>22943</v>
      </c>
      <c r="K9177" s="451"/>
    </row>
    <row r="9178" spans="1:11">
      <c r="A9178" s="450" t="s">
        <v>15112</v>
      </c>
      <c r="B9178" s="450"/>
      <c r="C9178" s="450" t="s">
        <v>15021</v>
      </c>
      <c r="D9178" s="450"/>
      <c r="E9178" s="450"/>
      <c r="F9178" s="450"/>
      <c r="G9178" s="450"/>
      <c r="H9178" s="450"/>
      <c r="I9178" s="450"/>
      <c r="J9178" s="450"/>
      <c r="K9178" s="450"/>
    </row>
    <row r="9179" spans="1:11">
      <c r="A9179" s="451" t="s">
        <v>15113</v>
      </c>
      <c r="B9179" s="451" t="s">
        <v>15114</v>
      </c>
      <c r="C9179" s="451" t="s">
        <v>13913</v>
      </c>
      <c r="D9179" s="451"/>
      <c r="E9179" s="451"/>
      <c r="F9179" s="451"/>
      <c r="G9179" s="451" t="s">
        <v>22877</v>
      </c>
      <c r="H9179" s="451" t="s">
        <v>22878</v>
      </c>
      <c r="I9179" s="451" t="s">
        <v>28118</v>
      </c>
      <c r="J9179" s="451" t="s">
        <v>28119</v>
      </c>
      <c r="K9179" s="451"/>
    </row>
    <row r="9180" spans="1:11">
      <c r="A9180" s="450" t="s">
        <v>15115</v>
      </c>
      <c r="B9180" s="450" t="s">
        <v>15116</v>
      </c>
      <c r="C9180" s="450" t="s">
        <v>15117</v>
      </c>
      <c r="D9180" s="450" t="s">
        <v>15118</v>
      </c>
      <c r="E9180" s="450"/>
      <c r="F9180" s="450"/>
      <c r="G9180" s="450" t="s">
        <v>22877</v>
      </c>
      <c r="H9180" s="450" t="s">
        <v>22878</v>
      </c>
      <c r="I9180" s="450" t="s">
        <v>15118</v>
      </c>
      <c r="J9180" s="450" t="s">
        <v>37728</v>
      </c>
      <c r="K9180" s="450"/>
    </row>
    <row r="9181" spans="1:11">
      <c r="A9181" s="451" t="s">
        <v>15115</v>
      </c>
      <c r="B9181" s="451" t="s">
        <v>15116</v>
      </c>
      <c r="C9181" s="451" t="s">
        <v>15117</v>
      </c>
      <c r="D9181" s="451" t="s">
        <v>15118</v>
      </c>
      <c r="E9181" s="451" t="s">
        <v>15119</v>
      </c>
      <c r="F9181" s="451"/>
      <c r="G9181" s="451"/>
      <c r="H9181" s="451"/>
      <c r="I9181" s="451"/>
      <c r="J9181" s="451"/>
      <c r="K9181" s="451"/>
    </row>
    <row r="9182" spans="1:11">
      <c r="A9182" s="450" t="s">
        <v>15120</v>
      </c>
      <c r="B9182" s="450"/>
      <c r="C9182" s="450" t="s">
        <v>5421</v>
      </c>
      <c r="D9182" s="450"/>
      <c r="E9182" s="450"/>
      <c r="F9182" s="450"/>
      <c r="G9182" s="450" t="s">
        <v>22877</v>
      </c>
      <c r="H9182" s="450" t="s">
        <v>22878</v>
      </c>
      <c r="I9182" s="450" t="s">
        <v>37729</v>
      </c>
      <c r="J9182" s="450" t="s">
        <v>33326</v>
      </c>
      <c r="K9182" s="450"/>
    </row>
    <row r="9183" spans="1:11">
      <c r="A9183" s="451" t="s">
        <v>15121</v>
      </c>
      <c r="B9183" s="451"/>
      <c r="C9183" s="451" t="s">
        <v>2098</v>
      </c>
      <c r="D9183" s="451"/>
      <c r="E9183" s="451"/>
      <c r="F9183" s="451"/>
      <c r="G9183" s="451" t="s">
        <v>22882</v>
      </c>
      <c r="H9183" s="451" t="s">
        <v>22883</v>
      </c>
      <c r="I9183" s="451"/>
      <c r="J9183" s="451" t="s">
        <v>23185</v>
      </c>
      <c r="K9183" s="451"/>
    </row>
    <row r="9184" spans="1:11">
      <c r="A9184" s="450" t="s">
        <v>15122</v>
      </c>
      <c r="B9184" s="450"/>
      <c r="C9184" s="450" t="s">
        <v>4548</v>
      </c>
      <c r="D9184" s="450"/>
      <c r="E9184" s="450"/>
      <c r="F9184" s="450"/>
      <c r="G9184" s="450" t="s">
        <v>22877</v>
      </c>
      <c r="H9184" s="450" t="s">
        <v>22878</v>
      </c>
      <c r="I9184" s="450" t="s">
        <v>28120</v>
      </c>
      <c r="J9184" s="450" t="s">
        <v>22939</v>
      </c>
      <c r="K9184" s="450"/>
    </row>
    <row r="9185" spans="1:11">
      <c r="A9185" s="451" t="s">
        <v>15123</v>
      </c>
      <c r="B9185" s="451" t="s">
        <v>15124</v>
      </c>
      <c r="C9185" s="451" t="s">
        <v>15125</v>
      </c>
      <c r="D9185" s="451" t="s">
        <v>15126</v>
      </c>
      <c r="E9185" s="451"/>
      <c r="F9185" s="451"/>
      <c r="G9185" s="451" t="s">
        <v>22877</v>
      </c>
      <c r="H9185" s="451" t="s">
        <v>22878</v>
      </c>
      <c r="I9185" s="451" t="s">
        <v>15126</v>
      </c>
      <c r="J9185" s="451" t="s">
        <v>37730</v>
      </c>
      <c r="K9185" s="451"/>
    </row>
    <row r="9186" spans="1:11">
      <c r="A9186" s="450" t="s">
        <v>15123</v>
      </c>
      <c r="B9186" s="450" t="s">
        <v>15124</v>
      </c>
      <c r="C9186" s="450" t="s">
        <v>15125</v>
      </c>
      <c r="D9186" s="450" t="s">
        <v>15126</v>
      </c>
      <c r="E9186" s="450" t="s">
        <v>15127</v>
      </c>
      <c r="F9186" s="450"/>
      <c r="G9186" s="450"/>
      <c r="H9186" s="450"/>
      <c r="I9186" s="450"/>
      <c r="J9186" s="450"/>
      <c r="K9186" s="450"/>
    </row>
    <row r="9187" spans="1:11">
      <c r="A9187" s="451" t="s">
        <v>15128</v>
      </c>
      <c r="B9187" s="451" t="s">
        <v>15129</v>
      </c>
      <c r="C9187" s="451" t="s">
        <v>15130</v>
      </c>
      <c r="D9187" s="451" t="s">
        <v>15131</v>
      </c>
      <c r="E9187" s="451"/>
      <c r="F9187" s="451"/>
      <c r="G9187" s="451" t="s">
        <v>22882</v>
      </c>
      <c r="H9187" s="451" t="s">
        <v>22883</v>
      </c>
      <c r="I9187" s="451" t="s">
        <v>15131</v>
      </c>
      <c r="J9187" s="451" t="s">
        <v>37731</v>
      </c>
      <c r="K9187" s="451"/>
    </row>
    <row r="9188" spans="1:11">
      <c r="A9188" s="450" t="s">
        <v>15128</v>
      </c>
      <c r="B9188" s="450" t="s">
        <v>15129</v>
      </c>
      <c r="C9188" s="450" t="s">
        <v>15130</v>
      </c>
      <c r="D9188" s="450" t="s">
        <v>15131</v>
      </c>
      <c r="E9188" s="450" t="s">
        <v>15132</v>
      </c>
      <c r="F9188" s="450"/>
      <c r="G9188" s="450"/>
      <c r="H9188" s="450"/>
      <c r="I9188" s="450"/>
      <c r="J9188" s="450"/>
      <c r="K9188" s="450"/>
    </row>
    <row r="9189" spans="1:11">
      <c r="A9189" s="451" t="s">
        <v>37732</v>
      </c>
      <c r="B9189" s="451"/>
      <c r="C9189" s="451" t="s">
        <v>8032</v>
      </c>
      <c r="D9189" s="451"/>
      <c r="E9189" s="451"/>
      <c r="F9189" s="451"/>
      <c r="G9189" s="451" t="s">
        <v>22877</v>
      </c>
      <c r="H9189" s="451" t="s">
        <v>22878</v>
      </c>
      <c r="I9189" s="451" t="s">
        <v>37733</v>
      </c>
      <c r="J9189" s="451" t="s">
        <v>22943</v>
      </c>
      <c r="K9189" s="451"/>
    </row>
    <row r="9190" spans="1:11">
      <c r="A9190" s="450" t="s">
        <v>37734</v>
      </c>
      <c r="B9190" s="450"/>
      <c r="C9190" s="450" t="s">
        <v>1378</v>
      </c>
      <c r="D9190" s="450"/>
      <c r="E9190" s="450"/>
      <c r="F9190" s="450"/>
      <c r="G9190" s="450" t="s">
        <v>22877</v>
      </c>
      <c r="H9190" s="450" t="s">
        <v>22878</v>
      </c>
      <c r="I9190" s="450" t="s">
        <v>37735</v>
      </c>
      <c r="J9190" s="450" t="s">
        <v>22997</v>
      </c>
      <c r="K9190" s="450"/>
    </row>
    <row r="9191" spans="1:11">
      <c r="A9191" s="451" t="s">
        <v>21884</v>
      </c>
      <c r="B9191" s="451"/>
      <c r="C9191" s="451" t="s">
        <v>1378</v>
      </c>
      <c r="D9191" s="451"/>
      <c r="E9191" s="451"/>
      <c r="F9191" s="451"/>
      <c r="G9191" s="451"/>
      <c r="H9191" s="451"/>
      <c r="I9191" s="451"/>
      <c r="J9191" s="451"/>
      <c r="K9191" s="451"/>
    </row>
    <row r="9192" spans="1:11">
      <c r="A9192" s="450" t="s">
        <v>21885</v>
      </c>
      <c r="B9192" s="450"/>
      <c r="C9192" s="450" t="s">
        <v>8032</v>
      </c>
      <c r="D9192" s="450"/>
      <c r="E9192" s="450"/>
      <c r="F9192" s="450"/>
      <c r="G9192" s="450"/>
      <c r="H9192" s="450"/>
      <c r="I9192" s="450"/>
      <c r="J9192" s="450"/>
      <c r="K9192" s="450"/>
    </row>
    <row r="9193" spans="1:11">
      <c r="A9193" s="451" t="s">
        <v>21886</v>
      </c>
      <c r="B9193" s="451"/>
      <c r="C9193" s="451" t="s">
        <v>14681</v>
      </c>
      <c r="D9193" s="451"/>
      <c r="E9193" s="451"/>
      <c r="F9193" s="451"/>
      <c r="G9193" s="451" t="s">
        <v>22877</v>
      </c>
      <c r="H9193" s="451" t="s">
        <v>22878</v>
      </c>
      <c r="I9193" s="451" t="s">
        <v>37736</v>
      </c>
      <c r="J9193" s="451" t="s">
        <v>22939</v>
      </c>
      <c r="K9193" s="451"/>
    </row>
    <row r="9194" spans="1:11">
      <c r="A9194" s="450" t="s">
        <v>15133</v>
      </c>
      <c r="B9194" s="450"/>
      <c r="C9194" s="450" t="s">
        <v>15134</v>
      </c>
      <c r="D9194" s="450"/>
      <c r="E9194" s="450"/>
      <c r="F9194" s="450"/>
      <c r="G9194" s="450" t="s">
        <v>22877</v>
      </c>
      <c r="H9194" s="450" t="s">
        <v>22878</v>
      </c>
      <c r="I9194" s="450" t="s">
        <v>37737</v>
      </c>
      <c r="J9194" s="450" t="s">
        <v>22943</v>
      </c>
      <c r="K9194" s="450"/>
    </row>
    <row r="9195" spans="1:11">
      <c r="A9195" s="451" t="s">
        <v>37738</v>
      </c>
      <c r="B9195" s="451"/>
      <c r="C9195" s="451" t="s">
        <v>15136</v>
      </c>
      <c r="D9195" s="451"/>
      <c r="E9195" s="451"/>
      <c r="F9195" s="451"/>
      <c r="G9195" s="451" t="s">
        <v>22877</v>
      </c>
      <c r="H9195" s="451" t="s">
        <v>22878</v>
      </c>
      <c r="I9195" s="451" t="s">
        <v>37739</v>
      </c>
      <c r="J9195" s="451" t="s">
        <v>22997</v>
      </c>
      <c r="K9195" s="451"/>
    </row>
    <row r="9196" spans="1:11">
      <c r="A9196" s="450" t="s">
        <v>15135</v>
      </c>
      <c r="B9196" s="450"/>
      <c r="C9196" s="450" t="s">
        <v>15136</v>
      </c>
      <c r="D9196" s="450"/>
      <c r="E9196" s="450"/>
      <c r="F9196" s="450"/>
      <c r="G9196" s="450"/>
      <c r="H9196" s="450"/>
      <c r="I9196" s="450"/>
      <c r="J9196" s="450"/>
      <c r="K9196" s="450"/>
    </row>
    <row r="9197" spans="1:11">
      <c r="A9197" s="451" t="s">
        <v>37740</v>
      </c>
      <c r="B9197" s="451"/>
      <c r="C9197" s="451" t="s">
        <v>15137</v>
      </c>
      <c r="D9197" s="451"/>
      <c r="E9197" s="451"/>
      <c r="F9197" s="451"/>
      <c r="G9197" s="451" t="s">
        <v>22882</v>
      </c>
      <c r="H9197" s="451" t="s">
        <v>22883</v>
      </c>
      <c r="I9197" s="451"/>
      <c r="J9197" s="451" t="s">
        <v>22939</v>
      </c>
      <c r="K9197" s="451"/>
    </row>
    <row r="9198" spans="1:11">
      <c r="A9198" s="450" t="s">
        <v>21887</v>
      </c>
      <c r="B9198" s="450"/>
      <c r="C9198" s="450" t="s">
        <v>15137</v>
      </c>
      <c r="D9198" s="450"/>
      <c r="E9198" s="450"/>
      <c r="F9198" s="450"/>
      <c r="G9198" s="450"/>
      <c r="H9198" s="450"/>
      <c r="I9198" s="450"/>
      <c r="J9198" s="450"/>
      <c r="K9198" s="450"/>
    </row>
    <row r="9199" spans="1:11">
      <c r="A9199" s="451" t="s">
        <v>28121</v>
      </c>
      <c r="B9199" s="451" t="s">
        <v>28122</v>
      </c>
      <c r="C9199" s="451" t="s">
        <v>28123</v>
      </c>
      <c r="D9199" s="451"/>
      <c r="E9199" s="451"/>
      <c r="F9199" s="451"/>
      <c r="G9199" s="451" t="s">
        <v>22882</v>
      </c>
      <c r="H9199" s="451" t="s">
        <v>22883</v>
      </c>
      <c r="I9199" s="451" t="s">
        <v>28124</v>
      </c>
      <c r="J9199" s="451" t="s">
        <v>28125</v>
      </c>
      <c r="K9199" s="451"/>
    </row>
    <row r="9200" spans="1:11">
      <c r="A9200" s="450" t="s">
        <v>15138</v>
      </c>
      <c r="B9200" s="450"/>
      <c r="C9200" s="450" t="s">
        <v>15139</v>
      </c>
      <c r="D9200" s="450"/>
      <c r="E9200" s="450"/>
      <c r="F9200" s="450"/>
      <c r="G9200" s="450" t="s">
        <v>22882</v>
      </c>
      <c r="H9200" s="450" t="s">
        <v>22883</v>
      </c>
      <c r="I9200" s="450" t="s">
        <v>37741</v>
      </c>
      <c r="J9200" s="450" t="s">
        <v>22943</v>
      </c>
      <c r="K9200" s="450"/>
    </row>
    <row r="9201" spans="1:11">
      <c r="A9201" s="451" t="s">
        <v>15140</v>
      </c>
      <c r="B9201" s="451"/>
      <c r="C9201" s="451" t="s">
        <v>15141</v>
      </c>
      <c r="D9201" s="451"/>
      <c r="E9201" s="451"/>
      <c r="F9201" s="451"/>
      <c r="G9201" s="451" t="s">
        <v>22877</v>
      </c>
      <c r="H9201" s="451" t="s">
        <v>22878</v>
      </c>
      <c r="I9201" s="451" t="s">
        <v>28126</v>
      </c>
      <c r="J9201" s="451" t="s">
        <v>22939</v>
      </c>
      <c r="K9201" s="451"/>
    </row>
    <row r="9202" spans="1:11">
      <c r="A9202" s="450" t="s">
        <v>28127</v>
      </c>
      <c r="B9202" s="450" t="s">
        <v>28128</v>
      </c>
      <c r="C9202" s="450" t="s">
        <v>28129</v>
      </c>
      <c r="D9202" s="450" t="s">
        <v>28130</v>
      </c>
      <c r="E9202" s="450"/>
      <c r="F9202" s="450" t="s">
        <v>28131</v>
      </c>
      <c r="G9202" s="450" t="s">
        <v>22877</v>
      </c>
      <c r="H9202" s="450" t="s">
        <v>22878</v>
      </c>
      <c r="I9202" s="450" t="s">
        <v>28130</v>
      </c>
      <c r="J9202" s="450" t="s">
        <v>28132</v>
      </c>
      <c r="K9202" s="450"/>
    </row>
    <row r="9203" spans="1:11">
      <c r="A9203" s="451" t="s">
        <v>15142</v>
      </c>
      <c r="B9203" s="451"/>
      <c r="C9203" s="451" t="s">
        <v>14351</v>
      </c>
      <c r="D9203" s="451"/>
      <c r="E9203" s="451"/>
      <c r="F9203" s="451"/>
      <c r="G9203" s="451" t="s">
        <v>22877</v>
      </c>
      <c r="H9203" s="451" t="s">
        <v>22878</v>
      </c>
      <c r="I9203" s="451" t="s">
        <v>28133</v>
      </c>
      <c r="J9203" s="451" t="s">
        <v>22997</v>
      </c>
      <c r="K9203" s="451"/>
    </row>
    <row r="9204" spans="1:11">
      <c r="A9204" s="450" t="s">
        <v>28134</v>
      </c>
      <c r="B9204" s="450" t="s">
        <v>28135</v>
      </c>
      <c r="C9204" s="450" t="s">
        <v>21027</v>
      </c>
      <c r="D9204" s="450"/>
      <c r="E9204" s="450"/>
      <c r="F9204" s="450"/>
      <c r="G9204" s="450" t="s">
        <v>22877</v>
      </c>
      <c r="H9204" s="450" t="s">
        <v>22878</v>
      </c>
      <c r="I9204" s="450" t="s">
        <v>28136</v>
      </c>
      <c r="J9204" s="450" t="s">
        <v>28137</v>
      </c>
      <c r="K9204" s="450"/>
    </row>
    <row r="9205" spans="1:11">
      <c r="A9205" s="451" t="s">
        <v>15143</v>
      </c>
      <c r="B9205" s="451" t="s">
        <v>28138</v>
      </c>
      <c r="C9205" s="451" t="s">
        <v>15145</v>
      </c>
      <c r="D9205" s="451"/>
      <c r="E9205" s="451"/>
      <c r="F9205" s="451"/>
      <c r="G9205" s="451" t="s">
        <v>22882</v>
      </c>
      <c r="H9205" s="451" t="s">
        <v>22883</v>
      </c>
      <c r="I9205" s="451" t="s">
        <v>28139</v>
      </c>
      <c r="J9205" s="451" t="s">
        <v>28140</v>
      </c>
      <c r="K9205" s="451"/>
    </row>
    <row r="9206" spans="1:11">
      <c r="A9206" s="450" t="s">
        <v>15143</v>
      </c>
      <c r="B9206" s="450" t="s">
        <v>15144</v>
      </c>
      <c r="C9206" s="450" t="s">
        <v>15145</v>
      </c>
      <c r="D9206" s="450"/>
      <c r="E9206" s="450"/>
      <c r="F9206" s="450"/>
      <c r="G9206" s="450"/>
      <c r="H9206" s="450"/>
      <c r="I9206" s="450"/>
      <c r="J9206" s="450"/>
      <c r="K9206" s="450"/>
    </row>
    <row r="9207" spans="1:11">
      <c r="A9207" s="451" t="s">
        <v>15146</v>
      </c>
      <c r="B9207" s="451"/>
      <c r="C9207" s="451" t="s">
        <v>15147</v>
      </c>
      <c r="D9207" s="451"/>
      <c r="E9207" s="451"/>
      <c r="F9207" s="451"/>
      <c r="G9207" s="451" t="s">
        <v>22882</v>
      </c>
      <c r="H9207" s="451" t="s">
        <v>22883</v>
      </c>
      <c r="I9207" s="451"/>
      <c r="J9207" s="451" t="s">
        <v>22939</v>
      </c>
      <c r="K9207" s="451"/>
    </row>
    <row r="9208" spans="1:11">
      <c r="A9208" s="450" t="s">
        <v>15148</v>
      </c>
      <c r="B9208" s="450"/>
      <c r="C9208" s="450" t="s">
        <v>7873</v>
      </c>
      <c r="D9208" s="450"/>
      <c r="E9208" s="450"/>
      <c r="F9208" s="450"/>
      <c r="G9208" s="450" t="s">
        <v>22882</v>
      </c>
      <c r="H9208" s="450" t="s">
        <v>22883</v>
      </c>
      <c r="I9208" s="450" t="s">
        <v>28141</v>
      </c>
      <c r="J9208" s="450" t="s">
        <v>22997</v>
      </c>
      <c r="K9208" s="450"/>
    </row>
    <row r="9209" spans="1:11">
      <c r="A9209" s="451" t="s">
        <v>15149</v>
      </c>
      <c r="B9209" s="451" t="s">
        <v>15150</v>
      </c>
      <c r="C9209" s="451" t="s">
        <v>15151</v>
      </c>
      <c r="D9209" s="451"/>
      <c r="E9209" s="451"/>
      <c r="F9209" s="451"/>
      <c r="G9209" s="451" t="s">
        <v>22882</v>
      </c>
      <c r="H9209" s="451" t="s">
        <v>22883</v>
      </c>
      <c r="I9209" s="451" t="s">
        <v>28142</v>
      </c>
      <c r="J9209" s="451" t="s">
        <v>28143</v>
      </c>
      <c r="K9209" s="451"/>
    </row>
    <row r="9210" spans="1:11">
      <c r="A9210" s="450" t="s">
        <v>15152</v>
      </c>
      <c r="B9210" s="450"/>
      <c r="C9210" s="450" t="s">
        <v>15153</v>
      </c>
      <c r="D9210" s="450"/>
      <c r="E9210" s="450"/>
      <c r="F9210" s="450"/>
      <c r="G9210" s="450" t="s">
        <v>22882</v>
      </c>
      <c r="H9210" s="450" t="s">
        <v>22883</v>
      </c>
      <c r="I9210" s="450"/>
      <c r="J9210" s="450" t="s">
        <v>23370</v>
      </c>
      <c r="K9210" s="450"/>
    </row>
    <row r="9211" spans="1:11">
      <c r="A9211" s="451" t="s">
        <v>15154</v>
      </c>
      <c r="B9211" s="451" t="s">
        <v>15155</v>
      </c>
      <c r="C9211" s="451" t="s">
        <v>15156</v>
      </c>
      <c r="D9211" s="451"/>
      <c r="E9211" s="451"/>
      <c r="F9211" s="451"/>
      <c r="G9211" s="451" t="s">
        <v>22882</v>
      </c>
      <c r="H9211" s="451" t="s">
        <v>22883</v>
      </c>
      <c r="I9211" s="451"/>
      <c r="J9211" s="451" t="s">
        <v>37742</v>
      </c>
      <c r="K9211" s="451"/>
    </row>
    <row r="9212" spans="1:11">
      <c r="A9212" s="450" t="s">
        <v>15157</v>
      </c>
      <c r="B9212" s="450" t="s">
        <v>37743</v>
      </c>
      <c r="C9212" s="450" t="s">
        <v>6405</v>
      </c>
      <c r="D9212" s="450"/>
      <c r="E9212" s="450"/>
      <c r="F9212" s="450"/>
      <c r="G9212" s="450" t="s">
        <v>22882</v>
      </c>
      <c r="H9212" s="450" t="s">
        <v>22883</v>
      </c>
      <c r="I9212" s="450"/>
      <c r="J9212" s="450" t="s">
        <v>37744</v>
      </c>
      <c r="K9212" s="450"/>
    </row>
    <row r="9213" spans="1:11">
      <c r="A9213" s="451" t="s">
        <v>15157</v>
      </c>
      <c r="B9213" s="451" t="s">
        <v>15158</v>
      </c>
      <c r="C9213" s="451" t="s">
        <v>6405</v>
      </c>
      <c r="D9213" s="451"/>
      <c r="E9213" s="451"/>
      <c r="F9213" s="451"/>
      <c r="G9213" s="451"/>
      <c r="H9213" s="451"/>
      <c r="I9213" s="451"/>
      <c r="J9213" s="451"/>
      <c r="K9213" s="451"/>
    </row>
    <row r="9214" spans="1:11">
      <c r="A9214" s="450" t="s">
        <v>15159</v>
      </c>
      <c r="B9214" s="450" t="s">
        <v>15160</v>
      </c>
      <c r="C9214" s="450" t="s">
        <v>15161</v>
      </c>
      <c r="D9214" s="450" t="s">
        <v>15162</v>
      </c>
      <c r="E9214" s="450"/>
      <c r="F9214" s="450"/>
      <c r="G9214" s="450" t="s">
        <v>22877</v>
      </c>
      <c r="H9214" s="450" t="s">
        <v>22878</v>
      </c>
      <c r="I9214" s="450" t="s">
        <v>28144</v>
      </c>
      <c r="J9214" s="450" t="s">
        <v>28145</v>
      </c>
      <c r="K9214" s="450"/>
    </row>
    <row r="9215" spans="1:11">
      <c r="A9215" s="451" t="s">
        <v>15163</v>
      </c>
      <c r="B9215" s="451" t="s">
        <v>15164</v>
      </c>
      <c r="C9215" s="451" t="s">
        <v>15165</v>
      </c>
      <c r="D9215" s="451" t="s">
        <v>15166</v>
      </c>
      <c r="E9215" s="451"/>
      <c r="F9215" s="451"/>
      <c r="G9215" s="451" t="s">
        <v>22877</v>
      </c>
      <c r="H9215" s="451" t="s">
        <v>22878</v>
      </c>
      <c r="I9215" s="451" t="s">
        <v>15166</v>
      </c>
      <c r="J9215" s="451" t="s">
        <v>28146</v>
      </c>
      <c r="K9215" s="451"/>
    </row>
    <row r="9216" spans="1:11">
      <c r="A9216" s="450" t="s">
        <v>15167</v>
      </c>
      <c r="B9216" s="450"/>
      <c r="C9216" s="450" t="s">
        <v>15168</v>
      </c>
      <c r="D9216" s="450"/>
      <c r="E9216" s="450"/>
      <c r="F9216" s="450"/>
      <c r="G9216" s="450" t="s">
        <v>22877</v>
      </c>
      <c r="H9216" s="450" t="s">
        <v>22878</v>
      </c>
      <c r="I9216" s="450" t="s">
        <v>37745</v>
      </c>
      <c r="J9216" s="450" t="s">
        <v>22939</v>
      </c>
      <c r="K9216" s="450"/>
    </row>
    <row r="9217" spans="1:11">
      <c r="A9217" s="451" t="s">
        <v>15169</v>
      </c>
      <c r="B9217" s="451"/>
      <c r="C9217" s="451" t="s">
        <v>15170</v>
      </c>
      <c r="D9217" s="451"/>
      <c r="E9217" s="451"/>
      <c r="F9217" s="451"/>
      <c r="G9217" s="451" t="s">
        <v>22877</v>
      </c>
      <c r="H9217" s="451" t="s">
        <v>22878</v>
      </c>
      <c r="I9217" s="451" t="s">
        <v>37746</v>
      </c>
      <c r="J9217" s="451" t="s">
        <v>22939</v>
      </c>
      <c r="K9217" s="451"/>
    </row>
    <row r="9218" spans="1:11">
      <c r="A9218" s="450" t="s">
        <v>15171</v>
      </c>
      <c r="B9218" s="450"/>
      <c r="C9218" s="450" t="s">
        <v>15172</v>
      </c>
      <c r="D9218" s="450"/>
      <c r="E9218" s="450"/>
      <c r="F9218" s="450"/>
      <c r="G9218" s="450"/>
      <c r="H9218" s="450"/>
      <c r="I9218" s="450"/>
      <c r="J9218" s="450"/>
      <c r="K9218" s="450"/>
    </row>
    <row r="9219" spans="1:11">
      <c r="A9219" s="451" t="s">
        <v>37747</v>
      </c>
      <c r="B9219" s="451"/>
      <c r="C9219" s="451" t="s">
        <v>15172</v>
      </c>
      <c r="D9219" s="451"/>
      <c r="E9219" s="451"/>
      <c r="F9219" s="451"/>
      <c r="G9219" s="451" t="s">
        <v>22882</v>
      </c>
      <c r="H9219" s="451" t="s">
        <v>22883</v>
      </c>
      <c r="I9219" s="451"/>
      <c r="J9219" s="451" t="s">
        <v>23121</v>
      </c>
      <c r="K9219" s="451"/>
    </row>
    <row r="9220" spans="1:11">
      <c r="A9220" s="450" t="s">
        <v>37748</v>
      </c>
      <c r="B9220" s="450"/>
      <c r="C9220" s="450" t="s">
        <v>15174</v>
      </c>
      <c r="D9220" s="450"/>
      <c r="E9220" s="450"/>
      <c r="F9220" s="450"/>
      <c r="G9220" s="450" t="s">
        <v>22877</v>
      </c>
      <c r="H9220" s="450" t="s">
        <v>22878</v>
      </c>
      <c r="I9220" s="450" t="s">
        <v>37749</v>
      </c>
      <c r="J9220" s="450" t="s">
        <v>22943</v>
      </c>
      <c r="K9220" s="450"/>
    </row>
    <row r="9221" spans="1:11">
      <c r="A9221" s="451" t="s">
        <v>15173</v>
      </c>
      <c r="B9221" s="451"/>
      <c r="C9221" s="451" t="s">
        <v>15174</v>
      </c>
      <c r="D9221" s="451"/>
      <c r="E9221" s="451"/>
      <c r="F9221" s="451"/>
      <c r="G9221" s="451"/>
      <c r="H9221" s="451"/>
      <c r="I9221" s="451"/>
      <c r="J9221" s="451"/>
      <c r="K9221" s="451"/>
    </row>
    <row r="9222" spans="1:11">
      <c r="A9222" s="450" t="s">
        <v>15175</v>
      </c>
      <c r="B9222" s="450"/>
      <c r="C9222" s="450" t="s">
        <v>15176</v>
      </c>
      <c r="D9222" s="450"/>
      <c r="E9222" s="450"/>
      <c r="F9222" s="450"/>
      <c r="G9222" s="450"/>
      <c r="H9222" s="450"/>
      <c r="I9222" s="450"/>
      <c r="J9222" s="450"/>
      <c r="K9222" s="450"/>
    </row>
    <row r="9223" spans="1:11">
      <c r="A9223" s="451" t="s">
        <v>37750</v>
      </c>
      <c r="B9223" s="451"/>
      <c r="C9223" s="451" t="s">
        <v>15176</v>
      </c>
      <c r="D9223" s="451"/>
      <c r="E9223" s="451"/>
      <c r="F9223" s="451"/>
      <c r="G9223" s="451" t="s">
        <v>22877</v>
      </c>
      <c r="H9223" s="451" t="s">
        <v>22878</v>
      </c>
      <c r="I9223" s="451" t="s">
        <v>37751</v>
      </c>
      <c r="J9223" s="451" t="s">
        <v>23370</v>
      </c>
      <c r="K9223" s="451"/>
    </row>
    <row r="9224" spans="1:11">
      <c r="A9224" s="450" t="s">
        <v>15177</v>
      </c>
      <c r="B9224" s="450"/>
      <c r="C9224" s="450" t="s">
        <v>15178</v>
      </c>
      <c r="D9224" s="450"/>
      <c r="E9224" s="450"/>
      <c r="F9224" s="450"/>
      <c r="G9224" s="450" t="s">
        <v>22877</v>
      </c>
      <c r="H9224" s="450" t="s">
        <v>22878</v>
      </c>
      <c r="I9224" s="450" t="s">
        <v>37752</v>
      </c>
      <c r="J9224" s="450" t="s">
        <v>22939</v>
      </c>
      <c r="K9224" s="450"/>
    </row>
    <row r="9225" spans="1:11">
      <c r="A9225" s="451" t="s">
        <v>37753</v>
      </c>
      <c r="B9225" s="451"/>
      <c r="C9225" s="451" t="s">
        <v>15180</v>
      </c>
      <c r="D9225" s="451"/>
      <c r="E9225" s="451"/>
      <c r="F9225" s="451"/>
      <c r="G9225" s="451" t="s">
        <v>22882</v>
      </c>
      <c r="H9225" s="451" t="s">
        <v>22883</v>
      </c>
      <c r="I9225" s="451" t="s">
        <v>37754</v>
      </c>
      <c r="J9225" s="451" t="s">
        <v>22943</v>
      </c>
      <c r="K9225" s="451"/>
    </row>
    <row r="9226" spans="1:11">
      <c r="A9226" s="450" t="s">
        <v>15179</v>
      </c>
      <c r="B9226" s="450"/>
      <c r="C9226" s="450" t="s">
        <v>15180</v>
      </c>
      <c r="D9226" s="450"/>
      <c r="E9226" s="450"/>
      <c r="F9226" s="450"/>
      <c r="G9226" s="450"/>
      <c r="H9226" s="450"/>
      <c r="I9226" s="450"/>
      <c r="J9226" s="450"/>
      <c r="K9226" s="450"/>
    </row>
    <row r="9227" spans="1:11">
      <c r="A9227" s="451" t="s">
        <v>37755</v>
      </c>
      <c r="B9227" s="451"/>
      <c r="C9227" s="451" t="s">
        <v>15182</v>
      </c>
      <c r="D9227" s="451"/>
      <c r="E9227" s="451"/>
      <c r="F9227" s="451"/>
      <c r="G9227" s="451" t="s">
        <v>22882</v>
      </c>
      <c r="H9227" s="451" t="s">
        <v>22883</v>
      </c>
      <c r="I9227" s="451" t="s">
        <v>37756</v>
      </c>
      <c r="J9227" s="451" t="s">
        <v>22997</v>
      </c>
      <c r="K9227" s="451"/>
    </row>
    <row r="9228" spans="1:11">
      <c r="A9228" s="450" t="s">
        <v>15181</v>
      </c>
      <c r="B9228" s="450"/>
      <c r="C9228" s="450" t="s">
        <v>15182</v>
      </c>
      <c r="D9228" s="450"/>
      <c r="E9228" s="450"/>
      <c r="F9228" s="450"/>
      <c r="G9228" s="450"/>
      <c r="H9228" s="450"/>
      <c r="I9228" s="450"/>
      <c r="J9228" s="450"/>
      <c r="K9228" s="450"/>
    </row>
    <row r="9229" spans="1:11">
      <c r="A9229" s="451" t="s">
        <v>15183</v>
      </c>
      <c r="B9229" s="451"/>
      <c r="C9229" s="451" t="s">
        <v>15184</v>
      </c>
      <c r="D9229" s="451"/>
      <c r="E9229" s="451"/>
      <c r="F9229" s="451"/>
      <c r="G9229" s="451"/>
      <c r="H9229" s="451"/>
      <c r="I9229" s="451"/>
      <c r="J9229" s="451"/>
      <c r="K9229" s="451"/>
    </row>
    <row r="9230" spans="1:11">
      <c r="A9230" s="450" t="s">
        <v>37757</v>
      </c>
      <c r="B9230" s="450"/>
      <c r="C9230" s="450" t="s">
        <v>15184</v>
      </c>
      <c r="D9230" s="450"/>
      <c r="E9230" s="450"/>
      <c r="F9230" s="450"/>
      <c r="G9230" s="450" t="s">
        <v>22877</v>
      </c>
      <c r="H9230" s="450" t="s">
        <v>22878</v>
      </c>
      <c r="I9230" s="450" t="s">
        <v>37758</v>
      </c>
      <c r="J9230" s="450" t="s">
        <v>22942</v>
      </c>
      <c r="K9230" s="450"/>
    </row>
    <row r="9231" spans="1:11">
      <c r="A9231" s="451" t="s">
        <v>15185</v>
      </c>
      <c r="B9231" s="451"/>
      <c r="C9231" s="451" t="s">
        <v>15186</v>
      </c>
      <c r="D9231" s="451"/>
      <c r="E9231" s="451"/>
      <c r="F9231" s="451"/>
      <c r="G9231" s="451" t="s">
        <v>22882</v>
      </c>
      <c r="H9231" s="451" t="s">
        <v>22883</v>
      </c>
      <c r="I9231" s="451" t="s">
        <v>37759</v>
      </c>
      <c r="J9231" s="451" t="s">
        <v>22942</v>
      </c>
      <c r="K9231" s="451"/>
    </row>
    <row r="9232" spans="1:11">
      <c r="A9232" s="450" t="s">
        <v>15187</v>
      </c>
      <c r="B9232" s="450"/>
      <c r="C9232" s="450" t="s">
        <v>15188</v>
      </c>
      <c r="D9232" s="450"/>
      <c r="E9232" s="450"/>
      <c r="F9232" s="450"/>
      <c r="G9232" s="450" t="s">
        <v>22882</v>
      </c>
      <c r="H9232" s="450" t="s">
        <v>22883</v>
      </c>
      <c r="I9232" s="450"/>
      <c r="J9232" s="450" t="s">
        <v>22947</v>
      </c>
      <c r="K9232" s="450"/>
    </row>
    <row r="9233" spans="1:11">
      <c r="A9233" s="451" t="s">
        <v>21888</v>
      </c>
      <c r="B9233" s="451"/>
      <c r="C9233" s="451" t="s">
        <v>11289</v>
      </c>
      <c r="D9233" s="451"/>
      <c r="E9233" s="451"/>
      <c r="F9233" s="451"/>
      <c r="G9233" s="451" t="s">
        <v>22877</v>
      </c>
      <c r="H9233" s="451" t="s">
        <v>22878</v>
      </c>
      <c r="I9233" s="451" t="s">
        <v>37760</v>
      </c>
      <c r="J9233" s="451" t="s">
        <v>22939</v>
      </c>
      <c r="K9233" s="451"/>
    </row>
    <row r="9234" spans="1:11">
      <c r="A9234" s="450" t="s">
        <v>37761</v>
      </c>
      <c r="B9234" s="450"/>
      <c r="C9234" s="450" t="s">
        <v>14709</v>
      </c>
      <c r="D9234" s="450"/>
      <c r="E9234" s="450"/>
      <c r="F9234" s="450"/>
      <c r="G9234" s="450" t="s">
        <v>22877</v>
      </c>
      <c r="H9234" s="450" t="s">
        <v>22878</v>
      </c>
      <c r="I9234" s="450" t="s">
        <v>37762</v>
      </c>
      <c r="J9234" s="450" t="s">
        <v>22937</v>
      </c>
      <c r="K9234" s="450"/>
    </row>
    <row r="9235" spans="1:11">
      <c r="A9235" s="451" t="s">
        <v>15189</v>
      </c>
      <c r="B9235" s="451"/>
      <c r="C9235" s="451" t="s">
        <v>15190</v>
      </c>
      <c r="D9235" s="451"/>
      <c r="E9235" s="451"/>
      <c r="F9235" s="451"/>
      <c r="G9235" s="451" t="s">
        <v>22882</v>
      </c>
      <c r="H9235" s="451" t="s">
        <v>22883</v>
      </c>
      <c r="I9235" s="451"/>
      <c r="J9235" s="451" t="s">
        <v>22942</v>
      </c>
      <c r="K9235" s="451"/>
    </row>
    <row r="9236" spans="1:11">
      <c r="A9236" s="450" t="s">
        <v>15191</v>
      </c>
      <c r="B9236" s="450"/>
      <c r="C9236" s="450" t="s">
        <v>4675</v>
      </c>
      <c r="D9236" s="450"/>
      <c r="E9236" s="450"/>
      <c r="F9236" s="450"/>
      <c r="G9236" s="450" t="s">
        <v>22882</v>
      </c>
      <c r="H9236" s="450" t="s">
        <v>22883</v>
      </c>
      <c r="I9236" s="450" t="s">
        <v>37763</v>
      </c>
      <c r="J9236" s="450" t="s">
        <v>22937</v>
      </c>
      <c r="K9236" s="450"/>
    </row>
    <row r="9237" spans="1:11">
      <c r="A9237" s="451" t="s">
        <v>15192</v>
      </c>
      <c r="B9237" s="451"/>
      <c r="C9237" s="451" t="s">
        <v>15193</v>
      </c>
      <c r="D9237" s="451"/>
      <c r="E9237" s="451"/>
      <c r="F9237" s="451"/>
      <c r="G9237" s="451" t="s">
        <v>22877</v>
      </c>
      <c r="H9237" s="451" t="s">
        <v>22878</v>
      </c>
      <c r="I9237" s="451" t="s">
        <v>37764</v>
      </c>
      <c r="J9237" s="451" t="s">
        <v>22939</v>
      </c>
      <c r="K9237" s="451"/>
    </row>
    <row r="9238" spans="1:11">
      <c r="A9238" s="450" t="s">
        <v>15194</v>
      </c>
      <c r="B9238" s="450"/>
      <c r="C9238" s="450" t="s">
        <v>4675</v>
      </c>
      <c r="D9238" s="450"/>
      <c r="E9238" s="450"/>
      <c r="F9238" s="450"/>
      <c r="G9238" s="450" t="s">
        <v>22882</v>
      </c>
      <c r="H9238" s="450" t="s">
        <v>22883</v>
      </c>
      <c r="I9238" s="450" t="s">
        <v>37763</v>
      </c>
      <c r="J9238" s="450" t="s">
        <v>22939</v>
      </c>
      <c r="K9238" s="450"/>
    </row>
    <row r="9239" spans="1:11">
      <c r="A9239" s="451" t="s">
        <v>37765</v>
      </c>
      <c r="B9239" s="451"/>
      <c r="C9239" s="451" t="s">
        <v>15196</v>
      </c>
      <c r="D9239" s="451"/>
      <c r="E9239" s="451"/>
      <c r="F9239" s="451"/>
      <c r="G9239" s="451" t="s">
        <v>22882</v>
      </c>
      <c r="H9239" s="451" t="s">
        <v>22883</v>
      </c>
      <c r="I9239" s="451"/>
      <c r="J9239" s="451" t="s">
        <v>23121</v>
      </c>
      <c r="K9239" s="451"/>
    </row>
    <row r="9240" spans="1:11">
      <c r="A9240" s="450" t="s">
        <v>15195</v>
      </c>
      <c r="B9240" s="450"/>
      <c r="C9240" s="450" t="s">
        <v>15196</v>
      </c>
      <c r="D9240" s="450"/>
      <c r="E9240" s="450"/>
      <c r="F9240" s="450"/>
      <c r="G9240" s="450"/>
      <c r="H9240" s="450"/>
      <c r="I9240" s="450"/>
      <c r="J9240" s="450"/>
      <c r="K9240" s="450"/>
    </row>
    <row r="9241" spans="1:11">
      <c r="A9241" s="451" t="s">
        <v>15197</v>
      </c>
      <c r="B9241" s="451"/>
      <c r="C9241" s="451" t="s">
        <v>15198</v>
      </c>
      <c r="D9241" s="451"/>
      <c r="E9241" s="451"/>
      <c r="F9241" s="451"/>
      <c r="G9241" s="451" t="s">
        <v>22877</v>
      </c>
      <c r="H9241" s="451" t="s">
        <v>22878</v>
      </c>
      <c r="I9241" s="451" t="s">
        <v>37764</v>
      </c>
      <c r="J9241" s="451" t="s">
        <v>22943</v>
      </c>
      <c r="K9241" s="451"/>
    </row>
    <row r="9242" spans="1:11">
      <c r="A9242" s="450" t="s">
        <v>37766</v>
      </c>
      <c r="B9242" s="450"/>
      <c r="C9242" s="450" t="s">
        <v>15201</v>
      </c>
      <c r="D9242" s="450"/>
      <c r="E9242" s="450"/>
      <c r="F9242" s="450"/>
      <c r="G9242" s="450" t="s">
        <v>22877</v>
      </c>
      <c r="H9242" s="450" t="s">
        <v>22878</v>
      </c>
      <c r="I9242" s="450" t="s">
        <v>28147</v>
      </c>
      <c r="J9242" s="450" t="s">
        <v>22943</v>
      </c>
      <c r="K9242" s="450"/>
    </row>
    <row r="9243" spans="1:11">
      <c r="A9243" s="451" t="s">
        <v>15199</v>
      </c>
      <c r="B9243" s="451"/>
      <c r="C9243" s="451" t="s">
        <v>15196</v>
      </c>
      <c r="D9243" s="451"/>
      <c r="E9243" s="451"/>
      <c r="F9243" s="451"/>
      <c r="G9243" s="451" t="s">
        <v>22882</v>
      </c>
      <c r="H9243" s="451" t="s">
        <v>22883</v>
      </c>
      <c r="I9243" s="451"/>
      <c r="J9243" s="451" t="s">
        <v>22943</v>
      </c>
      <c r="K9243" s="451"/>
    </row>
    <row r="9244" spans="1:11">
      <c r="A9244" s="450" t="s">
        <v>15200</v>
      </c>
      <c r="B9244" s="450"/>
      <c r="C9244" s="450" t="s">
        <v>15201</v>
      </c>
      <c r="D9244" s="450"/>
      <c r="E9244" s="450"/>
      <c r="F9244" s="450"/>
      <c r="G9244" s="450"/>
      <c r="H9244" s="450"/>
      <c r="I9244" s="450"/>
      <c r="J9244" s="450"/>
      <c r="K9244" s="450"/>
    </row>
    <row r="9245" spans="1:11">
      <c r="A9245" s="451" t="s">
        <v>15202</v>
      </c>
      <c r="B9245" s="451"/>
      <c r="C9245" s="451" t="s">
        <v>15203</v>
      </c>
      <c r="D9245" s="451"/>
      <c r="E9245" s="451"/>
      <c r="F9245" s="451"/>
      <c r="G9245" s="451" t="s">
        <v>22882</v>
      </c>
      <c r="H9245" s="451" t="s">
        <v>22883</v>
      </c>
      <c r="I9245" s="451" t="s">
        <v>37767</v>
      </c>
      <c r="J9245" s="451" t="s">
        <v>22939</v>
      </c>
      <c r="K9245" s="451"/>
    </row>
    <row r="9246" spans="1:11">
      <c r="A9246" s="450" t="s">
        <v>15204</v>
      </c>
      <c r="B9246" s="450"/>
      <c r="C9246" s="450" t="s">
        <v>4675</v>
      </c>
      <c r="D9246" s="450"/>
      <c r="E9246" s="450"/>
      <c r="F9246" s="450"/>
      <c r="G9246" s="450"/>
      <c r="H9246" s="450"/>
      <c r="I9246" s="450"/>
      <c r="J9246" s="450"/>
      <c r="K9246" s="450"/>
    </row>
    <row r="9247" spans="1:11">
      <c r="A9247" s="451" t="s">
        <v>28148</v>
      </c>
      <c r="B9247" s="451"/>
      <c r="C9247" s="451" t="s">
        <v>4675</v>
      </c>
      <c r="D9247" s="451"/>
      <c r="E9247" s="451"/>
      <c r="F9247" s="451"/>
      <c r="G9247" s="451" t="s">
        <v>22877</v>
      </c>
      <c r="H9247" s="451" t="s">
        <v>22878</v>
      </c>
      <c r="I9247" s="451" t="s">
        <v>28149</v>
      </c>
      <c r="J9247" s="451" t="s">
        <v>22939</v>
      </c>
      <c r="K9247" s="451"/>
    </row>
    <row r="9248" spans="1:11">
      <c r="A9248" s="450" t="s">
        <v>28150</v>
      </c>
      <c r="B9248" s="450" t="s">
        <v>28151</v>
      </c>
      <c r="C9248" s="450" t="s">
        <v>28152</v>
      </c>
      <c r="D9248" s="450"/>
      <c r="E9248" s="450"/>
      <c r="F9248" s="450"/>
      <c r="G9248" s="450" t="s">
        <v>22877</v>
      </c>
      <c r="H9248" s="450" t="s">
        <v>22878</v>
      </c>
      <c r="I9248" s="450" t="s">
        <v>28153</v>
      </c>
      <c r="J9248" s="450" t="s">
        <v>28154</v>
      </c>
      <c r="K9248" s="450"/>
    </row>
    <row r="9249" spans="1:11">
      <c r="A9249" s="451" t="s">
        <v>15205</v>
      </c>
      <c r="B9249" s="451"/>
      <c r="C9249" s="451" t="s">
        <v>15206</v>
      </c>
      <c r="D9249" s="451"/>
      <c r="E9249" s="451"/>
      <c r="F9249" s="451"/>
      <c r="G9249" s="451" t="s">
        <v>22877</v>
      </c>
      <c r="H9249" s="451" t="s">
        <v>22878</v>
      </c>
      <c r="I9249" s="451" t="s">
        <v>37768</v>
      </c>
      <c r="J9249" s="451" t="s">
        <v>22943</v>
      </c>
      <c r="K9249" s="451"/>
    </row>
    <row r="9250" spans="1:11">
      <c r="A9250" s="450" t="s">
        <v>15207</v>
      </c>
      <c r="B9250" s="450"/>
      <c r="C9250" s="450" t="s">
        <v>2045</v>
      </c>
      <c r="D9250" s="450"/>
      <c r="E9250" s="450"/>
      <c r="F9250" s="450"/>
      <c r="G9250" s="450" t="s">
        <v>22882</v>
      </c>
      <c r="H9250" s="450" t="s">
        <v>22883</v>
      </c>
      <c r="I9250" s="450" t="s">
        <v>37769</v>
      </c>
      <c r="J9250" s="450" t="s">
        <v>22939</v>
      </c>
      <c r="K9250" s="450"/>
    </row>
    <row r="9251" spans="1:11">
      <c r="A9251" s="451" t="s">
        <v>37770</v>
      </c>
      <c r="B9251" s="451"/>
      <c r="C9251" s="451" t="s">
        <v>6536</v>
      </c>
      <c r="D9251" s="451"/>
      <c r="E9251" s="451"/>
      <c r="F9251" s="451"/>
      <c r="G9251" s="451" t="s">
        <v>22877</v>
      </c>
      <c r="H9251" s="451" t="s">
        <v>22878</v>
      </c>
      <c r="I9251" s="451" t="s">
        <v>37771</v>
      </c>
      <c r="J9251" s="451" t="s">
        <v>22943</v>
      </c>
      <c r="K9251" s="451"/>
    </row>
    <row r="9252" spans="1:11">
      <c r="A9252" s="450" t="s">
        <v>37772</v>
      </c>
      <c r="B9252" s="450"/>
      <c r="C9252" s="450" t="s">
        <v>15210</v>
      </c>
      <c r="D9252" s="450"/>
      <c r="E9252" s="450"/>
      <c r="F9252" s="450"/>
      <c r="G9252" s="450" t="s">
        <v>22877</v>
      </c>
      <c r="H9252" s="450" t="s">
        <v>22878</v>
      </c>
      <c r="I9252" s="450" t="s">
        <v>37773</v>
      </c>
      <c r="J9252" s="450" t="s">
        <v>23370</v>
      </c>
      <c r="K9252" s="450"/>
    </row>
    <row r="9253" spans="1:11">
      <c r="A9253" s="451" t="s">
        <v>37774</v>
      </c>
      <c r="B9253" s="451"/>
      <c r="C9253" s="451" t="s">
        <v>7965</v>
      </c>
      <c r="D9253" s="451"/>
      <c r="E9253" s="451"/>
      <c r="F9253" s="451"/>
      <c r="G9253" s="451" t="s">
        <v>22877</v>
      </c>
      <c r="H9253" s="451" t="s">
        <v>22878</v>
      </c>
      <c r="I9253" s="451" t="s">
        <v>37775</v>
      </c>
      <c r="J9253" s="451" t="s">
        <v>23121</v>
      </c>
      <c r="K9253" s="451"/>
    </row>
    <row r="9254" spans="1:11">
      <c r="A9254" s="450" t="s">
        <v>15208</v>
      </c>
      <c r="B9254" s="450"/>
      <c r="C9254" s="450" t="s">
        <v>7965</v>
      </c>
      <c r="D9254" s="450"/>
      <c r="E9254" s="450"/>
      <c r="F9254" s="450"/>
      <c r="G9254" s="450"/>
      <c r="H9254" s="450"/>
      <c r="I9254" s="450"/>
      <c r="J9254" s="450"/>
      <c r="K9254" s="450"/>
    </row>
    <row r="9255" spans="1:11">
      <c r="A9255" s="451" t="s">
        <v>15209</v>
      </c>
      <c r="B9255" s="451"/>
      <c r="C9255" s="451" t="s">
        <v>15210</v>
      </c>
      <c r="D9255" s="451"/>
      <c r="E9255" s="451"/>
      <c r="F9255" s="451"/>
      <c r="G9255" s="451"/>
      <c r="H9255" s="451"/>
      <c r="I9255" s="451"/>
      <c r="J9255" s="451"/>
      <c r="K9255" s="451"/>
    </row>
    <row r="9256" spans="1:11">
      <c r="A9256" s="450" t="s">
        <v>37776</v>
      </c>
      <c r="B9256" s="450"/>
      <c r="C9256" s="450" t="s">
        <v>4138</v>
      </c>
      <c r="D9256" s="450"/>
      <c r="E9256" s="450"/>
      <c r="F9256" s="450"/>
      <c r="G9256" s="450" t="s">
        <v>22877</v>
      </c>
      <c r="H9256" s="450" t="s">
        <v>22878</v>
      </c>
      <c r="I9256" s="450" t="s">
        <v>37777</v>
      </c>
      <c r="J9256" s="450" t="s">
        <v>22943</v>
      </c>
      <c r="K9256" s="450"/>
    </row>
    <row r="9257" spans="1:11">
      <c r="A9257" s="451" t="s">
        <v>15211</v>
      </c>
      <c r="B9257" s="451"/>
      <c r="C9257" s="451" t="s">
        <v>4138</v>
      </c>
      <c r="D9257" s="451"/>
      <c r="E9257" s="451"/>
      <c r="F9257" s="451"/>
      <c r="G9257" s="451"/>
      <c r="H9257" s="451"/>
      <c r="I9257" s="451"/>
      <c r="J9257" s="451"/>
      <c r="K9257" s="451"/>
    </row>
    <row r="9258" spans="1:11">
      <c r="A9258" s="450" t="s">
        <v>28155</v>
      </c>
      <c r="B9258" s="450" t="s">
        <v>15221</v>
      </c>
      <c r="C9258" s="450" t="s">
        <v>3621</v>
      </c>
      <c r="D9258" s="450" t="s">
        <v>15222</v>
      </c>
      <c r="E9258" s="450"/>
      <c r="F9258" s="450"/>
      <c r="G9258" s="450" t="s">
        <v>28156</v>
      </c>
      <c r="H9258" s="450" t="s">
        <v>22878</v>
      </c>
      <c r="I9258" s="450" t="s">
        <v>28157</v>
      </c>
      <c r="J9258" s="450" t="s">
        <v>15221</v>
      </c>
      <c r="K9258" s="450"/>
    </row>
    <row r="9259" spans="1:11">
      <c r="A9259" s="451" t="s">
        <v>28158</v>
      </c>
      <c r="B9259" s="451" t="s">
        <v>28159</v>
      </c>
      <c r="C9259" s="451" t="s">
        <v>15224</v>
      </c>
      <c r="D9259" s="451" t="s">
        <v>15225</v>
      </c>
      <c r="E9259" s="451"/>
      <c r="F9259" s="451" t="s">
        <v>15218</v>
      </c>
      <c r="G9259" s="451" t="s">
        <v>22877</v>
      </c>
      <c r="H9259" s="451" t="s">
        <v>22878</v>
      </c>
      <c r="I9259" s="451" t="s">
        <v>15225</v>
      </c>
      <c r="J9259" s="451" t="s">
        <v>28160</v>
      </c>
      <c r="K9259" s="451"/>
    </row>
    <row r="9260" spans="1:11">
      <c r="A9260" s="450" t="s">
        <v>37778</v>
      </c>
      <c r="B9260" s="450" t="s">
        <v>20980</v>
      </c>
      <c r="C9260" s="450" t="s">
        <v>37779</v>
      </c>
      <c r="D9260" s="450" t="s">
        <v>20390</v>
      </c>
      <c r="E9260" s="450"/>
      <c r="F9260" s="450"/>
      <c r="G9260" s="450" t="s">
        <v>22877</v>
      </c>
      <c r="H9260" s="450" t="s">
        <v>22878</v>
      </c>
      <c r="I9260" s="450" t="s">
        <v>20390</v>
      </c>
      <c r="J9260" s="450" t="s">
        <v>37780</v>
      </c>
      <c r="K9260" s="450"/>
    </row>
    <row r="9261" spans="1:11">
      <c r="A9261" s="451" t="s">
        <v>20981</v>
      </c>
      <c r="B9261" s="451" t="s">
        <v>20980</v>
      </c>
      <c r="C9261" s="451" t="s">
        <v>20389</v>
      </c>
      <c r="D9261" s="451"/>
      <c r="E9261" s="451"/>
      <c r="F9261" s="451"/>
      <c r="G9261" s="451"/>
      <c r="H9261" s="451"/>
      <c r="I9261" s="451"/>
      <c r="J9261" s="451"/>
      <c r="K9261" s="451"/>
    </row>
    <row r="9262" spans="1:11">
      <c r="A9262" s="450" t="s">
        <v>20274</v>
      </c>
      <c r="B9262" s="450" t="s">
        <v>28161</v>
      </c>
      <c r="C9262" s="450" t="s">
        <v>18717</v>
      </c>
      <c r="D9262" s="450">
        <v>2056201952</v>
      </c>
      <c r="E9262" s="450"/>
      <c r="F9262" s="450"/>
      <c r="G9262" s="450" t="s">
        <v>22877</v>
      </c>
      <c r="H9262" s="450" t="s">
        <v>22878</v>
      </c>
      <c r="I9262" s="450" t="s">
        <v>28162</v>
      </c>
      <c r="J9262" s="450" t="s">
        <v>28163</v>
      </c>
      <c r="K9262" s="450"/>
    </row>
    <row r="9263" spans="1:11">
      <c r="A9263" s="451" t="s">
        <v>20274</v>
      </c>
      <c r="B9263" s="451" t="s">
        <v>20275</v>
      </c>
      <c r="C9263" s="451" t="s">
        <v>18717</v>
      </c>
      <c r="D9263" s="451" t="s">
        <v>20276</v>
      </c>
      <c r="E9263" s="451"/>
      <c r="F9263" s="451" t="s">
        <v>20277</v>
      </c>
      <c r="G9263" s="451"/>
      <c r="H9263" s="451"/>
      <c r="I9263" s="451"/>
      <c r="J9263" s="451"/>
      <c r="K9263" s="451"/>
    </row>
    <row r="9264" spans="1:11">
      <c r="A9264" s="450" t="s">
        <v>21889</v>
      </c>
      <c r="B9264" s="450" t="s">
        <v>15212</v>
      </c>
      <c r="C9264" s="450" t="s">
        <v>15213</v>
      </c>
      <c r="D9264" s="450" t="s">
        <v>15214</v>
      </c>
      <c r="E9264" s="450" t="s">
        <v>15215</v>
      </c>
      <c r="F9264" s="450"/>
      <c r="G9264" s="450"/>
      <c r="H9264" s="450"/>
      <c r="I9264" s="450"/>
      <c r="J9264" s="450"/>
      <c r="K9264" s="450"/>
    </row>
    <row r="9265" spans="1:11">
      <c r="A9265" s="451" t="s">
        <v>31992</v>
      </c>
      <c r="B9265" s="451" t="s">
        <v>28164</v>
      </c>
      <c r="C9265" s="451" t="s">
        <v>15213</v>
      </c>
      <c r="D9265" s="451" t="s">
        <v>15214</v>
      </c>
      <c r="E9265" s="451"/>
      <c r="F9265" s="451"/>
      <c r="G9265" s="451" t="s">
        <v>22877</v>
      </c>
      <c r="H9265" s="451" t="s">
        <v>22878</v>
      </c>
      <c r="I9265" s="451"/>
      <c r="J9265" s="451" t="s">
        <v>28165</v>
      </c>
      <c r="K9265" s="451"/>
    </row>
    <row r="9266" spans="1:11">
      <c r="A9266" s="450" t="s">
        <v>31993</v>
      </c>
      <c r="B9266" s="450" t="s">
        <v>15216</v>
      </c>
      <c r="C9266" s="450" t="s">
        <v>15217</v>
      </c>
      <c r="D9266" s="450" t="s">
        <v>15218</v>
      </c>
      <c r="E9266" s="450"/>
      <c r="F9266" s="450"/>
      <c r="G9266" s="450" t="s">
        <v>22877</v>
      </c>
      <c r="H9266" s="450" t="s">
        <v>22878</v>
      </c>
      <c r="I9266" s="450" t="s">
        <v>28166</v>
      </c>
      <c r="J9266" s="450" t="s">
        <v>28167</v>
      </c>
      <c r="K9266" s="450"/>
    </row>
    <row r="9267" spans="1:11">
      <c r="A9267" s="451" t="s">
        <v>21890</v>
      </c>
      <c r="B9267" s="451" t="s">
        <v>15216</v>
      </c>
      <c r="C9267" s="451" t="s">
        <v>15217</v>
      </c>
      <c r="D9267" s="451" t="s">
        <v>15218</v>
      </c>
      <c r="E9267" s="451" t="s">
        <v>15219</v>
      </c>
      <c r="F9267" s="451"/>
      <c r="G9267" s="451"/>
      <c r="H9267" s="451"/>
      <c r="I9267" s="451"/>
      <c r="J9267" s="451"/>
      <c r="K9267" s="451"/>
    </row>
    <row r="9268" spans="1:11">
      <c r="A9268" s="450" t="s">
        <v>21891</v>
      </c>
      <c r="B9268" s="450" t="s">
        <v>20388</v>
      </c>
      <c r="C9268" s="450" t="s">
        <v>20389</v>
      </c>
      <c r="D9268" s="450" t="s">
        <v>20390</v>
      </c>
      <c r="E9268" s="450" t="s">
        <v>20391</v>
      </c>
      <c r="F9268" s="450"/>
      <c r="G9268" s="450"/>
      <c r="H9268" s="450"/>
      <c r="I9268" s="450"/>
      <c r="J9268" s="450"/>
      <c r="K9268" s="450"/>
    </row>
    <row r="9269" spans="1:11">
      <c r="A9269" s="451" t="s">
        <v>15220</v>
      </c>
      <c r="B9269" s="451" t="s">
        <v>15221</v>
      </c>
      <c r="C9269" s="451" t="s">
        <v>3621</v>
      </c>
      <c r="D9269" s="451" t="s">
        <v>15222</v>
      </c>
      <c r="E9269" s="451" t="s">
        <v>15223</v>
      </c>
      <c r="F9269" s="451"/>
      <c r="G9269" s="451"/>
      <c r="H9269" s="451"/>
      <c r="I9269" s="451"/>
      <c r="J9269" s="451"/>
      <c r="K9269" s="451"/>
    </row>
    <row r="9270" spans="1:11">
      <c r="A9270" s="450" t="s">
        <v>15227</v>
      </c>
      <c r="B9270" s="450" t="s">
        <v>28168</v>
      </c>
      <c r="C9270" s="450" t="s">
        <v>14594</v>
      </c>
      <c r="D9270" s="450" t="s">
        <v>15229</v>
      </c>
      <c r="E9270" s="450"/>
      <c r="F9270" s="450"/>
      <c r="G9270" s="450" t="s">
        <v>22882</v>
      </c>
      <c r="H9270" s="450" t="s">
        <v>22883</v>
      </c>
      <c r="I9270" s="450" t="s">
        <v>15229</v>
      </c>
      <c r="J9270" s="450" t="s">
        <v>28169</v>
      </c>
      <c r="K9270" s="450"/>
    </row>
    <row r="9271" spans="1:11">
      <c r="A9271" s="451" t="s">
        <v>15227</v>
      </c>
      <c r="B9271" s="451" t="s">
        <v>15228</v>
      </c>
      <c r="C9271" s="451" t="s">
        <v>14594</v>
      </c>
      <c r="D9271" s="451" t="s">
        <v>15229</v>
      </c>
      <c r="E9271" s="451" t="s">
        <v>15230</v>
      </c>
      <c r="F9271" s="451"/>
      <c r="G9271" s="451"/>
      <c r="H9271" s="451"/>
      <c r="I9271" s="451"/>
      <c r="J9271" s="451"/>
      <c r="K9271" s="451"/>
    </row>
    <row r="9272" spans="1:11">
      <c r="A9272" s="450" t="s">
        <v>37781</v>
      </c>
      <c r="B9272" s="450"/>
      <c r="C9272" s="450" t="s">
        <v>37782</v>
      </c>
      <c r="D9272" s="450"/>
      <c r="E9272" s="450"/>
      <c r="F9272" s="450"/>
      <c r="G9272" s="450" t="s">
        <v>22882</v>
      </c>
      <c r="H9272" s="450" t="s">
        <v>22883</v>
      </c>
      <c r="I9272" s="450"/>
      <c r="J9272" s="450" t="s">
        <v>22939</v>
      </c>
      <c r="K9272" s="450"/>
    </row>
    <row r="9273" spans="1:11">
      <c r="A9273" s="451" t="s">
        <v>21892</v>
      </c>
      <c r="B9273" s="451" t="s">
        <v>20355</v>
      </c>
      <c r="C9273" s="451" t="s">
        <v>15224</v>
      </c>
      <c r="D9273" s="451" t="s">
        <v>15225</v>
      </c>
      <c r="E9273" s="451" t="s">
        <v>15226</v>
      </c>
      <c r="F9273" s="451"/>
      <c r="G9273" s="451"/>
      <c r="H9273" s="451"/>
      <c r="I9273" s="451"/>
      <c r="J9273" s="451"/>
      <c r="K9273" s="451"/>
    </row>
    <row r="9274" spans="1:11">
      <c r="A9274" s="450" t="s">
        <v>21893</v>
      </c>
      <c r="B9274" s="450" t="s">
        <v>15231</v>
      </c>
      <c r="C9274" s="450" t="s">
        <v>12688</v>
      </c>
      <c r="D9274" s="450" t="s">
        <v>15232</v>
      </c>
      <c r="E9274" s="450" t="s">
        <v>15233</v>
      </c>
      <c r="F9274" s="450"/>
      <c r="G9274" s="450"/>
      <c r="H9274" s="450"/>
      <c r="I9274" s="450"/>
      <c r="J9274" s="450"/>
      <c r="K9274" s="450"/>
    </row>
    <row r="9275" spans="1:11">
      <c r="A9275" s="451" t="s">
        <v>21894</v>
      </c>
      <c r="B9275" s="451" t="s">
        <v>20980</v>
      </c>
      <c r="C9275" s="451" t="s">
        <v>20389</v>
      </c>
      <c r="D9275" s="451" t="s">
        <v>20982</v>
      </c>
      <c r="E9275" s="451"/>
      <c r="F9275" s="451"/>
      <c r="G9275" s="451"/>
      <c r="H9275" s="451"/>
      <c r="I9275" s="451"/>
      <c r="J9275" s="451"/>
      <c r="K9275" s="451"/>
    </row>
    <row r="9276" spans="1:11">
      <c r="A9276" s="450" t="s">
        <v>31994</v>
      </c>
      <c r="B9276" s="450" t="s">
        <v>15231</v>
      </c>
      <c r="C9276" s="450" t="s">
        <v>12688</v>
      </c>
      <c r="D9276" s="450" t="s">
        <v>15232</v>
      </c>
      <c r="E9276" s="450"/>
      <c r="F9276" s="450"/>
      <c r="G9276" s="450" t="s">
        <v>22877</v>
      </c>
      <c r="H9276" s="450" t="s">
        <v>22878</v>
      </c>
      <c r="I9276" s="450" t="s">
        <v>15232</v>
      </c>
      <c r="J9276" s="450" t="s">
        <v>28170</v>
      </c>
      <c r="K9276" s="450"/>
    </row>
    <row r="9277" spans="1:11">
      <c r="A9277" s="451" t="s">
        <v>15234</v>
      </c>
      <c r="B9277" s="451"/>
      <c r="C9277" s="451" t="s">
        <v>15235</v>
      </c>
      <c r="D9277" s="451"/>
      <c r="E9277" s="451"/>
      <c r="F9277" s="451"/>
      <c r="G9277" s="451" t="s">
        <v>22877</v>
      </c>
      <c r="H9277" s="451" t="s">
        <v>22878</v>
      </c>
      <c r="I9277" s="451" t="s">
        <v>37783</v>
      </c>
      <c r="J9277" s="451" t="s">
        <v>22948</v>
      </c>
      <c r="K9277" s="451"/>
    </row>
    <row r="9278" spans="1:11">
      <c r="A9278" s="450" t="s">
        <v>15236</v>
      </c>
      <c r="B9278" s="450"/>
      <c r="C9278" s="450" t="s">
        <v>3989</v>
      </c>
      <c r="D9278" s="450"/>
      <c r="E9278" s="450"/>
      <c r="F9278" s="450"/>
      <c r="G9278" s="450" t="s">
        <v>37784</v>
      </c>
      <c r="H9278" s="450" t="s">
        <v>22878</v>
      </c>
      <c r="I9278" s="450"/>
      <c r="J9278" s="450" t="s">
        <v>37785</v>
      </c>
      <c r="K9278" s="450"/>
    </row>
    <row r="9279" spans="1:11">
      <c r="A9279" s="451" t="s">
        <v>28171</v>
      </c>
      <c r="B9279" s="451"/>
      <c r="C9279" s="451" t="s">
        <v>15238</v>
      </c>
      <c r="D9279" s="451"/>
      <c r="E9279" s="451"/>
      <c r="F9279" s="451"/>
      <c r="G9279" s="451" t="s">
        <v>22877</v>
      </c>
      <c r="H9279" s="451" t="s">
        <v>22878</v>
      </c>
      <c r="I9279" s="451" t="s">
        <v>28172</v>
      </c>
      <c r="J9279" s="451" t="s">
        <v>22943</v>
      </c>
      <c r="K9279" s="451"/>
    </row>
    <row r="9280" spans="1:11">
      <c r="A9280" s="450" t="s">
        <v>15237</v>
      </c>
      <c r="B9280" s="450"/>
      <c r="C9280" s="450" t="s">
        <v>15238</v>
      </c>
      <c r="D9280" s="450"/>
      <c r="E9280" s="450"/>
      <c r="F9280" s="450"/>
      <c r="G9280" s="450"/>
      <c r="H9280" s="450"/>
      <c r="I9280" s="450"/>
      <c r="J9280" s="450"/>
      <c r="K9280" s="450"/>
    </row>
    <row r="9281" spans="1:11">
      <c r="A9281" s="451" t="s">
        <v>15239</v>
      </c>
      <c r="B9281" s="451"/>
      <c r="C9281" s="451" t="s">
        <v>15240</v>
      </c>
      <c r="D9281" s="451"/>
      <c r="E9281" s="451"/>
      <c r="F9281" s="451"/>
      <c r="G9281" s="451" t="s">
        <v>22882</v>
      </c>
      <c r="H9281" s="451" t="s">
        <v>22883</v>
      </c>
      <c r="I9281" s="451"/>
      <c r="J9281" s="451" t="s">
        <v>22939</v>
      </c>
      <c r="K9281" s="451"/>
    </row>
    <row r="9282" spans="1:11">
      <c r="A9282" s="450" t="s">
        <v>15241</v>
      </c>
      <c r="B9282" s="450"/>
      <c r="C9282" s="450" t="s">
        <v>3989</v>
      </c>
      <c r="D9282" s="450"/>
      <c r="E9282" s="450"/>
      <c r="F9282" s="450"/>
      <c r="G9282" s="450" t="s">
        <v>22882</v>
      </c>
      <c r="H9282" s="450" t="s">
        <v>22883</v>
      </c>
      <c r="I9282" s="450"/>
      <c r="J9282" s="450" t="s">
        <v>22939</v>
      </c>
      <c r="K9282" s="450"/>
    </row>
    <row r="9283" spans="1:11">
      <c r="A9283" s="451" t="s">
        <v>15242</v>
      </c>
      <c r="B9283" s="451"/>
      <c r="C9283" s="451" t="s">
        <v>2487</v>
      </c>
      <c r="D9283" s="451"/>
      <c r="E9283" s="451"/>
      <c r="F9283" s="451"/>
      <c r="G9283" s="451"/>
      <c r="H9283" s="451"/>
      <c r="I9283" s="451"/>
      <c r="J9283" s="451"/>
      <c r="K9283" s="451"/>
    </row>
    <row r="9284" spans="1:11">
      <c r="A9284" s="450" t="s">
        <v>37786</v>
      </c>
      <c r="B9284" s="450"/>
      <c r="C9284" s="450" t="s">
        <v>2487</v>
      </c>
      <c r="D9284" s="450"/>
      <c r="E9284" s="450"/>
      <c r="F9284" s="450"/>
      <c r="G9284" s="450" t="s">
        <v>22882</v>
      </c>
      <c r="H9284" s="450" t="s">
        <v>22883</v>
      </c>
      <c r="I9284" s="450"/>
      <c r="J9284" s="450" t="s">
        <v>22939</v>
      </c>
      <c r="K9284" s="450"/>
    </row>
    <row r="9285" spans="1:11">
      <c r="A9285" s="451" t="s">
        <v>21162</v>
      </c>
      <c r="B9285" s="451" t="s">
        <v>21164</v>
      </c>
      <c r="C9285" s="451" t="s">
        <v>21163</v>
      </c>
      <c r="D9285" s="451"/>
      <c r="E9285" s="451"/>
      <c r="F9285" s="451"/>
      <c r="G9285" s="451"/>
      <c r="H9285" s="451"/>
      <c r="I9285" s="451"/>
      <c r="J9285" s="451"/>
      <c r="K9285" s="451"/>
    </row>
    <row r="9286" spans="1:11">
      <c r="A9286" s="450" t="s">
        <v>15243</v>
      </c>
      <c r="B9286" s="450"/>
      <c r="C9286" s="450" t="s">
        <v>9911</v>
      </c>
      <c r="D9286" s="450"/>
      <c r="E9286" s="450"/>
      <c r="F9286" s="450"/>
      <c r="G9286" s="450" t="s">
        <v>22877</v>
      </c>
      <c r="H9286" s="450" t="s">
        <v>22878</v>
      </c>
      <c r="I9286" s="450" t="s">
        <v>28173</v>
      </c>
      <c r="J9286" s="450"/>
      <c r="K9286" s="450"/>
    </row>
    <row r="9287" spans="1:11">
      <c r="A9287" s="451" t="s">
        <v>21230</v>
      </c>
      <c r="B9287" s="451" t="s">
        <v>21232</v>
      </c>
      <c r="C9287" s="451" t="s">
        <v>21231</v>
      </c>
      <c r="D9287" s="451" t="s">
        <v>21233</v>
      </c>
      <c r="E9287" s="451"/>
      <c r="F9287" s="451"/>
      <c r="G9287" s="451"/>
      <c r="H9287" s="451"/>
      <c r="I9287" s="451"/>
      <c r="J9287" s="451"/>
      <c r="K9287" s="451"/>
    </row>
    <row r="9288" spans="1:11">
      <c r="A9288" s="450" t="s">
        <v>28174</v>
      </c>
      <c r="B9288" s="450" t="s">
        <v>28175</v>
      </c>
      <c r="C9288" s="450" t="s">
        <v>28176</v>
      </c>
      <c r="D9288" s="450" t="s">
        <v>28177</v>
      </c>
      <c r="E9288" s="450"/>
      <c r="F9288" s="450"/>
      <c r="G9288" s="450" t="s">
        <v>22877</v>
      </c>
      <c r="H9288" s="450" t="s">
        <v>22878</v>
      </c>
      <c r="I9288" s="450" t="s">
        <v>28177</v>
      </c>
      <c r="J9288" s="450" t="s">
        <v>28178</v>
      </c>
      <c r="K9288" s="450"/>
    </row>
    <row r="9289" spans="1:11">
      <c r="A9289" s="451" t="s">
        <v>28179</v>
      </c>
      <c r="B9289" s="451" t="s">
        <v>28180</v>
      </c>
      <c r="C9289" s="451" t="s">
        <v>28176</v>
      </c>
      <c r="D9289" s="451"/>
      <c r="E9289" s="451"/>
      <c r="F9289" s="451"/>
      <c r="G9289" s="451" t="s">
        <v>22877</v>
      </c>
      <c r="H9289" s="451" t="s">
        <v>22878</v>
      </c>
      <c r="I9289" s="451" t="s">
        <v>21233</v>
      </c>
      <c r="J9289" s="451" t="s">
        <v>28181</v>
      </c>
      <c r="K9289" s="451"/>
    </row>
    <row r="9290" spans="1:11">
      <c r="A9290" s="450" t="s">
        <v>15244</v>
      </c>
      <c r="B9290" s="450"/>
      <c r="C9290" s="450" t="s">
        <v>3727</v>
      </c>
      <c r="D9290" s="450"/>
      <c r="E9290" s="450"/>
      <c r="F9290" s="450"/>
      <c r="G9290" s="450" t="s">
        <v>22877</v>
      </c>
      <c r="H9290" s="450" t="s">
        <v>22878</v>
      </c>
      <c r="I9290" s="450" t="s">
        <v>28182</v>
      </c>
      <c r="J9290" s="450" t="s">
        <v>22943</v>
      </c>
      <c r="K9290" s="450"/>
    </row>
    <row r="9291" spans="1:11">
      <c r="A9291" s="451" t="s">
        <v>28183</v>
      </c>
      <c r="B9291" s="451" t="s">
        <v>28184</v>
      </c>
      <c r="C9291" s="451" t="s">
        <v>28185</v>
      </c>
      <c r="D9291" s="451"/>
      <c r="E9291" s="451"/>
      <c r="F9291" s="451"/>
      <c r="G9291" s="451" t="s">
        <v>22877</v>
      </c>
      <c r="H9291" s="451" t="s">
        <v>22878</v>
      </c>
      <c r="I9291" s="451" t="s">
        <v>28186</v>
      </c>
      <c r="J9291" s="451" t="s">
        <v>28187</v>
      </c>
      <c r="K9291" s="451"/>
    </row>
    <row r="9292" spans="1:11">
      <c r="A9292" s="450" t="s">
        <v>37787</v>
      </c>
      <c r="B9292" s="450" t="s">
        <v>15246</v>
      </c>
      <c r="C9292" s="450" t="s">
        <v>4997</v>
      </c>
      <c r="D9292" s="450" t="s">
        <v>15247</v>
      </c>
      <c r="E9292" s="450"/>
      <c r="F9292" s="450"/>
      <c r="G9292" s="450" t="s">
        <v>22877</v>
      </c>
      <c r="H9292" s="450" t="s">
        <v>22878</v>
      </c>
      <c r="I9292" s="450" t="s">
        <v>37788</v>
      </c>
      <c r="J9292" s="450" t="s">
        <v>37789</v>
      </c>
      <c r="K9292" s="450"/>
    </row>
    <row r="9293" spans="1:11">
      <c r="A9293" s="451" t="s">
        <v>15245</v>
      </c>
      <c r="B9293" s="451" t="s">
        <v>15246</v>
      </c>
      <c r="C9293" s="451" t="s">
        <v>4997</v>
      </c>
      <c r="D9293" s="451" t="s">
        <v>15247</v>
      </c>
      <c r="E9293" s="451" t="s">
        <v>15248</v>
      </c>
      <c r="F9293" s="451"/>
      <c r="G9293" s="451"/>
      <c r="H9293" s="451"/>
      <c r="I9293" s="451"/>
      <c r="J9293" s="451"/>
      <c r="K9293" s="451"/>
    </row>
    <row r="9294" spans="1:11">
      <c r="A9294" s="450" t="s">
        <v>15249</v>
      </c>
      <c r="B9294" s="450"/>
      <c r="C9294" s="450" t="s">
        <v>15250</v>
      </c>
      <c r="D9294" s="450"/>
      <c r="E9294" s="450"/>
      <c r="F9294" s="450"/>
      <c r="G9294" s="450" t="s">
        <v>22877</v>
      </c>
      <c r="H9294" s="450" t="s">
        <v>22878</v>
      </c>
      <c r="I9294" s="450" t="s">
        <v>28188</v>
      </c>
      <c r="J9294" s="450" t="s">
        <v>22939</v>
      </c>
      <c r="K9294" s="450"/>
    </row>
    <row r="9295" spans="1:11">
      <c r="A9295" s="451" t="s">
        <v>28189</v>
      </c>
      <c r="B9295" s="451" t="s">
        <v>28190</v>
      </c>
      <c r="C9295" s="451" t="s">
        <v>24686</v>
      </c>
      <c r="D9295" s="451"/>
      <c r="E9295" s="451"/>
      <c r="F9295" s="451"/>
      <c r="G9295" s="451" t="s">
        <v>22877</v>
      </c>
      <c r="H9295" s="451" t="s">
        <v>22878</v>
      </c>
      <c r="I9295" s="451" t="s">
        <v>28191</v>
      </c>
      <c r="J9295" s="451" t="s">
        <v>28192</v>
      </c>
      <c r="K9295" s="451"/>
    </row>
    <row r="9296" spans="1:11">
      <c r="A9296" s="450" t="s">
        <v>15251</v>
      </c>
      <c r="B9296" s="450"/>
      <c r="C9296" s="450" t="s">
        <v>15252</v>
      </c>
      <c r="D9296" s="450"/>
      <c r="E9296" s="450"/>
      <c r="F9296" s="450"/>
      <c r="G9296" s="450" t="s">
        <v>22877</v>
      </c>
      <c r="H9296" s="450" t="s">
        <v>22878</v>
      </c>
      <c r="I9296" s="450"/>
      <c r="J9296" s="450" t="s">
        <v>22939</v>
      </c>
      <c r="K9296" s="450"/>
    </row>
    <row r="9297" spans="1:11">
      <c r="A9297" s="451" t="s">
        <v>37790</v>
      </c>
      <c r="B9297" s="451"/>
      <c r="C9297" s="451" t="s">
        <v>15254</v>
      </c>
      <c r="D9297" s="451"/>
      <c r="E9297" s="451"/>
      <c r="F9297" s="451"/>
      <c r="G9297" s="451" t="s">
        <v>22882</v>
      </c>
      <c r="H9297" s="451" t="s">
        <v>22883</v>
      </c>
      <c r="I9297" s="451"/>
      <c r="J9297" s="451" t="s">
        <v>23121</v>
      </c>
      <c r="K9297" s="451"/>
    </row>
    <row r="9298" spans="1:11">
      <c r="A9298" s="450" t="s">
        <v>15253</v>
      </c>
      <c r="B9298" s="450"/>
      <c r="C9298" s="450" t="s">
        <v>15254</v>
      </c>
      <c r="D9298" s="450"/>
      <c r="E9298" s="450"/>
      <c r="F9298" s="450"/>
      <c r="G9298" s="450"/>
      <c r="H9298" s="450"/>
      <c r="I9298" s="450"/>
      <c r="J9298" s="450"/>
      <c r="K9298" s="450"/>
    </row>
    <row r="9299" spans="1:11">
      <c r="A9299" s="451" t="s">
        <v>15255</v>
      </c>
      <c r="B9299" s="451"/>
      <c r="C9299" s="451" t="s">
        <v>15256</v>
      </c>
      <c r="D9299" s="451"/>
      <c r="E9299" s="451"/>
      <c r="F9299" s="451"/>
      <c r="G9299" s="451" t="s">
        <v>22882</v>
      </c>
      <c r="H9299" s="451" t="s">
        <v>22883</v>
      </c>
      <c r="I9299" s="451"/>
      <c r="J9299" s="451" t="s">
        <v>22943</v>
      </c>
      <c r="K9299" s="451"/>
    </row>
    <row r="9300" spans="1:11">
      <c r="A9300" s="450" t="s">
        <v>15257</v>
      </c>
      <c r="B9300" s="450"/>
      <c r="C9300" s="450" t="s">
        <v>15258</v>
      </c>
      <c r="D9300" s="450"/>
      <c r="E9300" s="450"/>
      <c r="F9300" s="450"/>
      <c r="G9300" s="450"/>
      <c r="H9300" s="450"/>
      <c r="I9300" s="450"/>
      <c r="J9300" s="450"/>
      <c r="K9300" s="450"/>
    </row>
    <row r="9301" spans="1:11">
      <c r="A9301" s="451" t="s">
        <v>37791</v>
      </c>
      <c r="B9301" s="451"/>
      <c r="C9301" s="451" t="s">
        <v>15258</v>
      </c>
      <c r="D9301" s="451"/>
      <c r="E9301" s="451"/>
      <c r="F9301" s="451"/>
      <c r="G9301" s="451" t="s">
        <v>22877</v>
      </c>
      <c r="H9301" s="451" t="s">
        <v>22878</v>
      </c>
      <c r="I9301" s="451" t="s">
        <v>37792</v>
      </c>
      <c r="J9301" s="451" t="s">
        <v>37793</v>
      </c>
      <c r="K9301" s="451"/>
    </row>
    <row r="9302" spans="1:11">
      <c r="A9302" s="450" t="s">
        <v>15259</v>
      </c>
      <c r="B9302" s="450"/>
      <c r="C9302" s="450" t="s">
        <v>15260</v>
      </c>
      <c r="D9302" s="450"/>
      <c r="E9302" s="450"/>
      <c r="F9302" s="450"/>
      <c r="G9302" s="450" t="s">
        <v>22877</v>
      </c>
      <c r="H9302" s="450" t="s">
        <v>22878</v>
      </c>
      <c r="I9302" s="450" t="s">
        <v>28193</v>
      </c>
      <c r="J9302" s="450" t="s">
        <v>22943</v>
      </c>
      <c r="K9302" s="450"/>
    </row>
    <row r="9303" spans="1:11">
      <c r="A9303" s="451" t="s">
        <v>15261</v>
      </c>
      <c r="B9303" s="451" t="s">
        <v>28194</v>
      </c>
      <c r="C9303" s="451" t="s">
        <v>15263</v>
      </c>
      <c r="D9303" s="451" t="s">
        <v>5112</v>
      </c>
      <c r="E9303" s="451"/>
      <c r="F9303" s="451"/>
      <c r="G9303" s="451" t="s">
        <v>22877</v>
      </c>
      <c r="H9303" s="451" t="s">
        <v>22878</v>
      </c>
      <c r="I9303" s="451" t="s">
        <v>5112</v>
      </c>
      <c r="J9303" s="451" t="s">
        <v>28195</v>
      </c>
      <c r="K9303" s="451"/>
    </row>
    <row r="9304" spans="1:11">
      <c r="A9304" s="450" t="s">
        <v>15261</v>
      </c>
      <c r="B9304" s="450" t="s">
        <v>15262</v>
      </c>
      <c r="C9304" s="450" t="s">
        <v>15263</v>
      </c>
      <c r="D9304" s="450" t="s">
        <v>5112</v>
      </c>
      <c r="E9304" s="450" t="s">
        <v>5113</v>
      </c>
      <c r="F9304" s="450"/>
      <c r="G9304" s="450"/>
      <c r="H9304" s="450"/>
      <c r="I9304" s="450"/>
      <c r="J9304" s="450"/>
      <c r="K9304" s="450"/>
    </row>
    <row r="9305" spans="1:11">
      <c r="A9305" s="451" t="s">
        <v>21895</v>
      </c>
      <c r="B9305" s="451"/>
      <c r="C9305" s="451" t="s">
        <v>15264</v>
      </c>
      <c r="D9305" s="451"/>
      <c r="E9305" s="451"/>
      <c r="F9305" s="451"/>
      <c r="G9305" s="451" t="s">
        <v>22882</v>
      </c>
      <c r="H9305" s="451" t="s">
        <v>22883</v>
      </c>
      <c r="I9305" s="451"/>
      <c r="J9305" s="451" t="s">
        <v>22943</v>
      </c>
      <c r="K9305" s="451"/>
    </row>
    <row r="9306" spans="1:11">
      <c r="A9306" s="450" t="s">
        <v>37794</v>
      </c>
      <c r="B9306" s="450" t="s">
        <v>15266</v>
      </c>
      <c r="C9306" s="450" t="s">
        <v>15267</v>
      </c>
      <c r="D9306" s="450"/>
      <c r="E9306" s="450"/>
      <c r="F9306" s="450" t="s">
        <v>15268</v>
      </c>
      <c r="G9306" s="450" t="s">
        <v>22877</v>
      </c>
      <c r="H9306" s="450" t="s">
        <v>22878</v>
      </c>
      <c r="I9306" s="450" t="s">
        <v>37795</v>
      </c>
      <c r="J9306" s="450" t="s">
        <v>37796</v>
      </c>
      <c r="K9306" s="450"/>
    </row>
    <row r="9307" spans="1:11">
      <c r="A9307" s="451" t="s">
        <v>15265</v>
      </c>
      <c r="B9307" s="451" t="s">
        <v>15266</v>
      </c>
      <c r="C9307" s="451" t="s">
        <v>15267</v>
      </c>
      <c r="D9307" s="451"/>
      <c r="E9307" s="451"/>
      <c r="F9307" s="451" t="s">
        <v>15268</v>
      </c>
      <c r="G9307" s="451"/>
      <c r="H9307" s="451"/>
      <c r="I9307" s="451"/>
      <c r="J9307" s="451"/>
      <c r="K9307" s="451"/>
    </row>
    <row r="9308" spans="1:11">
      <c r="A9308" s="450" t="s">
        <v>37797</v>
      </c>
      <c r="B9308" s="450"/>
      <c r="C9308" s="450" t="s">
        <v>15270</v>
      </c>
      <c r="D9308" s="450"/>
      <c r="E9308" s="450"/>
      <c r="F9308" s="450"/>
      <c r="G9308" s="450" t="s">
        <v>22877</v>
      </c>
      <c r="H9308" s="450" t="s">
        <v>22878</v>
      </c>
      <c r="I9308" s="450" t="s">
        <v>37798</v>
      </c>
      <c r="J9308" s="450" t="s">
        <v>23121</v>
      </c>
      <c r="K9308" s="450"/>
    </row>
    <row r="9309" spans="1:11">
      <c r="A9309" s="451" t="s">
        <v>15269</v>
      </c>
      <c r="B9309" s="451"/>
      <c r="C9309" s="451" t="s">
        <v>15270</v>
      </c>
      <c r="D9309" s="451"/>
      <c r="E9309" s="451"/>
      <c r="F9309" s="451"/>
      <c r="G9309" s="451"/>
      <c r="H9309" s="451"/>
      <c r="I9309" s="451"/>
      <c r="J9309" s="451"/>
      <c r="K9309" s="451"/>
    </row>
    <row r="9310" spans="1:11">
      <c r="A9310" s="450" t="s">
        <v>37799</v>
      </c>
      <c r="B9310" s="450"/>
      <c r="C9310" s="450" t="s">
        <v>15273</v>
      </c>
      <c r="D9310" s="450"/>
      <c r="E9310" s="450"/>
      <c r="F9310" s="450"/>
      <c r="G9310" s="450" t="s">
        <v>22882</v>
      </c>
      <c r="H9310" s="450" t="s">
        <v>22883</v>
      </c>
      <c r="I9310" s="450"/>
      <c r="J9310" s="450" t="s">
        <v>23370</v>
      </c>
      <c r="K9310" s="450"/>
    </row>
    <row r="9311" spans="1:11">
      <c r="A9311" s="451" t="s">
        <v>37800</v>
      </c>
      <c r="B9311" s="451"/>
      <c r="C9311" s="451" t="s">
        <v>4710</v>
      </c>
      <c r="D9311" s="451"/>
      <c r="E9311" s="451"/>
      <c r="F9311" s="451"/>
      <c r="G9311" s="451" t="s">
        <v>22882</v>
      </c>
      <c r="H9311" s="451" t="s">
        <v>22883</v>
      </c>
      <c r="I9311" s="451"/>
      <c r="J9311" s="451" t="s">
        <v>28196</v>
      </c>
      <c r="K9311" s="451"/>
    </row>
    <row r="9312" spans="1:11">
      <c r="A9312" s="450" t="s">
        <v>15271</v>
      </c>
      <c r="B9312" s="450"/>
      <c r="C9312" s="450" t="s">
        <v>4710</v>
      </c>
      <c r="D9312" s="450"/>
      <c r="E9312" s="450"/>
      <c r="F9312" s="450"/>
      <c r="G9312" s="450"/>
      <c r="H9312" s="450"/>
      <c r="I9312" s="450"/>
      <c r="J9312" s="450"/>
      <c r="K9312" s="450"/>
    </row>
    <row r="9313" spans="1:11">
      <c r="A9313" s="451" t="s">
        <v>15272</v>
      </c>
      <c r="B9313" s="451"/>
      <c r="C9313" s="451" t="s">
        <v>15273</v>
      </c>
      <c r="D9313" s="451"/>
      <c r="E9313" s="451"/>
      <c r="F9313" s="451"/>
      <c r="G9313" s="451"/>
      <c r="H9313" s="451"/>
      <c r="I9313" s="451"/>
      <c r="J9313" s="451"/>
      <c r="K9313" s="451"/>
    </row>
    <row r="9314" spans="1:11">
      <c r="A9314" s="450" t="s">
        <v>15274</v>
      </c>
      <c r="B9314" s="450"/>
      <c r="C9314" s="450" t="s">
        <v>15275</v>
      </c>
      <c r="D9314" s="450"/>
      <c r="E9314" s="450"/>
      <c r="F9314" s="450"/>
      <c r="G9314" s="450"/>
      <c r="H9314" s="450"/>
      <c r="I9314" s="450"/>
      <c r="J9314" s="450"/>
      <c r="K9314" s="450"/>
    </row>
    <row r="9315" spans="1:11">
      <c r="A9315" s="451" t="s">
        <v>15276</v>
      </c>
      <c r="B9315" s="451"/>
      <c r="C9315" s="451" t="s">
        <v>15275</v>
      </c>
      <c r="D9315" s="451"/>
      <c r="E9315" s="451"/>
      <c r="F9315" s="451"/>
      <c r="G9315" s="451" t="s">
        <v>22882</v>
      </c>
      <c r="H9315" s="451" t="s">
        <v>22883</v>
      </c>
      <c r="I9315" s="451"/>
      <c r="J9315" s="451" t="s">
        <v>22943</v>
      </c>
      <c r="K9315" s="451"/>
    </row>
    <row r="9316" spans="1:11">
      <c r="A9316" s="450" t="s">
        <v>15277</v>
      </c>
      <c r="B9316" s="450"/>
      <c r="C9316" s="450" t="s">
        <v>15278</v>
      </c>
      <c r="D9316" s="450"/>
      <c r="E9316" s="450"/>
      <c r="F9316" s="450"/>
      <c r="G9316" s="450" t="s">
        <v>22882</v>
      </c>
      <c r="H9316" s="450" t="s">
        <v>22883</v>
      </c>
      <c r="I9316" s="450"/>
      <c r="J9316" s="450" t="s">
        <v>22939</v>
      </c>
      <c r="K9316" s="450"/>
    </row>
    <row r="9317" spans="1:11">
      <c r="A9317" s="451" t="s">
        <v>15279</v>
      </c>
      <c r="B9317" s="451" t="s">
        <v>28197</v>
      </c>
      <c r="C9317" s="451" t="s">
        <v>15281</v>
      </c>
      <c r="D9317" s="451" t="s">
        <v>15282</v>
      </c>
      <c r="E9317" s="451"/>
      <c r="F9317" s="451"/>
      <c r="G9317" s="451" t="s">
        <v>22877</v>
      </c>
      <c r="H9317" s="451" t="s">
        <v>22878</v>
      </c>
      <c r="I9317" s="451" t="s">
        <v>28198</v>
      </c>
      <c r="J9317" s="451" t="s">
        <v>28199</v>
      </c>
      <c r="K9317" s="451"/>
    </row>
    <row r="9318" spans="1:11">
      <c r="A9318" s="450" t="s">
        <v>15279</v>
      </c>
      <c r="B9318" s="450" t="s">
        <v>15280</v>
      </c>
      <c r="C9318" s="450" t="s">
        <v>15281</v>
      </c>
      <c r="D9318" s="450" t="s">
        <v>15282</v>
      </c>
      <c r="E9318" s="450"/>
      <c r="F9318" s="450"/>
      <c r="G9318" s="450"/>
      <c r="H9318" s="450"/>
      <c r="I9318" s="450"/>
      <c r="J9318" s="450"/>
      <c r="K9318" s="450"/>
    </row>
    <row r="9319" spans="1:11">
      <c r="A9319" s="451" t="s">
        <v>15283</v>
      </c>
      <c r="B9319" s="451"/>
      <c r="C9319" s="451" t="s">
        <v>2154</v>
      </c>
      <c r="D9319" s="451"/>
      <c r="E9319" s="451"/>
      <c r="F9319" s="451"/>
      <c r="G9319" s="451" t="s">
        <v>22877</v>
      </c>
      <c r="H9319" s="451" t="s">
        <v>22878</v>
      </c>
      <c r="I9319" s="451" t="s">
        <v>37801</v>
      </c>
      <c r="J9319" s="451" t="s">
        <v>23121</v>
      </c>
      <c r="K9319" s="451"/>
    </row>
    <row r="9320" spans="1:11">
      <c r="A9320" s="450" t="s">
        <v>21896</v>
      </c>
      <c r="B9320" s="450"/>
      <c r="C9320" s="450" t="s">
        <v>8598</v>
      </c>
      <c r="D9320" s="450"/>
      <c r="E9320" s="450"/>
      <c r="F9320" s="450"/>
      <c r="G9320" s="450" t="s">
        <v>22882</v>
      </c>
      <c r="H9320" s="450" t="s">
        <v>22883</v>
      </c>
      <c r="I9320" s="450"/>
      <c r="J9320" s="450" t="s">
        <v>22939</v>
      </c>
      <c r="K9320" s="450"/>
    </row>
    <row r="9321" spans="1:11">
      <c r="A9321" s="451" t="s">
        <v>15284</v>
      </c>
      <c r="B9321" s="451" t="s">
        <v>15285</v>
      </c>
      <c r="C9321" s="451" t="s">
        <v>15286</v>
      </c>
      <c r="D9321" s="451" t="s">
        <v>15287</v>
      </c>
      <c r="E9321" s="451"/>
      <c r="F9321" s="451"/>
      <c r="G9321" s="451" t="s">
        <v>22877</v>
      </c>
      <c r="H9321" s="451" t="s">
        <v>22878</v>
      </c>
      <c r="I9321" s="451" t="s">
        <v>15287</v>
      </c>
      <c r="J9321" s="451" t="s">
        <v>28200</v>
      </c>
      <c r="K9321" s="451"/>
    </row>
    <row r="9322" spans="1:11">
      <c r="A9322" s="450" t="s">
        <v>28201</v>
      </c>
      <c r="B9322" s="450" t="s">
        <v>28202</v>
      </c>
      <c r="C9322" s="450" t="s">
        <v>28203</v>
      </c>
      <c r="D9322" s="450"/>
      <c r="E9322" s="450"/>
      <c r="F9322" s="450"/>
      <c r="G9322" s="450" t="s">
        <v>22877</v>
      </c>
      <c r="H9322" s="450" t="s">
        <v>22878</v>
      </c>
      <c r="I9322" s="450" t="s">
        <v>24335</v>
      </c>
      <c r="J9322" s="450" t="s">
        <v>28204</v>
      </c>
      <c r="K9322" s="450"/>
    </row>
    <row r="9323" spans="1:11">
      <c r="A9323" s="451" t="s">
        <v>37802</v>
      </c>
      <c r="B9323" s="451"/>
      <c r="C9323" s="451" t="s">
        <v>15289</v>
      </c>
      <c r="D9323" s="451"/>
      <c r="E9323" s="451"/>
      <c r="F9323" s="451"/>
      <c r="G9323" s="451" t="s">
        <v>22877</v>
      </c>
      <c r="H9323" s="451" t="s">
        <v>22878</v>
      </c>
      <c r="I9323" s="451" t="s">
        <v>37803</v>
      </c>
      <c r="J9323" s="451" t="s">
        <v>23370</v>
      </c>
      <c r="K9323" s="451"/>
    </row>
    <row r="9324" spans="1:11">
      <c r="A9324" s="450" t="s">
        <v>15288</v>
      </c>
      <c r="B9324" s="450"/>
      <c r="C9324" s="450" t="s">
        <v>15289</v>
      </c>
      <c r="D9324" s="450"/>
      <c r="E9324" s="450"/>
      <c r="F9324" s="450"/>
      <c r="G9324" s="450"/>
      <c r="H9324" s="450"/>
      <c r="I9324" s="450"/>
      <c r="J9324" s="450"/>
      <c r="K9324" s="450"/>
    </row>
    <row r="9325" spans="1:11">
      <c r="A9325" s="451" t="s">
        <v>15290</v>
      </c>
      <c r="B9325" s="451"/>
      <c r="C9325" s="451" t="s">
        <v>15291</v>
      </c>
      <c r="D9325" s="451"/>
      <c r="E9325" s="451"/>
      <c r="F9325" s="451"/>
      <c r="G9325" s="451"/>
      <c r="H9325" s="451"/>
      <c r="I9325" s="451"/>
      <c r="J9325" s="451"/>
      <c r="K9325" s="451"/>
    </row>
    <row r="9326" spans="1:11">
      <c r="A9326" s="450" t="s">
        <v>15292</v>
      </c>
      <c r="B9326" s="450"/>
      <c r="C9326" s="450" t="s">
        <v>15293</v>
      </c>
      <c r="D9326" s="450"/>
      <c r="E9326" s="450"/>
      <c r="F9326" s="450"/>
      <c r="G9326" s="450" t="s">
        <v>22882</v>
      </c>
      <c r="H9326" s="450" t="s">
        <v>22883</v>
      </c>
      <c r="I9326" s="450"/>
      <c r="J9326" s="450" t="s">
        <v>22939</v>
      </c>
      <c r="K9326" s="450"/>
    </row>
    <row r="9327" spans="1:11">
      <c r="A9327" s="451" t="s">
        <v>28205</v>
      </c>
      <c r="B9327" s="451" t="s">
        <v>28206</v>
      </c>
      <c r="C9327" s="451" t="s">
        <v>15291</v>
      </c>
      <c r="D9327" s="451"/>
      <c r="E9327" s="451"/>
      <c r="F9327" s="451"/>
      <c r="G9327" s="451" t="s">
        <v>22877</v>
      </c>
      <c r="H9327" s="451" t="s">
        <v>22878</v>
      </c>
      <c r="I9327" s="451" t="s">
        <v>28207</v>
      </c>
      <c r="J9327" s="451" t="s">
        <v>28208</v>
      </c>
      <c r="K9327" s="451"/>
    </row>
    <row r="9328" spans="1:11">
      <c r="A9328" s="450" t="s">
        <v>15294</v>
      </c>
      <c r="B9328" s="450"/>
      <c r="C9328" s="450" t="s">
        <v>15295</v>
      </c>
      <c r="D9328" s="450"/>
      <c r="E9328" s="450"/>
      <c r="F9328" s="450"/>
      <c r="G9328" s="450" t="s">
        <v>22882</v>
      </c>
      <c r="H9328" s="450" t="s">
        <v>22883</v>
      </c>
      <c r="I9328" s="450"/>
      <c r="J9328" s="450" t="s">
        <v>22943</v>
      </c>
      <c r="K9328" s="450"/>
    </row>
    <row r="9329" spans="1:11">
      <c r="A9329" s="451" t="s">
        <v>15296</v>
      </c>
      <c r="B9329" s="451"/>
      <c r="C9329" s="451" t="s">
        <v>15297</v>
      </c>
      <c r="D9329" s="451"/>
      <c r="E9329" s="451"/>
      <c r="F9329" s="451"/>
      <c r="G9329" s="451" t="s">
        <v>22877</v>
      </c>
      <c r="H9329" s="451" t="s">
        <v>22878</v>
      </c>
      <c r="I9329" s="451"/>
      <c r="J9329" s="451" t="s">
        <v>22943</v>
      </c>
      <c r="K9329" s="451"/>
    </row>
    <row r="9330" spans="1:11">
      <c r="A9330" s="450" t="s">
        <v>15298</v>
      </c>
      <c r="B9330" s="450"/>
      <c r="C9330" s="450" t="s">
        <v>15299</v>
      </c>
      <c r="D9330" s="450"/>
      <c r="E9330" s="450"/>
      <c r="F9330" s="450"/>
      <c r="G9330" s="450" t="s">
        <v>22877</v>
      </c>
      <c r="H9330" s="450" t="s">
        <v>22878</v>
      </c>
      <c r="I9330" s="450" t="s">
        <v>28209</v>
      </c>
      <c r="J9330" s="450" t="s">
        <v>22939</v>
      </c>
      <c r="K9330" s="450"/>
    </row>
    <row r="9331" spans="1:11">
      <c r="A9331" s="451" t="s">
        <v>15300</v>
      </c>
      <c r="B9331" s="451" t="s">
        <v>15301</v>
      </c>
      <c r="C9331" s="451" t="s">
        <v>15302</v>
      </c>
      <c r="D9331" s="451" t="s">
        <v>15303</v>
      </c>
      <c r="E9331" s="451" t="s">
        <v>15304</v>
      </c>
      <c r="F9331" s="451"/>
      <c r="G9331" s="451"/>
      <c r="H9331" s="451"/>
      <c r="I9331" s="451"/>
      <c r="J9331" s="451"/>
      <c r="K9331" s="451"/>
    </row>
    <row r="9332" spans="1:11">
      <c r="A9332" s="450" t="s">
        <v>15305</v>
      </c>
      <c r="B9332" s="450" t="s">
        <v>15306</v>
      </c>
      <c r="C9332" s="450" t="s">
        <v>15307</v>
      </c>
      <c r="D9332" s="450"/>
      <c r="E9332" s="450" t="s">
        <v>15304</v>
      </c>
      <c r="F9332" s="450"/>
      <c r="G9332" s="450"/>
      <c r="H9332" s="450"/>
      <c r="I9332" s="450"/>
      <c r="J9332" s="450"/>
      <c r="K9332" s="450"/>
    </row>
    <row r="9333" spans="1:11">
      <c r="A9333" s="451" t="s">
        <v>15308</v>
      </c>
      <c r="B9333" s="451" t="s">
        <v>15309</v>
      </c>
      <c r="C9333" s="451" t="s">
        <v>3980</v>
      </c>
      <c r="D9333" s="451" t="s">
        <v>15310</v>
      </c>
      <c r="E9333" s="451" t="s">
        <v>15311</v>
      </c>
      <c r="F9333" s="451"/>
      <c r="G9333" s="451"/>
      <c r="H9333" s="451"/>
      <c r="I9333" s="451"/>
      <c r="J9333" s="451"/>
      <c r="K9333" s="451"/>
    </row>
    <row r="9334" spans="1:11">
      <c r="A9334" s="450" t="s">
        <v>21312</v>
      </c>
      <c r="B9334" s="450" t="s">
        <v>21313</v>
      </c>
      <c r="C9334" s="450" t="s">
        <v>21314</v>
      </c>
      <c r="D9334" s="450" t="s">
        <v>21315</v>
      </c>
      <c r="E9334" s="450"/>
      <c r="F9334" s="450"/>
      <c r="G9334" s="450"/>
      <c r="H9334" s="450"/>
      <c r="I9334" s="450"/>
      <c r="J9334" s="450"/>
      <c r="K9334" s="450"/>
    </row>
    <row r="9335" spans="1:11">
      <c r="A9335" s="451" t="s">
        <v>28210</v>
      </c>
      <c r="B9335" s="451" t="s">
        <v>28211</v>
      </c>
      <c r="C9335" s="451" t="s">
        <v>28212</v>
      </c>
      <c r="D9335" s="451" t="s">
        <v>28213</v>
      </c>
      <c r="E9335" s="451"/>
      <c r="F9335" s="451"/>
      <c r="G9335" s="451" t="s">
        <v>22877</v>
      </c>
      <c r="H9335" s="451" t="s">
        <v>22878</v>
      </c>
      <c r="I9335" s="451" t="s">
        <v>28213</v>
      </c>
      <c r="J9335" s="451" t="s">
        <v>28214</v>
      </c>
      <c r="K9335" s="451"/>
    </row>
    <row r="9336" spans="1:11">
      <c r="A9336" s="450" t="s">
        <v>15312</v>
      </c>
      <c r="B9336" s="450"/>
      <c r="C9336" s="450" t="s">
        <v>15313</v>
      </c>
      <c r="D9336" s="450"/>
      <c r="E9336" s="450"/>
      <c r="F9336" s="450"/>
      <c r="G9336" s="450" t="s">
        <v>22877</v>
      </c>
      <c r="H9336" s="450" t="s">
        <v>22878</v>
      </c>
      <c r="I9336" s="450" t="s">
        <v>37804</v>
      </c>
      <c r="J9336" s="450" t="s">
        <v>22943</v>
      </c>
      <c r="K9336" s="450"/>
    </row>
    <row r="9337" spans="1:11">
      <c r="A9337" s="451" t="s">
        <v>37805</v>
      </c>
      <c r="B9337" s="451"/>
      <c r="C9337" s="451" t="s">
        <v>15315</v>
      </c>
      <c r="D9337" s="451"/>
      <c r="E9337" s="451"/>
      <c r="F9337" s="451"/>
      <c r="G9337" s="451" t="s">
        <v>22882</v>
      </c>
      <c r="H9337" s="451" t="s">
        <v>22883</v>
      </c>
      <c r="I9337" s="451"/>
      <c r="J9337" s="451" t="s">
        <v>23179</v>
      </c>
      <c r="K9337" s="451"/>
    </row>
    <row r="9338" spans="1:11">
      <c r="A9338" s="450" t="s">
        <v>15314</v>
      </c>
      <c r="B9338" s="450"/>
      <c r="C9338" s="450" t="s">
        <v>15315</v>
      </c>
      <c r="D9338" s="450"/>
      <c r="E9338" s="450"/>
      <c r="F9338" s="450"/>
      <c r="G9338" s="450"/>
      <c r="H9338" s="450"/>
      <c r="I9338" s="450"/>
      <c r="J9338" s="450"/>
      <c r="K9338" s="450"/>
    </row>
    <row r="9339" spans="1:11">
      <c r="A9339" s="451" t="s">
        <v>31995</v>
      </c>
      <c r="B9339" s="451" t="s">
        <v>28215</v>
      </c>
      <c r="C9339" s="451" t="s">
        <v>20329</v>
      </c>
      <c r="D9339" s="451" t="s">
        <v>28216</v>
      </c>
      <c r="E9339" s="451"/>
      <c r="F9339" s="451"/>
      <c r="G9339" s="451" t="s">
        <v>22877</v>
      </c>
      <c r="H9339" s="451" t="s">
        <v>22878</v>
      </c>
      <c r="I9339" s="451" t="s">
        <v>28216</v>
      </c>
      <c r="J9339" s="451" t="s">
        <v>28217</v>
      </c>
      <c r="K9339" s="451"/>
    </row>
    <row r="9340" spans="1:11">
      <c r="A9340" s="450" t="s">
        <v>21897</v>
      </c>
      <c r="B9340" s="450" t="s">
        <v>20332</v>
      </c>
      <c r="C9340" s="450" t="s">
        <v>20329</v>
      </c>
      <c r="D9340" s="450" t="s">
        <v>20330</v>
      </c>
      <c r="E9340" s="450" t="s">
        <v>20331</v>
      </c>
      <c r="F9340" s="450"/>
      <c r="G9340" s="450"/>
      <c r="H9340" s="450"/>
      <c r="I9340" s="450"/>
      <c r="J9340" s="450"/>
      <c r="K9340" s="450"/>
    </row>
    <row r="9341" spans="1:11">
      <c r="A9341" s="451" t="s">
        <v>15316</v>
      </c>
      <c r="B9341" s="451"/>
      <c r="C9341" s="451" t="s">
        <v>15317</v>
      </c>
      <c r="D9341" s="451"/>
      <c r="E9341" s="451"/>
      <c r="F9341" s="451"/>
      <c r="G9341" s="451" t="s">
        <v>22877</v>
      </c>
      <c r="H9341" s="451" t="s">
        <v>22878</v>
      </c>
      <c r="I9341" s="451" t="s">
        <v>28218</v>
      </c>
      <c r="J9341" s="451" t="s">
        <v>23179</v>
      </c>
      <c r="K9341" s="451"/>
    </row>
    <row r="9342" spans="1:11">
      <c r="A9342" s="450" t="s">
        <v>28219</v>
      </c>
      <c r="B9342" s="450" t="s">
        <v>28220</v>
      </c>
      <c r="C9342" s="450" t="s">
        <v>28221</v>
      </c>
      <c r="D9342" s="450" t="s">
        <v>6559</v>
      </c>
      <c r="E9342" s="450"/>
      <c r="F9342" s="450" t="s">
        <v>28222</v>
      </c>
      <c r="G9342" s="450" t="s">
        <v>22877</v>
      </c>
      <c r="H9342" s="450" t="s">
        <v>22878</v>
      </c>
      <c r="I9342" s="450" t="s">
        <v>6559</v>
      </c>
      <c r="J9342" s="450" t="s">
        <v>28223</v>
      </c>
      <c r="K9342" s="450"/>
    </row>
    <row r="9343" spans="1:11">
      <c r="A9343" s="451" t="s">
        <v>15318</v>
      </c>
      <c r="B9343" s="451" t="s">
        <v>15319</v>
      </c>
      <c r="C9343" s="451" t="s">
        <v>15320</v>
      </c>
      <c r="D9343" s="451" t="s">
        <v>15321</v>
      </c>
      <c r="E9343" s="451" t="s">
        <v>15322</v>
      </c>
      <c r="F9343" s="451"/>
      <c r="G9343" s="451"/>
      <c r="H9343" s="451"/>
      <c r="I9343" s="451"/>
      <c r="J9343" s="451"/>
      <c r="K9343" s="451"/>
    </row>
    <row r="9344" spans="1:11">
      <c r="A9344" s="450" t="s">
        <v>15323</v>
      </c>
      <c r="B9344" s="450" t="s">
        <v>15324</v>
      </c>
      <c r="C9344" s="450" t="s">
        <v>15325</v>
      </c>
      <c r="D9344" s="450" t="s">
        <v>15326</v>
      </c>
      <c r="E9344" s="450" t="s">
        <v>15327</v>
      </c>
      <c r="F9344" s="450"/>
      <c r="G9344" s="450"/>
      <c r="H9344" s="450"/>
      <c r="I9344" s="450"/>
      <c r="J9344" s="450"/>
      <c r="K9344" s="450"/>
    </row>
    <row r="9345" spans="1:11">
      <c r="A9345" s="451" t="s">
        <v>28224</v>
      </c>
      <c r="B9345" s="451" t="s">
        <v>28225</v>
      </c>
      <c r="C9345" s="451" t="s">
        <v>15320</v>
      </c>
      <c r="D9345" s="451" t="s">
        <v>15321</v>
      </c>
      <c r="E9345" s="451"/>
      <c r="F9345" s="451"/>
      <c r="G9345" s="451" t="s">
        <v>22877</v>
      </c>
      <c r="H9345" s="451" t="s">
        <v>22878</v>
      </c>
      <c r="I9345" s="451" t="s">
        <v>28226</v>
      </c>
      <c r="J9345" s="451" t="s">
        <v>28227</v>
      </c>
      <c r="K9345" s="451"/>
    </row>
    <row r="9346" spans="1:11">
      <c r="A9346" s="450" t="s">
        <v>15328</v>
      </c>
      <c r="B9346" s="450" t="s">
        <v>15329</v>
      </c>
      <c r="C9346" s="450" t="s">
        <v>15330</v>
      </c>
      <c r="D9346" s="450"/>
      <c r="E9346" s="450"/>
      <c r="F9346" s="450"/>
      <c r="G9346" s="450"/>
      <c r="H9346" s="450"/>
      <c r="I9346" s="450"/>
      <c r="J9346" s="450"/>
      <c r="K9346" s="450"/>
    </row>
    <row r="9347" spans="1:11">
      <c r="A9347" s="451" t="s">
        <v>37806</v>
      </c>
      <c r="B9347" s="451"/>
      <c r="C9347" s="451" t="s">
        <v>6305</v>
      </c>
      <c r="D9347" s="451"/>
      <c r="E9347" s="451"/>
      <c r="F9347" s="451"/>
      <c r="G9347" s="451" t="s">
        <v>22882</v>
      </c>
      <c r="H9347" s="451" t="s">
        <v>22883</v>
      </c>
      <c r="I9347" s="451"/>
      <c r="J9347" s="451" t="s">
        <v>22939</v>
      </c>
      <c r="K9347" s="451"/>
    </row>
    <row r="9348" spans="1:11">
      <c r="A9348" s="450" t="s">
        <v>15331</v>
      </c>
      <c r="B9348" s="450" t="s">
        <v>15332</v>
      </c>
      <c r="C9348" s="450" t="s">
        <v>8939</v>
      </c>
      <c r="D9348" s="450" t="s">
        <v>8940</v>
      </c>
      <c r="E9348" s="450"/>
      <c r="F9348" s="450"/>
      <c r="G9348" s="450" t="s">
        <v>22882</v>
      </c>
      <c r="H9348" s="450" t="s">
        <v>22883</v>
      </c>
      <c r="I9348" s="450"/>
      <c r="J9348" s="450" t="s">
        <v>37807</v>
      </c>
      <c r="K9348" s="450"/>
    </row>
    <row r="9349" spans="1:11">
      <c r="A9349" s="451" t="s">
        <v>15331</v>
      </c>
      <c r="B9349" s="451" t="s">
        <v>15332</v>
      </c>
      <c r="C9349" s="451" t="s">
        <v>8939</v>
      </c>
      <c r="D9349" s="451" t="s">
        <v>8940</v>
      </c>
      <c r="E9349" s="451" t="s">
        <v>8941</v>
      </c>
      <c r="F9349" s="451"/>
      <c r="G9349" s="451"/>
      <c r="H9349" s="451"/>
      <c r="I9349" s="451"/>
      <c r="J9349" s="451"/>
      <c r="K9349" s="451"/>
    </row>
    <row r="9350" spans="1:11">
      <c r="A9350" s="450" t="s">
        <v>15333</v>
      </c>
      <c r="B9350" s="450" t="s">
        <v>15334</v>
      </c>
      <c r="C9350" s="450" t="s">
        <v>15335</v>
      </c>
      <c r="D9350" s="450" t="s">
        <v>8835</v>
      </c>
      <c r="E9350" s="450"/>
      <c r="F9350" s="450"/>
      <c r="G9350" s="450" t="s">
        <v>22882</v>
      </c>
      <c r="H9350" s="450" t="s">
        <v>22883</v>
      </c>
      <c r="I9350" s="450" t="s">
        <v>8835</v>
      </c>
      <c r="J9350" s="450" t="s">
        <v>28228</v>
      </c>
      <c r="K9350" s="450"/>
    </row>
    <row r="9351" spans="1:11">
      <c r="A9351" s="451" t="s">
        <v>15333</v>
      </c>
      <c r="B9351" s="451" t="s">
        <v>15338</v>
      </c>
      <c r="C9351" s="451" t="s">
        <v>8871</v>
      </c>
      <c r="D9351" s="451" t="s">
        <v>15339</v>
      </c>
      <c r="E9351" s="451"/>
      <c r="F9351" s="451"/>
      <c r="G9351" s="451" t="s">
        <v>22882</v>
      </c>
      <c r="H9351" s="451" t="s">
        <v>22883</v>
      </c>
      <c r="I9351" s="451" t="s">
        <v>15339</v>
      </c>
      <c r="J9351" s="451" t="s">
        <v>28229</v>
      </c>
      <c r="K9351" s="451"/>
    </row>
    <row r="9352" spans="1:11">
      <c r="A9352" s="450" t="s">
        <v>15333</v>
      </c>
      <c r="B9352" s="450" t="s">
        <v>15334</v>
      </c>
      <c r="C9352" s="450" t="s">
        <v>15335</v>
      </c>
      <c r="D9352" s="450" t="s">
        <v>8835</v>
      </c>
      <c r="E9352" s="450" t="s">
        <v>8836</v>
      </c>
      <c r="F9352" s="450"/>
      <c r="G9352" s="450"/>
      <c r="H9352" s="450"/>
      <c r="I9352" s="450"/>
      <c r="J9352" s="450"/>
      <c r="K9352" s="450"/>
    </row>
    <row r="9353" spans="1:11">
      <c r="A9353" s="451" t="s">
        <v>37808</v>
      </c>
      <c r="B9353" s="451" t="s">
        <v>8947</v>
      </c>
      <c r="C9353" s="451" t="s">
        <v>15336</v>
      </c>
      <c r="D9353" s="451" t="s">
        <v>8949</v>
      </c>
      <c r="E9353" s="451"/>
      <c r="F9353" s="451"/>
      <c r="G9353" s="451" t="s">
        <v>22882</v>
      </c>
      <c r="H9353" s="451" t="s">
        <v>22883</v>
      </c>
      <c r="I9353" s="451"/>
      <c r="J9353" s="451" t="s">
        <v>37809</v>
      </c>
      <c r="K9353" s="451"/>
    </row>
    <row r="9354" spans="1:11">
      <c r="A9354" s="450" t="s">
        <v>21317</v>
      </c>
      <c r="B9354" s="450" t="s">
        <v>15338</v>
      </c>
      <c r="C9354" s="450" t="s">
        <v>8871</v>
      </c>
      <c r="D9354" s="450" t="s">
        <v>15339</v>
      </c>
      <c r="E9354" s="450" t="s">
        <v>15340</v>
      </c>
      <c r="F9354" s="450"/>
      <c r="G9354" s="450"/>
      <c r="H9354" s="450"/>
      <c r="I9354" s="450"/>
      <c r="J9354" s="450"/>
      <c r="K9354" s="450"/>
    </row>
    <row r="9355" spans="1:11">
      <c r="A9355" s="451" t="s">
        <v>21316</v>
      </c>
      <c r="B9355" s="451" t="s">
        <v>8947</v>
      </c>
      <c r="C9355" s="451" t="s">
        <v>15336</v>
      </c>
      <c r="D9355" s="451" t="s">
        <v>8949</v>
      </c>
      <c r="E9355" s="451" t="s">
        <v>15337</v>
      </c>
      <c r="F9355" s="451"/>
      <c r="G9355" s="451"/>
      <c r="H9355" s="451"/>
      <c r="I9355" s="451"/>
      <c r="J9355" s="451"/>
      <c r="K9355" s="451"/>
    </row>
    <row r="9356" spans="1:11">
      <c r="A9356" s="450" t="s">
        <v>15341</v>
      </c>
      <c r="B9356" s="450" t="s">
        <v>15342</v>
      </c>
      <c r="C9356" s="450" t="s">
        <v>5137</v>
      </c>
      <c r="D9356" s="450" t="s">
        <v>15343</v>
      </c>
      <c r="E9356" s="450"/>
      <c r="F9356" s="450"/>
      <c r="G9356" s="450" t="s">
        <v>22877</v>
      </c>
      <c r="H9356" s="450" t="s">
        <v>22878</v>
      </c>
      <c r="I9356" s="450" t="s">
        <v>15343</v>
      </c>
      <c r="J9356" s="450" t="s">
        <v>37810</v>
      </c>
      <c r="K9356" s="450"/>
    </row>
    <row r="9357" spans="1:11">
      <c r="A9357" s="451" t="s">
        <v>15341</v>
      </c>
      <c r="B9357" s="451" t="s">
        <v>15342</v>
      </c>
      <c r="C9357" s="451" t="s">
        <v>5137</v>
      </c>
      <c r="D9357" s="451" t="s">
        <v>15343</v>
      </c>
      <c r="E9357" s="451" t="s">
        <v>15344</v>
      </c>
      <c r="F9357" s="451"/>
      <c r="G9357" s="451"/>
      <c r="H9357" s="451"/>
      <c r="I9357" s="451"/>
      <c r="J9357" s="451"/>
      <c r="K9357" s="451"/>
    </row>
    <row r="9358" spans="1:11">
      <c r="A9358" s="450" t="s">
        <v>37811</v>
      </c>
      <c r="B9358" s="450" t="s">
        <v>15346</v>
      </c>
      <c r="C9358" s="450" t="s">
        <v>4667</v>
      </c>
      <c r="D9358" s="450" t="s">
        <v>15347</v>
      </c>
      <c r="E9358" s="450"/>
      <c r="F9358" s="450"/>
      <c r="G9358" s="450" t="s">
        <v>22882</v>
      </c>
      <c r="H9358" s="450" t="s">
        <v>22883</v>
      </c>
      <c r="I9358" s="450" t="s">
        <v>15347</v>
      </c>
      <c r="J9358" s="450" t="s">
        <v>37812</v>
      </c>
      <c r="K9358" s="450"/>
    </row>
    <row r="9359" spans="1:11">
      <c r="A9359" s="451" t="s">
        <v>15345</v>
      </c>
      <c r="B9359" s="451" t="s">
        <v>15346</v>
      </c>
      <c r="C9359" s="451" t="s">
        <v>4667</v>
      </c>
      <c r="D9359" s="451" t="s">
        <v>15347</v>
      </c>
      <c r="E9359" s="451" t="s">
        <v>15348</v>
      </c>
      <c r="F9359" s="451"/>
      <c r="G9359" s="451"/>
      <c r="H9359" s="451"/>
      <c r="I9359" s="451"/>
      <c r="J9359" s="451"/>
      <c r="K9359" s="451"/>
    </row>
    <row r="9360" spans="1:11">
      <c r="A9360" s="450" t="s">
        <v>37813</v>
      </c>
      <c r="B9360" s="450"/>
      <c r="C9360" s="450" t="s">
        <v>15350</v>
      </c>
      <c r="D9360" s="450"/>
      <c r="E9360" s="450"/>
      <c r="F9360" s="450"/>
      <c r="G9360" s="450" t="s">
        <v>22877</v>
      </c>
      <c r="H9360" s="450" t="s">
        <v>22878</v>
      </c>
      <c r="I9360" s="450" t="s">
        <v>37814</v>
      </c>
      <c r="J9360" s="450" t="s">
        <v>22943</v>
      </c>
      <c r="K9360" s="450"/>
    </row>
    <row r="9361" spans="1:11">
      <c r="A9361" s="451" t="s">
        <v>37815</v>
      </c>
      <c r="B9361" s="451"/>
      <c r="C9361" s="451" t="s">
        <v>6467</v>
      </c>
      <c r="D9361" s="451"/>
      <c r="E9361" s="451"/>
      <c r="F9361" s="451"/>
      <c r="G9361" s="451" t="s">
        <v>22877</v>
      </c>
      <c r="H9361" s="451" t="s">
        <v>22878</v>
      </c>
      <c r="I9361" s="451" t="s">
        <v>37816</v>
      </c>
      <c r="J9361" s="451" t="s">
        <v>23370</v>
      </c>
      <c r="K9361" s="451"/>
    </row>
    <row r="9362" spans="1:11">
      <c r="A9362" s="450" t="s">
        <v>15349</v>
      </c>
      <c r="B9362" s="450"/>
      <c r="C9362" s="450" t="s">
        <v>15350</v>
      </c>
      <c r="D9362" s="450"/>
      <c r="E9362" s="450"/>
      <c r="F9362" s="450"/>
      <c r="G9362" s="450"/>
      <c r="H9362" s="450"/>
      <c r="I9362" s="450"/>
      <c r="J9362" s="450"/>
      <c r="K9362" s="450"/>
    </row>
    <row r="9363" spans="1:11">
      <c r="A9363" s="451" t="s">
        <v>15351</v>
      </c>
      <c r="B9363" s="451"/>
      <c r="C9363" s="451" t="s">
        <v>6467</v>
      </c>
      <c r="D9363" s="451"/>
      <c r="E9363" s="451"/>
      <c r="F9363" s="451"/>
      <c r="G9363" s="451"/>
      <c r="H9363" s="451"/>
      <c r="I9363" s="451"/>
      <c r="J9363" s="451"/>
      <c r="K9363" s="451"/>
    </row>
    <row r="9364" spans="1:11">
      <c r="A9364" s="450" t="s">
        <v>28230</v>
      </c>
      <c r="B9364" s="450"/>
      <c r="C9364" s="450" t="s">
        <v>5718</v>
      </c>
      <c r="D9364" s="450"/>
      <c r="E9364" s="450"/>
      <c r="F9364" s="450"/>
      <c r="G9364" s="450" t="s">
        <v>22882</v>
      </c>
      <c r="H9364" s="450" t="s">
        <v>22883</v>
      </c>
      <c r="I9364" s="450"/>
      <c r="J9364" s="450" t="s">
        <v>23370</v>
      </c>
      <c r="K9364" s="450"/>
    </row>
    <row r="9365" spans="1:11">
      <c r="A9365" s="451" t="s">
        <v>28231</v>
      </c>
      <c r="B9365" s="451" t="s">
        <v>28232</v>
      </c>
      <c r="C9365" s="451" t="s">
        <v>15354</v>
      </c>
      <c r="D9365" s="451"/>
      <c r="E9365" s="451"/>
      <c r="F9365" s="451"/>
      <c r="G9365" s="451" t="s">
        <v>22877</v>
      </c>
      <c r="H9365" s="451" t="s">
        <v>22878</v>
      </c>
      <c r="I9365" s="451" t="s">
        <v>28233</v>
      </c>
      <c r="J9365" s="451" t="s">
        <v>28234</v>
      </c>
      <c r="K9365" s="451"/>
    </row>
    <row r="9366" spans="1:11">
      <c r="A9366" s="450" t="s">
        <v>15352</v>
      </c>
      <c r="B9366" s="450" t="s">
        <v>15353</v>
      </c>
      <c r="C9366" s="450" t="s">
        <v>15354</v>
      </c>
      <c r="D9366" s="450"/>
      <c r="E9366" s="450"/>
      <c r="F9366" s="450"/>
      <c r="G9366" s="450"/>
      <c r="H9366" s="450"/>
      <c r="I9366" s="450"/>
      <c r="J9366" s="450"/>
      <c r="K9366" s="450"/>
    </row>
    <row r="9367" spans="1:11">
      <c r="A9367" s="451" t="s">
        <v>15355</v>
      </c>
      <c r="B9367" s="451"/>
      <c r="C9367" s="451" t="s">
        <v>15356</v>
      </c>
      <c r="D9367" s="451"/>
      <c r="E9367" s="451"/>
      <c r="F9367" s="451"/>
      <c r="G9367" s="451" t="s">
        <v>22877</v>
      </c>
      <c r="H9367" s="451" t="s">
        <v>22878</v>
      </c>
      <c r="I9367" s="451" t="s">
        <v>28235</v>
      </c>
      <c r="J9367" s="451" t="s">
        <v>22939</v>
      </c>
      <c r="K9367" s="451"/>
    </row>
    <row r="9368" spans="1:11">
      <c r="A9368" s="450" t="s">
        <v>28236</v>
      </c>
      <c r="B9368" s="450" t="s">
        <v>28237</v>
      </c>
      <c r="C9368" s="450" t="s">
        <v>20317</v>
      </c>
      <c r="D9368" s="450"/>
      <c r="E9368" s="450"/>
      <c r="F9368" s="450"/>
      <c r="G9368" s="450" t="s">
        <v>22877</v>
      </c>
      <c r="H9368" s="450" t="s">
        <v>22878</v>
      </c>
      <c r="I9368" s="450" t="s">
        <v>28238</v>
      </c>
      <c r="J9368" s="450" t="s">
        <v>28239</v>
      </c>
      <c r="K9368" s="450"/>
    </row>
    <row r="9369" spans="1:11">
      <c r="A9369" s="451" t="s">
        <v>28240</v>
      </c>
      <c r="B9369" s="451" t="s">
        <v>28241</v>
      </c>
      <c r="C9369" s="451" t="s">
        <v>28242</v>
      </c>
      <c r="D9369" s="451" t="s">
        <v>28243</v>
      </c>
      <c r="E9369" s="451"/>
      <c r="F9369" s="451"/>
      <c r="G9369" s="451" t="s">
        <v>22877</v>
      </c>
      <c r="H9369" s="451" t="s">
        <v>22878</v>
      </c>
      <c r="I9369" s="451" t="s">
        <v>28244</v>
      </c>
      <c r="J9369" s="451" t="s">
        <v>28245</v>
      </c>
      <c r="K9369" s="451"/>
    </row>
    <row r="9370" spans="1:11">
      <c r="A9370" s="450" t="s">
        <v>20314</v>
      </c>
      <c r="B9370" s="450" t="s">
        <v>20315</v>
      </c>
      <c r="C9370" s="450" t="s">
        <v>20317</v>
      </c>
      <c r="D9370" s="450" t="s">
        <v>20316</v>
      </c>
      <c r="E9370" s="450"/>
      <c r="F9370" s="450"/>
      <c r="G9370" s="450"/>
      <c r="H9370" s="450"/>
      <c r="I9370" s="450"/>
      <c r="J9370" s="450"/>
      <c r="K9370" s="450"/>
    </row>
    <row r="9371" spans="1:11">
      <c r="A9371" s="451" t="s">
        <v>28246</v>
      </c>
      <c r="B9371" s="451" t="s">
        <v>28247</v>
      </c>
      <c r="C9371" s="451" t="s">
        <v>28248</v>
      </c>
      <c r="D9371" s="451"/>
      <c r="E9371" s="451"/>
      <c r="F9371" s="451"/>
      <c r="G9371" s="451" t="s">
        <v>22877</v>
      </c>
      <c r="H9371" s="451" t="s">
        <v>22878</v>
      </c>
      <c r="I9371" s="451" t="s">
        <v>28249</v>
      </c>
      <c r="J9371" s="451" t="s">
        <v>28250</v>
      </c>
      <c r="K9371" s="451"/>
    </row>
    <row r="9372" spans="1:11">
      <c r="A9372" s="450" t="s">
        <v>21898</v>
      </c>
      <c r="B9372" s="450"/>
      <c r="C9372" s="450" t="s">
        <v>15357</v>
      </c>
      <c r="D9372" s="450"/>
      <c r="E9372" s="450"/>
      <c r="F9372" s="450"/>
      <c r="G9372" s="450"/>
      <c r="H9372" s="450"/>
      <c r="I9372" s="450"/>
      <c r="J9372" s="450"/>
      <c r="K9372" s="450"/>
    </row>
    <row r="9373" spans="1:11">
      <c r="A9373" s="451" t="s">
        <v>37817</v>
      </c>
      <c r="B9373" s="451"/>
      <c r="C9373" s="451" t="s">
        <v>37818</v>
      </c>
      <c r="D9373" s="451"/>
      <c r="E9373" s="451"/>
      <c r="F9373" s="451"/>
      <c r="G9373" s="451" t="s">
        <v>22877</v>
      </c>
      <c r="H9373" s="451" t="s">
        <v>22878</v>
      </c>
      <c r="I9373" s="451" t="s">
        <v>37819</v>
      </c>
      <c r="J9373" s="451" t="s">
        <v>22939</v>
      </c>
      <c r="K9373" s="451"/>
    </row>
    <row r="9374" spans="1:11">
      <c r="A9374" s="450" t="s">
        <v>15358</v>
      </c>
      <c r="B9374" s="450"/>
      <c r="C9374" s="450" t="s">
        <v>14818</v>
      </c>
      <c r="D9374" s="450"/>
      <c r="E9374" s="450"/>
      <c r="F9374" s="450"/>
      <c r="G9374" s="450" t="s">
        <v>22877</v>
      </c>
      <c r="H9374" s="450" t="s">
        <v>22878</v>
      </c>
      <c r="I9374" s="450" t="s">
        <v>28251</v>
      </c>
      <c r="J9374" s="450" t="s">
        <v>23121</v>
      </c>
      <c r="K9374" s="450"/>
    </row>
    <row r="9375" spans="1:11">
      <c r="A9375" s="451" t="s">
        <v>15359</v>
      </c>
      <c r="B9375" s="451" t="s">
        <v>15360</v>
      </c>
      <c r="C9375" s="451" t="s">
        <v>15361</v>
      </c>
      <c r="D9375" s="451" t="s">
        <v>15362</v>
      </c>
      <c r="E9375" s="451"/>
      <c r="F9375" s="451"/>
      <c r="G9375" s="451" t="s">
        <v>22877</v>
      </c>
      <c r="H9375" s="451" t="s">
        <v>22878</v>
      </c>
      <c r="I9375" s="451" t="s">
        <v>15362</v>
      </c>
      <c r="J9375" s="451" t="s">
        <v>37820</v>
      </c>
      <c r="K9375" s="451"/>
    </row>
    <row r="9376" spans="1:11">
      <c r="A9376" s="450" t="s">
        <v>15359</v>
      </c>
      <c r="B9376" s="450" t="s">
        <v>15360</v>
      </c>
      <c r="C9376" s="450" t="s">
        <v>15361</v>
      </c>
      <c r="D9376" s="450" t="s">
        <v>15362</v>
      </c>
      <c r="E9376" s="450" t="s">
        <v>15363</v>
      </c>
      <c r="F9376" s="450"/>
      <c r="G9376" s="450"/>
      <c r="H9376" s="450"/>
      <c r="I9376" s="450"/>
      <c r="J9376" s="450"/>
      <c r="K9376" s="450"/>
    </row>
    <row r="9377" spans="1:11">
      <c r="A9377" s="451" t="s">
        <v>15364</v>
      </c>
      <c r="B9377" s="451"/>
      <c r="C9377" s="451" t="s">
        <v>15365</v>
      </c>
      <c r="D9377" s="451"/>
      <c r="E9377" s="451"/>
      <c r="F9377" s="451"/>
      <c r="G9377" s="451" t="s">
        <v>22877</v>
      </c>
      <c r="H9377" s="451" t="s">
        <v>22878</v>
      </c>
      <c r="I9377" s="451" t="s">
        <v>28252</v>
      </c>
      <c r="J9377" s="451" t="s">
        <v>22939</v>
      </c>
      <c r="K9377" s="451"/>
    </row>
    <row r="9378" spans="1:11">
      <c r="A9378" s="450" t="s">
        <v>15366</v>
      </c>
      <c r="B9378" s="450" t="s">
        <v>15367</v>
      </c>
      <c r="C9378" s="450" t="s">
        <v>15368</v>
      </c>
      <c r="D9378" s="450" t="s">
        <v>15369</v>
      </c>
      <c r="E9378" s="450"/>
      <c r="F9378" s="450"/>
      <c r="G9378" s="450" t="s">
        <v>22882</v>
      </c>
      <c r="H9378" s="450" t="s">
        <v>22883</v>
      </c>
      <c r="I9378" s="450"/>
      <c r="J9378" s="450" t="s">
        <v>28253</v>
      </c>
      <c r="K9378" s="450"/>
    </row>
    <row r="9379" spans="1:11">
      <c r="A9379" s="451" t="s">
        <v>37821</v>
      </c>
      <c r="B9379" s="451"/>
      <c r="C9379" s="451" t="s">
        <v>6137</v>
      </c>
      <c r="D9379" s="451"/>
      <c r="E9379" s="451"/>
      <c r="F9379" s="451"/>
      <c r="G9379" s="451" t="s">
        <v>22877</v>
      </c>
      <c r="H9379" s="451" t="s">
        <v>22878</v>
      </c>
      <c r="I9379" s="451" t="s">
        <v>37822</v>
      </c>
      <c r="J9379" s="451" t="s">
        <v>22943</v>
      </c>
      <c r="K9379" s="451"/>
    </row>
    <row r="9380" spans="1:11">
      <c r="A9380" s="450" t="s">
        <v>15370</v>
      </c>
      <c r="B9380" s="450"/>
      <c r="C9380" s="450" t="s">
        <v>15371</v>
      </c>
      <c r="D9380" s="450"/>
      <c r="E9380" s="450"/>
      <c r="F9380" s="450"/>
      <c r="G9380" s="450" t="s">
        <v>22877</v>
      </c>
      <c r="H9380" s="450" t="s">
        <v>22878</v>
      </c>
      <c r="I9380" s="450" t="s">
        <v>37823</v>
      </c>
      <c r="J9380" s="450" t="s">
        <v>22939</v>
      </c>
      <c r="K9380" s="450"/>
    </row>
    <row r="9381" spans="1:11">
      <c r="A9381" s="451" t="s">
        <v>15372</v>
      </c>
      <c r="B9381" s="451"/>
      <c r="C9381" s="451" t="s">
        <v>10321</v>
      </c>
      <c r="D9381" s="451"/>
      <c r="E9381" s="451"/>
      <c r="F9381" s="451"/>
      <c r="G9381" s="451" t="s">
        <v>22882</v>
      </c>
      <c r="H9381" s="451" t="s">
        <v>22883</v>
      </c>
      <c r="I9381" s="451"/>
      <c r="J9381" s="451" t="s">
        <v>22939</v>
      </c>
      <c r="K9381" s="451"/>
    </row>
    <row r="9382" spans="1:11">
      <c r="A9382" s="450" t="s">
        <v>37824</v>
      </c>
      <c r="B9382" s="450"/>
      <c r="C9382" s="450" t="s">
        <v>15374</v>
      </c>
      <c r="D9382" s="450"/>
      <c r="E9382" s="450"/>
      <c r="F9382" s="450"/>
      <c r="G9382" s="450" t="s">
        <v>37825</v>
      </c>
      <c r="H9382" s="450" t="s">
        <v>22878</v>
      </c>
      <c r="I9382" s="450"/>
      <c r="J9382" s="450"/>
      <c r="K9382" s="450"/>
    </row>
    <row r="9383" spans="1:11">
      <c r="A9383" s="451" t="s">
        <v>15373</v>
      </c>
      <c r="B9383" s="451"/>
      <c r="C9383" s="451" t="s">
        <v>15374</v>
      </c>
      <c r="D9383" s="451"/>
      <c r="E9383" s="451"/>
      <c r="F9383" s="451"/>
      <c r="G9383" s="451"/>
      <c r="H9383" s="451"/>
      <c r="I9383" s="451"/>
      <c r="J9383" s="451"/>
      <c r="K9383" s="451"/>
    </row>
    <row r="9384" spans="1:11">
      <c r="A9384" s="450" t="s">
        <v>15375</v>
      </c>
      <c r="B9384" s="450"/>
      <c r="C9384" s="450" t="s">
        <v>14762</v>
      </c>
      <c r="D9384" s="450"/>
      <c r="E9384" s="450"/>
      <c r="F9384" s="450"/>
      <c r="G9384" s="450" t="s">
        <v>22877</v>
      </c>
      <c r="H9384" s="450" t="s">
        <v>22878</v>
      </c>
      <c r="I9384" s="450"/>
      <c r="J9384" s="450" t="s">
        <v>22939</v>
      </c>
      <c r="K9384" s="450"/>
    </row>
    <row r="9385" spans="1:11">
      <c r="A9385" s="451" t="s">
        <v>15376</v>
      </c>
      <c r="B9385" s="451"/>
      <c r="C9385" s="451" t="s">
        <v>9911</v>
      </c>
      <c r="D9385" s="451"/>
      <c r="E9385" s="451"/>
      <c r="F9385" s="451"/>
      <c r="G9385" s="451" t="s">
        <v>22877</v>
      </c>
      <c r="H9385" s="451" t="s">
        <v>22878</v>
      </c>
      <c r="I9385" s="451" t="s">
        <v>37826</v>
      </c>
      <c r="J9385" s="451" t="s">
        <v>22939</v>
      </c>
      <c r="K9385" s="451"/>
    </row>
    <row r="9386" spans="1:11">
      <c r="A9386" s="450" t="s">
        <v>21899</v>
      </c>
      <c r="B9386" s="450" t="s">
        <v>15377</v>
      </c>
      <c r="C9386" s="450" t="s">
        <v>15378</v>
      </c>
      <c r="D9386" s="450"/>
      <c r="E9386" s="450"/>
      <c r="F9386" s="450"/>
      <c r="G9386" s="450" t="s">
        <v>22877</v>
      </c>
      <c r="H9386" s="450" t="s">
        <v>22878</v>
      </c>
      <c r="I9386" s="450"/>
      <c r="J9386" s="450" t="s">
        <v>37827</v>
      </c>
      <c r="K9386" s="450"/>
    </row>
    <row r="9387" spans="1:11">
      <c r="A9387" s="451" t="s">
        <v>15379</v>
      </c>
      <c r="B9387" s="451"/>
      <c r="C9387" s="451" t="s">
        <v>1249</v>
      </c>
      <c r="D9387" s="451"/>
      <c r="E9387" s="451"/>
      <c r="F9387" s="451"/>
      <c r="G9387" s="451" t="s">
        <v>22882</v>
      </c>
      <c r="H9387" s="451" t="s">
        <v>22883</v>
      </c>
      <c r="I9387" s="451"/>
      <c r="J9387" s="451" t="s">
        <v>22939</v>
      </c>
      <c r="K9387" s="451"/>
    </row>
    <row r="9388" spans="1:11">
      <c r="A9388" s="450" t="s">
        <v>37828</v>
      </c>
      <c r="B9388" s="450"/>
      <c r="C9388" s="450" t="s">
        <v>4935</v>
      </c>
      <c r="D9388" s="450"/>
      <c r="E9388" s="450"/>
      <c r="F9388" s="450"/>
      <c r="G9388" s="450" t="s">
        <v>22877</v>
      </c>
      <c r="H9388" s="450" t="s">
        <v>22878</v>
      </c>
      <c r="I9388" s="450"/>
      <c r="J9388" s="450" t="s">
        <v>22943</v>
      </c>
      <c r="K9388" s="450"/>
    </row>
    <row r="9389" spans="1:11">
      <c r="A9389" s="451" t="s">
        <v>15380</v>
      </c>
      <c r="B9389" s="451"/>
      <c r="C9389" s="451" t="s">
        <v>4935</v>
      </c>
      <c r="D9389" s="451"/>
      <c r="E9389" s="451"/>
      <c r="F9389" s="451"/>
      <c r="G9389" s="451"/>
      <c r="H9389" s="451"/>
      <c r="I9389" s="451"/>
      <c r="J9389" s="451"/>
      <c r="K9389" s="451"/>
    </row>
    <row r="9390" spans="1:11">
      <c r="A9390" s="450" t="s">
        <v>28254</v>
      </c>
      <c r="B9390" s="450" t="s">
        <v>28255</v>
      </c>
      <c r="C9390" s="450" t="s">
        <v>28256</v>
      </c>
      <c r="D9390" s="450"/>
      <c r="E9390" s="450"/>
      <c r="F9390" s="450"/>
      <c r="G9390" s="450" t="s">
        <v>22877</v>
      </c>
      <c r="H9390" s="450" t="s">
        <v>22878</v>
      </c>
      <c r="I9390" s="450" t="s">
        <v>28257</v>
      </c>
      <c r="J9390" s="450" t="s">
        <v>28258</v>
      </c>
      <c r="K9390" s="450"/>
    </row>
    <row r="9391" spans="1:11">
      <c r="A9391" s="451" t="s">
        <v>21900</v>
      </c>
      <c r="B9391" s="451"/>
      <c r="C9391" s="451" t="s">
        <v>14858</v>
      </c>
      <c r="D9391" s="451"/>
      <c r="E9391" s="451"/>
      <c r="F9391" s="451"/>
      <c r="G9391" s="451" t="s">
        <v>23776</v>
      </c>
      <c r="H9391" s="451" t="s">
        <v>22878</v>
      </c>
      <c r="I9391" s="451"/>
      <c r="J9391" s="451"/>
      <c r="K9391" s="451"/>
    </row>
    <row r="9392" spans="1:11">
      <c r="A9392" s="450" t="s">
        <v>37829</v>
      </c>
      <c r="B9392" s="450" t="s">
        <v>37830</v>
      </c>
      <c r="C9392" s="450" t="s">
        <v>37831</v>
      </c>
      <c r="D9392" s="450" t="s">
        <v>37832</v>
      </c>
      <c r="E9392" s="450"/>
      <c r="F9392" s="450"/>
      <c r="G9392" s="450"/>
      <c r="H9392" s="450"/>
      <c r="I9392" s="450"/>
      <c r="J9392" s="450"/>
      <c r="K9392" s="450"/>
    </row>
    <row r="9393" spans="1:11">
      <c r="A9393" s="451" t="s">
        <v>22214</v>
      </c>
      <c r="B9393" s="451" t="s">
        <v>22215</v>
      </c>
      <c r="C9393" s="451" t="s">
        <v>22216</v>
      </c>
      <c r="D9393" s="451"/>
      <c r="E9393" s="451"/>
      <c r="F9393" s="451"/>
      <c r="G9393" s="451"/>
      <c r="H9393" s="451"/>
      <c r="I9393" s="451"/>
      <c r="J9393" s="451"/>
      <c r="K9393" s="451"/>
    </row>
    <row r="9394" spans="1:11">
      <c r="A9394" s="450" t="s">
        <v>30041</v>
      </c>
      <c r="B9394" s="450" t="s">
        <v>30042</v>
      </c>
      <c r="C9394" s="450" t="s">
        <v>30043</v>
      </c>
      <c r="D9394" s="450"/>
      <c r="E9394" s="450"/>
      <c r="F9394" s="450"/>
      <c r="G9394" s="450"/>
      <c r="H9394" s="450"/>
      <c r="I9394" s="450"/>
      <c r="J9394" s="450"/>
      <c r="K9394" s="450"/>
    </row>
    <row r="9395" spans="1:11">
      <c r="A9395" s="451" t="s">
        <v>37833</v>
      </c>
      <c r="B9395" s="451"/>
      <c r="C9395" s="451" t="s">
        <v>10324</v>
      </c>
      <c r="D9395" s="451"/>
      <c r="E9395" s="451"/>
      <c r="F9395" s="451"/>
      <c r="G9395" s="451" t="s">
        <v>22877</v>
      </c>
      <c r="H9395" s="451" t="s">
        <v>22878</v>
      </c>
      <c r="I9395" s="451" t="s">
        <v>37834</v>
      </c>
      <c r="J9395" s="451" t="s">
        <v>22943</v>
      </c>
      <c r="K9395" s="451"/>
    </row>
    <row r="9396" spans="1:11">
      <c r="A9396" s="450" t="s">
        <v>15381</v>
      </c>
      <c r="B9396" s="450"/>
      <c r="C9396" s="450" t="s">
        <v>10324</v>
      </c>
      <c r="D9396" s="450"/>
      <c r="E9396" s="450"/>
      <c r="F9396" s="450"/>
      <c r="G9396" s="450"/>
      <c r="H9396" s="450"/>
      <c r="I9396" s="450"/>
      <c r="J9396" s="450"/>
      <c r="K9396" s="450"/>
    </row>
    <row r="9397" spans="1:11">
      <c r="A9397" s="451" t="s">
        <v>15382</v>
      </c>
      <c r="B9397" s="451" t="s">
        <v>28259</v>
      </c>
      <c r="C9397" s="451" t="s">
        <v>13040</v>
      </c>
      <c r="D9397" s="451"/>
      <c r="E9397" s="451"/>
      <c r="F9397" s="451"/>
      <c r="G9397" s="451" t="s">
        <v>22882</v>
      </c>
      <c r="H9397" s="451" t="s">
        <v>22883</v>
      </c>
      <c r="I9397" s="451" t="s">
        <v>28260</v>
      </c>
      <c r="J9397" s="451" t="s">
        <v>28261</v>
      </c>
      <c r="K9397" s="451"/>
    </row>
    <row r="9398" spans="1:11">
      <c r="A9398" s="450" t="s">
        <v>15382</v>
      </c>
      <c r="B9398" s="450" t="s">
        <v>15383</v>
      </c>
      <c r="C9398" s="450" t="s">
        <v>13040</v>
      </c>
      <c r="D9398" s="450"/>
      <c r="E9398" s="450"/>
      <c r="F9398" s="450"/>
      <c r="G9398" s="450"/>
      <c r="H9398" s="450"/>
      <c r="I9398" s="450"/>
      <c r="J9398" s="450"/>
      <c r="K9398" s="450"/>
    </row>
    <row r="9399" spans="1:11">
      <c r="A9399" s="451" t="s">
        <v>15384</v>
      </c>
      <c r="B9399" s="451"/>
      <c r="C9399" s="451" t="s">
        <v>6137</v>
      </c>
      <c r="D9399" s="451"/>
      <c r="E9399" s="451"/>
      <c r="F9399" s="451"/>
      <c r="G9399" s="451"/>
      <c r="H9399" s="451"/>
      <c r="I9399" s="451"/>
      <c r="J9399" s="451"/>
      <c r="K9399" s="451"/>
    </row>
    <row r="9400" spans="1:11">
      <c r="A9400" s="450" t="s">
        <v>15385</v>
      </c>
      <c r="B9400" s="450" t="s">
        <v>15386</v>
      </c>
      <c r="C9400" s="450" t="s">
        <v>15387</v>
      </c>
      <c r="D9400" s="450" t="s">
        <v>5926</v>
      </c>
      <c r="E9400" s="450"/>
      <c r="F9400" s="450"/>
      <c r="G9400" s="450" t="s">
        <v>22882</v>
      </c>
      <c r="H9400" s="450" t="s">
        <v>22883</v>
      </c>
      <c r="I9400" s="450" t="s">
        <v>5926</v>
      </c>
      <c r="J9400" s="450" t="s">
        <v>37835</v>
      </c>
      <c r="K9400" s="450"/>
    </row>
    <row r="9401" spans="1:11">
      <c r="A9401" s="451" t="s">
        <v>15385</v>
      </c>
      <c r="B9401" s="451" t="s">
        <v>15386</v>
      </c>
      <c r="C9401" s="451" t="s">
        <v>15387</v>
      </c>
      <c r="D9401" s="451" t="s">
        <v>5926</v>
      </c>
      <c r="E9401" s="451" t="s">
        <v>5927</v>
      </c>
      <c r="F9401" s="451"/>
      <c r="G9401" s="451"/>
      <c r="H9401" s="451"/>
      <c r="I9401" s="451"/>
      <c r="J9401" s="451"/>
      <c r="K9401" s="451"/>
    </row>
    <row r="9402" spans="1:11">
      <c r="A9402" s="450" t="s">
        <v>37836</v>
      </c>
      <c r="B9402" s="450"/>
      <c r="C9402" s="450" t="s">
        <v>15389</v>
      </c>
      <c r="D9402" s="450"/>
      <c r="E9402" s="450"/>
      <c r="F9402" s="450"/>
      <c r="G9402" s="450" t="s">
        <v>22877</v>
      </c>
      <c r="H9402" s="450" t="s">
        <v>22878</v>
      </c>
      <c r="I9402" s="450" t="s">
        <v>37837</v>
      </c>
      <c r="J9402" s="450" t="s">
        <v>22943</v>
      </c>
      <c r="K9402" s="450"/>
    </row>
    <row r="9403" spans="1:11">
      <c r="A9403" s="451" t="s">
        <v>15388</v>
      </c>
      <c r="B9403" s="451"/>
      <c r="C9403" s="451" t="s">
        <v>15389</v>
      </c>
      <c r="D9403" s="451"/>
      <c r="E9403" s="451"/>
      <c r="F9403" s="451"/>
      <c r="G9403" s="451"/>
      <c r="H9403" s="451"/>
      <c r="I9403" s="451"/>
      <c r="J9403" s="451"/>
      <c r="K9403" s="451"/>
    </row>
    <row r="9404" spans="1:11">
      <c r="A9404" s="450" t="s">
        <v>15390</v>
      </c>
      <c r="B9404" s="450"/>
      <c r="C9404" s="450" t="s">
        <v>15391</v>
      </c>
      <c r="D9404" s="450"/>
      <c r="E9404" s="450"/>
      <c r="F9404" s="450"/>
      <c r="G9404" s="450"/>
      <c r="H9404" s="450"/>
      <c r="I9404" s="450"/>
      <c r="J9404" s="450"/>
      <c r="K9404" s="450"/>
    </row>
    <row r="9405" spans="1:11">
      <c r="A9405" s="451" t="s">
        <v>37838</v>
      </c>
      <c r="B9405" s="451"/>
      <c r="C9405" s="451" t="s">
        <v>37839</v>
      </c>
      <c r="D9405" s="451"/>
      <c r="E9405" s="451"/>
      <c r="F9405" s="451"/>
      <c r="G9405" s="451" t="s">
        <v>22877</v>
      </c>
      <c r="H9405" s="451" t="s">
        <v>22878</v>
      </c>
      <c r="I9405" s="451" t="s">
        <v>37840</v>
      </c>
      <c r="J9405" s="451" t="s">
        <v>22939</v>
      </c>
      <c r="K9405" s="451"/>
    </row>
    <row r="9406" spans="1:11">
      <c r="A9406" s="450" t="s">
        <v>15392</v>
      </c>
      <c r="B9406" s="450"/>
      <c r="C9406" s="450" t="s">
        <v>10618</v>
      </c>
      <c r="D9406" s="450"/>
      <c r="E9406" s="450"/>
      <c r="F9406" s="450"/>
      <c r="G9406" s="450"/>
      <c r="H9406" s="450"/>
      <c r="I9406" s="450"/>
      <c r="J9406" s="450"/>
      <c r="K9406" s="450"/>
    </row>
    <row r="9407" spans="1:11">
      <c r="A9407" s="451" t="s">
        <v>15393</v>
      </c>
      <c r="B9407" s="451"/>
      <c r="C9407" s="451" t="s">
        <v>8628</v>
      </c>
      <c r="D9407" s="451"/>
      <c r="E9407" s="451"/>
      <c r="F9407" s="451"/>
      <c r="G9407" s="451" t="s">
        <v>37841</v>
      </c>
      <c r="H9407" s="451" t="s">
        <v>22878</v>
      </c>
      <c r="I9407" s="451"/>
      <c r="J9407" s="451"/>
      <c r="K9407" s="451"/>
    </row>
    <row r="9408" spans="1:11">
      <c r="A9408" s="450" t="s">
        <v>15394</v>
      </c>
      <c r="B9408" s="450"/>
      <c r="C9408" s="450" t="s">
        <v>9860</v>
      </c>
      <c r="D9408" s="450"/>
      <c r="E9408" s="450"/>
      <c r="F9408" s="450"/>
      <c r="G9408" s="450" t="s">
        <v>22877</v>
      </c>
      <c r="H9408" s="450" t="s">
        <v>22878</v>
      </c>
      <c r="I9408" s="450" t="s">
        <v>37842</v>
      </c>
      <c r="J9408" s="450" t="s">
        <v>22939</v>
      </c>
      <c r="K9408" s="450"/>
    </row>
    <row r="9409" spans="1:11">
      <c r="A9409" s="451" t="s">
        <v>28262</v>
      </c>
      <c r="B9409" s="451"/>
      <c r="C9409" s="451" t="s">
        <v>10618</v>
      </c>
      <c r="D9409" s="451"/>
      <c r="E9409" s="451"/>
      <c r="F9409" s="451"/>
      <c r="G9409" s="451" t="s">
        <v>22877</v>
      </c>
      <c r="H9409" s="451" t="s">
        <v>22878</v>
      </c>
      <c r="I9409" s="451" t="s">
        <v>28263</v>
      </c>
      <c r="J9409" s="451" t="s">
        <v>22943</v>
      </c>
      <c r="K9409" s="451"/>
    </row>
    <row r="9410" spans="1:11">
      <c r="A9410" s="450" t="s">
        <v>30044</v>
      </c>
      <c r="B9410" s="450" t="s">
        <v>30045</v>
      </c>
      <c r="C9410" s="450" t="s">
        <v>8163</v>
      </c>
      <c r="D9410" s="450"/>
      <c r="E9410" s="450"/>
      <c r="F9410" s="450"/>
      <c r="G9410" s="450"/>
      <c r="H9410" s="450"/>
      <c r="I9410" s="450"/>
      <c r="J9410" s="450"/>
      <c r="K9410" s="450"/>
    </row>
    <row r="9411" spans="1:11">
      <c r="A9411" s="451" t="s">
        <v>15395</v>
      </c>
      <c r="B9411" s="451"/>
      <c r="C9411" s="451" t="s">
        <v>15396</v>
      </c>
      <c r="D9411" s="451"/>
      <c r="E9411" s="451"/>
      <c r="F9411" s="451"/>
      <c r="G9411" s="451" t="s">
        <v>22877</v>
      </c>
      <c r="H9411" s="451" t="s">
        <v>22878</v>
      </c>
      <c r="I9411" s="451" t="s">
        <v>28264</v>
      </c>
      <c r="J9411" s="451" t="s">
        <v>22939</v>
      </c>
      <c r="K9411" s="451"/>
    </row>
    <row r="9412" spans="1:11">
      <c r="A9412" s="450" t="s">
        <v>21901</v>
      </c>
      <c r="B9412" s="450" t="s">
        <v>15397</v>
      </c>
      <c r="C9412" s="450" t="s">
        <v>15398</v>
      </c>
      <c r="D9412" s="450" t="s">
        <v>15399</v>
      </c>
      <c r="E9412" s="450"/>
      <c r="F9412" s="450"/>
      <c r="G9412" s="450" t="s">
        <v>22877</v>
      </c>
      <c r="H9412" s="450" t="s">
        <v>22878</v>
      </c>
      <c r="I9412" s="450" t="s">
        <v>15399</v>
      </c>
      <c r="J9412" s="450" t="s">
        <v>28265</v>
      </c>
      <c r="K9412" s="450"/>
    </row>
    <row r="9413" spans="1:11">
      <c r="A9413" s="451" t="s">
        <v>15400</v>
      </c>
      <c r="B9413" s="451"/>
      <c r="C9413" s="451" t="s">
        <v>15401</v>
      </c>
      <c r="D9413" s="451"/>
      <c r="E9413" s="451"/>
      <c r="F9413" s="451"/>
      <c r="G9413" s="451" t="s">
        <v>22882</v>
      </c>
      <c r="H9413" s="451" t="s">
        <v>22883</v>
      </c>
      <c r="I9413" s="451" t="s">
        <v>28266</v>
      </c>
      <c r="J9413" s="451" t="s">
        <v>22939</v>
      </c>
      <c r="K9413" s="451"/>
    </row>
    <row r="9414" spans="1:11">
      <c r="A9414" s="450" t="s">
        <v>28267</v>
      </c>
      <c r="B9414" s="450" t="s">
        <v>28268</v>
      </c>
      <c r="C9414" s="450" t="s">
        <v>15404</v>
      </c>
      <c r="D9414" s="450"/>
      <c r="E9414" s="450"/>
      <c r="F9414" s="450"/>
      <c r="G9414" s="450" t="s">
        <v>22877</v>
      </c>
      <c r="H9414" s="450" t="s">
        <v>22878</v>
      </c>
      <c r="I9414" s="450" t="s">
        <v>28269</v>
      </c>
      <c r="J9414" s="450" t="s">
        <v>28270</v>
      </c>
      <c r="K9414" s="450"/>
    </row>
    <row r="9415" spans="1:11">
      <c r="A9415" s="451" t="s">
        <v>15402</v>
      </c>
      <c r="B9415" s="451" t="s">
        <v>15403</v>
      </c>
      <c r="C9415" s="451" t="s">
        <v>15404</v>
      </c>
      <c r="D9415" s="451"/>
      <c r="E9415" s="451"/>
      <c r="F9415" s="451"/>
      <c r="G9415" s="451"/>
      <c r="H9415" s="451"/>
      <c r="I9415" s="451"/>
      <c r="J9415" s="451"/>
      <c r="K9415" s="451"/>
    </row>
    <row r="9416" spans="1:11">
      <c r="A9416" s="450" t="s">
        <v>15405</v>
      </c>
      <c r="B9416" s="450"/>
      <c r="C9416" s="450" t="s">
        <v>15406</v>
      </c>
      <c r="D9416" s="450"/>
      <c r="E9416" s="450"/>
      <c r="F9416" s="450"/>
      <c r="G9416" s="450" t="s">
        <v>22882</v>
      </c>
      <c r="H9416" s="450" t="s">
        <v>22883</v>
      </c>
      <c r="I9416" s="450" t="s">
        <v>37843</v>
      </c>
      <c r="J9416" s="450" t="s">
        <v>23121</v>
      </c>
      <c r="K9416" s="450"/>
    </row>
    <row r="9417" spans="1:11">
      <c r="A9417" s="451" t="s">
        <v>21902</v>
      </c>
      <c r="B9417" s="451"/>
      <c r="C9417" s="451" t="s">
        <v>8393</v>
      </c>
      <c r="D9417" s="451"/>
      <c r="E9417" s="451"/>
      <c r="F9417" s="451"/>
      <c r="G9417" s="451" t="s">
        <v>22877</v>
      </c>
      <c r="H9417" s="451" t="s">
        <v>22878</v>
      </c>
      <c r="I9417" s="451"/>
      <c r="J9417" s="451" t="s">
        <v>22939</v>
      </c>
      <c r="K9417" s="451"/>
    </row>
    <row r="9418" spans="1:11">
      <c r="A9418" s="450" t="s">
        <v>21903</v>
      </c>
      <c r="B9418" s="450"/>
      <c r="C9418" s="450" t="s">
        <v>3943</v>
      </c>
      <c r="D9418" s="450"/>
      <c r="E9418" s="450"/>
      <c r="F9418" s="450"/>
      <c r="G9418" s="450" t="s">
        <v>22877</v>
      </c>
      <c r="H9418" s="450" t="s">
        <v>22878</v>
      </c>
      <c r="I9418" s="450" t="s">
        <v>37844</v>
      </c>
      <c r="J9418" s="450" t="s">
        <v>22939</v>
      </c>
      <c r="K9418" s="450"/>
    </row>
    <row r="9419" spans="1:11">
      <c r="A9419" s="451" t="s">
        <v>37845</v>
      </c>
      <c r="B9419" s="451"/>
      <c r="C9419" s="451" t="s">
        <v>5551</v>
      </c>
      <c r="D9419" s="451"/>
      <c r="E9419" s="451"/>
      <c r="F9419" s="451"/>
      <c r="G9419" s="451" t="s">
        <v>22877</v>
      </c>
      <c r="H9419" s="451" t="s">
        <v>22878</v>
      </c>
      <c r="I9419" s="451" t="s">
        <v>37846</v>
      </c>
      <c r="J9419" s="451" t="s">
        <v>23121</v>
      </c>
      <c r="K9419" s="451"/>
    </row>
    <row r="9420" spans="1:11">
      <c r="A9420" s="450" t="s">
        <v>15407</v>
      </c>
      <c r="B9420" s="450"/>
      <c r="C9420" s="450" t="s">
        <v>5551</v>
      </c>
      <c r="D9420" s="450"/>
      <c r="E9420" s="450"/>
      <c r="F9420" s="450"/>
      <c r="G9420" s="450"/>
      <c r="H9420" s="450"/>
      <c r="I9420" s="450"/>
      <c r="J9420" s="450"/>
      <c r="K9420" s="450"/>
    </row>
    <row r="9421" spans="1:11">
      <c r="A9421" s="451" t="s">
        <v>15408</v>
      </c>
      <c r="B9421" s="451"/>
      <c r="C9421" s="451" t="s">
        <v>8126</v>
      </c>
      <c r="D9421" s="451"/>
      <c r="E9421" s="451"/>
      <c r="F9421" s="451"/>
      <c r="G9421" s="451" t="s">
        <v>22877</v>
      </c>
      <c r="H9421" s="451" t="s">
        <v>22878</v>
      </c>
      <c r="I9421" s="451" t="s">
        <v>37847</v>
      </c>
      <c r="J9421" s="451" t="s">
        <v>22939</v>
      </c>
      <c r="K9421" s="451"/>
    </row>
    <row r="9422" spans="1:11">
      <c r="A9422" s="450" t="s">
        <v>22140</v>
      </c>
      <c r="B9422" s="450" t="s">
        <v>22141</v>
      </c>
      <c r="C9422" s="450" t="s">
        <v>22142</v>
      </c>
      <c r="D9422" s="450"/>
      <c r="E9422" s="450"/>
      <c r="F9422" s="450"/>
      <c r="G9422" s="450" t="s">
        <v>37848</v>
      </c>
      <c r="H9422" s="450" t="s">
        <v>22878</v>
      </c>
      <c r="I9422" s="450"/>
      <c r="J9422" s="450" t="s">
        <v>37849</v>
      </c>
      <c r="K9422" s="450"/>
    </row>
    <row r="9423" spans="1:11">
      <c r="A9423" s="451" t="s">
        <v>15409</v>
      </c>
      <c r="B9423" s="451"/>
      <c r="C9423" s="451" t="s">
        <v>4524</v>
      </c>
      <c r="D9423" s="451"/>
      <c r="E9423" s="451"/>
      <c r="F9423" s="451"/>
      <c r="G9423" s="451" t="s">
        <v>37850</v>
      </c>
      <c r="H9423" s="451" t="s">
        <v>22878</v>
      </c>
      <c r="I9423" s="451"/>
      <c r="J9423" s="451"/>
      <c r="K9423" s="451"/>
    </row>
    <row r="9424" spans="1:11">
      <c r="A9424" s="450" t="s">
        <v>15410</v>
      </c>
      <c r="B9424" s="450"/>
      <c r="C9424" s="450" t="s">
        <v>13960</v>
      </c>
      <c r="D9424" s="450"/>
      <c r="E9424" s="450"/>
      <c r="F9424" s="450"/>
      <c r="G9424" s="450" t="s">
        <v>22882</v>
      </c>
      <c r="H9424" s="450" t="s">
        <v>22883</v>
      </c>
      <c r="I9424" s="450"/>
      <c r="J9424" s="450" t="s">
        <v>22939</v>
      </c>
      <c r="K9424" s="450"/>
    </row>
    <row r="9425" spans="1:11">
      <c r="A9425" s="451" t="s">
        <v>15411</v>
      </c>
      <c r="B9425" s="451"/>
      <c r="C9425" s="451" t="s">
        <v>15412</v>
      </c>
      <c r="D9425" s="451"/>
      <c r="E9425" s="451"/>
      <c r="F9425" s="451"/>
      <c r="G9425" s="451" t="s">
        <v>22877</v>
      </c>
      <c r="H9425" s="451" t="s">
        <v>22878</v>
      </c>
      <c r="I9425" s="451" t="s">
        <v>37851</v>
      </c>
      <c r="J9425" s="451" t="s">
        <v>22943</v>
      </c>
      <c r="K9425" s="451"/>
    </row>
    <row r="9426" spans="1:11">
      <c r="A9426" s="450" t="s">
        <v>15413</v>
      </c>
      <c r="B9426" s="450"/>
      <c r="C9426" s="450" t="s">
        <v>15414</v>
      </c>
      <c r="D9426" s="450"/>
      <c r="E9426" s="450"/>
      <c r="F9426" s="450"/>
      <c r="G9426" s="450" t="s">
        <v>22882</v>
      </c>
      <c r="H9426" s="450" t="s">
        <v>22883</v>
      </c>
      <c r="I9426" s="450" t="s">
        <v>37852</v>
      </c>
      <c r="J9426" s="450" t="s">
        <v>22939</v>
      </c>
      <c r="K9426" s="450"/>
    </row>
    <row r="9427" spans="1:11">
      <c r="A9427" s="451" t="s">
        <v>15415</v>
      </c>
      <c r="B9427" s="451"/>
      <c r="C9427" s="451" t="s">
        <v>15416</v>
      </c>
      <c r="D9427" s="451"/>
      <c r="E9427" s="451"/>
      <c r="F9427" s="451"/>
      <c r="G9427" s="451" t="s">
        <v>22882</v>
      </c>
      <c r="H9427" s="451" t="s">
        <v>22883</v>
      </c>
      <c r="I9427" s="451"/>
      <c r="J9427" s="451" t="s">
        <v>23121</v>
      </c>
      <c r="K9427" s="451"/>
    </row>
    <row r="9428" spans="1:11">
      <c r="A9428" s="450" t="s">
        <v>15417</v>
      </c>
      <c r="B9428" s="450" t="s">
        <v>15418</v>
      </c>
      <c r="C9428" s="450" t="s">
        <v>15419</v>
      </c>
      <c r="D9428" s="450"/>
      <c r="E9428" s="450"/>
      <c r="F9428" s="450" t="s">
        <v>21395</v>
      </c>
      <c r="G9428" s="450" t="s">
        <v>22877</v>
      </c>
      <c r="H9428" s="450" t="s">
        <v>22878</v>
      </c>
      <c r="I9428" s="450" t="s">
        <v>28271</v>
      </c>
      <c r="J9428" s="450" t="s">
        <v>28272</v>
      </c>
      <c r="K9428" s="450"/>
    </row>
    <row r="9429" spans="1:11">
      <c r="A9429" s="451" t="s">
        <v>37853</v>
      </c>
      <c r="B9429" s="451" t="s">
        <v>15420</v>
      </c>
      <c r="C9429" s="451" t="s">
        <v>15421</v>
      </c>
      <c r="D9429" s="451" t="s">
        <v>15422</v>
      </c>
      <c r="E9429" s="451"/>
      <c r="F9429" s="451"/>
      <c r="G9429" s="451" t="s">
        <v>22882</v>
      </c>
      <c r="H9429" s="451" t="s">
        <v>22883</v>
      </c>
      <c r="I9429" s="451"/>
      <c r="J9429" s="451" t="s">
        <v>37854</v>
      </c>
      <c r="K9429" s="451"/>
    </row>
    <row r="9430" spans="1:11">
      <c r="A9430" s="450" t="s">
        <v>21904</v>
      </c>
      <c r="B9430" s="450" t="s">
        <v>15420</v>
      </c>
      <c r="C9430" s="450" t="s">
        <v>15421</v>
      </c>
      <c r="D9430" s="450" t="s">
        <v>15422</v>
      </c>
      <c r="E9430" s="450"/>
      <c r="F9430" s="450"/>
      <c r="G9430" s="450"/>
      <c r="H9430" s="450"/>
      <c r="I9430" s="450"/>
      <c r="J9430" s="450"/>
      <c r="K9430" s="450"/>
    </row>
    <row r="9431" spans="1:11">
      <c r="A9431" s="451" t="s">
        <v>15423</v>
      </c>
      <c r="B9431" s="451"/>
      <c r="C9431" s="451" t="s">
        <v>15424</v>
      </c>
      <c r="D9431" s="451"/>
      <c r="E9431" s="451"/>
      <c r="F9431" s="451"/>
      <c r="G9431" s="451" t="s">
        <v>22882</v>
      </c>
      <c r="H9431" s="451" t="s">
        <v>22883</v>
      </c>
      <c r="I9431" s="451"/>
      <c r="J9431" s="451" t="s">
        <v>22943</v>
      </c>
      <c r="K9431" s="451"/>
    </row>
    <row r="9432" spans="1:11">
      <c r="A9432" s="450" t="s">
        <v>15425</v>
      </c>
      <c r="B9432" s="450"/>
      <c r="C9432" s="450" t="s">
        <v>15426</v>
      </c>
      <c r="D9432" s="450"/>
      <c r="E9432" s="450"/>
      <c r="F9432" s="450"/>
      <c r="G9432" s="450"/>
      <c r="H9432" s="450"/>
      <c r="I9432" s="450"/>
      <c r="J9432" s="450"/>
      <c r="K9432" s="450"/>
    </row>
    <row r="9433" spans="1:11">
      <c r="A9433" s="451" t="s">
        <v>37855</v>
      </c>
      <c r="B9433" s="451"/>
      <c r="C9433" s="451" t="s">
        <v>15426</v>
      </c>
      <c r="D9433" s="451"/>
      <c r="E9433" s="451"/>
      <c r="F9433" s="451"/>
      <c r="G9433" s="451" t="s">
        <v>22877</v>
      </c>
      <c r="H9433" s="451" t="s">
        <v>22878</v>
      </c>
      <c r="I9433" s="451" t="s">
        <v>37856</v>
      </c>
      <c r="J9433" s="451" t="s">
        <v>22943</v>
      </c>
      <c r="K9433" s="451"/>
    </row>
    <row r="9434" spans="1:11">
      <c r="A9434" s="450" t="s">
        <v>37857</v>
      </c>
      <c r="B9434" s="450"/>
      <c r="C9434" s="450" t="s">
        <v>15428</v>
      </c>
      <c r="D9434" s="450"/>
      <c r="E9434" s="450"/>
      <c r="F9434" s="450"/>
      <c r="G9434" s="450" t="s">
        <v>22877</v>
      </c>
      <c r="H9434" s="450" t="s">
        <v>22878</v>
      </c>
      <c r="I9434" s="450" t="s">
        <v>37858</v>
      </c>
      <c r="J9434" s="450" t="s">
        <v>37859</v>
      </c>
      <c r="K9434" s="450"/>
    </row>
    <row r="9435" spans="1:11">
      <c r="A9435" s="451" t="s">
        <v>15427</v>
      </c>
      <c r="B9435" s="451"/>
      <c r="C9435" s="451" t="s">
        <v>15428</v>
      </c>
      <c r="D9435" s="451"/>
      <c r="E9435" s="451"/>
      <c r="F9435" s="451"/>
      <c r="G9435" s="451"/>
      <c r="H9435" s="451"/>
      <c r="I9435" s="451"/>
      <c r="J9435" s="451"/>
      <c r="K9435" s="451"/>
    </row>
    <row r="9436" spans="1:11">
      <c r="A9436" s="450" t="s">
        <v>15429</v>
      </c>
      <c r="B9436" s="450"/>
      <c r="C9436" s="450" t="s">
        <v>6963</v>
      </c>
      <c r="D9436" s="450"/>
      <c r="E9436" s="450"/>
      <c r="F9436" s="450"/>
      <c r="G9436" s="450"/>
      <c r="H9436" s="450"/>
      <c r="I9436" s="450"/>
      <c r="J9436" s="450"/>
      <c r="K9436" s="450"/>
    </row>
    <row r="9437" spans="1:11">
      <c r="A9437" s="451" t="s">
        <v>28273</v>
      </c>
      <c r="B9437" s="451"/>
      <c r="C9437" s="451" t="s">
        <v>6963</v>
      </c>
      <c r="D9437" s="451"/>
      <c r="E9437" s="451"/>
      <c r="F9437" s="451"/>
      <c r="G9437" s="451" t="s">
        <v>22877</v>
      </c>
      <c r="H9437" s="451" t="s">
        <v>22878</v>
      </c>
      <c r="I9437" s="451"/>
      <c r="J9437" s="451" t="s">
        <v>23370</v>
      </c>
      <c r="K9437" s="451"/>
    </row>
    <row r="9438" spans="1:11">
      <c r="A9438" s="450" t="s">
        <v>15430</v>
      </c>
      <c r="B9438" s="450" t="s">
        <v>15431</v>
      </c>
      <c r="C9438" s="450" t="s">
        <v>15432</v>
      </c>
      <c r="D9438" s="450" t="s">
        <v>15433</v>
      </c>
      <c r="E9438" s="450"/>
      <c r="F9438" s="450"/>
      <c r="G9438" s="450" t="s">
        <v>22882</v>
      </c>
      <c r="H9438" s="450" t="s">
        <v>22883</v>
      </c>
      <c r="I9438" s="450" t="s">
        <v>37860</v>
      </c>
      <c r="J9438" s="450" t="s">
        <v>37861</v>
      </c>
      <c r="K9438" s="450"/>
    </row>
    <row r="9439" spans="1:11">
      <c r="A9439" s="451" t="s">
        <v>15430</v>
      </c>
      <c r="B9439" s="451" t="s">
        <v>15431</v>
      </c>
      <c r="C9439" s="451" t="s">
        <v>15432</v>
      </c>
      <c r="D9439" s="451" t="s">
        <v>15433</v>
      </c>
      <c r="E9439" s="451" t="s">
        <v>15434</v>
      </c>
      <c r="F9439" s="451"/>
      <c r="G9439" s="451"/>
      <c r="H9439" s="451"/>
      <c r="I9439" s="451"/>
      <c r="J9439" s="451"/>
      <c r="K9439" s="451"/>
    </row>
    <row r="9440" spans="1:11">
      <c r="A9440" s="450" t="s">
        <v>28274</v>
      </c>
      <c r="B9440" s="450" t="s">
        <v>28275</v>
      </c>
      <c r="C9440" s="450" t="s">
        <v>15437</v>
      </c>
      <c r="D9440" s="450"/>
      <c r="E9440" s="450"/>
      <c r="F9440" s="450"/>
      <c r="G9440" s="450" t="s">
        <v>22877</v>
      </c>
      <c r="H9440" s="450" t="s">
        <v>22878</v>
      </c>
      <c r="I9440" s="450" t="s">
        <v>28276</v>
      </c>
      <c r="J9440" s="450" t="s">
        <v>28277</v>
      </c>
      <c r="K9440" s="450"/>
    </row>
    <row r="9441" spans="1:11">
      <c r="A9441" s="451" t="s">
        <v>15435</v>
      </c>
      <c r="B9441" s="451" t="s">
        <v>15436</v>
      </c>
      <c r="C9441" s="451" t="s">
        <v>15437</v>
      </c>
      <c r="D9441" s="451"/>
      <c r="E9441" s="451"/>
      <c r="F9441" s="451"/>
      <c r="G9441" s="451"/>
      <c r="H9441" s="451"/>
      <c r="I9441" s="451"/>
      <c r="J9441" s="451"/>
      <c r="K9441" s="451"/>
    </row>
    <row r="9442" spans="1:11">
      <c r="A9442" s="450" t="s">
        <v>37862</v>
      </c>
      <c r="B9442" s="450" t="s">
        <v>15439</v>
      </c>
      <c r="C9442" s="450" t="s">
        <v>4073</v>
      </c>
      <c r="D9442" s="450" t="s">
        <v>15440</v>
      </c>
      <c r="E9442" s="450"/>
      <c r="F9442" s="450"/>
      <c r="G9442" s="450" t="s">
        <v>22882</v>
      </c>
      <c r="H9442" s="450" t="s">
        <v>22883</v>
      </c>
      <c r="I9442" s="450"/>
      <c r="J9442" s="450" t="s">
        <v>37863</v>
      </c>
      <c r="K9442" s="450"/>
    </row>
    <row r="9443" spans="1:11">
      <c r="A9443" s="451" t="s">
        <v>15438</v>
      </c>
      <c r="B9443" s="451" t="s">
        <v>15439</v>
      </c>
      <c r="C9443" s="451" t="s">
        <v>4073</v>
      </c>
      <c r="D9443" s="451" t="s">
        <v>15440</v>
      </c>
      <c r="E9443" s="451"/>
      <c r="F9443" s="451"/>
      <c r="G9443" s="451"/>
      <c r="H9443" s="451"/>
      <c r="I9443" s="451"/>
      <c r="J9443" s="451"/>
      <c r="K9443" s="451"/>
    </row>
    <row r="9444" spans="1:11">
      <c r="A9444" s="450" t="s">
        <v>37864</v>
      </c>
      <c r="B9444" s="450"/>
      <c r="C9444" s="450" t="s">
        <v>15442</v>
      </c>
      <c r="D9444" s="450"/>
      <c r="E9444" s="450"/>
      <c r="F9444" s="450"/>
      <c r="G9444" s="450" t="s">
        <v>22991</v>
      </c>
      <c r="H9444" s="450" t="s">
        <v>22878</v>
      </c>
      <c r="I9444" s="450"/>
      <c r="J9444" s="450"/>
      <c r="K9444" s="450"/>
    </row>
    <row r="9445" spans="1:11">
      <c r="A9445" s="451" t="s">
        <v>15441</v>
      </c>
      <c r="B9445" s="451"/>
      <c r="C9445" s="451" t="s">
        <v>15442</v>
      </c>
      <c r="D9445" s="451"/>
      <c r="E9445" s="451"/>
      <c r="F9445" s="451"/>
      <c r="G9445" s="451"/>
      <c r="H9445" s="451"/>
      <c r="I9445" s="451"/>
      <c r="J9445" s="451"/>
      <c r="K9445" s="451"/>
    </row>
    <row r="9446" spans="1:11">
      <c r="A9446" s="450" t="s">
        <v>37865</v>
      </c>
      <c r="B9446" s="450"/>
      <c r="C9446" s="450" t="s">
        <v>10229</v>
      </c>
      <c r="D9446" s="450"/>
      <c r="E9446" s="450"/>
      <c r="F9446" s="450"/>
      <c r="G9446" s="450" t="s">
        <v>22877</v>
      </c>
      <c r="H9446" s="450" t="s">
        <v>22878</v>
      </c>
      <c r="I9446" s="450" t="s">
        <v>37866</v>
      </c>
      <c r="J9446" s="450" t="s">
        <v>23179</v>
      </c>
      <c r="K9446" s="450"/>
    </row>
    <row r="9447" spans="1:11">
      <c r="A9447" s="451" t="s">
        <v>15443</v>
      </c>
      <c r="B9447" s="451"/>
      <c r="C9447" s="451" t="s">
        <v>10229</v>
      </c>
      <c r="D9447" s="451"/>
      <c r="E9447" s="451"/>
      <c r="F9447" s="451"/>
      <c r="G9447" s="451"/>
      <c r="H9447" s="451"/>
      <c r="I9447" s="451"/>
      <c r="J9447" s="451"/>
      <c r="K9447" s="451"/>
    </row>
    <row r="9448" spans="1:11">
      <c r="A9448" s="450" t="s">
        <v>15444</v>
      </c>
      <c r="B9448" s="450"/>
      <c r="C9448" s="450" t="s">
        <v>15445</v>
      </c>
      <c r="D9448" s="450"/>
      <c r="E9448" s="450"/>
      <c r="F9448" s="450"/>
      <c r="G9448" s="450" t="s">
        <v>22877</v>
      </c>
      <c r="H9448" s="450" t="s">
        <v>22878</v>
      </c>
      <c r="I9448" s="450" t="s">
        <v>28278</v>
      </c>
      <c r="J9448" s="450" t="s">
        <v>23370</v>
      </c>
      <c r="K9448" s="450"/>
    </row>
    <row r="9449" spans="1:11">
      <c r="A9449" s="451" t="s">
        <v>15446</v>
      </c>
      <c r="B9449" s="451" t="s">
        <v>15447</v>
      </c>
      <c r="C9449" s="451" t="s">
        <v>15448</v>
      </c>
      <c r="D9449" s="451" t="s">
        <v>15449</v>
      </c>
      <c r="E9449" s="451"/>
      <c r="F9449" s="451"/>
      <c r="G9449" s="451"/>
      <c r="H9449" s="451"/>
      <c r="I9449" s="451"/>
      <c r="J9449" s="451"/>
      <c r="K9449" s="451"/>
    </row>
    <row r="9450" spans="1:11">
      <c r="A9450" s="450" t="s">
        <v>28279</v>
      </c>
      <c r="B9450" s="450" t="s">
        <v>15447</v>
      </c>
      <c r="C9450" s="450" t="s">
        <v>15448</v>
      </c>
      <c r="D9450" s="450" t="s">
        <v>15449</v>
      </c>
      <c r="E9450" s="450"/>
      <c r="F9450" s="450"/>
      <c r="G9450" s="450" t="s">
        <v>22877</v>
      </c>
      <c r="H9450" s="450" t="s">
        <v>22878</v>
      </c>
      <c r="I9450" s="450" t="s">
        <v>28280</v>
      </c>
      <c r="J9450" s="450" t="s">
        <v>28281</v>
      </c>
      <c r="K9450" s="450"/>
    </row>
    <row r="9451" spans="1:11">
      <c r="A9451" s="451" t="s">
        <v>15457</v>
      </c>
      <c r="B9451" s="451"/>
      <c r="C9451" s="451"/>
      <c r="D9451" s="451"/>
      <c r="E9451" s="451"/>
      <c r="F9451" s="451"/>
      <c r="G9451" s="451" t="s">
        <v>22877</v>
      </c>
      <c r="H9451" s="451" t="s">
        <v>22878</v>
      </c>
      <c r="I9451" s="451" t="s">
        <v>37867</v>
      </c>
      <c r="J9451" s="451" t="s">
        <v>23370</v>
      </c>
      <c r="K9451" s="451"/>
    </row>
    <row r="9452" spans="1:11">
      <c r="A9452" s="450" t="s">
        <v>37868</v>
      </c>
      <c r="B9452" s="450"/>
      <c r="C9452" s="450" t="s">
        <v>15459</v>
      </c>
      <c r="D9452" s="450"/>
      <c r="E9452" s="450"/>
      <c r="F9452" s="450"/>
      <c r="G9452" s="450" t="s">
        <v>22877</v>
      </c>
      <c r="H9452" s="450" t="s">
        <v>22878</v>
      </c>
      <c r="I9452" s="450" t="s">
        <v>37869</v>
      </c>
      <c r="J9452" s="450" t="s">
        <v>22939</v>
      </c>
      <c r="K9452" s="450"/>
    </row>
    <row r="9453" spans="1:11">
      <c r="A9453" s="451" t="s">
        <v>15458</v>
      </c>
      <c r="B9453" s="451"/>
      <c r="C9453" s="451" t="s">
        <v>15459</v>
      </c>
      <c r="D9453" s="451"/>
      <c r="E9453" s="451"/>
      <c r="F9453" s="451"/>
      <c r="G9453" s="451"/>
      <c r="H9453" s="451"/>
      <c r="I9453" s="451"/>
      <c r="J9453" s="451"/>
      <c r="K9453" s="451"/>
    </row>
    <row r="9454" spans="1:11">
      <c r="A9454" s="450" t="s">
        <v>15460</v>
      </c>
      <c r="B9454" s="450"/>
      <c r="C9454" s="450" t="s">
        <v>15461</v>
      </c>
      <c r="D9454" s="450"/>
      <c r="E9454" s="450"/>
      <c r="F9454" s="450"/>
      <c r="G9454" s="450" t="s">
        <v>22882</v>
      </c>
      <c r="H9454" s="450" t="s">
        <v>22883</v>
      </c>
      <c r="I9454" s="450"/>
      <c r="J9454" s="450" t="s">
        <v>22943</v>
      </c>
      <c r="K9454" s="450"/>
    </row>
    <row r="9455" spans="1:11">
      <c r="A9455" s="451" t="s">
        <v>28282</v>
      </c>
      <c r="B9455" s="451" t="s">
        <v>28283</v>
      </c>
      <c r="C9455" s="451" t="s">
        <v>28284</v>
      </c>
      <c r="D9455" s="451"/>
      <c r="E9455" s="451"/>
      <c r="F9455" s="451"/>
      <c r="G9455" s="451" t="s">
        <v>22877</v>
      </c>
      <c r="H9455" s="451" t="s">
        <v>22878</v>
      </c>
      <c r="I9455" s="451" t="s">
        <v>28285</v>
      </c>
      <c r="J9455" s="451" t="s">
        <v>28286</v>
      </c>
      <c r="K9455" s="451"/>
    </row>
    <row r="9456" spans="1:11">
      <c r="A9456" s="450" t="s">
        <v>15462</v>
      </c>
      <c r="B9456" s="450" t="s">
        <v>15463</v>
      </c>
      <c r="C9456" s="450" t="s">
        <v>15464</v>
      </c>
      <c r="D9456" s="450" t="s">
        <v>15465</v>
      </c>
      <c r="E9456" s="450"/>
      <c r="F9456" s="450"/>
      <c r="G9456" s="450" t="s">
        <v>22877</v>
      </c>
      <c r="H9456" s="450" t="s">
        <v>22878</v>
      </c>
      <c r="I9456" s="450" t="s">
        <v>15465</v>
      </c>
      <c r="J9456" s="450" t="s">
        <v>37870</v>
      </c>
      <c r="K9456" s="450"/>
    </row>
    <row r="9457" spans="1:11">
      <c r="A9457" s="451" t="s">
        <v>15462</v>
      </c>
      <c r="B9457" s="451" t="s">
        <v>15463</v>
      </c>
      <c r="C9457" s="451" t="s">
        <v>15464</v>
      </c>
      <c r="D9457" s="451" t="s">
        <v>15465</v>
      </c>
      <c r="E9457" s="451" t="s">
        <v>15466</v>
      </c>
      <c r="F9457" s="451"/>
      <c r="G9457" s="451"/>
      <c r="H9457" s="451"/>
      <c r="I9457" s="451"/>
      <c r="J9457" s="451"/>
      <c r="K9457" s="451"/>
    </row>
    <row r="9458" spans="1:11">
      <c r="A9458" s="450" t="s">
        <v>15467</v>
      </c>
      <c r="B9458" s="450"/>
      <c r="C9458" s="450" t="s">
        <v>15468</v>
      </c>
      <c r="D9458" s="450" t="s">
        <v>15469</v>
      </c>
      <c r="E9458" s="450"/>
      <c r="F9458" s="450"/>
      <c r="G9458" s="450" t="s">
        <v>22882</v>
      </c>
      <c r="H9458" s="450" t="s">
        <v>22883</v>
      </c>
      <c r="I9458" s="450" t="s">
        <v>37871</v>
      </c>
      <c r="J9458" s="450" t="s">
        <v>37872</v>
      </c>
      <c r="K9458" s="450"/>
    </row>
    <row r="9459" spans="1:11">
      <c r="A9459" s="451" t="s">
        <v>37873</v>
      </c>
      <c r="B9459" s="451"/>
      <c r="C9459" s="451" t="s">
        <v>7873</v>
      </c>
      <c r="D9459" s="451"/>
      <c r="E9459" s="451"/>
      <c r="F9459" s="451"/>
      <c r="G9459" s="451" t="s">
        <v>22877</v>
      </c>
      <c r="H9459" s="451" t="s">
        <v>22878</v>
      </c>
      <c r="I9459" s="451" t="s">
        <v>37874</v>
      </c>
      <c r="J9459" s="451" t="s">
        <v>22943</v>
      </c>
      <c r="K9459" s="451"/>
    </row>
    <row r="9460" spans="1:11">
      <c r="A9460" s="450" t="s">
        <v>15470</v>
      </c>
      <c r="B9460" s="450"/>
      <c r="C9460" s="450" t="s">
        <v>7873</v>
      </c>
      <c r="D9460" s="450"/>
      <c r="E9460" s="450"/>
      <c r="F9460" s="450"/>
      <c r="G9460" s="450"/>
      <c r="H9460" s="450"/>
      <c r="I9460" s="450"/>
      <c r="J9460" s="450"/>
      <c r="K9460" s="450"/>
    </row>
    <row r="9461" spans="1:11">
      <c r="A9461" s="451" t="s">
        <v>28287</v>
      </c>
      <c r="B9461" s="451" t="s">
        <v>15472</v>
      </c>
      <c r="C9461" s="451" t="s">
        <v>15473</v>
      </c>
      <c r="D9461" s="451"/>
      <c r="E9461" s="451"/>
      <c r="F9461" s="451"/>
      <c r="G9461" s="451" t="s">
        <v>22877</v>
      </c>
      <c r="H9461" s="451" t="s">
        <v>22878</v>
      </c>
      <c r="I9461" s="451" t="s">
        <v>28288</v>
      </c>
      <c r="J9461" s="451" t="s">
        <v>28289</v>
      </c>
      <c r="K9461" s="451"/>
    </row>
    <row r="9462" spans="1:11">
      <c r="A9462" s="450" t="s">
        <v>37875</v>
      </c>
      <c r="B9462" s="450"/>
      <c r="C9462" s="450" t="s">
        <v>3012</v>
      </c>
      <c r="D9462" s="450"/>
      <c r="E9462" s="450"/>
      <c r="F9462" s="450"/>
      <c r="G9462" s="450" t="s">
        <v>22877</v>
      </c>
      <c r="H9462" s="450" t="s">
        <v>22878</v>
      </c>
      <c r="I9462" s="450" t="s">
        <v>37876</v>
      </c>
      <c r="J9462" s="450" t="s">
        <v>22943</v>
      </c>
      <c r="K9462" s="450"/>
    </row>
    <row r="9463" spans="1:11">
      <c r="A9463" s="451" t="s">
        <v>15471</v>
      </c>
      <c r="B9463" s="451" t="s">
        <v>15472</v>
      </c>
      <c r="C9463" s="451" t="s">
        <v>15473</v>
      </c>
      <c r="D9463" s="451"/>
      <c r="E9463" s="451"/>
      <c r="F9463" s="451"/>
      <c r="G9463" s="451"/>
      <c r="H9463" s="451"/>
      <c r="I9463" s="451"/>
      <c r="J9463" s="451"/>
      <c r="K9463" s="451"/>
    </row>
    <row r="9464" spans="1:11">
      <c r="A9464" s="450" t="s">
        <v>15474</v>
      </c>
      <c r="B9464" s="450"/>
      <c r="C9464" s="450" t="s">
        <v>3012</v>
      </c>
      <c r="D9464" s="450"/>
      <c r="E9464" s="450"/>
      <c r="F9464" s="450"/>
      <c r="G9464" s="450"/>
      <c r="H9464" s="450"/>
      <c r="I9464" s="450"/>
      <c r="J9464" s="450"/>
      <c r="K9464" s="450"/>
    </row>
    <row r="9465" spans="1:11">
      <c r="A9465" s="451" t="s">
        <v>37877</v>
      </c>
      <c r="B9465" s="451" t="s">
        <v>15476</v>
      </c>
      <c r="C9465" s="451" t="s">
        <v>3747</v>
      </c>
      <c r="D9465" s="451" t="s">
        <v>15477</v>
      </c>
      <c r="E9465" s="451"/>
      <c r="F9465" s="451"/>
      <c r="G9465" s="451" t="s">
        <v>22882</v>
      </c>
      <c r="H9465" s="451" t="s">
        <v>22883</v>
      </c>
      <c r="I9465" s="451" t="s">
        <v>15477</v>
      </c>
      <c r="J9465" s="451" t="s">
        <v>37878</v>
      </c>
      <c r="K9465" s="451"/>
    </row>
    <row r="9466" spans="1:11">
      <c r="A9466" s="450" t="s">
        <v>15475</v>
      </c>
      <c r="B9466" s="450" t="s">
        <v>15476</v>
      </c>
      <c r="C9466" s="450" t="s">
        <v>3747</v>
      </c>
      <c r="D9466" s="450" t="s">
        <v>15477</v>
      </c>
      <c r="E9466" s="450"/>
      <c r="F9466" s="450"/>
      <c r="G9466" s="450"/>
      <c r="H9466" s="450"/>
      <c r="I9466" s="450"/>
      <c r="J9466" s="450"/>
      <c r="K9466" s="450"/>
    </row>
    <row r="9467" spans="1:11">
      <c r="A9467" s="451" t="s">
        <v>37879</v>
      </c>
      <c r="B9467" s="451"/>
      <c r="C9467" s="451" t="s">
        <v>4365</v>
      </c>
      <c r="D9467" s="451"/>
      <c r="E9467" s="451"/>
      <c r="F9467" s="451"/>
      <c r="G9467" s="451" t="s">
        <v>22882</v>
      </c>
      <c r="H9467" s="451" t="s">
        <v>22883</v>
      </c>
      <c r="I9467" s="451" t="s">
        <v>37880</v>
      </c>
      <c r="J9467" s="451" t="s">
        <v>28196</v>
      </c>
      <c r="K9467" s="451"/>
    </row>
    <row r="9468" spans="1:11">
      <c r="A9468" s="450" t="s">
        <v>15478</v>
      </c>
      <c r="B9468" s="450"/>
      <c r="C9468" s="450" t="s">
        <v>4365</v>
      </c>
      <c r="D9468" s="450"/>
      <c r="E9468" s="450"/>
      <c r="F9468" s="450"/>
      <c r="G9468" s="450"/>
      <c r="H9468" s="450"/>
      <c r="I9468" s="450"/>
      <c r="J9468" s="450"/>
      <c r="K9468" s="450"/>
    </row>
    <row r="9469" spans="1:11">
      <c r="A9469" s="451" t="s">
        <v>15479</v>
      </c>
      <c r="B9469" s="451" t="s">
        <v>15480</v>
      </c>
      <c r="C9469" s="451" t="s">
        <v>15481</v>
      </c>
      <c r="D9469" s="451" t="s">
        <v>15482</v>
      </c>
      <c r="E9469" s="451"/>
      <c r="F9469" s="451"/>
      <c r="G9469" s="451" t="s">
        <v>22877</v>
      </c>
      <c r="H9469" s="451" t="s">
        <v>22878</v>
      </c>
      <c r="I9469" s="451" t="s">
        <v>8430</v>
      </c>
      <c r="J9469" s="451" t="s">
        <v>28290</v>
      </c>
      <c r="K9469" s="451"/>
    </row>
    <row r="9470" spans="1:11">
      <c r="A9470" s="450" t="s">
        <v>37881</v>
      </c>
      <c r="B9470" s="450"/>
      <c r="C9470" s="450" t="s">
        <v>15060</v>
      </c>
      <c r="D9470" s="450"/>
      <c r="E9470" s="450"/>
      <c r="F9470" s="450"/>
      <c r="G9470" s="450" t="s">
        <v>22877</v>
      </c>
      <c r="H9470" s="450" t="s">
        <v>22878</v>
      </c>
      <c r="I9470" s="450"/>
      <c r="J9470" s="450" t="s">
        <v>23370</v>
      </c>
      <c r="K9470" s="450"/>
    </row>
    <row r="9471" spans="1:11">
      <c r="A9471" s="451" t="s">
        <v>15483</v>
      </c>
      <c r="B9471" s="451"/>
      <c r="C9471" s="451" t="s">
        <v>3355</v>
      </c>
      <c r="D9471" s="451"/>
      <c r="E9471" s="451"/>
      <c r="F9471" s="451"/>
      <c r="G9471" s="451" t="s">
        <v>22877</v>
      </c>
      <c r="H9471" s="451" t="s">
        <v>22878</v>
      </c>
      <c r="I9471" s="451" t="s">
        <v>37882</v>
      </c>
      <c r="J9471" s="451" t="s">
        <v>22939</v>
      </c>
      <c r="K9471" s="451"/>
    </row>
    <row r="9472" spans="1:11">
      <c r="A9472" s="450" t="s">
        <v>15484</v>
      </c>
      <c r="B9472" s="450"/>
      <c r="C9472" s="450" t="s">
        <v>15485</v>
      </c>
      <c r="D9472" s="450"/>
      <c r="E9472" s="450"/>
      <c r="F9472" s="450"/>
      <c r="G9472" s="450" t="s">
        <v>22882</v>
      </c>
      <c r="H9472" s="450" t="s">
        <v>22883</v>
      </c>
      <c r="I9472" s="450" t="s">
        <v>37883</v>
      </c>
      <c r="J9472" s="450" t="s">
        <v>23121</v>
      </c>
      <c r="K9472" s="450"/>
    </row>
    <row r="9473" spans="1:11">
      <c r="A9473" s="451" t="s">
        <v>15486</v>
      </c>
      <c r="B9473" s="451"/>
      <c r="C9473" s="451" t="s">
        <v>15060</v>
      </c>
      <c r="D9473" s="451"/>
      <c r="E9473" s="451"/>
      <c r="F9473" s="451"/>
      <c r="G9473" s="451"/>
      <c r="H9473" s="451"/>
      <c r="I9473" s="451"/>
      <c r="J9473" s="451"/>
      <c r="K9473" s="451"/>
    </row>
    <row r="9474" spans="1:11">
      <c r="A9474" s="450" t="s">
        <v>37884</v>
      </c>
      <c r="B9474" s="450" t="s">
        <v>15487</v>
      </c>
      <c r="C9474" s="450" t="s">
        <v>9584</v>
      </c>
      <c r="D9474" s="450" t="s">
        <v>15488</v>
      </c>
      <c r="E9474" s="450"/>
      <c r="F9474" s="450"/>
      <c r="G9474" s="450" t="s">
        <v>22877</v>
      </c>
      <c r="H9474" s="450" t="s">
        <v>22878</v>
      </c>
      <c r="I9474" s="450" t="s">
        <v>15488</v>
      </c>
      <c r="J9474" s="450" t="s">
        <v>37885</v>
      </c>
      <c r="K9474" s="450"/>
    </row>
    <row r="9475" spans="1:11">
      <c r="A9475" s="451" t="s">
        <v>21905</v>
      </c>
      <c r="B9475" s="451" t="s">
        <v>15487</v>
      </c>
      <c r="C9475" s="451" t="s">
        <v>9584</v>
      </c>
      <c r="D9475" s="451" t="s">
        <v>15488</v>
      </c>
      <c r="E9475" s="451"/>
      <c r="F9475" s="451"/>
      <c r="G9475" s="451"/>
      <c r="H9475" s="451"/>
      <c r="I9475" s="451"/>
      <c r="J9475" s="451"/>
      <c r="K9475" s="451"/>
    </row>
    <row r="9476" spans="1:11">
      <c r="A9476" s="450" t="s">
        <v>15489</v>
      </c>
      <c r="B9476" s="450"/>
      <c r="C9476" s="450" t="s">
        <v>15490</v>
      </c>
      <c r="D9476" s="450"/>
      <c r="E9476" s="450"/>
      <c r="F9476" s="450"/>
      <c r="G9476" s="450" t="s">
        <v>22882</v>
      </c>
      <c r="H9476" s="450" t="s">
        <v>22883</v>
      </c>
      <c r="I9476" s="450" t="s">
        <v>37886</v>
      </c>
      <c r="J9476" s="450" t="s">
        <v>23179</v>
      </c>
      <c r="K9476" s="450"/>
    </row>
    <row r="9477" spans="1:11">
      <c r="A9477" s="451" t="s">
        <v>15491</v>
      </c>
      <c r="B9477" s="451"/>
      <c r="C9477" s="451" t="s">
        <v>15492</v>
      </c>
      <c r="D9477" s="451"/>
      <c r="E9477" s="451"/>
      <c r="F9477" s="451"/>
      <c r="G9477" s="451" t="s">
        <v>22877</v>
      </c>
      <c r="H9477" s="451" t="s">
        <v>22878</v>
      </c>
      <c r="I9477" s="451" t="s">
        <v>37887</v>
      </c>
      <c r="J9477" s="451" t="s">
        <v>22943</v>
      </c>
      <c r="K9477" s="451"/>
    </row>
    <row r="9478" spans="1:11">
      <c r="A9478" s="450" t="s">
        <v>15493</v>
      </c>
      <c r="B9478" s="450"/>
      <c r="C9478" s="450" t="s">
        <v>7922</v>
      </c>
      <c r="D9478" s="450"/>
      <c r="E9478" s="450"/>
      <c r="F9478" s="450"/>
      <c r="G9478" s="450" t="s">
        <v>22882</v>
      </c>
      <c r="H9478" s="450" t="s">
        <v>22883</v>
      </c>
      <c r="I9478" s="450"/>
      <c r="J9478" s="450" t="s">
        <v>22939</v>
      </c>
      <c r="K9478" s="450"/>
    </row>
    <row r="9479" spans="1:11">
      <c r="A9479" s="451" t="s">
        <v>15494</v>
      </c>
      <c r="B9479" s="451"/>
      <c r="C9479" s="451" t="s">
        <v>15495</v>
      </c>
      <c r="D9479" s="451"/>
      <c r="E9479" s="451"/>
      <c r="F9479" s="451"/>
      <c r="G9479" s="451" t="s">
        <v>22877</v>
      </c>
      <c r="H9479" s="451" t="s">
        <v>22878</v>
      </c>
      <c r="I9479" s="451" t="s">
        <v>37888</v>
      </c>
      <c r="J9479" s="451" t="s">
        <v>23121</v>
      </c>
      <c r="K9479" s="451"/>
    </row>
    <row r="9480" spans="1:11">
      <c r="A9480" s="450" t="s">
        <v>37889</v>
      </c>
      <c r="B9480" s="450"/>
      <c r="C9480" s="450" t="s">
        <v>1982</v>
      </c>
      <c r="D9480" s="450"/>
      <c r="E9480" s="450"/>
      <c r="F9480" s="450"/>
      <c r="G9480" s="450" t="s">
        <v>23092</v>
      </c>
      <c r="H9480" s="450" t="s">
        <v>22878</v>
      </c>
      <c r="I9480" s="450"/>
      <c r="J9480" s="450"/>
      <c r="K9480" s="450"/>
    </row>
    <row r="9481" spans="1:11">
      <c r="A9481" s="451" t="s">
        <v>21906</v>
      </c>
      <c r="B9481" s="451"/>
      <c r="C9481" s="451" t="s">
        <v>15496</v>
      </c>
      <c r="D9481" s="451"/>
      <c r="E9481" s="451"/>
      <c r="F9481" s="451"/>
      <c r="G9481" s="451"/>
      <c r="H9481" s="451"/>
      <c r="I9481" s="451"/>
      <c r="J9481" s="451"/>
      <c r="K9481" s="451"/>
    </row>
    <row r="9482" spans="1:11">
      <c r="A9482" s="450" t="s">
        <v>21907</v>
      </c>
      <c r="B9482" s="450" t="s">
        <v>15497</v>
      </c>
      <c r="C9482" s="450" t="s">
        <v>11439</v>
      </c>
      <c r="D9482" s="450" t="s">
        <v>15498</v>
      </c>
      <c r="E9482" s="450"/>
      <c r="F9482" s="450"/>
      <c r="G9482" s="450" t="s">
        <v>22877</v>
      </c>
      <c r="H9482" s="450" t="s">
        <v>22878</v>
      </c>
      <c r="I9482" s="450" t="s">
        <v>15498</v>
      </c>
      <c r="J9482" s="450" t="s">
        <v>28291</v>
      </c>
      <c r="K9482" s="450"/>
    </row>
    <row r="9483" spans="1:11">
      <c r="A9483" s="451" t="s">
        <v>15499</v>
      </c>
      <c r="B9483" s="451"/>
      <c r="C9483" s="451" t="s">
        <v>15500</v>
      </c>
      <c r="D9483" s="451"/>
      <c r="E9483" s="451"/>
      <c r="F9483" s="451"/>
      <c r="G9483" s="451" t="s">
        <v>22877</v>
      </c>
      <c r="H9483" s="451" t="s">
        <v>22878</v>
      </c>
      <c r="I9483" s="451" t="s">
        <v>37890</v>
      </c>
      <c r="J9483" s="451" t="s">
        <v>22939</v>
      </c>
      <c r="K9483" s="451"/>
    </row>
    <row r="9484" spans="1:11">
      <c r="A9484" s="450" t="s">
        <v>21908</v>
      </c>
      <c r="B9484" s="450"/>
      <c r="C9484" s="450" t="s">
        <v>10374</v>
      </c>
      <c r="D9484" s="450"/>
      <c r="E9484" s="450"/>
      <c r="F9484" s="450"/>
      <c r="G9484" s="450" t="s">
        <v>22877</v>
      </c>
      <c r="H9484" s="450" t="s">
        <v>22878</v>
      </c>
      <c r="I9484" s="450" t="s">
        <v>37891</v>
      </c>
      <c r="J9484" s="450" t="s">
        <v>22939</v>
      </c>
      <c r="K9484" s="450"/>
    </row>
    <row r="9485" spans="1:11">
      <c r="A9485" s="451" t="s">
        <v>37892</v>
      </c>
      <c r="B9485" s="451"/>
      <c r="C9485" s="451" t="s">
        <v>4731</v>
      </c>
      <c r="D9485" s="451"/>
      <c r="E9485" s="451"/>
      <c r="F9485" s="451"/>
      <c r="G9485" s="451" t="s">
        <v>22882</v>
      </c>
      <c r="H9485" s="451" t="s">
        <v>22883</v>
      </c>
      <c r="I9485" s="451" t="s">
        <v>37893</v>
      </c>
      <c r="J9485" s="451" t="s">
        <v>28196</v>
      </c>
      <c r="K9485" s="451"/>
    </row>
    <row r="9486" spans="1:11">
      <c r="A9486" s="450" t="s">
        <v>15501</v>
      </c>
      <c r="B9486" s="450"/>
      <c r="C9486" s="450" t="s">
        <v>4731</v>
      </c>
      <c r="D9486" s="450"/>
      <c r="E9486" s="450"/>
      <c r="F9486" s="450"/>
      <c r="G9486" s="450"/>
      <c r="H9486" s="450"/>
      <c r="I9486" s="450"/>
      <c r="J9486" s="450"/>
      <c r="K9486" s="450"/>
    </row>
    <row r="9487" spans="1:11">
      <c r="A9487" s="451" t="s">
        <v>15502</v>
      </c>
      <c r="B9487" s="451"/>
      <c r="C9487" s="451" t="s">
        <v>15503</v>
      </c>
      <c r="D9487" s="451"/>
      <c r="E9487" s="451"/>
      <c r="F9487" s="451"/>
      <c r="G9487" s="451" t="s">
        <v>22877</v>
      </c>
      <c r="H9487" s="451" t="s">
        <v>22878</v>
      </c>
      <c r="I9487" s="451" t="s">
        <v>37894</v>
      </c>
      <c r="J9487" s="451" t="s">
        <v>22939</v>
      </c>
      <c r="K9487" s="451"/>
    </row>
    <row r="9488" spans="1:11">
      <c r="A9488" s="450" t="s">
        <v>15504</v>
      </c>
      <c r="B9488" s="450"/>
      <c r="C9488" s="450" t="s">
        <v>15505</v>
      </c>
      <c r="D9488" s="450"/>
      <c r="E9488" s="450"/>
      <c r="F9488" s="450"/>
      <c r="G9488" s="450" t="s">
        <v>22877</v>
      </c>
      <c r="H9488" s="450" t="s">
        <v>22878</v>
      </c>
      <c r="I9488" s="450" t="s">
        <v>37895</v>
      </c>
      <c r="J9488" s="450" t="s">
        <v>23121</v>
      </c>
      <c r="K9488" s="450"/>
    </row>
    <row r="9489" spans="1:11">
      <c r="A9489" s="451" t="s">
        <v>15506</v>
      </c>
      <c r="B9489" s="451"/>
      <c r="C9489" s="451" t="s">
        <v>15507</v>
      </c>
      <c r="D9489" s="451"/>
      <c r="E9489" s="451"/>
      <c r="F9489" s="451"/>
      <c r="G9489" s="451" t="s">
        <v>22882</v>
      </c>
      <c r="H9489" s="451" t="s">
        <v>22883</v>
      </c>
      <c r="I9489" s="451" t="s">
        <v>37896</v>
      </c>
      <c r="J9489" s="451" t="s">
        <v>22939</v>
      </c>
      <c r="K9489" s="451"/>
    </row>
    <row r="9490" spans="1:11">
      <c r="A9490" s="450" t="s">
        <v>21909</v>
      </c>
      <c r="B9490" s="450"/>
      <c r="C9490" s="450" t="s">
        <v>15508</v>
      </c>
      <c r="D9490" s="450"/>
      <c r="E9490" s="450"/>
      <c r="F9490" s="450"/>
      <c r="G9490" s="450" t="s">
        <v>22877</v>
      </c>
      <c r="H9490" s="450" t="s">
        <v>22878</v>
      </c>
      <c r="I9490" s="450" t="s">
        <v>37897</v>
      </c>
      <c r="J9490" s="450" t="s">
        <v>22939</v>
      </c>
      <c r="K9490" s="450"/>
    </row>
    <row r="9491" spans="1:11">
      <c r="A9491" s="451" t="s">
        <v>37898</v>
      </c>
      <c r="B9491" s="451"/>
      <c r="C9491" s="451" t="s">
        <v>6536</v>
      </c>
      <c r="D9491" s="451"/>
      <c r="E9491" s="451"/>
      <c r="F9491" s="451"/>
      <c r="G9491" s="451" t="s">
        <v>22877</v>
      </c>
      <c r="H9491" s="451" t="s">
        <v>22878</v>
      </c>
      <c r="I9491" s="451" t="s">
        <v>37899</v>
      </c>
      <c r="J9491" s="451" t="s">
        <v>23370</v>
      </c>
      <c r="K9491" s="451"/>
    </row>
    <row r="9492" spans="1:11">
      <c r="A9492" s="450" t="s">
        <v>15509</v>
      </c>
      <c r="B9492" s="450"/>
      <c r="C9492" s="450" t="s">
        <v>6536</v>
      </c>
      <c r="D9492" s="450"/>
      <c r="E9492" s="450"/>
      <c r="F9492" s="450"/>
      <c r="G9492" s="450"/>
      <c r="H9492" s="450"/>
      <c r="I9492" s="450"/>
      <c r="J9492" s="450"/>
      <c r="K9492" s="450"/>
    </row>
    <row r="9493" spans="1:11">
      <c r="A9493" s="451" t="s">
        <v>28292</v>
      </c>
      <c r="B9493" s="451" t="s">
        <v>28293</v>
      </c>
      <c r="C9493" s="451" t="s">
        <v>3884</v>
      </c>
      <c r="D9493" s="451" t="s">
        <v>15512</v>
      </c>
      <c r="E9493" s="451"/>
      <c r="F9493" s="451"/>
      <c r="G9493" s="451" t="s">
        <v>22877</v>
      </c>
      <c r="H9493" s="451" t="s">
        <v>22878</v>
      </c>
      <c r="I9493" s="451" t="s">
        <v>15512</v>
      </c>
      <c r="J9493" s="451" t="s">
        <v>28294</v>
      </c>
      <c r="K9493" s="451"/>
    </row>
    <row r="9494" spans="1:11">
      <c r="A9494" s="450" t="s">
        <v>15510</v>
      </c>
      <c r="B9494" s="450" t="s">
        <v>15511</v>
      </c>
      <c r="C9494" s="450" t="s">
        <v>3884</v>
      </c>
      <c r="D9494" s="450" t="s">
        <v>15512</v>
      </c>
      <c r="E9494" s="450" t="s">
        <v>15513</v>
      </c>
      <c r="F9494" s="450"/>
      <c r="G9494" s="450"/>
      <c r="H9494" s="450"/>
      <c r="I9494" s="450"/>
      <c r="J9494" s="450"/>
      <c r="K9494" s="450"/>
    </row>
    <row r="9495" spans="1:11">
      <c r="A9495" s="451" t="s">
        <v>30046</v>
      </c>
      <c r="B9495" s="451" t="s">
        <v>30047</v>
      </c>
      <c r="C9495" s="451" t="s">
        <v>30048</v>
      </c>
      <c r="D9495" s="451"/>
      <c r="E9495" s="451"/>
      <c r="F9495" s="451"/>
      <c r="G9495" s="451"/>
      <c r="H9495" s="451"/>
      <c r="I9495" s="451"/>
      <c r="J9495" s="451"/>
      <c r="K9495" s="451"/>
    </row>
    <row r="9496" spans="1:11">
      <c r="A9496" s="450" t="s">
        <v>15514</v>
      </c>
      <c r="B9496" s="450"/>
      <c r="C9496" s="450" t="s">
        <v>15515</v>
      </c>
      <c r="D9496" s="450"/>
      <c r="E9496" s="450"/>
      <c r="F9496" s="450"/>
      <c r="G9496" s="450" t="s">
        <v>22882</v>
      </c>
      <c r="H9496" s="450" t="s">
        <v>22883</v>
      </c>
      <c r="I9496" s="450" t="s">
        <v>28295</v>
      </c>
      <c r="J9496" s="450" t="s">
        <v>28196</v>
      </c>
      <c r="K9496" s="450"/>
    </row>
    <row r="9497" spans="1:11">
      <c r="A9497" s="451" t="s">
        <v>31996</v>
      </c>
      <c r="B9497" s="451" t="s">
        <v>28296</v>
      </c>
      <c r="C9497" s="451" t="s">
        <v>28297</v>
      </c>
      <c r="D9497" s="451"/>
      <c r="E9497" s="451"/>
      <c r="F9497" s="451"/>
      <c r="G9497" s="451" t="s">
        <v>22877</v>
      </c>
      <c r="H9497" s="451" t="s">
        <v>22878</v>
      </c>
      <c r="I9497" s="451" t="s">
        <v>28298</v>
      </c>
      <c r="J9497" s="451" t="s">
        <v>28299</v>
      </c>
      <c r="K9497" s="451"/>
    </row>
    <row r="9498" spans="1:11">
      <c r="A9498" s="450" t="s">
        <v>15516</v>
      </c>
      <c r="B9498" s="450"/>
      <c r="C9498" s="450" t="s">
        <v>15517</v>
      </c>
      <c r="D9498" s="450"/>
      <c r="E9498" s="450"/>
      <c r="F9498" s="450"/>
      <c r="G9498" s="450" t="s">
        <v>22882</v>
      </c>
      <c r="H9498" s="450" t="s">
        <v>22883</v>
      </c>
      <c r="I9498" s="450" t="s">
        <v>37900</v>
      </c>
      <c r="J9498" s="450" t="s">
        <v>22939</v>
      </c>
      <c r="K9498" s="450"/>
    </row>
    <row r="9499" spans="1:11">
      <c r="A9499" s="451" t="s">
        <v>15518</v>
      </c>
      <c r="B9499" s="451"/>
      <c r="C9499" s="451" t="s">
        <v>15519</v>
      </c>
      <c r="D9499" s="451"/>
      <c r="E9499" s="451"/>
      <c r="F9499" s="451"/>
      <c r="G9499" s="451" t="s">
        <v>22882</v>
      </c>
      <c r="H9499" s="451" t="s">
        <v>22883</v>
      </c>
      <c r="I9499" s="451" t="s">
        <v>37901</v>
      </c>
      <c r="J9499" s="451" t="s">
        <v>22939</v>
      </c>
      <c r="K9499" s="451"/>
    </row>
    <row r="9500" spans="1:11">
      <c r="A9500" s="450" t="s">
        <v>15520</v>
      </c>
      <c r="B9500" s="450"/>
      <c r="C9500" s="450" t="s">
        <v>2018</v>
      </c>
      <c r="D9500" s="450"/>
      <c r="E9500" s="450"/>
      <c r="F9500" s="450"/>
      <c r="G9500" s="450" t="s">
        <v>22877</v>
      </c>
      <c r="H9500" s="450" t="s">
        <v>22878</v>
      </c>
      <c r="I9500" s="450" t="s">
        <v>28300</v>
      </c>
      <c r="J9500" s="450" t="s">
        <v>22943</v>
      </c>
      <c r="K9500" s="450"/>
    </row>
    <row r="9501" spans="1:11">
      <c r="A9501" s="451" t="s">
        <v>28301</v>
      </c>
      <c r="B9501" s="451" t="s">
        <v>28302</v>
      </c>
      <c r="C9501" s="451" t="s">
        <v>28303</v>
      </c>
      <c r="D9501" s="451"/>
      <c r="E9501" s="451"/>
      <c r="F9501" s="451"/>
      <c r="G9501" s="451" t="s">
        <v>22877</v>
      </c>
      <c r="H9501" s="451" t="s">
        <v>22878</v>
      </c>
      <c r="I9501" s="451" t="s">
        <v>28304</v>
      </c>
      <c r="J9501" s="451" t="s">
        <v>28305</v>
      </c>
      <c r="K9501" s="451"/>
    </row>
    <row r="9502" spans="1:11">
      <c r="A9502" s="450" t="s">
        <v>15521</v>
      </c>
      <c r="B9502" s="450"/>
      <c r="C9502" s="450" t="s">
        <v>15522</v>
      </c>
      <c r="D9502" s="450"/>
      <c r="E9502" s="450"/>
      <c r="F9502" s="450"/>
      <c r="G9502" s="450" t="s">
        <v>22882</v>
      </c>
      <c r="H9502" s="450" t="s">
        <v>22883</v>
      </c>
      <c r="I9502" s="450" t="s">
        <v>37902</v>
      </c>
      <c r="J9502" s="450" t="s">
        <v>22939</v>
      </c>
      <c r="K9502" s="450"/>
    </row>
    <row r="9503" spans="1:11">
      <c r="A9503" s="451" t="s">
        <v>15523</v>
      </c>
      <c r="B9503" s="451"/>
      <c r="C9503" s="451" t="s">
        <v>15524</v>
      </c>
      <c r="D9503" s="451"/>
      <c r="E9503" s="451"/>
      <c r="F9503" s="451"/>
      <c r="G9503" s="451" t="s">
        <v>22877</v>
      </c>
      <c r="H9503" s="451" t="s">
        <v>22878</v>
      </c>
      <c r="I9503" s="451" t="s">
        <v>37903</v>
      </c>
      <c r="J9503" s="451" t="s">
        <v>22939</v>
      </c>
      <c r="K9503" s="451"/>
    </row>
    <row r="9504" spans="1:11">
      <c r="A9504" s="450" t="s">
        <v>15525</v>
      </c>
      <c r="B9504" s="450"/>
      <c r="C9504" s="450" t="s">
        <v>6153</v>
      </c>
      <c r="D9504" s="450"/>
      <c r="E9504" s="450"/>
      <c r="F9504" s="450"/>
      <c r="G9504" s="450" t="s">
        <v>22877</v>
      </c>
      <c r="H9504" s="450" t="s">
        <v>22878</v>
      </c>
      <c r="I9504" s="450" t="s">
        <v>37904</v>
      </c>
      <c r="J9504" s="450" t="s">
        <v>22939</v>
      </c>
      <c r="K9504" s="450"/>
    </row>
    <row r="9505" spans="1:11">
      <c r="A9505" s="451" t="s">
        <v>15526</v>
      </c>
      <c r="B9505" s="451"/>
      <c r="C9505" s="451" t="s">
        <v>10305</v>
      </c>
      <c r="D9505" s="451"/>
      <c r="E9505" s="451"/>
      <c r="F9505" s="451"/>
      <c r="G9505" s="451" t="s">
        <v>22877</v>
      </c>
      <c r="H9505" s="451" t="s">
        <v>22878</v>
      </c>
      <c r="I9505" s="451" t="s">
        <v>28306</v>
      </c>
      <c r="J9505" s="451" t="s">
        <v>23121</v>
      </c>
      <c r="K9505" s="451"/>
    </row>
    <row r="9506" spans="1:11">
      <c r="A9506" s="450" t="s">
        <v>15527</v>
      </c>
      <c r="B9506" s="450" t="s">
        <v>15528</v>
      </c>
      <c r="C9506" s="450" t="s">
        <v>15529</v>
      </c>
      <c r="D9506" s="450" t="s">
        <v>15530</v>
      </c>
      <c r="E9506" s="450"/>
      <c r="F9506" s="450"/>
      <c r="G9506" s="450" t="s">
        <v>22877</v>
      </c>
      <c r="H9506" s="450" t="s">
        <v>22878</v>
      </c>
      <c r="I9506" s="450" t="s">
        <v>37905</v>
      </c>
      <c r="J9506" s="450" t="s">
        <v>37906</v>
      </c>
      <c r="K9506" s="450"/>
    </row>
    <row r="9507" spans="1:11">
      <c r="A9507" s="451" t="s">
        <v>15527</v>
      </c>
      <c r="B9507" s="451" t="s">
        <v>15528</v>
      </c>
      <c r="C9507" s="451" t="s">
        <v>15529</v>
      </c>
      <c r="D9507" s="451" t="s">
        <v>15530</v>
      </c>
      <c r="E9507" s="451" t="s">
        <v>15531</v>
      </c>
      <c r="F9507" s="451"/>
      <c r="G9507" s="451"/>
      <c r="H9507" s="451"/>
      <c r="I9507" s="451"/>
      <c r="J9507" s="451"/>
      <c r="K9507" s="451"/>
    </row>
    <row r="9508" spans="1:11">
      <c r="A9508" s="450" t="s">
        <v>15532</v>
      </c>
      <c r="B9508" s="450"/>
      <c r="C9508" s="450" t="s">
        <v>3500</v>
      </c>
      <c r="D9508" s="450" t="s">
        <v>15533</v>
      </c>
      <c r="E9508" s="450"/>
      <c r="F9508" s="450"/>
      <c r="G9508" s="450" t="s">
        <v>22877</v>
      </c>
      <c r="H9508" s="450" t="s">
        <v>22878</v>
      </c>
      <c r="I9508" s="450" t="s">
        <v>15533</v>
      </c>
      <c r="J9508" s="450" t="s">
        <v>37907</v>
      </c>
      <c r="K9508" s="450"/>
    </row>
    <row r="9509" spans="1:11">
      <c r="A9509" s="451" t="s">
        <v>15532</v>
      </c>
      <c r="B9509" s="451"/>
      <c r="C9509" s="451" t="s">
        <v>3500</v>
      </c>
      <c r="D9509" s="451" t="s">
        <v>15533</v>
      </c>
      <c r="E9509" s="451" t="s">
        <v>15534</v>
      </c>
      <c r="F9509" s="451"/>
      <c r="G9509" s="451"/>
      <c r="H9509" s="451"/>
      <c r="I9509" s="451"/>
      <c r="J9509" s="451"/>
      <c r="K9509" s="451"/>
    </row>
    <row r="9510" spans="1:11">
      <c r="A9510" s="450" t="s">
        <v>15535</v>
      </c>
      <c r="B9510" s="450"/>
      <c r="C9510" s="450" t="s">
        <v>14700</v>
      </c>
      <c r="D9510" s="450"/>
      <c r="E9510" s="450"/>
      <c r="F9510" s="450"/>
      <c r="G9510" s="450" t="s">
        <v>22877</v>
      </c>
      <c r="H9510" s="450" t="s">
        <v>22878</v>
      </c>
      <c r="I9510" s="450" t="s">
        <v>37908</v>
      </c>
      <c r="J9510" s="450" t="s">
        <v>23121</v>
      </c>
      <c r="K9510" s="450"/>
    </row>
    <row r="9511" spans="1:11">
      <c r="A9511" s="451" t="s">
        <v>15536</v>
      </c>
      <c r="B9511" s="451"/>
      <c r="C9511" s="451" t="s">
        <v>7289</v>
      </c>
      <c r="D9511" s="451"/>
      <c r="E9511" s="451"/>
      <c r="F9511" s="451"/>
      <c r="G9511" s="451" t="s">
        <v>22882</v>
      </c>
      <c r="H9511" s="451" t="s">
        <v>22883</v>
      </c>
      <c r="I9511" s="451" t="s">
        <v>28307</v>
      </c>
      <c r="J9511" s="451" t="s">
        <v>22939</v>
      </c>
      <c r="K9511" s="451"/>
    </row>
    <row r="9512" spans="1:11">
      <c r="A9512" s="450" t="s">
        <v>28308</v>
      </c>
      <c r="B9512" s="450" t="s">
        <v>28309</v>
      </c>
      <c r="C9512" s="450" t="s">
        <v>28310</v>
      </c>
      <c r="D9512" s="450" t="s">
        <v>28311</v>
      </c>
      <c r="E9512" s="450"/>
      <c r="F9512" s="450"/>
      <c r="G9512" s="450" t="s">
        <v>22877</v>
      </c>
      <c r="H9512" s="450" t="s">
        <v>22878</v>
      </c>
      <c r="I9512" s="450" t="s">
        <v>28311</v>
      </c>
      <c r="J9512" s="450" t="s">
        <v>28312</v>
      </c>
      <c r="K9512" s="450"/>
    </row>
    <row r="9513" spans="1:11">
      <c r="A9513" s="451" t="s">
        <v>15537</v>
      </c>
      <c r="B9513" s="451"/>
      <c r="C9513" s="451" t="s">
        <v>4821</v>
      </c>
      <c r="D9513" s="451"/>
      <c r="E9513" s="451"/>
      <c r="F9513" s="451"/>
      <c r="G9513" s="451"/>
      <c r="H9513" s="451"/>
      <c r="I9513" s="451"/>
      <c r="J9513" s="451"/>
      <c r="K9513" s="451"/>
    </row>
    <row r="9514" spans="1:11">
      <c r="A9514" s="450" t="s">
        <v>37909</v>
      </c>
      <c r="B9514" s="450"/>
      <c r="C9514" s="450" t="s">
        <v>4821</v>
      </c>
      <c r="D9514" s="450"/>
      <c r="E9514" s="450"/>
      <c r="F9514" s="450"/>
      <c r="G9514" s="450" t="s">
        <v>22877</v>
      </c>
      <c r="H9514" s="450" t="s">
        <v>22878</v>
      </c>
      <c r="I9514" s="450"/>
      <c r="J9514" s="450" t="s">
        <v>22943</v>
      </c>
      <c r="K9514" s="450"/>
    </row>
    <row r="9515" spans="1:11">
      <c r="A9515" s="451" t="s">
        <v>37910</v>
      </c>
      <c r="B9515" s="451"/>
      <c r="C9515" s="451" t="s">
        <v>15060</v>
      </c>
      <c r="D9515" s="451"/>
      <c r="E9515" s="451"/>
      <c r="F9515" s="451"/>
      <c r="G9515" s="451" t="s">
        <v>22877</v>
      </c>
      <c r="H9515" s="451" t="s">
        <v>22878</v>
      </c>
      <c r="I9515" s="451"/>
      <c r="J9515" s="451" t="s">
        <v>23121</v>
      </c>
      <c r="K9515" s="451"/>
    </row>
    <row r="9516" spans="1:11">
      <c r="A9516" s="450" t="s">
        <v>15538</v>
      </c>
      <c r="B9516" s="450"/>
      <c r="C9516" s="450" t="s">
        <v>15060</v>
      </c>
      <c r="D9516" s="450"/>
      <c r="E9516" s="450"/>
      <c r="F9516" s="450"/>
      <c r="G9516" s="450"/>
      <c r="H9516" s="450"/>
      <c r="I9516" s="450"/>
      <c r="J9516" s="450"/>
      <c r="K9516" s="450"/>
    </row>
    <row r="9517" spans="1:11">
      <c r="A9517" s="451" t="s">
        <v>28313</v>
      </c>
      <c r="B9517" s="451" t="s">
        <v>28314</v>
      </c>
      <c r="C9517" s="451" t="s">
        <v>28315</v>
      </c>
      <c r="D9517" s="451"/>
      <c r="E9517" s="451"/>
      <c r="F9517" s="451"/>
      <c r="G9517" s="451" t="s">
        <v>22877</v>
      </c>
      <c r="H9517" s="451" t="s">
        <v>22878</v>
      </c>
      <c r="I9517" s="451" t="s">
        <v>28316</v>
      </c>
      <c r="J9517" s="451" t="s">
        <v>28317</v>
      </c>
      <c r="K9517" s="451"/>
    </row>
    <row r="9518" spans="1:11">
      <c r="A9518" s="450" t="s">
        <v>15539</v>
      </c>
      <c r="B9518" s="450" t="s">
        <v>28318</v>
      </c>
      <c r="C9518" s="450" t="s">
        <v>15541</v>
      </c>
      <c r="D9518" s="450"/>
      <c r="E9518" s="450"/>
      <c r="F9518" s="450"/>
      <c r="G9518" s="450" t="s">
        <v>22877</v>
      </c>
      <c r="H9518" s="450" t="s">
        <v>22878</v>
      </c>
      <c r="I9518" s="450" t="s">
        <v>28319</v>
      </c>
      <c r="J9518" s="450" t="s">
        <v>28320</v>
      </c>
      <c r="K9518" s="450"/>
    </row>
    <row r="9519" spans="1:11">
      <c r="A9519" s="451" t="s">
        <v>15539</v>
      </c>
      <c r="B9519" s="451" t="s">
        <v>15540</v>
      </c>
      <c r="C9519" s="451" t="s">
        <v>15541</v>
      </c>
      <c r="D9519" s="451"/>
      <c r="E9519" s="451"/>
      <c r="F9519" s="451"/>
      <c r="G9519" s="451"/>
      <c r="H9519" s="451"/>
      <c r="I9519" s="451"/>
      <c r="J9519" s="451"/>
      <c r="K9519" s="451"/>
    </row>
    <row r="9520" spans="1:11">
      <c r="A9520" s="450" t="s">
        <v>28321</v>
      </c>
      <c r="B9520" s="450" t="s">
        <v>28322</v>
      </c>
      <c r="C9520" s="450" t="s">
        <v>28323</v>
      </c>
      <c r="D9520" s="450"/>
      <c r="E9520" s="450"/>
      <c r="F9520" s="450"/>
      <c r="G9520" s="450" t="s">
        <v>22877</v>
      </c>
      <c r="H9520" s="450" t="s">
        <v>22878</v>
      </c>
      <c r="I9520" s="450" t="s">
        <v>28324</v>
      </c>
      <c r="J9520" s="450" t="s">
        <v>28325</v>
      </c>
      <c r="K9520" s="450"/>
    </row>
    <row r="9521" spans="1:11">
      <c r="A9521" s="451" t="s">
        <v>28326</v>
      </c>
      <c r="B9521" s="451" t="s">
        <v>28327</v>
      </c>
      <c r="C9521" s="451" t="s">
        <v>28328</v>
      </c>
      <c r="D9521" s="451" t="s">
        <v>15303</v>
      </c>
      <c r="E9521" s="451"/>
      <c r="F9521" s="451"/>
      <c r="G9521" s="451" t="s">
        <v>22877</v>
      </c>
      <c r="H9521" s="451" t="s">
        <v>22878</v>
      </c>
      <c r="I9521" s="451" t="s">
        <v>28329</v>
      </c>
      <c r="J9521" s="451" t="s">
        <v>28330</v>
      </c>
      <c r="K9521" s="451"/>
    </row>
    <row r="9522" spans="1:11">
      <c r="A9522" s="450" t="s">
        <v>28331</v>
      </c>
      <c r="B9522" s="450" t="s">
        <v>28332</v>
      </c>
      <c r="C9522" s="450" t="s">
        <v>3980</v>
      </c>
      <c r="D9522" s="450" t="s">
        <v>15310</v>
      </c>
      <c r="E9522" s="450"/>
      <c r="F9522" s="450"/>
      <c r="G9522" s="450" t="s">
        <v>22877</v>
      </c>
      <c r="H9522" s="450" t="s">
        <v>22878</v>
      </c>
      <c r="I9522" s="450" t="s">
        <v>15310</v>
      </c>
      <c r="J9522" s="450" t="s">
        <v>28333</v>
      </c>
      <c r="K9522" s="450"/>
    </row>
    <row r="9523" spans="1:11">
      <c r="A9523" s="451" t="s">
        <v>37911</v>
      </c>
      <c r="B9523" s="451"/>
      <c r="C9523" s="451" t="s">
        <v>3822</v>
      </c>
      <c r="D9523" s="451"/>
      <c r="E9523" s="451"/>
      <c r="F9523" s="451"/>
      <c r="G9523" s="451" t="s">
        <v>22882</v>
      </c>
      <c r="H9523" s="451" t="s">
        <v>22883</v>
      </c>
      <c r="I9523" s="451"/>
      <c r="J9523" s="451" t="s">
        <v>23121</v>
      </c>
      <c r="K9523" s="451"/>
    </row>
    <row r="9524" spans="1:11">
      <c r="A9524" s="450" t="s">
        <v>15542</v>
      </c>
      <c r="B9524" s="450"/>
      <c r="C9524" s="450" t="s">
        <v>3822</v>
      </c>
      <c r="D9524" s="450"/>
      <c r="E9524" s="450"/>
      <c r="F9524" s="450"/>
      <c r="G9524" s="450"/>
      <c r="H9524" s="450"/>
      <c r="I9524" s="450"/>
      <c r="J9524" s="450"/>
      <c r="K9524" s="450"/>
    </row>
    <row r="9525" spans="1:11">
      <c r="A9525" s="451" t="s">
        <v>28334</v>
      </c>
      <c r="B9525" s="451"/>
      <c r="C9525" s="451" t="s">
        <v>15544</v>
      </c>
      <c r="D9525" s="451"/>
      <c r="E9525" s="451"/>
      <c r="F9525" s="451"/>
      <c r="G9525" s="451" t="s">
        <v>22882</v>
      </c>
      <c r="H9525" s="451" t="s">
        <v>22883</v>
      </c>
      <c r="I9525" s="451" t="s">
        <v>28335</v>
      </c>
      <c r="J9525" s="451" t="s">
        <v>22943</v>
      </c>
      <c r="K9525" s="451"/>
    </row>
    <row r="9526" spans="1:11">
      <c r="A9526" s="450" t="s">
        <v>15543</v>
      </c>
      <c r="B9526" s="450"/>
      <c r="C9526" s="450" t="s">
        <v>15544</v>
      </c>
      <c r="D9526" s="450"/>
      <c r="E9526" s="450"/>
      <c r="F9526" s="450"/>
      <c r="G9526" s="450"/>
      <c r="H9526" s="450"/>
      <c r="I9526" s="450"/>
      <c r="J9526" s="450"/>
      <c r="K9526" s="450"/>
    </row>
    <row r="9527" spans="1:11">
      <c r="A9527" s="451" t="s">
        <v>28336</v>
      </c>
      <c r="B9527" s="451" t="s">
        <v>28337</v>
      </c>
      <c r="C9527" s="451" t="s">
        <v>28338</v>
      </c>
      <c r="D9527" s="451"/>
      <c r="E9527" s="451"/>
      <c r="F9527" s="451"/>
      <c r="G9527" s="451" t="s">
        <v>22877</v>
      </c>
      <c r="H9527" s="451" t="s">
        <v>22878</v>
      </c>
      <c r="I9527" s="451"/>
      <c r="J9527" s="451" t="s">
        <v>28339</v>
      </c>
      <c r="K9527" s="451"/>
    </row>
    <row r="9528" spans="1:11">
      <c r="A9528" s="450" t="s">
        <v>28340</v>
      </c>
      <c r="B9528" s="450" t="s">
        <v>15546</v>
      </c>
      <c r="C9528" s="450" t="s">
        <v>2334</v>
      </c>
      <c r="D9528" s="450" t="s">
        <v>15547</v>
      </c>
      <c r="E9528" s="450"/>
      <c r="F9528" s="450"/>
      <c r="G9528" s="450" t="s">
        <v>22877</v>
      </c>
      <c r="H9528" s="450" t="s">
        <v>22878</v>
      </c>
      <c r="I9528" s="450" t="s">
        <v>15547</v>
      </c>
      <c r="J9528" s="450" t="s">
        <v>28341</v>
      </c>
      <c r="K9528" s="450"/>
    </row>
    <row r="9529" spans="1:11">
      <c r="A9529" s="451" t="s">
        <v>37912</v>
      </c>
      <c r="B9529" s="451" t="s">
        <v>15549</v>
      </c>
      <c r="C9529" s="451" t="s">
        <v>15550</v>
      </c>
      <c r="D9529" s="451" t="s">
        <v>15551</v>
      </c>
      <c r="E9529" s="451"/>
      <c r="F9529" s="451"/>
      <c r="G9529" s="451" t="s">
        <v>22877</v>
      </c>
      <c r="H9529" s="451" t="s">
        <v>22878</v>
      </c>
      <c r="I9529" s="451" t="s">
        <v>15551</v>
      </c>
      <c r="J9529" s="451" t="s">
        <v>37913</v>
      </c>
      <c r="K9529" s="451"/>
    </row>
    <row r="9530" spans="1:11">
      <c r="A9530" s="450" t="s">
        <v>15545</v>
      </c>
      <c r="B9530" s="450" t="s">
        <v>15546</v>
      </c>
      <c r="C9530" s="450" t="s">
        <v>2334</v>
      </c>
      <c r="D9530" s="450" t="s">
        <v>15547</v>
      </c>
      <c r="E9530" s="450"/>
      <c r="F9530" s="450"/>
      <c r="G9530" s="450"/>
      <c r="H9530" s="450"/>
      <c r="I9530" s="450"/>
      <c r="J9530" s="450"/>
      <c r="K9530" s="450"/>
    </row>
    <row r="9531" spans="1:11">
      <c r="A9531" s="451" t="s">
        <v>15548</v>
      </c>
      <c r="B9531" s="451" t="s">
        <v>15549</v>
      </c>
      <c r="C9531" s="451" t="s">
        <v>15550</v>
      </c>
      <c r="D9531" s="451" t="s">
        <v>15551</v>
      </c>
      <c r="E9531" s="451"/>
      <c r="F9531" s="451"/>
      <c r="G9531" s="451"/>
      <c r="H9531" s="451"/>
      <c r="I9531" s="451"/>
      <c r="J9531" s="451"/>
      <c r="K9531" s="451"/>
    </row>
    <row r="9532" spans="1:11">
      <c r="A9532" s="450" t="s">
        <v>15552</v>
      </c>
      <c r="B9532" s="450" t="s">
        <v>15553</v>
      </c>
      <c r="C9532" s="450" t="s">
        <v>15554</v>
      </c>
      <c r="D9532" s="450" t="s">
        <v>6235</v>
      </c>
      <c r="E9532" s="450"/>
      <c r="F9532" s="450" t="s">
        <v>15555</v>
      </c>
      <c r="G9532" s="450" t="s">
        <v>22877</v>
      </c>
      <c r="H9532" s="450" t="s">
        <v>22878</v>
      </c>
      <c r="I9532" s="450" t="s">
        <v>28342</v>
      </c>
      <c r="J9532" s="450" t="s">
        <v>28343</v>
      </c>
      <c r="K9532" s="450"/>
    </row>
    <row r="9533" spans="1:11">
      <c r="A9533" s="451" t="s">
        <v>15552</v>
      </c>
      <c r="B9533" s="451" t="s">
        <v>15553</v>
      </c>
      <c r="C9533" s="451" t="s">
        <v>15554</v>
      </c>
      <c r="D9533" s="451" t="s">
        <v>6235</v>
      </c>
      <c r="E9533" s="451" t="s">
        <v>6236</v>
      </c>
      <c r="F9533" s="451" t="s">
        <v>15555</v>
      </c>
      <c r="G9533" s="451"/>
      <c r="H9533" s="451"/>
      <c r="I9533" s="451"/>
      <c r="J9533" s="451"/>
      <c r="K9533" s="451"/>
    </row>
    <row r="9534" spans="1:11">
      <c r="A9534" s="450" t="s">
        <v>30049</v>
      </c>
      <c r="B9534" s="450" t="s">
        <v>30050</v>
      </c>
      <c r="C9534" s="450" t="s">
        <v>29125</v>
      </c>
      <c r="D9534" s="450"/>
      <c r="E9534" s="450"/>
      <c r="F9534" s="450"/>
      <c r="G9534" s="450"/>
      <c r="H9534" s="450"/>
      <c r="I9534" s="450"/>
      <c r="J9534" s="450"/>
      <c r="K9534" s="450"/>
    </row>
    <row r="9535" spans="1:11">
      <c r="A9535" s="451" t="s">
        <v>28344</v>
      </c>
      <c r="B9535" s="451" t="s">
        <v>28345</v>
      </c>
      <c r="C9535" s="451" t="s">
        <v>28346</v>
      </c>
      <c r="D9535" s="451"/>
      <c r="E9535" s="451"/>
      <c r="F9535" s="451"/>
      <c r="G9535" s="451" t="s">
        <v>22877</v>
      </c>
      <c r="H9535" s="451" t="s">
        <v>22878</v>
      </c>
      <c r="I9535" s="451" t="s">
        <v>28347</v>
      </c>
      <c r="J9535" s="451" t="s">
        <v>28348</v>
      </c>
      <c r="K9535" s="451"/>
    </row>
    <row r="9536" spans="1:11">
      <c r="A9536" s="450" t="s">
        <v>15556</v>
      </c>
      <c r="B9536" s="450"/>
      <c r="C9536" s="450" t="s">
        <v>15557</v>
      </c>
      <c r="D9536" s="450"/>
      <c r="E9536" s="450"/>
      <c r="F9536" s="450"/>
      <c r="G9536" s="450" t="s">
        <v>22882</v>
      </c>
      <c r="H9536" s="450" t="s">
        <v>22883</v>
      </c>
      <c r="I9536" s="450"/>
      <c r="J9536" s="450" t="s">
        <v>22943</v>
      </c>
      <c r="K9536" s="450"/>
    </row>
    <row r="9537" spans="1:11">
      <c r="A9537" s="451" t="s">
        <v>28349</v>
      </c>
      <c r="B9537" s="451"/>
      <c r="C9537" s="451" t="s">
        <v>2570</v>
      </c>
      <c r="D9537" s="451" t="s">
        <v>15559</v>
      </c>
      <c r="E9537" s="451"/>
      <c r="F9537" s="451" t="s">
        <v>28350</v>
      </c>
      <c r="G9537" s="451" t="s">
        <v>22877</v>
      </c>
      <c r="H9537" s="451" t="s">
        <v>22878</v>
      </c>
      <c r="I9537" s="451" t="s">
        <v>28351</v>
      </c>
      <c r="J9537" s="451" t="s">
        <v>28352</v>
      </c>
      <c r="K9537" s="451"/>
    </row>
    <row r="9538" spans="1:11">
      <c r="A9538" s="450" t="s">
        <v>15558</v>
      </c>
      <c r="B9538" s="450"/>
      <c r="C9538" s="450" t="s">
        <v>2570</v>
      </c>
      <c r="D9538" s="450" t="s">
        <v>15559</v>
      </c>
      <c r="E9538" s="450" t="s">
        <v>15560</v>
      </c>
      <c r="F9538" s="450" t="s">
        <v>15561</v>
      </c>
      <c r="G9538" s="450"/>
      <c r="H9538" s="450"/>
      <c r="I9538" s="450"/>
      <c r="J9538" s="450"/>
      <c r="K9538" s="450"/>
    </row>
    <row r="9539" spans="1:11">
      <c r="A9539" s="451" t="s">
        <v>21281</v>
      </c>
      <c r="B9539" s="451" t="s">
        <v>21282</v>
      </c>
      <c r="C9539" s="451" t="s">
        <v>13555</v>
      </c>
      <c r="D9539" s="451" t="s">
        <v>21283</v>
      </c>
      <c r="E9539" s="451"/>
      <c r="F9539" s="451"/>
      <c r="G9539" s="451"/>
      <c r="H9539" s="451"/>
      <c r="I9539" s="451"/>
      <c r="J9539" s="451"/>
      <c r="K9539" s="451"/>
    </row>
    <row r="9540" spans="1:11">
      <c r="A9540" s="450" t="s">
        <v>15562</v>
      </c>
      <c r="B9540" s="450"/>
      <c r="C9540" s="450" t="s">
        <v>15563</v>
      </c>
      <c r="D9540" s="450"/>
      <c r="E9540" s="450"/>
      <c r="F9540" s="450"/>
      <c r="G9540" s="450" t="s">
        <v>22877</v>
      </c>
      <c r="H9540" s="450" t="s">
        <v>22878</v>
      </c>
      <c r="I9540" s="450" t="s">
        <v>37914</v>
      </c>
      <c r="J9540" s="450" t="s">
        <v>23121</v>
      </c>
      <c r="K9540" s="450"/>
    </row>
    <row r="9541" spans="1:11">
      <c r="A9541" s="451" t="s">
        <v>15564</v>
      </c>
      <c r="B9541" s="451"/>
      <c r="C9541" s="451" t="s">
        <v>8384</v>
      </c>
      <c r="D9541" s="451"/>
      <c r="E9541" s="451"/>
      <c r="F9541" s="451"/>
      <c r="G9541" s="451" t="s">
        <v>22877</v>
      </c>
      <c r="H9541" s="451" t="s">
        <v>22878</v>
      </c>
      <c r="I9541" s="451" t="s">
        <v>28353</v>
      </c>
      <c r="J9541" s="451" t="s">
        <v>22939</v>
      </c>
      <c r="K9541" s="451"/>
    </row>
    <row r="9542" spans="1:11">
      <c r="A9542" s="450" t="s">
        <v>15565</v>
      </c>
      <c r="B9542" s="450" t="s">
        <v>15566</v>
      </c>
      <c r="C9542" s="450" t="s">
        <v>15567</v>
      </c>
      <c r="D9542" s="450" t="s">
        <v>15568</v>
      </c>
      <c r="E9542" s="450"/>
      <c r="F9542" s="450"/>
      <c r="G9542" s="450" t="s">
        <v>22877</v>
      </c>
      <c r="H9542" s="450" t="s">
        <v>22878</v>
      </c>
      <c r="I9542" s="450" t="s">
        <v>37915</v>
      </c>
      <c r="J9542" s="450" t="s">
        <v>37916</v>
      </c>
      <c r="K9542" s="450"/>
    </row>
    <row r="9543" spans="1:11">
      <c r="A9543" s="451" t="s">
        <v>15565</v>
      </c>
      <c r="B9543" s="451" t="s">
        <v>15571</v>
      </c>
      <c r="C9543" s="451" t="s">
        <v>15572</v>
      </c>
      <c r="D9543" s="451">
        <v>3183254351</v>
      </c>
      <c r="E9543" s="451"/>
      <c r="F9543" s="451"/>
      <c r="G9543" s="451" t="s">
        <v>22877</v>
      </c>
      <c r="H9543" s="451" t="s">
        <v>22878</v>
      </c>
      <c r="I9543" s="451" t="s">
        <v>37915</v>
      </c>
      <c r="J9543" s="451" t="s">
        <v>37917</v>
      </c>
      <c r="K9543" s="451"/>
    </row>
    <row r="9544" spans="1:11">
      <c r="A9544" s="450" t="s">
        <v>15565</v>
      </c>
      <c r="B9544" s="450" t="s">
        <v>15566</v>
      </c>
      <c r="C9544" s="450" t="s">
        <v>15567</v>
      </c>
      <c r="D9544" s="450" t="s">
        <v>15568</v>
      </c>
      <c r="E9544" s="450" t="s">
        <v>15569</v>
      </c>
      <c r="F9544" s="450"/>
      <c r="G9544" s="450"/>
      <c r="H9544" s="450"/>
      <c r="I9544" s="450"/>
      <c r="J9544" s="450"/>
      <c r="K9544" s="450"/>
    </row>
    <row r="9545" spans="1:11">
      <c r="A9545" s="451" t="s">
        <v>15570</v>
      </c>
      <c r="B9545" s="451" t="s">
        <v>15571</v>
      </c>
      <c r="C9545" s="451" t="s">
        <v>15572</v>
      </c>
      <c r="D9545" s="451">
        <v>3183254351</v>
      </c>
      <c r="E9545" s="451"/>
      <c r="F9545" s="451"/>
      <c r="G9545" s="451"/>
      <c r="H9545" s="451"/>
      <c r="I9545" s="451"/>
      <c r="J9545" s="451"/>
      <c r="K9545" s="451"/>
    </row>
    <row r="9546" spans="1:11">
      <c r="A9546" s="450" t="s">
        <v>21910</v>
      </c>
      <c r="B9546" s="450"/>
      <c r="C9546" s="450" t="s">
        <v>15573</v>
      </c>
      <c r="D9546" s="450"/>
      <c r="E9546" s="450"/>
      <c r="F9546" s="450"/>
      <c r="G9546" s="450" t="s">
        <v>22877</v>
      </c>
      <c r="H9546" s="450" t="s">
        <v>22878</v>
      </c>
      <c r="I9546" s="450" t="s">
        <v>37918</v>
      </c>
      <c r="J9546" s="450" t="s">
        <v>22939</v>
      </c>
      <c r="K9546" s="450"/>
    </row>
    <row r="9547" spans="1:11">
      <c r="A9547" s="451" t="s">
        <v>37919</v>
      </c>
      <c r="B9547" s="451"/>
      <c r="C9547" s="451" t="s">
        <v>15574</v>
      </c>
      <c r="D9547" s="451"/>
      <c r="E9547" s="451"/>
      <c r="F9547" s="451"/>
      <c r="G9547" s="451" t="s">
        <v>22877</v>
      </c>
      <c r="H9547" s="451" t="s">
        <v>22878</v>
      </c>
      <c r="I9547" s="451" t="s">
        <v>37920</v>
      </c>
      <c r="J9547" s="451" t="s">
        <v>26746</v>
      </c>
      <c r="K9547" s="451"/>
    </row>
    <row r="9548" spans="1:11">
      <c r="A9548" s="450" t="s">
        <v>21911</v>
      </c>
      <c r="B9548" s="450"/>
      <c r="C9548" s="450" t="s">
        <v>15574</v>
      </c>
      <c r="D9548" s="450"/>
      <c r="E9548" s="450"/>
      <c r="F9548" s="450"/>
      <c r="G9548" s="450"/>
      <c r="H9548" s="450"/>
      <c r="I9548" s="450"/>
      <c r="J9548" s="450"/>
      <c r="K9548" s="450"/>
    </row>
    <row r="9549" spans="1:11">
      <c r="A9549" s="451" t="s">
        <v>28354</v>
      </c>
      <c r="B9549" s="451" t="s">
        <v>28355</v>
      </c>
      <c r="C9549" s="451" t="s">
        <v>28356</v>
      </c>
      <c r="D9549" s="451"/>
      <c r="E9549" s="451"/>
      <c r="F9549" s="451"/>
      <c r="G9549" s="451" t="s">
        <v>22877</v>
      </c>
      <c r="H9549" s="451" t="s">
        <v>22878</v>
      </c>
      <c r="I9549" s="451" t="s">
        <v>28357</v>
      </c>
      <c r="J9549" s="451" t="s">
        <v>28358</v>
      </c>
      <c r="K9549" s="451"/>
    </row>
    <row r="9550" spans="1:11">
      <c r="A9550" s="450" t="s">
        <v>28359</v>
      </c>
      <c r="B9550" s="450" t="s">
        <v>28360</v>
      </c>
      <c r="C9550" s="450" t="s">
        <v>28361</v>
      </c>
      <c r="D9550" s="450"/>
      <c r="E9550" s="450"/>
      <c r="F9550" s="450"/>
      <c r="G9550" s="450" t="s">
        <v>22877</v>
      </c>
      <c r="H9550" s="450" t="s">
        <v>22878</v>
      </c>
      <c r="I9550" s="450" t="s">
        <v>28362</v>
      </c>
      <c r="J9550" s="450" t="s">
        <v>28363</v>
      </c>
      <c r="K9550" s="450"/>
    </row>
    <row r="9551" spans="1:11">
      <c r="A9551" s="451" t="s">
        <v>37921</v>
      </c>
      <c r="B9551" s="451"/>
      <c r="C9551" s="451" t="s">
        <v>15576</v>
      </c>
      <c r="D9551" s="451"/>
      <c r="E9551" s="451"/>
      <c r="F9551" s="451"/>
      <c r="G9551" s="451" t="s">
        <v>22877</v>
      </c>
      <c r="H9551" s="451" t="s">
        <v>22878</v>
      </c>
      <c r="I9551" s="451" t="s">
        <v>37922</v>
      </c>
      <c r="J9551" s="451" t="s">
        <v>22943</v>
      </c>
      <c r="K9551" s="451"/>
    </row>
    <row r="9552" spans="1:11">
      <c r="A9552" s="450" t="s">
        <v>15575</v>
      </c>
      <c r="B9552" s="450"/>
      <c r="C9552" s="450" t="s">
        <v>15576</v>
      </c>
      <c r="D9552" s="450"/>
      <c r="E9552" s="450"/>
      <c r="F9552" s="450"/>
      <c r="G9552" s="450"/>
      <c r="H9552" s="450"/>
      <c r="I9552" s="450"/>
      <c r="J9552" s="450"/>
      <c r="K9552" s="450"/>
    </row>
    <row r="9553" spans="1:11">
      <c r="A9553" s="451" t="s">
        <v>15577</v>
      </c>
      <c r="B9553" s="451"/>
      <c r="C9553" s="451" t="s">
        <v>4129</v>
      </c>
      <c r="D9553" s="451"/>
      <c r="E9553" s="451"/>
      <c r="F9553" s="451"/>
      <c r="G9553" s="451" t="s">
        <v>22877</v>
      </c>
      <c r="H9553" s="451" t="s">
        <v>22878</v>
      </c>
      <c r="I9553" s="451" t="s">
        <v>25248</v>
      </c>
      <c r="J9553" s="451" t="s">
        <v>22939</v>
      </c>
      <c r="K9553" s="451"/>
    </row>
    <row r="9554" spans="1:11">
      <c r="A9554" s="450" t="s">
        <v>15578</v>
      </c>
      <c r="B9554" s="450"/>
      <c r="C9554" s="450" t="s">
        <v>15579</v>
      </c>
      <c r="D9554" s="450"/>
      <c r="E9554" s="450"/>
      <c r="F9554" s="450"/>
      <c r="G9554" s="450" t="s">
        <v>22877</v>
      </c>
      <c r="H9554" s="450" t="s">
        <v>22878</v>
      </c>
      <c r="I9554" s="450"/>
      <c r="J9554" s="450" t="s">
        <v>22939</v>
      </c>
      <c r="K9554" s="450"/>
    </row>
    <row r="9555" spans="1:11">
      <c r="A9555" s="451" t="s">
        <v>21243</v>
      </c>
      <c r="B9555" s="451" t="s">
        <v>21244</v>
      </c>
      <c r="C9555" s="451" t="s">
        <v>21245</v>
      </c>
      <c r="D9555" s="451" t="s">
        <v>21246</v>
      </c>
      <c r="E9555" s="451"/>
      <c r="F9555" s="451"/>
      <c r="G9555" s="451"/>
      <c r="H9555" s="451"/>
      <c r="I9555" s="451"/>
      <c r="J9555" s="451"/>
      <c r="K9555" s="451"/>
    </row>
    <row r="9556" spans="1:11">
      <c r="A9556" s="450" t="s">
        <v>30051</v>
      </c>
      <c r="B9556" s="450" t="s">
        <v>30052</v>
      </c>
      <c r="C9556" s="450" t="s">
        <v>30053</v>
      </c>
      <c r="D9556" s="450"/>
      <c r="E9556" s="450"/>
      <c r="F9556" s="450"/>
      <c r="G9556" s="450"/>
      <c r="H9556" s="450"/>
      <c r="I9556" s="450"/>
      <c r="J9556" s="450"/>
      <c r="K9556" s="450"/>
    </row>
    <row r="9557" spans="1:11">
      <c r="A9557" s="451" t="s">
        <v>28364</v>
      </c>
      <c r="B9557" s="451" t="s">
        <v>28365</v>
      </c>
      <c r="C9557" s="451" t="s">
        <v>28366</v>
      </c>
      <c r="D9557" s="451"/>
      <c r="E9557" s="451"/>
      <c r="F9557" s="451"/>
      <c r="G9557" s="451" t="s">
        <v>22877</v>
      </c>
      <c r="H9557" s="451" t="s">
        <v>22878</v>
      </c>
      <c r="I9557" s="451" t="s">
        <v>28367</v>
      </c>
      <c r="J9557" s="451" t="s">
        <v>28368</v>
      </c>
      <c r="K9557" s="451"/>
    </row>
    <row r="9558" spans="1:11">
      <c r="A9558" s="450" t="s">
        <v>28369</v>
      </c>
      <c r="B9558" s="450" t="s">
        <v>28370</v>
      </c>
      <c r="C9558" s="450" t="s">
        <v>28371</v>
      </c>
      <c r="D9558" s="450"/>
      <c r="E9558" s="450"/>
      <c r="F9558" s="450"/>
      <c r="G9558" s="450" t="s">
        <v>22877</v>
      </c>
      <c r="H9558" s="450" t="s">
        <v>22878</v>
      </c>
      <c r="I9558" s="450" t="s">
        <v>28372</v>
      </c>
      <c r="J9558" s="450" t="s">
        <v>28373</v>
      </c>
      <c r="K9558" s="450"/>
    </row>
    <row r="9559" spans="1:11">
      <c r="A9559" s="451" t="s">
        <v>15580</v>
      </c>
      <c r="B9559" s="451" t="s">
        <v>28374</v>
      </c>
      <c r="C9559" s="451" t="s">
        <v>4230</v>
      </c>
      <c r="D9559" s="451" t="s">
        <v>15582</v>
      </c>
      <c r="E9559" s="451"/>
      <c r="F9559" s="451"/>
      <c r="G9559" s="451" t="s">
        <v>22882</v>
      </c>
      <c r="H9559" s="451" t="s">
        <v>22883</v>
      </c>
      <c r="I9559" s="451" t="s">
        <v>15582</v>
      </c>
      <c r="J9559" s="451" t="s">
        <v>28375</v>
      </c>
      <c r="K9559" s="451"/>
    </row>
    <row r="9560" spans="1:11">
      <c r="A9560" s="450" t="s">
        <v>15580</v>
      </c>
      <c r="B9560" s="450" t="s">
        <v>15581</v>
      </c>
      <c r="C9560" s="450" t="s">
        <v>4230</v>
      </c>
      <c r="D9560" s="450" t="s">
        <v>15582</v>
      </c>
      <c r="E9560" s="450" t="s">
        <v>15583</v>
      </c>
      <c r="F9560" s="450"/>
      <c r="G9560" s="450"/>
      <c r="H9560" s="450"/>
      <c r="I9560" s="450"/>
      <c r="J9560" s="450"/>
      <c r="K9560" s="450"/>
    </row>
    <row r="9561" spans="1:11">
      <c r="A9561" s="451" t="s">
        <v>15584</v>
      </c>
      <c r="B9561" s="451" t="s">
        <v>31997</v>
      </c>
      <c r="C9561" s="451" t="s">
        <v>15586</v>
      </c>
      <c r="D9561" s="451" t="s">
        <v>15587</v>
      </c>
      <c r="E9561" s="451"/>
      <c r="F9561" s="451"/>
      <c r="G9561" s="451" t="s">
        <v>22882</v>
      </c>
      <c r="H9561" s="451" t="s">
        <v>22883</v>
      </c>
      <c r="I9561" s="451" t="s">
        <v>28376</v>
      </c>
      <c r="J9561" s="451" t="s">
        <v>28377</v>
      </c>
      <c r="K9561" s="451"/>
    </row>
    <row r="9562" spans="1:11">
      <c r="A9562" s="450" t="s">
        <v>15584</v>
      </c>
      <c r="B9562" s="450" t="s">
        <v>31998</v>
      </c>
      <c r="C9562" s="450" t="s">
        <v>15586</v>
      </c>
      <c r="D9562" s="450" t="s">
        <v>15587</v>
      </c>
      <c r="E9562" s="450" t="s">
        <v>15588</v>
      </c>
      <c r="F9562" s="450"/>
      <c r="G9562" s="450"/>
      <c r="H9562" s="450"/>
      <c r="I9562" s="450"/>
      <c r="J9562" s="450"/>
      <c r="K9562" s="450"/>
    </row>
    <row r="9563" spans="1:11">
      <c r="A9563" s="451" t="s">
        <v>15589</v>
      </c>
      <c r="B9563" s="451" t="s">
        <v>28378</v>
      </c>
      <c r="C9563" s="451" t="s">
        <v>15591</v>
      </c>
      <c r="D9563" s="451" t="s">
        <v>15592</v>
      </c>
      <c r="E9563" s="451"/>
      <c r="F9563" s="451"/>
      <c r="G9563" s="451" t="s">
        <v>22877</v>
      </c>
      <c r="H9563" s="451" t="s">
        <v>22878</v>
      </c>
      <c r="I9563" s="451" t="s">
        <v>15592</v>
      </c>
      <c r="J9563" s="451" t="s">
        <v>28379</v>
      </c>
      <c r="K9563" s="451"/>
    </row>
    <row r="9564" spans="1:11">
      <c r="A9564" s="450" t="s">
        <v>15589</v>
      </c>
      <c r="B9564" s="450" t="s">
        <v>15590</v>
      </c>
      <c r="C9564" s="450" t="s">
        <v>15591</v>
      </c>
      <c r="D9564" s="450" t="s">
        <v>15592</v>
      </c>
      <c r="E9564" s="450" t="s">
        <v>15593</v>
      </c>
      <c r="F9564" s="450"/>
      <c r="G9564" s="450"/>
      <c r="H9564" s="450"/>
      <c r="I9564" s="450"/>
      <c r="J9564" s="450"/>
      <c r="K9564" s="450"/>
    </row>
    <row r="9565" spans="1:11">
      <c r="A9565" s="451" t="s">
        <v>15594</v>
      </c>
      <c r="B9565" s="451" t="s">
        <v>15595</v>
      </c>
      <c r="C9565" s="451" t="s">
        <v>7003</v>
      </c>
      <c r="D9565" s="451" t="s">
        <v>15596</v>
      </c>
      <c r="E9565" s="451"/>
      <c r="F9565" s="451"/>
      <c r="G9565" s="451" t="s">
        <v>22877</v>
      </c>
      <c r="H9565" s="451" t="s">
        <v>22878</v>
      </c>
      <c r="I9565" s="451" t="s">
        <v>37923</v>
      </c>
      <c r="J9565" s="451" t="s">
        <v>37924</v>
      </c>
      <c r="K9565" s="451"/>
    </row>
    <row r="9566" spans="1:11">
      <c r="A9566" s="450" t="s">
        <v>15594</v>
      </c>
      <c r="B9566" s="450" t="s">
        <v>15595</v>
      </c>
      <c r="C9566" s="450" t="s">
        <v>7003</v>
      </c>
      <c r="D9566" s="450" t="s">
        <v>15596</v>
      </c>
      <c r="E9566" s="450" t="s">
        <v>15597</v>
      </c>
      <c r="F9566" s="450"/>
      <c r="G9566" s="450"/>
      <c r="H9566" s="450"/>
      <c r="I9566" s="450"/>
      <c r="J9566" s="450"/>
      <c r="K9566" s="450"/>
    </row>
    <row r="9567" spans="1:11">
      <c r="A9567" s="451" t="s">
        <v>15598</v>
      </c>
      <c r="B9567" s="451"/>
      <c r="C9567" s="451" t="s">
        <v>15599</v>
      </c>
      <c r="D9567" s="451"/>
      <c r="E9567" s="451"/>
      <c r="F9567" s="451"/>
      <c r="G9567" s="451" t="s">
        <v>22882</v>
      </c>
      <c r="H9567" s="451" t="s">
        <v>22883</v>
      </c>
      <c r="I9567" s="451" t="s">
        <v>37925</v>
      </c>
      <c r="J9567" s="451" t="s">
        <v>23179</v>
      </c>
      <c r="K9567" s="451"/>
    </row>
    <row r="9568" spans="1:11">
      <c r="A9568" s="450" t="s">
        <v>15600</v>
      </c>
      <c r="B9568" s="450"/>
      <c r="C9568" s="450"/>
      <c r="D9568" s="450" t="s">
        <v>15601</v>
      </c>
      <c r="E9568" s="450"/>
      <c r="F9568" s="450"/>
      <c r="G9568" s="450" t="s">
        <v>22877</v>
      </c>
      <c r="H9568" s="450" t="s">
        <v>22878</v>
      </c>
      <c r="I9568" s="450" t="s">
        <v>37926</v>
      </c>
      <c r="J9568" s="450" t="s">
        <v>37927</v>
      </c>
      <c r="K9568" s="450"/>
    </row>
    <row r="9569" spans="1:11">
      <c r="A9569" s="451" t="s">
        <v>15600</v>
      </c>
      <c r="B9569" s="451"/>
      <c r="C9569" s="451"/>
      <c r="D9569" s="451" t="s">
        <v>15601</v>
      </c>
      <c r="E9569" s="451" t="s">
        <v>15602</v>
      </c>
      <c r="F9569" s="451"/>
      <c r="G9569" s="451"/>
      <c r="H9569" s="451"/>
      <c r="I9569" s="451"/>
      <c r="J9569" s="451"/>
      <c r="K9569" s="451"/>
    </row>
    <row r="9570" spans="1:11">
      <c r="A9570" s="450" t="s">
        <v>15606</v>
      </c>
      <c r="B9570" s="450"/>
      <c r="C9570" s="450" t="s">
        <v>11314</v>
      </c>
      <c r="D9570" s="450"/>
      <c r="E9570" s="450"/>
      <c r="F9570" s="450"/>
      <c r="G9570" s="450"/>
      <c r="H9570" s="450"/>
      <c r="I9570" s="450"/>
      <c r="J9570" s="450"/>
      <c r="K9570" s="450"/>
    </row>
    <row r="9571" spans="1:11">
      <c r="A9571" s="451" t="s">
        <v>28380</v>
      </c>
      <c r="B9571" s="451"/>
      <c r="C9571" s="451" t="s">
        <v>11314</v>
      </c>
      <c r="D9571" s="451"/>
      <c r="E9571" s="451"/>
      <c r="F9571" s="451"/>
      <c r="G9571" s="451" t="s">
        <v>22877</v>
      </c>
      <c r="H9571" s="451" t="s">
        <v>22878</v>
      </c>
      <c r="I9571" s="451" t="s">
        <v>28381</v>
      </c>
      <c r="J9571" s="451" t="s">
        <v>22943</v>
      </c>
      <c r="K9571" s="451"/>
    </row>
    <row r="9572" spans="1:11">
      <c r="A9572" s="450" t="s">
        <v>21912</v>
      </c>
      <c r="B9572" s="450" t="s">
        <v>15603</v>
      </c>
      <c r="C9572" s="450" t="s">
        <v>15604</v>
      </c>
      <c r="D9572" s="450" t="s">
        <v>15605</v>
      </c>
      <c r="E9572" s="450"/>
      <c r="F9572" s="450"/>
      <c r="G9572" s="450" t="s">
        <v>22882</v>
      </c>
      <c r="H9572" s="450" t="s">
        <v>22883</v>
      </c>
      <c r="I9572" s="450" t="s">
        <v>28382</v>
      </c>
      <c r="J9572" s="450" t="s">
        <v>28383</v>
      </c>
      <c r="K9572" s="450"/>
    </row>
    <row r="9573" spans="1:11">
      <c r="A9573" s="451" t="s">
        <v>37928</v>
      </c>
      <c r="B9573" s="451" t="s">
        <v>15608</v>
      </c>
      <c r="C9573" s="451" t="s">
        <v>15609</v>
      </c>
      <c r="D9573" s="451" t="s">
        <v>15610</v>
      </c>
      <c r="E9573" s="451"/>
      <c r="F9573" s="451"/>
      <c r="G9573" s="451" t="s">
        <v>22882</v>
      </c>
      <c r="H9573" s="451" t="s">
        <v>22883</v>
      </c>
      <c r="I9573" s="451" t="s">
        <v>15610</v>
      </c>
      <c r="J9573" s="451" t="s">
        <v>37929</v>
      </c>
      <c r="K9573" s="451"/>
    </row>
    <row r="9574" spans="1:11">
      <c r="A9574" s="450" t="s">
        <v>15607</v>
      </c>
      <c r="B9574" s="450" t="s">
        <v>15608</v>
      </c>
      <c r="C9574" s="450" t="s">
        <v>15609</v>
      </c>
      <c r="D9574" s="450" t="s">
        <v>15610</v>
      </c>
      <c r="E9574" s="450"/>
      <c r="F9574" s="450"/>
      <c r="G9574" s="450"/>
      <c r="H9574" s="450"/>
      <c r="I9574" s="450"/>
      <c r="J9574" s="450"/>
      <c r="K9574" s="450"/>
    </row>
    <row r="9575" spans="1:11">
      <c r="A9575" s="451" t="s">
        <v>28384</v>
      </c>
      <c r="B9575" s="451" t="s">
        <v>28385</v>
      </c>
      <c r="C9575" s="451" t="s">
        <v>15613</v>
      </c>
      <c r="D9575" s="451" t="s">
        <v>15614</v>
      </c>
      <c r="E9575" s="451"/>
      <c r="F9575" s="451"/>
      <c r="G9575" s="451" t="s">
        <v>22877</v>
      </c>
      <c r="H9575" s="451" t="s">
        <v>22878</v>
      </c>
      <c r="I9575" s="451" t="s">
        <v>28386</v>
      </c>
      <c r="J9575" s="451" t="s">
        <v>28387</v>
      </c>
      <c r="K9575" s="451"/>
    </row>
    <row r="9576" spans="1:11">
      <c r="A9576" s="450" t="s">
        <v>15611</v>
      </c>
      <c r="B9576" s="450" t="s">
        <v>15612</v>
      </c>
      <c r="C9576" s="450" t="s">
        <v>15613</v>
      </c>
      <c r="D9576" s="450" t="s">
        <v>15614</v>
      </c>
      <c r="E9576" s="450" t="s">
        <v>15615</v>
      </c>
      <c r="F9576" s="450"/>
      <c r="G9576" s="450"/>
      <c r="H9576" s="450"/>
      <c r="I9576" s="450"/>
      <c r="J9576" s="450"/>
      <c r="K9576" s="450"/>
    </row>
    <row r="9577" spans="1:11">
      <c r="A9577" s="451" t="s">
        <v>28388</v>
      </c>
      <c r="B9577" s="451" t="s">
        <v>28389</v>
      </c>
      <c r="C9577" s="451" t="s">
        <v>28390</v>
      </c>
      <c r="D9577" s="451"/>
      <c r="E9577" s="451"/>
      <c r="F9577" s="451"/>
      <c r="G9577" s="451" t="s">
        <v>22877</v>
      </c>
      <c r="H9577" s="451" t="s">
        <v>22878</v>
      </c>
      <c r="I9577" s="451" t="s">
        <v>28391</v>
      </c>
      <c r="J9577" s="451" t="s">
        <v>28392</v>
      </c>
      <c r="K9577" s="451"/>
    </row>
    <row r="9578" spans="1:11">
      <c r="A9578" s="450" t="s">
        <v>15616</v>
      </c>
      <c r="B9578" s="450"/>
      <c r="C9578" s="450" t="s">
        <v>15617</v>
      </c>
      <c r="D9578" s="450" t="s">
        <v>15618</v>
      </c>
      <c r="E9578" s="450"/>
      <c r="F9578" s="450"/>
      <c r="G9578" s="450"/>
      <c r="H9578" s="450"/>
      <c r="I9578" s="450"/>
      <c r="J9578" s="450"/>
      <c r="K9578" s="450"/>
    </row>
    <row r="9579" spans="1:11">
      <c r="A9579" s="451" t="s">
        <v>37930</v>
      </c>
      <c r="B9579" s="451"/>
      <c r="C9579" s="451" t="s">
        <v>37931</v>
      </c>
      <c r="D9579" s="451" t="s">
        <v>15618</v>
      </c>
      <c r="E9579" s="451"/>
      <c r="F9579" s="451"/>
      <c r="G9579" s="451" t="s">
        <v>22877</v>
      </c>
      <c r="H9579" s="451" t="s">
        <v>22878</v>
      </c>
      <c r="I9579" s="451" t="s">
        <v>37932</v>
      </c>
      <c r="J9579" s="451" t="s">
        <v>37933</v>
      </c>
      <c r="K9579" s="451"/>
    </row>
    <row r="9580" spans="1:11">
      <c r="A9580" s="450" t="s">
        <v>15619</v>
      </c>
      <c r="B9580" s="450"/>
      <c r="C9580" s="450" t="s">
        <v>15620</v>
      </c>
      <c r="D9580" s="450"/>
      <c r="E9580" s="450"/>
      <c r="F9580" s="450"/>
      <c r="G9580" s="450" t="s">
        <v>22877</v>
      </c>
      <c r="H9580" s="450" t="s">
        <v>22878</v>
      </c>
      <c r="I9580" s="450" t="s">
        <v>28393</v>
      </c>
      <c r="J9580" s="450" t="s">
        <v>22937</v>
      </c>
      <c r="K9580" s="450"/>
    </row>
    <row r="9581" spans="1:11">
      <c r="A9581" s="451" t="s">
        <v>15621</v>
      </c>
      <c r="B9581" s="451" t="s">
        <v>28394</v>
      </c>
      <c r="C9581" s="451" t="s">
        <v>15623</v>
      </c>
      <c r="D9581" s="451" t="s">
        <v>15624</v>
      </c>
      <c r="E9581" s="451"/>
      <c r="F9581" s="451"/>
      <c r="G9581" s="451" t="s">
        <v>22877</v>
      </c>
      <c r="H9581" s="451" t="s">
        <v>22878</v>
      </c>
      <c r="I9581" s="451" t="s">
        <v>15624</v>
      </c>
      <c r="J9581" s="451" t="s">
        <v>28395</v>
      </c>
      <c r="K9581" s="451"/>
    </row>
    <row r="9582" spans="1:11">
      <c r="A9582" s="450" t="s">
        <v>15621</v>
      </c>
      <c r="B9582" s="450" t="s">
        <v>15622</v>
      </c>
      <c r="C9582" s="450" t="s">
        <v>15623</v>
      </c>
      <c r="D9582" s="450" t="s">
        <v>15624</v>
      </c>
      <c r="E9582" s="450" t="s">
        <v>15625</v>
      </c>
      <c r="F9582" s="450"/>
      <c r="G9582" s="450"/>
      <c r="H9582" s="450"/>
      <c r="I9582" s="450"/>
      <c r="J9582" s="450"/>
      <c r="K9582" s="450"/>
    </row>
    <row r="9583" spans="1:11">
      <c r="A9583" s="451" t="s">
        <v>37934</v>
      </c>
      <c r="B9583" s="451"/>
      <c r="C9583" s="451" t="s">
        <v>15627</v>
      </c>
      <c r="D9583" s="451"/>
      <c r="E9583" s="451"/>
      <c r="F9583" s="451"/>
      <c r="G9583" s="451" t="s">
        <v>22882</v>
      </c>
      <c r="H9583" s="451" t="s">
        <v>22883</v>
      </c>
      <c r="I9583" s="451" t="s">
        <v>37935</v>
      </c>
      <c r="J9583" s="451" t="s">
        <v>22942</v>
      </c>
      <c r="K9583" s="451"/>
    </row>
    <row r="9584" spans="1:11">
      <c r="A9584" s="450" t="s">
        <v>15626</v>
      </c>
      <c r="B9584" s="450"/>
      <c r="C9584" s="450" t="s">
        <v>15627</v>
      </c>
      <c r="D9584" s="450"/>
      <c r="E9584" s="450"/>
      <c r="F9584" s="450"/>
      <c r="G9584" s="450"/>
      <c r="H9584" s="450"/>
      <c r="I9584" s="450"/>
      <c r="J9584" s="450"/>
      <c r="K9584" s="450"/>
    </row>
    <row r="9585" spans="1:11">
      <c r="A9585" s="451" t="s">
        <v>28396</v>
      </c>
      <c r="B9585" s="451" t="s">
        <v>28397</v>
      </c>
      <c r="C9585" s="451" t="s">
        <v>28398</v>
      </c>
      <c r="D9585" s="451"/>
      <c r="E9585" s="451"/>
      <c r="F9585" s="451"/>
      <c r="G9585" s="451" t="s">
        <v>22877</v>
      </c>
      <c r="H9585" s="451" t="s">
        <v>22878</v>
      </c>
      <c r="I9585" s="451" t="s">
        <v>28399</v>
      </c>
      <c r="J9585" s="451" t="s">
        <v>28400</v>
      </c>
      <c r="K9585" s="451"/>
    </row>
    <row r="9586" spans="1:11">
      <c r="A9586" s="450" t="s">
        <v>15628</v>
      </c>
      <c r="B9586" s="450"/>
      <c r="C9586" s="450" t="s">
        <v>15629</v>
      </c>
      <c r="D9586" s="450"/>
      <c r="E9586" s="450"/>
      <c r="F9586" s="450"/>
      <c r="G9586" s="450" t="s">
        <v>22877</v>
      </c>
      <c r="H9586" s="450" t="s">
        <v>22878</v>
      </c>
      <c r="I9586" s="450" t="s">
        <v>37936</v>
      </c>
      <c r="J9586" s="450" t="s">
        <v>22939</v>
      </c>
      <c r="K9586" s="450"/>
    </row>
    <row r="9587" spans="1:11">
      <c r="A9587" s="451" t="s">
        <v>15630</v>
      </c>
      <c r="B9587" s="451" t="s">
        <v>15631</v>
      </c>
      <c r="C9587" s="451" t="s">
        <v>4210</v>
      </c>
      <c r="D9587" s="451" t="s">
        <v>15632</v>
      </c>
      <c r="E9587" s="451"/>
      <c r="F9587" s="451"/>
      <c r="G9587" s="451" t="s">
        <v>22882</v>
      </c>
      <c r="H9587" s="451" t="s">
        <v>22883</v>
      </c>
      <c r="I9587" s="451"/>
      <c r="J9587" s="451" t="s">
        <v>37937</v>
      </c>
      <c r="K9587" s="451"/>
    </row>
    <row r="9588" spans="1:11">
      <c r="A9588" s="450" t="s">
        <v>15633</v>
      </c>
      <c r="B9588" s="450"/>
      <c r="C9588" s="450" t="s">
        <v>15634</v>
      </c>
      <c r="D9588" s="450"/>
      <c r="E9588" s="450"/>
      <c r="F9588" s="450"/>
      <c r="G9588" s="450"/>
      <c r="H9588" s="450"/>
      <c r="I9588" s="450"/>
      <c r="J9588" s="450"/>
      <c r="K9588" s="450"/>
    </row>
    <row r="9589" spans="1:11">
      <c r="A9589" s="451" t="s">
        <v>28401</v>
      </c>
      <c r="B9589" s="451"/>
      <c r="C9589" s="451" t="s">
        <v>15634</v>
      </c>
      <c r="D9589" s="451"/>
      <c r="E9589" s="451"/>
      <c r="F9589" s="451"/>
      <c r="G9589" s="451" t="s">
        <v>22877</v>
      </c>
      <c r="H9589" s="451" t="s">
        <v>22878</v>
      </c>
      <c r="I9589" s="451" t="s">
        <v>28402</v>
      </c>
      <c r="J9589" s="451" t="s">
        <v>28403</v>
      </c>
      <c r="K9589" s="451"/>
    </row>
    <row r="9590" spans="1:11">
      <c r="A9590" s="450" t="s">
        <v>15635</v>
      </c>
      <c r="B9590" s="450" t="s">
        <v>15636</v>
      </c>
      <c r="C9590" s="450" t="s">
        <v>14713</v>
      </c>
      <c r="D9590" s="450" t="s">
        <v>15637</v>
      </c>
      <c r="E9590" s="450"/>
      <c r="F9590" s="450"/>
      <c r="G9590" s="450" t="s">
        <v>22877</v>
      </c>
      <c r="H9590" s="450" t="s">
        <v>22878</v>
      </c>
      <c r="I9590" s="450" t="s">
        <v>15637</v>
      </c>
      <c r="J9590" s="450" t="s">
        <v>28404</v>
      </c>
      <c r="K9590" s="450"/>
    </row>
    <row r="9591" spans="1:11">
      <c r="A9591" s="451" t="s">
        <v>15638</v>
      </c>
      <c r="B9591" s="451"/>
      <c r="C9591" s="451" t="s">
        <v>14596</v>
      </c>
      <c r="D9591" s="451"/>
      <c r="E9591" s="451"/>
      <c r="F9591" s="451"/>
      <c r="G9591" s="451" t="s">
        <v>22877</v>
      </c>
      <c r="H9591" s="451" t="s">
        <v>22878</v>
      </c>
      <c r="I9591" s="451" t="s">
        <v>28405</v>
      </c>
      <c r="J9591" s="451" t="s">
        <v>28406</v>
      </c>
      <c r="K9591" s="451"/>
    </row>
    <row r="9592" spans="1:11">
      <c r="A9592" s="450" t="s">
        <v>28407</v>
      </c>
      <c r="B9592" s="450" t="s">
        <v>28408</v>
      </c>
      <c r="C9592" s="450" t="s">
        <v>15641</v>
      </c>
      <c r="D9592" s="450"/>
      <c r="E9592" s="450"/>
      <c r="F9592" s="450"/>
      <c r="G9592" s="450" t="s">
        <v>22877</v>
      </c>
      <c r="H9592" s="450" t="s">
        <v>22878</v>
      </c>
      <c r="I9592" s="450" t="s">
        <v>28409</v>
      </c>
      <c r="J9592" s="450" t="s">
        <v>28410</v>
      </c>
      <c r="K9592" s="450"/>
    </row>
    <row r="9593" spans="1:11">
      <c r="A9593" s="451" t="s">
        <v>15639</v>
      </c>
      <c r="B9593" s="451" t="s">
        <v>15640</v>
      </c>
      <c r="C9593" s="451" t="s">
        <v>15641</v>
      </c>
      <c r="D9593" s="451"/>
      <c r="E9593" s="451"/>
      <c r="F9593" s="451"/>
      <c r="G9593" s="451"/>
      <c r="H9593" s="451"/>
      <c r="I9593" s="451"/>
      <c r="J9593" s="451"/>
      <c r="K9593" s="451"/>
    </row>
    <row r="9594" spans="1:11">
      <c r="A9594" s="450" t="s">
        <v>15642</v>
      </c>
      <c r="B9594" s="450"/>
      <c r="C9594" s="450" t="s">
        <v>15643</v>
      </c>
      <c r="D9594" s="450"/>
      <c r="E9594" s="450"/>
      <c r="F9594" s="450"/>
      <c r="G9594" s="450" t="s">
        <v>22882</v>
      </c>
      <c r="H9594" s="450" t="s">
        <v>22883</v>
      </c>
      <c r="I9594" s="450" t="s">
        <v>37938</v>
      </c>
      <c r="J9594" s="450" t="s">
        <v>22939</v>
      </c>
      <c r="K9594" s="450"/>
    </row>
    <row r="9595" spans="1:11">
      <c r="A9595" s="451" t="s">
        <v>15644</v>
      </c>
      <c r="B9595" s="451"/>
      <c r="C9595" s="451" t="s">
        <v>15645</v>
      </c>
      <c r="D9595" s="451"/>
      <c r="E9595" s="451"/>
      <c r="F9595" s="451"/>
      <c r="G9595" s="451" t="s">
        <v>22877</v>
      </c>
      <c r="H9595" s="451" t="s">
        <v>22878</v>
      </c>
      <c r="I9595" s="451"/>
      <c r="J9595" s="451" t="s">
        <v>22939</v>
      </c>
      <c r="K9595" s="451"/>
    </row>
    <row r="9596" spans="1:11">
      <c r="A9596" s="450" t="s">
        <v>28411</v>
      </c>
      <c r="B9596" s="450" t="s">
        <v>28412</v>
      </c>
      <c r="C9596" s="450" t="s">
        <v>7561</v>
      </c>
      <c r="D9596" s="450" t="s">
        <v>28413</v>
      </c>
      <c r="E9596" s="450"/>
      <c r="F9596" s="450" t="s">
        <v>28414</v>
      </c>
      <c r="G9596" s="450" t="s">
        <v>22877</v>
      </c>
      <c r="H9596" s="450" t="s">
        <v>22878</v>
      </c>
      <c r="I9596" s="450" t="s">
        <v>28413</v>
      </c>
      <c r="J9596" s="450" t="s">
        <v>28415</v>
      </c>
      <c r="K9596" s="450"/>
    </row>
    <row r="9597" spans="1:11">
      <c r="A9597" s="451" t="s">
        <v>15646</v>
      </c>
      <c r="B9597" s="451" t="s">
        <v>28416</v>
      </c>
      <c r="C9597" s="451" t="s">
        <v>7561</v>
      </c>
      <c r="D9597" s="451"/>
      <c r="E9597" s="451"/>
      <c r="F9597" s="451"/>
      <c r="G9597" s="451" t="s">
        <v>28417</v>
      </c>
      <c r="H9597" s="451" t="s">
        <v>22878</v>
      </c>
      <c r="I9597" s="451" t="s">
        <v>22992</v>
      </c>
      <c r="J9597" s="451" t="s">
        <v>28418</v>
      </c>
      <c r="K9597" s="451"/>
    </row>
    <row r="9598" spans="1:11">
      <c r="A9598" s="450" t="s">
        <v>15646</v>
      </c>
      <c r="B9598" s="450" t="s">
        <v>15647</v>
      </c>
      <c r="C9598" s="450" t="s">
        <v>7561</v>
      </c>
      <c r="D9598" s="450"/>
      <c r="E9598" s="450"/>
      <c r="F9598" s="450"/>
      <c r="G9598" s="450"/>
      <c r="H9598" s="450"/>
      <c r="I9598" s="450"/>
      <c r="J9598" s="450"/>
      <c r="K9598" s="450"/>
    </row>
    <row r="9599" spans="1:11">
      <c r="A9599" s="451" t="s">
        <v>15648</v>
      </c>
      <c r="B9599" s="451"/>
      <c r="C9599" s="451" t="s">
        <v>15649</v>
      </c>
      <c r="D9599" s="451"/>
      <c r="E9599" s="451"/>
      <c r="F9599" s="451"/>
      <c r="G9599" s="451" t="s">
        <v>22877</v>
      </c>
      <c r="H9599" s="451" t="s">
        <v>22878</v>
      </c>
      <c r="I9599" s="451"/>
      <c r="J9599" s="451" t="s">
        <v>22943</v>
      </c>
      <c r="K9599" s="451"/>
    </row>
    <row r="9600" spans="1:11">
      <c r="A9600" s="450" t="s">
        <v>28419</v>
      </c>
      <c r="B9600" s="450" t="s">
        <v>15651</v>
      </c>
      <c r="C9600" s="450" t="s">
        <v>4744</v>
      </c>
      <c r="D9600" s="450" t="s">
        <v>15652</v>
      </c>
      <c r="E9600" s="450"/>
      <c r="F9600" s="450"/>
      <c r="G9600" s="450" t="s">
        <v>22877</v>
      </c>
      <c r="H9600" s="450" t="s">
        <v>22878</v>
      </c>
      <c r="I9600" s="450" t="s">
        <v>15652</v>
      </c>
      <c r="J9600" s="450" t="s">
        <v>28420</v>
      </c>
      <c r="K9600" s="450"/>
    </row>
    <row r="9601" spans="1:11">
      <c r="A9601" s="451" t="s">
        <v>37939</v>
      </c>
      <c r="B9601" s="451" t="s">
        <v>37940</v>
      </c>
      <c r="C9601" s="451" t="s">
        <v>4138</v>
      </c>
      <c r="D9601" s="451"/>
      <c r="E9601" s="451"/>
      <c r="F9601" s="451"/>
      <c r="G9601" s="451" t="s">
        <v>22882</v>
      </c>
      <c r="H9601" s="451" t="s">
        <v>22883</v>
      </c>
      <c r="I9601" s="451"/>
      <c r="J9601" s="451" t="s">
        <v>37941</v>
      </c>
      <c r="K9601" s="451"/>
    </row>
    <row r="9602" spans="1:11">
      <c r="A9602" s="450" t="s">
        <v>15650</v>
      </c>
      <c r="B9602" s="450" t="s">
        <v>15651</v>
      </c>
      <c r="C9602" s="450" t="s">
        <v>4744</v>
      </c>
      <c r="D9602" s="450" t="s">
        <v>15652</v>
      </c>
      <c r="E9602" s="450" t="s">
        <v>15653</v>
      </c>
      <c r="F9602" s="450"/>
      <c r="G9602" s="450"/>
      <c r="H9602" s="450"/>
      <c r="I9602" s="450"/>
      <c r="J9602" s="450"/>
      <c r="K9602" s="450"/>
    </row>
    <row r="9603" spans="1:11">
      <c r="A9603" s="451" t="s">
        <v>21913</v>
      </c>
      <c r="B9603" s="451" t="s">
        <v>15654</v>
      </c>
      <c r="C9603" s="451" t="s">
        <v>4138</v>
      </c>
      <c r="D9603" s="451"/>
      <c r="E9603" s="451"/>
      <c r="F9603" s="451"/>
      <c r="G9603" s="451"/>
      <c r="H9603" s="451"/>
      <c r="I9603" s="451"/>
      <c r="J9603" s="451"/>
      <c r="K9603" s="451"/>
    </row>
    <row r="9604" spans="1:11">
      <c r="A9604" s="450" t="s">
        <v>15655</v>
      </c>
      <c r="B9604" s="450" t="s">
        <v>28421</v>
      </c>
      <c r="C9604" s="450" t="s">
        <v>15657</v>
      </c>
      <c r="D9604" s="450" t="s">
        <v>15658</v>
      </c>
      <c r="E9604" s="450"/>
      <c r="F9604" s="450"/>
      <c r="G9604" s="450" t="s">
        <v>22877</v>
      </c>
      <c r="H9604" s="450" t="s">
        <v>22878</v>
      </c>
      <c r="I9604" s="450" t="s">
        <v>15658</v>
      </c>
      <c r="J9604" s="450" t="s">
        <v>28422</v>
      </c>
      <c r="K9604" s="450"/>
    </row>
    <row r="9605" spans="1:11">
      <c r="A9605" s="451" t="s">
        <v>15655</v>
      </c>
      <c r="B9605" s="451" t="s">
        <v>15656</v>
      </c>
      <c r="C9605" s="451" t="s">
        <v>15657</v>
      </c>
      <c r="D9605" s="451" t="s">
        <v>15658</v>
      </c>
      <c r="E9605" s="451" t="s">
        <v>15659</v>
      </c>
      <c r="F9605" s="451"/>
      <c r="G9605" s="451"/>
      <c r="H9605" s="451"/>
      <c r="I9605" s="451"/>
      <c r="J9605" s="451"/>
      <c r="K9605" s="451"/>
    </row>
    <row r="9606" spans="1:11">
      <c r="A9606" s="450" t="s">
        <v>15660</v>
      </c>
      <c r="B9606" s="450"/>
      <c r="C9606" s="450" t="s">
        <v>15661</v>
      </c>
      <c r="D9606" s="450"/>
      <c r="E9606" s="450"/>
      <c r="F9606" s="450"/>
      <c r="G9606" s="450" t="s">
        <v>28423</v>
      </c>
      <c r="H9606" s="450" t="s">
        <v>22878</v>
      </c>
      <c r="I9606" s="450" t="s">
        <v>28424</v>
      </c>
      <c r="J9606" s="450" t="s">
        <v>28425</v>
      </c>
      <c r="K9606" s="450" t="s">
        <v>28426</v>
      </c>
    </row>
    <row r="9607" spans="1:11">
      <c r="A9607" s="451" t="s">
        <v>30054</v>
      </c>
      <c r="B9607" s="451" t="s">
        <v>30055</v>
      </c>
      <c r="C9607" s="451" t="s">
        <v>30056</v>
      </c>
      <c r="D9607" s="451" t="s">
        <v>15664</v>
      </c>
      <c r="E9607" s="451"/>
      <c r="F9607" s="451"/>
      <c r="G9607" s="451"/>
      <c r="H9607" s="451"/>
      <c r="I9607" s="451"/>
      <c r="J9607" s="451"/>
      <c r="K9607" s="451"/>
    </row>
    <row r="9608" spans="1:11">
      <c r="A9608" s="450" t="s">
        <v>15666</v>
      </c>
      <c r="B9608" s="450"/>
      <c r="C9608" s="450" t="s">
        <v>3913</v>
      </c>
      <c r="D9608" s="450"/>
      <c r="E9608" s="450"/>
      <c r="F9608" s="450"/>
      <c r="G9608" s="450" t="s">
        <v>28427</v>
      </c>
      <c r="H9608" s="450" t="s">
        <v>22878</v>
      </c>
      <c r="I9608" s="450" t="s">
        <v>28428</v>
      </c>
      <c r="J9608" s="450" t="s">
        <v>28429</v>
      </c>
      <c r="K9608" s="450" t="s">
        <v>28430</v>
      </c>
    </row>
    <row r="9609" spans="1:11">
      <c r="A9609" s="451" t="s">
        <v>37942</v>
      </c>
      <c r="B9609" s="451" t="s">
        <v>15662</v>
      </c>
      <c r="C9609" s="451" t="s">
        <v>15663</v>
      </c>
      <c r="D9609" s="451" t="s">
        <v>15664</v>
      </c>
      <c r="E9609" s="451"/>
      <c r="F9609" s="451"/>
      <c r="G9609" s="451" t="s">
        <v>37943</v>
      </c>
      <c r="H9609" s="451" t="s">
        <v>22878</v>
      </c>
      <c r="I9609" s="451" t="s">
        <v>37944</v>
      </c>
      <c r="J9609" s="451" t="s">
        <v>37945</v>
      </c>
      <c r="K9609" s="451"/>
    </row>
    <row r="9610" spans="1:11">
      <c r="A9610" s="450" t="s">
        <v>21914</v>
      </c>
      <c r="B9610" s="450" t="s">
        <v>15662</v>
      </c>
      <c r="C9610" s="450" t="s">
        <v>15663</v>
      </c>
      <c r="D9610" s="450" t="s">
        <v>15664</v>
      </c>
      <c r="E9610" s="450" t="s">
        <v>15665</v>
      </c>
      <c r="F9610" s="450"/>
      <c r="G9610" s="450"/>
      <c r="H9610" s="450"/>
      <c r="I9610" s="450"/>
      <c r="J9610" s="450"/>
      <c r="K9610" s="450"/>
    </row>
    <row r="9611" spans="1:11">
      <c r="A9611" s="451" t="s">
        <v>15667</v>
      </c>
      <c r="B9611" s="451"/>
      <c r="C9611" s="451" t="s">
        <v>14942</v>
      </c>
      <c r="D9611" s="451"/>
      <c r="E9611" s="451"/>
      <c r="F9611" s="451"/>
      <c r="G9611" s="451" t="s">
        <v>28431</v>
      </c>
      <c r="H9611" s="451" t="s">
        <v>22878</v>
      </c>
      <c r="I9611" s="451" t="s">
        <v>28432</v>
      </c>
      <c r="J9611" s="451" t="s">
        <v>28433</v>
      </c>
      <c r="K9611" s="451"/>
    </row>
    <row r="9612" spans="1:11">
      <c r="A9612" s="450" t="s">
        <v>15668</v>
      </c>
      <c r="B9612" s="450" t="s">
        <v>15669</v>
      </c>
      <c r="C9612" s="450" t="s">
        <v>5378</v>
      </c>
      <c r="D9612" s="450" t="s">
        <v>15670</v>
      </c>
      <c r="E9612" s="450"/>
      <c r="F9612" s="450"/>
      <c r="G9612" s="450" t="s">
        <v>37946</v>
      </c>
      <c r="H9612" s="450" t="s">
        <v>22878</v>
      </c>
      <c r="I9612" s="450" t="s">
        <v>37947</v>
      </c>
      <c r="J9612" s="450" t="s">
        <v>37948</v>
      </c>
      <c r="K9612" s="450"/>
    </row>
    <row r="9613" spans="1:11">
      <c r="A9613" s="451" t="s">
        <v>15668</v>
      </c>
      <c r="B9613" s="451" t="s">
        <v>15669</v>
      </c>
      <c r="C9613" s="451" t="s">
        <v>5378</v>
      </c>
      <c r="D9613" s="451" t="s">
        <v>15670</v>
      </c>
      <c r="E9613" s="451" t="s">
        <v>15671</v>
      </c>
      <c r="F9613" s="451"/>
      <c r="G9613" s="451"/>
      <c r="H9613" s="451"/>
      <c r="I9613" s="451"/>
      <c r="J9613" s="451"/>
      <c r="K9613" s="451"/>
    </row>
    <row r="9614" spans="1:11">
      <c r="A9614" s="450" t="s">
        <v>21915</v>
      </c>
      <c r="B9614" s="450" t="s">
        <v>15672</v>
      </c>
      <c r="C9614" s="450" t="s">
        <v>15673</v>
      </c>
      <c r="D9614" s="450"/>
      <c r="E9614" s="450"/>
      <c r="F9614" s="450" t="s">
        <v>15674</v>
      </c>
      <c r="G9614" s="450" t="s">
        <v>28434</v>
      </c>
      <c r="H9614" s="450" t="s">
        <v>22878</v>
      </c>
      <c r="I9614" s="450" t="s">
        <v>28435</v>
      </c>
      <c r="J9614" s="450" t="s">
        <v>28436</v>
      </c>
      <c r="K9614" s="450"/>
    </row>
    <row r="9615" spans="1:11">
      <c r="A9615" s="451" t="s">
        <v>15675</v>
      </c>
      <c r="B9615" s="451"/>
      <c r="C9615" s="451" t="s">
        <v>15676</v>
      </c>
      <c r="D9615" s="451"/>
      <c r="E9615" s="451"/>
      <c r="F9615" s="451"/>
      <c r="G9615" s="451" t="s">
        <v>37949</v>
      </c>
      <c r="H9615" s="451" t="s">
        <v>22883</v>
      </c>
      <c r="I9615" s="451"/>
      <c r="J9615" s="451" t="s">
        <v>37950</v>
      </c>
      <c r="K9615" s="451"/>
    </row>
    <row r="9616" spans="1:11">
      <c r="A9616" s="450" t="s">
        <v>15677</v>
      </c>
      <c r="B9616" s="450"/>
      <c r="C9616" s="450" t="s">
        <v>15678</v>
      </c>
      <c r="D9616" s="450"/>
      <c r="E9616" s="450"/>
      <c r="F9616" s="450"/>
      <c r="G9616" s="450" t="s">
        <v>28437</v>
      </c>
      <c r="H9616" s="450" t="s">
        <v>22878</v>
      </c>
      <c r="I9616" s="450" t="s">
        <v>28438</v>
      </c>
      <c r="J9616" s="450" t="s">
        <v>28439</v>
      </c>
      <c r="K9616" s="450"/>
    </row>
    <row r="9617" spans="1:11">
      <c r="A9617" s="451" t="s">
        <v>37951</v>
      </c>
      <c r="B9617" s="451" t="s">
        <v>15680</v>
      </c>
      <c r="C9617" s="451" t="s">
        <v>37952</v>
      </c>
      <c r="D9617" s="451" t="s">
        <v>15682</v>
      </c>
      <c r="E9617" s="451"/>
      <c r="F9617" s="451"/>
      <c r="G9617" s="451" t="s">
        <v>37953</v>
      </c>
      <c r="H9617" s="451" t="s">
        <v>22878</v>
      </c>
      <c r="I9617" s="451" t="s">
        <v>15682</v>
      </c>
      <c r="J9617" s="451" t="s">
        <v>37954</v>
      </c>
      <c r="K9617" s="451" t="s">
        <v>37955</v>
      </c>
    </row>
    <row r="9618" spans="1:11">
      <c r="A9618" s="450" t="s">
        <v>15679</v>
      </c>
      <c r="B9618" s="450" t="s">
        <v>15680</v>
      </c>
      <c r="C9618" s="450" t="s">
        <v>15681</v>
      </c>
      <c r="D9618" s="450" t="s">
        <v>15682</v>
      </c>
      <c r="E9618" s="450" t="s">
        <v>15683</v>
      </c>
      <c r="F9618" s="450"/>
      <c r="G9618" s="450"/>
      <c r="H9618" s="450"/>
      <c r="I9618" s="450"/>
      <c r="J9618" s="450"/>
      <c r="K9618" s="450"/>
    </row>
    <row r="9619" spans="1:11">
      <c r="A9619" s="451" t="s">
        <v>15684</v>
      </c>
      <c r="B9619" s="451"/>
      <c r="C9619" s="451" t="s">
        <v>14609</v>
      </c>
      <c r="D9619" s="451"/>
      <c r="E9619" s="451"/>
      <c r="F9619" s="451"/>
      <c r="G9619" s="451" t="s">
        <v>28440</v>
      </c>
      <c r="H9619" s="451" t="s">
        <v>22878</v>
      </c>
      <c r="I9619" s="451" t="s">
        <v>28441</v>
      </c>
      <c r="J9619" s="451" t="s">
        <v>28442</v>
      </c>
      <c r="K9619" s="451"/>
    </row>
    <row r="9620" spans="1:11">
      <c r="A9620" s="450" t="s">
        <v>28443</v>
      </c>
      <c r="B9620" s="450" t="s">
        <v>28444</v>
      </c>
      <c r="C9620" s="450" t="s">
        <v>28445</v>
      </c>
      <c r="D9620" s="450"/>
      <c r="E9620" s="450"/>
      <c r="F9620" s="450"/>
      <c r="G9620" s="450" t="s">
        <v>28446</v>
      </c>
      <c r="H9620" s="450" t="s">
        <v>22878</v>
      </c>
      <c r="I9620" s="450" t="s">
        <v>28447</v>
      </c>
      <c r="J9620" s="450" t="s">
        <v>28448</v>
      </c>
      <c r="K9620" s="450"/>
    </row>
    <row r="9621" spans="1:11">
      <c r="A9621" s="451" t="s">
        <v>15685</v>
      </c>
      <c r="B9621" s="451" t="s">
        <v>15686</v>
      </c>
      <c r="C9621" s="451" t="s">
        <v>15687</v>
      </c>
      <c r="D9621" s="451" t="s">
        <v>15688</v>
      </c>
      <c r="E9621" s="451"/>
      <c r="F9621" s="451"/>
      <c r="G9621" s="451" t="s">
        <v>37956</v>
      </c>
      <c r="H9621" s="451" t="s">
        <v>22878</v>
      </c>
      <c r="I9621" s="451" t="s">
        <v>37957</v>
      </c>
      <c r="J9621" s="451" t="s">
        <v>37958</v>
      </c>
      <c r="K9621" s="451" t="s">
        <v>37959</v>
      </c>
    </row>
    <row r="9622" spans="1:11">
      <c r="A9622" s="450" t="s">
        <v>15685</v>
      </c>
      <c r="B9622" s="450" t="s">
        <v>15686</v>
      </c>
      <c r="C9622" s="450" t="s">
        <v>15687</v>
      </c>
      <c r="D9622" s="450" t="s">
        <v>15688</v>
      </c>
      <c r="E9622" s="450" t="s">
        <v>15689</v>
      </c>
      <c r="F9622" s="450"/>
      <c r="G9622" s="450"/>
      <c r="H9622" s="450"/>
      <c r="I9622" s="450"/>
      <c r="J9622" s="450"/>
      <c r="K9622" s="450"/>
    </row>
    <row r="9623" spans="1:11">
      <c r="A9623" s="451" t="s">
        <v>37960</v>
      </c>
      <c r="B9623" s="451"/>
      <c r="C9623" s="451" t="s">
        <v>15691</v>
      </c>
      <c r="D9623" s="451"/>
      <c r="E9623" s="451"/>
      <c r="F9623" s="451"/>
      <c r="G9623" s="451" t="s">
        <v>37961</v>
      </c>
      <c r="H9623" s="451" t="s">
        <v>22878</v>
      </c>
      <c r="I9623" s="451" t="s">
        <v>37962</v>
      </c>
      <c r="J9623" s="451" t="s">
        <v>37963</v>
      </c>
      <c r="K9623" s="451"/>
    </row>
    <row r="9624" spans="1:11">
      <c r="A9624" s="450" t="s">
        <v>15690</v>
      </c>
      <c r="B9624" s="450"/>
      <c r="C9624" s="450" t="s">
        <v>15691</v>
      </c>
      <c r="D9624" s="450"/>
      <c r="E9624" s="450"/>
      <c r="F9624" s="450"/>
      <c r="G9624" s="450"/>
      <c r="H9624" s="450"/>
      <c r="I9624" s="450"/>
      <c r="J9624" s="450"/>
      <c r="K9624" s="450"/>
    </row>
    <row r="9625" spans="1:11">
      <c r="A9625" s="451" t="s">
        <v>15703</v>
      </c>
      <c r="B9625" s="451"/>
      <c r="C9625" s="451" t="s">
        <v>15281</v>
      </c>
      <c r="D9625" s="451"/>
      <c r="E9625" s="451"/>
      <c r="F9625" s="451"/>
      <c r="G9625" s="451" t="s">
        <v>28449</v>
      </c>
      <c r="H9625" s="451" t="s">
        <v>22883</v>
      </c>
      <c r="I9625" s="451" t="s">
        <v>28450</v>
      </c>
      <c r="J9625" s="451" t="s">
        <v>28451</v>
      </c>
      <c r="K9625" s="451" t="s">
        <v>28452</v>
      </c>
    </row>
    <row r="9626" spans="1:11">
      <c r="A9626" s="450" t="s">
        <v>15704</v>
      </c>
      <c r="B9626" s="450" t="s">
        <v>15705</v>
      </c>
      <c r="C9626" s="450" t="s">
        <v>15706</v>
      </c>
      <c r="D9626" s="450" t="s">
        <v>15707</v>
      </c>
      <c r="E9626" s="450"/>
      <c r="F9626" s="450"/>
      <c r="G9626" s="450" t="s">
        <v>28453</v>
      </c>
      <c r="H9626" s="450" t="s">
        <v>22878</v>
      </c>
      <c r="I9626" s="450" t="s">
        <v>37964</v>
      </c>
      <c r="J9626" s="450" t="s">
        <v>37965</v>
      </c>
      <c r="K9626" s="450"/>
    </row>
    <row r="9627" spans="1:11">
      <c r="A9627" s="451" t="s">
        <v>15704</v>
      </c>
      <c r="B9627" s="451" t="s">
        <v>15705</v>
      </c>
      <c r="C9627" s="451" t="s">
        <v>15706</v>
      </c>
      <c r="D9627" s="451" t="s">
        <v>15707</v>
      </c>
      <c r="E9627" s="451" t="s">
        <v>15708</v>
      </c>
      <c r="F9627" s="451"/>
      <c r="G9627" s="451"/>
      <c r="H9627" s="451"/>
      <c r="I9627" s="451"/>
      <c r="J9627" s="451"/>
      <c r="K9627" s="451"/>
    </row>
    <row r="9628" spans="1:11">
      <c r="A9628" s="450" t="s">
        <v>28454</v>
      </c>
      <c r="B9628" s="450" t="s">
        <v>28455</v>
      </c>
      <c r="C9628" s="450" t="s">
        <v>12230</v>
      </c>
      <c r="D9628" s="450"/>
      <c r="E9628" s="450"/>
      <c r="F9628" s="450"/>
      <c r="G9628" s="450" t="s">
        <v>28456</v>
      </c>
      <c r="H9628" s="450" t="s">
        <v>22878</v>
      </c>
      <c r="I9628" s="450" t="s">
        <v>28457</v>
      </c>
      <c r="J9628" s="450" t="s">
        <v>28455</v>
      </c>
      <c r="K9628" s="450" t="s">
        <v>28458</v>
      </c>
    </row>
    <row r="9629" spans="1:11">
      <c r="A9629" s="451" t="s">
        <v>15709</v>
      </c>
      <c r="B9629" s="451"/>
      <c r="C9629" s="451" t="s">
        <v>10821</v>
      </c>
      <c r="D9629" s="451"/>
      <c r="E9629" s="451"/>
      <c r="F9629" s="451"/>
      <c r="G9629" s="451" t="s">
        <v>37966</v>
      </c>
      <c r="H9629" s="451" t="s">
        <v>22878</v>
      </c>
      <c r="I9629" s="451" t="s">
        <v>37967</v>
      </c>
      <c r="J9629" s="451" t="s">
        <v>37968</v>
      </c>
      <c r="K9629" s="451"/>
    </row>
    <row r="9630" spans="1:11">
      <c r="A9630" s="450" t="s">
        <v>15710</v>
      </c>
      <c r="B9630" s="450"/>
      <c r="C9630" s="450" t="s">
        <v>15711</v>
      </c>
      <c r="D9630" s="450"/>
      <c r="E9630" s="450"/>
      <c r="F9630" s="450"/>
      <c r="G9630" s="450" t="s">
        <v>37969</v>
      </c>
      <c r="H9630" s="450" t="s">
        <v>22878</v>
      </c>
      <c r="I9630" s="450" t="s">
        <v>37970</v>
      </c>
      <c r="J9630" s="450" t="s">
        <v>37971</v>
      </c>
      <c r="K9630" s="450"/>
    </row>
    <row r="9631" spans="1:11">
      <c r="A9631" s="451" t="s">
        <v>21916</v>
      </c>
      <c r="B9631" s="451"/>
      <c r="C9631" s="451" t="s">
        <v>15692</v>
      </c>
      <c r="D9631" s="451"/>
      <c r="E9631" s="451"/>
      <c r="F9631" s="451"/>
      <c r="G9631" s="451"/>
      <c r="H9631" s="451"/>
      <c r="I9631" s="451"/>
      <c r="J9631" s="451"/>
      <c r="K9631" s="451"/>
    </row>
    <row r="9632" spans="1:11">
      <c r="A9632" s="450" t="s">
        <v>37972</v>
      </c>
      <c r="B9632" s="450"/>
      <c r="C9632" s="450" t="s">
        <v>15692</v>
      </c>
      <c r="D9632" s="450"/>
      <c r="E9632" s="450"/>
      <c r="F9632" s="450"/>
      <c r="G9632" s="450" t="s">
        <v>37973</v>
      </c>
      <c r="H9632" s="450" t="s">
        <v>22883</v>
      </c>
      <c r="I9632" s="450"/>
      <c r="J9632" s="450"/>
      <c r="K9632" s="450" t="s">
        <v>37974</v>
      </c>
    </row>
    <row r="9633" spans="1:11">
      <c r="A9633" s="451" t="s">
        <v>21917</v>
      </c>
      <c r="B9633" s="451"/>
      <c r="C9633" s="451" t="s">
        <v>2778</v>
      </c>
      <c r="D9633" s="451"/>
      <c r="E9633" s="451"/>
      <c r="F9633" s="451"/>
      <c r="G9633" s="451" t="s">
        <v>28459</v>
      </c>
      <c r="H9633" s="451" t="s">
        <v>22878</v>
      </c>
      <c r="I9633" s="451" t="s">
        <v>28460</v>
      </c>
      <c r="J9633" s="451" t="s">
        <v>28461</v>
      </c>
      <c r="K9633" s="451"/>
    </row>
    <row r="9634" spans="1:11">
      <c r="A9634" s="450" t="s">
        <v>21380</v>
      </c>
      <c r="B9634" s="450" t="s">
        <v>21381</v>
      </c>
      <c r="C9634" s="450" t="s">
        <v>15224</v>
      </c>
      <c r="D9634" s="450" t="s">
        <v>21382</v>
      </c>
      <c r="E9634" s="450"/>
      <c r="F9634" s="450"/>
      <c r="G9634" s="450"/>
      <c r="H9634" s="450"/>
      <c r="I9634" s="450"/>
      <c r="J9634" s="450"/>
      <c r="K9634" s="450"/>
    </row>
    <row r="9635" spans="1:11">
      <c r="A9635" s="451" t="s">
        <v>21918</v>
      </c>
      <c r="B9635" s="451" t="s">
        <v>15693</v>
      </c>
      <c r="C9635" s="451" t="s">
        <v>15694</v>
      </c>
      <c r="D9635" s="451" t="s">
        <v>15695</v>
      </c>
      <c r="E9635" s="451"/>
      <c r="F9635" s="451"/>
      <c r="G9635" s="451" t="s">
        <v>28462</v>
      </c>
      <c r="H9635" s="451" t="s">
        <v>22878</v>
      </c>
      <c r="I9635" s="451" t="s">
        <v>15695</v>
      </c>
      <c r="J9635" s="451"/>
      <c r="K9635" s="451"/>
    </row>
    <row r="9636" spans="1:11">
      <c r="A9636" s="450" t="s">
        <v>21918</v>
      </c>
      <c r="B9636" s="450" t="s">
        <v>15693</v>
      </c>
      <c r="C9636" s="450" t="s">
        <v>15694</v>
      </c>
      <c r="D9636" s="450" t="s">
        <v>15695</v>
      </c>
      <c r="E9636" s="450" t="s">
        <v>15696</v>
      </c>
      <c r="F9636" s="450"/>
      <c r="G9636" s="450"/>
      <c r="H9636" s="450"/>
      <c r="I9636" s="450"/>
      <c r="J9636" s="450"/>
      <c r="K9636" s="450"/>
    </row>
    <row r="9637" spans="1:11">
      <c r="A9637" s="451" t="s">
        <v>21919</v>
      </c>
      <c r="B9637" s="451"/>
      <c r="C9637" s="451" t="s">
        <v>4935</v>
      </c>
      <c r="D9637" s="451"/>
      <c r="E9637" s="451"/>
      <c r="F9637" s="451"/>
      <c r="G9637" s="451"/>
      <c r="H9637" s="451"/>
      <c r="I9637" s="451"/>
      <c r="J9637" s="451"/>
      <c r="K9637" s="451"/>
    </row>
    <row r="9638" spans="1:11">
      <c r="A9638" s="450" t="s">
        <v>31999</v>
      </c>
      <c r="B9638" s="450"/>
      <c r="C9638" s="450" t="s">
        <v>4935</v>
      </c>
      <c r="D9638" s="450"/>
      <c r="E9638" s="450"/>
      <c r="F9638" s="450"/>
      <c r="G9638" s="450" t="s">
        <v>32000</v>
      </c>
      <c r="H9638" s="450" t="s">
        <v>22878</v>
      </c>
      <c r="I9638" s="450" t="s">
        <v>28463</v>
      </c>
      <c r="J9638" s="450" t="s">
        <v>28464</v>
      </c>
      <c r="K9638" s="450"/>
    </row>
    <row r="9639" spans="1:11">
      <c r="A9639" s="451" t="s">
        <v>21920</v>
      </c>
      <c r="B9639" s="451" t="s">
        <v>15697</v>
      </c>
      <c r="C9639" s="451" t="s">
        <v>1242</v>
      </c>
      <c r="D9639" s="451" t="s">
        <v>15698</v>
      </c>
      <c r="E9639" s="451"/>
      <c r="F9639" s="451"/>
      <c r="G9639" s="451" t="s">
        <v>28453</v>
      </c>
      <c r="H9639" s="451" t="s">
        <v>22878</v>
      </c>
      <c r="I9639" s="451" t="s">
        <v>15698</v>
      </c>
      <c r="J9639" s="451" t="s">
        <v>28465</v>
      </c>
      <c r="K9639" s="451"/>
    </row>
    <row r="9640" spans="1:11">
      <c r="A9640" s="450" t="s">
        <v>32001</v>
      </c>
      <c r="B9640" s="450" t="s">
        <v>28466</v>
      </c>
      <c r="C9640" s="450" t="s">
        <v>2844</v>
      </c>
      <c r="D9640" s="450" t="s">
        <v>28467</v>
      </c>
      <c r="E9640" s="450"/>
      <c r="F9640" s="450"/>
      <c r="G9640" s="450" t="s">
        <v>28468</v>
      </c>
      <c r="H9640" s="450" t="s">
        <v>22883</v>
      </c>
      <c r="I9640" s="450" t="s">
        <v>28467</v>
      </c>
      <c r="J9640" s="450" t="s">
        <v>28466</v>
      </c>
      <c r="K9640" s="450"/>
    </row>
    <row r="9641" spans="1:11">
      <c r="A9641" s="451" t="s">
        <v>22051</v>
      </c>
      <c r="B9641" s="451" t="s">
        <v>22053</v>
      </c>
      <c r="C9641" s="451" t="s">
        <v>22052</v>
      </c>
      <c r="D9641" s="451" t="s">
        <v>22054</v>
      </c>
      <c r="E9641" s="451"/>
      <c r="F9641" s="451"/>
      <c r="G9641" s="451"/>
      <c r="H9641" s="451"/>
      <c r="I9641" s="451"/>
      <c r="J9641" s="451"/>
      <c r="K9641" s="451"/>
    </row>
    <row r="9642" spans="1:11">
      <c r="A9642" s="450" t="s">
        <v>21921</v>
      </c>
      <c r="B9642" s="450" t="s">
        <v>15699</v>
      </c>
      <c r="C9642" s="450" t="s">
        <v>15700</v>
      </c>
      <c r="D9642" s="450" t="s">
        <v>15701</v>
      </c>
      <c r="E9642" s="450" t="s">
        <v>15702</v>
      </c>
      <c r="F9642" s="450"/>
      <c r="G9642" s="450"/>
      <c r="H9642" s="450"/>
      <c r="I9642" s="450"/>
      <c r="J9642" s="450"/>
      <c r="K9642" s="450"/>
    </row>
    <row r="9643" spans="1:11">
      <c r="A9643" s="451" t="s">
        <v>32002</v>
      </c>
      <c r="B9643" s="451" t="s">
        <v>28469</v>
      </c>
      <c r="C9643" s="451" t="s">
        <v>28470</v>
      </c>
      <c r="D9643" s="451" t="s">
        <v>15701</v>
      </c>
      <c r="E9643" s="451"/>
      <c r="F9643" s="451"/>
      <c r="G9643" s="451" t="s">
        <v>28453</v>
      </c>
      <c r="H9643" s="451" t="s">
        <v>22878</v>
      </c>
      <c r="I9643" s="451" t="s">
        <v>15701</v>
      </c>
      <c r="J9643" s="451" t="s">
        <v>28471</v>
      </c>
      <c r="K9643" s="451"/>
    </row>
    <row r="9644" spans="1:11">
      <c r="A9644" s="450" t="s">
        <v>21383</v>
      </c>
      <c r="B9644" s="450" t="s">
        <v>15712</v>
      </c>
      <c r="C9644" s="450" t="s">
        <v>15713</v>
      </c>
      <c r="D9644" s="450" t="s">
        <v>15714</v>
      </c>
      <c r="E9644" s="450" t="s">
        <v>15715</v>
      </c>
      <c r="F9644" s="450"/>
      <c r="G9644" s="450"/>
      <c r="H9644" s="450"/>
      <c r="I9644" s="450"/>
      <c r="J9644" s="450"/>
      <c r="K9644" s="450"/>
    </row>
    <row r="9645" spans="1:11">
      <c r="A9645" s="451" t="s">
        <v>15716</v>
      </c>
      <c r="B9645" s="451"/>
      <c r="C9645" s="451" t="s">
        <v>15717</v>
      </c>
      <c r="D9645" s="451"/>
      <c r="E9645" s="451"/>
      <c r="F9645" s="451"/>
      <c r="G9645" s="451"/>
      <c r="H9645" s="451"/>
      <c r="I9645" s="451"/>
      <c r="J9645" s="451"/>
      <c r="K9645" s="451"/>
    </row>
    <row r="9646" spans="1:11">
      <c r="A9646" s="450" t="s">
        <v>15718</v>
      </c>
      <c r="B9646" s="450"/>
      <c r="C9646" s="450" t="s">
        <v>15719</v>
      </c>
      <c r="D9646" s="450"/>
      <c r="E9646" s="450"/>
      <c r="F9646" s="450"/>
      <c r="G9646" s="450"/>
      <c r="H9646" s="450"/>
      <c r="I9646" s="450"/>
      <c r="J9646" s="450"/>
      <c r="K9646" s="450"/>
    </row>
    <row r="9647" spans="1:11">
      <c r="A9647" s="451" t="s">
        <v>15720</v>
      </c>
      <c r="B9647" s="451"/>
      <c r="C9647" s="451" t="s">
        <v>15721</v>
      </c>
      <c r="D9647" s="451"/>
      <c r="E9647" s="451"/>
      <c r="F9647" s="451"/>
      <c r="G9647" s="451"/>
      <c r="H9647" s="451"/>
      <c r="I9647" s="451"/>
      <c r="J9647" s="451"/>
      <c r="K9647" s="451"/>
    </row>
    <row r="9648" spans="1:11">
      <c r="A9648" s="450" t="s">
        <v>15722</v>
      </c>
      <c r="B9648" s="450"/>
      <c r="C9648" s="450" t="s">
        <v>2749</v>
      </c>
      <c r="D9648" s="450"/>
      <c r="E9648" s="450"/>
      <c r="F9648" s="450"/>
      <c r="G9648" s="450"/>
      <c r="H9648" s="450"/>
      <c r="I9648" s="450"/>
      <c r="J9648" s="450"/>
      <c r="K9648" s="450"/>
    </row>
    <row r="9649" spans="1:11">
      <c r="A9649" s="451" t="s">
        <v>21127</v>
      </c>
      <c r="B9649" s="451" t="s">
        <v>21128</v>
      </c>
      <c r="C9649" s="451" t="s">
        <v>21129</v>
      </c>
      <c r="D9649" s="451" t="s">
        <v>21130</v>
      </c>
      <c r="E9649" s="451"/>
      <c r="F9649" s="451" t="s">
        <v>21131</v>
      </c>
      <c r="G9649" s="451"/>
      <c r="H9649" s="451"/>
      <c r="I9649" s="451"/>
      <c r="J9649" s="451"/>
      <c r="K9649" s="451"/>
    </row>
    <row r="9650" spans="1:11">
      <c r="A9650" s="450" t="s">
        <v>15723</v>
      </c>
      <c r="B9650" s="450"/>
      <c r="C9650" s="450" t="s">
        <v>2793</v>
      </c>
      <c r="D9650" s="450"/>
      <c r="E9650" s="450"/>
      <c r="F9650" s="450"/>
      <c r="G9650" s="450"/>
      <c r="H9650" s="450"/>
      <c r="I9650" s="450"/>
      <c r="J9650" s="450"/>
      <c r="K9650" s="450"/>
    </row>
    <row r="9651" spans="1:11">
      <c r="A9651" s="451" t="s">
        <v>15724</v>
      </c>
      <c r="B9651" s="451"/>
      <c r="C9651" s="451" t="s">
        <v>15725</v>
      </c>
      <c r="D9651" s="451"/>
      <c r="E9651" s="451"/>
      <c r="F9651" s="451"/>
      <c r="G9651" s="451"/>
      <c r="H9651" s="451"/>
      <c r="I9651" s="451"/>
      <c r="J9651" s="451"/>
      <c r="K9651" s="451"/>
    </row>
    <row r="9652" spans="1:11">
      <c r="A9652" s="450" t="s">
        <v>15726</v>
      </c>
      <c r="B9652" s="450"/>
      <c r="C9652" s="450" t="s">
        <v>2267</v>
      </c>
      <c r="D9652" s="450"/>
      <c r="E9652" s="450"/>
      <c r="F9652" s="450"/>
      <c r="G9652" s="450"/>
      <c r="H9652" s="450"/>
      <c r="I9652" s="450"/>
      <c r="J9652" s="450"/>
      <c r="K9652" s="450"/>
    </row>
    <row r="9653" spans="1:11">
      <c r="A9653" s="451" t="s">
        <v>15727</v>
      </c>
      <c r="B9653" s="451" t="s">
        <v>15728</v>
      </c>
      <c r="C9653" s="451" t="s">
        <v>15729</v>
      </c>
      <c r="D9653" s="451" t="s">
        <v>15730</v>
      </c>
      <c r="E9653" s="451" t="s">
        <v>15731</v>
      </c>
      <c r="F9653" s="451"/>
      <c r="G9653" s="451"/>
      <c r="H9653" s="451"/>
      <c r="I9653" s="451"/>
      <c r="J9653" s="451"/>
      <c r="K9653" s="451"/>
    </row>
    <row r="9654" spans="1:11">
      <c r="A9654" s="450" t="s">
        <v>15732</v>
      </c>
      <c r="B9654" s="450"/>
      <c r="C9654" s="450" t="s">
        <v>15733</v>
      </c>
      <c r="D9654" s="450"/>
      <c r="E9654" s="450"/>
      <c r="F9654" s="450"/>
      <c r="G9654" s="450"/>
      <c r="H9654" s="450"/>
      <c r="I9654" s="450"/>
      <c r="J9654" s="450"/>
      <c r="K9654" s="450"/>
    </row>
    <row r="9655" spans="1:11">
      <c r="A9655" s="451" t="s">
        <v>15734</v>
      </c>
      <c r="B9655" s="451"/>
      <c r="C9655" s="451" t="s">
        <v>14228</v>
      </c>
      <c r="D9655" s="451"/>
      <c r="E9655" s="451"/>
      <c r="F9655" s="451"/>
      <c r="G9655" s="451"/>
      <c r="H9655" s="451"/>
      <c r="I9655" s="451"/>
      <c r="J9655" s="451"/>
      <c r="K9655" s="451"/>
    </row>
    <row r="9656" spans="1:11">
      <c r="A9656" s="450" t="s">
        <v>15735</v>
      </c>
      <c r="B9656" s="450"/>
      <c r="C9656" s="450" t="s">
        <v>15736</v>
      </c>
      <c r="D9656" s="450"/>
      <c r="E9656" s="450"/>
      <c r="F9656" s="450"/>
      <c r="G9656" s="450"/>
      <c r="H9656" s="450"/>
      <c r="I9656" s="450"/>
      <c r="J9656" s="450"/>
      <c r="K9656" s="450"/>
    </row>
    <row r="9657" spans="1:11">
      <c r="A9657" s="451" t="s">
        <v>15737</v>
      </c>
      <c r="B9657" s="451"/>
      <c r="C9657" s="451" t="s">
        <v>11349</v>
      </c>
      <c r="D9657" s="451"/>
      <c r="E9657" s="451"/>
      <c r="F9657" s="451"/>
      <c r="G9657" s="451"/>
      <c r="H9657" s="451"/>
      <c r="I9657" s="451"/>
      <c r="J9657" s="451"/>
      <c r="K9657" s="451"/>
    </row>
    <row r="9658" spans="1:11">
      <c r="A9658" s="450" t="s">
        <v>15738</v>
      </c>
      <c r="B9658" s="450"/>
      <c r="C9658" s="450" t="s">
        <v>3526</v>
      </c>
      <c r="D9658" s="450"/>
      <c r="E9658" s="450"/>
      <c r="F9658" s="450"/>
      <c r="G9658" s="450"/>
      <c r="H9658" s="450"/>
      <c r="I9658" s="450"/>
      <c r="J9658" s="450"/>
      <c r="K9658" s="450"/>
    </row>
    <row r="9659" spans="1:11">
      <c r="A9659" s="451" t="s">
        <v>15739</v>
      </c>
      <c r="B9659" s="451"/>
      <c r="C9659" s="451" t="s">
        <v>15711</v>
      </c>
      <c r="D9659" s="451"/>
      <c r="E9659" s="451"/>
      <c r="F9659" s="451"/>
      <c r="G9659" s="451"/>
      <c r="H9659" s="451"/>
      <c r="I9659" s="451"/>
      <c r="J9659" s="451"/>
      <c r="K9659" s="451"/>
    </row>
    <row r="9660" spans="1:11">
      <c r="A9660" s="450" t="s">
        <v>37975</v>
      </c>
      <c r="B9660" s="450" t="s">
        <v>15741</v>
      </c>
      <c r="C9660" s="450" t="s">
        <v>15742</v>
      </c>
      <c r="D9660" s="450" t="s">
        <v>15743</v>
      </c>
      <c r="E9660" s="450"/>
      <c r="F9660" s="450"/>
      <c r="G9660" s="450" t="s">
        <v>37976</v>
      </c>
      <c r="H9660" s="450" t="s">
        <v>22878</v>
      </c>
      <c r="I9660" s="450" t="s">
        <v>15743</v>
      </c>
      <c r="J9660" s="450" t="s">
        <v>37977</v>
      </c>
      <c r="K9660" s="450"/>
    </row>
    <row r="9661" spans="1:11">
      <c r="A9661" s="451" t="s">
        <v>15740</v>
      </c>
      <c r="B9661" s="451" t="s">
        <v>15741</v>
      </c>
      <c r="C9661" s="451" t="s">
        <v>15742</v>
      </c>
      <c r="D9661" s="451" t="s">
        <v>15743</v>
      </c>
      <c r="E9661" s="451" t="s">
        <v>15744</v>
      </c>
      <c r="F9661" s="451"/>
      <c r="G9661" s="451"/>
      <c r="H9661" s="451"/>
      <c r="I9661" s="451"/>
      <c r="J9661" s="451"/>
      <c r="K9661" s="451"/>
    </row>
    <row r="9662" spans="1:11">
      <c r="A9662" s="450" t="s">
        <v>15745</v>
      </c>
      <c r="B9662" s="450"/>
      <c r="C9662" s="450" t="s">
        <v>15746</v>
      </c>
      <c r="D9662" s="450"/>
      <c r="E9662" s="450"/>
      <c r="F9662" s="450"/>
      <c r="G9662" s="450" t="s">
        <v>28472</v>
      </c>
      <c r="H9662" s="450" t="s">
        <v>22878</v>
      </c>
      <c r="I9662" s="450" t="s">
        <v>28473</v>
      </c>
      <c r="J9662" s="450" t="s">
        <v>28474</v>
      </c>
      <c r="K9662" s="450"/>
    </row>
    <row r="9663" spans="1:11">
      <c r="A9663" s="451" t="s">
        <v>28479</v>
      </c>
      <c r="B9663" s="451" t="s">
        <v>28480</v>
      </c>
      <c r="C9663" s="451" t="s">
        <v>28481</v>
      </c>
      <c r="D9663" s="451">
        <v>5867491050</v>
      </c>
      <c r="E9663" s="451"/>
      <c r="F9663" s="451" t="s">
        <v>28482</v>
      </c>
      <c r="G9663" s="451" t="s">
        <v>28483</v>
      </c>
      <c r="H9663" s="451" t="s">
        <v>22878</v>
      </c>
      <c r="I9663" s="451" t="s">
        <v>28484</v>
      </c>
      <c r="J9663" s="451" t="s">
        <v>28480</v>
      </c>
      <c r="K9663" s="451" t="s">
        <v>28485</v>
      </c>
    </row>
    <row r="9664" spans="1:11">
      <c r="A9664" s="450" t="s">
        <v>28486</v>
      </c>
      <c r="B9664" s="450" t="s">
        <v>28487</v>
      </c>
      <c r="C9664" s="450" t="s">
        <v>28488</v>
      </c>
      <c r="D9664" s="450"/>
      <c r="E9664" s="450"/>
      <c r="F9664" s="450"/>
      <c r="G9664" s="450" t="s">
        <v>28489</v>
      </c>
      <c r="H9664" s="450" t="s">
        <v>22878</v>
      </c>
      <c r="I9664" s="450" t="s">
        <v>28490</v>
      </c>
      <c r="J9664" s="450" t="s">
        <v>28491</v>
      </c>
      <c r="K9664" s="450"/>
    </row>
    <row r="9665" spans="1:11">
      <c r="A9665" s="451" t="s">
        <v>28475</v>
      </c>
      <c r="B9665" s="451" t="s">
        <v>28455</v>
      </c>
      <c r="C9665" s="451" t="s">
        <v>28476</v>
      </c>
      <c r="D9665" s="451"/>
      <c r="E9665" s="451"/>
      <c r="F9665" s="451"/>
      <c r="G9665" s="451" t="s">
        <v>28477</v>
      </c>
      <c r="H9665" s="451" t="s">
        <v>22878</v>
      </c>
      <c r="I9665" s="451" t="s">
        <v>28457</v>
      </c>
      <c r="J9665" s="451" t="s">
        <v>28455</v>
      </c>
      <c r="K9665" s="451" t="s">
        <v>28478</v>
      </c>
    </row>
    <row r="9666" spans="1:11">
      <c r="A9666" s="450" t="s">
        <v>15747</v>
      </c>
      <c r="B9666" s="450"/>
      <c r="C9666" s="450" t="s">
        <v>15748</v>
      </c>
      <c r="D9666" s="450"/>
      <c r="E9666" s="450"/>
      <c r="F9666" s="450"/>
      <c r="G9666" s="450" t="s">
        <v>28492</v>
      </c>
      <c r="H9666" s="450" t="s">
        <v>22883</v>
      </c>
      <c r="I9666" s="450"/>
      <c r="J9666" s="450"/>
      <c r="K9666" s="450"/>
    </row>
    <row r="9667" spans="1:11">
      <c r="A9667" s="451" t="s">
        <v>37978</v>
      </c>
      <c r="B9667" s="451" t="s">
        <v>15750</v>
      </c>
      <c r="C9667" s="451" t="s">
        <v>10214</v>
      </c>
      <c r="D9667" s="451" t="s">
        <v>15751</v>
      </c>
      <c r="E9667" s="451"/>
      <c r="F9667" s="451"/>
      <c r="G9667" s="451" t="s">
        <v>37979</v>
      </c>
      <c r="H9667" s="451" t="s">
        <v>22883</v>
      </c>
      <c r="I9667" s="451" t="s">
        <v>15751</v>
      </c>
      <c r="J9667" s="451" t="s">
        <v>37980</v>
      </c>
      <c r="K9667" s="451"/>
    </row>
    <row r="9668" spans="1:11">
      <c r="A9668" s="450" t="s">
        <v>15749</v>
      </c>
      <c r="B9668" s="450" t="s">
        <v>15750</v>
      </c>
      <c r="C9668" s="450" t="s">
        <v>10214</v>
      </c>
      <c r="D9668" s="450" t="s">
        <v>15751</v>
      </c>
      <c r="E9668" s="450" t="s">
        <v>15752</v>
      </c>
      <c r="F9668" s="450"/>
      <c r="G9668" s="450"/>
      <c r="H9668" s="450"/>
      <c r="I9668" s="450"/>
      <c r="J9668" s="450"/>
      <c r="K9668" s="450"/>
    </row>
    <row r="9669" spans="1:11">
      <c r="A9669" s="451" t="s">
        <v>15753</v>
      </c>
      <c r="B9669" s="451" t="s">
        <v>28493</v>
      </c>
      <c r="C9669" s="451" t="s">
        <v>5256</v>
      </c>
      <c r="D9669" s="451" t="s">
        <v>15755</v>
      </c>
      <c r="E9669" s="451"/>
      <c r="F9669" s="451"/>
      <c r="G9669" s="451" t="s">
        <v>28453</v>
      </c>
      <c r="H9669" s="451" t="s">
        <v>22878</v>
      </c>
      <c r="I9669" s="451" t="s">
        <v>15755</v>
      </c>
      <c r="J9669" s="451" t="s">
        <v>28493</v>
      </c>
      <c r="K9669" s="451"/>
    </row>
    <row r="9670" spans="1:11">
      <c r="A9670" s="450" t="s">
        <v>15753</v>
      </c>
      <c r="B9670" s="450" t="s">
        <v>15754</v>
      </c>
      <c r="C9670" s="450" t="s">
        <v>5256</v>
      </c>
      <c r="D9670" s="450" t="s">
        <v>15755</v>
      </c>
      <c r="E9670" s="450" t="s">
        <v>15756</v>
      </c>
      <c r="F9670" s="450"/>
      <c r="G9670" s="450"/>
      <c r="H9670" s="450"/>
      <c r="I9670" s="450"/>
      <c r="J9670" s="450"/>
      <c r="K9670" s="450"/>
    </row>
    <row r="9671" spans="1:11">
      <c r="A9671" s="451" t="s">
        <v>22036</v>
      </c>
      <c r="B9671" s="451" t="s">
        <v>15757</v>
      </c>
      <c r="C9671" s="451" t="s">
        <v>15758</v>
      </c>
      <c r="D9671" s="451" t="s">
        <v>15759</v>
      </c>
      <c r="E9671" s="451"/>
      <c r="F9671" s="451"/>
      <c r="G9671" s="451"/>
      <c r="H9671" s="451"/>
      <c r="I9671" s="451"/>
      <c r="J9671" s="451"/>
      <c r="K9671" s="451"/>
    </row>
    <row r="9672" spans="1:11">
      <c r="A9672" s="450" t="s">
        <v>28494</v>
      </c>
      <c r="B9672" s="450" t="s">
        <v>28495</v>
      </c>
      <c r="C9672" s="450" t="s">
        <v>28496</v>
      </c>
      <c r="D9672" s="450"/>
      <c r="E9672" s="450"/>
      <c r="F9672" s="450"/>
      <c r="G9672" s="450" t="s">
        <v>28497</v>
      </c>
      <c r="H9672" s="450" t="s">
        <v>22878</v>
      </c>
      <c r="I9672" s="450" t="s">
        <v>28498</v>
      </c>
      <c r="J9672" s="450" t="s">
        <v>28499</v>
      </c>
      <c r="K9672" s="450" t="s">
        <v>28500</v>
      </c>
    </row>
    <row r="9673" spans="1:11">
      <c r="A9673" s="451" t="s">
        <v>37981</v>
      </c>
      <c r="B9673" s="451"/>
      <c r="C9673" s="451" t="s">
        <v>15717</v>
      </c>
      <c r="D9673" s="451"/>
      <c r="E9673" s="451"/>
      <c r="F9673" s="451"/>
      <c r="G9673" s="451" t="s">
        <v>37982</v>
      </c>
      <c r="H9673" s="451" t="s">
        <v>22883</v>
      </c>
      <c r="I9673" s="451"/>
      <c r="J9673" s="451" t="s">
        <v>37983</v>
      </c>
      <c r="K9673" s="451" t="s">
        <v>37984</v>
      </c>
    </row>
    <row r="9674" spans="1:11">
      <c r="A9674" s="450" t="s">
        <v>15760</v>
      </c>
      <c r="B9674" s="450"/>
      <c r="C9674" s="450" t="s">
        <v>15761</v>
      </c>
      <c r="D9674" s="450"/>
      <c r="E9674" s="450"/>
      <c r="F9674" s="450"/>
      <c r="G9674" s="450" t="s">
        <v>37985</v>
      </c>
      <c r="H9674" s="450" t="s">
        <v>22878</v>
      </c>
      <c r="I9674" s="450" t="s">
        <v>37986</v>
      </c>
      <c r="J9674" s="450"/>
      <c r="K9674" s="450"/>
    </row>
    <row r="9675" spans="1:11">
      <c r="A9675" s="451" t="s">
        <v>15762</v>
      </c>
      <c r="B9675" s="451"/>
      <c r="C9675" s="451" t="s">
        <v>15763</v>
      </c>
      <c r="D9675" s="451"/>
      <c r="E9675" s="451"/>
      <c r="F9675" s="451"/>
      <c r="G9675" s="451" t="s">
        <v>28501</v>
      </c>
      <c r="H9675" s="451" t="s">
        <v>22878</v>
      </c>
      <c r="I9675" s="451" t="s">
        <v>28502</v>
      </c>
      <c r="J9675" s="451" t="s">
        <v>28503</v>
      </c>
      <c r="K9675" s="451"/>
    </row>
    <row r="9676" spans="1:11">
      <c r="A9676" s="450" t="s">
        <v>28504</v>
      </c>
      <c r="B9676" s="450" t="s">
        <v>27279</v>
      </c>
      <c r="C9676" s="450" t="s">
        <v>20366</v>
      </c>
      <c r="D9676" s="450" t="s">
        <v>28505</v>
      </c>
      <c r="E9676" s="450"/>
      <c r="F9676" s="450"/>
      <c r="G9676" s="450" t="s">
        <v>28506</v>
      </c>
      <c r="H9676" s="450" t="s">
        <v>22878</v>
      </c>
      <c r="I9676" s="450" t="s">
        <v>28505</v>
      </c>
      <c r="J9676" s="450" t="s">
        <v>28507</v>
      </c>
      <c r="K9676" s="450" t="s">
        <v>28508</v>
      </c>
    </row>
    <row r="9677" spans="1:11">
      <c r="A9677" s="451" t="s">
        <v>20364</v>
      </c>
      <c r="B9677" s="451" t="s">
        <v>20365</v>
      </c>
      <c r="C9677" s="451" t="s">
        <v>20366</v>
      </c>
      <c r="D9677" s="451" t="s">
        <v>20367</v>
      </c>
      <c r="E9677" s="451"/>
      <c r="F9677" s="451"/>
      <c r="G9677" s="451"/>
      <c r="H9677" s="451"/>
      <c r="I9677" s="451"/>
      <c r="J9677" s="451"/>
      <c r="K9677" s="451"/>
    </row>
    <row r="9678" spans="1:11">
      <c r="A9678" s="450" t="s">
        <v>15764</v>
      </c>
      <c r="B9678" s="450" t="s">
        <v>15765</v>
      </c>
      <c r="C9678" s="450" t="s">
        <v>15766</v>
      </c>
      <c r="D9678" s="450" t="s">
        <v>15767</v>
      </c>
      <c r="E9678" s="450"/>
      <c r="F9678" s="450"/>
      <c r="G9678" s="450" t="s">
        <v>28509</v>
      </c>
      <c r="H9678" s="450" t="s">
        <v>22883</v>
      </c>
      <c r="I9678" s="450" t="s">
        <v>15767</v>
      </c>
      <c r="J9678" s="450" t="s">
        <v>28510</v>
      </c>
      <c r="K9678" s="450"/>
    </row>
    <row r="9679" spans="1:11">
      <c r="A9679" s="451" t="s">
        <v>15768</v>
      </c>
      <c r="B9679" s="451" t="s">
        <v>15769</v>
      </c>
      <c r="C9679" s="451" t="s">
        <v>15770</v>
      </c>
      <c r="D9679" s="451" t="s">
        <v>15771</v>
      </c>
      <c r="E9679" s="451"/>
      <c r="F9679" s="451"/>
      <c r="G9679" s="451" t="s">
        <v>28511</v>
      </c>
      <c r="H9679" s="451" t="s">
        <v>22878</v>
      </c>
      <c r="I9679" s="451" t="s">
        <v>15771</v>
      </c>
      <c r="J9679" s="451" t="s">
        <v>28512</v>
      </c>
      <c r="K9679" s="451"/>
    </row>
    <row r="9680" spans="1:11">
      <c r="A9680" s="450" t="s">
        <v>15772</v>
      </c>
      <c r="B9680" s="450" t="s">
        <v>15773</v>
      </c>
      <c r="C9680" s="450" t="s">
        <v>1006</v>
      </c>
      <c r="D9680" s="450" t="s">
        <v>15774</v>
      </c>
      <c r="E9680" s="450"/>
      <c r="F9680" s="450"/>
      <c r="G9680" s="450"/>
      <c r="H9680" s="450"/>
      <c r="I9680" s="450"/>
      <c r="J9680" s="450"/>
      <c r="K9680" s="450"/>
    </row>
    <row r="9681" spans="1:11">
      <c r="A9681" s="451" t="s">
        <v>15775</v>
      </c>
      <c r="B9681" s="451" t="s">
        <v>15776</v>
      </c>
      <c r="C9681" s="451" t="s">
        <v>2450</v>
      </c>
      <c r="D9681" s="451" t="s">
        <v>15777</v>
      </c>
      <c r="E9681" s="451"/>
      <c r="F9681" s="451"/>
      <c r="G9681" s="451"/>
      <c r="H9681" s="451"/>
      <c r="I9681" s="451"/>
      <c r="J9681" s="451"/>
      <c r="K9681" s="451"/>
    </row>
    <row r="9682" spans="1:11">
      <c r="A9682" s="450" t="s">
        <v>28513</v>
      </c>
      <c r="B9682" s="450" t="s">
        <v>15773</v>
      </c>
      <c r="C9682" s="450" t="s">
        <v>1006</v>
      </c>
      <c r="D9682" s="450" t="s">
        <v>15774</v>
      </c>
      <c r="E9682" s="450"/>
      <c r="F9682" s="450"/>
      <c r="G9682" s="450" t="s">
        <v>28514</v>
      </c>
      <c r="H9682" s="450" t="s">
        <v>22883</v>
      </c>
      <c r="I9682" s="450" t="s">
        <v>28515</v>
      </c>
      <c r="J9682" s="450" t="s">
        <v>28516</v>
      </c>
      <c r="K9682" s="450"/>
    </row>
    <row r="9683" spans="1:11">
      <c r="A9683" s="451" t="s">
        <v>28517</v>
      </c>
      <c r="B9683" s="451" t="s">
        <v>15776</v>
      </c>
      <c r="C9683" s="451" t="s">
        <v>2450</v>
      </c>
      <c r="D9683" s="451" t="s">
        <v>15777</v>
      </c>
      <c r="E9683" s="451"/>
      <c r="F9683" s="451"/>
      <c r="G9683" s="451" t="s">
        <v>28518</v>
      </c>
      <c r="H9683" s="451" t="s">
        <v>22883</v>
      </c>
      <c r="I9683" s="451" t="s">
        <v>28519</v>
      </c>
      <c r="J9683" s="451" t="s">
        <v>28520</v>
      </c>
      <c r="K9683" s="451" t="s">
        <v>28521</v>
      </c>
    </row>
    <row r="9684" spans="1:11">
      <c r="A9684" s="450" t="s">
        <v>15778</v>
      </c>
      <c r="B9684" s="450"/>
      <c r="C9684" s="450" t="s">
        <v>7796</v>
      </c>
      <c r="D9684" s="450"/>
      <c r="E9684" s="450"/>
      <c r="F9684" s="450"/>
      <c r="G9684" s="450" t="s">
        <v>37987</v>
      </c>
      <c r="H9684" s="450" t="s">
        <v>22878</v>
      </c>
      <c r="I9684" s="450" t="s">
        <v>37988</v>
      </c>
      <c r="J9684" s="450" t="s">
        <v>37989</v>
      </c>
      <c r="K9684" s="450"/>
    </row>
    <row r="9685" spans="1:11">
      <c r="A9685" s="451" t="s">
        <v>15779</v>
      </c>
      <c r="B9685" s="451"/>
      <c r="C9685" s="451" t="s">
        <v>4138</v>
      </c>
      <c r="D9685" s="451"/>
      <c r="E9685" s="451"/>
      <c r="F9685" s="451"/>
      <c r="G9685" s="451" t="s">
        <v>37990</v>
      </c>
      <c r="H9685" s="451" t="s">
        <v>22878</v>
      </c>
      <c r="I9685" s="451" t="s">
        <v>37991</v>
      </c>
      <c r="J9685" s="451" t="s">
        <v>37992</v>
      </c>
      <c r="K9685" s="451" t="s">
        <v>37993</v>
      </c>
    </row>
    <row r="9686" spans="1:11">
      <c r="A9686" s="450" t="s">
        <v>15780</v>
      </c>
      <c r="B9686" s="450"/>
      <c r="C9686" s="450" t="s">
        <v>15781</v>
      </c>
      <c r="D9686" s="450"/>
      <c r="E9686" s="450"/>
      <c r="F9686" s="450"/>
      <c r="G9686" s="450" t="s">
        <v>28522</v>
      </c>
      <c r="H9686" s="450" t="s">
        <v>22878</v>
      </c>
      <c r="I9686" s="450" t="s">
        <v>28523</v>
      </c>
      <c r="J9686" s="450" t="s">
        <v>28524</v>
      </c>
      <c r="K9686" s="450" t="s">
        <v>28525</v>
      </c>
    </row>
    <row r="9687" spans="1:11">
      <c r="A9687" s="451" t="s">
        <v>15782</v>
      </c>
      <c r="B9687" s="451" t="s">
        <v>15783</v>
      </c>
      <c r="C9687" s="451" t="s">
        <v>15784</v>
      </c>
      <c r="D9687" s="451" t="s">
        <v>15785</v>
      </c>
      <c r="E9687" s="451" t="s">
        <v>15786</v>
      </c>
      <c r="F9687" s="451"/>
      <c r="G9687" s="451"/>
      <c r="H9687" s="451"/>
      <c r="I9687" s="451"/>
      <c r="J9687" s="451"/>
      <c r="K9687" s="451"/>
    </row>
    <row r="9688" spans="1:11">
      <c r="A9688" s="450" t="s">
        <v>28526</v>
      </c>
      <c r="B9688" s="450"/>
      <c r="C9688" s="450" t="s">
        <v>15719</v>
      </c>
      <c r="D9688" s="450"/>
      <c r="E9688" s="450"/>
      <c r="F9688" s="450"/>
      <c r="G9688" s="450" t="s">
        <v>28527</v>
      </c>
      <c r="H9688" s="450" t="s">
        <v>22883</v>
      </c>
      <c r="I9688" s="450" t="s">
        <v>28528</v>
      </c>
      <c r="J9688" s="450" t="s">
        <v>28529</v>
      </c>
      <c r="K9688" s="450"/>
    </row>
    <row r="9689" spans="1:11">
      <c r="A9689" s="451" t="s">
        <v>28530</v>
      </c>
      <c r="B9689" s="451" t="s">
        <v>15783</v>
      </c>
      <c r="C9689" s="451" t="s">
        <v>15784</v>
      </c>
      <c r="D9689" s="451" t="s">
        <v>15785</v>
      </c>
      <c r="E9689" s="451"/>
      <c r="F9689" s="451"/>
      <c r="G9689" s="451" t="s">
        <v>28531</v>
      </c>
      <c r="H9689" s="451" t="s">
        <v>22878</v>
      </c>
      <c r="I9689" s="451" t="s">
        <v>15785</v>
      </c>
      <c r="J9689" s="451" t="s">
        <v>21285</v>
      </c>
      <c r="K9689" s="451" t="s">
        <v>28532</v>
      </c>
    </row>
    <row r="9690" spans="1:11">
      <c r="A9690" s="450" t="s">
        <v>15787</v>
      </c>
      <c r="B9690" s="450"/>
      <c r="C9690" s="450" t="s">
        <v>15788</v>
      </c>
      <c r="D9690" s="450"/>
      <c r="E9690" s="450"/>
      <c r="F9690" s="450"/>
      <c r="G9690" s="450" t="s">
        <v>37994</v>
      </c>
      <c r="H9690" s="450" t="s">
        <v>22883</v>
      </c>
      <c r="I9690" s="450" t="s">
        <v>37995</v>
      </c>
      <c r="J9690" s="450" t="s">
        <v>37996</v>
      </c>
      <c r="K9690" s="450" t="s">
        <v>37997</v>
      </c>
    </row>
    <row r="9691" spans="1:11">
      <c r="A9691" s="451" t="s">
        <v>37998</v>
      </c>
      <c r="B9691" s="451"/>
      <c r="C9691" s="451" t="s">
        <v>15763</v>
      </c>
      <c r="D9691" s="451"/>
      <c r="E9691" s="451"/>
      <c r="F9691" s="451"/>
      <c r="G9691" s="451" t="s">
        <v>37999</v>
      </c>
      <c r="H9691" s="451" t="s">
        <v>22878</v>
      </c>
      <c r="I9691" s="451" t="s">
        <v>38000</v>
      </c>
      <c r="J9691" s="451" t="s">
        <v>28503</v>
      </c>
      <c r="K9691" s="451"/>
    </row>
    <row r="9692" spans="1:11">
      <c r="A9692" s="450" t="s">
        <v>15789</v>
      </c>
      <c r="B9692" s="450"/>
      <c r="C9692" s="450" t="s">
        <v>15763</v>
      </c>
      <c r="D9692" s="450"/>
      <c r="E9692" s="450"/>
      <c r="F9692" s="450"/>
      <c r="G9692" s="450"/>
      <c r="H9692" s="450"/>
      <c r="I9692" s="450"/>
      <c r="J9692" s="450"/>
      <c r="K9692" s="450"/>
    </row>
    <row r="9693" spans="1:11">
      <c r="A9693" s="451" t="s">
        <v>15790</v>
      </c>
      <c r="B9693" s="451"/>
      <c r="C9693" s="451" t="s">
        <v>9931</v>
      </c>
      <c r="D9693" s="451"/>
      <c r="E9693" s="451"/>
      <c r="F9693" s="451"/>
      <c r="G9693" s="451" t="s">
        <v>38001</v>
      </c>
      <c r="H9693" s="451" t="s">
        <v>22883</v>
      </c>
      <c r="I9693" s="451" t="s">
        <v>38002</v>
      </c>
      <c r="J9693" s="451" t="s">
        <v>38003</v>
      </c>
      <c r="K9693" s="451"/>
    </row>
    <row r="9694" spans="1:11">
      <c r="A9694" s="450" t="s">
        <v>15791</v>
      </c>
      <c r="B9694" s="450" t="s">
        <v>15792</v>
      </c>
      <c r="C9694" s="450" t="s">
        <v>15793</v>
      </c>
      <c r="D9694" s="450" t="s">
        <v>15794</v>
      </c>
      <c r="E9694" s="450"/>
      <c r="F9694" s="450"/>
      <c r="G9694" s="450"/>
      <c r="H9694" s="450"/>
      <c r="I9694" s="450"/>
      <c r="J9694" s="450"/>
      <c r="K9694" s="450"/>
    </row>
    <row r="9695" spans="1:11">
      <c r="A9695" s="451" t="s">
        <v>38004</v>
      </c>
      <c r="B9695" s="451" t="s">
        <v>15792</v>
      </c>
      <c r="C9695" s="451" t="s">
        <v>15793</v>
      </c>
      <c r="D9695" s="451" t="s">
        <v>15794</v>
      </c>
      <c r="E9695" s="451"/>
      <c r="F9695" s="451"/>
      <c r="G9695" s="451" t="s">
        <v>38005</v>
      </c>
      <c r="H9695" s="451" t="s">
        <v>22883</v>
      </c>
      <c r="I9695" s="451"/>
      <c r="J9695" s="451" t="s">
        <v>15792</v>
      </c>
      <c r="K9695" s="451"/>
    </row>
    <row r="9696" spans="1:11">
      <c r="A9696" s="450" t="s">
        <v>15795</v>
      </c>
      <c r="B9696" s="450"/>
      <c r="C9696" s="450" t="s">
        <v>15796</v>
      </c>
      <c r="D9696" s="450"/>
      <c r="E9696" s="450"/>
      <c r="F9696" s="450"/>
      <c r="G9696" s="450" t="s">
        <v>38006</v>
      </c>
      <c r="H9696" s="450" t="s">
        <v>22883</v>
      </c>
      <c r="I9696" s="450"/>
      <c r="J9696" s="450" t="s">
        <v>38007</v>
      </c>
      <c r="K9696" s="450"/>
    </row>
    <row r="9697" spans="1:11">
      <c r="A9697" s="451" t="s">
        <v>15797</v>
      </c>
      <c r="B9697" s="451"/>
      <c r="C9697" s="451" t="s">
        <v>15798</v>
      </c>
      <c r="D9697" s="451"/>
      <c r="E9697" s="451"/>
      <c r="F9697" s="451"/>
      <c r="G9697" s="451" t="s">
        <v>38008</v>
      </c>
      <c r="H9697" s="451" t="s">
        <v>22883</v>
      </c>
      <c r="I9697" s="451"/>
      <c r="J9697" s="451"/>
      <c r="K9697" s="451" t="s">
        <v>38009</v>
      </c>
    </row>
    <row r="9698" spans="1:11">
      <c r="A9698" s="450" t="s">
        <v>15799</v>
      </c>
      <c r="B9698" s="450"/>
      <c r="C9698" s="450" t="s">
        <v>7020</v>
      </c>
      <c r="D9698" s="450"/>
      <c r="E9698" s="450"/>
      <c r="F9698" s="450"/>
      <c r="G9698" s="450" t="s">
        <v>38010</v>
      </c>
      <c r="H9698" s="450" t="s">
        <v>22878</v>
      </c>
      <c r="I9698" s="450" t="s">
        <v>38011</v>
      </c>
      <c r="J9698" s="450" t="s">
        <v>38012</v>
      </c>
      <c r="K9698" s="450" t="s">
        <v>38013</v>
      </c>
    </row>
    <row r="9699" spans="1:11">
      <c r="A9699" s="451" t="s">
        <v>15800</v>
      </c>
      <c r="B9699" s="451"/>
      <c r="C9699" s="451" t="s">
        <v>15801</v>
      </c>
      <c r="D9699" s="451"/>
      <c r="E9699" s="451"/>
      <c r="F9699" s="451"/>
      <c r="G9699" s="451" t="s">
        <v>28533</v>
      </c>
      <c r="H9699" s="451" t="s">
        <v>22878</v>
      </c>
      <c r="I9699" s="451" t="s">
        <v>28534</v>
      </c>
      <c r="J9699" s="451" t="s">
        <v>28535</v>
      </c>
      <c r="K9699" s="451"/>
    </row>
    <row r="9700" spans="1:11">
      <c r="A9700" s="450" t="s">
        <v>28536</v>
      </c>
      <c r="B9700" s="450" t="s">
        <v>28537</v>
      </c>
      <c r="C9700" s="450" t="s">
        <v>28538</v>
      </c>
      <c r="D9700" s="450"/>
      <c r="E9700" s="450"/>
      <c r="F9700" s="450"/>
      <c r="G9700" s="450" t="s">
        <v>28539</v>
      </c>
      <c r="H9700" s="450" t="s">
        <v>22878</v>
      </c>
      <c r="I9700" s="450" t="s">
        <v>28540</v>
      </c>
      <c r="J9700" s="450" t="s">
        <v>28541</v>
      </c>
      <c r="K9700" s="450"/>
    </row>
    <row r="9701" spans="1:11">
      <c r="A9701" s="451" t="s">
        <v>15802</v>
      </c>
      <c r="B9701" s="451"/>
      <c r="C9701" s="451" t="s">
        <v>15803</v>
      </c>
      <c r="D9701" s="451"/>
      <c r="E9701" s="451"/>
      <c r="F9701" s="451"/>
      <c r="G9701" s="451" t="s">
        <v>38014</v>
      </c>
      <c r="H9701" s="451" t="s">
        <v>22878</v>
      </c>
      <c r="I9701" s="451" t="s">
        <v>38015</v>
      </c>
      <c r="J9701" s="451" t="s">
        <v>38016</v>
      </c>
      <c r="K9701" s="451"/>
    </row>
    <row r="9702" spans="1:11">
      <c r="A9702" s="450" t="s">
        <v>38017</v>
      </c>
      <c r="B9702" s="450"/>
      <c r="C9702" s="450" t="s">
        <v>15721</v>
      </c>
      <c r="D9702" s="450"/>
      <c r="E9702" s="450"/>
      <c r="F9702" s="450"/>
      <c r="G9702" s="450" t="s">
        <v>38018</v>
      </c>
      <c r="H9702" s="450" t="s">
        <v>22878</v>
      </c>
      <c r="I9702" s="450" t="s">
        <v>38019</v>
      </c>
      <c r="J9702" s="450" t="s">
        <v>28491</v>
      </c>
      <c r="K9702" s="450"/>
    </row>
    <row r="9703" spans="1:11">
      <c r="A9703" s="451" t="s">
        <v>15804</v>
      </c>
      <c r="B9703" s="451"/>
      <c r="C9703" s="451" t="s">
        <v>3418</v>
      </c>
      <c r="D9703" s="451"/>
      <c r="E9703" s="451"/>
      <c r="F9703" s="451"/>
      <c r="G9703" s="451"/>
      <c r="H9703" s="451"/>
      <c r="I9703" s="451"/>
      <c r="J9703" s="451"/>
      <c r="K9703" s="451"/>
    </row>
    <row r="9704" spans="1:11">
      <c r="A9704" s="450" t="s">
        <v>38020</v>
      </c>
      <c r="B9704" s="450"/>
      <c r="C9704" s="450" t="s">
        <v>3418</v>
      </c>
      <c r="D9704" s="450"/>
      <c r="E9704" s="450"/>
      <c r="F9704" s="450"/>
      <c r="G9704" s="450" t="s">
        <v>38021</v>
      </c>
      <c r="H9704" s="450" t="s">
        <v>22878</v>
      </c>
      <c r="I9704" s="450" t="s">
        <v>38022</v>
      </c>
      <c r="J9704" s="450" t="s">
        <v>38023</v>
      </c>
      <c r="K9704" s="450" t="s">
        <v>38024</v>
      </c>
    </row>
    <row r="9705" spans="1:11">
      <c r="A9705" s="451" t="s">
        <v>38025</v>
      </c>
      <c r="B9705" s="451"/>
      <c r="C9705" s="451" t="s">
        <v>15808</v>
      </c>
      <c r="D9705" s="451"/>
      <c r="E9705" s="451"/>
      <c r="F9705" s="451"/>
      <c r="G9705" s="451" t="s">
        <v>38026</v>
      </c>
      <c r="H9705" s="451" t="s">
        <v>22878</v>
      </c>
      <c r="I9705" s="451" t="s">
        <v>38027</v>
      </c>
      <c r="J9705" s="451" t="s">
        <v>38028</v>
      </c>
      <c r="K9705" s="451" t="s">
        <v>38029</v>
      </c>
    </row>
    <row r="9706" spans="1:11">
      <c r="A9706" s="450" t="s">
        <v>15805</v>
      </c>
      <c r="B9706" s="450"/>
      <c r="C9706" s="450" t="s">
        <v>15806</v>
      </c>
      <c r="D9706" s="450"/>
      <c r="E9706" s="450"/>
      <c r="F9706" s="450"/>
      <c r="G9706" s="450" t="s">
        <v>38030</v>
      </c>
      <c r="H9706" s="450" t="s">
        <v>22883</v>
      </c>
      <c r="I9706" s="450"/>
      <c r="J9706" s="450"/>
      <c r="K9706" s="450"/>
    </row>
    <row r="9707" spans="1:11">
      <c r="A9707" s="451" t="s">
        <v>15807</v>
      </c>
      <c r="B9707" s="451"/>
      <c r="C9707" s="451" t="s">
        <v>15808</v>
      </c>
      <c r="D9707" s="451"/>
      <c r="E9707" s="451"/>
      <c r="F9707" s="451"/>
      <c r="G9707" s="451"/>
      <c r="H9707" s="451"/>
      <c r="I9707" s="451"/>
      <c r="J9707" s="451"/>
      <c r="K9707" s="451"/>
    </row>
    <row r="9708" spans="1:11">
      <c r="A9708" s="450" t="s">
        <v>15809</v>
      </c>
      <c r="B9708" s="450" t="s">
        <v>28542</v>
      </c>
      <c r="C9708" s="450" t="s">
        <v>9417</v>
      </c>
      <c r="D9708" s="450"/>
      <c r="E9708" s="450"/>
      <c r="F9708" s="450"/>
      <c r="G9708" s="450" t="s">
        <v>28543</v>
      </c>
      <c r="H9708" s="450" t="s">
        <v>22878</v>
      </c>
      <c r="I9708" s="450" t="s">
        <v>26109</v>
      </c>
      <c r="J9708" s="450" t="s">
        <v>28544</v>
      </c>
      <c r="K9708" s="450" t="s">
        <v>28545</v>
      </c>
    </row>
    <row r="9709" spans="1:11">
      <c r="A9709" s="451" t="s">
        <v>15809</v>
      </c>
      <c r="B9709" s="451" t="s">
        <v>15810</v>
      </c>
      <c r="C9709" s="451" t="s">
        <v>9417</v>
      </c>
      <c r="D9709" s="451"/>
      <c r="E9709" s="451"/>
      <c r="F9709" s="451"/>
      <c r="G9709" s="451"/>
      <c r="H9709" s="451"/>
      <c r="I9709" s="451"/>
      <c r="J9709" s="451"/>
      <c r="K9709" s="451"/>
    </row>
    <row r="9710" spans="1:11">
      <c r="A9710" s="450" t="s">
        <v>15811</v>
      </c>
      <c r="B9710" s="450"/>
      <c r="C9710" s="450" t="s">
        <v>15812</v>
      </c>
      <c r="D9710" s="450"/>
      <c r="E9710" s="450"/>
      <c r="F9710" s="450"/>
      <c r="G9710" s="450" t="s">
        <v>38031</v>
      </c>
      <c r="H9710" s="450" t="s">
        <v>22878</v>
      </c>
      <c r="I9710" s="450" t="s">
        <v>38032</v>
      </c>
      <c r="J9710" s="450"/>
      <c r="K9710" s="450" t="s">
        <v>38033</v>
      </c>
    </row>
    <row r="9711" spans="1:11">
      <c r="A9711" s="451" t="s">
        <v>15813</v>
      </c>
      <c r="B9711" s="451"/>
      <c r="C9711" s="451" t="s">
        <v>15814</v>
      </c>
      <c r="D9711" s="451"/>
      <c r="E9711" s="451"/>
      <c r="F9711" s="451"/>
      <c r="G9711" s="451" t="s">
        <v>38034</v>
      </c>
      <c r="H9711" s="451" t="s">
        <v>22878</v>
      </c>
      <c r="I9711" s="451" t="s">
        <v>38035</v>
      </c>
      <c r="J9711" s="451" t="s">
        <v>38036</v>
      </c>
      <c r="K9711" s="451" t="s">
        <v>38037</v>
      </c>
    </row>
    <row r="9712" spans="1:11">
      <c r="A9712" s="450" t="s">
        <v>21384</v>
      </c>
      <c r="B9712" s="450"/>
      <c r="C9712" s="450" t="s">
        <v>1795</v>
      </c>
      <c r="D9712" s="450"/>
      <c r="E9712" s="450"/>
      <c r="F9712" s="450"/>
      <c r="G9712" s="450"/>
      <c r="H9712" s="450"/>
      <c r="I9712" s="450"/>
      <c r="J9712" s="450"/>
      <c r="K9712" s="450"/>
    </row>
    <row r="9713" spans="1:11">
      <c r="A9713" s="451" t="s">
        <v>32003</v>
      </c>
      <c r="B9713" s="451"/>
      <c r="C9713" s="451" t="s">
        <v>1795</v>
      </c>
      <c r="D9713" s="451"/>
      <c r="E9713" s="451"/>
      <c r="F9713" s="451"/>
      <c r="G9713" s="451" t="s">
        <v>28546</v>
      </c>
      <c r="H9713" s="451" t="s">
        <v>22883</v>
      </c>
      <c r="I9713" s="451" t="s">
        <v>28547</v>
      </c>
      <c r="J9713" s="451" t="s">
        <v>28548</v>
      </c>
      <c r="K9713" s="451"/>
    </row>
    <row r="9714" spans="1:11">
      <c r="A9714" s="450" t="s">
        <v>38038</v>
      </c>
      <c r="B9714" s="450" t="s">
        <v>15816</v>
      </c>
      <c r="C9714" s="450" t="s">
        <v>15817</v>
      </c>
      <c r="D9714" s="450"/>
      <c r="E9714" s="450"/>
      <c r="F9714" s="450" t="s">
        <v>15818</v>
      </c>
      <c r="G9714" s="450" t="s">
        <v>38039</v>
      </c>
      <c r="H9714" s="450" t="s">
        <v>22883</v>
      </c>
      <c r="I9714" s="450" t="s">
        <v>38040</v>
      </c>
      <c r="J9714" s="450" t="s">
        <v>38041</v>
      </c>
      <c r="K9714" s="450" t="s">
        <v>9257</v>
      </c>
    </row>
    <row r="9715" spans="1:11">
      <c r="A9715" s="451" t="s">
        <v>15815</v>
      </c>
      <c r="B9715" s="451" t="s">
        <v>15816</v>
      </c>
      <c r="C9715" s="451" t="s">
        <v>15817</v>
      </c>
      <c r="D9715" s="451"/>
      <c r="E9715" s="451"/>
      <c r="F9715" s="451" t="s">
        <v>15818</v>
      </c>
      <c r="G9715" s="451"/>
      <c r="H9715" s="451"/>
      <c r="I9715" s="451"/>
      <c r="J9715" s="451"/>
      <c r="K9715" s="451"/>
    </row>
    <row r="9716" spans="1:11">
      <c r="A9716" s="450" t="s">
        <v>38042</v>
      </c>
      <c r="B9716" s="450"/>
      <c r="C9716" s="450" t="s">
        <v>2749</v>
      </c>
      <c r="D9716" s="450"/>
      <c r="E9716" s="450"/>
      <c r="F9716" s="450"/>
      <c r="G9716" s="450" t="s">
        <v>38043</v>
      </c>
      <c r="H9716" s="450" t="s">
        <v>22878</v>
      </c>
      <c r="I9716" s="450" t="s">
        <v>38044</v>
      </c>
      <c r="J9716" s="450" t="s">
        <v>38045</v>
      </c>
      <c r="K9716" s="450"/>
    </row>
    <row r="9717" spans="1:11">
      <c r="A9717" s="451" t="s">
        <v>15819</v>
      </c>
      <c r="B9717" s="451"/>
      <c r="C9717" s="451" t="s">
        <v>15820</v>
      </c>
      <c r="D9717" s="451"/>
      <c r="E9717" s="451"/>
      <c r="F9717" s="451"/>
      <c r="G9717" s="451" t="s">
        <v>28549</v>
      </c>
      <c r="H9717" s="451" t="s">
        <v>22883</v>
      </c>
      <c r="I9717" s="451"/>
      <c r="J9717" s="451" t="s">
        <v>28550</v>
      </c>
      <c r="K9717" s="451" t="s">
        <v>28551</v>
      </c>
    </row>
    <row r="9718" spans="1:11">
      <c r="A9718" s="450" t="s">
        <v>28552</v>
      </c>
      <c r="B9718" s="450" t="s">
        <v>28553</v>
      </c>
      <c r="C9718" s="450" t="s">
        <v>26883</v>
      </c>
      <c r="D9718" s="450"/>
      <c r="E9718" s="450"/>
      <c r="F9718" s="450" t="s">
        <v>28554</v>
      </c>
      <c r="G9718" s="450" t="s">
        <v>28555</v>
      </c>
      <c r="H9718" s="450" t="s">
        <v>22878</v>
      </c>
      <c r="I9718" s="450" t="s">
        <v>28556</v>
      </c>
      <c r="J9718" s="450" t="s">
        <v>28557</v>
      </c>
      <c r="K9718" s="450"/>
    </row>
    <row r="9719" spans="1:11">
      <c r="A9719" s="451" t="s">
        <v>15821</v>
      </c>
      <c r="B9719" s="451"/>
      <c r="C9719" s="451" t="s">
        <v>15822</v>
      </c>
      <c r="D9719" s="451"/>
      <c r="E9719" s="451"/>
      <c r="F9719" s="451"/>
      <c r="G9719" s="451" t="s">
        <v>28558</v>
      </c>
      <c r="H9719" s="451" t="s">
        <v>22878</v>
      </c>
      <c r="I9719" s="451" t="s">
        <v>28559</v>
      </c>
      <c r="J9719" s="451" t="s">
        <v>28560</v>
      </c>
      <c r="K9719" s="451"/>
    </row>
    <row r="9720" spans="1:11">
      <c r="A9720" s="450" t="s">
        <v>38046</v>
      </c>
      <c r="B9720" s="450" t="s">
        <v>15824</v>
      </c>
      <c r="C9720" s="450" t="s">
        <v>15825</v>
      </c>
      <c r="D9720" s="450"/>
      <c r="E9720" s="450"/>
      <c r="F9720" s="450" t="s">
        <v>38047</v>
      </c>
      <c r="G9720" s="450" t="s">
        <v>38048</v>
      </c>
      <c r="H9720" s="450" t="s">
        <v>22878</v>
      </c>
      <c r="I9720" s="450" t="s">
        <v>38049</v>
      </c>
      <c r="J9720" s="450" t="s">
        <v>15824</v>
      </c>
      <c r="K9720" s="450"/>
    </row>
    <row r="9721" spans="1:11">
      <c r="A9721" s="451" t="s">
        <v>15823</v>
      </c>
      <c r="B9721" s="451" t="s">
        <v>15824</v>
      </c>
      <c r="C9721" s="451" t="s">
        <v>15825</v>
      </c>
      <c r="D9721" s="451"/>
      <c r="E9721" s="451"/>
      <c r="F9721" s="451" t="s">
        <v>15826</v>
      </c>
      <c r="G9721" s="451"/>
      <c r="H9721" s="451"/>
      <c r="I9721" s="451"/>
      <c r="J9721" s="451"/>
      <c r="K9721" s="451"/>
    </row>
    <row r="9722" spans="1:11">
      <c r="A9722" s="450" t="s">
        <v>15827</v>
      </c>
      <c r="B9722" s="450"/>
      <c r="C9722" s="450" t="s">
        <v>15828</v>
      </c>
      <c r="D9722" s="450"/>
      <c r="E9722" s="450"/>
      <c r="F9722" s="450"/>
      <c r="G9722" s="450" t="s">
        <v>28462</v>
      </c>
      <c r="H9722" s="450" t="s">
        <v>22878</v>
      </c>
      <c r="I9722" s="450" t="s">
        <v>28561</v>
      </c>
      <c r="J9722" s="450" t="s">
        <v>28562</v>
      </c>
      <c r="K9722" s="450"/>
    </row>
    <row r="9723" spans="1:11">
      <c r="A9723" s="451" t="s">
        <v>38050</v>
      </c>
      <c r="B9723" s="451" t="s">
        <v>15830</v>
      </c>
      <c r="C9723" s="451" t="s">
        <v>15831</v>
      </c>
      <c r="D9723" s="451"/>
      <c r="E9723" s="451"/>
      <c r="F9723" s="451" t="s">
        <v>38051</v>
      </c>
      <c r="G9723" s="451" t="s">
        <v>38052</v>
      </c>
      <c r="H9723" s="451" t="s">
        <v>22878</v>
      </c>
      <c r="I9723" s="451" t="s">
        <v>38053</v>
      </c>
      <c r="J9723" s="451" t="s">
        <v>38054</v>
      </c>
      <c r="K9723" s="451" t="s">
        <v>38055</v>
      </c>
    </row>
    <row r="9724" spans="1:11">
      <c r="A9724" s="450" t="s">
        <v>15829</v>
      </c>
      <c r="B9724" s="450" t="s">
        <v>15830</v>
      </c>
      <c r="C9724" s="450" t="s">
        <v>15831</v>
      </c>
      <c r="D9724" s="450"/>
      <c r="E9724" s="450"/>
      <c r="F9724" s="450" t="s">
        <v>15832</v>
      </c>
      <c r="G9724" s="450"/>
      <c r="H9724" s="450"/>
      <c r="I9724" s="450"/>
      <c r="J9724" s="450"/>
      <c r="K9724" s="450"/>
    </row>
    <row r="9725" spans="1:11">
      <c r="A9725" s="451" t="s">
        <v>28563</v>
      </c>
      <c r="B9725" s="451" t="s">
        <v>15834</v>
      </c>
      <c r="C9725" s="451" t="s">
        <v>15835</v>
      </c>
      <c r="D9725" s="451" t="s">
        <v>15836</v>
      </c>
      <c r="E9725" s="451"/>
      <c r="F9725" s="451"/>
      <c r="G9725" s="451" t="s">
        <v>28564</v>
      </c>
      <c r="H9725" s="451" t="s">
        <v>22883</v>
      </c>
      <c r="I9725" s="451" t="s">
        <v>15836</v>
      </c>
      <c r="J9725" s="451" t="s">
        <v>28565</v>
      </c>
      <c r="K9725" s="451"/>
    </row>
    <row r="9726" spans="1:11">
      <c r="A9726" s="450" t="s">
        <v>15833</v>
      </c>
      <c r="B9726" s="450" t="s">
        <v>15834</v>
      </c>
      <c r="C9726" s="450" t="s">
        <v>15835</v>
      </c>
      <c r="D9726" s="450" t="s">
        <v>15836</v>
      </c>
      <c r="E9726" s="450"/>
      <c r="F9726" s="450"/>
      <c r="G9726" s="450"/>
      <c r="H9726" s="450"/>
      <c r="I9726" s="450"/>
      <c r="J9726" s="450"/>
      <c r="K9726" s="450"/>
    </row>
    <row r="9727" spans="1:11">
      <c r="A9727" s="451" t="s">
        <v>15837</v>
      </c>
      <c r="B9727" s="451"/>
      <c r="C9727" s="451" t="s">
        <v>15838</v>
      </c>
      <c r="D9727" s="451"/>
      <c r="E9727" s="451"/>
      <c r="F9727" s="451"/>
      <c r="G9727" s="451" t="s">
        <v>38056</v>
      </c>
      <c r="H9727" s="451" t="s">
        <v>22878</v>
      </c>
      <c r="I9727" s="451"/>
      <c r="J9727" s="451"/>
      <c r="K9727" s="451" t="s">
        <v>38057</v>
      </c>
    </row>
    <row r="9728" spans="1:11">
      <c r="A9728" s="450" t="s">
        <v>15839</v>
      </c>
      <c r="B9728" s="450"/>
      <c r="C9728" s="450" t="s">
        <v>15840</v>
      </c>
      <c r="D9728" s="450"/>
      <c r="E9728" s="450"/>
      <c r="F9728" s="450"/>
      <c r="G9728" s="450"/>
      <c r="H9728" s="450"/>
      <c r="I9728" s="450"/>
      <c r="J9728" s="450"/>
      <c r="K9728" s="450"/>
    </row>
    <row r="9729" spans="1:11">
      <c r="A9729" s="451" t="s">
        <v>28566</v>
      </c>
      <c r="B9729" s="451"/>
      <c r="C9729" s="451" t="s">
        <v>15840</v>
      </c>
      <c r="D9729" s="451"/>
      <c r="E9729" s="451"/>
      <c r="F9729" s="451"/>
      <c r="G9729" s="451" t="s">
        <v>28567</v>
      </c>
      <c r="H9729" s="451" t="s">
        <v>22878</v>
      </c>
      <c r="I9729" s="451" t="s">
        <v>28568</v>
      </c>
      <c r="J9729" s="451" t="s">
        <v>28569</v>
      </c>
      <c r="K9729" s="451"/>
    </row>
    <row r="9730" spans="1:11">
      <c r="A9730" s="450" t="s">
        <v>15841</v>
      </c>
      <c r="B9730" s="450" t="s">
        <v>32004</v>
      </c>
      <c r="C9730" s="450" t="s">
        <v>15842</v>
      </c>
      <c r="D9730" s="450"/>
      <c r="E9730" s="450"/>
      <c r="F9730" s="450"/>
      <c r="G9730" s="450" t="s">
        <v>28570</v>
      </c>
      <c r="H9730" s="450" t="s">
        <v>22878</v>
      </c>
      <c r="I9730" s="450" t="s">
        <v>28571</v>
      </c>
      <c r="J9730" s="450" t="s">
        <v>28572</v>
      </c>
      <c r="K9730" s="450" t="s">
        <v>28573</v>
      </c>
    </row>
    <row r="9731" spans="1:11">
      <c r="A9731" s="451" t="s">
        <v>15841</v>
      </c>
      <c r="B9731" s="451" t="s">
        <v>21922</v>
      </c>
      <c r="C9731" s="451" t="s">
        <v>15842</v>
      </c>
      <c r="D9731" s="451"/>
      <c r="E9731" s="451"/>
      <c r="F9731" s="451"/>
      <c r="G9731" s="451"/>
      <c r="H9731" s="451"/>
      <c r="I9731" s="451"/>
      <c r="J9731" s="451"/>
      <c r="K9731" s="451"/>
    </row>
    <row r="9732" spans="1:11">
      <c r="A9732" s="450" t="s">
        <v>15843</v>
      </c>
      <c r="B9732" s="450"/>
      <c r="C9732" s="450" t="s">
        <v>9121</v>
      </c>
      <c r="D9732" s="450"/>
      <c r="E9732" s="450"/>
      <c r="F9732" s="450"/>
      <c r="G9732" s="450" t="s">
        <v>38058</v>
      </c>
      <c r="H9732" s="450" t="s">
        <v>22883</v>
      </c>
      <c r="I9732" s="450" t="s">
        <v>38059</v>
      </c>
      <c r="J9732" s="450" t="s">
        <v>38060</v>
      </c>
      <c r="K9732" s="450" t="s">
        <v>38061</v>
      </c>
    </row>
    <row r="9733" spans="1:11">
      <c r="A9733" s="451" t="s">
        <v>21923</v>
      </c>
      <c r="B9733" s="451"/>
      <c r="C9733" s="451" t="s">
        <v>15844</v>
      </c>
      <c r="D9733" s="451"/>
      <c r="E9733" s="451"/>
      <c r="F9733" s="451"/>
      <c r="G9733" s="451" t="s">
        <v>38062</v>
      </c>
      <c r="H9733" s="451" t="s">
        <v>22883</v>
      </c>
      <c r="I9733" s="451" t="s">
        <v>38063</v>
      </c>
      <c r="J9733" s="451" t="s">
        <v>38064</v>
      </c>
      <c r="K9733" s="451" t="s">
        <v>38065</v>
      </c>
    </row>
    <row r="9734" spans="1:11">
      <c r="A9734" s="450" t="s">
        <v>15845</v>
      </c>
      <c r="B9734" s="450"/>
      <c r="C9734" s="450" t="s">
        <v>15846</v>
      </c>
      <c r="D9734" s="450"/>
      <c r="E9734" s="450"/>
      <c r="F9734" s="450"/>
      <c r="G9734" s="450" t="s">
        <v>38066</v>
      </c>
      <c r="H9734" s="450" t="s">
        <v>22878</v>
      </c>
      <c r="I9734" s="450" t="s">
        <v>38067</v>
      </c>
      <c r="J9734" s="450" t="s">
        <v>38068</v>
      </c>
      <c r="K9734" s="450"/>
    </row>
    <row r="9735" spans="1:11">
      <c r="A9735" s="451" t="s">
        <v>15847</v>
      </c>
      <c r="B9735" s="451"/>
      <c r="C9735" s="451" t="s">
        <v>15848</v>
      </c>
      <c r="D9735" s="451"/>
      <c r="E9735" s="451"/>
      <c r="F9735" s="451"/>
      <c r="G9735" s="451" t="s">
        <v>38069</v>
      </c>
      <c r="H9735" s="451" t="s">
        <v>22878</v>
      </c>
      <c r="I9735" s="451" t="s">
        <v>38070</v>
      </c>
      <c r="J9735" s="451" t="s">
        <v>38071</v>
      </c>
      <c r="K9735" s="451"/>
    </row>
    <row r="9736" spans="1:11">
      <c r="A9736" s="450" t="s">
        <v>15849</v>
      </c>
      <c r="B9736" s="450"/>
      <c r="C9736" s="450" t="s">
        <v>15850</v>
      </c>
      <c r="D9736" s="450"/>
      <c r="E9736" s="450"/>
      <c r="F9736" s="450"/>
      <c r="G9736" s="450"/>
      <c r="H9736" s="450"/>
      <c r="I9736" s="450"/>
      <c r="J9736" s="450"/>
      <c r="K9736" s="450"/>
    </row>
    <row r="9737" spans="1:11">
      <c r="A9737" s="451" t="s">
        <v>38072</v>
      </c>
      <c r="B9737" s="451"/>
      <c r="C9737" s="451" t="s">
        <v>15850</v>
      </c>
      <c r="D9737" s="451"/>
      <c r="E9737" s="451"/>
      <c r="F9737" s="451"/>
      <c r="G9737" s="451" t="s">
        <v>38073</v>
      </c>
      <c r="H9737" s="451" t="s">
        <v>22878</v>
      </c>
      <c r="I9737" s="451" t="s">
        <v>38074</v>
      </c>
      <c r="J9737" s="451" t="s">
        <v>38075</v>
      </c>
      <c r="K9737" s="451"/>
    </row>
    <row r="9738" spans="1:11">
      <c r="A9738" s="450" t="s">
        <v>15851</v>
      </c>
      <c r="B9738" s="450"/>
      <c r="C9738" s="450" t="s">
        <v>4456</v>
      </c>
      <c r="D9738" s="450"/>
      <c r="E9738" s="450"/>
      <c r="F9738" s="450"/>
      <c r="G9738" s="450" t="s">
        <v>38076</v>
      </c>
      <c r="H9738" s="450" t="s">
        <v>22883</v>
      </c>
      <c r="I9738" s="450"/>
      <c r="J9738" s="450"/>
      <c r="K9738" s="450" t="s">
        <v>38077</v>
      </c>
    </row>
    <row r="9739" spans="1:11">
      <c r="A9739" s="451" t="s">
        <v>21924</v>
      </c>
      <c r="B9739" s="451"/>
      <c r="C9739" s="451" t="s">
        <v>14906</v>
      </c>
      <c r="D9739" s="451"/>
      <c r="E9739" s="451"/>
      <c r="F9739" s="451"/>
      <c r="G9739" s="451" t="s">
        <v>28462</v>
      </c>
      <c r="H9739" s="451" t="s">
        <v>22878</v>
      </c>
      <c r="I9739" s="451" t="s">
        <v>38078</v>
      </c>
      <c r="J9739" s="451" t="s">
        <v>38079</v>
      </c>
      <c r="K9739" s="451"/>
    </row>
    <row r="9740" spans="1:11">
      <c r="A9740" s="450" t="s">
        <v>38080</v>
      </c>
      <c r="B9740" s="450"/>
      <c r="C9740" s="450" t="s">
        <v>15853</v>
      </c>
      <c r="D9740" s="450"/>
      <c r="E9740" s="450"/>
      <c r="F9740" s="450"/>
      <c r="G9740" s="450" t="s">
        <v>28574</v>
      </c>
      <c r="H9740" s="450" t="s">
        <v>22883</v>
      </c>
      <c r="I9740" s="450" t="s">
        <v>38081</v>
      </c>
      <c r="J9740" s="450" t="s">
        <v>38082</v>
      </c>
      <c r="K9740" s="450"/>
    </row>
    <row r="9741" spans="1:11">
      <c r="A9741" s="451" t="s">
        <v>15852</v>
      </c>
      <c r="B9741" s="451"/>
      <c r="C9741" s="451" t="s">
        <v>15853</v>
      </c>
      <c r="D9741" s="451"/>
      <c r="E9741" s="451"/>
      <c r="F9741" s="451"/>
      <c r="G9741" s="451"/>
      <c r="H9741" s="451"/>
      <c r="I9741" s="451"/>
      <c r="J9741" s="451"/>
      <c r="K9741" s="451"/>
    </row>
    <row r="9742" spans="1:11">
      <c r="A9742" s="450" t="s">
        <v>15854</v>
      </c>
      <c r="B9742" s="450"/>
      <c r="C9742" s="450" t="s">
        <v>15855</v>
      </c>
      <c r="D9742" s="450"/>
      <c r="E9742" s="450"/>
      <c r="F9742" s="450"/>
      <c r="G9742" s="450" t="s">
        <v>28575</v>
      </c>
      <c r="H9742" s="450" t="s">
        <v>22883</v>
      </c>
      <c r="I9742" s="450"/>
      <c r="J9742" s="450"/>
      <c r="K9742" s="450"/>
    </row>
    <row r="9743" spans="1:11">
      <c r="A9743" s="451" t="s">
        <v>21925</v>
      </c>
      <c r="B9743" s="451" t="s">
        <v>15856</v>
      </c>
      <c r="C9743" s="451" t="s">
        <v>15857</v>
      </c>
      <c r="D9743" s="451" t="s">
        <v>15858</v>
      </c>
      <c r="E9743" s="451"/>
      <c r="F9743" s="451"/>
      <c r="G9743" s="451" t="s">
        <v>38083</v>
      </c>
      <c r="H9743" s="451" t="s">
        <v>22878</v>
      </c>
      <c r="I9743" s="451" t="s">
        <v>15858</v>
      </c>
      <c r="J9743" s="451" t="s">
        <v>15856</v>
      </c>
      <c r="K9743" s="451"/>
    </row>
    <row r="9744" spans="1:11">
      <c r="A9744" s="450" t="s">
        <v>21925</v>
      </c>
      <c r="B9744" s="450" t="s">
        <v>15856</v>
      </c>
      <c r="C9744" s="450" t="s">
        <v>15857</v>
      </c>
      <c r="D9744" s="450" t="s">
        <v>15858</v>
      </c>
      <c r="E9744" s="450" t="s">
        <v>15859</v>
      </c>
      <c r="F9744" s="450"/>
      <c r="G9744" s="450"/>
      <c r="H9744" s="450"/>
      <c r="I9744" s="450"/>
      <c r="J9744" s="450"/>
      <c r="K9744" s="450"/>
    </row>
    <row r="9745" spans="1:11">
      <c r="A9745" s="451" t="s">
        <v>28576</v>
      </c>
      <c r="B9745" s="451" t="s">
        <v>28577</v>
      </c>
      <c r="C9745" s="451" t="s">
        <v>28578</v>
      </c>
      <c r="D9745" s="451"/>
      <c r="E9745" s="451"/>
      <c r="F9745" s="451"/>
      <c r="G9745" s="451" t="s">
        <v>28579</v>
      </c>
      <c r="H9745" s="451" t="s">
        <v>22878</v>
      </c>
      <c r="I9745" s="451" t="s">
        <v>28580</v>
      </c>
      <c r="J9745" s="451" t="s">
        <v>28581</v>
      </c>
      <c r="K9745" s="451"/>
    </row>
    <row r="9746" spans="1:11">
      <c r="A9746" s="450" t="s">
        <v>15860</v>
      </c>
      <c r="B9746" s="450"/>
      <c r="C9746" s="450" t="s">
        <v>2790</v>
      </c>
      <c r="D9746" s="450"/>
      <c r="E9746" s="450"/>
      <c r="F9746" s="450"/>
      <c r="G9746" s="450"/>
      <c r="H9746" s="450"/>
      <c r="I9746" s="450"/>
      <c r="J9746" s="450"/>
      <c r="K9746" s="450"/>
    </row>
    <row r="9747" spans="1:11">
      <c r="A9747" s="451" t="s">
        <v>38084</v>
      </c>
      <c r="B9747" s="451"/>
      <c r="C9747" s="451" t="s">
        <v>2790</v>
      </c>
      <c r="D9747" s="451"/>
      <c r="E9747" s="451"/>
      <c r="F9747" s="451"/>
      <c r="G9747" s="451" t="s">
        <v>38085</v>
      </c>
      <c r="H9747" s="451" t="s">
        <v>22878</v>
      </c>
      <c r="I9747" s="451" t="s">
        <v>38086</v>
      </c>
      <c r="J9747" s="451" t="s">
        <v>38087</v>
      </c>
      <c r="K9747" s="451" t="s">
        <v>38088</v>
      </c>
    </row>
    <row r="9748" spans="1:11">
      <c r="A9748" s="450" t="s">
        <v>15861</v>
      </c>
      <c r="B9748" s="450"/>
      <c r="C9748" s="450" t="s">
        <v>15862</v>
      </c>
      <c r="D9748" s="450"/>
      <c r="E9748" s="450"/>
      <c r="F9748" s="450"/>
      <c r="G9748" s="450" t="s">
        <v>28582</v>
      </c>
      <c r="H9748" s="450" t="s">
        <v>22878</v>
      </c>
      <c r="I9748" s="450" t="s">
        <v>28583</v>
      </c>
      <c r="J9748" s="450" t="s">
        <v>28584</v>
      </c>
      <c r="K9748" s="450"/>
    </row>
    <row r="9749" spans="1:11">
      <c r="A9749" s="451" t="s">
        <v>21926</v>
      </c>
      <c r="B9749" s="451" t="s">
        <v>15863</v>
      </c>
      <c r="C9749" s="451" t="s">
        <v>8266</v>
      </c>
      <c r="D9749" s="451" t="s">
        <v>15864</v>
      </c>
      <c r="E9749" s="451"/>
      <c r="F9749" s="451"/>
      <c r="G9749" s="451" t="s">
        <v>22877</v>
      </c>
      <c r="H9749" s="451" t="s">
        <v>22878</v>
      </c>
      <c r="I9749" s="451" t="s">
        <v>15864</v>
      </c>
      <c r="J9749" s="451" t="s">
        <v>28585</v>
      </c>
      <c r="K9749" s="451"/>
    </row>
    <row r="9750" spans="1:11">
      <c r="A9750" s="450" t="s">
        <v>15865</v>
      </c>
      <c r="B9750" s="450" t="s">
        <v>15866</v>
      </c>
      <c r="C9750" s="450" t="s">
        <v>15867</v>
      </c>
      <c r="D9750" s="450"/>
      <c r="E9750" s="450"/>
      <c r="F9750" s="450"/>
      <c r="G9750" s="450" t="s">
        <v>22882</v>
      </c>
      <c r="H9750" s="450" t="s">
        <v>22883</v>
      </c>
      <c r="I9750" s="450"/>
      <c r="J9750" s="450" t="s">
        <v>38089</v>
      </c>
      <c r="K9750" s="450"/>
    </row>
    <row r="9751" spans="1:11">
      <c r="A9751" s="451" t="s">
        <v>15865</v>
      </c>
      <c r="B9751" s="451" t="s">
        <v>15866</v>
      </c>
      <c r="C9751" s="451" t="s">
        <v>15867</v>
      </c>
      <c r="D9751" s="451"/>
      <c r="E9751" s="451" t="s">
        <v>15868</v>
      </c>
      <c r="F9751" s="451"/>
      <c r="G9751" s="451"/>
      <c r="H9751" s="451"/>
      <c r="I9751" s="451"/>
      <c r="J9751" s="451"/>
      <c r="K9751" s="451"/>
    </row>
    <row r="9752" spans="1:11">
      <c r="A9752" s="450" t="s">
        <v>15869</v>
      </c>
      <c r="B9752" s="450"/>
      <c r="C9752" s="450" t="s">
        <v>11517</v>
      </c>
      <c r="D9752" s="450"/>
      <c r="E9752" s="450"/>
      <c r="F9752" s="450"/>
      <c r="G9752" s="450" t="s">
        <v>22877</v>
      </c>
      <c r="H9752" s="450" t="s">
        <v>22878</v>
      </c>
      <c r="I9752" s="450"/>
      <c r="J9752" s="450" t="s">
        <v>23121</v>
      </c>
      <c r="K9752" s="450"/>
    </row>
    <row r="9753" spans="1:11">
      <c r="A9753" s="451" t="s">
        <v>15870</v>
      </c>
      <c r="B9753" s="451" t="s">
        <v>38090</v>
      </c>
      <c r="C9753" s="451" t="s">
        <v>3055</v>
      </c>
      <c r="D9753" s="451"/>
      <c r="E9753" s="451"/>
      <c r="F9753" s="451"/>
      <c r="G9753" s="451" t="s">
        <v>22877</v>
      </c>
      <c r="H9753" s="451" t="s">
        <v>22878</v>
      </c>
      <c r="I9753" s="451"/>
      <c r="J9753" s="451" t="s">
        <v>38091</v>
      </c>
      <c r="K9753" s="451"/>
    </row>
    <row r="9754" spans="1:11">
      <c r="A9754" s="450" t="s">
        <v>15870</v>
      </c>
      <c r="B9754" s="450"/>
      <c r="C9754" s="450" t="s">
        <v>15871</v>
      </c>
      <c r="D9754" s="450"/>
      <c r="E9754" s="450"/>
      <c r="F9754" s="450"/>
      <c r="G9754" s="450"/>
      <c r="H9754" s="450"/>
      <c r="I9754" s="450"/>
      <c r="J9754" s="450"/>
      <c r="K9754" s="450"/>
    </row>
    <row r="9755" spans="1:11">
      <c r="A9755" s="451" t="s">
        <v>15872</v>
      </c>
      <c r="B9755" s="451" t="s">
        <v>15873</v>
      </c>
      <c r="C9755" s="451" t="s">
        <v>4073</v>
      </c>
      <c r="D9755" s="451" t="s">
        <v>15874</v>
      </c>
      <c r="E9755" s="451"/>
      <c r="F9755" s="451"/>
      <c r="G9755" s="451" t="s">
        <v>22877</v>
      </c>
      <c r="H9755" s="451" t="s">
        <v>22878</v>
      </c>
      <c r="I9755" s="451" t="s">
        <v>28586</v>
      </c>
      <c r="J9755" s="451" t="s">
        <v>28587</v>
      </c>
      <c r="K9755" s="451"/>
    </row>
    <row r="9756" spans="1:11">
      <c r="A9756" s="450" t="s">
        <v>15872</v>
      </c>
      <c r="B9756" s="450" t="s">
        <v>15873</v>
      </c>
      <c r="C9756" s="450" t="s">
        <v>4073</v>
      </c>
      <c r="D9756" s="450" t="s">
        <v>15874</v>
      </c>
      <c r="E9756" s="450" t="s">
        <v>15875</v>
      </c>
      <c r="F9756" s="450"/>
      <c r="G9756" s="450"/>
      <c r="H9756" s="450"/>
      <c r="I9756" s="450"/>
      <c r="J9756" s="450"/>
      <c r="K9756" s="450"/>
    </row>
    <row r="9757" spans="1:11">
      <c r="A9757" s="451" t="s">
        <v>15876</v>
      </c>
      <c r="B9757" s="451"/>
      <c r="C9757" s="451" t="s">
        <v>15877</v>
      </c>
      <c r="D9757" s="451"/>
      <c r="E9757" s="451"/>
      <c r="F9757" s="451"/>
      <c r="G9757" s="451" t="s">
        <v>22882</v>
      </c>
      <c r="H9757" s="451" t="s">
        <v>22883</v>
      </c>
      <c r="I9757" s="451"/>
      <c r="J9757" s="451" t="s">
        <v>22939</v>
      </c>
      <c r="K9757" s="451"/>
    </row>
    <row r="9758" spans="1:11">
      <c r="A9758" s="450" t="s">
        <v>38092</v>
      </c>
      <c r="B9758" s="450"/>
      <c r="C9758" s="450" t="s">
        <v>15879</v>
      </c>
      <c r="D9758" s="450"/>
      <c r="E9758" s="450"/>
      <c r="F9758" s="450"/>
      <c r="G9758" s="450" t="s">
        <v>22877</v>
      </c>
      <c r="H9758" s="450" t="s">
        <v>22878</v>
      </c>
      <c r="I9758" s="450" t="s">
        <v>38093</v>
      </c>
      <c r="J9758" s="450" t="s">
        <v>22943</v>
      </c>
      <c r="K9758" s="450"/>
    </row>
    <row r="9759" spans="1:11">
      <c r="A9759" s="451" t="s">
        <v>15878</v>
      </c>
      <c r="B9759" s="451"/>
      <c r="C9759" s="451" t="s">
        <v>15879</v>
      </c>
      <c r="D9759" s="451"/>
      <c r="E9759" s="451"/>
      <c r="F9759" s="451"/>
      <c r="G9759" s="451"/>
      <c r="H9759" s="451"/>
      <c r="I9759" s="451"/>
      <c r="J9759" s="451"/>
      <c r="K9759" s="451"/>
    </row>
    <row r="9760" spans="1:11">
      <c r="A9760" s="450" t="s">
        <v>15880</v>
      </c>
      <c r="B9760" s="450"/>
      <c r="C9760" s="450" t="s">
        <v>8199</v>
      </c>
      <c r="D9760" s="450"/>
      <c r="E9760" s="450"/>
      <c r="F9760" s="450"/>
      <c r="G9760" s="450" t="s">
        <v>22877</v>
      </c>
      <c r="H9760" s="450" t="s">
        <v>22878</v>
      </c>
      <c r="I9760" s="450" t="s">
        <v>38094</v>
      </c>
      <c r="J9760" s="450" t="s">
        <v>22939</v>
      </c>
      <c r="K9760" s="450"/>
    </row>
    <row r="9761" spans="1:11">
      <c r="A9761" s="451" t="s">
        <v>38095</v>
      </c>
      <c r="B9761" s="451"/>
      <c r="C9761" s="451" t="s">
        <v>15882</v>
      </c>
      <c r="D9761" s="451"/>
      <c r="E9761" s="451"/>
      <c r="F9761" s="451"/>
      <c r="G9761" s="451" t="s">
        <v>22877</v>
      </c>
      <c r="H9761" s="451" t="s">
        <v>22878</v>
      </c>
      <c r="I9761" s="451" t="s">
        <v>38096</v>
      </c>
      <c r="J9761" s="451" t="s">
        <v>23370</v>
      </c>
      <c r="K9761" s="451"/>
    </row>
    <row r="9762" spans="1:11">
      <c r="A9762" s="450" t="s">
        <v>15881</v>
      </c>
      <c r="B9762" s="450"/>
      <c r="C9762" s="450" t="s">
        <v>15882</v>
      </c>
      <c r="D9762" s="450"/>
      <c r="E9762" s="450"/>
      <c r="F9762" s="450"/>
      <c r="G9762" s="450"/>
      <c r="H9762" s="450"/>
      <c r="I9762" s="450"/>
      <c r="J9762" s="450"/>
      <c r="K9762" s="450"/>
    </row>
    <row r="9763" spans="1:11">
      <c r="A9763" s="451" t="s">
        <v>28588</v>
      </c>
      <c r="B9763" s="451"/>
      <c r="C9763" s="451" t="s">
        <v>15884</v>
      </c>
      <c r="D9763" s="451"/>
      <c r="E9763" s="451"/>
      <c r="F9763" s="451"/>
      <c r="G9763" s="451" t="s">
        <v>22877</v>
      </c>
      <c r="H9763" s="451" t="s">
        <v>22878</v>
      </c>
      <c r="I9763" s="451" t="s">
        <v>28589</v>
      </c>
      <c r="J9763" s="451" t="s">
        <v>22943</v>
      </c>
      <c r="K9763" s="451"/>
    </row>
    <row r="9764" spans="1:11">
      <c r="A9764" s="450" t="s">
        <v>15883</v>
      </c>
      <c r="B9764" s="450"/>
      <c r="C9764" s="450" t="s">
        <v>15884</v>
      </c>
      <c r="D9764" s="450"/>
      <c r="E9764" s="450"/>
      <c r="F9764" s="450"/>
      <c r="G9764" s="450"/>
      <c r="H9764" s="450"/>
      <c r="I9764" s="450"/>
      <c r="J9764" s="450"/>
      <c r="K9764" s="450"/>
    </row>
    <row r="9765" spans="1:11">
      <c r="A9765" s="451" t="s">
        <v>38097</v>
      </c>
      <c r="B9765" s="451" t="s">
        <v>38098</v>
      </c>
      <c r="C9765" s="451" t="s">
        <v>21023</v>
      </c>
      <c r="D9765" s="451"/>
      <c r="E9765" s="451"/>
      <c r="F9765" s="451"/>
      <c r="G9765" s="451" t="s">
        <v>22877</v>
      </c>
      <c r="H9765" s="451" t="s">
        <v>22878</v>
      </c>
      <c r="I9765" s="451"/>
      <c r="J9765" s="451" t="s">
        <v>38099</v>
      </c>
      <c r="K9765" s="451"/>
    </row>
    <row r="9766" spans="1:11">
      <c r="A9766" s="450" t="s">
        <v>21021</v>
      </c>
      <c r="B9766" s="450" t="s">
        <v>21022</v>
      </c>
      <c r="C9766" s="450" t="s">
        <v>21023</v>
      </c>
      <c r="D9766" s="450" t="s">
        <v>21024</v>
      </c>
      <c r="E9766" s="450"/>
      <c r="F9766" s="450"/>
      <c r="G9766" s="450"/>
      <c r="H9766" s="450"/>
      <c r="I9766" s="450"/>
      <c r="J9766" s="450"/>
      <c r="K9766" s="450"/>
    </row>
    <row r="9767" spans="1:11">
      <c r="A9767" s="451" t="s">
        <v>15885</v>
      </c>
      <c r="B9767" s="451"/>
      <c r="C9767" s="451" t="s">
        <v>2745</v>
      </c>
      <c r="D9767" s="451"/>
      <c r="E9767" s="451"/>
      <c r="F9767" s="451"/>
      <c r="G9767" s="451" t="s">
        <v>22877</v>
      </c>
      <c r="H9767" s="451" t="s">
        <v>22878</v>
      </c>
      <c r="I9767" s="451" t="s">
        <v>38100</v>
      </c>
      <c r="J9767" s="451" t="s">
        <v>22943</v>
      </c>
      <c r="K9767" s="451"/>
    </row>
    <row r="9768" spans="1:11">
      <c r="A9768" s="450" t="s">
        <v>15886</v>
      </c>
      <c r="B9768" s="450"/>
      <c r="C9768" s="450" t="s">
        <v>15887</v>
      </c>
      <c r="D9768" s="450"/>
      <c r="E9768" s="450"/>
      <c r="F9768" s="450"/>
      <c r="G9768" s="450" t="s">
        <v>22877</v>
      </c>
      <c r="H9768" s="450" t="s">
        <v>22878</v>
      </c>
      <c r="I9768" s="450"/>
      <c r="J9768" s="450" t="s">
        <v>23121</v>
      </c>
      <c r="K9768" s="450"/>
    </row>
    <row r="9769" spans="1:11">
      <c r="A9769" s="451" t="s">
        <v>15888</v>
      </c>
      <c r="B9769" s="451"/>
      <c r="C9769" s="451" t="s">
        <v>7022</v>
      </c>
      <c r="D9769" s="451"/>
      <c r="E9769" s="451"/>
      <c r="F9769" s="451"/>
      <c r="G9769" s="451" t="s">
        <v>22882</v>
      </c>
      <c r="H9769" s="451" t="s">
        <v>22883</v>
      </c>
      <c r="I9769" s="451"/>
      <c r="J9769" s="451" t="s">
        <v>22939</v>
      </c>
      <c r="K9769" s="451"/>
    </row>
    <row r="9770" spans="1:11">
      <c r="A9770" s="450" t="s">
        <v>15889</v>
      </c>
      <c r="B9770" s="450"/>
      <c r="C9770" s="450" t="s">
        <v>11349</v>
      </c>
      <c r="D9770" s="450"/>
      <c r="E9770" s="450"/>
      <c r="F9770" s="450"/>
      <c r="G9770" s="450" t="s">
        <v>22877</v>
      </c>
      <c r="H9770" s="450" t="s">
        <v>22878</v>
      </c>
      <c r="I9770" s="450" t="s">
        <v>38101</v>
      </c>
      <c r="J9770" s="450" t="s">
        <v>22939</v>
      </c>
      <c r="K9770" s="450"/>
    </row>
    <row r="9771" spans="1:11">
      <c r="A9771" s="451" t="s">
        <v>21927</v>
      </c>
      <c r="B9771" s="451"/>
      <c r="C9771" s="451" t="s">
        <v>15890</v>
      </c>
      <c r="D9771" s="451"/>
      <c r="E9771" s="451"/>
      <c r="F9771" s="451"/>
      <c r="G9771" s="451" t="s">
        <v>22877</v>
      </c>
      <c r="H9771" s="451" t="s">
        <v>22878</v>
      </c>
      <c r="I9771" s="451" t="s">
        <v>28590</v>
      </c>
      <c r="J9771" s="451" t="s">
        <v>22939</v>
      </c>
      <c r="K9771" s="451"/>
    </row>
    <row r="9772" spans="1:11">
      <c r="A9772" s="450" t="s">
        <v>38102</v>
      </c>
      <c r="B9772" s="450" t="s">
        <v>21169</v>
      </c>
      <c r="C9772" s="450" t="s">
        <v>21168</v>
      </c>
      <c r="D9772" s="450"/>
      <c r="E9772" s="450"/>
      <c r="F9772" s="450" t="s">
        <v>38103</v>
      </c>
      <c r="G9772" s="450" t="s">
        <v>22877</v>
      </c>
      <c r="H9772" s="450" t="s">
        <v>22878</v>
      </c>
      <c r="I9772" s="450"/>
      <c r="J9772" s="450" t="s">
        <v>38104</v>
      </c>
      <c r="K9772" s="450"/>
    </row>
    <row r="9773" spans="1:11">
      <c r="A9773" s="451" t="s">
        <v>15891</v>
      </c>
      <c r="B9773" s="451"/>
      <c r="C9773" s="451" t="s">
        <v>11349</v>
      </c>
      <c r="D9773" s="451"/>
      <c r="E9773" s="451"/>
      <c r="F9773" s="451"/>
      <c r="G9773" s="451" t="s">
        <v>22882</v>
      </c>
      <c r="H9773" s="451" t="s">
        <v>22883</v>
      </c>
      <c r="I9773" s="451"/>
      <c r="J9773" s="451" t="s">
        <v>22943</v>
      </c>
      <c r="K9773" s="451"/>
    </row>
    <row r="9774" spans="1:11">
      <c r="A9774" s="450" t="s">
        <v>15892</v>
      </c>
      <c r="B9774" s="450"/>
      <c r="C9774" s="450" t="s">
        <v>15893</v>
      </c>
      <c r="D9774" s="450"/>
      <c r="E9774" s="450"/>
      <c r="F9774" s="450"/>
      <c r="G9774" s="450" t="s">
        <v>22882</v>
      </c>
      <c r="H9774" s="450" t="s">
        <v>22883</v>
      </c>
      <c r="I9774" s="450"/>
      <c r="J9774" s="450" t="s">
        <v>23121</v>
      </c>
      <c r="K9774" s="450"/>
    </row>
    <row r="9775" spans="1:11">
      <c r="A9775" s="451" t="s">
        <v>38105</v>
      </c>
      <c r="B9775" s="451" t="s">
        <v>38106</v>
      </c>
      <c r="C9775" s="451" t="s">
        <v>38107</v>
      </c>
      <c r="D9775" s="451"/>
      <c r="E9775" s="451"/>
      <c r="F9775" s="451"/>
      <c r="G9775" s="451" t="s">
        <v>22877</v>
      </c>
      <c r="H9775" s="451" t="s">
        <v>22878</v>
      </c>
      <c r="I9775" s="451"/>
      <c r="J9775" s="451" t="s">
        <v>38108</v>
      </c>
      <c r="K9775" s="451"/>
    </row>
    <row r="9776" spans="1:11">
      <c r="A9776" s="450" t="s">
        <v>21171</v>
      </c>
      <c r="B9776" s="450" t="s">
        <v>21169</v>
      </c>
      <c r="C9776" s="450" t="s">
        <v>21168</v>
      </c>
      <c r="D9776" s="450" t="s">
        <v>21170</v>
      </c>
      <c r="E9776" s="450"/>
      <c r="F9776" s="450"/>
      <c r="G9776" s="450"/>
      <c r="H9776" s="450"/>
      <c r="I9776" s="450"/>
      <c r="J9776" s="450"/>
      <c r="K9776" s="450"/>
    </row>
    <row r="9777" spans="1:11">
      <c r="A9777" s="451" t="s">
        <v>15894</v>
      </c>
      <c r="B9777" s="451"/>
      <c r="C9777" s="451" t="s">
        <v>10032</v>
      </c>
      <c r="D9777" s="451"/>
      <c r="E9777" s="451"/>
      <c r="F9777" s="451"/>
      <c r="G9777" s="451" t="s">
        <v>22882</v>
      </c>
      <c r="H9777" s="451" t="s">
        <v>22883</v>
      </c>
      <c r="I9777" s="451"/>
      <c r="J9777" s="451" t="s">
        <v>22939</v>
      </c>
      <c r="K9777" s="451"/>
    </row>
    <row r="9778" spans="1:11">
      <c r="A9778" s="450" t="s">
        <v>28591</v>
      </c>
      <c r="B9778" s="450" t="s">
        <v>28592</v>
      </c>
      <c r="C9778" s="450" t="s">
        <v>28593</v>
      </c>
      <c r="D9778" s="450"/>
      <c r="E9778" s="450"/>
      <c r="F9778" s="450"/>
      <c r="G9778" s="450" t="s">
        <v>22877</v>
      </c>
      <c r="H9778" s="450" t="s">
        <v>22878</v>
      </c>
      <c r="I9778" s="450"/>
      <c r="J9778" s="450" t="s">
        <v>28594</v>
      </c>
      <c r="K9778" s="450"/>
    </row>
    <row r="9779" spans="1:11">
      <c r="A9779" s="451" t="s">
        <v>15895</v>
      </c>
      <c r="B9779" s="451"/>
      <c r="C9779" s="451" t="s">
        <v>15896</v>
      </c>
      <c r="D9779" s="451"/>
      <c r="E9779" s="451"/>
      <c r="F9779" s="451"/>
      <c r="G9779" s="451" t="s">
        <v>22877</v>
      </c>
      <c r="H9779" s="451" t="s">
        <v>22878</v>
      </c>
      <c r="I9779" s="451" t="s">
        <v>28595</v>
      </c>
      <c r="J9779" s="451" t="s">
        <v>22939</v>
      </c>
      <c r="K9779" s="451"/>
    </row>
    <row r="9780" spans="1:11">
      <c r="A9780" s="450" t="s">
        <v>28596</v>
      </c>
      <c r="B9780" s="450" t="s">
        <v>15898</v>
      </c>
      <c r="C9780" s="450" t="s">
        <v>15899</v>
      </c>
      <c r="D9780" s="450"/>
      <c r="E9780" s="450"/>
      <c r="F9780" s="450"/>
      <c r="G9780" s="450" t="s">
        <v>22877</v>
      </c>
      <c r="H9780" s="450" t="s">
        <v>22878</v>
      </c>
      <c r="I9780" s="450" t="s">
        <v>28597</v>
      </c>
      <c r="J9780" s="450" t="s">
        <v>28598</v>
      </c>
      <c r="K9780" s="450"/>
    </row>
    <row r="9781" spans="1:11">
      <c r="A9781" s="451" t="s">
        <v>15897</v>
      </c>
      <c r="B9781" s="451" t="s">
        <v>15898</v>
      </c>
      <c r="C9781" s="451" t="s">
        <v>15899</v>
      </c>
      <c r="D9781" s="451"/>
      <c r="E9781" s="451"/>
      <c r="F9781" s="451"/>
      <c r="G9781" s="451"/>
      <c r="H9781" s="451"/>
      <c r="I9781" s="451"/>
      <c r="J9781" s="451"/>
      <c r="K9781" s="451"/>
    </row>
    <row r="9782" spans="1:11">
      <c r="A9782" s="450" t="s">
        <v>21928</v>
      </c>
      <c r="B9782" s="450" t="s">
        <v>21929</v>
      </c>
      <c r="C9782" s="450" t="s">
        <v>15900</v>
      </c>
      <c r="D9782" s="450"/>
      <c r="E9782" s="450"/>
      <c r="F9782" s="450"/>
      <c r="G9782" s="450"/>
      <c r="H9782" s="450"/>
      <c r="I9782" s="450"/>
      <c r="J9782" s="450"/>
      <c r="K9782" s="450"/>
    </row>
    <row r="9783" spans="1:11">
      <c r="A9783" s="451" t="s">
        <v>32005</v>
      </c>
      <c r="B9783" s="451" t="s">
        <v>32006</v>
      </c>
      <c r="C9783" s="451" t="s">
        <v>15900</v>
      </c>
      <c r="D9783" s="451"/>
      <c r="E9783" s="451"/>
      <c r="F9783" s="451"/>
      <c r="G9783" s="451" t="s">
        <v>22882</v>
      </c>
      <c r="H9783" s="451" t="s">
        <v>22883</v>
      </c>
      <c r="I9783" s="451"/>
      <c r="J9783" s="451" t="s">
        <v>28599</v>
      </c>
      <c r="K9783" s="451"/>
    </row>
    <row r="9784" spans="1:11">
      <c r="A9784" s="450" t="s">
        <v>38109</v>
      </c>
      <c r="B9784" s="450"/>
      <c r="C9784" s="450" t="s">
        <v>15902</v>
      </c>
      <c r="D9784" s="450"/>
      <c r="E9784" s="450"/>
      <c r="F9784" s="450"/>
      <c r="G9784" s="450" t="s">
        <v>22877</v>
      </c>
      <c r="H9784" s="450" t="s">
        <v>22878</v>
      </c>
      <c r="I9784" s="450" t="s">
        <v>38110</v>
      </c>
      <c r="J9784" s="450" t="s">
        <v>22943</v>
      </c>
      <c r="K9784" s="450"/>
    </row>
    <row r="9785" spans="1:11">
      <c r="A9785" s="451" t="s">
        <v>15901</v>
      </c>
      <c r="B9785" s="451"/>
      <c r="C9785" s="451" t="s">
        <v>15902</v>
      </c>
      <c r="D9785" s="451"/>
      <c r="E9785" s="451"/>
      <c r="F9785" s="451"/>
      <c r="G9785" s="451"/>
      <c r="H9785" s="451"/>
      <c r="I9785" s="451"/>
      <c r="J9785" s="451"/>
      <c r="K9785" s="451"/>
    </row>
    <row r="9786" spans="1:11">
      <c r="A9786" s="450" t="s">
        <v>15903</v>
      </c>
      <c r="B9786" s="450" t="s">
        <v>15904</v>
      </c>
      <c r="C9786" s="450" t="s">
        <v>1081</v>
      </c>
      <c r="D9786" s="450"/>
      <c r="E9786" s="450"/>
      <c r="F9786" s="450"/>
      <c r="G9786" s="450" t="s">
        <v>22877</v>
      </c>
      <c r="H9786" s="450" t="s">
        <v>22878</v>
      </c>
      <c r="I9786" s="450" t="s">
        <v>28600</v>
      </c>
      <c r="J9786" s="450" t="s">
        <v>28601</v>
      </c>
      <c r="K9786" s="450"/>
    </row>
    <row r="9787" spans="1:11">
      <c r="A9787" s="451" t="s">
        <v>38111</v>
      </c>
      <c r="B9787" s="451" t="s">
        <v>15906</v>
      </c>
      <c r="C9787" s="451" t="s">
        <v>15907</v>
      </c>
      <c r="D9787" s="451" t="s">
        <v>15908</v>
      </c>
      <c r="E9787" s="451"/>
      <c r="F9787" s="451" t="s">
        <v>15910</v>
      </c>
      <c r="G9787" s="451" t="s">
        <v>22877</v>
      </c>
      <c r="H9787" s="451" t="s">
        <v>22878</v>
      </c>
      <c r="I9787" s="451"/>
      <c r="J9787" s="451" t="s">
        <v>38112</v>
      </c>
      <c r="K9787" s="451"/>
    </row>
    <row r="9788" spans="1:11">
      <c r="A9788" s="450" t="s">
        <v>15905</v>
      </c>
      <c r="B9788" s="450" t="s">
        <v>15906</v>
      </c>
      <c r="C9788" s="450" t="s">
        <v>15907</v>
      </c>
      <c r="D9788" s="450" t="s">
        <v>15908</v>
      </c>
      <c r="E9788" s="450" t="s">
        <v>15909</v>
      </c>
      <c r="F9788" s="450" t="s">
        <v>15910</v>
      </c>
      <c r="G9788" s="450"/>
      <c r="H9788" s="450"/>
      <c r="I9788" s="450"/>
      <c r="J9788" s="450"/>
      <c r="K9788" s="450"/>
    </row>
    <row r="9789" spans="1:11">
      <c r="A9789" s="451" t="s">
        <v>28602</v>
      </c>
      <c r="B9789" s="451" t="s">
        <v>28603</v>
      </c>
      <c r="C9789" s="451" t="s">
        <v>15030</v>
      </c>
      <c r="D9789" s="451" t="s">
        <v>15913</v>
      </c>
      <c r="E9789" s="451"/>
      <c r="F9789" s="451"/>
      <c r="G9789" s="451" t="s">
        <v>22877</v>
      </c>
      <c r="H9789" s="451" t="s">
        <v>22878</v>
      </c>
      <c r="I9789" s="451" t="s">
        <v>15913</v>
      </c>
      <c r="J9789" s="451" t="s">
        <v>28604</v>
      </c>
      <c r="K9789" s="451"/>
    </row>
    <row r="9790" spans="1:11">
      <c r="A9790" s="450" t="s">
        <v>15911</v>
      </c>
      <c r="B9790" s="450" t="s">
        <v>15912</v>
      </c>
      <c r="C9790" s="450" t="s">
        <v>15030</v>
      </c>
      <c r="D9790" s="450" t="s">
        <v>15913</v>
      </c>
      <c r="E9790" s="450" t="s">
        <v>15914</v>
      </c>
      <c r="F9790" s="450"/>
      <c r="G9790" s="450"/>
      <c r="H9790" s="450"/>
      <c r="I9790" s="450"/>
      <c r="J9790" s="450"/>
      <c r="K9790" s="450"/>
    </row>
    <row r="9791" spans="1:11">
      <c r="A9791" s="451" t="s">
        <v>21930</v>
      </c>
      <c r="B9791" s="451"/>
      <c r="C9791" s="451" t="s">
        <v>9831</v>
      </c>
      <c r="D9791" s="451"/>
      <c r="E9791" s="451"/>
      <c r="F9791" s="451"/>
      <c r="G9791" s="451" t="s">
        <v>22877</v>
      </c>
      <c r="H9791" s="451" t="s">
        <v>22878</v>
      </c>
      <c r="I9791" s="451" t="s">
        <v>38113</v>
      </c>
      <c r="J9791" s="451" t="s">
        <v>23121</v>
      </c>
      <c r="K9791" s="451"/>
    </row>
    <row r="9792" spans="1:11">
      <c r="A9792" s="450" t="s">
        <v>15915</v>
      </c>
      <c r="B9792" s="450"/>
      <c r="C9792" s="450" t="s">
        <v>15916</v>
      </c>
      <c r="D9792" s="450"/>
      <c r="E9792" s="450"/>
      <c r="F9792" s="450"/>
      <c r="G9792" s="450" t="s">
        <v>22877</v>
      </c>
      <c r="H9792" s="450" t="s">
        <v>22878</v>
      </c>
      <c r="I9792" s="450"/>
      <c r="J9792" s="450" t="s">
        <v>22943</v>
      </c>
      <c r="K9792" s="450"/>
    </row>
    <row r="9793" spans="1:11">
      <c r="A9793" s="451" t="s">
        <v>28605</v>
      </c>
      <c r="B9793" s="451" t="s">
        <v>28606</v>
      </c>
      <c r="C9793" s="451" t="s">
        <v>21226</v>
      </c>
      <c r="D9793" s="451" t="s">
        <v>28607</v>
      </c>
      <c r="E9793" s="451"/>
      <c r="F9793" s="451"/>
      <c r="G9793" s="451" t="s">
        <v>22877</v>
      </c>
      <c r="H9793" s="451" t="s">
        <v>22878</v>
      </c>
      <c r="I9793" s="451" t="s">
        <v>28607</v>
      </c>
      <c r="J9793" s="451" t="s">
        <v>28608</v>
      </c>
      <c r="K9793" s="451"/>
    </row>
    <row r="9794" spans="1:11">
      <c r="A9794" s="450" t="s">
        <v>15917</v>
      </c>
      <c r="B9794" s="450"/>
      <c r="C9794" s="450" t="s">
        <v>15918</v>
      </c>
      <c r="D9794" s="450"/>
      <c r="E9794" s="450"/>
      <c r="F9794" s="450"/>
      <c r="G9794" s="450" t="s">
        <v>22882</v>
      </c>
      <c r="H9794" s="450" t="s">
        <v>22883</v>
      </c>
      <c r="I9794" s="450"/>
      <c r="J9794" s="450" t="s">
        <v>22939</v>
      </c>
      <c r="K9794" s="450"/>
    </row>
    <row r="9795" spans="1:11">
      <c r="A9795" s="451" t="s">
        <v>15919</v>
      </c>
      <c r="B9795" s="451"/>
      <c r="C9795" s="451" t="s">
        <v>15920</v>
      </c>
      <c r="D9795" s="451"/>
      <c r="E9795" s="451"/>
      <c r="F9795" s="451"/>
      <c r="G9795" s="451" t="s">
        <v>22882</v>
      </c>
      <c r="H9795" s="451" t="s">
        <v>22883</v>
      </c>
      <c r="I9795" s="451"/>
      <c r="J9795" s="451" t="s">
        <v>23121</v>
      </c>
      <c r="K9795" s="451"/>
    </row>
    <row r="9796" spans="1:11">
      <c r="A9796" s="450" t="s">
        <v>38114</v>
      </c>
      <c r="B9796" s="450"/>
      <c r="C9796" s="450" t="s">
        <v>2793</v>
      </c>
      <c r="D9796" s="450"/>
      <c r="E9796" s="450"/>
      <c r="F9796" s="450"/>
      <c r="G9796" s="450" t="s">
        <v>22882</v>
      </c>
      <c r="H9796" s="450" t="s">
        <v>22883</v>
      </c>
      <c r="I9796" s="450"/>
      <c r="J9796" s="450" t="s">
        <v>28196</v>
      </c>
      <c r="K9796" s="450"/>
    </row>
    <row r="9797" spans="1:11">
      <c r="A9797" s="451" t="s">
        <v>15921</v>
      </c>
      <c r="B9797" s="451"/>
      <c r="C9797" s="451" t="s">
        <v>15922</v>
      </c>
      <c r="D9797" s="451"/>
      <c r="E9797" s="451"/>
      <c r="F9797" s="451"/>
      <c r="G9797" s="451" t="s">
        <v>22882</v>
      </c>
      <c r="H9797" s="451" t="s">
        <v>22883</v>
      </c>
      <c r="I9797" s="451"/>
      <c r="J9797" s="451" t="s">
        <v>23121</v>
      </c>
      <c r="K9797" s="451"/>
    </row>
    <row r="9798" spans="1:11">
      <c r="A9798" s="450" t="s">
        <v>15923</v>
      </c>
      <c r="B9798" s="450"/>
      <c r="C9798" s="450" t="s">
        <v>15924</v>
      </c>
      <c r="D9798" s="450"/>
      <c r="E9798" s="450"/>
      <c r="F9798" s="450"/>
      <c r="G9798" s="450" t="s">
        <v>22882</v>
      </c>
      <c r="H9798" s="450" t="s">
        <v>22883</v>
      </c>
      <c r="I9798" s="450"/>
      <c r="J9798" s="450" t="s">
        <v>22939</v>
      </c>
      <c r="K9798" s="450"/>
    </row>
    <row r="9799" spans="1:11">
      <c r="A9799" s="451" t="s">
        <v>38115</v>
      </c>
      <c r="B9799" s="451"/>
      <c r="C9799" s="451" t="s">
        <v>15926</v>
      </c>
      <c r="D9799" s="451"/>
      <c r="E9799" s="451"/>
      <c r="F9799" s="451"/>
      <c r="G9799" s="451" t="s">
        <v>28609</v>
      </c>
      <c r="H9799" s="451" t="s">
        <v>22878</v>
      </c>
      <c r="I9799" s="451"/>
      <c r="J9799" s="451" t="s">
        <v>38116</v>
      </c>
      <c r="K9799" s="451"/>
    </row>
    <row r="9800" spans="1:11">
      <c r="A9800" s="450" t="s">
        <v>15925</v>
      </c>
      <c r="B9800" s="450"/>
      <c r="C9800" s="450" t="s">
        <v>15926</v>
      </c>
      <c r="D9800" s="450"/>
      <c r="E9800" s="450"/>
      <c r="F9800" s="450"/>
      <c r="G9800" s="450"/>
      <c r="H9800" s="450"/>
      <c r="I9800" s="450"/>
      <c r="J9800" s="450"/>
      <c r="K9800" s="450"/>
    </row>
    <row r="9801" spans="1:11">
      <c r="A9801" s="451" t="s">
        <v>38117</v>
      </c>
      <c r="B9801" s="451"/>
      <c r="C9801" s="451" t="s">
        <v>15928</v>
      </c>
      <c r="D9801" s="451"/>
      <c r="E9801" s="451"/>
      <c r="F9801" s="451"/>
      <c r="G9801" s="451" t="s">
        <v>22882</v>
      </c>
      <c r="H9801" s="451" t="s">
        <v>22883</v>
      </c>
      <c r="I9801" s="451"/>
      <c r="J9801" s="451" t="s">
        <v>22943</v>
      </c>
      <c r="K9801" s="451"/>
    </row>
    <row r="9802" spans="1:11">
      <c r="A9802" s="450" t="s">
        <v>38118</v>
      </c>
      <c r="B9802" s="450"/>
      <c r="C9802" s="450" t="s">
        <v>15930</v>
      </c>
      <c r="D9802" s="450"/>
      <c r="E9802" s="450"/>
      <c r="F9802" s="450"/>
      <c r="G9802" s="450" t="s">
        <v>22882</v>
      </c>
      <c r="H9802" s="450" t="s">
        <v>22883</v>
      </c>
      <c r="I9802" s="450"/>
      <c r="J9802" s="450" t="s">
        <v>22943</v>
      </c>
      <c r="K9802" s="450"/>
    </row>
    <row r="9803" spans="1:11">
      <c r="A9803" s="451" t="s">
        <v>15927</v>
      </c>
      <c r="B9803" s="451"/>
      <c r="C9803" s="451" t="s">
        <v>15928</v>
      </c>
      <c r="D9803" s="451"/>
      <c r="E9803" s="451"/>
      <c r="F9803" s="451"/>
      <c r="G9803" s="451"/>
      <c r="H9803" s="451"/>
      <c r="I9803" s="451"/>
      <c r="J9803" s="451"/>
      <c r="K9803" s="451"/>
    </row>
    <row r="9804" spans="1:11">
      <c r="A9804" s="450" t="s">
        <v>15929</v>
      </c>
      <c r="B9804" s="450"/>
      <c r="C9804" s="450" t="s">
        <v>15930</v>
      </c>
      <c r="D9804" s="450"/>
      <c r="E9804" s="450"/>
      <c r="F9804" s="450"/>
      <c r="G9804" s="450"/>
      <c r="H9804" s="450"/>
      <c r="I9804" s="450"/>
      <c r="J9804" s="450"/>
      <c r="K9804" s="450"/>
    </row>
    <row r="9805" spans="1:11">
      <c r="A9805" s="451" t="s">
        <v>15931</v>
      </c>
      <c r="B9805" s="451" t="s">
        <v>15932</v>
      </c>
      <c r="C9805" s="451" t="s">
        <v>15933</v>
      </c>
      <c r="D9805" s="451"/>
      <c r="E9805" s="451"/>
      <c r="F9805" s="451"/>
      <c r="G9805" s="451" t="s">
        <v>22877</v>
      </c>
      <c r="H9805" s="451" t="s">
        <v>22878</v>
      </c>
      <c r="I9805" s="451" t="s">
        <v>28610</v>
      </c>
      <c r="J9805" s="451" t="s">
        <v>28611</v>
      </c>
      <c r="K9805" s="451"/>
    </row>
    <row r="9806" spans="1:11">
      <c r="A9806" s="450" t="s">
        <v>15934</v>
      </c>
      <c r="B9806" s="450" t="s">
        <v>15935</v>
      </c>
      <c r="C9806" s="450" t="s">
        <v>15936</v>
      </c>
      <c r="D9806" s="450"/>
      <c r="E9806" s="450"/>
      <c r="F9806" s="450"/>
      <c r="G9806" s="450" t="s">
        <v>22882</v>
      </c>
      <c r="H9806" s="450" t="s">
        <v>22883</v>
      </c>
      <c r="I9806" s="450"/>
      <c r="J9806" s="450" t="s">
        <v>38119</v>
      </c>
      <c r="K9806" s="450"/>
    </row>
    <row r="9807" spans="1:11">
      <c r="A9807" s="451" t="s">
        <v>15937</v>
      </c>
      <c r="B9807" s="451"/>
      <c r="C9807" s="451" t="s">
        <v>7608</v>
      </c>
      <c r="D9807" s="451"/>
      <c r="E9807" s="451"/>
      <c r="F9807" s="451"/>
      <c r="G9807" s="451"/>
      <c r="H9807" s="451"/>
      <c r="I9807" s="451"/>
      <c r="J9807" s="451"/>
      <c r="K9807" s="451"/>
    </row>
    <row r="9808" spans="1:11">
      <c r="A9808" s="450" t="s">
        <v>28612</v>
      </c>
      <c r="B9808" s="450"/>
      <c r="C9808" s="450" t="s">
        <v>7608</v>
      </c>
      <c r="D9808" s="450"/>
      <c r="E9808" s="450"/>
      <c r="F9808" s="450"/>
      <c r="G9808" s="450" t="s">
        <v>22877</v>
      </c>
      <c r="H9808" s="450" t="s">
        <v>22878</v>
      </c>
      <c r="I9808" s="450" t="s">
        <v>28613</v>
      </c>
      <c r="J9808" s="450" t="s">
        <v>22943</v>
      </c>
      <c r="K9808" s="450"/>
    </row>
    <row r="9809" spans="1:11">
      <c r="A9809" s="451" t="s">
        <v>28614</v>
      </c>
      <c r="B9809" s="451" t="s">
        <v>28615</v>
      </c>
      <c r="C9809" s="451" t="s">
        <v>28616</v>
      </c>
      <c r="D9809" s="451"/>
      <c r="E9809" s="451"/>
      <c r="F9809" s="451"/>
      <c r="G9809" s="451" t="s">
        <v>22877</v>
      </c>
      <c r="H9809" s="451" t="s">
        <v>22878</v>
      </c>
      <c r="I9809" s="451"/>
      <c r="J9809" s="451" t="s">
        <v>28617</v>
      </c>
      <c r="K9809" s="451"/>
    </row>
    <row r="9810" spans="1:11">
      <c r="A9810" s="450" t="s">
        <v>28614</v>
      </c>
      <c r="B9810" s="450" t="s">
        <v>1123</v>
      </c>
      <c r="C9810" s="450" t="s">
        <v>1124</v>
      </c>
      <c r="D9810" s="450"/>
      <c r="E9810" s="450"/>
      <c r="F9810" s="450"/>
      <c r="G9810" s="450" t="s">
        <v>22877</v>
      </c>
      <c r="H9810" s="450" t="s">
        <v>22878</v>
      </c>
      <c r="I9810" s="450" t="s">
        <v>28618</v>
      </c>
      <c r="J9810" s="450" t="s">
        <v>28619</v>
      </c>
      <c r="K9810" s="450"/>
    </row>
    <row r="9811" spans="1:11">
      <c r="A9811" s="451" t="s">
        <v>28620</v>
      </c>
      <c r="B9811" s="451" t="s">
        <v>28621</v>
      </c>
      <c r="C9811" s="451" t="s">
        <v>20123</v>
      </c>
      <c r="D9811" s="451"/>
      <c r="E9811" s="451"/>
      <c r="F9811" s="451"/>
      <c r="G9811" s="451" t="s">
        <v>22877</v>
      </c>
      <c r="H9811" s="451" t="s">
        <v>22878</v>
      </c>
      <c r="I9811" s="451" t="s">
        <v>28622</v>
      </c>
      <c r="J9811" s="451" t="s">
        <v>28623</v>
      </c>
      <c r="K9811" s="451"/>
    </row>
    <row r="9812" spans="1:11">
      <c r="A9812" s="450" t="s">
        <v>38120</v>
      </c>
      <c r="B9812" s="450" t="s">
        <v>38121</v>
      </c>
      <c r="C9812" s="450" t="s">
        <v>38122</v>
      </c>
      <c r="D9812" s="450"/>
      <c r="E9812" s="450"/>
      <c r="F9812" s="450"/>
      <c r="G9812" s="450" t="s">
        <v>22877</v>
      </c>
      <c r="H9812" s="450" t="s">
        <v>22878</v>
      </c>
      <c r="I9812" s="450"/>
      <c r="J9812" s="450" t="s">
        <v>38123</v>
      </c>
      <c r="K9812" s="450"/>
    </row>
    <row r="9813" spans="1:11">
      <c r="A9813" s="451" t="s">
        <v>15938</v>
      </c>
      <c r="B9813" s="451" t="s">
        <v>1123</v>
      </c>
      <c r="C9813" s="451" t="s">
        <v>1124</v>
      </c>
      <c r="D9813" s="451"/>
      <c r="E9813" s="451"/>
      <c r="F9813" s="451"/>
      <c r="G9813" s="451"/>
      <c r="H9813" s="451"/>
      <c r="I9813" s="451"/>
      <c r="J9813" s="451"/>
      <c r="K9813" s="451"/>
    </row>
    <row r="9814" spans="1:11">
      <c r="A9814" s="450" t="s">
        <v>28624</v>
      </c>
      <c r="B9814" s="450"/>
      <c r="C9814" s="450" t="s">
        <v>6495</v>
      </c>
      <c r="D9814" s="450"/>
      <c r="E9814" s="450"/>
      <c r="F9814" s="450"/>
      <c r="G9814" s="450" t="s">
        <v>22877</v>
      </c>
      <c r="H9814" s="450" t="s">
        <v>22878</v>
      </c>
      <c r="I9814" s="450" t="s">
        <v>27109</v>
      </c>
      <c r="J9814" s="450" t="s">
        <v>22943</v>
      </c>
      <c r="K9814" s="450"/>
    </row>
    <row r="9815" spans="1:11">
      <c r="A9815" s="451" t="s">
        <v>15939</v>
      </c>
      <c r="B9815" s="451"/>
      <c r="C9815" s="451" t="s">
        <v>6495</v>
      </c>
      <c r="D9815" s="451"/>
      <c r="E9815" s="451"/>
      <c r="F9815" s="451"/>
      <c r="G9815" s="451"/>
      <c r="H9815" s="451"/>
      <c r="I9815" s="451"/>
      <c r="J9815" s="451"/>
      <c r="K9815" s="451"/>
    </row>
    <row r="9816" spans="1:11">
      <c r="A9816" s="450" t="s">
        <v>15940</v>
      </c>
      <c r="B9816" s="450" t="s">
        <v>15941</v>
      </c>
      <c r="C9816" s="450" t="s">
        <v>1085</v>
      </c>
      <c r="D9816" s="450"/>
      <c r="E9816" s="450"/>
      <c r="F9816" s="450"/>
      <c r="G9816" s="450" t="s">
        <v>22882</v>
      </c>
      <c r="H9816" s="450" t="s">
        <v>22883</v>
      </c>
      <c r="I9816" s="450"/>
      <c r="J9816" s="450" t="s">
        <v>28625</v>
      </c>
      <c r="K9816" s="450"/>
    </row>
    <row r="9817" spans="1:11">
      <c r="A9817" s="451" t="s">
        <v>28626</v>
      </c>
      <c r="B9817" s="451" t="s">
        <v>28627</v>
      </c>
      <c r="C9817" s="451" t="s">
        <v>28628</v>
      </c>
      <c r="D9817" s="451" t="s">
        <v>28629</v>
      </c>
      <c r="E9817" s="451"/>
      <c r="F9817" s="451"/>
      <c r="G9817" s="451" t="s">
        <v>22877</v>
      </c>
      <c r="H9817" s="451" t="s">
        <v>22878</v>
      </c>
      <c r="I9817" s="451" t="s">
        <v>28629</v>
      </c>
      <c r="J9817" s="451" t="s">
        <v>28630</v>
      </c>
      <c r="K9817" s="451"/>
    </row>
    <row r="9818" spans="1:11">
      <c r="A9818" s="450" t="s">
        <v>38124</v>
      </c>
      <c r="B9818" s="450"/>
      <c r="C9818" s="450" t="s">
        <v>15943</v>
      </c>
      <c r="D9818" s="450"/>
      <c r="E9818" s="450"/>
      <c r="F9818" s="450"/>
      <c r="G9818" s="450" t="s">
        <v>22882</v>
      </c>
      <c r="H9818" s="450" t="s">
        <v>22883</v>
      </c>
      <c r="I9818" s="450"/>
      <c r="J9818" s="450" t="s">
        <v>22943</v>
      </c>
      <c r="K9818" s="450"/>
    </row>
    <row r="9819" spans="1:11">
      <c r="A9819" s="451" t="s">
        <v>15942</v>
      </c>
      <c r="B9819" s="451"/>
      <c r="C9819" s="451" t="s">
        <v>15943</v>
      </c>
      <c r="D9819" s="451"/>
      <c r="E9819" s="451"/>
      <c r="F9819" s="451"/>
      <c r="G9819" s="451"/>
      <c r="H9819" s="451"/>
      <c r="I9819" s="451"/>
      <c r="J9819" s="451"/>
      <c r="K9819" s="451"/>
    </row>
    <row r="9820" spans="1:11">
      <c r="A9820" s="450" t="s">
        <v>28631</v>
      </c>
      <c r="B9820" s="450" t="s">
        <v>15945</v>
      </c>
      <c r="C9820" s="450" t="s">
        <v>15946</v>
      </c>
      <c r="D9820" s="450" t="s">
        <v>15947</v>
      </c>
      <c r="E9820" s="450"/>
      <c r="F9820" s="450"/>
      <c r="G9820" s="450" t="s">
        <v>22877</v>
      </c>
      <c r="H9820" s="450" t="s">
        <v>22878</v>
      </c>
      <c r="I9820" s="450" t="s">
        <v>15947</v>
      </c>
      <c r="J9820" s="450" t="s">
        <v>28632</v>
      </c>
      <c r="K9820" s="450"/>
    </row>
    <row r="9821" spans="1:11">
      <c r="A9821" s="451" t="s">
        <v>38125</v>
      </c>
      <c r="B9821" s="451" t="s">
        <v>15949</v>
      </c>
      <c r="C9821" s="451" t="s">
        <v>15950</v>
      </c>
      <c r="D9821" s="451"/>
      <c r="E9821" s="451"/>
      <c r="F9821" s="451"/>
      <c r="G9821" s="451" t="s">
        <v>22877</v>
      </c>
      <c r="H9821" s="451" t="s">
        <v>22878</v>
      </c>
      <c r="I9821" s="451"/>
      <c r="J9821" s="451" t="s">
        <v>38126</v>
      </c>
      <c r="K9821" s="451"/>
    </row>
    <row r="9822" spans="1:11">
      <c r="A9822" s="450" t="s">
        <v>15944</v>
      </c>
      <c r="B9822" s="450" t="s">
        <v>15945</v>
      </c>
      <c r="C9822" s="450" t="s">
        <v>15946</v>
      </c>
      <c r="D9822" s="450" t="s">
        <v>15947</v>
      </c>
      <c r="E9822" s="450"/>
      <c r="F9822" s="450"/>
      <c r="G9822" s="450"/>
      <c r="H9822" s="450"/>
      <c r="I9822" s="450"/>
      <c r="J9822" s="450"/>
      <c r="K9822" s="450"/>
    </row>
    <row r="9823" spans="1:11">
      <c r="A9823" s="451" t="s">
        <v>15948</v>
      </c>
      <c r="B9823" s="451" t="s">
        <v>15949</v>
      </c>
      <c r="C9823" s="451" t="s">
        <v>15950</v>
      </c>
      <c r="D9823" s="451"/>
      <c r="E9823" s="451"/>
      <c r="F9823" s="451"/>
      <c r="G9823" s="451"/>
      <c r="H9823" s="451"/>
      <c r="I9823" s="451"/>
      <c r="J9823" s="451"/>
      <c r="K9823" s="451"/>
    </row>
    <row r="9824" spans="1:11">
      <c r="A9824" s="450" t="s">
        <v>28633</v>
      </c>
      <c r="B9824" s="450" t="s">
        <v>15952</v>
      </c>
      <c r="C9824" s="450" t="s">
        <v>15953</v>
      </c>
      <c r="D9824" s="450" t="s">
        <v>15954</v>
      </c>
      <c r="E9824" s="450"/>
      <c r="F9824" s="450"/>
      <c r="G9824" s="450" t="s">
        <v>22877</v>
      </c>
      <c r="H9824" s="450" t="s">
        <v>22878</v>
      </c>
      <c r="I9824" s="450" t="s">
        <v>28634</v>
      </c>
      <c r="J9824" s="450" t="s">
        <v>28635</v>
      </c>
      <c r="K9824" s="450"/>
    </row>
    <row r="9825" spans="1:11">
      <c r="A9825" s="451" t="s">
        <v>15951</v>
      </c>
      <c r="B9825" s="451" t="s">
        <v>15952</v>
      </c>
      <c r="C9825" s="451" t="s">
        <v>15953</v>
      </c>
      <c r="D9825" s="451" t="s">
        <v>15954</v>
      </c>
      <c r="E9825" s="451"/>
      <c r="F9825" s="451"/>
      <c r="G9825" s="451"/>
      <c r="H9825" s="451"/>
      <c r="I9825" s="451"/>
      <c r="J9825" s="451"/>
      <c r="K9825" s="451"/>
    </row>
    <row r="9826" spans="1:11">
      <c r="A9826" s="450" t="s">
        <v>15955</v>
      </c>
      <c r="B9826" s="450"/>
      <c r="C9826" s="450" t="s">
        <v>15956</v>
      </c>
      <c r="D9826" s="450"/>
      <c r="E9826" s="450"/>
      <c r="F9826" s="450"/>
      <c r="G9826" s="450" t="s">
        <v>22877</v>
      </c>
      <c r="H9826" s="450" t="s">
        <v>22878</v>
      </c>
      <c r="I9826" s="450"/>
      <c r="J9826" s="450" t="s">
        <v>22943</v>
      </c>
      <c r="K9826" s="450"/>
    </row>
    <row r="9827" spans="1:11">
      <c r="A9827" s="451" t="s">
        <v>15957</v>
      </c>
      <c r="B9827" s="451"/>
      <c r="C9827" s="451" t="s">
        <v>2038</v>
      </c>
      <c r="D9827" s="451" t="s">
        <v>15958</v>
      </c>
      <c r="E9827" s="451"/>
      <c r="F9827" s="451"/>
      <c r="G9827" s="451" t="s">
        <v>22877</v>
      </c>
      <c r="H9827" s="451" t="s">
        <v>22878</v>
      </c>
      <c r="I9827" s="451" t="s">
        <v>15958</v>
      </c>
      <c r="J9827" s="451" t="s">
        <v>28636</v>
      </c>
      <c r="K9827" s="451"/>
    </row>
    <row r="9828" spans="1:11">
      <c r="A9828" s="450" t="s">
        <v>28637</v>
      </c>
      <c r="B9828" s="450" t="s">
        <v>28638</v>
      </c>
      <c r="C9828" s="450" t="s">
        <v>28639</v>
      </c>
      <c r="D9828" s="450"/>
      <c r="E9828" s="450"/>
      <c r="F9828" s="450"/>
      <c r="G9828" s="450" t="s">
        <v>22877</v>
      </c>
      <c r="H9828" s="450" t="s">
        <v>22878</v>
      </c>
      <c r="I9828" s="450"/>
      <c r="J9828" s="450" t="s">
        <v>28640</v>
      </c>
      <c r="K9828" s="450"/>
    </row>
    <row r="9829" spans="1:11">
      <c r="A9829" s="451" t="s">
        <v>15959</v>
      </c>
      <c r="B9829" s="451"/>
      <c r="C9829" s="451" t="s">
        <v>15960</v>
      </c>
      <c r="D9829" s="451"/>
      <c r="E9829" s="451"/>
      <c r="F9829" s="451"/>
      <c r="G9829" s="451" t="s">
        <v>22877</v>
      </c>
      <c r="H9829" s="451" t="s">
        <v>22878</v>
      </c>
      <c r="I9829" s="451" t="s">
        <v>28641</v>
      </c>
      <c r="J9829" s="451" t="s">
        <v>23121</v>
      </c>
      <c r="K9829" s="451"/>
    </row>
    <row r="9830" spans="1:11">
      <c r="A9830" s="450" t="s">
        <v>15961</v>
      </c>
      <c r="B9830" s="450"/>
      <c r="C9830" s="450" t="s">
        <v>15962</v>
      </c>
      <c r="D9830" s="450"/>
      <c r="E9830" s="450"/>
      <c r="F9830" s="450"/>
      <c r="G9830" s="450" t="s">
        <v>22882</v>
      </c>
      <c r="H9830" s="450" t="s">
        <v>22883</v>
      </c>
      <c r="I9830" s="450"/>
      <c r="J9830" s="450" t="s">
        <v>23121</v>
      </c>
      <c r="K9830" s="450"/>
    </row>
    <row r="9831" spans="1:11">
      <c r="A9831" s="451" t="s">
        <v>38127</v>
      </c>
      <c r="B9831" s="451"/>
      <c r="C9831" s="451" t="s">
        <v>15964</v>
      </c>
      <c r="D9831" s="451"/>
      <c r="E9831" s="451"/>
      <c r="F9831" s="451"/>
      <c r="G9831" s="451" t="s">
        <v>22882</v>
      </c>
      <c r="H9831" s="451" t="s">
        <v>22883</v>
      </c>
      <c r="I9831" s="451"/>
      <c r="J9831" s="451" t="s">
        <v>28196</v>
      </c>
      <c r="K9831" s="451"/>
    </row>
    <row r="9832" spans="1:11">
      <c r="A9832" s="450" t="s">
        <v>15963</v>
      </c>
      <c r="B9832" s="450"/>
      <c r="C9832" s="450" t="s">
        <v>15964</v>
      </c>
      <c r="D9832" s="450"/>
      <c r="E9832" s="450"/>
      <c r="F9832" s="450"/>
      <c r="G9832" s="450"/>
      <c r="H9832" s="450"/>
      <c r="I9832" s="450"/>
      <c r="J9832" s="450"/>
      <c r="K9832" s="450"/>
    </row>
    <row r="9833" spans="1:11">
      <c r="A9833" s="451" t="s">
        <v>38128</v>
      </c>
      <c r="B9833" s="451"/>
      <c r="C9833" s="451" t="s">
        <v>15725</v>
      </c>
      <c r="D9833" s="451"/>
      <c r="E9833" s="451"/>
      <c r="F9833" s="451"/>
      <c r="G9833" s="451" t="s">
        <v>38129</v>
      </c>
      <c r="H9833" s="451" t="s">
        <v>22878</v>
      </c>
      <c r="I9833" s="451"/>
      <c r="J9833" s="451"/>
      <c r="K9833" s="451"/>
    </row>
    <row r="9834" spans="1:11">
      <c r="A9834" s="450" t="s">
        <v>15965</v>
      </c>
      <c r="B9834" s="450"/>
      <c r="C9834" s="450" t="s">
        <v>15966</v>
      </c>
      <c r="D9834" s="450"/>
      <c r="E9834" s="450"/>
      <c r="F9834" s="450"/>
      <c r="G9834" s="450" t="s">
        <v>22882</v>
      </c>
      <c r="H9834" s="450" t="s">
        <v>22883</v>
      </c>
      <c r="I9834" s="450"/>
      <c r="J9834" s="450" t="s">
        <v>23121</v>
      </c>
      <c r="K9834" s="450"/>
    </row>
    <row r="9835" spans="1:11">
      <c r="A9835" s="451" t="s">
        <v>28642</v>
      </c>
      <c r="B9835" s="451" t="s">
        <v>28643</v>
      </c>
      <c r="C9835" s="451" t="s">
        <v>4824</v>
      </c>
      <c r="D9835" s="451"/>
      <c r="E9835" s="451"/>
      <c r="F9835" s="451"/>
      <c r="G9835" s="451" t="s">
        <v>22877</v>
      </c>
      <c r="H9835" s="451" t="s">
        <v>22878</v>
      </c>
      <c r="I9835" s="451"/>
      <c r="J9835" s="451" t="s">
        <v>28644</v>
      </c>
      <c r="K9835" s="451"/>
    </row>
    <row r="9836" spans="1:11" ht="15.5">
      <c r="A9836" s="448" t="s">
        <v>38130</v>
      </c>
      <c r="B9836" s="448" t="s">
        <v>38131</v>
      </c>
      <c r="C9836" s="448" t="s">
        <v>38132</v>
      </c>
      <c r="D9836" s="448"/>
      <c r="E9836" s="448"/>
      <c r="F9836" s="448"/>
      <c r="G9836" s="448"/>
      <c r="H9836" s="448"/>
      <c r="I9836" s="448"/>
      <c r="J9836" s="448"/>
      <c r="K9836" s="448"/>
    </row>
    <row r="9837" spans="1:11">
      <c r="A9837" s="451" t="s">
        <v>28645</v>
      </c>
      <c r="B9837" s="451" t="s">
        <v>15968</v>
      </c>
      <c r="C9837" s="451" t="s">
        <v>15969</v>
      </c>
      <c r="D9837" s="451" t="s">
        <v>15970</v>
      </c>
      <c r="E9837" s="451"/>
      <c r="F9837" s="451"/>
      <c r="G9837" s="451" t="s">
        <v>22877</v>
      </c>
      <c r="H9837" s="451" t="s">
        <v>22878</v>
      </c>
      <c r="I9837" s="451" t="s">
        <v>15970</v>
      </c>
      <c r="J9837" s="451" t="s">
        <v>28646</v>
      </c>
      <c r="K9837" s="451"/>
    </row>
    <row r="9838" spans="1:11">
      <c r="A9838" s="450" t="s">
        <v>28647</v>
      </c>
      <c r="B9838" s="450" t="s">
        <v>28648</v>
      </c>
      <c r="C9838" s="450" t="s">
        <v>3201</v>
      </c>
      <c r="D9838" s="450" t="s">
        <v>15974</v>
      </c>
      <c r="E9838" s="450"/>
      <c r="F9838" s="450"/>
      <c r="G9838" s="450" t="s">
        <v>22877</v>
      </c>
      <c r="H9838" s="450" t="s">
        <v>22878</v>
      </c>
      <c r="I9838" s="450" t="s">
        <v>15974</v>
      </c>
      <c r="J9838" s="450" t="s">
        <v>28649</v>
      </c>
      <c r="K9838" s="450"/>
    </row>
    <row r="9839" spans="1:11">
      <c r="A9839" s="451" t="s">
        <v>15967</v>
      </c>
      <c r="B9839" s="451" t="s">
        <v>15968</v>
      </c>
      <c r="C9839" s="451" t="s">
        <v>15969</v>
      </c>
      <c r="D9839" s="451" t="s">
        <v>15970</v>
      </c>
      <c r="E9839" s="451" t="s">
        <v>15971</v>
      </c>
      <c r="F9839" s="451"/>
      <c r="G9839" s="451"/>
      <c r="H9839" s="451"/>
      <c r="I9839" s="451"/>
      <c r="J9839" s="451"/>
      <c r="K9839" s="451"/>
    </row>
    <row r="9840" spans="1:11">
      <c r="A9840" s="450" t="s">
        <v>15972</v>
      </c>
      <c r="B9840" s="450" t="s">
        <v>15973</v>
      </c>
      <c r="C9840" s="450" t="s">
        <v>3201</v>
      </c>
      <c r="D9840" s="450" t="s">
        <v>15974</v>
      </c>
      <c r="E9840" s="450" t="s">
        <v>15975</v>
      </c>
      <c r="F9840" s="450"/>
      <c r="G9840" s="450"/>
      <c r="H9840" s="450"/>
      <c r="I9840" s="450"/>
      <c r="J9840" s="450"/>
      <c r="K9840" s="450"/>
    </row>
    <row r="9841" spans="1:11">
      <c r="A9841" s="451" t="s">
        <v>15976</v>
      </c>
      <c r="B9841" s="451"/>
      <c r="C9841" s="451" t="s">
        <v>15977</v>
      </c>
      <c r="D9841" s="451"/>
      <c r="E9841" s="451"/>
      <c r="F9841" s="451"/>
      <c r="G9841" s="451" t="s">
        <v>22877</v>
      </c>
      <c r="H9841" s="451" t="s">
        <v>22878</v>
      </c>
      <c r="I9841" s="451" t="s">
        <v>38133</v>
      </c>
      <c r="J9841" s="451" t="s">
        <v>22939</v>
      </c>
      <c r="K9841" s="451"/>
    </row>
    <row r="9842" spans="1:11">
      <c r="A9842" s="450" t="s">
        <v>15978</v>
      </c>
      <c r="B9842" s="450"/>
      <c r="C9842" s="450" t="s">
        <v>2483</v>
      </c>
      <c r="D9842" s="450"/>
      <c r="E9842" s="450"/>
      <c r="F9842" s="450"/>
      <c r="G9842" s="450" t="s">
        <v>22882</v>
      </c>
      <c r="H9842" s="450" t="s">
        <v>22883</v>
      </c>
      <c r="I9842" s="450"/>
      <c r="J9842" s="450" t="s">
        <v>22943</v>
      </c>
      <c r="K9842" s="450"/>
    </row>
    <row r="9843" spans="1:11">
      <c r="A9843" s="451" t="s">
        <v>15979</v>
      </c>
      <c r="B9843" s="451"/>
      <c r="C9843" s="451" t="s">
        <v>15980</v>
      </c>
      <c r="D9843" s="451"/>
      <c r="E9843" s="451"/>
      <c r="F9843" s="451"/>
      <c r="G9843" s="451" t="s">
        <v>22877</v>
      </c>
      <c r="H9843" s="451" t="s">
        <v>22878</v>
      </c>
      <c r="I9843" s="451"/>
      <c r="J9843" s="451" t="s">
        <v>22939</v>
      </c>
      <c r="K9843" s="451"/>
    </row>
    <row r="9844" spans="1:11">
      <c r="A9844" s="450" t="s">
        <v>15981</v>
      </c>
      <c r="B9844" s="450"/>
      <c r="C9844" s="450" t="s">
        <v>15982</v>
      </c>
      <c r="D9844" s="450"/>
      <c r="E9844" s="450"/>
      <c r="F9844" s="450"/>
      <c r="G9844" s="450" t="s">
        <v>22882</v>
      </c>
      <c r="H9844" s="450" t="s">
        <v>22883</v>
      </c>
      <c r="I9844" s="450"/>
      <c r="J9844" s="450" t="s">
        <v>23121</v>
      </c>
      <c r="K9844" s="450"/>
    </row>
    <row r="9845" spans="1:11">
      <c r="A9845" s="451" t="s">
        <v>28650</v>
      </c>
      <c r="B9845" s="451" t="s">
        <v>15984</v>
      </c>
      <c r="C9845" s="451" t="s">
        <v>10868</v>
      </c>
      <c r="D9845" s="451" t="s">
        <v>15985</v>
      </c>
      <c r="E9845" s="451"/>
      <c r="F9845" s="451"/>
      <c r="G9845" s="451" t="s">
        <v>22877</v>
      </c>
      <c r="H9845" s="451" t="s">
        <v>22878</v>
      </c>
      <c r="I9845" s="451" t="s">
        <v>28651</v>
      </c>
      <c r="J9845" s="451" t="s">
        <v>28652</v>
      </c>
      <c r="K9845" s="451"/>
    </row>
    <row r="9846" spans="1:11">
      <c r="A9846" s="450" t="s">
        <v>15983</v>
      </c>
      <c r="B9846" s="450" t="s">
        <v>15984</v>
      </c>
      <c r="C9846" s="450" t="s">
        <v>10868</v>
      </c>
      <c r="D9846" s="450" t="s">
        <v>15985</v>
      </c>
      <c r="E9846" s="450"/>
      <c r="F9846" s="450"/>
      <c r="G9846" s="450"/>
      <c r="H9846" s="450"/>
      <c r="I9846" s="450"/>
      <c r="J9846" s="450"/>
      <c r="K9846" s="450"/>
    </row>
    <row r="9847" spans="1:11">
      <c r="A9847" s="451" t="s">
        <v>15986</v>
      </c>
      <c r="B9847" s="451" t="s">
        <v>15987</v>
      </c>
      <c r="C9847" s="451" t="s">
        <v>15988</v>
      </c>
      <c r="D9847" s="451"/>
      <c r="E9847" s="451"/>
      <c r="F9847" s="451"/>
      <c r="G9847" s="451" t="s">
        <v>22877</v>
      </c>
      <c r="H9847" s="451" t="s">
        <v>22878</v>
      </c>
      <c r="I9847" s="451"/>
      <c r="J9847" s="451" t="s">
        <v>28653</v>
      </c>
      <c r="K9847" s="451"/>
    </row>
    <row r="9848" spans="1:11">
      <c r="A9848" s="450" t="s">
        <v>15989</v>
      </c>
      <c r="B9848" s="450"/>
      <c r="C9848" s="450" t="s">
        <v>15990</v>
      </c>
      <c r="D9848" s="450"/>
      <c r="E9848" s="450"/>
      <c r="F9848" s="450"/>
      <c r="G9848" s="450" t="s">
        <v>22877</v>
      </c>
      <c r="H9848" s="450" t="s">
        <v>22878</v>
      </c>
      <c r="I9848" s="450" t="s">
        <v>38134</v>
      </c>
      <c r="J9848" s="450" t="s">
        <v>22939</v>
      </c>
      <c r="K9848" s="450"/>
    </row>
    <row r="9849" spans="1:11">
      <c r="A9849" s="451" t="s">
        <v>15991</v>
      </c>
      <c r="B9849" s="451"/>
      <c r="C9849" s="451" t="s">
        <v>10817</v>
      </c>
      <c r="D9849" s="451"/>
      <c r="E9849" s="451"/>
      <c r="F9849" s="451"/>
      <c r="G9849" s="451" t="s">
        <v>22877</v>
      </c>
      <c r="H9849" s="451" t="s">
        <v>22878</v>
      </c>
      <c r="I9849" s="451"/>
      <c r="J9849" s="451" t="s">
        <v>23121</v>
      </c>
      <c r="K9849" s="451"/>
    </row>
    <row r="9850" spans="1:11">
      <c r="A9850" s="450" t="s">
        <v>15992</v>
      </c>
      <c r="B9850" s="450"/>
      <c r="C9850" s="450" t="s">
        <v>3538</v>
      </c>
      <c r="D9850" s="450"/>
      <c r="E9850" s="450"/>
      <c r="F9850" s="450"/>
      <c r="G9850" s="450" t="s">
        <v>22877</v>
      </c>
      <c r="H9850" s="450" t="s">
        <v>22878</v>
      </c>
      <c r="I9850" s="450"/>
      <c r="J9850" s="450" t="s">
        <v>23370</v>
      </c>
      <c r="K9850" s="450"/>
    </row>
    <row r="9851" spans="1:11">
      <c r="A9851" s="451" t="s">
        <v>28654</v>
      </c>
      <c r="B9851" s="451" t="s">
        <v>15994</v>
      </c>
      <c r="C9851" s="451" t="s">
        <v>15995</v>
      </c>
      <c r="D9851" s="451" t="s">
        <v>15996</v>
      </c>
      <c r="E9851" s="451"/>
      <c r="F9851" s="451"/>
      <c r="G9851" s="451"/>
      <c r="H9851" s="451" t="s">
        <v>22878</v>
      </c>
      <c r="I9851" s="451" t="s">
        <v>15996</v>
      </c>
      <c r="J9851" s="451" t="s">
        <v>15994</v>
      </c>
      <c r="K9851" s="451"/>
    </row>
    <row r="9852" spans="1:11">
      <c r="A9852" s="450" t="s">
        <v>15993</v>
      </c>
      <c r="B9852" s="450" t="s">
        <v>15994</v>
      </c>
      <c r="C9852" s="450" t="s">
        <v>15995</v>
      </c>
      <c r="D9852" s="450" t="s">
        <v>15996</v>
      </c>
      <c r="E9852" s="450" t="s">
        <v>15997</v>
      </c>
      <c r="F9852" s="450"/>
      <c r="G9852" s="450"/>
      <c r="H9852" s="450"/>
      <c r="I9852" s="450"/>
      <c r="J9852" s="450"/>
      <c r="K9852" s="450"/>
    </row>
    <row r="9853" spans="1:11">
      <c r="A9853" s="451" t="s">
        <v>15998</v>
      </c>
      <c r="B9853" s="451"/>
      <c r="C9853" s="451" t="s">
        <v>15999</v>
      </c>
      <c r="D9853" s="451"/>
      <c r="E9853" s="451"/>
      <c r="F9853" s="451"/>
      <c r="G9853" s="451"/>
      <c r="H9853" s="451"/>
      <c r="I9853" s="451"/>
      <c r="J9853" s="451"/>
      <c r="K9853" s="451"/>
    </row>
    <row r="9854" spans="1:11">
      <c r="A9854" s="450" t="s">
        <v>38135</v>
      </c>
      <c r="B9854" s="450"/>
      <c r="C9854" s="450" t="s">
        <v>15999</v>
      </c>
      <c r="D9854" s="450"/>
      <c r="E9854" s="450"/>
      <c r="F9854" s="450"/>
      <c r="G9854" s="450" t="s">
        <v>22877</v>
      </c>
      <c r="H9854" s="450" t="s">
        <v>22878</v>
      </c>
      <c r="I9854" s="450"/>
      <c r="J9854" s="450" t="s">
        <v>22943</v>
      </c>
      <c r="K9854" s="450"/>
    </row>
    <row r="9855" spans="1:11">
      <c r="A9855" s="451" t="s">
        <v>16000</v>
      </c>
      <c r="B9855" s="451"/>
      <c r="C9855" s="451" t="s">
        <v>6153</v>
      </c>
      <c r="D9855" s="451"/>
      <c r="E9855" s="451"/>
      <c r="F9855" s="451"/>
      <c r="G9855" s="451" t="s">
        <v>22877</v>
      </c>
      <c r="H9855" s="451" t="s">
        <v>22878</v>
      </c>
      <c r="I9855" s="451"/>
      <c r="J9855" s="451" t="s">
        <v>22939</v>
      </c>
      <c r="K9855" s="451"/>
    </row>
    <row r="9856" spans="1:11">
      <c r="A9856" s="450" t="s">
        <v>21931</v>
      </c>
      <c r="B9856" s="450"/>
      <c r="C9856" s="450" t="s">
        <v>7285</v>
      </c>
      <c r="D9856" s="450"/>
      <c r="E9856" s="450"/>
      <c r="F9856" s="450"/>
      <c r="G9856" s="450" t="s">
        <v>22882</v>
      </c>
      <c r="H9856" s="450" t="s">
        <v>22883</v>
      </c>
      <c r="I9856" s="450"/>
      <c r="J9856" s="450" t="s">
        <v>22939</v>
      </c>
      <c r="K9856" s="450"/>
    </row>
    <row r="9857" spans="1:11">
      <c r="A9857" s="451" t="s">
        <v>28655</v>
      </c>
      <c r="B9857" s="451"/>
      <c r="C9857" s="451" t="s">
        <v>16002</v>
      </c>
      <c r="D9857" s="451"/>
      <c r="E9857" s="451"/>
      <c r="F9857" s="451"/>
      <c r="G9857" s="451" t="s">
        <v>22877</v>
      </c>
      <c r="H9857" s="451" t="s">
        <v>22878</v>
      </c>
      <c r="I9857" s="451" t="s">
        <v>28656</v>
      </c>
      <c r="J9857" s="451" t="s">
        <v>22943</v>
      </c>
      <c r="K9857" s="451"/>
    </row>
    <row r="9858" spans="1:11">
      <c r="A9858" s="450" t="s">
        <v>16001</v>
      </c>
      <c r="B9858" s="450"/>
      <c r="C9858" s="450" t="s">
        <v>16002</v>
      </c>
      <c r="D9858" s="450"/>
      <c r="E9858" s="450"/>
      <c r="F9858" s="450"/>
      <c r="G9858" s="450"/>
      <c r="H9858" s="450"/>
      <c r="I9858" s="450"/>
      <c r="J9858" s="450"/>
      <c r="K9858" s="450"/>
    </row>
    <row r="9859" spans="1:11">
      <c r="A9859" s="451" t="s">
        <v>16003</v>
      </c>
      <c r="B9859" s="451" t="s">
        <v>16004</v>
      </c>
      <c r="C9859" s="451" t="s">
        <v>16005</v>
      </c>
      <c r="D9859" s="451" t="s">
        <v>16006</v>
      </c>
      <c r="E9859" s="451"/>
      <c r="F9859" s="451"/>
      <c r="G9859" s="451"/>
      <c r="H9859" s="451"/>
      <c r="I9859" s="451"/>
      <c r="J9859" s="451"/>
      <c r="K9859" s="451"/>
    </row>
    <row r="9860" spans="1:11">
      <c r="A9860" s="450" t="s">
        <v>38136</v>
      </c>
      <c r="B9860" s="450" t="s">
        <v>16004</v>
      </c>
      <c r="C9860" s="450" t="s">
        <v>38137</v>
      </c>
      <c r="D9860" s="450" t="s">
        <v>16006</v>
      </c>
      <c r="E9860" s="450"/>
      <c r="F9860" s="450"/>
      <c r="G9860" s="450" t="s">
        <v>22877</v>
      </c>
      <c r="H9860" s="450" t="s">
        <v>22878</v>
      </c>
      <c r="I9860" s="450"/>
      <c r="J9860" s="450" t="s">
        <v>38138</v>
      </c>
      <c r="K9860" s="450"/>
    </row>
    <row r="9861" spans="1:11">
      <c r="A9861" s="451" t="s">
        <v>16007</v>
      </c>
      <c r="B9861" s="451" t="s">
        <v>16008</v>
      </c>
      <c r="C9861" s="451" t="s">
        <v>16009</v>
      </c>
      <c r="D9861" s="451" t="s">
        <v>16010</v>
      </c>
      <c r="E9861" s="451"/>
      <c r="F9861" s="451"/>
      <c r="G9861" s="451" t="s">
        <v>22877</v>
      </c>
      <c r="H9861" s="451" t="s">
        <v>22878</v>
      </c>
      <c r="I9861" s="451"/>
      <c r="J9861" s="451" t="s">
        <v>38139</v>
      </c>
      <c r="K9861" s="451"/>
    </row>
    <row r="9862" spans="1:11">
      <c r="A9862" s="450" t="s">
        <v>16007</v>
      </c>
      <c r="B9862" s="450" t="s">
        <v>16008</v>
      </c>
      <c r="C9862" s="450" t="s">
        <v>16009</v>
      </c>
      <c r="D9862" s="450" t="s">
        <v>16010</v>
      </c>
      <c r="E9862" s="450" t="s">
        <v>16011</v>
      </c>
      <c r="F9862" s="450"/>
      <c r="G9862" s="450"/>
      <c r="H9862" s="450"/>
      <c r="I9862" s="450"/>
      <c r="J9862" s="450"/>
      <c r="K9862" s="450"/>
    </row>
    <row r="9863" spans="1:11">
      <c r="A9863" s="451" t="s">
        <v>16012</v>
      </c>
      <c r="B9863" s="451" t="s">
        <v>16013</v>
      </c>
      <c r="C9863" s="451" t="s">
        <v>16014</v>
      </c>
      <c r="D9863" s="451" t="s">
        <v>16015</v>
      </c>
      <c r="E9863" s="451"/>
      <c r="F9863" s="451"/>
      <c r="G9863" s="451" t="s">
        <v>22877</v>
      </c>
      <c r="H9863" s="451" t="s">
        <v>22878</v>
      </c>
      <c r="I9863" s="451"/>
      <c r="J9863" s="451" t="s">
        <v>38140</v>
      </c>
      <c r="K9863" s="451"/>
    </row>
    <row r="9864" spans="1:11">
      <c r="A9864" s="450" t="s">
        <v>16016</v>
      </c>
      <c r="B9864" s="450" t="s">
        <v>16017</v>
      </c>
      <c r="C9864" s="450" t="s">
        <v>16018</v>
      </c>
      <c r="D9864" s="450" t="s">
        <v>16019</v>
      </c>
      <c r="E9864" s="450"/>
      <c r="F9864" s="450"/>
      <c r="G9864" s="450" t="s">
        <v>22877</v>
      </c>
      <c r="H9864" s="450" t="s">
        <v>22878</v>
      </c>
      <c r="I9864" s="450"/>
      <c r="J9864" s="450" t="s">
        <v>38141</v>
      </c>
      <c r="K9864" s="450"/>
    </row>
    <row r="9865" spans="1:11">
      <c r="A9865" s="451" t="s">
        <v>16020</v>
      </c>
      <c r="B9865" s="451" t="s">
        <v>16021</v>
      </c>
      <c r="C9865" s="451" t="s">
        <v>1563</v>
      </c>
      <c r="D9865" s="451" t="s">
        <v>16022</v>
      </c>
      <c r="E9865" s="451" t="s">
        <v>16023</v>
      </c>
      <c r="F9865" s="451"/>
      <c r="G9865" s="451"/>
      <c r="H9865" s="451"/>
      <c r="I9865" s="451"/>
      <c r="J9865" s="451"/>
      <c r="K9865" s="451"/>
    </row>
    <row r="9866" spans="1:11">
      <c r="A9866" s="450" t="s">
        <v>16024</v>
      </c>
      <c r="B9866" s="450" t="s">
        <v>16025</v>
      </c>
      <c r="C9866" s="450" t="s">
        <v>16026</v>
      </c>
      <c r="D9866" s="450" t="s">
        <v>16027</v>
      </c>
      <c r="E9866" s="450"/>
      <c r="F9866" s="450"/>
      <c r="G9866" s="450"/>
      <c r="H9866" s="450"/>
      <c r="I9866" s="450"/>
      <c r="J9866" s="450"/>
      <c r="K9866" s="450"/>
    </row>
    <row r="9867" spans="1:11">
      <c r="A9867" s="451" t="s">
        <v>28657</v>
      </c>
      <c r="B9867" s="451" t="s">
        <v>16021</v>
      </c>
      <c r="C9867" s="451" t="s">
        <v>1563</v>
      </c>
      <c r="D9867" s="451" t="s">
        <v>16022</v>
      </c>
      <c r="E9867" s="451"/>
      <c r="F9867" s="451"/>
      <c r="G9867" s="451" t="s">
        <v>22877</v>
      </c>
      <c r="H9867" s="451" t="s">
        <v>22878</v>
      </c>
      <c r="I9867" s="451"/>
      <c r="J9867" s="451" t="s">
        <v>28658</v>
      </c>
      <c r="K9867" s="451"/>
    </row>
    <row r="9868" spans="1:11">
      <c r="A9868" s="450" t="s">
        <v>28659</v>
      </c>
      <c r="B9868" s="450" t="s">
        <v>28660</v>
      </c>
      <c r="C9868" s="450" t="s">
        <v>16026</v>
      </c>
      <c r="D9868" s="450" t="s">
        <v>16027</v>
      </c>
      <c r="E9868" s="450"/>
      <c r="F9868" s="450"/>
      <c r="G9868" s="450" t="s">
        <v>22877</v>
      </c>
      <c r="H9868" s="450" t="s">
        <v>22878</v>
      </c>
      <c r="I9868" s="450" t="s">
        <v>28661</v>
      </c>
      <c r="J9868" s="450" t="s">
        <v>28662</v>
      </c>
      <c r="K9868" s="450"/>
    </row>
    <row r="9869" spans="1:11">
      <c r="A9869" s="451" t="s">
        <v>38142</v>
      </c>
      <c r="B9869" s="451"/>
      <c r="C9869" s="451" t="s">
        <v>16029</v>
      </c>
      <c r="D9869" s="451"/>
      <c r="E9869" s="451"/>
      <c r="F9869" s="451"/>
      <c r="G9869" s="451" t="s">
        <v>22882</v>
      </c>
      <c r="H9869" s="451" t="s">
        <v>22883</v>
      </c>
      <c r="I9869" s="451" t="s">
        <v>38143</v>
      </c>
      <c r="J9869" s="451" t="s">
        <v>22943</v>
      </c>
      <c r="K9869" s="451"/>
    </row>
    <row r="9870" spans="1:11">
      <c r="A9870" s="450" t="s">
        <v>16028</v>
      </c>
      <c r="B9870" s="450"/>
      <c r="C9870" s="450" t="s">
        <v>16029</v>
      </c>
      <c r="D9870" s="450"/>
      <c r="E9870" s="450"/>
      <c r="F9870" s="450"/>
      <c r="G9870" s="450"/>
      <c r="H9870" s="450"/>
      <c r="I9870" s="450"/>
      <c r="J9870" s="450"/>
      <c r="K9870" s="450"/>
    </row>
    <row r="9871" spans="1:11">
      <c r="A9871" s="451" t="s">
        <v>16030</v>
      </c>
      <c r="B9871" s="451"/>
      <c r="C9871" s="451" t="s">
        <v>16031</v>
      </c>
      <c r="D9871" s="451"/>
      <c r="E9871" s="451"/>
      <c r="F9871" s="451"/>
      <c r="G9871" s="451" t="s">
        <v>22877</v>
      </c>
      <c r="H9871" s="451" t="s">
        <v>22878</v>
      </c>
      <c r="I9871" s="451"/>
      <c r="J9871" s="451" t="s">
        <v>23121</v>
      </c>
      <c r="K9871" s="451"/>
    </row>
    <row r="9872" spans="1:11">
      <c r="A9872" s="450" t="s">
        <v>16032</v>
      </c>
      <c r="B9872" s="450"/>
      <c r="C9872" s="450" t="s">
        <v>2851</v>
      </c>
      <c r="D9872" s="450"/>
      <c r="E9872" s="450"/>
      <c r="F9872" s="450"/>
      <c r="G9872" s="450" t="s">
        <v>22877</v>
      </c>
      <c r="H9872" s="450" t="s">
        <v>22878</v>
      </c>
      <c r="I9872" s="450" t="s">
        <v>38144</v>
      </c>
      <c r="J9872" s="450" t="s">
        <v>23121</v>
      </c>
      <c r="K9872" s="450"/>
    </row>
    <row r="9873" spans="1:11">
      <c r="A9873" s="451" t="s">
        <v>16033</v>
      </c>
      <c r="B9873" s="451" t="s">
        <v>16034</v>
      </c>
      <c r="C9873" s="451" t="s">
        <v>16035</v>
      </c>
      <c r="D9873" s="451"/>
      <c r="E9873" s="451"/>
      <c r="F9873" s="451"/>
      <c r="G9873" s="451" t="s">
        <v>22877</v>
      </c>
      <c r="H9873" s="451" t="s">
        <v>22878</v>
      </c>
      <c r="I9873" s="451"/>
      <c r="J9873" s="451" t="s">
        <v>38145</v>
      </c>
      <c r="K9873" s="451"/>
    </row>
    <row r="9874" spans="1:11">
      <c r="A9874" s="450" t="s">
        <v>38146</v>
      </c>
      <c r="B9874" s="450"/>
      <c r="C9874" s="450" t="s">
        <v>16037</v>
      </c>
      <c r="D9874" s="450"/>
      <c r="E9874" s="450"/>
      <c r="F9874" s="450"/>
      <c r="G9874" s="450" t="s">
        <v>22877</v>
      </c>
      <c r="H9874" s="450" t="s">
        <v>22878</v>
      </c>
      <c r="I9874" s="450"/>
      <c r="J9874" s="450" t="s">
        <v>23121</v>
      </c>
      <c r="K9874" s="450"/>
    </row>
    <row r="9875" spans="1:11">
      <c r="A9875" s="451" t="s">
        <v>16036</v>
      </c>
      <c r="B9875" s="451"/>
      <c r="C9875" s="451" t="s">
        <v>16037</v>
      </c>
      <c r="D9875" s="451"/>
      <c r="E9875" s="451"/>
      <c r="F9875" s="451"/>
      <c r="G9875" s="451"/>
      <c r="H9875" s="451"/>
      <c r="I9875" s="451"/>
      <c r="J9875" s="451"/>
      <c r="K9875" s="451"/>
    </row>
    <row r="9876" spans="1:11">
      <c r="A9876" s="450" t="s">
        <v>16038</v>
      </c>
      <c r="B9876" s="450"/>
      <c r="C9876" s="450" t="s">
        <v>16039</v>
      </c>
      <c r="D9876" s="450"/>
      <c r="E9876" s="450"/>
      <c r="F9876" s="450"/>
      <c r="G9876" s="450" t="s">
        <v>22882</v>
      </c>
      <c r="H9876" s="450" t="s">
        <v>22883</v>
      </c>
      <c r="I9876" s="450"/>
      <c r="J9876" s="450" t="s">
        <v>22939</v>
      </c>
      <c r="K9876" s="450"/>
    </row>
    <row r="9877" spans="1:11">
      <c r="A9877" s="451" t="s">
        <v>16040</v>
      </c>
      <c r="B9877" s="451"/>
      <c r="C9877" s="451" t="s">
        <v>16041</v>
      </c>
      <c r="D9877" s="451"/>
      <c r="E9877" s="451"/>
      <c r="F9877" s="451"/>
      <c r="G9877" s="451" t="s">
        <v>22877</v>
      </c>
      <c r="H9877" s="451" t="s">
        <v>22878</v>
      </c>
      <c r="I9877" s="451" t="s">
        <v>38147</v>
      </c>
      <c r="J9877" s="451" t="s">
        <v>23121</v>
      </c>
      <c r="K9877" s="451"/>
    </row>
    <row r="9878" spans="1:11">
      <c r="A9878" s="450" t="s">
        <v>16042</v>
      </c>
      <c r="B9878" s="450"/>
      <c r="C9878" s="450" t="s">
        <v>6689</v>
      </c>
      <c r="D9878" s="450"/>
      <c r="E9878" s="450"/>
      <c r="F9878" s="450"/>
      <c r="G9878" s="450" t="s">
        <v>22877</v>
      </c>
      <c r="H9878" s="450" t="s">
        <v>22878</v>
      </c>
      <c r="I9878" s="450" t="s">
        <v>38148</v>
      </c>
      <c r="J9878" s="450" t="s">
        <v>22939</v>
      </c>
      <c r="K9878" s="450"/>
    </row>
    <row r="9879" spans="1:11">
      <c r="A9879" s="451" t="s">
        <v>16043</v>
      </c>
      <c r="B9879" s="451"/>
      <c r="C9879" s="451" t="s">
        <v>7416</v>
      </c>
      <c r="D9879" s="451"/>
      <c r="E9879" s="451"/>
      <c r="F9879" s="451"/>
      <c r="G9879" s="451" t="s">
        <v>22877</v>
      </c>
      <c r="H9879" s="451" t="s">
        <v>22878</v>
      </c>
      <c r="I9879" s="451" t="s">
        <v>28663</v>
      </c>
      <c r="J9879" s="451" t="s">
        <v>22943</v>
      </c>
      <c r="K9879" s="451"/>
    </row>
    <row r="9880" spans="1:11">
      <c r="A9880" s="450" t="s">
        <v>38149</v>
      </c>
      <c r="B9880" s="450" t="s">
        <v>38150</v>
      </c>
      <c r="C9880" s="450" t="s">
        <v>16046</v>
      </c>
      <c r="D9880" s="450"/>
      <c r="E9880" s="450"/>
      <c r="F9880" s="450"/>
      <c r="G9880" s="450" t="s">
        <v>22877</v>
      </c>
      <c r="H9880" s="450" t="s">
        <v>22878</v>
      </c>
      <c r="I9880" s="450"/>
      <c r="J9880" s="450" t="s">
        <v>38151</v>
      </c>
      <c r="K9880" s="450"/>
    </row>
    <row r="9881" spans="1:11">
      <c r="A9881" s="451" t="s">
        <v>16044</v>
      </c>
      <c r="B9881" s="451" t="s">
        <v>16045</v>
      </c>
      <c r="C9881" s="451" t="s">
        <v>16046</v>
      </c>
      <c r="D9881" s="451"/>
      <c r="E9881" s="451"/>
      <c r="F9881" s="451"/>
      <c r="G9881" s="451"/>
      <c r="H9881" s="451"/>
      <c r="I9881" s="451"/>
      <c r="J9881" s="451"/>
      <c r="K9881" s="451"/>
    </row>
    <row r="9882" spans="1:11">
      <c r="A9882" s="450" t="s">
        <v>16047</v>
      </c>
      <c r="B9882" s="450"/>
      <c r="C9882" s="450" t="s">
        <v>2067</v>
      </c>
      <c r="D9882" s="450"/>
      <c r="E9882" s="450"/>
      <c r="F9882" s="450"/>
      <c r="G9882" s="450" t="s">
        <v>22877</v>
      </c>
      <c r="H9882" s="450" t="s">
        <v>22878</v>
      </c>
      <c r="I9882" s="450"/>
      <c r="J9882" s="450" t="s">
        <v>22943</v>
      </c>
      <c r="K9882" s="450"/>
    </row>
    <row r="9883" spans="1:11">
      <c r="A9883" s="451" t="s">
        <v>16048</v>
      </c>
      <c r="B9883" s="451"/>
      <c r="C9883" s="451" t="s">
        <v>16049</v>
      </c>
      <c r="D9883" s="451"/>
      <c r="E9883" s="451"/>
      <c r="F9883" s="451"/>
      <c r="G9883" s="451" t="s">
        <v>22877</v>
      </c>
      <c r="H9883" s="451" t="s">
        <v>22878</v>
      </c>
      <c r="I9883" s="451"/>
      <c r="J9883" s="451" t="s">
        <v>22943</v>
      </c>
      <c r="K9883" s="451"/>
    </row>
    <row r="9884" spans="1:11">
      <c r="A9884" s="450" t="s">
        <v>16050</v>
      </c>
      <c r="B9884" s="450" t="s">
        <v>16051</v>
      </c>
      <c r="C9884" s="450" t="s">
        <v>2717</v>
      </c>
      <c r="D9884" s="450" t="s">
        <v>16052</v>
      </c>
      <c r="E9884" s="450"/>
      <c r="F9884" s="450"/>
      <c r="G9884" s="450" t="s">
        <v>23109</v>
      </c>
      <c r="H9884" s="450" t="s">
        <v>22878</v>
      </c>
      <c r="I9884" s="450"/>
      <c r="J9884" s="450" t="s">
        <v>16051</v>
      </c>
      <c r="K9884" s="450"/>
    </row>
    <row r="9885" spans="1:11">
      <c r="A9885" s="451" t="s">
        <v>16050</v>
      </c>
      <c r="B9885" s="451" t="s">
        <v>16051</v>
      </c>
      <c r="C9885" s="451" t="s">
        <v>2717</v>
      </c>
      <c r="D9885" s="451" t="s">
        <v>16052</v>
      </c>
      <c r="E9885" s="451" t="s">
        <v>16053</v>
      </c>
      <c r="F9885" s="451"/>
      <c r="G9885" s="451"/>
      <c r="H9885" s="451"/>
      <c r="I9885" s="451"/>
      <c r="J9885" s="451"/>
      <c r="K9885" s="451"/>
    </row>
    <row r="9886" spans="1:11">
      <c r="A9886" s="450" t="s">
        <v>16054</v>
      </c>
      <c r="B9886" s="450"/>
      <c r="C9886" s="450" t="s">
        <v>16055</v>
      </c>
      <c r="D9886" s="450"/>
      <c r="E9886" s="450"/>
      <c r="F9886" s="450"/>
      <c r="G9886" s="450" t="s">
        <v>22877</v>
      </c>
      <c r="H9886" s="450" t="s">
        <v>22878</v>
      </c>
      <c r="I9886" s="450" t="s">
        <v>38152</v>
      </c>
      <c r="J9886" s="450" t="s">
        <v>38153</v>
      </c>
      <c r="K9886" s="450"/>
    </row>
    <row r="9887" spans="1:11">
      <c r="A9887" s="451" t="s">
        <v>16056</v>
      </c>
      <c r="B9887" s="451"/>
      <c r="C9887" s="451" t="s">
        <v>16057</v>
      </c>
      <c r="D9887" s="451"/>
      <c r="E9887" s="451"/>
      <c r="F9887" s="451"/>
      <c r="G9887" s="451" t="s">
        <v>22882</v>
      </c>
      <c r="H9887" s="451" t="s">
        <v>22883</v>
      </c>
      <c r="I9887" s="451" t="s">
        <v>38154</v>
      </c>
      <c r="J9887" s="451" t="s">
        <v>23179</v>
      </c>
      <c r="K9887" s="451"/>
    </row>
    <row r="9888" spans="1:11">
      <c r="A9888" s="450" t="s">
        <v>16058</v>
      </c>
      <c r="B9888" s="450"/>
      <c r="C9888" s="450" t="s">
        <v>8557</v>
      </c>
      <c r="D9888" s="450"/>
      <c r="E9888" s="450"/>
      <c r="F9888" s="450"/>
      <c r="G9888" s="450" t="s">
        <v>22882</v>
      </c>
      <c r="H9888" s="450" t="s">
        <v>22883</v>
      </c>
      <c r="I9888" s="450" t="s">
        <v>38155</v>
      </c>
      <c r="J9888" s="450" t="s">
        <v>38156</v>
      </c>
      <c r="K9888" s="450"/>
    </row>
    <row r="9889" spans="1:11">
      <c r="A9889" s="451" t="s">
        <v>21932</v>
      </c>
      <c r="B9889" s="451"/>
      <c r="C9889" s="451" t="s">
        <v>7285</v>
      </c>
      <c r="D9889" s="451"/>
      <c r="E9889" s="451"/>
      <c r="F9889" s="451"/>
      <c r="G9889" s="451" t="s">
        <v>22882</v>
      </c>
      <c r="H9889" s="451" t="s">
        <v>22883</v>
      </c>
      <c r="I9889" s="451" t="s">
        <v>38157</v>
      </c>
      <c r="J9889" s="451" t="s">
        <v>22939</v>
      </c>
      <c r="K9889" s="451"/>
    </row>
    <row r="9890" spans="1:11">
      <c r="A9890" s="450" t="s">
        <v>16059</v>
      </c>
      <c r="B9890" s="450"/>
      <c r="C9890" s="450"/>
      <c r="D9890" s="450"/>
      <c r="E9890" s="450"/>
      <c r="F9890" s="450"/>
      <c r="G9890" s="450" t="s">
        <v>22877</v>
      </c>
      <c r="H9890" s="450" t="s">
        <v>22878</v>
      </c>
      <c r="I9890" s="450" t="s">
        <v>38158</v>
      </c>
      <c r="J9890" s="450" t="s">
        <v>22943</v>
      </c>
      <c r="K9890" s="450"/>
    </row>
    <row r="9891" spans="1:11">
      <c r="A9891" s="451" t="s">
        <v>38159</v>
      </c>
      <c r="B9891" s="451"/>
      <c r="C9891" s="451" t="s">
        <v>2267</v>
      </c>
      <c r="D9891" s="451"/>
      <c r="E9891" s="451"/>
      <c r="F9891" s="451"/>
      <c r="G9891" s="451" t="s">
        <v>22882</v>
      </c>
      <c r="H9891" s="451" t="s">
        <v>22883</v>
      </c>
      <c r="I9891" s="451" t="s">
        <v>38160</v>
      </c>
      <c r="J9891" s="451" t="s">
        <v>22939</v>
      </c>
      <c r="K9891" s="451"/>
    </row>
    <row r="9892" spans="1:11">
      <c r="A9892" s="450" t="s">
        <v>38161</v>
      </c>
      <c r="B9892" s="450"/>
      <c r="C9892" s="450" t="s">
        <v>16061</v>
      </c>
      <c r="D9892" s="450"/>
      <c r="E9892" s="450"/>
      <c r="F9892" s="450"/>
      <c r="G9892" s="450" t="s">
        <v>22882</v>
      </c>
      <c r="H9892" s="450" t="s">
        <v>22883</v>
      </c>
      <c r="I9892" s="450" t="s">
        <v>38162</v>
      </c>
      <c r="J9892" s="450" t="s">
        <v>22943</v>
      </c>
      <c r="K9892" s="450"/>
    </row>
    <row r="9893" spans="1:11">
      <c r="A9893" s="451" t="s">
        <v>16060</v>
      </c>
      <c r="B9893" s="451"/>
      <c r="C9893" s="451" t="s">
        <v>16061</v>
      </c>
      <c r="D9893" s="451"/>
      <c r="E9893" s="451"/>
      <c r="F9893" s="451"/>
      <c r="G9893" s="451"/>
      <c r="H9893" s="451"/>
      <c r="I9893" s="451"/>
      <c r="J9893" s="451"/>
      <c r="K9893" s="451"/>
    </row>
    <row r="9894" spans="1:11">
      <c r="A9894" s="450" t="s">
        <v>16062</v>
      </c>
      <c r="B9894" s="450"/>
      <c r="C9894" s="450" t="s">
        <v>4323</v>
      </c>
      <c r="D9894" s="450"/>
      <c r="E9894" s="450"/>
      <c r="F9894" s="450"/>
      <c r="G9894" s="450"/>
      <c r="H9894" s="450"/>
      <c r="I9894" s="450"/>
      <c r="J9894" s="450"/>
      <c r="K9894" s="450"/>
    </row>
    <row r="9895" spans="1:11">
      <c r="A9895" s="451" t="s">
        <v>28664</v>
      </c>
      <c r="B9895" s="451"/>
      <c r="C9895" s="451" t="s">
        <v>4323</v>
      </c>
      <c r="D9895" s="451"/>
      <c r="E9895" s="451"/>
      <c r="F9895" s="451"/>
      <c r="G9895" s="451" t="s">
        <v>22877</v>
      </c>
      <c r="H9895" s="451" t="s">
        <v>22878</v>
      </c>
      <c r="I9895" s="451"/>
      <c r="J9895" s="451" t="s">
        <v>22943</v>
      </c>
      <c r="K9895" s="451"/>
    </row>
    <row r="9896" spans="1:11">
      <c r="A9896" s="450" t="s">
        <v>32007</v>
      </c>
      <c r="B9896" s="450" t="s">
        <v>28665</v>
      </c>
      <c r="C9896" s="450" t="s">
        <v>15713</v>
      </c>
      <c r="D9896" s="450" t="s">
        <v>15714</v>
      </c>
      <c r="E9896" s="450"/>
      <c r="F9896" s="450"/>
      <c r="G9896" s="450" t="s">
        <v>22882</v>
      </c>
      <c r="H9896" s="450" t="s">
        <v>22883</v>
      </c>
      <c r="I9896" s="450" t="s">
        <v>28666</v>
      </c>
      <c r="J9896" s="450" t="s">
        <v>28667</v>
      </c>
      <c r="K9896" s="450"/>
    </row>
    <row r="9897" spans="1:11">
      <c r="A9897" s="451" t="s">
        <v>28668</v>
      </c>
      <c r="B9897" s="451" t="s">
        <v>15728</v>
      </c>
      <c r="C9897" s="451" t="s">
        <v>15729</v>
      </c>
      <c r="D9897" s="451" t="s">
        <v>15730</v>
      </c>
      <c r="E9897" s="451"/>
      <c r="F9897" s="451"/>
      <c r="G9897" s="451" t="s">
        <v>22877</v>
      </c>
      <c r="H9897" s="451" t="s">
        <v>22878</v>
      </c>
      <c r="I9897" s="451" t="s">
        <v>15730</v>
      </c>
      <c r="J9897" s="451" t="s">
        <v>28669</v>
      </c>
      <c r="K9897" s="451"/>
    </row>
    <row r="9898" spans="1:11">
      <c r="A9898" s="450" t="s">
        <v>38163</v>
      </c>
      <c r="B9898" s="450"/>
      <c r="C9898" s="450" t="s">
        <v>15733</v>
      </c>
      <c r="D9898" s="450"/>
      <c r="E9898" s="450"/>
      <c r="F9898" s="450"/>
      <c r="G9898" s="450" t="s">
        <v>22877</v>
      </c>
      <c r="H9898" s="450" t="s">
        <v>22878</v>
      </c>
      <c r="I9898" s="450" t="s">
        <v>38164</v>
      </c>
      <c r="J9898" s="450" t="s">
        <v>23370</v>
      </c>
      <c r="K9898" s="450"/>
    </row>
    <row r="9899" spans="1:11">
      <c r="A9899" s="451" t="s">
        <v>38165</v>
      </c>
      <c r="B9899" s="451"/>
      <c r="C9899" s="451" t="s">
        <v>10737</v>
      </c>
      <c r="D9899" s="451"/>
      <c r="E9899" s="451"/>
      <c r="F9899" s="451"/>
      <c r="G9899" s="451" t="s">
        <v>22877</v>
      </c>
      <c r="H9899" s="451" t="s">
        <v>22878</v>
      </c>
      <c r="I9899" s="451"/>
      <c r="J9899" s="451" t="s">
        <v>23370</v>
      </c>
      <c r="K9899" s="451"/>
    </row>
    <row r="9900" spans="1:11">
      <c r="A9900" s="450" t="s">
        <v>16063</v>
      </c>
      <c r="B9900" s="450"/>
      <c r="C9900" s="450" t="s">
        <v>10737</v>
      </c>
      <c r="D9900" s="450"/>
      <c r="E9900" s="450"/>
      <c r="F9900" s="450"/>
      <c r="G9900" s="450"/>
      <c r="H9900" s="450"/>
      <c r="I9900" s="450"/>
      <c r="J9900" s="450"/>
      <c r="K9900" s="450"/>
    </row>
    <row r="9901" spans="1:11">
      <c r="A9901" s="451" t="s">
        <v>16064</v>
      </c>
      <c r="B9901" s="451"/>
      <c r="C9901" s="451" t="s">
        <v>16065</v>
      </c>
      <c r="D9901" s="451"/>
      <c r="E9901" s="451"/>
      <c r="F9901" s="451"/>
      <c r="G9901" s="451" t="s">
        <v>22882</v>
      </c>
      <c r="H9901" s="451" t="s">
        <v>22883</v>
      </c>
      <c r="I9901" s="451" t="s">
        <v>38166</v>
      </c>
      <c r="J9901" s="451" t="s">
        <v>22939</v>
      </c>
      <c r="K9901" s="451"/>
    </row>
    <row r="9902" spans="1:11">
      <c r="A9902" s="450" t="s">
        <v>38167</v>
      </c>
      <c r="B9902" s="450"/>
      <c r="C9902" s="450" t="s">
        <v>14228</v>
      </c>
      <c r="D9902" s="450"/>
      <c r="E9902" s="450"/>
      <c r="F9902" s="450"/>
      <c r="G9902" s="450" t="s">
        <v>22882</v>
      </c>
      <c r="H9902" s="450" t="s">
        <v>22883</v>
      </c>
      <c r="I9902" s="450" t="s">
        <v>38168</v>
      </c>
      <c r="J9902" s="450" t="s">
        <v>22943</v>
      </c>
      <c r="K9902" s="450"/>
    </row>
    <row r="9903" spans="1:11">
      <c r="A9903" s="451" t="s">
        <v>16066</v>
      </c>
      <c r="B9903" s="451"/>
      <c r="C9903" s="451" t="s">
        <v>16067</v>
      </c>
      <c r="D9903" s="451"/>
      <c r="E9903" s="451"/>
      <c r="F9903" s="451"/>
      <c r="G9903" s="451"/>
      <c r="H9903" s="451"/>
      <c r="I9903" s="451"/>
      <c r="J9903" s="451"/>
      <c r="K9903" s="451"/>
    </row>
    <row r="9904" spans="1:11">
      <c r="A9904" s="450" t="s">
        <v>38169</v>
      </c>
      <c r="B9904" s="450"/>
      <c r="C9904" s="450" t="s">
        <v>16067</v>
      </c>
      <c r="D9904" s="450"/>
      <c r="E9904" s="450"/>
      <c r="F9904" s="450"/>
      <c r="G9904" s="450" t="s">
        <v>22882</v>
      </c>
      <c r="H9904" s="450" t="s">
        <v>22883</v>
      </c>
      <c r="I9904" s="450" t="s">
        <v>38170</v>
      </c>
      <c r="J9904" s="450" t="s">
        <v>22943</v>
      </c>
      <c r="K9904" s="450"/>
    </row>
    <row r="9905" spans="1:11">
      <c r="A9905" s="451" t="s">
        <v>16068</v>
      </c>
      <c r="B9905" s="451"/>
      <c r="C9905" s="451" t="s">
        <v>16069</v>
      </c>
      <c r="D9905" s="451"/>
      <c r="E9905" s="451"/>
      <c r="F9905" s="451"/>
      <c r="G9905" s="451" t="s">
        <v>22877</v>
      </c>
      <c r="H9905" s="451" t="s">
        <v>22878</v>
      </c>
      <c r="I9905" s="451" t="s">
        <v>38171</v>
      </c>
      <c r="J9905" s="451" t="s">
        <v>22939</v>
      </c>
      <c r="K9905" s="451"/>
    </row>
    <row r="9906" spans="1:11">
      <c r="A9906" s="450" t="s">
        <v>16070</v>
      </c>
      <c r="B9906" s="450"/>
      <c r="C9906" s="450" t="s">
        <v>16071</v>
      </c>
      <c r="D9906" s="450"/>
      <c r="E9906" s="450"/>
      <c r="F9906" s="450"/>
      <c r="G9906" s="450" t="s">
        <v>22877</v>
      </c>
      <c r="H9906" s="450" t="s">
        <v>22878</v>
      </c>
      <c r="I9906" s="450"/>
      <c r="J9906" s="450" t="s">
        <v>22939</v>
      </c>
      <c r="K9906" s="450"/>
    </row>
    <row r="9907" spans="1:11">
      <c r="A9907" s="451" t="s">
        <v>28670</v>
      </c>
      <c r="B9907" s="451" t="s">
        <v>16072</v>
      </c>
      <c r="C9907" s="451" t="s">
        <v>1053</v>
      </c>
      <c r="D9907" s="451" t="s">
        <v>16073</v>
      </c>
      <c r="E9907" s="451"/>
      <c r="F9907" s="451"/>
      <c r="G9907" s="451" t="s">
        <v>22877</v>
      </c>
      <c r="H9907" s="451" t="s">
        <v>22878</v>
      </c>
      <c r="I9907" s="451" t="s">
        <v>28671</v>
      </c>
      <c r="J9907" s="451" t="s">
        <v>28672</v>
      </c>
      <c r="K9907" s="451"/>
    </row>
    <row r="9908" spans="1:11">
      <c r="A9908" s="450" t="s">
        <v>28673</v>
      </c>
      <c r="B9908" s="450" t="s">
        <v>16075</v>
      </c>
      <c r="C9908" s="450" t="s">
        <v>6474</v>
      </c>
      <c r="D9908" s="450"/>
      <c r="E9908" s="450"/>
      <c r="F9908" s="450"/>
      <c r="G9908" s="450" t="s">
        <v>22877</v>
      </c>
      <c r="H9908" s="450" t="s">
        <v>22878</v>
      </c>
      <c r="I9908" s="450" t="s">
        <v>28674</v>
      </c>
      <c r="J9908" s="450" t="s">
        <v>28675</v>
      </c>
      <c r="K9908" s="450"/>
    </row>
    <row r="9909" spans="1:11">
      <c r="A9909" s="451" t="s">
        <v>28676</v>
      </c>
      <c r="B9909" s="451" t="s">
        <v>16076</v>
      </c>
      <c r="C9909" s="451" t="s">
        <v>16077</v>
      </c>
      <c r="D9909" s="451" t="s">
        <v>16078</v>
      </c>
      <c r="E9909" s="451"/>
      <c r="F9909" s="451"/>
      <c r="G9909" s="451" t="s">
        <v>22877</v>
      </c>
      <c r="H9909" s="451" t="s">
        <v>22878</v>
      </c>
      <c r="I9909" s="451" t="s">
        <v>28671</v>
      </c>
      <c r="J9909" s="451" t="s">
        <v>28677</v>
      </c>
      <c r="K9909" s="451"/>
    </row>
    <row r="9910" spans="1:11">
      <c r="A9910" s="450" t="s">
        <v>28678</v>
      </c>
      <c r="B9910" s="450"/>
      <c r="C9910" s="450" t="s">
        <v>1427</v>
      </c>
      <c r="D9910" s="450"/>
      <c r="E9910" s="450"/>
      <c r="F9910" s="450"/>
      <c r="G9910" s="450" t="s">
        <v>22877</v>
      </c>
      <c r="H9910" s="450" t="s">
        <v>22878</v>
      </c>
      <c r="I9910" s="450" t="s">
        <v>28679</v>
      </c>
      <c r="J9910" s="450" t="s">
        <v>22943</v>
      </c>
      <c r="K9910" s="450"/>
    </row>
    <row r="9911" spans="1:11">
      <c r="A9911" s="451" t="s">
        <v>16080</v>
      </c>
      <c r="B9911" s="451"/>
      <c r="C9911" s="451" t="s">
        <v>1427</v>
      </c>
      <c r="D9911" s="451"/>
      <c r="E9911" s="451"/>
      <c r="F9911" s="451"/>
      <c r="G9911" s="451"/>
      <c r="H9911" s="451"/>
      <c r="I9911" s="451"/>
      <c r="J9911" s="451"/>
      <c r="K9911" s="451"/>
    </row>
    <row r="9912" spans="1:11">
      <c r="A9912" s="450" t="s">
        <v>16081</v>
      </c>
      <c r="B9912" s="450"/>
      <c r="C9912" s="450" t="s">
        <v>16082</v>
      </c>
      <c r="D9912" s="450"/>
      <c r="E9912" s="450"/>
      <c r="F9912" s="450"/>
      <c r="G9912" s="450" t="s">
        <v>22882</v>
      </c>
      <c r="H9912" s="450" t="s">
        <v>22883</v>
      </c>
      <c r="I9912" s="450"/>
      <c r="J9912" s="450" t="s">
        <v>22939</v>
      </c>
      <c r="K9912" s="450"/>
    </row>
    <row r="9913" spans="1:11">
      <c r="A9913" s="451" t="s">
        <v>16083</v>
      </c>
      <c r="B9913" s="451" t="s">
        <v>21936</v>
      </c>
      <c r="C9913" s="451" t="s">
        <v>15645</v>
      </c>
      <c r="D9913" s="451"/>
      <c r="E9913" s="451"/>
      <c r="F9913" s="451"/>
      <c r="G9913" s="451"/>
      <c r="H9913" s="451"/>
      <c r="I9913" s="451"/>
      <c r="J9913" s="451"/>
      <c r="K9913" s="451"/>
    </row>
    <row r="9914" spans="1:11">
      <c r="A9914" s="450" t="s">
        <v>38172</v>
      </c>
      <c r="B9914" s="450" t="s">
        <v>21936</v>
      </c>
      <c r="C9914" s="450" t="s">
        <v>15645</v>
      </c>
      <c r="D9914" s="450"/>
      <c r="E9914" s="450"/>
      <c r="F9914" s="450"/>
      <c r="G9914" s="450" t="s">
        <v>22877</v>
      </c>
      <c r="H9914" s="450" t="s">
        <v>22878</v>
      </c>
      <c r="I9914" s="450" t="s">
        <v>28680</v>
      </c>
      <c r="J9914" s="450" t="s">
        <v>38173</v>
      </c>
      <c r="K9914" s="450"/>
    </row>
    <row r="9915" spans="1:11">
      <c r="A9915" s="451" t="s">
        <v>16084</v>
      </c>
      <c r="B9915" s="451"/>
      <c r="C9915" s="451" t="s">
        <v>16085</v>
      </c>
      <c r="D9915" s="451"/>
      <c r="E9915" s="451"/>
      <c r="F9915" s="451"/>
      <c r="G9915" s="451" t="s">
        <v>22877</v>
      </c>
      <c r="H9915" s="451" t="s">
        <v>22878</v>
      </c>
      <c r="I9915" s="451" t="s">
        <v>28680</v>
      </c>
      <c r="J9915" s="451" t="s">
        <v>23121</v>
      </c>
      <c r="K9915" s="451"/>
    </row>
    <row r="9916" spans="1:11">
      <c r="A9916" s="450" t="s">
        <v>21933</v>
      </c>
      <c r="B9916" s="450" t="s">
        <v>16072</v>
      </c>
      <c r="C9916" s="450" t="s">
        <v>1053</v>
      </c>
      <c r="D9916" s="450" t="s">
        <v>16073</v>
      </c>
      <c r="E9916" s="450" t="s">
        <v>16074</v>
      </c>
      <c r="F9916" s="450"/>
      <c r="G9916" s="450"/>
      <c r="H9916" s="450"/>
      <c r="I9916" s="450"/>
      <c r="J9916" s="450"/>
      <c r="K9916" s="450"/>
    </row>
    <row r="9917" spans="1:11">
      <c r="A9917" s="451" t="s">
        <v>21934</v>
      </c>
      <c r="B9917" s="451" t="s">
        <v>16075</v>
      </c>
      <c r="C9917" s="451" t="s">
        <v>6474</v>
      </c>
      <c r="D9917" s="451"/>
      <c r="E9917" s="451"/>
      <c r="F9917" s="451"/>
      <c r="G9917" s="451"/>
      <c r="H9917" s="451"/>
      <c r="I9917" s="451"/>
      <c r="J9917" s="451"/>
      <c r="K9917" s="451"/>
    </row>
    <row r="9918" spans="1:11">
      <c r="A9918" s="450" t="s">
        <v>21935</v>
      </c>
      <c r="B9918" s="450" t="s">
        <v>16076</v>
      </c>
      <c r="C9918" s="450" t="s">
        <v>16077</v>
      </c>
      <c r="D9918" s="450" t="s">
        <v>16078</v>
      </c>
      <c r="E9918" s="450" t="s">
        <v>16079</v>
      </c>
      <c r="F9918" s="450"/>
      <c r="G9918" s="450"/>
      <c r="H9918" s="450"/>
      <c r="I9918" s="450"/>
      <c r="J9918" s="450"/>
      <c r="K9918" s="450"/>
    </row>
    <row r="9919" spans="1:11">
      <c r="A9919" s="451" t="s">
        <v>16086</v>
      </c>
      <c r="B9919" s="451" t="s">
        <v>16087</v>
      </c>
      <c r="C9919" s="451" t="s">
        <v>3118</v>
      </c>
      <c r="D9919" s="451" t="s">
        <v>16088</v>
      </c>
      <c r="E9919" s="451"/>
      <c r="F9919" s="451"/>
      <c r="G9919" s="451" t="s">
        <v>22877</v>
      </c>
      <c r="H9919" s="451" t="s">
        <v>22878</v>
      </c>
      <c r="I9919" s="451" t="s">
        <v>38174</v>
      </c>
      <c r="J9919" s="451" t="s">
        <v>38175</v>
      </c>
      <c r="K9919" s="451"/>
    </row>
    <row r="9920" spans="1:11">
      <c r="A9920" s="450" t="s">
        <v>16086</v>
      </c>
      <c r="B9920" s="450" t="s">
        <v>16087</v>
      </c>
      <c r="C9920" s="450" t="s">
        <v>3118</v>
      </c>
      <c r="D9920" s="450" t="s">
        <v>16088</v>
      </c>
      <c r="E9920" s="450" t="s">
        <v>16089</v>
      </c>
      <c r="F9920" s="450"/>
      <c r="G9920" s="450"/>
      <c r="H9920" s="450"/>
      <c r="I9920" s="450"/>
      <c r="J9920" s="450"/>
      <c r="K9920" s="450"/>
    </row>
    <row r="9921" spans="1:11">
      <c r="A9921" s="451" t="s">
        <v>38176</v>
      </c>
      <c r="B9921" s="451"/>
      <c r="C9921" s="451" t="s">
        <v>4458</v>
      </c>
      <c r="D9921" s="451"/>
      <c r="E9921" s="451"/>
      <c r="F9921" s="451"/>
      <c r="G9921" s="451" t="s">
        <v>22877</v>
      </c>
      <c r="H9921" s="451" t="s">
        <v>22878</v>
      </c>
      <c r="I9921" s="451" t="s">
        <v>38177</v>
      </c>
      <c r="J9921" s="451" t="s">
        <v>22943</v>
      </c>
      <c r="K9921" s="451"/>
    </row>
    <row r="9922" spans="1:11">
      <c r="A9922" s="450" t="s">
        <v>16090</v>
      </c>
      <c r="B9922" s="450"/>
      <c r="C9922" s="450" t="s">
        <v>4458</v>
      </c>
      <c r="D9922" s="450"/>
      <c r="E9922" s="450"/>
      <c r="F9922" s="450"/>
      <c r="G9922" s="450"/>
      <c r="H9922" s="450"/>
      <c r="I9922" s="450"/>
      <c r="J9922" s="450"/>
      <c r="K9922" s="450"/>
    </row>
    <row r="9923" spans="1:11">
      <c r="A9923" s="451" t="s">
        <v>38178</v>
      </c>
      <c r="B9923" s="451"/>
      <c r="C9923" s="451" t="s">
        <v>16092</v>
      </c>
      <c r="D9923" s="451"/>
      <c r="E9923" s="451"/>
      <c r="F9923" s="451"/>
      <c r="G9923" s="451" t="s">
        <v>22877</v>
      </c>
      <c r="H9923" s="451" t="s">
        <v>22878</v>
      </c>
      <c r="I9923" s="451" t="s">
        <v>38179</v>
      </c>
      <c r="J9923" s="451" t="s">
        <v>22943</v>
      </c>
      <c r="K9923" s="451"/>
    </row>
    <row r="9924" spans="1:11">
      <c r="A9924" s="450" t="s">
        <v>16091</v>
      </c>
      <c r="B9924" s="450"/>
      <c r="C9924" s="450" t="s">
        <v>16092</v>
      </c>
      <c r="D9924" s="450"/>
      <c r="E9924" s="450"/>
      <c r="F9924" s="450"/>
      <c r="G9924" s="450"/>
      <c r="H9924" s="450"/>
      <c r="I9924" s="450"/>
      <c r="J9924" s="450"/>
      <c r="K9924" s="450"/>
    </row>
    <row r="9925" spans="1:11">
      <c r="A9925" s="451" t="s">
        <v>28681</v>
      </c>
      <c r="B9925" s="451" t="s">
        <v>28682</v>
      </c>
      <c r="C9925" s="451" t="s">
        <v>28683</v>
      </c>
      <c r="D9925" s="451"/>
      <c r="E9925" s="451"/>
      <c r="F9925" s="451"/>
      <c r="G9925" s="451" t="s">
        <v>22877</v>
      </c>
      <c r="H9925" s="451" t="s">
        <v>22878</v>
      </c>
      <c r="I9925" s="451" t="s">
        <v>21130</v>
      </c>
      <c r="J9925" s="451" t="s">
        <v>28684</v>
      </c>
      <c r="K9925" s="451"/>
    </row>
    <row r="9926" spans="1:11">
      <c r="A9926" s="450" t="s">
        <v>16093</v>
      </c>
      <c r="B9926" s="450"/>
      <c r="C9926" s="450" t="s">
        <v>4651</v>
      </c>
      <c r="D9926" s="450"/>
      <c r="E9926" s="450"/>
      <c r="F9926" s="450"/>
      <c r="G9926" s="450" t="s">
        <v>22877</v>
      </c>
      <c r="H9926" s="450" t="s">
        <v>22878</v>
      </c>
      <c r="I9926" s="450"/>
      <c r="J9926" s="450" t="s">
        <v>22943</v>
      </c>
      <c r="K9926" s="450"/>
    </row>
    <row r="9927" spans="1:11">
      <c r="A9927" s="451" t="s">
        <v>16094</v>
      </c>
      <c r="B9927" s="451"/>
      <c r="C9927" s="451" t="s">
        <v>16095</v>
      </c>
      <c r="D9927" s="451"/>
      <c r="E9927" s="451"/>
      <c r="F9927" s="451"/>
      <c r="G9927" s="451"/>
      <c r="H9927" s="451"/>
      <c r="I9927" s="451"/>
      <c r="J9927" s="451"/>
      <c r="K9927" s="451"/>
    </row>
    <row r="9928" spans="1:11">
      <c r="A9928" s="450" t="s">
        <v>38180</v>
      </c>
      <c r="B9928" s="450"/>
      <c r="C9928" s="450" t="s">
        <v>16095</v>
      </c>
      <c r="D9928" s="450"/>
      <c r="E9928" s="450"/>
      <c r="F9928" s="450"/>
      <c r="G9928" s="450" t="s">
        <v>22882</v>
      </c>
      <c r="H9928" s="450" t="s">
        <v>22883</v>
      </c>
      <c r="I9928" s="450" t="s">
        <v>38181</v>
      </c>
      <c r="J9928" s="450" t="s">
        <v>22943</v>
      </c>
      <c r="K9928" s="450"/>
    </row>
    <row r="9929" spans="1:11">
      <c r="A9929" s="451" t="s">
        <v>16096</v>
      </c>
      <c r="B9929" s="451"/>
      <c r="C9929" s="451" t="s">
        <v>16097</v>
      </c>
      <c r="D9929" s="451"/>
      <c r="E9929" s="451"/>
      <c r="F9929" s="451"/>
      <c r="G9929" s="451" t="s">
        <v>22877</v>
      </c>
      <c r="H9929" s="451" t="s">
        <v>22878</v>
      </c>
      <c r="I9929" s="451" t="s">
        <v>28685</v>
      </c>
      <c r="J9929" s="451" t="s">
        <v>22943</v>
      </c>
      <c r="K9929" s="451"/>
    </row>
    <row r="9930" spans="1:11">
      <c r="A9930" s="450" t="s">
        <v>28686</v>
      </c>
      <c r="B9930" s="450" t="s">
        <v>28687</v>
      </c>
      <c r="C9930" s="450" t="s">
        <v>28688</v>
      </c>
      <c r="D9930" s="450" t="s">
        <v>28689</v>
      </c>
      <c r="E9930" s="450"/>
      <c r="F9930" s="450"/>
      <c r="G9930" s="450" t="s">
        <v>22877</v>
      </c>
      <c r="H9930" s="450" t="s">
        <v>22878</v>
      </c>
      <c r="I9930" s="450" t="s">
        <v>28690</v>
      </c>
      <c r="J9930" s="450" t="s">
        <v>28691</v>
      </c>
      <c r="K9930" s="450"/>
    </row>
    <row r="9931" spans="1:11">
      <c r="A9931" s="451" t="s">
        <v>28692</v>
      </c>
      <c r="B9931" s="451" t="s">
        <v>28693</v>
      </c>
      <c r="C9931" s="451" t="s">
        <v>28694</v>
      </c>
      <c r="D9931" s="451"/>
      <c r="E9931" s="451"/>
      <c r="F9931" s="451"/>
      <c r="G9931" s="451" t="s">
        <v>22877</v>
      </c>
      <c r="H9931" s="451" t="s">
        <v>22878</v>
      </c>
      <c r="I9931" s="451"/>
      <c r="J9931" s="451" t="s">
        <v>28695</v>
      </c>
      <c r="K9931" s="451"/>
    </row>
    <row r="9932" spans="1:11">
      <c r="A9932" s="450" t="s">
        <v>38182</v>
      </c>
      <c r="B9932" s="450"/>
      <c r="C9932" s="450" t="s">
        <v>16099</v>
      </c>
      <c r="D9932" s="450"/>
      <c r="E9932" s="450"/>
      <c r="F9932" s="450"/>
      <c r="G9932" s="450" t="s">
        <v>22877</v>
      </c>
      <c r="H9932" s="450" t="s">
        <v>22878</v>
      </c>
      <c r="I9932" s="450" t="s">
        <v>38183</v>
      </c>
      <c r="J9932" s="450" t="s">
        <v>22939</v>
      </c>
      <c r="K9932" s="450"/>
    </row>
    <row r="9933" spans="1:11">
      <c r="A9933" s="451" t="s">
        <v>16098</v>
      </c>
      <c r="B9933" s="451"/>
      <c r="C9933" s="451" t="s">
        <v>16099</v>
      </c>
      <c r="D9933" s="451"/>
      <c r="E9933" s="451"/>
      <c r="F9933" s="451"/>
      <c r="G9933" s="451"/>
      <c r="H9933" s="451"/>
      <c r="I9933" s="451"/>
      <c r="J9933" s="451"/>
      <c r="K9933" s="451"/>
    </row>
    <row r="9934" spans="1:11">
      <c r="A9934" s="450" t="s">
        <v>38184</v>
      </c>
      <c r="B9934" s="450"/>
      <c r="C9934" s="450" t="s">
        <v>16101</v>
      </c>
      <c r="D9934" s="450"/>
      <c r="E9934" s="450"/>
      <c r="F9934" s="450"/>
      <c r="G9934" s="450" t="s">
        <v>22877</v>
      </c>
      <c r="H9934" s="450" t="s">
        <v>22878</v>
      </c>
      <c r="I9934" s="450" t="s">
        <v>38185</v>
      </c>
      <c r="J9934" s="450" t="s">
        <v>22943</v>
      </c>
      <c r="K9934" s="450"/>
    </row>
    <row r="9935" spans="1:11">
      <c r="A9935" s="451" t="s">
        <v>16100</v>
      </c>
      <c r="B9935" s="451"/>
      <c r="C9935" s="451" t="s">
        <v>16101</v>
      </c>
      <c r="D9935" s="451"/>
      <c r="E9935" s="451"/>
      <c r="F9935" s="451"/>
      <c r="G9935" s="451"/>
      <c r="H9935" s="451"/>
      <c r="I9935" s="451"/>
      <c r="J9935" s="451"/>
      <c r="K9935" s="451"/>
    </row>
    <row r="9936" spans="1:11">
      <c r="A9936" s="450" t="s">
        <v>38186</v>
      </c>
      <c r="B9936" s="450"/>
      <c r="C9936" s="450" t="s">
        <v>1756</v>
      </c>
      <c r="D9936" s="450"/>
      <c r="E9936" s="450"/>
      <c r="F9936" s="450"/>
      <c r="G9936" s="450" t="s">
        <v>22877</v>
      </c>
      <c r="H9936" s="450" t="s">
        <v>22878</v>
      </c>
      <c r="I9936" s="450" t="s">
        <v>38187</v>
      </c>
      <c r="J9936" s="450" t="s">
        <v>22943</v>
      </c>
      <c r="K9936" s="450"/>
    </row>
    <row r="9937" spans="1:11">
      <c r="A9937" s="451" t="s">
        <v>16102</v>
      </c>
      <c r="B9937" s="451"/>
      <c r="C9937" s="451" t="s">
        <v>1756</v>
      </c>
      <c r="D9937" s="451"/>
      <c r="E9937" s="451"/>
      <c r="F9937" s="451"/>
      <c r="G9937" s="451"/>
      <c r="H9937" s="451"/>
      <c r="I9937" s="451"/>
      <c r="J9937" s="451"/>
      <c r="K9937" s="451"/>
    </row>
    <row r="9938" spans="1:11">
      <c r="A9938" s="450" t="s">
        <v>38188</v>
      </c>
      <c r="B9938" s="450"/>
      <c r="C9938" s="450" t="s">
        <v>16104</v>
      </c>
      <c r="D9938" s="450"/>
      <c r="E9938" s="450"/>
      <c r="F9938" s="450"/>
      <c r="G9938" s="450" t="s">
        <v>22877</v>
      </c>
      <c r="H9938" s="450" t="s">
        <v>22878</v>
      </c>
      <c r="I9938" s="450" t="s">
        <v>38189</v>
      </c>
      <c r="J9938" s="450" t="s">
        <v>22943</v>
      </c>
      <c r="K9938" s="450"/>
    </row>
    <row r="9939" spans="1:11">
      <c r="A9939" s="451" t="s">
        <v>16103</v>
      </c>
      <c r="B9939" s="451"/>
      <c r="C9939" s="451" t="s">
        <v>16104</v>
      </c>
      <c r="D9939" s="451"/>
      <c r="E9939" s="451"/>
      <c r="F9939" s="451"/>
      <c r="G9939" s="451"/>
      <c r="H9939" s="451"/>
      <c r="I9939" s="451"/>
      <c r="J9939" s="451"/>
      <c r="K9939" s="451"/>
    </row>
    <row r="9940" spans="1:11">
      <c r="A9940" s="450" t="s">
        <v>38190</v>
      </c>
      <c r="B9940" s="450"/>
      <c r="C9940" s="450" t="s">
        <v>8165</v>
      </c>
      <c r="D9940" s="450"/>
      <c r="E9940" s="450"/>
      <c r="F9940" s="450"/>
      <c r="G9940" s="450" t="s">
        <v>22877</v>
      </c>
      <c r="H9940" s="450" t="s">
        <v>22878</v>
      </c>
      <c r="I9940" s="450"/>
      <c r="J9940" s="450" t="s">
        <v>22943</v>
      </c>
      <c r="K9940" s="450"/>
    </row>
    <row r="9941" spans="1:11">
      <c r="A9941" s="451" t="s">
        <v>16105</v>
      </c>
      <c r="B9941" s="451"/>
      <c r="C9941" s="451" t="s">
        <v>8165</v>
      </c>
      <c r="D9941" s="451"/>
      <c r="E9941" s="451"/>
      <c r="F9941" s="451"/>
      <c r="G9941" s="451"/>
      <c r="H9941" s="451"/>
      <c r="I9941" s="451"/>
      <c r="J9941" s="451"/>
      <c r="K9941" s="451"/>
    </row>
    <row r="9942" spans="1:11">
      <c r="A9942" s="450" t="s">
        <v>38191</v>
      </c>
      <c r="B9942" s="450"/>
      <c r="C9942" s="450" t="s">
        <v>3801</v>
      </c>
      <c r="D9942" s="450"/>
      <c r="E9942" s="450"/>
      <c r="F9942" s="450"/>
      <c r="G9942" s="450" t="s">
        <v>22877</v>
      </c>
      <c r="H9942" s="450" t="s">
        <v>22878</v>
      </c>
      <c r="I9942" s="450" t="s">
        <v>38192</v>
      </c>
      <c r="J9942" s="450" t="s">
        <v>23121</v>
      </c>
      <c r="K9942" s="450"/>
    </row>
    <row r="9943" spans="1:11">
      <c r="A9943" s="451" t="s">
        <v>16106</v>
      </c>
      <c r="B9943" s="451"/>
      <c r="C9943" s="451" t="s">
        <v>3801</v>
      </c>
      <c r="D9943" s="451"/>
      <c r="E9943" s="451"/>
      <c r="F9943" s="451"/>
      <c r="G9943" s="451"/>
      <c r="H9943" s="451"/>
      <c r="I9943" s="451"/>
      <c r="J9943" s="451"/>
      <c r="K9943" s="451"/>
    </row>
    <row r="9944" spans="1:11">
      <c r="A9944" s="450" t="s">
        <v>16107</v>
      </c>
      <c r="B9944" s="450" t="s">
        <v>16108</v>
      </c>
      <c r="C9944" s="450" t="s">
        <v>16109</v>
      </c>
      <c r="D9944" s="450" t="s">
        <v>16110</v>
      </c>
      <c r="E9944" s="450"/>
      <c r="F9944" s="450"/>
      <c r="G9944" s="450" t="s">
        <v>22877</v>
      </c>
      <c r="H9944" s="450" t="s">
        <v>22878</v>
      </c>
      <c r="I9944" s="450" t="s">
        <v>28696</v>
      </c>
      <c r="J9944" s="450" t="s">
        <v>28697</v>
      </c>
      <c r="K9944" s="450"/>
    </row>
    <row r="9945" spans="1:11">
      <c r="A9945" s="451" t="s">
        <v>38193</v>
      </c>
      <c r="B9945" s="451" t="s">
        <v>16112</v>
      </c>
      <c r="C9945" s="451" t="s">
        <v>16113</v>
      </c>
      <c r="D9945" s="451"/>
      <c r="E9945" s="451"/>
      <c r="F9945" s="451" t="s">
        <v>11816</v>
      </c>
      <c r="G9945" s="451" t="s">
        <v>22882</v>
      </c>
      <c r="H9945" s="451" t="s">
        <v>22883</v>
      </c>
      <c r="I9945" s="451" t="s">
        <v>38194</v>
      </c>
      <c r="J9945" s="451" t="s">
        <v>38195</v>
      </c>
      <c r="K9945" s="451"/>
    </row>
    <row r="9946" spans="1:11">
      <c r="A9946" s="450" t="s">
        <v>16111</v>
      </c>
      <c r="B9946" s="450" t="s">
        <v>16112</v>
      </c>
      <c r="C9946" s="450" t="s">
        <v>16113</v>
      </c>
      <c r="D9946" s="450"/>
      <c r="E9946" s="450"/>
      <c r="F9946" s="450" t="s">
        <v>11816</v>
      </c>
      <c r="G9946" s="450"/>
      <c r="H9946" s="450"/>
      <c r="I9946" s="450"/>
      <c r="J9946" s="450"/>
      <c r="K9946" s="450"/>
    </row>
    <row r="9947" spans="1:11">
      <c r="A9947" s="451" t="s">
        <v>38196</v>
      </c>
      <c r="B9947" s="451" t="s">
        <v>16115</v>
      </c>
      <c r="C9947" s="451" t="s">
        <v>16116</v>
      </c>
      <c r="D9947" s="451"/>
      <c r="E9947" s="451"/>
      <c r="F9947" s="451" t="s">
        <v>38197</v>
      </c>
      <c r="G9947" s="451" t="s">
        <v>22877</v>
      </c>
      <c r="H9947" s="451" t="s">
        <v>22878</v>
      </c>
      <c r="I9947" s="451" t="s">
        <v>38198</v>
      </c>
      <c r="J9947" s="451" t="s">
        <v>38199</v>
      </c>
      <c r="K9947" s="451"/>
    </row>
    <row r="9948" spans="1:11">
      <c r="A9948" s="450" t="s">
        <v>16114</v>
      </c>
      <c r="B9948" s="450" t="s">
        <v>16115</v>
      </c>
      <c r="C9948" s="450" t="s">
        <v>16116</v>
      </c>
      <c r="D9948" s="450"/>
      <c r="E9948" s="450"/>
      <c r="F9948" s="450" t="s">
        <v>16117</v>
      </c>
      <c r="G9948" s="450"/>
      <c r="H9948" s="450"/>
      <c r="I9948" s="450"/>
      <c r="J9948" s="450"/>
      <c r="K9948" s="450"/>
    </row>
    <row r="9949" spans="1:11">
      <c r="A9949" s="451" t="s">
        <v>16118</v>
      </c>
      <c r="B9949" s="451" t="s">
        <v>28698</v>
      </c>
      <c r="C9949" s="451" t="s">
        <v>16120</v>
      </c>
      <c r="D9949" s="451"/>
      <c r="E9949" s="451"/>
      <c r="F9949" s="451" t="s">
        <v>28699</v>
      </c>
      <c r="G9949" s="451" t="s">
        <v>22882</v>
      </c>
      <c r="H9949" s="451" t="s">
        <v>22883</v>
      </c>
      <c r="I9949" s="451" t="s">
        <v>28700</v>
      </c>
      <c r="J9949" s="451" t="s">
        <v>28701</v>
      </c>
      <c r="K9949" s="451"/>
    </row>
    <row r="9950" spans="1:11">
      <c r="A9950" s="450" t="s">
        <v>16118</v>
      </c>
      <c r="B9950" s="450" t="s">
        <v>16119</v>
      </c>
      <c r="C9950" s="450" t="s">
        <v>16120</v>
      </c>
      <c r="D9950" s="450"/>
      <c r="E9950" s="450"/>
      <c r="F9950" s="450" t="s">
        <v>16121</v>
      </c>
      <c r="G9950" s="450"/>
      <c r="H9950" s="450"/>
      <c r="I9950" s="450"/>
      <c r="J9950" s="450"/>
      <c r="K9950" s="450"/>
    </row>
    <row r="9951" spans="1:11">
      <c r="A9951" s="451" t="s">
        <v>16122</v>
      </c>
      <c r="B9951" s="451" t="s">
        <v>16123</v>
      </c>
      <c r="C9951" s="451" t="s">
        <v>11228</v>
      </c>
      <c r="D9951" s="451" t="s">
        <v>16124</v>
      </c>
      <c r="E9951" s="451"/>
      <c r="F9951" s="451"/>
      <c r="G9951" s="451" t="s">
        <v>22877</v>
      </c>
      <c r="H9951" s="451" t="s">
        <v>22878</v>
      </c>
      <c r="I9951" s="451" t="s">
        <v>16124</v>
      </c>
      <c r="J9951" s="451" t="s">
        <v>28702</v>
      </c>
      <c r="K9951" s="451"/>
    </row>
    <row r="9952" spans="1:11">
      <c r="A9952" s="450" t="s">
        <v>16125</v>
      </c>
      <c r="B9952" s="450"/>
      <c r="C9952" s="450" t="s">
        <v>4489</v>
      </c>
      <c r="D9952" s="450"/>
      <c r="E9952" s="450"/>
      <c r="F9952" s="450"/>
      <c r="G9952" s="450" t="s">
        <v>22882</v>
      </c>
      <c r="H9952" s="450" t="s">
        <v>22883</v>
      </c>
      <c r="I9952" s="450" t="s">
        <v>38200</v>
      </c>
      <c r="J9952" s="450" t="s">
        <v>22939</v>
      </c>
      <c r="K9952" s="450"/>
    </row>
    <row r="9953" spans="1:11">
      <c r="A9953" s="451" t="s">
        <v>38201</v>
      </c>
      <c r="B9953" s="451"/>
      <c r="C9953" s="451" t="s">
        <v>16127</v>
      </c>
      <c r="D9953" s="451"/>
      <c r="E9953" s="451"/>
      <c r="F9953" s="451"/>
      <c r="G9953" s="451" t="s">
        <v>22882</v>
      </c>
      <c r="H9953" s="451" t="s">
        <v>22883</v>
      </c>
      <c r="I9953" s="451" t="s">
        <v>38202</v>
      </c>
      <c r="J9953" s="451" t="s">
        <v>23121</v>
      </c>
      <c r="K9953" s="451"/>
    </row>
    <row r="9954" spans="1:11">
      <c r="A9954" s="450" t="s">
        <v>16126</v>
      </c>
      <c r="B9954" s="450"/>
      <c r="C9954" s="450" t="s">
        <v>16127</v>
      </c>
      <c r="D9954" s="450"/>
      <c r="E9954" s="450"/>
      <c r="F9954" s="450"/>
      <c r="G9954" s="450"/>
      <c r="H9954" s="450"/>
      <c r="I9954" s="450"/>
      <c r="J9954" s="450"/>
      <c r="K9954" s="450"/>
    </row>
    <row r="9955" spans="1:11">
      <c r="A9955" s="451" t="s">
        <v>16128</v>
      </c>
      <c r="B9955" s="451"/>
      <c r="C9955" s="451" t="s">
        <v>16129</v>
      </c>
      <c r="D9955" s="451"/>
      <c r="E9955" s="451"/>
      <c r="F9955" s="451"/>
      <c r="G9955" s="451" t="s">
        <v>22877</v>
      </c>
      <c r="H9955" s="451" t="s">
        <v>22878</v>
      </c>
      <c r="I9955" s="451" t="s">
        <v>38203</v>
      </c>
      <c r="J9955" s="451" t="s">
        <v>23121</v>
      </c>
      <c r="K9955" s="451"/>
    </row>
    <row r="9956" spans="1:11">
      <c r="A9956" s="450" t="s">
        <v>16130</v>
      </c>
      <c r="B9956" s="450"/>
      <c r="C9956" s="450" t="s">
        <v>16131</v>
      </c>
      <c r="D9956" s="450"/>
      <c r="E9956" s="450"/>
      <c r="F9956" s="450"/>
      <c r="G9956" s="450" t="s">
        <v>22882</v>
      </c>
      <c r="H9956" s="450" t="s">
        <v>22883</v>
      </c>
      <c r="I9956" s="450" t="s">
        <v>38204</v>
      </c>
      <c r="J9956" s="450" t="s">
        <v>22943</v>
      </c>
      <c r="K9956" s="450"/>
    </row>
    <row r="9957" spans="1:11">
      <c r="A9957" s="451" t="s">
        <v>16132</v>
      </c>
      <c r="B9957" s="451"/>
      <c r="C9957" s="451" t="s">
        <v>4335</v>
      </c>
      <c r="D9957" s="451"/>
      <c r="E9957" s="451"/>
      <c r="F9957" s="451"/>
      <c r="G9957" s="451"/>
      <c r="H9957" s="451"/>
      <c r="I9957" s="451"/>
      <c r="J9957" s="451"/>
      <c r="K9957" s="451"/>
    </row>
    <row r="9958" spans="1:11">
      <c r="A9958" s="450" t="s">
        <v>38205</v>
      </c>
      <c r="B9958" s="450"/>
      <c r="C9958" s="450" t="s">
        <v>4335</v>
      </c>
      <c r="D9958" s="450"/>
      <c r="E9958" s="450"/>
      <c r="F9958" s="450"/>
      <c r="G9958" s="450" t="s">
        <v>22882</v>
      </c>
      <c r="H9958" s="450" t="s">
        <v>22883</v>
      </c>
      <c r="I9958" s="450" t="s">
        <v>38206</v>
      </c>
      <c r="J9958" s="450" t="s">
        <v>22943</v>
      </c>
      <c r="K9958" s="450"/>
    </row>
    <row r="9959" spans="1:11">
      <c r="A9959" s="451" t="s">
        <v>16133</v>
      </c>
      <c r="B9959" s="451"/>
      <c r="C9959" s="451" t="s">
        <v>4489</v>
      </c>
      <c r="D9959" s="451"/>
      <c r="E9959" s="451"/>
      <c r="F9959" s="451"/>
      <c r="G9959" s="451"/>
      <c r="H9959" s="451"/>
      <c r="I9959" s="451"/>
      <c r="J9959" s="451"/>
      <c r="K9959" s="451"/>
    </row>
    <row r="9960" spans="1:11">
      <c r="A9960" s="450" t="s">
        <v>28703</v>
      </c>
      <c r="B9960" s="450"/>
      <c r="C9960" s="450" t="s">
        <v>4489</v>
      </c>
      <c r="D9960" s="450"/>
      <c r="E9960" s="450"/>
      <c r="F9960" s="450"/>
      <c r="G9960" s="450" t="s">
        <v>22882</v>
      </c>
      <c r="H9960" s="450" t="s">
        <v>22883</v>
      </c>
      <c r="I9960" s="450"/>
      <c r="J9960" s="450" t="s">
        <v>22943</v>
      </c>
      <c r="K9960" s="450"/>
    </row>
    <row r="9961" spans="1:11">
      <c r="A9961" s="451" t="s">
        <v>38207</v>
      </c>
      <c r="B9961" s="451" t="s">
        <v>16135</v>
      </c>
      <c r="C9961" s="451" t="s">
        <v>16136</v>
      </c>
      <c r="D9961" s="451" t="s">
        <v>16137</v>
      </c>
      <c r="E9961" s="451"/>
      <c r="F9961" s="451"/>
      <c r="G9961" s="451" t="s">
        <v>22882</v>
      </c>
      <c r="H9961" s="451" t="s">
        <v>22883</v>
      </c>
      <c r="I9961" s="451" t="s">
        <v>38208</v>
      </c>
      <c r="J9961" s="451" t="s">
        <v>38209</v>
      </c>
      <c r="K9961" s="451"/>
    </row>
    <row r="9962" spans="1:11">
      <c r="A9962" s="450" t="s">
        <v>16134</v>
      </c>
      <c r="B9962" s="450" t="s">
        <v>16135</v>
      </c>
      <c r="C9962" s="450" t="s">
        <v>16136</v>
      </c>
      <c r="D9962" s="450" t="s">
        <v>16137</v>
      </c>
      <c r="E9962" s="450"/>
      <c r="F9962" s="450"/>
      <c r="G9962" s="450"/>
      <c r="H9962" s="450"/>
      <c r="I9962" s="450"/>
      <c r="J9962" s="450"/>
      <c r="K9962" s="450"/>
    </row>
    <row r="9963" spans="1:11">
      <c r="A9963" s="451" t="s">
        <v>16138</v>
      </c>
      <c r="B9963" s="451"/>
      <c r="C9963" s="451" t="s">
        <v>16139</v>
      </c>
      <c r="D9963" s="451"/>
      <c r="E9963" s="451"/>
      <c r="F9963" s="451"/>
      <c r="G9963" s="451" t="s">
        <v>22882</v>
      </c>
      <c r="H9963" s="451" t="s">
        <v>22883</v>
      </c>
      <c r="I9963" s="451" t="s">
        <v>38210</v>
      </c>
      <c r="J9963" s="451" t="s">
        <v>28196</v>
      </c>
      <c r="K9963" s="451"/>
    </row>
    <row r="9964" spans="1:11">
      <c r="A9964" s="450" t="s">
        <v>16140</v>
      </c>
      <c r="B9964" s="450"/>
      <c r="C9964" s="450" t="s">
        <v>9584</v>
      </c>
      <c r="D9964" s="450"/>
      <c r="E9964" s="450"/>
      <c r="F9964" s="450"/>
      <c r="G9964" s="450" t="s">
        <v>22882</v>
      </c>
      <c r="H9964" s="450" t="s">
        <v>22883</v>
      </c>
      <c r="I9964" s="450" t="s">
        <v>28704</v>
      </c>
      <c r="J9964" s="450" t="s">
        <v>23179</v>
      </c>
      <c r="K9964" s="450"/>
    </row>
    <row r="9965" spans="1:11">
      <c r="A9965" s="451" t="s">
        <v>16141</v>
      </c>
      <c r="B9965" s="451" t="s">
        <v>16142</v>
      </c>
      <c r="C9965" s="451" t="s">
        <v>6358</v>
      </c>
      <c r="D9965" s="451"/>
      <c r="E9965" s="451"/>
      <c r="F9965" s="451"/>
      <c r="G9965" s="451" t="s">
        <v>22877</v>
      </c>
      <c r="H9965" s="451" t="s">
        <v>22878</v>
      </c>
      <c r="I9965" s="451" t="s">
        <v>28705</v>
      </c>
      <c r="J9965" s="451" t="s">
        <v>28706</v>
      </c>
      <c r="K9965" s="451"/>
    </row>
    <row r="9966" spans="1:11">
      <c r="A9966" s="450" t="s">
        <v>16143</v>
      </c>
      <c r="B9966" s="450"/>
      <c r="C9966" s="450" t="s">
        <v>16144</v>
      </c>
      <c r="D9966" s="450"/>
      <c r="E9966" s="450"/>
      <c r="F9966" s="450"/>
      <c r="G9966" s="450" t="s">
        <v>22991</v>
      </c>
      <c r="H9966" s="450" t="s">
        <v>22878</v>
      </c>
      <c r="I9966" s="450"/>
      <c r="J9966" s="450"/>
      <c r="K9966" s="450"/>
    </row>
    <row r="9967" spans="1:11">
      <c r="A9967" s="451" t="s">
        <v>16145</v>
      </c>
      <c r="B9967" s="451"/>
      <c r="C9967" s="451" t="s">
        <v>998</v>
      </c>
      <c r="D9967" s="451"/>
      <c r="E9967" s="451"/>
      <c r="F9967" s="451"/>
      <c r="G9967" s="451" t="s">
        <v>22877</v>
      </c>
      <c r="H9967" s="451" t="s">
        <v>22878</v>
      </c>
      <c r="I9967" s="451" t="s">
        <v>38211</v>
      </c>
      <c r="J9967" s="451" t="s">
        <v>23121</v>
      </c>
      <c r="K9967" s="451"/>
    </row>
    <row r="9968" spans="1:11">
      <c r="A9968" s="450" t="s">
        <v>38212</v>
      </c>
      <c r="B9968" s="450"/>
      <c r="C9968" s="450" t="s">
        <v>16147</v>
      </c>
      <c r="D9968" s="450"/>
      <c r="E9968" s="450"/>
      <c r="F9968" s="450"/>
      <c r="G9968" s="450" t="s">
        <v>22882</v>
      </c>
      <c r="H9968" s="450" t="s">
        <v>22883</v>
      </c>
      <c r="I9968" s="450" t="s">
        <v>38213</v>
      </c>
      <c r="J9968" s="450" t="s">
        <v>22943</v>
      </c>
      <c r="K9968" s="450"/>
    </row>
    <row r="9969" spans="1:11">
      <c r="A9969" s="451" t="s">
        <v>16146</v>
      </c>
      <c r="B9969" s="451"/>
      <c r="C9969" s="451" t="s">
        <v>16147</v>
      </c>
      <c r="D9969" s="451"/>
      <c r="E9969" s="451"/>
      <c r="F9969" s="451"/>
      <c r="G9969" s="451"/>
      <c r="H9969" s="451"/>
      <c r="I9969" s="451"/>
      <c r="J9969" s="451"/>
      <c r="K9969" s="451"/>
    </row>
    <row r="9970" spans="1:11">
      <c r="A9970" s="450" t="s">
        <v>38214</v>
      </c>
      <c r="B9970" s="450"/>
      <c r="C9970" s="450" t="s">
        <v>16092</v>
      </c>
      <c r="D9970" s="450"/>
      <c r="E9970" s="450"/>
      <c r="F9970" s="450"/>
      <c r="G9970" s="450" t="s">
        <v>22877</v>
      </c>
      <c r="H9970" s="450" t="s">
        <v>22878</v>
      </c>
      <c r="I9970" s="450" t="s">
        <v>38215</v>
      </c>
      <c r="J9970" s="450" t="s">
        <v>22943</v>
      </c>
      <c r="K9970" s="450"/>
    </row>
    <row r="9971" spans="1:11">
      <c r="A9971" s="451" t="s">
        <v>16148</v>
      </c>
      <c r="B9971" s="451"/>
      <c r="C9971" s="451" t="s">
        <v>16092</v>
      </c>
      <c r="D9971" s="451"/>
      <c r="E9971" s="451"/>
      <c r="F9971" s="451"/>
      <c r="G9971" s="451"/>
      <c r="H9971" s="451"/>
      <c r="I9971" s="451"/>
      <c r="J9971" s="451"/>
      <c r="K9971" s="451"/>
    </row>
    <row r="9972" spans="1:11">
      <c r="A9972" s="450" t="s">
        <v>16149</v>
      </c>
      <c r="B9972" s="450"/>
      <c r="C9972" s="450" t="s">
        <v>16150</v>
      </c>
      <c r="D9972" s="450"/>
      <c r="E9972" s="450"/>
      <c r="F9972" s="450"/>
      <c r="G9972" s="450" t="s">
        <v>22882</v>
      </c>
      <c r="H9972" s="450" t="s">
        <v>22883</v>
      </c>
      <c r="I9972" s="450"/>
      <c r="J9972" s="450" t="s">
        <v>23121</v>
      </c>
      <c r="K9972" s="450"/>
    </row>
    <row r="9973" spans="1:11">
      <c r="A9973" s="451" t="s">
        <v>16151</v>
      </c>
      <c r="B9973" s="451"/>
      <c r="C9973" s="451" t="s">
        <v>5168</v>
      </c>
      <c r="D9973" s="451"/>
      <c r="E9973" s="451"/>
      <c r="F9973" s="451"/>
      <c r="G9973" s="451" t="s">
        <v>22882</v>
      </c>
      <c r="H9973" s="451" t="s">
        <v>22883</v>
      </c>
      <c r="I9973" s="451"/>
      <c r="J9973" s="451" t="s">
        <v>22939</v>
      </c>
      <c r="K9973" s="451"/>
    </row>
    <row r="9974" spans="1:11">
      <c r="A9974" s="450" t="s">
        <v>21937</v>
      </c>
      <c r="B9974" s="450"/>
      <c r="C9974" s="450" t="s">
        <v>16152</v>
      </c>
      <c r="D9974" s="450"/>
      <c r="E9974" s="450"/>
      <c r="F9974" s="450"/>
      <c r="G9974" s="450" t="s">
        <v>22877</v>
      </c>
      <c r="H9974" s="450" t="s">
        <v>22878</v>
      </c>
      <c r="I9974" s="450" t="s">
        <v>38216</v>
      </c>
      <c r="J9974" s="450" t="s">
        <v>22939</v>
      </c>
      <c r="K9974" s="450"/>
    </row>
    <row r="9975" spans="1:11">
      <c r="A9975" s="451" t="s">
        <v>16153</v>
      </c>
      <c r="B9975" s="451"/>
      <c r="C9975" s="451" t="s">
        <v>3872</v>
      </c>
      <c r="D9975" s="451"/>
      <c r="E9975" s="451"/>
      <c r="F9975" s="451"/>
      <c r="G9975" s="451" t="s">
        <v>22877</v>
      </c>
      <c r="H9975" s="451" t="s">
        <v>22878</v>
      </c>
      <c r="I9975" s="451" t="s">
        <v>38217</v>
      </c>
      <c r="J9975" s="451" t="s">
        <v>23121</v>
      </c>
      <c r="K9975" s="451"/>
    </row>
    <row r="9976" spans="1:11">
      <c r="A9976" s="450" t="s">
        <v>16154</v>
      </c>
      <c r="B9976" s="450"/>
      <c r="C9976" s="450" t="s">
        <v>16155</v>
      </c>
      <c r="D9976" s="450"/>
      <c r="E9976" s="450"/>
      <c r="F9976" s="450"/>
      <c r="G9976" s="450"/>
      <c r="H9976" s="450"/>
      <c r="I9976" s="450"/>
      <c r="J9976" s="450"/>
      <c r="K9976" s="450"/>
    </row>
    <row r="9977" spans="1:11">
      <c r="A9977" s="451" t="s">
        <v>28707</v>
      </c>
      <c r="B9977" s="451" t="s">
        <v>16157</v>
      </c>
      <c r="C9977" s="451" t="s">
        <v>10868</v>
      </c>
      <c r="D9977" s="451"/>
      <c r="E9977" s="451"/>
      <c r="F9977" s="451"/>
      <c r="G9977" s="451" t="s">
        <v>22877</v>
      </c>
      <c r="H9977" s="451" t="s">
        <v>22878</v>
      </c>
      <c r="I9977" s="451" t="s">
        <v>28708</v>
      </c>
      <c r="J9977" s="451" t="s">
        <v>28709</v>
      </c>
      <c r="K9977" s="451"/>
    </row>
    <row r="9978" spans="1:11">
      <c r="A9978" s="450" t="s">
        <v>16156</v>
      </c>
      <c r="B9978" s="450" t="s">
        <v>16157</v>
      </c>
      <c r="C9978" s="450" t="s">
        <v>10868</v>
      </c>
      <c r="D9978" s="450"/>
      <c r="E9978" s="450"/>
      <c r="F9978" s="450"/>
      <c r="G9978" s="450"/>
      <c r="H9978" s="450"/>
      <c r="I9978" s="450"/>
      <c r="J9978" s="450"/>
      <c r="K9978" s="450"/>
    </row>
    <row r="9979" spans="1:11">
      <c r="A9979" s="451" t="s">
        <v>38218</v>
      </c>
      <c r="B9979" s="451"/>
      <c r="C9979" s="451" t="s">
        <v>16155</v>
      </c>
      <c r="D9979" s="451"/>
      <c r="E9979" s="451"/>
      <c r="F9979" s="451"/>
      <c r="G9979" s="451" t="s">
        <v>22882</v>
      </c>
      <c r="H9979" s="451" t="s">
        <v>22883</v>
      </c>
      <c r="I9979" s="451"/>
      <c r="J9979" s="451" t="s">
        <v>22939</v>
      </c>
      <c r="K9979" s="451"/>
    </row>
    <row r="9980" spans="1:11">
      <c r="A9980" s="450" t="s">
        <v>16158</v>
      </c>
      <c r="B9980" s="450"/>
      <c r="C9980" s="450" t="s">
        <v>16159</v>
      </c>
      <c r="D9980" s="450"/>
      <c r="E9980" s="450"/>
      <c r="F9980" s="450"/>
      <c r="G9980" s="450"/>
      <c r="H9980" s="450"/>
      <c r="I9980" s="450"/>
      <c r="J9980" s="450"/>
      <c r="K9980" s="450"/>
    </row>
    <row r="9981" spans="1:11">
      <c r="A9981" s="451" t="s">
        <v>38219</v>
      </c>
      <c r="B9981" s="451"/>
      <c r="C9981" s="451" t="s">
        <v>16159</v>
      </c>
      <c r="D9981" s="451"/>
      <c r="E9981" s="451"/>
      <c r="F9981" s="451"/>
      <c r="G9981" s="451" t="s">
        <v>32601</v>
      </c>
      <c r="H9981" s="451" t="s">
        <v>22878</v>
      </c>
      <c r="I9981" s="451"/>
      <c r="J9981" s="451"/>
      <c r="K9981" s="451"/>
    </row>
    <row r="9982" spans="1:11">
      <c r="A9982" s="450" t="s">
        <v>16160</v>
      </c>
      <c r="B9982" s="450"/>
      <c r="C9982" s="450" t="s">
        <v>16161</v>
      </c>
      <c r="D9982" s="450"/>
      <c r="E9982" s="450"/>
      <c r="F9982" s="450"/>
      <c r="G9982" s="450" t="s">
        <v>22877</v>
      </c>
      <c r="H9982" s="450" t="s">
        <v>22878</v>
      </c>
      <c r="I9982" s="450" t="s">
        <v>28710</v>
      </c>
      <c r="J9982" s="450" t="s">
        <v>22943</v>
      </c>
      <c r="K9982" s="450"/>
    </row>
    <row r="9983" spans="1:11">
      <c r="A9983" s="451" t="s">
        <v>16162</v>
      </c>
      <c r="B9983" s="451" t="s">
        <v>16163</v>
      </c>
      <c r="C9983" s="451" t="s">
        <v>8896</v>
      </c>
      <c r="D9983" s="451" t="s">
        <v>16164</v>
      </c>
      <c r="E9983" s="451"/>
      <c r="F9983" s="451"/>
      <c r="G9983" s="451"/>
      <c r="H9983" s="451"/>
      <c r="I9983" s="451"/>
      <c r="J9983" s="451"/>
      <c r="K9983" s="451"/>
    </row>
    <row r="9984" spans="1:11">
      <c r="A9984" s="450" t="s">
        <v>28711</v>
      </c>
      <c r="B9984" s="450" t="s">
        <v>16163</v>
      </c>
      <c r="C9984" s="450" t="s">
        <v>8896</v>
      </c>
      <c r="D9984" s="450" t="s">
        <v>16164</v>
      </c>
      <c r="E9984" s="450"/>
      <c r="F9984" s="450"/>
      <c r="G9984" s="450" t="s">
        <v>22882</v>
      </c>
      <c r="H9984" s="450" t="s">
        <v>22883</v>
      </c>
      <c r="I9984" s="450" t="s">
        <v>28712</v>
      </c>
      <c r="J9984" s="450" t="s">
        <v>28713</v>
      </c>
      <c r="K9984" s="450"/>
    </row>
    <row r="9985" spans="1:11">
      <c r="A9985" s="451" t="s">
        <v>16165</v>
      </c>
      <c r="B9985" s="451"/>
      <c r="C9985" s="451" t="s">
        <v>9072</v>
      </c>
      <c r="D9985" s="451"/>
      <c r="E9985" s="451"/>
      <c r="F9985" s="451"/>
      <c r="G9985" s="451" t="s">
        <v>22877</v>
      </c>
      <c r="H9985" s="451" t="s">
        <v>22878</v>
      </c>
      <c r="I9985" s="451" t="s">
        <v>38220</v>
      </c>
      <c r="J9985" s="451" t="s">
        <v>23179</v>
      </c>
      <c r="K9985" s="451"/>
    </row>
    <row r="9986" spans="1:11">
      <c r="A9986" s="450" t="s">
        <v>16166</v>
      </c>
      <c r="B9986" s="450"/>
      <c r="C9986" s="450" t="s">
        <v>16167</v>
      </c>
      <c r="D9986" s="450"/>
      <c r="E9986" s="450"/>
      <c r="F9986" s="450"/>
      <c r="G9986" s="450" t="s">
        <v>22882</v>
      </c>
      <c r="H9986" s="450" t="s">
        <v>22883</v>
      </c>
      <c r="I9986" s="450"/>
      <c r="J9986" s="450" t="s">
        <v>22939</v>
      </c>
      <c r="K9986" s="450"/>
    </row>
    <row r="9987" spans="1:11">
      <c r="A9987" s="451" t="s">
        <v>16168</v>
      </c>
      <c r="B9987" s="451" t="s">
        <v>9152</v>
      </c>
      <c r="C9987" s="451" t="s">
        <v>4713</v>
      </c>
      <c r="D9987" s="451"/>
      <c r="E9987" s="451"/>
      <c r="F9987" s="451"/>
      <c r="G9987" s="451" t="s">
        <v>22877</v>
      </c>
      <c r="H9987" s="451" t="s">
        <v>22878</v>
      </c>
      <c r="I9987" s="451" t="s">
        <v>28714</v>
      </c>
      <c r="J9987" s="451" t="s">
        <v>28715</v>
      </c>
      <c r="K9987" s="451"/>
    </row>
    <row r="9988" spans="1:11">
      <c r="A9988" s="450" t="s">
        <v>21938</v>
      </c>
      <c r="B9988" s="450"/>
      <c r="C9988" s="450" t="s">
        <v>16169</v>
      </c>
      <c r="D9988" s="450"/>
      <c r="E9988" s="450"/>
      <c r="F9988" s="450"/>
      <c r="G9988" s="450" t="s">
        <v>22882</v>
      </c>
      <c r="H9988" s="450" t="s">
        <v>22883</v>
      </c>
      <c r="I9988" s="450" t="s">
        <v>38221</v>
      </c>
      <c r="J9988" s="450" t="s">
        <v>22939</v>
      </c>
      <c r="K9988" s="450"/>
    </row>
    <row r="9989" spans="1:11">
      <c r="A9989" s="451" t="s">
        <v>21939</v>
      </c>
      <c r="B9989" s="451"/>
      <c r="C9989" s="451" t="s">
        <v>2991</v>
      </c>
      <c r="D9989" s="451"/>
      <c r="E9989" s="451"/>
      <c r="F9989" s="451"/>
      <c r="G9989" s="451" t="s">
        <v>22877</v>
      </c>
      <c r="H9989" s="451" t="s">
        <v>22878</v>
      </c>
      <c r="I9989" s="451" t="s">
        <v>28716</v>
      </c>
      <c r="J9989" s="451" t="s">
        <v>22943</v>
      </c>
      <c r="K9989" s="451"/>
    </row>
    <row r="9990" spans="1:11">
      <c r="A9990" s="450" t="s">
        <v>28717</v>
      </c>
      <c r="B9990" s="450" t="s">
        <v>28718</v>
      </c>
      <c r="C9990" s="450" t="s">
        <v>16172</v>
      </c>
      <c r="D9990" s="450"/>
      <c r="E9990" s="450"/>
      <c r="F9990" s="450"/>
      <c r="G9990" s="450" t="s">
        <v>22877</v>
      </c>
      <c r="H9990" s="450" t="s">
        <v>22878</v>
      </c>
      <c r="I9990" s="450" t="s">
        <v>28719</v>
      </c>
      <c r="J9990" s="450" t="s">
        <v>28720</v>
      </c>
      <c r="K9990" s="450"/>
    </row>
    <row r="9991" spans="1:11">
      <c r="A9991" s="451" t="s">
        <v>16170</v>
      </c>
      <c r="B9991" s="451" t="s">
        <v>16171</v>
      </c>
      <c r="C9991" s="451" t="s">
        <v>16172</v>
      </c>
      <c r="D9991" s="451"/>
      <c r="E9991" s="451"/>
      <c r="F9991" s="451"/>
      <c r="G9991" s="451"/>
      <c r="H9991" s="451"/>
      <c r="I9991" s="451"/>
      <c r="J9991" s="451"/>
      <c r="K9991" s="451"/>
    </row>
    <row r="9992" spans="1:11">
      <c r="A9992" s="450" t="s">
        <v>16173</v>
      </c>
      <c r="B9992" s="450"/>
      <c r="C9992" s="450" t="s">
        <v>16174</v>
      </c>
      <c r="D9992" s="450"/>
      <c r="E9992" s="450"/>
      <c r="F9992" s="450"/>
      <c r="G9992" s="450" t="s">
        <v>22877</v>
      </c>
      <c r="H9992" s="450" t="s">
        <v>22878</v>
      </c>
      <c r="I9992" s="450" t="s">
        <v>38222</v>
      </c>
      <c r="J9992" s="450" t="s">
        <v>22939</v>
      </c>
      <c r="K9992" s="450"/>
    </row>
    <row r="9993" spans="1:11">
      <c r="A9993" s="451" t="s">
        <v>28721</v>
      </c>
      <c r="B9993" s="451"/>
      <c r="C9993" s="451" t="s">
        <v>16180</v>
      </c>
      <c r="D9993" s="451"/>
      <c r="E9993" s="451"/>
      <c r="F9993" s="451"/>
      <c r="G9993" s="451" t="s">
        <v>22877</v>
      </c>
      <c r="H9993" s="451" t="s">
        <v>22878</v>
      </c>
      <c r="I9993" s="451"/>
      <c r="J9993" s="451" t="s">
        <v>22939</v>
      </c>
      <c r="K9993" s="451"/>
    </row>
    <row r="9994" spans="1:11">
      <c r="A9994" s="450" t="s">
        <v>16175</v>
      </c>
      <c r="B9994" s="450" t="s">
        <v>16176</v>
      </c>
      <c r="C9994" s="450" t="s">
        <v>16177</v>
      </c>
      <c r="D9994" s="450" t="s">
        <v>16178</v>
      </c>
      <c r="E9994" s="450"/>
      <c r="F9994" s="450"/>
      <c r="G9994" s="450" t="s">
        <v>22877</v>
      </c>
      <c r="H9994" s="450" t="s">
        <v>22878</v>
      </c>
      <c r="I9994" s="450" t="s">
        <v>28722</v>
      </c>
      <c r="J9994" s="450" t="s">
        <v>28723</v>
      </c>
      <c r="K9994" s="450"/>
    </row>
    <row r="9995" spans="1:11">
      <c r="A9995" s="451" t="s">
        <v>16179</v>
      </c>
      <c r="B9995" s="451"/>
      <c r="C9995" s="451" t="s">
        <v>16180</v>
      </c>
      <c r="D9995" s="451"/>
      <c r="E9995" s="451"/>
      <c r="F9995" s="451"/>
      <c r="G9995" s="451"/>
      <c r="H9995" s="451"/>
      <c r="I9995" s="451"/>
      <c r="J9995" s="451"/>
      <c r="K9995" s="451"/>
    </row>
    <row r="9996" spans="1:11">
      <c r="A9996" s="450" t="s">
        <v>38223</v>
      </c>
      <c r="B9996" s="450"/>
      <c r="C9996" s="450" t="s">
        <v>2788</v>
      </c>
      <c r="D9996" s="450"/>
      <c r="E9996" s="450"/>
      <c r="F9996" s="450"/>
      <c r="G9996" s="450" t="s">
        <v>22877</v>
      </c>
      <c r="H9996" s="450" t="s">
        <v>22878</v>
      </c>
      <c r="I9996" s="450" t="s">
        <v>38224</v>
      </c>
      <c r="J9996" s="450" t="s">
        <v>22943</v>
      </c>
      <c r="K9996" s="450"/>
    </row>
    <row r="9997" spans="1:11">
      <c r="A9997" s="451" t="s">
        <v>21940</v>
      </c>
      <c r="B9997" s="451"/>
      <c r="C9997" s="451" t="s">
        <v>2788</v>
      </c>
      <c r="D9997" s="451"/>
      <c r="E9997" s="451"/>
      <c r="F9997" s="451"/>
      <c r="G9997" s="451"/>
      <c r="H9997" s="451"/>
      <c r="I9997" s="451"/>
      <c r="J9997" s="451"/>
      <c r="K9997" s="451"/>
    </row>
    <row r="9998" spans="1:11">
      <c r="A9998" s="450" t="s">
        <v>16181</v>
      </c>
      <c r="B9998" s="450"/>
      <c r="C9998" s="450" t="s">
        <v>16182</v>
      </c>
      <c r="D9998" s="450"/>
      <c r="E9998" s="450"/>
      <c r="F9998" s="450"/>
      <c r="G9998" s="450" t="s">
        <v>28724</v>
      </c>
      <c r="H9998" s="450" t="s">
        <v>22878</v>
      </c>
      <c r="I9998" s="450"/>
      <c r="J9998" s="450"/>
      <c r="K9998" s="450"/>
    </row>
    <row r="9999" spans="1:11">
      <c r="A9999" s="451" t="s">
        <v>16183</v>
      </c>
      <c r="B9999" s="451" t="s">
        <v>16184</v>
      </c>
      <c r="C9999" s="451" t="s">
        <v>1395</v>
      </c>
      <c r="D9999" s="451" t="s">
        <v>16185</v>
      </c>
      <c r="E9999" s="451"/>
      <c r="F9999" s="451"/>
      <c r="G9999" s="451" t="s">
        <v>22877</v>
      </c>
      <c r="H9999" s="451" t="s">
        <v>22878</v>
      </c>
      <c r="I9999" s="451" t="s">
        <v>28725</v>
      </c>
      <c r="J9999" s="451" t="s">
        <v>28726</v>
      </c>
      <c r="K9999" s="451"/>
    </row>
    <row r="10000" spans="1:11">
      <c r="A10000" s="450" t="s">
        <v>16183</v>
      </c>
      <c r="B10000" s="450" t="s">
        <v>16184</v>
      </c>
      <c r="C10000" s="450" t="s">
        <v>1395</v>
      </c>
      <c r="D10000" s="450" t="s">
        <v>16185</v>
      </c>
      <c r="E10000" s="450" t="s">
        <v>16186</v>
      </c>
      <c r="F10000" s="450"/>
      <c r="G10000" s="450"/>
      <c r="H10000" s="450"/>
      <c r="I10000" s="450"/>
      <c r="J10000" s="450"/>
      <c r="K10000" s="450"/>
    </row>
    <row r="10001" spans="1:11">
      <c r="A10001" s="451" t="s">
        <v>16187</v>
      </c>
      <c r="B10001" s="451" t="s">
        <v>16188</v>
      </c>
      <c r="C10001" s="451" t="s">
        <v>2675</v>
      </c>
      <c r="D10001" s="451" t="s">
        <v>16189</v>
      </c>
      <c r="E10001" s="451" t="s">
        <v>16190</v>
      </c>
      <c r="F10001" s="451"/>
      <c r="G10001" s="451"/>
      <c r="H10001" s="451"/>
      <c r="I10001" s="451"/>
      <c r="J10001" s="451"/>
      <c r="K10001" s="451"/>
    </row>
    <row r="10002" spans="1:11">
      <c r="A10002" s="450" t="s">
        <v>28727</v>
      </c>
      <c r="B10002" s="450" t="s">
        <v>16188</v>
      </c>
      <c r="C10002" s="450" t="s">
        <v>2675</v>
      </c>
      <c r="D10002" s="450" t="s">
        <v>16189</v>
      </c>
      <c r="E10002" s="450"/>
      <c r="F10002" s="450"/>
      <c r="G10002" s="450" t="s">
        <v>22877</v>
      </c>
      <c r="H10002" s="450" t="s">
        <v>22878</v>
      </c>
      <c r="I10002" s="450" t="s">
        <v>28728</v>
      </c>
      <c r="J10002" s="450" t="s">
        <v>28729</v>
      </c>
      <c r="K10002" s="450"/>
    </row>
    <row r="10003" spans="1:11">
      <c r="A10003" s="451" t="s">
        <v>16191</v>
      </c>
      <c r="B10003" s="451"/>
      <c r="C10003" s="451" t="s">
        <v>16192</v>
      </c>
      <c r="D10003" s="451"/>
      <c r="E10003" s="451"/>
      <c r="F10003" s="451"/>
      <c r="G10003" s="451" t="s">
        <v>22877</v>
      </c>
      <c r="H10003" s="451" t="s">
        <v>22878</v>
      </c>
      <c r="I10003" s="451" t="s">
        <v>38225</v>
      </c>
      <c r="J10003" s="451" t="s">
        <v>23370</v>
      </c>
      <c r="K10003" s="451"/>
    </row>
    <row r="10004" spans="1:11">
      <c r="A10004" s="450" t="s">
        <v>38226</v>
      </c>
      <c r="B10004" s="450"/>
      <c r="C10004" s="450" t="s">
        <v>16194</v>
      </c>
      <c r="D10004" s="450"/>
      <c r="E10004" s="450"/>
      <c r="F10004" s="450"/>
      <c r="G10004" s="450" t="s">
        <v>22877</v>
      </c>
      <c r="H10004" s="450" t="s">
        <v>22878</v>
      </c>
      <c r="I10004" s="450" t="s">
        <v>38227</v>
      </c>
      <c r="J10004" s="450" t="s">
        <v>23121</v>
      </c>
      <c r="K10004" s="450"/>
    </row>
    <row r="10005" spans="1:11">
      <c r="A10005" s="451" t="s">
        <v>16193</v>
      </c>
      <c r="B10005" s="451"/>
      <c r="C10005" s="451" t="s">
        <v>16194</v>
      </c>
      <c r="D10005" s="451"/>
      <c r="E10005" s="451"/>
      <c r="F10005" s="451"/>
      <c r="G10005" s="451"/>
      <c r="H10005" s="451"/>
      <c r="I10005" s="451"/>
      <c r="J10005" s="451"/>
      <c r="K10005" s="451"/>
    </row>
    <row r="10006" spans="1:11">
      <c r="A10006" s="450" t="s">
        <v>38228</v>
      </c>
      <c r="B10006" s="450"/>
      <c r="C10006" s="450" t="s">
        <v>11208</v>
      </c>
      <c r="D10006" s="450"/>
      <c r="E10006" s="450"/>
      <c r="F10006" s="450"/>
      <c r="G10006" s="450" t="s">
        <v>22877</v>
      </c>
      <c r="H10006" s="450" t="s">
        <v>22878</v>
      </c>
      <c r="I10006" s="450" t="s">
        <v>38229</v>
      </c>
      <c r="J10006" s="450" t="s">
        <v>23121</v>
      </c>
      <c r="K10006" s="450"/>
    </row>
    <row r="10007" spans="1:11">
      <c r="A10007" s="451" t="s">
        <v>16195</v>
      </c>
      <c r="B10007" s="451"/>
      <c r="C10007" s="451" t="s">
        <v>11208</v>
      </c>
      <c r="D10007" s="451"/>
      <c r="E10007" s="451"/>
      <c r="F10007" s="451"/>
      <c r="G10007" s="451"/>
      <c r="H10007" s="451"/>
      <c r="I10007" s="451"/>
      <c r="J10007" s="451"/>
      <c r="K10007" s="451"/>
    </row>
    <row r="10008" spans="1:11">
      <c r="A10008" s="450" t="s">
        <v>38230</v>
      </c>
      <c r="B10008" s="450"/>
      <c r="C10008" s="450" t="s">
        <v>15736</v>
      </c>
      <c r="D10008" s="450"/>
      <c r="E10008" s="450"/>
      <c r="F10008" s="450"/>
      <c r="G10008" s="450" t="s">
        <v>38231</v>
      </c>
      <c r="H10008" s="450" t="s">
        <v>22878</v>
      </c>
      <c r="I10008" s="450"/>
      <c r="J10008" s="450"/>
      <c r="K10008" s="450"/>
    </row>
    <row r="10009" spans="1:11">
      <c r="A10009" s="451" t="s">
        <v>16196</v>
      </c>
      <c r="B10009" s="451"/>
      <c r="C10009" s="451" t="s">
        <v>16197</v>
      </c>
      <c r="D10009" s="451"/>
      <c r="E10009" s="451"/>
      <c r="F10009" s="451"/>
      <c r="G10009" s="451" t="s">
        <v>22877</v>
      </c>
      <c r="H10009" s="451" t="s">
        <v>22878</v>
      </c>
      <c r="I10009" s="451" t="s">
        <v>28730</v>
      </c>
      <c r="J10009" s="451" t="s">
        <v>23121</v>
      </c>
      <c r="K10009" s="451"/>
    </row>
    <row r="10010" spans="1:11">
      <c r="A10010" s="450" t="s">
        <v>28731</v>
      </c>
      <c r="B10010" s="450" t="s">
        <v>28732</v>
      </c>
      <c r="C10010" s="450" t="s">
        <v>28733</v>
      </c>
      <c r="D10010" s="450"/>
      <c r="E10010" s="450"/>
      <c r="F10010" s="450"/>
      <c r="G10010" s="450" t="s">
        <v>22877</v>
      </c>
      <c r="H10010" s="450" t="s">
        <v>22878</v>
      </c>
      <c r="I10010" s="450" t="s">
        <v>28734</v>
      </c>
      <c r="J10010" s="450" t="s">
        <v>28735</v>
      </c>
      <c r="K10010" s="450"/>
    </row>
    <row r="10011" spans="1:11">
      <c r="A10011" s="451" t="s">
        <v>16198</v>
      </c>
      <c r="B10011" s="451"/>
      <c r="C10011" s="451" t="s">
        <v>4938</v>
      </c>
      <c r="D10011" s="451"/>
      <c r="E10011" s="451"/>
      <c r="F10011" s="451"/>
      <c r="G10011" s="451" t="s">
        <v>22877</v>
      </c>
      <c r="H10011" s="451" t="s">
        <v>22878</v>
      </c>
      <c r="I10011" s="451" t="s">
        <v>28736</v>
      </c>
      <c r="J10011" s="451" t="s">
        <v>22958</v>
      </c>
      <c r="K10011" s="451"/>
    </row>
    <row r="10012" spans="1:11">
      <c r="A10012" s="450" t="s">
        <v>16199</v>
      </c>
      <c r="B10012" s="450" t="s">
        <v>16200</v>
      </c>
      <c r="C10012" s="450" t="s">
        <v>16201</v>
      </c>
      <c r="D10012" s="450"/>
      <c r="E10012" s="450"/>
      <c r="F10012" s="450"/>
      <c r="G10012" s="450" t="s">
        <v>22877</v>
      </c>
      <c r="H10012" s="450" t="s">
        <v>22878</v>
      </c>
      <c r="I10012" s="450" t="s">
        <v>28737</v>
      </c>
      <c r="J10012" s="450" t="s">
        <v>28738</v>
      </c>
      <c r="K10012" s="450"/>
    </row>
    <row r="10013" spans="1:11">
      <c r="A10013" s="451" t="s">
        <v>28739</v>
      </c>
      <c r="B10013" s="451" t="s">
        <v>26489</v>
      </c>
      <c r="C10013" s="451" t="s">
        <v>27124</v>
      </c>
      <c r="D10013" s="451"/>
      <c r="E10013" s="451"/>
      <c r="F10013" s="451" t="s">
        <v>28740</v>
      </c>
      <c r="G10013" s="451" t="s">
        <v>22882</v>
      </c>
      <c r="H10013" s="451" t="s">
        <v>22883</v>
      </c>
      <c r="I10013" s="451" t="s">
        <v>28741</v>
      </c>
      <c r="J10013" s="451" t="s">
        <v>28742</v>
      </c>
      <c r="K10013" s="451"/>
    </row>
    <row r="10014" spans="1:11">
      <c r="A10014" s="450" t="s">
        <v>38232</v>
      </c>
      <c r="B10014" s="450"/>
      <c r="C10014" s="450" t="s">
        <v>2650</v>
      </c>
      <c r="D10014" s="450"/>
      <c r="E10014" s="450"/>
      <c r="F10014" s="450"/>
      <c r="G10014" s="450" t="s">
        <v>22877</v>
      </c>
      <c r="H10014" s="450" t="s">
        <v>22878</v>
      </c>
      <c r="I10014" s="450" t="s">
        <v>38233</v>
      </c>
      <c r="J10014" s="450" t="s">
        <v>22942</v>
      </c>
      <c r="K10014" s="450"/>
    </row>
    <row r="10015" spans="1:11">
      <c r="A10015" s="451" t="s">
        <v>16202</v>
      </c>
      <c r="B10015" s="451"/>
      <c r="C10015" s="451" t="s">
        <v>2650</v>
      </c>
      <c r="D10015" s="451"/>
      <c r="E10015" s="451"/>
      <c r="F10015" s="451"/>
      <c r="G10015" s="451"/>
      <c r="H10015" s="451"/>
      <c r="I10015" s="451"/>
      <c r="J10015" s="451"/>
      <c r="K10015" s="451"/>
    </row>
    <row r="10016" spans="1:11">
      <c r="A10016" s="450" t="s">
        <v>38234</v>
      </c>
      <c r="B10016" s="450"/>
      <c r="C10016" s="450" t="s">
        <v>4238</v>
      </c>
      <c r="D10016" s="450"/>
      <c r="E10016" s="450"/>
      <c r="F10016" s="450"/>
      <c r="G10016" s="450" t="s">
        <v>22877</v>
      </c>
      <c r="H10016" s="450" t="s">
        <v>22878</v>
      </c>
      <c r="I10016" s="450" t="s">
        <v>38235</v>
      </c>
      <c r="J10016" s="450" t="s">
        <v>22937</v>
      </c>
      <c r="K10016" s="450"/>
    </row>
    <row r="10017" spans="1:11">
      <c r="A10017" s="451" t="s">
        <v>16203</v>
      </c>
      <c r="B10017" s="451"/>
      <c r="C10017" s="451" t="s">
        <v>4238</v>
      </c>
      <c r="D10017" s="451"/>
      <c r="E10017" s="451"/>
      <c r="F10017" s="451"/>
      <c r="G10017" s="451"/>
      <c r="H10017" s="451"/>
      <c r="I10017" s="451"/>
      <c r="J10017" s="451"/>
      <c r="K10017" s="451"/>
    </row>
    <row r="10018" spans="1:11">
      <c r="A10018" s="450" t="s">
        <v>16204</v>
      </c>
      <c r="B10018" s="450"/>
      <c r="C10018" s="450" t="s">
        <v>4053</v>
      </c>
      <c r="D10018" s="450"/>
      <c r="E10018" s="450"/>
      <c r="F10018" s="450"/>
      <c r="G10018" s="450"/>
      <c r="H10018" s="450"/>
      <c r="I10018" s="450"/>
      <c r="J10018" s="450"/>
      <c r="K10018" s="450"/>
    </row>
    <row r="10019" spans="1:11">
      <c r="A10019" s="451" t="s">
        <v>16205</v>
      </c>
      <c r="B10019" s="451"/>
      <c r="C10019" s="451" t="s">
        <v>16206</v>
      </c>
      <c r="D10019" s="451"/>
      <c r="E10019" s="451"/>
      <c r="F10019" s="451"/>
      <c r="G10019" s="451" t="s">
        <v>22877</v>
      </c>
      <c r="H10019" s="451" t="s">
        <v>22878</v>
      </c>
      <c r="I10019" s="451" t="s">
        <v>38236</v>
      </c>
      <c r="J10019" s="451" t="s">
        <v>23121</v>
      </c>
      <c r="K10019" s="451"/>
    </row>
    <row r="10020" spans="1:11">
      <c r="A10020" s="450" t="s">
        <v>16207</v>
      </c>
      <c r="B10020" s="450"/>
      <c r="C10020" s="450" t="s">
        <v>16208</v>
      </c>
      <c r="D10020" s="450"/>
      <c r="E10020" s="450"/>
      <c r="F10020" s="450"/>
      <c r="G10020" s="450" t="s">
        <v>22877</v>
      </c>
      <c r="H10020" s="450" t="s">
        <v>22878</v>
      </c>
      <c r="I10020" s="450" t="s">
        <v>38237</v>
      </c>
      <c r="J10020" s="450" t="s">
        <v>22939</v>
      </c>
      <c r="K10020" s="450"/>
    </row>
    <row r="10021" spans="1:11">
      <c r="A10021" s="451" t="s">
        <v>28743</v>
      </c>
      <c r="B10021" s="451"/>
      <c r="C10021" s="451" t="s">
        <v>4053</v>
      </c>
      <c r="D10021" s="451"/>
      <c r="E10021" s="451"/>
      <c r="F10021" s="451"/>
      <c r="G10021" s="451" t="s">
        <v>22882</v>
      </c>
      <c r="H10021" s="451" t="s">
        <v>22883</v>
      </c>
      <c r="I10021" s="451" t="s">
        <v>28744</v>
      </c>
      <c r="J10021" s="451" t="s">
        <v>26746</v>
      </c>
      <c r="K10021" s="451"/>
    </row>
    <row r="10022" spans="1:11">
      <c r="A10022" s="450" t="s">
        <v>28745</v>
      </c>
      <c r="B10022" s="450" t="s">
        <v>28746</v>
      </c>
      <c r="C10022" s="450" t="s">
        <v>28747</v>
      </c>
      <c r="D10022" s="450"/>
      <c r="E10022" s="450"/>
      <c r="F10022" s="450"/>
      <c r="G10022" s="450" t="s">
        <v>22877</v>
      </c>
      <c r="H10022" s="450" t="s">
        <v>22878</v>
      </c>
      <c r="I10022" s="450" t="s">
        <v>28748</v>
      </c>
      <c r="J10022" s="450" t="s">
        <v>28749</v>
      </c>
      <c r="K10022" s="450"/>
    </row>
    <row r="10023" spans="1:11">
      <c r="A10023" s="451" t="s">
        <v>16209</v>
      </c>
      <c r="B10023" s="451"/>
      <c r="C10023" s="451" t="s">
        <v>16210</v>
      </c>
      <c r="D10023" s="451"/>
      <c r="E10023" s="451"/>
      <c r="F10023" s="451"/>
      <c r="G10023" s="451" t="s">
        <v>22877</v>
      </c>
      <c r="H10023" s="451" t="s">
        <v>22878</v>
      </c>
      <c r="I10023" s="451" t="s">
        <v>38238</v>
      </c>
      <c r="J10023" s="451" t="s">
        <v>22939</v>
      </c>
      <c r="K10023" s="451"/>
    </row>
    <row r="10024" spans="1:11">
      <c r="A10024" s="450" t="s">
        <v>16211</v>
      </c>
      <c r="B10024" s="450"/>
      <c r="C10024" s="450" t="s">
        <v>2487</v>
      </c>
      <c r="D10024" s="450"/>
      <c r="E10024" s="450"/>
      <c r="F10024" s="450"/>
      <c r="G10024" s="450"/>
      <c r="H10024" s="450"/>
      <c r="I10024" s="450"/>
      <c r="J10024" s="450"/>
      <c r="K10024" s="450"/>
    </row>
    <row r="10025" spans="1:11">
      <c r="A10025" s="451" t="s">
        <v>38239</v>
      </c>
      <c r="B10025" s="451"/>
      <c r="C10025" s="451" t="s">
        <v>2487</v>
      </c>
      <c r="D10025" s="451"/>
      <c r="E10025" s="451"/>
      <c r="F10025" s="451"/>
      <c r="G10025" s="451" t="s">
        <v>22882</v>
      </c>
      <c r="H10025" s="451" t="s">
        <v>22883</v>
      </c>
      <c r="I10025" s="451" t="s">
        <v>38240</v>
      </c>
      <c r="J10025" s="451" t="s">
        <v>22997</v>
      </c>
      <c r="K10025" s="451"/>
    </row>
    <row r="10026" spans="1:11">
      <c r="A10026" s="450" t="s">
        <v>16212</v>
      </c>
      <c r="B10026" s="450"/>
      <c r="C10026" s="450" t="s">
        <v>16213</v>
      </c>
      <c r="D10026" s="450"/>
      <c r="E10026" s="450"/>
      <c r="F10026" s="450"/>
      <c r="G10026" s="450"/>
      <c r="H10026" s="450"/>
      <c r="I10026" s="450"/>
      <c r="J10026" s="450"/>
      <c r="K10026" s="450"/>
    </row>
    <row r="10027" spans="1:11">
      <c r="A10027" s="451" t="s">
        <v>28750</v>
      </c>
      <c r="B10027" s="451"/>
      <c r="C10027" s="451" t="s">
        <v>16213</v>
      </c>
      <c r="D10027" s="451"/>
      <c r="E10027" s="451"/>
      <c r="F10027" s="451"/>
      <c r="G10027" s="451" t="s">
        <v>22877</v>
      </c>
      <c r="H10027" s="451" t="s">
        <v>22878</v>
      </c>
      <c r="I10027" s="451" t="s">
        <v>28751</v>
      </c>
      <c r="J10027" s="451" t="s">
        <v>28403</v>
      </c>
      <c r="K10027" s="451"/>
    </row>
    <row r="10028" spans="1:11">
      <c r="A10028" s="450" t="s">
        <v>16214</v>
      </c>
      <c r="B10028" s="450" t="s">
        <v>28752</v>
      </c>
      <c r="C10028" s="450" t="s">
        <v>16216</v>
      </c>
      <c r="D10028" s="450"/>
      <c r="E10028" s="450"/>
      <c r="F10028" s="450"/>
      <c r="G10028" s="450" t="s">
        <v>22877</v>
      </c>
      <c r="H10028" s="450" t="s">
        <v>22878</v>
      </c>
      <c r="I10028" s="450" t="s">
        <v>28753</v>
      </c>
      <c r="J10028" s="450" t="s">
        <v>28754</v>
      </c>
      <c r="K10028" s="450"/>
    </row>
    <row r="10029" spans="1:11">
      <c r="A10029" s="451" t="s">
        <v>16214</v>
      </c>
      <c r="B10029" s="451" t="s">
        <v>16215</v>
      </c>
      <c r="C10029" s="451" t="s">
        <v>16216</v>
      </c>
      <c r="D10029" s="451"/>
      <c r="E10029" s="451"/>
      <c r="F10029" s="451"/>
      <c r="G10029" s="451"/>
      <c r="H10029" s="451"/>
      <c r="I10029" s="451"/>
      <c r="J10029" s="451"/>
      <c r="K10029" s="451"/>
    </row>
    <row r="10030" spans="1:11">
      <c r="A10030" s="450" t="s">
        <v>21941</v>
      </c>
      <c r="B10030" s="450"/>
      <c r="C10030" s="450" t="s">
        <v>16217</v>
      </c>
      <c r="D10030" s="450"/>
      <c r="E10030" s="450"/>
      <c r="F10030" s="450"/>
      <c r="G10030" s="450" t="s">
        <v>22882</v>
      </c>
      <c r="H10030" s="450" t="s">
        <v>22883</v>
      </c>
      <c r="I10030" s="450" t="s">
        <v>38241</v>
      </c>
      <c r="J10030" s="450" t="s">
        <v>22939</v>
      </c>
      <c r="K10030" s="450"/>
    </row>
    <row r="10031" spans="1:11">
      <c r="A10031" s="451" t="s">
        <v>16218</v>
      </c>
      <c r="B10031" s="451"/>
      <c r="C10031" s="451" t="s">
        <v>7299</v>
      </c>
      <c r="D10031" s="451"/>
      <c r="E10031" s="451"/>
      <c r="F10031" s="451"/>
      <c r="G10031" s="451" t="s">
        <v>22882</v>
      </c>
      <c r="H10031" s="451" t="s">
        <v>22883</v>
      </c>
      <c r="I10031" s="451" t="s">
        <v>28755</v>
      </c>
      <c r="J10031" s="451" t="s">
        <v>22995</v>
      </c>
      <c r="K10031" s="451"/>
    </row>
    <row r="10032" spans="1:11">
      <c r="A10032" s="450" t="s">
        <v>16219</v>
      </c>
      <c r="B10032" s="450" t="s">
        <v>16220</v>
      </c>
      <c r="C10032" s="450" t="s">
        <v>11008</v>
      </c>
      <c r="D10032" s="450"/>
      <c r="E10032" s="450"/>
      <c r="F10032" s="450" t="s">
        <v>16221</v>
      </c>
      <c r="G10032" s="450"/>
      <c r="H10032" s="450"/>
      <c r="I10032" s="450"/>
      <c r="J10032" s="450"/>
      <c r="K10032" s="450"/>
    </row>
    <row r="10033" spans="1:11">
      <c r="A10033" s="451" t="s">
        <v>28756</v>
      </c>
      <c r="B10033" s="451" t="s">
        <v>28757</v>
      </c>
      <c r="C10033" s="451" t="s">
        <v>11008</v>
      </c>
      <c r="D10033" s="451"/>
      <c r="E10033" s="451"/>
      <c r="F10033" s="451" t="s">
        <v>16221</v>
      </c>
      <c r="G10033" s="451" t="s">
        <v>22877</v>
      </c>
      <c r="H10033" s="451" t="s">
        <v>22878</v>
      </c>
      <c r="I10033" s="451" t="s">
        <v>26805</v>
      </c>
      <c r="J10033" s="451" t="s">
        <v>28758</v>
      </c>
      <c r="K10033" s="451"/>
    </row>
    <row r="10034" spans="1:11">
      <c r="A10034" s="450" t="s">
        <v>16222</v>
      </c>
      <c r="B10034" s="450"/>
      <c r="C10034" s="450" t="s">
        <v>16223</v>
      </c>
      <c r="D10034" s="450"/>
      <c r="E10034" s="450"/>
      <c r="F10034" s="450"/>
      <c r="G10034" s="450" t="s">
        <v>22882</v>
      </c>
      <c r="H10034" s="450" t="s">
        <v>22883</v>
      </c>
      <c r="I10034" s="450" t="s">
        <v>38242</v>
      </c>
      <c r="J10034" s="450" t="s">
        <v>22997</v>
      </c>
      <c r="K10034" s="450"/>
    </row>
    <row r="10035" spans="1:11">
      <c r="A10035" s="451" t="s">
        <v>16224</v>
      </c>
      <c r="B10035" s="451"/>
      <c r="C10035" s="451" t="s">
        <v>16225</v>
      </c>
      <c r="D10035" s="451"/>
      <c r="E10035" s="451"/>
      <c r="F10035" s="451"/>
      <c r="G10035" s="451" t="s">
        <v>22877</v>
      </c>
      <c r="H10035" s="451" t="s">
        <v>22878</v>
      </c>
      <c r="I10035" s="451" t="s">
        <v>38243</v>
      </c>
      <c r="J10035" s="451" t="s">
        <v>22942</v>
      </c>
      <c r="K10035" s="451"/>
    </row>
    <row r="10036" spans="1:11">
      <c r="A10036" s="450" t="s">
        <v>16226</v>
      </c>
      <c r="B10036" s="450"/>
      <c r="C10036" s="450" t="s">
        <v>16227</v>
      </c>
      <c r="D10036" s="450"/>
      <c r="E10036" s="450"/>
      <c r="F10036" s="450"/>
      <c r="G10036" s="450" t="s">
        <v>22877</v>
      </c>
      <c r="H10036" s="450" t="s">
        <v>22878</v>
      </c>
      <c r="I10036" s="450" t="s">
        <v>28759</v>
      </c>
      <c r="J10036" s="450" t="s">
        <v>23185</v>
      </c>
      <c r="K10036" s="450"/>
    </row>
    <row r="10037" spans="1:11">
      <c r="A10037" s="451" t="s">
        <v>21942</v>
      </c>
      <c r="B10037" s="451" t="s">
        <v>16228</v>
      </c>
      <c r="C10037" s="451" t="s">
        <v>2291</v>
      </c>
      <c r="D10037" s="451"/>
      <c r="E10037" s="451"/>
      <c r="F10037" s="451"/>
      <c r="G10037" s="451" t="s">
        <v>22877</v>
      </c>
      <c r="H10037" s="451" t="s">
        <v>22878</v>
      </c>
      <c r="I10037" s="451" t="s">
        <v>28760</v>
      </c>
      <c r="J10037" s="451" t="s">
        <v>28761</v>
      </c>
      <c r="K10037" s="451"/>
    </row>
    <row r="10038" spans="1:11">
      <c r="A10038" s="450" t="s">
        <v>38244</v>
      </c>
      <c r="B10038" s="450"/>
      <c r="C10038" s="450"/>
      <c r="D10038" s="450" t="s">
        <v>16230</v>
      </c>
      <c r="E10038" s="450"/>
      <c r="F10038" s="450"/>
      <c r="G10038" s="450" t="s">
        <v>38245</v>
      </c>
      <c r="H10038" s="450" t="s">
        <v>22878</v>
      </c>
      <c r="I10038" s="450" t="s">
        <v>16230</v>
      </c>
      <c r="J10038" s="450"/>
      <c r="K10038" s="450"/>
    </row>
    <row r="10039" spans="1:11">
      <c r="A10039" s="451" t="s">
        <v>16229</v>
      </c>
      <c r="B10039" s="451"/>
      <c r="C10039" s="451"/>
      <c r="D10039" s="451" t="s">
        <v>16230</v>
      </c>
      <c r="E10039" s="451" t="s">
        <v>16231</v>
      </c>
      <c r="F10039" s="451"/>
      <c r="G10039" s="451"/>
      <c r="H10039" s="451"/>
      <c r="I10039" s="451"/>
      <c r="J10039" s="451"/>
      <c r="K10039" s="451"/>
    </row>
    <row r="10040" spans="1:11">
      <c r="A10040" s="450" t="s">
        <v>38246</v>
      </c>
      <c r="B10040" s="450"/>
      <c r="C10040" s="450" t="s">
        <v>10186</v>
      </c>
      <c r="D10040" s="450"/>
      <c r="E10040" s="450"/>
      <c r="F10040" s="450"/>
      <c r="G10040" s="450" t="s">
        <v>22882</v>
      </c>
      <c r="H10040" s="450" t="s">
        <v>22883</v>
      </c>
      <c r="I10040" s="450"/>
      <c r="J10040" s="450" t="s">
        <v>22942</v>
      </c>
      <c r="K10040" s="450"/>
    </row>
    <row r="10041" spans="1:11">
      <c r="A10041" s="451" t="s">
        <v>16232</v>
      </c>
      <c r="B10041" s="451"/>
      <c r="C10041" s="451" t="s">
        <v>10186</v>
      </c>
      <c r="D10041" s="451"/>
      <c r="E10041" s="451"/>
      <c r="F10041" s="451"/>
      <c r="G10041" s="451"/>
      <c r="H10041" s="451"/>
      <c r="I10041" s="451"/>
      <c r="J10041" s="451"/>
      <c r="K10041" s="451"/>
    </row>
    <row r="10042" spans="1:11">
      <c r="A10042" s="450" t="s">
        <v>38247</v>
      </c>
      <c r="B10042" s="450"/>
      <c r="C10042" s="450" t="s">
        <v>11349</v>
      </c>
      <c r="D10042" s="450"/>
      <c r="E10042" s="450"/>
      <c r="F10042" s="450"/>
      <c r="G10042" s="450" t="s">
        <v>22882</v>
      </c>
      <c r="H10042" s="450" t="s">
        <v>22883</v>
      </c>
      <c r="I10042" s="450" t="s">
        <v>38248</v>
      </c>
      <c r="J10042" s="450" t="s">
        <v>22942</v>
      </c>
      <c r="K10042" s="450"/>
    </row>
    <row r="10043" spans="1:11">
      <c r="A10043" s="451" t="s">
        <v>38249</v>
      </c>
      <c r="B10043" s="451"/>
      <c r="C10043" s="451" t="s">
        <v>3526</v>
      </c>
      <c r="D10043" s="451"/>
      <c r="E10043" s="451"/>
      <c r="F10043" s="451"/>
      <c r="G10043" s="451" t="s">
        <v>22882</v>
      </c>
      <c r="H10043" s="451" t="s">
        <v>22883</v>
      </c>
      <c r="I10043" s="451" t="s">
        <v>38250</v>
      </c>
      <c r="J10043" s="451" t="s">
        <v>22997</v>
      </c>
      <c r="K10043" s="451"/>
    </row>
    <row r="10044" spans="1:11">
      <c r="A10044" s="450" t="s">
        <v>16233</v>
      </c>
      <c r="B10044" s="450"/>
      <c r="C10044" s="450" t="s">
        <v>6319</v>
      </c>
      <c r="D10044" s="450"/>
      <c r="E10044" s="450"/>
      <c r="F10044" s="450"/>
      <c r="G10044" s="450" t="s">
        <v>22877</v>
      </c>
      <c r="H10044" s="450" t="s">
        <v>22878</v>
      </c>
      <c r="I10044" s="450" t="s">
        <v>38251</v>
      </c>
      <c r="J10044" s="450" t="s">
        <v>23185</v>
      </c>
      <c r="K10044" s="450"/>
    </row>
    <row r="10045" spans="1:11">
      <c r="A10045" s="451" t="s">
        <v>16234</v>
      </c>
      <c r="B10045" s="451"/>
      <c r="C10045" s="451" t="s">
        <v>16235</v>
      </c>
      <c r="D10045" s="451"/>
      <c r="E10045" s="451"/>
      <c r="F10045" s="451"/>
      <c r="G10045" s="451" t="s">
        <v>22877</v>
      </c>
      <c r="H10045" s="451" t="s">
        <v>22878</v>
      </c>
      <c r="I10045" s="451" t="s">
        <v>38252</v>
      </c>
      <c r="J10045" s="451" t="s">
        <v>22942</v>
      </c>
      <c r="K10045" s="451"/>
    </row>
    <row r="10046" spans="1:11">
      <c r="A10046" s="450" t="s">
        <v>16236</v>
      </c>
      <c r="B10046" s="450"/>
      <c r="C10046" s="450" t="s">
        <v>2788</v>
      </c>
      <c r="D10046" s="450"/>
      <c r="E10046" s="450"/>
      <c r="F10046" s="450"/>
      <c r="G10046" s="450" t="s">
        <v>22877</v>
      </c>
      <c r="H10046" s="450" t="s">
        <v>22878</v>
      </c>
      <c r="I10046" s="450" t="s">
        <v>38253</v>
      </c>
      <c r="J10046" s="450" t="s">
        <v>23185</v>
      </c>
      <c r="K10046" s="450"/>
    </row>
    <row r="10047" spans="1:11">
      <c r="A10047" s="451" t="s">
        <v>16237</v>
      </c>
      <c r="B10047" s="451"/>
      <c r="C10047" s="451" t="s">
        <v>5350</v>
      </c>
      <c r="D10047" s="451"/>
      <c r="E10047" s="451"/>
      <c r="F10047" s="451"/>
      <c r="G10047" s="451" t="s">
        <v>22877</v>
      </c>
      <c r="H10047" s="451" t="s">
        <v>22878</v>
      </c>
      <c r="I10047" s="451" t="s">
        <v>38254</v>
      </c>
      <c r="J10047" s="451" t="s">
        <v>22939</v>
      </c>
      <c r="K10047" s="451"/>
    </row>
    <row r="10048" spans="1:11">
      <c r="A10048" s="450" t="s">
        <v>16238</v>
      </c>
      <c r="B10048" s="450"/>
      <c r="C10048" s="450" t="s">
        <v>16239</v>
      </c>
      <c r="D10048" s="450"/>
      <c r="E10048" s="450"/>
      <c r="F10048" s="450"/>
      <c r="G10048" s="450" t="s">
        <v>22882</v>
      </c>
      <c r="H10048" s="450" t="s">
        <v>22883</v>
      </c>
      <c r="I10048" s="450"/>
      <c r="J10048" s="450" t="s">
        <v>23185</v>
      </c>
      <c r="K10048" s="450"/>
    </row>
    <row r="10049" spans="1:11">
      <c r="A10049" s="451" t="s">
        <v>16240</v>
      </c>
      <c r="B10049" s="451"/>
      <c r="C10049" s="451" t="s">
        <v>6698</v>
      </c>
      <c r="D10049" s="451"/>
      <c r="E10049" s="451"/>
      <c r="F10049" s="451"/>
      <c r="G10049" s="451" t="s">
        <v>22877</v>
      </c>
      <c r="H10049" s="451" t="s">
        <v>22878</v>
      </c>
      <c r="I10049" s="451" t="s">
        <v>38255</v>
      </c>
      <c r="J10049" s="451" t="s">
        <v>22997</v>
      </c>
      <c r="K10049" s="451"/>
    </row>
    <row r="10050" spans="1:11">
      <c r="A10050" s="450" t="s">
        <v>38256</v>
      </c>
      <c r="B10050" s="450"/>
      <c r="C10050" s="450" t="s">
        <v>16242</v>
      </c>
      <c r="D10050" s="450"/>
      <c r="E10050" s="450"/>
      <c r="F10050" s="450"/>
      <c r="G10050" s="450" t="s">
        <v>22877</v>
      </c>
      <c r="H10050" s="450" t="s">
        <v>22878</v>
      </c>
      <c r="I10050" s="450" t="s">
        <v>38257</v>
      </c>
      <c r="J10050" s="450" t="s">
        <v>22942</v>
      </c>
      <c r="K10050" s="450"/>
    </row>
    <row r="10051" spans="1:11">
      <c r="A10051" s="451" t="s">
        <v>16241</v>
      </c>
      <c r="B10051" s="451"/>
      <c r="C10051" s="451" t="s">
        <v>16242</v>
      </c>
      <c r="D10051" s="451"/>
      <c r="E10051" s="451"/>
      <c r="F10051" s="451"/>
      <c r="G10051" s="451"/>
      <c r="H10051" s="451"/>
      <c r="I10051" s="451"/>
      <c r="J10051" s="451"/>
      <c r="K10051" s="451"/>
    </row>
    <row r="10052" spans="1:11">
      <c r="A10052" s="450" t="s">
        <v>38258</v>
      </c>
      <c r="B10052" s="450"/>
      <c r="C10052" s="450" t="s">
        <v>16244</v>
      </c>
      <c r="D10052" s="450"/>
      <c r="E10052" s="450"/>
      <c r="F10052" s="450"/>
      <c r="G10052" s="450" t="s">
        <v>22877</v>
      </c>
      <c r="H10052" s="450" t="s">
        <v>22878</v>
      </c>
      <c r="I10052" s="450" t="s">
        <v>38259</v>
      </c>
      <c r="J10052" s="450" t="s">
        <v>22942</v>
      </c>
      <c r="K10052" s="450"/>
    </row>
    <row r="10053" spans="1:11">
      <c r="A10053" s="451" t="s">
        <v>16243</v>
      </c>
      <c r="B10053" s="451"/>
      <c r="C10053" s="451" t="s">
        <v>16244</v>
      </c>
      <c r="D10053" s="451"/>
      <c r="E10053" s="451"/>
      <c r="F10053" s="451"/>
      <c r="G10053" s="451"/>
      <c r="H10053" s="451"/>
      <c r="I10053" s="451"/>
      <c r="J10053" s="451"/>
      <c r="K10053" s="451"/>
    </row>
    <row r="10054" spans="1:11">
      <c r="A10054" s="450" t="s">
        <v>16245</v>
      </c>
      <c r="B10054" s="450"/>
      <c r="C10054" s="450" t="s">
        <v>3934</v>
      </c>
      <c r="D10054" s="450"/>
      <c r="E10054" s="450"/>
      <c r="F10054" s="450"/>
      <c r="G10054" s="450" t="s">
        <v>22882</v>
      </c>
      <c r="H10054" s="450" t="s">
        <v>22883</v>
      </c>
      <c r="I10054" s="450" t="s">
        <v>38260</v>
      </c>
      <c r="J10054" s="450" t="s">
        <v>23185</v>
      </c>
      <c r="K10054" s="450"/>
    </row>
    <row r="10055" spans="1:11">
      <c r="A10055" s="451" t="s">
        <v>16246</v>
      </c>
      <c r="B10055" s="451"/>
      <c r="C10055" s="451" t="s">
        <v>16247</v>
      </c>
      <c r="D10055" s="451"/>
      <c r="E10055" s="451"/>
      <c r="F10055" s="451"/>
      <c r="G10055" s="451" t="s">
        <v>22882</v>
      </c>
      <c r="H10055" s="451" t="s">
        <v>22883</v>
      </c>
      <c r="I10055" s="451" t="s">
        <v>28762</v>
      </c>
      <c r="J10055" s="451" t="s">
        <v>23185</v>
      </c>
      <c r="K10055" s="451"/>
    </row>
    <row r="10056" spans="1:11">
      <c r="A10056" s="450" t="s">
        <v>16248</v>
      </c>
      <c r="B10056" s="450" t="s">
        <v>16249</v>
      </c>
      <c r="C10056" s="450" t="s">
        <v>4073</v>
      </c>
      <c r="D10056" s="450" t="s">
        <v>16250</v>
      </c>
      <c r="E10056" s="450"/>
      <c r="F10056" s="450"/>
      <c r="G10056" s="450" t="s">
        <v>22877</v>
      </c>
      <c r="H10056" s="450" t="s">
        <v>22878</v>
      </c>
      <c r="I10056" s="450" t="s">
        <v>38261</v>
      </c>
      <c r="J10056" s="450" t="s">
        <v>38262</v>
      </c>
      <c r="K10056" s="450"/>
    </row>
    <row r="10057" spans="1:11">
      <c r="A10057" s="451" t="s">
        <v>16248</v>
      </c>
      <c r="B10057" s="451" t="s">
        <v>16249</v>
      </c>
      <c r="C10057" s="451" t="s">
        <v>4073</v>
      </c>
      <c r="D10057" s="451" t="s">
        <v>16250</v>
      </c>
      <c r="E10057" s="451" t="s">
        <v>16251</v>
      </c>
      <c r="F10057" s="451"/>
      <c r="G10057" s="451"/>
      <c r="H10057" s="451"/>
      <c r="I10057" s="451"/>
      <c r="J10057" s="451"/>
      <c r="K10057" s="451"/>
    </row>
    <row r="10058" spans="1:11">
      <c r="A10058" s="450" t="s">
        <v>16252</v>
      </c>
      <c r="B10058" s="450" t="s">
        <v>16253</v>
      </c>
      <c r="C10058" s="450" t="s">
        <v>16254</v>
      </c>
      <c r="D10058" s="450" t="s">
        <v>16255</v>
      </c>
      <c r="E10058" s="450"/>
      <c r="F10058" s="450"/>
      <c r="G10058" s="450" t="s">
        <v>22877</v>
      </c>
      <c r="H10058" s="450" t="s">
        <v>22878</v>
      </c>
      <c r="I10058" s="450" t="s">
        <v>28763</v>
      </c>
      <c r="J10058" s="450" t="s">
        <v>38263</v>
      </c>
      <c r="K10058" s="450"/>
    </row>
    <row r="10059" spans="1:11">
      <c r="A10059" s="451" t="s">
        <v>16252</v>
      </c>
      <c r="B10059" s="451" t="s">
        <v>16253</v>
      </c>
      <c r="C10059" s="451" t="s">
        <v>16254</v>
      </c>
      <c r="D10059" s="451" t="s">
        <v>16255</v>
      </c>
      <c r="E10059" s="451" t="s">
        <v>16256</v>
      </c>
      <c r="F10059" s="451"/>
      <c r="G10059" s="451"/>
      <c r="H10059" s="451"/>
      <c r="I10059" s="451"/>
      <c r="J10059" s="451"/>
      <c r="K10059" s="451"/>
    </row>
    <row r="10060" spans="1:11">
      <c r="A10060" s="450" t="s">
        <v>28764</v>
      </c>
      <c r="B10060" s="450" t="s">
        <v>16253</v>
      </c>
      <c r="C10060" s="450" t="s">
        <v>16258</v>
      </c>
      <c r="D10060" s="450" t="s">
        <v>16255</v>
      </c>
      <c r="E10060" s="450"/>
      <c r="F10060" s="450"/>
      <c r="G10060" s="450" t="s">
        <v>22877</v>
      </c>
      <c r="H10060" s="450" t="s">
        <v>22878</v>
      </c>
      <c r="I10060" s="450" t="s">
        <v>28763</v>
      </c>
      <c r="J10060" s="450" t="s">
        <v>28765</v>
      </c>
      <c r="K10060" s="450"/>
    </row>
    <row r="10061" spans="1:11">
      <c r="A10061" s="451" t="s">
        <v>16257</v>
      </c>
      <c r="B10061" s="451" t="s">
        <v>16253</v>
      </c>
      <c r="C10061" s="451" t="s">
        <v>16258</v>
      </c>
      <c r="D10061" s="451" t="s">
        <v>16255</v>
      </c>
      <c r="E10061" s="451" t="s">
        <v>16256</v>
      </c>
      <c r="F10061" s="451"/>
      <c r="G10061" s="451"/>
      <c r="H10061" s="451"/>
      <c r="I10061" s="451"/>
      <c r="J10061" s="451"/>
      <c r="K10061" s="451"/>
    </row>
    <row r="10062" spans="1:11">
      <c r="A10062" s="450" t="s">
        <v>16259</v>
      </c>
      <c r="B10062" s="450"/>
      <c r="C10062" s="450" t="s">
        <v>16260</v>
      </c>
      <c r="D10062" s="450"/>
      <c r="E10062" s="450"/>
      <c r="F10062" s="450"/>
      <c r="G10062" s="450" t="s">
        <v>22882</v>
      </c>
      <c r="H10062" s="450" t="s">
        <v>22883</v>
      </c>
      <c r="I10062" s="450"/>
      <c r="J10062" s="450" t="s">
        <v>23185</v>
      </c>
      <c r="K10062" s="450"/>
    </row>
    <row r="10063" spans="1:11">
      <c r="A10063" s="451" t="s">
        <v>16261</v>
      </c>
      <c r="B10063" s="451" t="s">
        <v>16262</v>
      </c>
      <c r="C10063" s="451" t="s">
        <v>16263</v>
      </c>
      <c r="D10063" s="451"/>
      <c r="E10063" s="451"/>
      <c r="F10063" s="451"/>
      <c r="G10063" s="451"/>
      <c r="H10063" s="451"/>
      <c r="I10063" s="451"/>
      <c r="J10063" s="451"/>
      <c r="K10063" s="451"/>
    </row>
    <row r="10064" spans="1:11">
      <c r="A10064" s="450" t="s">
        <v>28766</v>
      </c>
      <c r="B10064" s="450" t="s">
        <v>28767</v>
      </c>
      <c r="C10064" s="450" t="s">
        <v>16263</v>
      </c>
      <c r="D10064" s="450"/>
      <c r="E10064" s="450"/>
      <c r="F10064" s="450"/>
      <c r="G10064" s="450" t="s">
        <v>22877</v>
      </c>
      <c r="H10064" s="450" t="s">
        <v>22878</v>
      </c>
      <c r="I10064" s="450" t="s">
        <v>28768</v>
      </c>
      <c r="J10064" s="450" t="s">
        <v>28769</v>
      </c>
      <c r="K10064" s="450"/>
    </row>
    <row r="10065" spans="1:11">
      <c r="A10065" s="451" t="s">
        <v>16264</v>
      </c>
      <c r="B10065" s="451"/>
      <c r="C10065" s="451" t="s">
        <v>16265</v>
      </c>
      <c r="D10065" s="451"/>
      <c r="E10065" s="451"/>
      <c r="F10065" s="451"/>
      <c r="G10065" s="451" t="s">
        <v>22877</v>
      </c>
      <c r="H10065" s="451" t="s">
        <v>22878</v>
      </c>
      <c r="I10065" s="451" t="s">
        <v>28770</v>
      </c>
      <c r="J10065" s="451" t="s">
        <v>22997</v>
      </c>
      <c r="K10065" s="451"/>
    </row>
    <row r="10066" spans="1:11">
      <c r="A10066" s="450" t="s">
        <v>28771</v>
      </c>
      <c r="B10066" s="450" t="s">
        <v>16266</v>
      </c>
      <c r="C10066" s="450" t="s">
        <v>5111</v>
      </c>
      <c r="D10066" s="450" t="s">
        <v>16267</v>
      </c>
      <c r="E10066" s="450"/>
      <c r="F10066" s="450"/>
      <c r="G10066" s="450" t="s">
        <v>22877</v>
      </c>
      <c r="H10066" s="450" t="s">
        <v>22878</v>
      </c>
      <c r="I10066" s="450" t="s">
        <v>28772</v>
      </c>
      <c r="J10066" s="450" t="s">
        <v>28773</v>
      </c>
      <c r="K10066" s="450"/>
    </row>
    <row r="10067" spans="1:11">
      <c r="A10067" s="451" t="s">
        <v>28774</v>
      </c>
      <c r="B10067" s="451" t="s">
        <v>16269</v>
      </c>
      <c r="C10067" s="451" t="s">
        <v>16270</v>
      </c>
      <c r="D10067" s="451" t="s">
        <v>16271</v>
      </c>
      <c r="E10067" s="451"/>
      <c r="F10067" s="451"/>
      <c r="G10067" s="451" t="s">
        <v>22877</v>
      </c>
      <c r="H10067" s="451" t="s">
        <v>22878</v>
      </c>
      <c r="I10067" s="451" t="s">
        <v>16271</v>
      </c>
      <c r="J10067" s="451" t="s">
        <v>28775</v>
      </c>
      <c r="K10067" s="451"/>
    </row>
    <row r="10068" spans="1:11">
      <c r="A10068" s="450" t="s">
        <v>28776</v>
      </c>
      <c r="B10068" s="450" t="s">
        <v>27475</v>
      </c>
      <c r="C10068" s="450" t="s">
        <v>16274</v>
      </c>
      <c r="D10068" s="450" t="s">
        <v>16275</v>
      </c>
      <c r="E10068" s="450"/>
      <c r="F10068" s="450"/>
      <c r="G10068" s="450" t="s">
        <v>22877</v>
      </c>
      <c r="H10068" s="450" t="s">
        <v>22878</v>
      </c>
      <c r="I10068" s="450" t="s">
        <v>16275</v>
      </c>
      <c r="J10068" s="450" t="s">
        <v>28777</v>
      </c>
      <c r="K10068" s="450"/>
    </row>
    <row r="10069" spans="1:11">
      <c r="A10069" s="451" t="s">
        <v>28778</v>
      </c>
      <c r="B10069" s="451" t="s">
        <v>16277</v>
      </c>
      <c r="C10069" s="451" t="s">
        <v>1915</v>
      </c>
      <c r="D10069" s="451" t="s">
        <v>16278</v>
      </c>
      <c r="E10069" s="451"/>
      <c r="F10069" s="451"/>
      <c r="G10069" s="451" t="s">
        <v>22877</v>
      </c>
      <c r="H10069" s="451" t="s">
        <v>22878</v>
      </c>
      <c r="I10069" s="451" t="s">
        <v>16278</v>
      </c>
      <c r="J10069" s="451" t="s">
        <v>28779</v>
      </c>
      <c r="K10069" s="451"/>
    </row>
    <row r="10070" spans="1:11">
      <c r="A10070" s="450" t="s">
        <v>28780</v>
      </c>
      <c r="B10070" s="450" t="s">
        <v>28781</v>
      </c>
      <c r="C10070" s="450" t="s">
        <v>16281</v>
      </c>
      <c r="D10070" s="450" t="s">
        <v>16282</v>
      </c>
      <c r="E10070" s="450"/>
      <c r="F10070" s="450"/>
      <c r="G10070" s="450" t="s">
        <v>22877</v>
      </c>
      <c r="H10070" s="450" t="s">
        <v>22878</v>
      </c>
      <c r="I10070" s="450" t="s">
        <v>28782</v>
      </c>
      <c r="J10070" s="450" t="s">
        <v>28783</v>
      </c>
      <c r="K10070" s="450"/>
    </row>
    <row r="10071" spans="1:11">
      <c r="A10071" s="451" t="s">
        <v>16284</v>
      </c>
      <c r="B10071" s="451"/>
      <c r="C10071" s="451" t="s">
        <v>16285</v>
      </c>
      <c r="D10071" s="451"/>
      <c r="E10071" s="451"/>
      <c r="F10071" s="451"/>
      <c r="G10071" s="451" t="s">
        <v>22882</v>
      </c>
      <c r="H10071" s="451" t="s">
        <v>22883</v>
      </c>
      <c r="I10071" s="451" t="s">
        <v>28784</v>
      </c>
      <c r="J10071" s="451" t="s">
        <v>23185</v>
      </c>
      <c r="K10071" s="451"/>
    </row>
    <row r="10072" spans="1:11">
      <c r="A10072" s="450" t="s">
        <v>38264</v>
      </c>
      <c r="B10072" s="450" t="s">
        <v>16287</v>
      </c>
      <c r="C10072" s="450" t="s">
        <v>16288</v>
      </c>
      <c r="D10072" s="450"/>
      <c r="E10072" s="450"/>
      <c r="F10072" s="450"/>
      <c r="G10072" s="450" t="s">
        <v>22877</v>
      </c>
      <c r="H10072" s="450" t="s">
        <v>22878</v>
      </c>
      <c r="I10072" s="450" t="s">
        <v>38265</v>
      </c>
      <c r="J10072" s="450" t="s">
        <v>38266</v>
      </c>
      <c r="K10072" s="450"/>
    </row>
    <row r="10073" spans="1:11">
      <c r="A10073" s="451" t="s">
        <v>16286</v>
      </c>
      <c r="B10073" s="451" t="s">
        <v>16287</v>
      </c>
      <c r="C10073" s="451" t="s">
        <v>16288</v>
      </c>
      <c r="D10073" s="451"/>
      <c r="E10073" s="451"/>
      <c r="F10073" s="451"/>
      <c r="G10073" s="451"/>
      <c r="H10073" s="451"/>
      <c r="I10073" s="451"/>
      <c r="J10073" s="451"/>
      <c r="K10073" s="451"/>
    </row>
    <row r="10074" spans="1:11">
      <c r="A10074" s="450" t="s">
        <v>38267</v>
      </c>
      <c r="B10074" s="450"/>
      <c r="C10074" s="450" t="s">
        <v>15711</v>
      </c>
      <c r="D10074" s="450"/>
      <c r="E10074" s="450"/>
      <c r="F10074" s="450"/>
      <c r="G10074" s="450" t="s">
        <v>22882</v>
      </c>
      <c r="H10074" s="450" t="s">
        <v>22883</v>
      </c>
      <c r="I10074" s="450" t="s">
        <v>38268</v>
      </c>
      <c r="J10074" s="450" t="s">
        <v>22942</v>
      </c>
      <c r="K10074" s="450"/>
    </row>
    <row r="10075" spans="1:11">
      <c r="A10075" s="451" t="s">
        <v>38269</v>
      </c>
      <c r="B10075" s="451"/>
      <c r="C10075" s="451" t="s">
        <v>16290</v>
      </c>
      <c r="D10075" s="451"/>
      <c r="E10075" s="451"/>
      <c r="F10075" s="451"/>
      <c r="G10075" s="451" t="s">
        <v>22882</v>
      </c>
      <c r="H10075" s="451" t="s">
        <v>22883</v>
      </c>
      <c r="I10075" s="451" t="s">
        <v>38270</v>
      </c>
      <c r="J10075" s="451" t="s">
        <v>22942</v>
      </c>
      <c r="K10075" s="451"/>
    </row>
    <row r="10076" spans="1:11">
      <c r="A10076" s="450" t="s">
        <v>16289</v>
      </c>
      <c r="B10076" s="450"/>
      <c r="C10076" s="450" t="s">
        <v>16290</v>
      </c>
      <c r="D10076" s="450"/>
      <c r="E10076" s="450"/>
      <c r="F10076" s="450"/>
      <c r="G10076" s="450"/>
      <c r="H10076" s="450"/>
      <c r="I10076" s="450"/>
      <c r="J10076" s="450"/>
      <c r="K10076" s="450"/>
    </row>
    <row r="10077" spans="1:11">
      <c r="A10077" s="451" t="s">
        <v>16291</v>
      </c>
      <c r="B10077" s="451"/>
      <c r="C10077" s="451" t="s">
        <v>16292</v>
      </c>
      <c r="D10077" s="451"/>
      <c r="E10077" s="451"/>
      <c r="F10077" s="451"/>
      <c r="G10077" s="451" t="s">
        <v>22882</v>
      </c>
      <c r="H10077" s="451" t="s">
        <v>22883</v>
      </c>
      <c r="I10077" s="451" t="s">
        <v>38271</v>
      </c>
      <c r="J10077" s="451" t="s">
        <v>22942</v>
      </c>
      <c r="K10077" s="451"/>
    </row>
    <row r="10078" spans="1:11">
      <c r="A10078" s="450" t="s">
        <v>16293</v>
      </c>
      <c r="B10078" s="450"/>
      <c r="C10078" s="450" t="s">
        <v>16294</v>
      </c>
      <c r="D10078" s="450"/>
      <c r="E10078" s="450"/>
      <c r="F10078" s="450"/>
      <c r="G10078" s="450" t="s">
        <v>22877</v>
      </c>
      <c r="H10078" s="450" t="s">
        <v>22878</v>
      </c>
      <c r="I10078" s="450" t="s">
        <v>28785</v>
      </c>
      <c r="J10078" s="450" t="s">
        <v>22942</v>
      </c>
      <c r="K10078" s="450"/>
    </row>
    <row r="10079" spans="1:11">
      <c r="A10079" s="451" t="s">
        <v>16295</v>
      </c>
      <c r="B10079" s="451" t="s">
        <v>16296</v>
      </c>
      <c r="C10079" s="451" t="s">
        <v>16297</v>
      </c>
      <c r="D10079" s="451"/>
      <c r="E10079" s="451"/>
      <c r="F10079" s="451"/>
      <c r="G10079" s="451" t="s">
        <v>22877</v>
      </c>
      <c r="H10079" s="451" t="s">
        <v>22878</v>
      </c>
      <c r="I10079" s="451" t="s">
        <v>28786</v>
      </c>
      <c r="J10079" s="451" t="s">
        <v>26614</v>
      </c>
      <c r="K10079" s="451"/>
    </row>
    <row r="10080" spans="1:11">
      <c r="A10080" s="450" t="s">
        <v>38272</v>
      </c>
      <c r="B10080" s="450"/>
      <c r="C10080" s="450" t="s">
        <v>11257</v>
      </c>
      <c r="D10080" s="450"/>
      <c r="E10080" s="450"/>
      <c r="F10080" s="450"/>
      <c r="G10080" s="450" t="s">
        <v>22877</v>
      </c>
      <c r="H10080" s="450" t="s">
        <v>22878</v>
      </c>
      <c r="I10080" s="450" t="s">
        <v>38273</v>
      </c>
      <c r="J10080" s="450" t="s">
        <v>22948</v>
      </c>
      <c r="K10080" s="450"/>
    </row>
    <row r="10081" spans="1:11">
      <c r="A10081" s="451" t="s">
        <v>16298</v>
      </c>
      <c r="B10081" s="451"/>
      <c r="C10081" s="451" t="s">
        <v>11257</v>
      </c>
      <c r="D10081" s="451"/>
      <c r="E10081" s="451"/>
      <c r="F10081" s="451"/>
      <c r="G10081" s="451"/>
      <c r="H10081" s="451"/>
      <c r="I10081" s="451"/>
      <c r="J10081" s="451"/>
      <c r="K10081" s="451"/>
    </row>
    <row r="10082" spans="1:11">
      <c r="A10082" s="450" t="s">
        <v>16299</v>
      </c>
      <c r="B10082" s="450" t="s">
        <v>28787</v>
      </c>
      <c r="C10082" s="450" t="s">
        <v>10466</v>
      </c>
      <c r="D10082" s="450"/>
      <c r="E10082" s="450"/>
      <c r="F10082" s="450"/>
      <c r="G10082" s="450" t="s">
        <v>22877</v>
      </c>
      <c r="H10082" s="450" t="s">
        <v>22878</v>
      </c>
      <c r="I10082" s="450" t="s">
        <v>28788</v>
      </c>
      <c r="J10082" s="450" t="s">
        <v>28789</v>
      </c>
      <c r="K10082" s="450"/>
    </row>
    <row r="10083" spans="1:11">
      <c r="A10083" s="451" t="s">
        <v>16299</v>
      </c>
      <c r="B10083" s="451"/>
      <c r="C10083" s="451" t="s">
        <v>10466</v>
      </c>
      <c r="D10083" s="451"/>
      <c r="E10083" s="451"/>
      <c r="F10083" s="451"/>
      <c r="G10083" s="451"/>
      <c r="H10083" s="451"/>
      <c r="I10083" s="451"/>
      <c r="J10083" s="451"/>
      <c r="K10083" s="451"/>
    </row>
    <row r="10084" spans="1:11">
      <c r="A10084" s="450" t="s">
        <v>16311</v>
      </c>
      <c r="B10084" s="450"/>
      <c r="C10084" s="450" t="s">
        <v>16312</v>
      </c>
      <c r="D10084" s="450"/>
      <c r="E10084" s="450"/>
      <c r="F10084" s="450"/>
      <c r="G10084" s="450" t="s">
        <v>22877</v>
      </c>
      <c r="H10084" s="450" t="s">
        <v>22878</v>
      </c>
      <c r="I10084" s="450" t="s">
        <v>38274</v>
      </c>
      <c r="J10084" s="450" t="s">
        <v>22997</v>
      </c>
      <c r="K10084" s="450"/>
    </row>
    <row r="10085" spans="1:11">
      <c r="A10085" s="451" t="s">
        <v>16313</v>
      </c>
      <c r="B10085" s="451"/>
      <c r="C10085" s="451" t="s">
        <v>16314</v>
      </c>
      <c r="D10085" s="451"/>
      <c r="E10085" s="451"/>
      <c r="F10085" s="451"/>
      <c r="G10085" s="451" t="s">
        <v>22877</v>
      </c>
      <c r="H10085" s="451" t="s">
        <v>22878</v>
      </c>
      <c r="I10085" s="451" t="s">
        <v>38275</v>
      </c>
      <c r="J10085" s="451" t="s">
        <v>22942</v>
      </c>
      <c r="K10085" s="451"/>
    </row>
    <row r="10086" spans="1:11">
      <c r="A10086" s="450" t="s">
        <v>16315</v>
      </c>
      <c r="B10086" s="450"/>
      <c r="C10086" s="450" t="s">
        <v>16316</v>
      </c>
      <c r="D10086" s="450"/>
      <c r="E10086" s="450"/>
      <c r="F10086" s="450"/>
      <c r="G10086" s="450" t="s">
        <v>22877</v>
      </c>
      <c r="H10086" s="450" t="s">
        <v>22878</v>
      </c>
      <c r="I10086" s="450" t="s">
        <v>28790</v>
      </c>
      <c r="J10086" s="450" t="s">
        <v>22942</v>
      </c>
      <c r="K10086" s="450"/>
    </row>
    <row r="10087" spans="1:11">
      <c r="A10087" s="451" t="s">
        <v>38276</v>
      </c>
      <c r="B10087" s="451"/>
      <c r="C10087" s="451" t="s">
        <v>14285</v>
      </c>
      <c r="D10087" s="451"/>
      <c r="E10087" s="451"/>
      <c r="F10087" s="451"/>
      <c r="G10087" s="451" t="s">
        <v>22877</v>
      </c>
      <c r="H10087" s="451" t="s">
        <v>22878</v>
      </c>
      <c r="I10087" s="451" t="s">
        <v>38277</v>
      </c>
      <c r="J10087" s="451" t="s">
        <v>22942</v>
      </c>
      <c r="K10087" s="451"/>
    </row>
    <row r="10088" spans="1:11">
      <c r="A10088" s="450" t="s">
        <v>16317</v>
      </c>
      <c r="B10088" s="450"/>
      <c r="C10088" s="450" t="s">
        <v>14285</v>
      </c>
      <c r="D10088" s="450"/>
      <c r="E10088" s="450"/>
      <c r="F10088" s="450"/>
      <c r="G10088" s="450"/>
      <c r="H10088" s="450"/>
      <c r="I10088" s="450"/>
      <c r="J10088" s="450"/>
      <c r="K10088" s="450"/>
    </row>
    <row r="10089" spans="1:11">
      <c r="A10089" s="451" t="s">
        <v>21943</v>
      </c>
      <c r="B10089" s="451"/>
      <c r="C10089" s="451" t="s">
        <v>16300</v>
      </c>
      <c r="D10089" s="451"/>
      <c r="E10089" s="451"/>
      <c r="F10089" s="451"/>
      <c r="G10089" s="451" t="s">
        <v>22877</v>
      </c>
      <c r="H10089" s="451" t="s">
        <v>22878</v>
      </c>
      <c r="I10089" s="451" t="s">
        <v>28791</v>
      </c>
      <c r="J10089" s="451" t="s">
        <v>22942</v>
      </c>
      <c r="K10089" s="451"/>
    </row>
    <row r="10090" spans="1:11">
      <c r="A10090" s="450" t="s">
        <v>32008</v>
      </c>
      <c r="B10090" s="450" t="s">
        <v>16301</v>
      </c>
      <c r="C10090" s="450" t="s">
        <v>16302</v>
      </c>
      <c r="D10090" s="450" t="s">
        <v>16303</v>
      </c>
      <c r="E10090" s="450"/>
      <c r="F10090" s="450"/>
      <c r="G10090" s="450" t="s">
        <v>22877</v>
      </c>
      <c r="H10090" s="450" t="s">
        <v>22878</v>
      </c>
      <c r="I10090" s="450" t="s">
        <v>16303</v>
      </c>
      <c r="J10090" s="450" t="s">
        <v>28792</v>
      </c>
      <c r="K10090" s="450"/>
    </row>
    <row r="10091" spans="1:11">
      <c r="A10091" s="451" t="s">
        <v>21944</v>
      </c>
      <c r="B10091" s="451" t="s">
        <v>16301</v>
      </c>
      <c r="C10091" s="451" t="s">
        <v>16302</v>
      </c>
      <c r="D10091" s="451" t="s">
        <v>16303</v>
      </c>
      <c r="E10091" s="451" t="s">
        <v>16304</v>
      </c>
      <c r="F10091" s="451"/>
      <c r="G10091" s="451"/>
      <c r="H10091" s="451"/>
      <c r="I10091" s="451"/>
      <c r="J10091" s="451"/>
      <c r="K10091" s="451"/>
    </row>
    <row r="10092" spans="1:11">
      <c r="A10092" s="450" t="s">
        <v>21945</v>
      </c>
      <c r="B10092" s="450"/>
      <c r="C10092" s="450" t="s">
        <v>10229</v>
      </c>
      <c r="D10092" s="450"/>
      <c r="E10092" s="450"/>
      <c r="F10092" s="450"/>
      <c r="G10092" s="450" t="s">
        <v>22882</v>
      </c>
      <c r="H10092" s="450" t="s">
        <v>22883</v>
      </c>
      <c r="I10092" s="450"/>
      <c r="J10092" s="450" t="s">
        <v>22942</v>
      </c>
      <c r="K10092" s="450"/>
    </row>
    <row r="10093" spans="1:11">
      <c r="A10093" s="451" t="s">
        <v>21946</v>
      </c>
      <c r="B10093" s="451"/>
      <c r="C10093" s="451" t="s">
        <v>2487</v>
      </c>
      <c r="D10093" s="451"/>
      <c r="E10093" s="451"/>
      <c r="F10093" s="451"/>
      <c r="G10093" s="451" t="s">
        <v>22877</v>
      </c>
      <c r="H10093" s="451" t="s">
        <v>22878</v>
      </c>
      <c r="I10093" s="451" t="s">
        <v>38278</v>
      </c>
      <c r="J10093" s="451" t="s">
        <v>23185</v>
      </c>
      <c r="K10093" s="451"/>
    </row>
    <row r="10094" spans="1:11">
      <c r="A10094" s="450" t="s">
        <v>21947</v>
      </c>
      <c r="B10094" s="450"/>
      <c r="C10094" s="450" t="s">
        <v>16305</v>
      </c>
      <c r="D10094" s="450"/>
      <c r="E10094" s="450"/>
      <c r="F10094" s="450"/>
      <c r="G10094" s="450" t="s">
        <v>22882</v>
      </c>
      <c r="H10094" s="450" t="s">
        <v>22883</v>
      </c>
      <c r="I10094" s="450"/>
      <c r="J10094" s="450" t="s">
        <v>22942</v>
      </c>
      <c r="K10094" s="450"/>
    </row>
    <row r="10095" spans="1:11">
      <c r="A10095" s="451" t="s">
        <v>21948</v>
      </c>
      <c r="B10095" s="451"/>
      <c r="C10095" s="451" t="s">
        <v>16306</v>
      </c>
      <c r="D10095" s="451"/>
      <c r="E10095" s="451"/>
      <c r="F10095" s="451"/>
      <c r="G10095" s="451" t="s">
        <v>23091</v>
      </c>
      <c r="H10095" s="451" t="s">
        <v>22878</v>
      </c>
      <c r="I10095" s="451"/>
      <c r="J10095" s="451"/>
      <c r="K10095" s="451"/>
    </row>
    <row r="10096" spans="1:11">
      <c r="A10096" s="450" t="s">
        <v>32009</v>
      </c>
      <c r="B10096" s="450" t="s">
        <v>16307</v>
      </c>
      <c r="C10096" s="450" t="s">
        <v>16308</v>
      </c>
      <c r="D10096" s="450" t="s">
        <v>16309</v>
      </c>
      <c r="E10096" s="450"/>
      <c r="F10096" s="450"/>
      <c r="G10096" s="450" t="s">
        <v>22882</v>
      </c>
      <c r="H10096" s="450" t="s">
        <v>22883</v>
      </c>
      <c r="I10096" s="450" t="s">
        <v>28793</v>
      </c>
      <c r="J10096" s="450" t="s">
        <v>28794</v>
      </c>
      <c r="K10096" s="450"/>
    </row>
    <row r="10097" spans="1:11">
      <c r="A10097" s="451" t="s">
        <v>21949</v>
      </c>
      <c r="B10097" s="451" t="s">
        <v>16307</v>
      </c>
      <c r="C10097" s="451" t="s">
        <v>16308</v>
      </c>
      <c r="D10097" s="451" t="s">
        <v>16309</v>
      </c>
      <c r="E10097" s="451" t="s">
        <v>16310</v>
      </c>
      <c r="F10097" s="451"/>
      <c r="G10097" s="451"/>
      <c r="H10097" s="451"/>
      <c r="I10097" s="451"/>
      <c r="J10097" s="451"/>
      <c r="K10097" s="451"/>
    </row>
    <row r="10098" spans="1:11">
      <c r="A10098" s="450" t="s">
        <v>16318</v>
      </c>
      <c r="B10098" s="450"/>
      <c r="C10098" s="450" t="s">
        <v>6213</v>
      </c>
      <c r="D10098" s="450"/>
      <c r="E10098" s="450"/>
      <c r="F10098" s="450"/>
      <c r="G10098" s="450"/>
      <c r="H10098" s="450"/>
      <c r="I10098" s="450"/>
      <c r="J10098" s="450"/>
      <c r="K10098" s="450"/>
    </row>
    <row r="10099" spans="1:11">
      <c r="A10099" s="451" t="s">
        <v>16319</v>
      </c>
      <c r="B10099" s="451"/>
      <c r="C10099" s="451" t="s">
        <v>1190</v>
      </c>
      <c r="D10099" s="451"/>
      <c r="E10099" s="451"/>
      <c r="F10099" s="451"/>
      <c r="G10099" s="451"/>
      <c r="H10099" s="451"/>
      <c r="I10099" s="451"/>
      <c r="J10099" s="451"/>
      <c r="K10099" s="451"/>
    </row>
    <row r="10100" spans="1:11">
      <c r="A10100" s="450" t="s">
        <v>16320</v>
      </c>
      <c r="B10100" s="450"/>
      <c r="C10100" s="450" t="s">
        <v>16321</v>
      </c>
      <c r="D10100" s="450"/>
      <c r="E10100" s="450"/>
      <c r="F10100" s="450"/>
      <c r="G10100" s="450"/>
      <c r="H10100" s="450"/>
      <c r="I10100" s="450"/>
      <c r="J10100" s="450"/>
      <c r="K10100" s="450"/>
    </row>
    <row r="10101" spans="1:11">
      <c r="A10101" s="451" t="s">
        <v>16322</v>
      </c>
      <c r="B10101" s="451"/>
      <c r="C10101" s="451" t="s">
        <v>16314</v>
      </c>
      <c r="D10101" s="451"/>
      <c r="E10101" s="451"/>
      <c r="F10101" s="451"/>
      <c r="G10101" s="451"/>
      <c r="H10101" s="451"/>
      <c r="I10101" s="451"/>
      <c r="J10101" s="451"/>
      <c r="K10101" s="451"/>
    </row>
    <row r="10102" spans="1:11">
      <c r="A10102" s="450" t="s">
        <v>21950</v>
      </c>
      <c r="B10102" s="450" t="s">
        <v>16323</v>
      </c>
      <c r="C10102" s="450" t="s">
        <v>16324</v>
      </c>
      <c r="D10102" s="450" t="s">
        <v>16325</v>
      </c>
      <c r="E10102" s="450" t="s">
        <v>16326</v>
      </c>
      <c r="F10102" s="450"/>
      <c r="G10102" s="450"/>
      <c r="H10102" s="450"/>
      <c r="I10102" s="450"/>
      <c r="J10102" s="450"/>
      <c r="K10102" s="450"/>
    </row>
    <row r="10103" spans="1:11">
      <c r="A10103" s="451" t="s">
        <v>16327</v>
      </c>
      <c r="B10103" s="451" t="s">
        <v>16328</v>
      </c>
      <c r="C10103" s="451" t="s">
        <v>16329</v>
      </c>
      <c r="D10103" s="451" t="s">
        <v>16330</v>
      </c>
      <c r="E10103" s="451"/>
      <c r="F10103" s="451"/>
      <c r="G10103" s="451"/>
      <c r="H10103" s="451"/>
      <c r="I10103" s="451"/>
      <c r="J10103" s="451"/>
      <c r="K10103" s="451"/>
    </row>
    <row r="10104" spans="1:11">
      <c r="A10104" s="450" t="s">
        <v>16331</v>
      </c>
      <c r="B10104" s="450"/>
      <c r="C10104" s="450" t="s">
        <v>2448</v>
      </c>
      <c r="D10104" s="450"/>
      <c r="E10104" s="450"/>
      <c r="F10104" s="450"/>
      <c r="G10104" s="450"/>
      <c r="H10104" s="450"/>
      <c r="I10104" s="450"/>
      <c r="J10104" s="450"/>
      <c r="K10104" s="450"/>
    </row>
    <row r="10105" spans="1:11">
      <c r="A10105" s="451" t="s">
        <v>16332</v>
      </c>
      <c r="B10105" s="451"/>
      <c r="C10105" s="451" t="s">
        <v>9401</v>
      </c>
      <c r="D10105" s="451"/>
      <c r="E10105" s="451"/>
      <c r="F10105" s="451"/>
      <c r="G10105" s="451"/>
      <c r="H10105" s="451"/>
      <c r="I10105" s="451"/>
      <c r="J10105" s="451"/>
      <c r="K10105" s="451"/>
    </row>
    <row r="10106" spans="1:11">
      <c r="A10106" s="450" t="s">
        <v>16333</v>
      </c>
      <c r="B10106" s="450"/>
      <c r="C10106" s="450" t="s">
        <v>16334</v>
      </c>
      <c r="D10106" s="450"/>
      <c r="E10106" s="450"/>
      <c r="F10106" s="450"/>
      <c r="G10106" s="450"/>
      <c r="H10106" s="450"/>
      <c r="I10106" s="450"/>
      <c r="J10106" s="450"/>
      <c r="K10106" s="450"/>
    </row>
    <row r="10107" spans="1:11">
      <c r="A10107" s="451" t="s">
        <v>16335</v>
      </c>
      <c r="B10107" s="451"/>
      <c r="C10107" s="451" t="s">
        <v>7872</v>
      </c>
      <c r="D10107" s="451"/>
      <c r="E10107" s="451"/>
      <c r="F10107" s="451"/>
      <c r="G10107" s="451"/>
      <c r="H10107" s="451"/>
      <c r="I10107" s="451"/>
      <c r="J10107" s="451"/>
      <c r="K10107" s="451"/>
    </row>
    <row r="10108" spans="1:11">
      <c r="A10108" s="450" t="s">
        <v>16336</v>
      </c>
      <c r="B10108" s="450" t="s">
        <v>16337</v>
      </c>
      <c r="C10108" s="450" t="s">
        <v>16338</v>
      </c>
      <c r="D10108" s="450" t="s">
        <v>16339</v>
      </c>
      <c r="E10108" s="450" t="s">
        <v>16340</v>
      </c>
      <c r="F10108" s="450"/>
      <c r="G10108" s="450"/>
      <c r="H10108" s="450"/>
      <c r="I10108" s="450"/>
      <c r="J10108" s="450"/>
      <c r="K10108" s="450"/>
    </row>
    <row r="10109" spans="1:11">
      <c r="A10109" s="451" t="s">
        <v>16341</v>
      </c>
      <c r="B10109" s="451"/>
      <c r="C10109" s="451" t="s">
        <v>16342</v>
      </c>
      <c r="D10109" s="451"/>
      <c r="E10109" s="451"/>
      <c r="F10109" s="451"/>
      <c r="G10109" s="451"/>
      <c r="H10109" s="451"/>
      <c r="I10109" s="451"/>
      <c r="J10109" s="451"/>
      <c r="K10109" s="451"/>
    </row>
    <row r="10110" spans="1:11">
      <c r="A10110" s="450" t="s">
        <v>16343</v>
      </c>
      <c r="B10110" s="450"/>
      <c r="C10110" s="450" t="s">
        <v>16344</v>
      </c>
      <c r="D10110" s="450"/>
      <c r="E10110" s="450"/>
      <c r="F10110" s="450"/>
      <c r="G10110" s="450"/>
      <c r="H10110" s="450"/>
      <c r="I10110" s="450"/>
      <c r="J10110" s="450"/>
      <c r="K10110" s="450"/>
    </row>
    <row r="10111" spans="1:11">
      <c r="A10111" s="451" t="s">
        <v>16345</v>
      </c>
      <c r="B10111" s="451"/>
      <c r="C10111" s="451" t="s">
        <v>16346</v>
      </c>
      <c r="D10111" s="451"/>
      <c r="E10111" s="451"/>
      <c r="F10111" s="451"/>
      <c r="G10111" s="451"/>
      <c r="H10111" s="451"/>
      <c r="I10111" s="451"/>
      <c r="J10111" s="451"/>
      <c r="K10111" s="451"/>
    </row>
    <row r="10112" spans="1:11">
      <c r="A10112" s="450" t="s">
        <v>38279</v>
      </c>
      <c r="B10112" s="450"/>
      <c r="C10112" s="450" t="s">
        <v>16346</v>
      </c>
      <c r="D10112" s="450"/>
      <c r="E10112" s="450"/>
      <c r="F10112" s="450"/>
      <c r="G10112" s="450" t="s">
        <v>22877</v>
      </c>
      <c r="H10112" s="450" t="s">
        <v>22878</v>
      </c>
      <c r="I10112" s="450" t="s">
        <v>38280</v>
      </c>
      <c r="J10112" s="450" t="s">
        <v>22942</v>
      </c>
      <c r="K10112" s="450"/>
    </row>
    <row r="10113" spans="1:11">
      <c r="A10113" s="451" t="s">
        <v>38281</v>
      </c>
      <c r="B10113" s="451"/>
      <c r="C10113" s="451" t="s">
        <v>10248</v>
      </c>
      <c r="D10113" s="451"/>
      <c r="E10113" s="451"/>
      <c r="F10113" s="451"/>
      <c r="G10113" s="451" t="s">
        <v>22882</v>
      </c>
      <c r="H10113" s="451" t="s">
        <v>22883</v>
      </c>
      <c r="I10113" s="451" t="s">
        <v>38282</v>
      </c>
      <c r="J10113" s="451" t="s">
        <v>22948</v>
      </c>
      <c r="K10113" s="451"/>
    </row>
    <row r="10114" spans="1:11">
      <c r="A10114" s="450" t="s">
        <v>16347</v>
      </c>
      <c r="B10114" s="450"/>
      <c r="C10114" s="450" t="s">
        <v>10248</v>
      </c>
      <c r="D10114" s="450"/>
      <c r="E10114" s="450"/>
      <c r="F10114" s="450"/>
      <c r="G10114" s="450"/>
      <c r="H10114" s="450"/>
      <c r="I10114" s="450"/>
      <c r="J10114" s="450"/>
      <c r="K10114" s="450"/>
    </row>
    <row r="10115" spans="1:11">
      <c r="A10115" s="451" t="s">
        <v>28795</v>
      </c>
      <c r="B10115" s="451" t="s">
        <v>28796</v>
      </c>
      <c r="C10115" s="451" t="s">
        <v>14988</v>
      </c>
      <c r="D10115" s="451"/>
      <c r="E10115" s="451"/>
      <c r="F10115" s="451"/>
      <c r="G10115" s="451" t="s">
        <v>22877</v>
      </c>
      <c r="H10115" s="451" t="s">
        <v>22878</v>
      </c>
      <c r="I10115" s="451" t="s">
        <v>28797</v>
      </c>
      <c r="J10115" s="451" t="s">
        <v>28798</v>
      </c>
      <c r="K10115" s="451"/>
    </row>
    <row r="10116" spans="1:11">
      <c r="A10116" s="450" t="s">
        <v>16348</v>
      </c>
      <c r="B10116" s="450"/>
      <c r="C10116" s="450" t="s">
        <v>6812</v>
      </c>
      <c r="D10116" s="450"/>
      <c r="E10116" s="450"/>
      <c r="F10116" s="450"/>
      <c r="G10116" s="450" t="s">
        <v>22877</v>
      </c>
      <c r="H10116" s="450" t="s">
        <v>22878</v>
      </c>
      <c r="I10116" s="450" t="s">
        <v>38283</v>
      </c>
      <c r="J10116" s="450" t="s">
        <v>22942</v>
      </c>
      <c r="K10116" s="450"/>
    </row>
    <row r="10117" spans="1:11">
      <c r="A10117" s="451" t="s">
        <v>16349</v>
      </c>
      <c r="B10117" s="451"/>
      <c r="C10117" s="451" t="s">
        <v>2212</v>
      </c>
      <c r="D10117" s="451"/>
      <c r="E10117" s="451"/>
      <c r="F10117" s="451"/>
      <c r="G10117" s="451"/>
      <c r="H10117" s="451"/>
      <c r="I10117" s="451"/>
      <c r="J10117" s="451"/>
      <c r="K10117" s="451"/>
    </row>
    <row r="10118" spans="1:11">
      <c r="A10118" s="450" t="s">
        <v>38284</v>
      </c>
      <c r="B10118" s="450"/>
      <c r="C10118" s="450" t="s">
        <v>2212</v>
      </c>
      <c r="D10118" s="450"/>
      <c r="E10118" s="450"/>
      <c r="F10118" s="450"/>
      <c r="G10118" s="450" t="s">
        <v>22877</v>
      </c>
      <c r="H10118" s="450" t="s">
        <v>22878</v>
      </c>
      <c r="I10118" s="450" t="s">
        <v>38285</v>
      </c>
      <c r="J10118" s="450" t="s">
        <v>22942</v>
      </c>
      <c r="K10118" s="450"/>
    </row>
    <row r="10119" spans="1:11">
      <c r="A10119" s="451" t="s">
        <v>16350</v>
      </c>
      <c r="B10119" s="451"/>
      <c r="C10119" s="451" t="s">
        <v>16351</v>
      </c>
      <c r="D10119" s="451"/>
      <c r="E10119" s="451"/>
      <c r="F10119" s="451"/>
      <c r="G10119" s="451" t="s">
        <v>22877</v>
      </c>
      <c r="H10119" s="451" t="s">
        <v>22878</v>
      </c>
      <c r="I10119" s="451" t="s">
        <v>38286</v>
      </c>
      <c r="J10119" s="451" t="s">
        <v>22942</v>
      </c>
      <c r="K10119" s="451"/>
    </row>
    <row r="10120" spans="1:11">
      <c r="A10120" s="450" t="s">
        <v>38287</v>
      </c>
      <c r="B10120" s="450"/>
      <c r="C10120" s="450" t="s">
        <v>7501</v>
      </c>
      <c r="D10120" s="450"/>
      <c r="E10120" s="450"/>
      <c r="F10120" s="450"/>
      <c r="G10120" s="450" t="s">
        <v>22877</v>
      </c>
      <c r="H10120" s="450" t="s">
        <v>22878</v>
      </c>
      <c r="I10120" s="450" t="s">
        <v>38288</v>
      </c>
      <c r="J10120" s="450" t="s">
        <v>22997</v>
      </c>
      <c r="K10120" s="450"/>
    </row>
    <row r="10121" spans="1:11">
      <c r="A10121" s="451" t="s">
        <v>16352</v>
      </c>
      <c r="B10121" s="451"/>
      <c r="C10121" s="451" t="s">
        <v>7501</v>
      </c>
      <c r="D10121" s="451"/>
      <c r="E10121" s="451"/>
      <c r="F10121" s="451"/>
      <c r="G10121" s="451"/>
      <c r="H10121" s="451"/>
      <c r="I10121" s="451"/>
      <c r="J10121" s="451"/>
      <c r="K10121" s="451"/>
    </row>
    <row r="10122" spans="1:11">
      <c r="A10122" s="450" t="s">
        <v>16353</v>
      </c>
      <c r="B10122" s="450"/>
      <c r="C10122" s="450" t="s">
        <v>16354</v>
      </c>
      <c r="D10122" s="450"/>
      <c r="E10122" s="450"/>
      <c r="F10122" s="450"/>
      <c r="G10122" s="450" t="s">
        <v>22877</v>
      </c>
      <c r="H10122" s="450" t="s">
        <v>22878</v>
      </c>
      <c r="I10122" s="450" t="s">
        <v>38289</v>
      </c>
      <c r="J10122" s="450" t="s">
        <v>23185</v>
      </c>
      <c r="K10122" s="450"/>
    </row>
    <row r="10123" spans="1:11">
      <c r="A10123" s="451" t="s">
        <v>16355</v>
      </c>
      <c r="B10123" s="451"/>
      <c r="C10123" s="451" t="s">
        <v>2928</v>
      </c>
      <c r="D10123" s="451"/>
      <c r="E10123" s="451"/>
      <c r="F10123" s="451"/>
      <c r="G10123" s="451" t="s">
        <v>22882</v>
      </c>
      <c r="H10123" s="451" t="s">
        <v>22883</v>
      </c>
      <c r="I10123" s="451"/>
      <c r="J10123" s="451" t="s">
        <v>22997</v>
      </c>
      <c r="K10123" s="451"/>
    </row>
    <row r="10124" spans="1:11">
      <c r="A10124" s="450" t="s">
        <v>38290</v>
      </c>
      <c r="B10124" s="450"/>
      <c r="C10124" s="450" t="s">
        <v>38291</v>
      </c>
      <c r="D10124" s="450"/>
      <c r="E10124" s="450"/>
      <c r="F10124" s="450"/>
      <c r="G10124" s="450" t="s">
        <v>22877</v>
      </c>
      <c r="H10124" s="450" t="s">
        <v>22878</v>
      </c>
      <c r="I10124" s="450" t="s">
        <v>38292</v>
      </c>
      <c r="J10124" s="450" t="s">
        <v>22997</v>
      </c>
      <c r="K10124" s="450"/>
    </row>
    <row r="10125" spans="1:11">
      <c r="A10125" s="451" t="s">
        <v>16356</v>
      </c>
      <c r="B10125" s="451"/>
      <c r="C10125" s="451" t="s">
        <v>16357</v>
      </c>
      <c r="D10125" s="451"/>
      <c r="E10125" s="451"/>
      <c r="F10125" s="451"/>
      <c r="G10125" s="451"/>
      <c r="H10125" s="451"/>
      <c r="I10125" s="451"/>
      <c r="J10125" s="451"/>
      <c r="K10125" s="451"/>
    </row>
    <row r="10126" spans="1:11">
      <c r="A10126" s="450" t="s">
        <v>16358</v>
      </c>
      <c r="B10126" s="450" t="s">
        <v>16359</v>
      </c>
      <c r="C10126" s="450" t="s">
        <v>16360</v>
      </c>
      <c r="D10126" s="450" t="s">
        <v>16361</v>
      </c>
      <c r="E10126" s="450"/>
      <c r="F10126" s="450"/>
      <c r="G10126" s="450" t="s">
        <v>22877</v>
      </c>
      <c r="H10126" s="450" t="s">
        <v>22878</v>
      </c>
      <c r="I10126" s="450" t="s">
        <v>38293</v>
      </c>
      <c r="J10126" s="450" t="s">
        <v>38294</v>
      </c>
      <c r="K10126" s="450"/>
    </row>
    <row r="10127" spans="1:11">
      <c r="A10127" s="451" t="s">
        <v>16358</v>
      </c>
      <c r="B10127" s="451" t="s">
        <v>16359</v>
      </c>
      <c r="C10127" s="451" t="s">
        <v>16360</v>
      </c>
      <c r="D10127" s="451" t="s">
        <v>16361</v>
      </c>
      <c r="E10127" s="451" t="s">
        <v>16362</v>
      </c>
      <c r="F10127" s="451"/>
      <c r="G10127" s="451"/>
      <c r="H10127" s="451"/>
      <c r="I10127" s="451"/>
      <c r="J10127" s="451"/>
      <c r="K10127" s="451"/>
    </row>
    <row r="10128" spans="1:11">
      <c r="A10128" s="450" t="s">
        <v>16363</v>
      </c>
      <c r="B10128" s="450" t="s">
        <v>16364</v>
      </c>
      <c r="C10128" s="450" t="s">
        <v>16365</v>
      </c>
      <c r="D10128" s="450"/>
      <c r="E10128" s="450"/>
      <c r="F10128" s="450" t="s">
        <v>16366</v>
      </c>
      <c r="G10128" s="450" t="s">
        <v>22877</v>
      </c>
      <c r="H10128" s="450" t="s">
        <v>22878</v>
      </c>
      <c r="I10128" s="450" t="s">
        <v>28799</v>
      </c>
      <c r="J10128" s="450" t="s">
        <v>28800</v>
      </c>
      <c r="K10128" s="450"/>
    </row>
    <row r="10129" spans="1:11">
      <c r="A10129" s="451" t="s">
        <v>16367</v>
      </c>
      <c r="B10129" s="451" t="s">
        <v>28801</v>
      </c>
      <c r="C10129" s="451" t="s">
        <v>16369</v>
      </c>
      <c r="D10129" s="451"/>
      <c r="E10129" s="451"/>
      <c r="F10129" s="451"/>
      <c r="G10129" s="451" t="s">
        <v>22877</v>
      </c>
      <c r="H10129" s="451" t="s">
        <v>22878</v>
      </c>
      <c r="I10129" s="451" t="s">
        <v>28802</v>
      </c>
      <c r="J10129" s="451" t="s">
        <v>28803</v>
      </c>
      <c r="K10129" s="451"/>
    </row>
    <row r="10130" spans="1:11">
      <c r="A10130" s="450" t="s">
        <v>16367</v>
      </c>
      <c r="B10130" s="450" t="s">
        <v>16368</v>
      </c>
      <c r="C10130" s="450" t="s">
        <v>16369</v>
      </c>
      <c r="D10130" s="450"/>
      <c r="E10130" s="450"/>
      <c r="F10130" s="450"/>
      <c r="G10130" s="450"/>
      <c r="H10130" s="450"/>
      <c r="I10130" s="450"/>
      <c r="J10130" s="450"/>
      <c r="K10130" s="450"/>
    </row>
    <row r="10131" spans="1:11">
      <c r="A10131" s="451" t="s">
        <v>16370</v>
      </c>
      <c r="B10131" s="451"/>
      <c r="C10131" s="451" t="s">
        <v>16371</v>
      </c>
      <c r="D10131" s="451"/>
      <c r="E10131" s="451"/>
      <c r="F10131" s="451"/>
      <c r="G10131" s="451" t="s">
        <v>22882</v>
      </c>
      <c r="H10131" s="451" t="s">
        <v>22883</v>
      </c>
      <c r="I10131" s="451"/>
      <c r="J10131" s="451" t="s">
        <v>22942</v>
      </c>
      <c r="K10131" s="451"/>
    </row>
    <row r="10132" spans="1:11">
      <c r="A10132" s="450" t="s">
        <v>38295</v>
      </c>
      <c r="B10132" s="450"/>
      <c r="C10132" s="450" t="s">
        <v>16373</v>
      </c>
      <c r="D10132" s="450"/>
      <c r="E10132" s="450"/>
      <c r="F10132" s="450"/>
      <c r="G10132" s="450" t="s">
        <v>22877</v>
      </c>
      <c r="H10132" s="450" t="s">
        <v>22878</v>
      </c>
      <c r="I10132" s="450" t="s">
        <v>38296</v>
      </c>
      <c r="J10132" s="450" t="s">
        <v>22942</v>
      </c>
      <c r="K10132" s="450"/>
    </row>
    <row r="10133" spans="1:11">
      <c r="A10133" s="451" t="s">
        <v>16372</v>
      </c>
      <c r="B10133" s="451"/>
      <c r="C10133" s="451" t="s">
        <v>16373</v>
      </c>
      <c r="D10133" s="451"/>
      <c r="E10133" s="451"/>
      <c r="F10133" s="451"/>
      <c r="G10133" s="451"/>
      <c r="H10133" s="451"/>
      <c r="I10133" s="451"/>
      <c r="J10133" s="451"/>
      <c r="K10133" s="451"/>
    </row>
    <row r="10134" spans="1:11">
      <c r="A10134" s="450" t="s">
        <v>16374</v>
      </c>
      <c r="B10134" s="450"/>
      <c r="C10134" s="450" t="s">
        <v>16375</v>
      </c>
      <c r="D10134" s="450"/>
      <c r="E10134" s="450"/>
      <c r="F10134" s="450"/>
      <c r="G10134" s="450" t="s">
        <v>22877</v>
      </c>
      <c r="H10134" s="450" t="s">
        <v>22878</v>
      </c>
      <c r="I10134" s="450" t="s">
        <v>38296</v>
      </c>
      <c r="J10134" s="450" t="s">
        <v>23185</v>
      </c>
      <c r="K10134" s="450"/>
    </row>
    <row r="10135" spans="1:11">
      <c r="A10135" s="451" t="s">
        <v>16376</v>
      </c>
      <c r="B10135" s="451"/>
      <c r="C10135" s="451" t="s">
        <v>16377</v>
      </c>
      <c r="D10135" s="451"/>
      <c r="E10135" s="451"/>
      <c r="F10135" s="451"/>
      <c r="G10135" s="451" t="s">
        <v>22882</v>
      </c>
      <c r="H10135" s="451" t="s">
        <v>22883</v>
      </c>
      <c r="I10135" s="451"/>
      <c r="J10135" s="451" t="s">
        <v>23185</v>
      </c>
      <c r="K10135" s="451"/>
    </row>
    <row r="10136" spans="1:11">
      <c r="A10136" s="450" t="s">
        <v>16378</v>
      </c>
      <c r="B10136" s="450"/>
      <c r="C10136" s="450" t="s">
        <v>16379</v>
      </c>
      <c r="D10136" s="450"/>
      <c r="E10136" s="450"/>
      <c r="F10136" s="450"/>
      <c r="G10136" s="450" t="s">
        <v>22877</v>
      </c>
      <c r="H10136" s="450" t="s">
        <v>22878</v>
      </c>
      <c r="I10136" s="450" t="s">
        <v>38297</v>
      </c>
      <c r="J10136" s="450" t="s">
        <v>22942</v>
      </c>
      <c r="K10136" s="450"/>
    </row>
    <row r="10137" spans="1:11">
      <c r="A10137" s="451" t="s">
        <v>38298</v>
      </c>
      <c r="B10137" s="451"/>
      <c r="C10137" s="451" t="s">
        <v>10767</v>
      </c>
      <c r="D10137" s="451"/>
      <c r="E10137" s="451"/>
      <c r="F10137" s="451"/>
      <c r="G10137" s="451" t="s">
        <v>22882</v>
      </c>
      <c r="H10137" s="451" t="s">
        <v>22883</v>
      </c>
      <c r="I10137" s="451" t="s">
        <v>38299</v>
      </c>
      <c r="J10137" s="451" t="s">
        <v>22997</v>
      </c>
      <c r="K10137" s="451"/>
    </row>
    <row r="10138" spans="1:11">
      <c r="A10138" s="450" t="s">
        <v>16380</v>
      </c>
      <c r="B10138" s="450"/>
      <c r="C10138" s="450" t="s">
        <v>10767</v>
      </c>
      <c r="D10138" s="450"/>
      <c r="E10138" s="450"/>
      <c r="F10138" s="450"/>
      <c r="G10138" s="450"/>
      <c r="H10138" s="450"/>
      <c r="I10138" s="450"/>
      <c r="J10138" s="450"/>
      <c r="K10138" s="450"/>
    </row>
    <row r="10139" spans="1:11">
      <c r="A10139" s="451" t="s">
        <v>38300</v>
      </c>
      <c r="B10139" s="451"/>
      <c r="C10139" s="451" t="s">
        <v>16382</v>
      </c>
      <c r="D10139" s="451"/>
      <c r="E10139" s="451"/>
      <c r="F10139" s="451"/>
      <c r="G10139" s="451" t="s">
        <v>22882</v>
      </c>
      <c r="H10139" s="451" t="s">
        <v>22883</v>
      </c>
      <c r="I10139" s="451"/>
      <c r="J10139" s="451" t="s">
        <v>23185</v>
      </c>
      <c r="K10139" s="451"/>
    </row>
    <row r="10140" spans="1:11">
      <c r="A10140" s="450" t="s">
        <v>16381</v>
      </c>
      <c r="B10140" s="450"/>
      <c r="C10140" s="450" t="s">
        <v>16382</v>
      </c>
      <c r="D10140" s="450"/>
      <c r="E10140" s="450"/>
      <c r="F10140" s="450"/>
      <c r="G10140" s="450"/>
      <c r="H10140" s="450"/>
      <c r="I10140" s="450"/>
      <c r="J10140" s="450"/>
      <c r="K10140" s="450"/>
    </row>
    <row r="10141" spans="1:11">
      <c r="A10141" s="451" t="s">
        <v>21951</v>
      </c>
      <c r="B10141" s="451"/>
      <c r="C10141" s="451" t="s">
        <v>16383</v>
      </c>
      <c r="D10141" s="451"/>
      <c r="E10141" s="451"/>
      <c r="F10141" s="451"/>
      <c r="G10141" s="451" t="s">
        <v>22877</v>
      </c>
      <c r="H10141" s="451" t="s">
        <v>22878</v>
      </c>
      <c r="I10141" s="451" t="s">
        <v>28804</v>
      </c>
      <c r="J10141" s="451" t="s">
        <v>22939</v>
      </c>
      <c r="K10141" s="451"/>
    </row>
    <row r="10142" spans="1:11">
      <c r="A10142" s="450" t="s">
        <v>28805</v>
      </c>
      <c r="B10142" s="450" t="s">
        <v>16385</v>
      </c>
      <c r="C10142" s="450" t="s">
        <v>16386</v>
      </c>
      <c r="D10142" s="450" t="s">
        <v>16387</v>
      </c>
      <c r="E10142" s="450"/>
      <c r="F10142" s="450"/>
      <c r="G10142" s="450" t="s">
        <v>22877</v>
      </c>
      <c r="H10142" s="450" t="s">
        <v>22878</v>
      </c>
      <c r="I10142" s="450" t="s">
        <v>16387</v>
      </c>
      <c r="J10142" s="450" t="s">
        <v>28806</v>
      </c>
      <c r="K10142" s="450"/>
    </row>
    <row r="10143" spans="1:11">
      <c r="A10143" s="451" t="s">
        <v>16384</v>
      </c>
      <c r="B10143" s="451" t="s">
        <v>16385</v>
      </c>
      <c r="C10143" s="451" t="s">
        <v>16386</v>
      </c>
      <c r="D10143" s="451" t="s">
        <v>16387</v>
      </c>
      <c r="E10143" s="451" t="s">
        <v>16388</v>
      </c>
      <c r="F10143" s="451"/>
      <c r="G10143" s="451"/>
      <c r="H10143" s="451"/>
      <c r="I10143" s="451"/>
      <c r="J10143" s="451"/>
      <c r="K10143" s="451"/>
    </row>
    <row r="10144" spans="1:11">
      <c r="A10144" s="450" t="s">
        <v>16389</v>
      </c>
      <c r="B10144" s="450"/>
      <c r="C10144" s="450" t="s">
        <v>1229</v>
      </c>
      <c r="D10144" s="450"/>
      <c r="E10144" s="450"/>
      <c r="F10144" s="450"/>
      <c r="G10144" s="450" t="s">
        <v>23108</v>
      </c>
      <c r="H10144" s="450" t="s">
        <v>22878</v>
      </c>
      <c r="I10144" s="450"/>
      <c r="J10144" s="450"/>
      <c r="K10144" s="450" t="s">
        <v>23726</v>
      </c>
    </row>
    <row r="10145" spans="1:11">
      <c r="A10145" s="451" t="s">
        <v>38301</v>
      </c>
      <c r="B10145" s="451" t="s">
        <v>16390</v>
      </c>
      <c r="C10145" s="451" t="s">
        <v>16391</v>
      </c>
      <c r="D10145" s="451"/>
      <c r="E10145" s="451"/>
      <c r="F10145" s="451"/>
      <c r="G10145" s="451" t="s">
        <v>22877</v>
      </c>
      <c r="H10145" s="451" t="s">
        <v>22878</v>
      </c>
      <c r="I10145" s="451" t="s">
        <v>38302</v>
      </c>
      <c r="J10145" s="451" t="s">
        <v>38303</v>
      </c>
      <c r="K10145" s="451"/>
    </row>
    <row r="10146" spans="1:11">
      <c r="A10146" s="450" t="s">
        <v>21952</v>
      </c>
      <c r="B10146" s="450" t="s">
        <v>16390</v>
      </c>
      <c r="C10146" s="450" t="s">
        <v>16391</v>
      </c>
      <c r="D10146" s="450"/>
      <c r="E10146" s="450"/>
      <c r="F10146" s="450"/>
      <c r="G10146" s="450"/>
      <c r="H10146" s="450"/>
      <c r="I10146" s="450"/>
      <c r="J10146" s="450"/>
      <c r="K10146" s="450"/>
    </row>
    <row r="10147" spans="1:11">
      <c r="A10147" s="451" t="s">
        <v>38304</v>
      </c>
      <c r="B10147" s="451"/>
      <c r="C10147" s="451" t="s">
        <v>16393</v>
      </c>
      <c r="D10147" s="451"/>
      <c r="E10147" s="451"/>
      <c r="F10147" s="451"/>
      <c r="G10147" s="451" t="s">
        <v>22877</v>
      </c>
      <c r="H10147" s="451" t="s">
        <v>22878</v>
      </c>
      <c r="I10147" s="451" t="s">
        <v>38305</v>
      </c>
      <c r="J10147" s="451" t="s">
        <v>22942</v>
      </c>
      <c r="K10147" s="451"/>
    </row>
    <row r="10148" spans="1:11">
      <c r="A10148" s="450" t="s">
        <v>16392</v>
      </c>
      <c r="B10148" s="450"/>
      <c r="C10148" s="450" t="s">
        <v>16393</v>
      </c>
      <c r="D10148" s="450"/>
      <c r="E10148" s="450"/>
      <c r="F10148" s="450"/>
      <c r="G10148" s="450"/>
      <c r="H10148" s="450"/>
      <c r="I10148" s="450"/>
      <c r="J10148" s="450"/>
      <c r="K10148" s="450"/>
    </row>
    <row r="10149" spans="1:11">
      <c r="A10149" s="451" t="s">
        <v>16394</v>
      </c>
      <c r="B10149" s="451"/>
      <c r="C10149" s="451" t="s">
        <v>4942</v>
      </c>
      <c r="D10149" s="451"/>
      <c r="E10149" s="451"/>
      <c r="F10149" s="451"/>
      <c r="G10149" s="451"/>
      <c r="H10149" s="451"/>
      <c r="I10149" s="451"/>
      <c r="J10149" s="451"/>
      <c r="K10149" s="451"/>
    </row>
    <row r="10150" spans="1:11">
      <c r="A10150" s="450" t="s">
        <v>38306</v>
      </c>
      <c r="B10150" s="450"/>
      <c r="C10150" s="450" t="s">
        <v>4942</v>
      </c>
      <c r="D10150" s="450"/>
      <c r="E10150" s="450"/>
      <c r="F10150" s="450"/>
      <c r="G10150" s="450" t="s">
        <v>22882</v>
      </c>
      <c r="H10150" s="450" t="s">
        <v>22883</v>
      </c>
      <c r="I10150" s="450" t="s">
        <v>38307</v>
      </c>
      <c r="J10150" s="450" t="s">
        <v>22942</v>
      </c>
      <c r="K10150" s="450"/>
    </row>
    <row r="10151" spans="1:11">
      <c r="A10151" s="451" t="s">
        <v>16395</v>
      </c>
      <c r="B10151" s="451"/>
      <c r="C10151" s="451" t="s">
        <v>7054</v>
      </c>
      <c r="D10151" s="451"/>
      <c r="E10151" s="451"/>
      <c r="F10151" s="451"/>
      <c r="G10151" s="451" t="s">
        <v>22882</v>
      </c>
      <c r="H10151" s="451" t="s">
        <v>22883</v>
      </c>
      <c r="I10151" s="451" t="s">
        <v>28807</v>
      </c>
      <c r="J10151" s="451" t="s">
        <v>23185</v>
      </c>
      <c r="K10151" s="451"/>
    </row>
    <row r="10152" spans="1:11">
      <c r="A10152" s="450" t="s">
        <v>28808</v>
      </c>
      <c r="B10152" s="450" t="s">
        <v>28809</v>
      </c>
      <c r="C10152" s="450" t="s">
        <v>28810</v>
      </c>
      <c r="D10152" s="450" t="s">
        <v>28811</v>
      </c>
      <c r="E10152" s="450"/>
      <c r="F10152" s="450"/>
      <c r="G10152" s="450" t="s">
        <v>22877</v>
      </c>
      <c r="H10152" s="450" t="s">
        <v>22878</v>
      </c>
      <c r="I10152" s="450" t="s">
        <v>28811</v>
      </c>
      <c r="J10152" s="450" t="s">
        <v>28812</v>
      </c>
      <c r="K10152" s="450"/>
    </row>
    <row r="10153" spans="1:11">
      <c r="A10153" s="451" t="s">
        <v>16396</v>
      </c>
      <c r="B10153" s="451"/>
      <c r="C10153" s="451" t="s">
        <v>16397</v>
      </c>
      <c r="D10153" s="451"/>
      <c r="E10153" s="451"/>
      <c r="F10153" s="451"/>
      <c r="G10153" s="451" t="s">
        <v>22882</v>
      </c>
      <c r="H10153" s="451" t="s">
        <v>22883</v>
      </c>
      <c r="I10153" s="451"/>
      <c r="J10153" s="451" t="s">
        <v>23185</v>
      </c>
      <c r="K10153" s="451"/>
    </row>
    <row r="10154" spans="1:11">
      <c r="A10154" s="450" t="s">
        <v>38308</v>
      </c>
      <c r="B10154" s="450"/>
      <c r="C10154" s="450" t="s">
        <v>9532</v>
      </c>
      <c r="D10154" s="450"/>
      <c r="E10154" s="450"/>
      <c r="F10154" s="450"/>
      <c r="G10154" s="450" t="s">
        <v>22877</v>
      </c>
      <c r="H10154" s="450" t="s">
        <v>22878</v>
      </c>
      <c r="I10154" s="450" t="s">
        <v>38309</v>
      </c>
      <c r="J10154" s="450" t="s">
        <v>22942</v>
      </c>
      <c r="K10154" s="450"/>
    </row>
    <row r="10155" spans="1:11">
      <c r="A10155" s="451" t="s">
        <v>16398</v>
      </c>
      <c r="B10155" s="451"/>
      <c r="C10155" s="451" t="s">
        <v>9532</v>
      </c>
      <c r="D10155" s="451"/>
      <c r="E10155" s="451"/>
      <c r="F10155" s="451"/>
      <c r="G10155" s="451"/>
      <c r="H10155" s="451"/>
      <c r="I10155" s="451"/>
      <c r="J10155" s="451"/>
      <c r="K10155" s="451"/>
    </row>
    <row r="10156" spans="1:11">
      <c r="A10156" s="450" t="s">
        <v>28813</v>
      </c>
      <c r="B10156" s="450" t="s">
        <v>16400</v>
      </c>
      <c r="C10156" s="450" t="s">
        <v>16401</v>
      </c>
      <c r="D10156" s="450" t="s">
        <v>16402</v>
      </c>
      <c r="E10156" s="450"/>
      <c r="F10156" s="450"/>
      <c r="G10156" s="450" t="s">
        <v>22877</v>
      </c>
      <c r="H10156" s="450" t="s">
        <v>22878</v>
      </c>
      <c r="I10156" s="450" t="s">
        <v>23868</v>
      </c>
      <c r="J10156" s="450" t="s">
        <v>28814</v>
      </c>
      <c r="K10156" s="450"/>
    </row>
    <row r="10157" spans="1:11">
      <c r="A10157" s="451" t="s">
        <v>16399</v>
      </c>
      <c r="B10157" s="451" t="s">
        <v>16400</v>
      </c>
      <c r="C10157" s="451" t="s">
        <v>16401</v>
      </c>
      <c r="D10157" s="451" t="s">
        <v>16402</v>
      </c>
      <c r="E10157" s="451"/>
      <c r="F10157" s="451"/>
      <c r="G10157" s="451"/>
      <c r="H10157" s="451"/>
      <c r="I10157" s="451"/>
      <c r="J10157" s="451"/>
      <c r="K10157" s="451"/>
    </row>
    <row r="10158" spans="1:11">
      <c r="A10158" s="450" t="s">
        <v>21953</v>
      </c>
      <c r="B10158" s="450"/>
      <c r="C10158" s="450" t="s">
        <v>16403</v>
      </c>
      <c r="D10158" s="450"/>
      <c r="E10158" s="450"/>
      <c r="F10158" s="450"/>
      <c r="G10158" s="450" t="s">
        <v>22882</v>
      </c>
      <c r="H10158" s="450" t="s">
        <v>22883</v>
      </c>
      <c r="I10158" s="450"/>
      <c r="J10158" s="450" t="s">
        <v>22939</v>
      </c>
      <c r="K10158" s="450"/>
    </row>
    <row r="10159" spans="1:11">
      <c r="A10159" s="451" t="s">
        <v>16404</v>
      </c>
      <c r="B10159" s="451" t="s">
        <v>16405</v>
      </c>
      <c r="C10159" s="451" t="s">
        <v>4691</v>
      </c>
      <c r="D10159" s="451">
        <v>6623284000</v>
      </c>
      <c r="E10159" s="451"/>
      <c r="F10159" s="451"/>
      <c r="G10159" s="451" t="s">
        <v>22882</v>
      </c>
      <c r="H10159" s="451" t="s">
        <v>22883</v>
      </c>
      <c r="I10159" s="451" t="s">
        <v>28815</v>
      </c>
      <c r="J10159" s="451" t="s">
        <v>28816</v>
      </c>
      <c r="K10159" s="451"/>
    </row>
    <row r="10160" spans="1:11">
      <c r="A10160" s="450" t="s">
        <v>16404</v>
      </c>
      <c r="B10160" s="450" t="s">
        <v>16405</v>
      </c>
      <c r="C10160" s="450" t="s">
        <v>4691</v>
      </c>
      <c r="D10160" s="450">
        <v>6623284000</v>
      </c>
      <c r="E10160" s="450" t="s">
        <v>16406</v>
      </c>
      <c r="F10160" s="450"/>
      <c r="G10160" s="450"/>
      <c r="H10160" s="450"/>
      <c r="I10160" s="450"/>
      <c r="J10160" s="450"/>
      <c r="K10160" s="450"/>
    </row>
    <row r="10161" spans="1:11">
      <c r="A10161" s="451" t="s">
        <v>21954</v>
      </c>
      <c r="B10161" s="451"/>
      <c r="C10161" s="451" t="s">
        <v>16407</v>
      </c>
      <c r="D10161" s="451"/>
      <c r="E10161" s="451"/>
      <c r="F10161" s="451"/>
      <c r="G10161" s="451" t="s">
        <v>22882</v>
      </c>
      <c r="H10161" s="451" t="s">
        <v>22883</v>
      </c>
      <c r="I10161" s="451"/>
      <c r="J10161" s="451" t="s">
        <v>23185</v>
      </c>
      <c r="K10161" s="451"/>
    </row>
    <row r="10162" spans="1:11">
      <c r="A10162" s="450" t="s">
        <v>16408</v>
      </c>
      <c r="B10162" s="450"/>
      <c r="C10162" s="450" t="s">
        <v>16409</v>
      </c>
      <c r="D10162" s="450"/>
      <c r="E10162" s="450"/>
      <c r="F10162" s="450"/>
      <c r="G10162" s="450" t="s">
        <v>22877</v>
      </c>
      <c r="H10162" s="450" t="s">
        <v>22878</v>
      </c>
      <c r="I10162" s="450" t="s">
        <v>38310</v>
      </c>
      <c r="J10162" s="450" t="s">
        <v>22939</v>
      </c>
      <c r="K10162" s="450"/>
    </row>
    <row r="10163" spans="1:11">
      <c r="A10163" s="451" t="s">
        <v>16410</v>
      </c>
      <c r="B10163" s="451"/>
      <c r="C10163" s="451" t="s">
        <v>6568</v>
      </c>
      <c r="D10163" s="451"/>
      <c r="E10163" s="451"/>
      <c r="F10163" s="451"/>
      <c r="G10163" s="451" t="s">
        <v>22877</v>
      </c>
      <c r="H10163" s="451" t="s">
        <v>22878</v>
      </c>
      <c r="I10163" s="451" t="s">
        <v>28817</v>
      </c>
      <c r="J10163" s="451" t="s">
        <v>22942</v>
      </c>
      <c r="K10163" s="451"/>
    </row>
    <row r="10164" spans="1:11">
      <c r="A10164" s="450" t="s">
        <v>16411</v>
      </c>
      <c r="B10164" s="450" t="s">
        <v>16412</v>
      </c>
      <c r="C10164" s="450" t="s">
        <v>16413</v>
      </c>
      <c r="D10164" s="450" t="s">
        <v>16414</v>
      </c>
      <c r="E10164" s="450"/>
      <c r="F10164" s="450"/>
      <c r="G10164" s="450" t="s">
        <v>22877</v>
      </c>
      <c r="H10164" s="450" t="s">
        <v>22878</v>
      </c>
      <c r="I10164" s="450" t="s">
        <v>16414</v>
      </c>
      <c r="J10164" s="450" t="s">
        <v>38311</v>
      </c>
      <c r="K10164" s="450"/>
    </row>
    <row r="10165" spans="1:11">
      <c r="A10165" s="451" t="s">
        <v>16411</v>
      </c>
      <c r="B10165" s="451" t="s">
        <v>16412</v>
      </c>
      <c r="C10165" s="451" t="s">
        <v>16413</v>
      </c>
      <c r="D10165" s="451" t="s">
        <v>16414</v>
      </c>
      <c r="E10165" s="451" t="s">
        <v>16415</v>
      </c>
      <c r="F10165" s="451"/>
      <c r="G10165" s="451"/>
      <c r="H10165" s="451"/>
      <c r="I10165" s="451"/>
      <c r="J10165" s="451"/>
      <c r="K10165" s="451"/>
    </row>
    <row r="10166" spans="1:11">
      <c r="A10166" s="450" t="s">
        <v>16416</v>
      </c>
      <c r="B10166" s="450"/>
      <c r="C10166" s="450" t="s">
        <v>7237</v>
      </c>
      <c r="D10166" s="450"/>
      <c r="E10166" s="450"/>
      <c r="F10166" s="450"/>
      <c r="G10166" s="450" t="s">
        <v>22877</v>
      </c>
      <c r="H10166" s="450" t="s">
        <v>22878</v>
      </c>
      <c r="I10166" s="450" t="s">
        <v>28818</v>
      </c>
      <c r="J10166" s="450" t="s">
        <v>22939</v>
      </c>
      <c r="K10166" s="450"/>
    </row>
    <row r="10167" spans="1:11">
      <c r="A10167" s="451" t="s">
        <v>28819</v>
      </c>
      <c r="B10167" s="451" t="s">
        <v>28820</v>
      </c>
      <c r="C10167" s="451" t="s">
        <v>28821</v>
      </c>
      <c r="D10167" s="451"/>
      <c r="E10167" s="451"/>
      <c r="F10167" s="451"/>
      <c r="G10167" s="451" t="s">
        <v>22877</v>
      </c>
      <c r="H10167" s="451" t="s">
        <v>22878</v>
      </c>
      <c r="I10167" s="451" t="s">
        <v>28790</v>
      </c>
      <c r="J10167" s="451" t="s">
        <v>28822</v>
      </c>
      <c r="K10167" s="451"/>
    </row>
    <row r="10168" spans="1:11">
      <c r="A10168" s="450" t="s">
        <v>16417</v>
      </c>
      <c r="B10168" s="450"/>
      <c r="C10168" s="450" t="s">
        <v>16418</v>
      </c>
      <c r="D10168" s="450"/>
      <c r="E10168" s="450"/>
      <c r="F10168" s="450"/>
      <c r="G10168" s="450" t="s">
        <v>22877</v>
      </c>
      <c r="H10168" s="450" t="s">
        <v>22878</v>
      </c>
      <c r="I10168" s="450" t="s">
        <v>28823</v>
      </c>
      <c r="J10168" s="450" t="s">
        <v>22942</v>
      </c>
      <c r="K10168" s="450"/>
    </row>
    <row r="10169" spans="1:11">
      <c r="A10169" s="451" t="s">
        <v>38312</v>
      </c>
      <c r="B10169" s="451" t="s">
        <v>16420</v>
      </c>
      <c r="C10169" s="451" t="s">
        <v>16421</v>
      </c>
      <c r="D10169" s="451" t="s">
        <v>16422</v>
      </c>
      <c r="E10169" s="451"/>
      <c r="F10169" s="451"/>
      <c r="G10169" s="451" t="s">
        <v>22877</v>
      </c>
      <c r="H10169" s="451" t="s">
        <v>22878</v>
      </c>
      <c r="I10169" s="451" t="s">
        <v>16422</v>
      </c>
      <c r="J10169" s="451" t="s">
        <v>38313</v>
      </c>
      <c r="K10169" s="451"/>
    </row>
    <row r="10170" spans="1:11">
      <c r="A10170" s="450" t="s">
        <v>16419</v>
      </c>
      <c r="B10170" s="450" t="s">
        <v>16420</v>
      </c>
      <c r="C10170" s="450" t="s">
        <v>16421</v>
      </c>
      <c r="D10170" s="450" t="s">
        <v>16422</v>
      </c>
      <c r="E10170" s="450" t="s">
        <v>16423</v>
      </c>
      <c r="F10170" s="450"/>
      <c r="G10170" s="450"/>
      <c r="H10170" s="450"/>
      <c r="I10170" s="450"/>
      <c r="J10170" s="450"/>
      <c r="K10170" s="450"/>
    </row>
    <row r="10171" spans="1:11">
      <c r="A10171" s="451" t="s">
        <v>16424</v>
      </c>
      <c r="B10171" s="451" t="s">
        <v>16425</v>
      </c>
      <c r="C10171" s="451" t="s">
        <v>16426</v>
      </c>
      <c r="D10171" s="451" t="s">
        <v>16427</v>
      </c>
      <c r="E10171" s="451"/>
      <c r="F10171" s="451"/>
      <c r="G10171" s="451" t="s">
        <v>22877</v>
      </c>
      <c r="H10171" s="451" t="s">
        <v>22878</v>
      </c>
      <c r="I10171" s="451" t="s">
        <v>16427</v>
      </c>
      <c r="J10171" s="451" t="s">
        <v>38314</v>
      </c>
      <c r="K10171" s="451"/>
    </row>
    <row r="10172" spans="1:11">
      <c r="A10172" s="450" t="s">
        <v>16424</v>
      </c>
      <c r="B10172" s="450" t="s">
        <v>16425</v>
      </c>
      <c r="C10172" s="450" t="s">
        <v>16426</v>
      </c>
      <c r="D10172" s="450" t="s">
        <v>16427</v>
      </c>
      <c r="E10172" s="450" t="s">
        <v>16428</v>
      </c>
      <c r="F10172" s="450"/>
      <c r="G10172" s="450"/>
      <c r="H10172" s="450"/>
      <c r="I10172" s="450"/>
      <c r="J10172" s="450"/>
      <c r="K10172" s="450"/>
    </row>
    <row r="10173" spans="1:11">
      <c r="A10173" s="451" t="s">
        <v>21955</v>
      </c>
      <c r="B10173" s="451"/>
      <c r="C10173" s="451" t="s">
        <v>16429</v>
      </c>
      <c r="D10173" s="451"/>
      <c r="E10173" s="451"/>
      <c r="F10173" s="451"/>
      <c r="G10173" s="451" t="s">
        <v>22877</v>
      </c>
      <c r="H10173" s="451" t="s">
        <v>22878</v>
      </c>
      <c r="I10173" s="451" t="s">
        <v>38315</v>
      </c>
      <c r="J10173" s="451" t="s">
        <v>22997</v>
      </c>
      <c r="K10173" s="451"/>
    </row>
    <row r="10174" spans="1:11">
      <c r="A10174" s="450" t="s">
        <v>38316</v>
      </c>
      <c r="B10174" s="450"/>
      <c r="C10174" s="450" t="s">
        <v>994</v>
      </c>
      <c r="D10174" s="450"/>
      <c r="E10174" s="450"/>
      <c r="F10174" s="450"/>
      <c r="G10174" s="450" t="s">
        <v>22882</v>
      </c>
      <c r="H10174" s="450" t="s">
        <v>22883</v>
      </c>
      <c r="I10174" s="450" t="s">
        <v>38317</v>
      </c>
      <c r="J10174" s="450" t="s">
        <v>22997</v>
      </c>
      <c r="K10174" s="450"/>
    </row>
    <row r="10175" spans="1:11">
      <c r="A10175" s="451" t="s">
        <v>16430</v>
      </c>
      <c r="B10175" s="451"/>
      <c r="C10175" s="451" t="s">
        <v>994</v>
      </c>
      <c r="D10175" s="451"/>
      <c r="E10175" s="451"/>
      <c r="F10175" s="451"/>
      <c r="G10175" s="451"/>
      <c r="H10175" s="451"/>
      <c r="I10175" s="451"/>
      <c r="J10175" s="451"/>
      <c r="K10175" s="451"/>
    </row>
    <row r="10176" spans="1:11">
      <c r="A10176" s="450" t="s">
        <v>38318</v>
      </c>
      <c r="B10176" s="450"/>
      <c r="C10176" s="450" t="s">
        <v>16432</v>
      </c>
      <c r="D10176" s="450"/>
      <c r="E10176" s="450"/>
      <c r="F10176" s="450"/>
      <c r="G10176" s="450" t="s">
        <v>22877</v>
      </c>
      <c r="H10176" s="450" t="s">
        <v>22878</v>
      </c>
      <c r="I10176" s="450" t="s">
        <v>38319</v>
      </c>
      <c r="J10176" s="450" t="s">
        <v>22997</v>
      </c>
      <c r="K10176" s="450"/>
    </row>
    <row r="10177" spans="1:11">
      <c r="A10177" s="451" t="s">
        <v>16431</v>
      </c>
      <c r="B10177" s="451"/>
      <c r="C10177" s="451" t="s">
        <v>16432</v>
      </c>
      <c r="D10177" s="451"/>
      <c r="E10177" s="451"/>
      <c r="F10177" s="451"/>
      <c r="G10177" s="451"/>
      <c r="H10177" s="451"/>
      <c r="I10177" s="451"/>
      <c r="J10177" s="451"/>
      <c r="K10177" s="451"/>
    </row>
    <row r="10178" spans="1:11">
      <c r="A10178" s="450" t="s">
        <v>16433</v>
      </c>
      <c r="B10178" s="450"/>
      <c r="C10178" s="450" t="s">
        <v>16434</v>
      </c>
      <c r="D10178" s="450"/>
      <c r="E10178" s="450"/>
      <c r="F10178" s="450"/>
      <c r="G10178" s="450" t="s">
        <v>22882</v>
      </c>
      <c r="H10178" s="450" t="s">
        <v>22883</v>
      </c>
      <c r="I10178" s="450"/>
      <c r="J10178" s="450" t="s">
        <v>22948</v>
      </c>
      <c r="K10178" s="450"/>
    </row>
    <row r="10179" spans="1:11">
      <c r="A10179" s="451" t="s">
        <v>16435</v>
      </c>
      <c r="B10179" s="451"/>
      <c r="C10179" s="451" t="s">
        <v>10614</v>
      </c>
      <c r="D10179" s="451"/>
      <c r="E10179" s="451"/>
      <c r="F10179" s="451"/>
      <c r="G10179" s="451" t="s">
        <v>22882</v>
      </c>
      <c r="H10179" s="451" t="s">
        <v>22883</v>
      </c>
      <c r="I10179" s="451" t="s">
        <v>38320</v>
      </c>
      <c r="J10179" s="451" t="s">
        <v>23185</v>
      </c>
      <c r="K10179" s="451"/>
    </row>
    <row r="10180" spans="1:11">
      <c r="A10180" s="450" t="s">
        <v>38321</v>
      </c>
      <c r="B10180" s="450"/>
      <c r="C10180" s="450" t="s">
        <v>6213</v>
      </c>
      <c r="D10180" s="450"/>
      <c r="E10180" s="450"/>
      <c r="F10180" s="450"/>
      <c r="G10180" s="450" t="s">
        <v>22877</v>
      </c>
      <c r="H10180" s="450" t="s">
        <v>22878</v>
      </c>
      <c r="I10180" s="450" t="s">
        <v>38322</v>
      </c>
      <c r="J10180" s="450" t="s">
        <v>22942</v>
      </c>
      <c r="K10180" s="450"/>
    </row>
    <row r="10181" spans="1:11">
      <c r="A10181" s="451" t="s">
        <v>38323</v>
      </c>
      <c r="B10181" s="451"/>
      <c r="C10181" s="451" t="s">
        <v>1190</v>
      </c>
      <c r="D10181" s="451"/>
      <c r="E10181" s="451"/>
      <c r="F10181" s="451"/>
      <c r="G10181" s="451" t="s">
        <v>22882</v>
      </c>
      <c r="H10181" s="451" t="s">
        <v>22883</v>
      </c>
      <c r="I10181" s="451"/>
      <c r="J10181" s="451" t="s">
        <v>38324</v>
      </c>
      <c r="K10181" s="451"/>
    </row>
    <row r="10182" spans="1:11">
      <c r="A10182" s="450" t="s">
        <v>28824</v>
      </c>
      <c r="B10182" s="450"/>
      <c r="C10182" s="450" t="s">
        <v>16437</v>
      </c>
      <c r="D10182" s="450"/>
      <c r="E10182" s="450"/>
      <c r="F10182" s="450"/>
      <c r="G10182" s="450" t="s">
        <v>22882</v>
      </c>
      <c r="H10182" s="450" t="s">
        <v>22883</v>
      </c>
      <c r="I10182" s="450" t="s">
        <v>28825</v>
      </c>
      <c r="J10182" s="450" t="s">
        <v>22942</v>
      </c>
      <c r="K10182" s="450"/>
    </row>
    <row r="10183" spans="1:11">
      <c r="A10183" s="451" t="s">
        <v>16436</v>
      </c>
      <c r="B10183" s="451"/>
      <c r="C10183" s="451" t="s">
        <v>16437</v>
      </c>
      <c r="D10183" s="451"/>
      <c r="E10183" s="451"/>
      <c r="F10183" s="451"/>
      <c r="G10183" s="451"/>
      <c r="H10183" s="451"/>
      <c r="I10183" s="451"/>
      <c r="J10183" s="451"/>
      <c r="K10183" s="451"/>
    </row>
    <row r="10184" spans="1:11">
      <c r="A10184" s="450" t="s">
        <v>30057</v>
      </c>
      <c r="B10184" s="450" t="s">
        <v>30058</v>
      </c>
      <c r="C10184" s="450" t="s">
        <v>12921</v>
      </c>
      <c r="D10184" s="450"/>
      <c r="E10184" s="450"/>
      <c r="F10184" s="450"/>
      <c r="G10184" s="450"/>
      <c r="H10184" s="450"/>
      <c r="I10184" s="450"/>
      <c r="J10184" s="450"/>
      <c r="K10184" s="450"/>
    </row>
    <row r="10185" spans="1:11">
      <c r="A10185" s="451" t="s">
        <v>16438</v>
      </c>
      <c r="B10185" s="451"/>
      <c r="C10185" s="451" t="s">
        <v>16439</v>
      </c>
      <c r="D10185" s="451"/>
      <c r="E10185" s="451"/>
      <c r="F10185" s="451"/>
      <c r="G10185" s="451" t="s">
        <v>22882</v>
      </c>
      <c r="H10185" s="451" t="s">
        <v>22883</v>
      </c>
      <c r="I10185" s="451" t="s">
        <v>38325</v>
      </c>
      <c r="J10185" s="451" t="s">
        <v>22942</v>
      </c>
      <c r="K10185" s="451"/>
    </row>
    <row r="10186" spans="1:11">
      <c r="A10186" s="450" t="s">
        <v>16440</v>
      </c>
      <c r="B10186" s="450"/>
      <c r="C10186" s="450" t="s">
        <v>16441</v>
      </c>
      <c r="D10186" s="450"/>
      <c r="E10186" s="450"/>
      <c r="F10186" s="450"/>
      <c r="G10186" s="450" t="s">
        <v>22882</v>
      </c>
      <c r="H10186" s="450" t="s">
        <v>22883</v>
      </c>
      <c r="I10186" s="450" t="s">
        <v>38326</v>
      </c>
      <c r="J10186" s="450" t="s">
        <v>23185</v>
      </c>
      <c r="K10186" s="450"/>
    </row>
    <row r="10187" spans="1:11">
      <c r="A10187" s="451" t="s">
        <v>16442</v>
      </c>
      <c r="B10187" s="451"/>
      <c r="C10187" s="451" t="s">
        <v>8175</v>
      </c>
      <c r="D10187" s="451"/>
      <c r="E10187" s="451"/>
      <c r="F10187" s="451"/>
      <c r="G10187" s="451" t="s">
        <v>22877</v>
      </c>
      <c r="H10187" s="451" t="s">
        <v>22878</v>
      </c>
      <c r="I10187" s="451" t="s">
        <v>38327</v>
      </c>
      <c r="J10187" s="451" t="s">
        <v>23185</v>
      </c>
      <c r="K10187" s="451"/>
    </row>
    <row r="10188" spans="1:11">
      <c r="A10188" s="450" t="s">
        <v>16443</v>
      </c>
      <c r="B10188" s="450"/>
      <c r="C10188" s="450" t="s">
        <v>16444</v>
      </c>
      <c r="D10188" s="450"/>
      <c r="E10188" s="450"/>
      <c r="F10188" s="450"/>
      <c r="G10188" s="450" t="s">
        <v>22877</v>
      </c>
      <c r="H10188" s="450" t="s">
        <v>22878</v>
      </c>
      <c r="I10188" s="450" t="s">
        <v>38328</v>
      </c>
      <c r="J10188" s="450" t="s">
        <v>22997</v>
      </c>
      <c r="K10188" s="450"/>
    </row>
    <row r="10189" spans="1:11">
      <c r="A10189" s="451" t="s">
        <v>16445</v>
      </c>
      <c r="B10189" s="451"/>
      <c r="C10189" s="451" t="s">
        <v>16446</v>
      </c>
      <c r="D10189" s="451"/>
      <c r="E10189" s="451"/>
      <c r="F10189" s="451"/>
      <c r="G10189" s="451" t="s">
        <v>22877</v>
      </c>
      <c r="H10189" s="451" t="s">
        <v>22878</v>
      </c>
      <c r="I10189" s="451" t="s">
        <v>28826</v>
      </c>
      <c r="J10189" s="451" t="s">
        <v>23185</v>
      </c>
      <c r="K10189" s="451"/>
    </row>
    <row r="10190" spans="1:11">
      <c r="A10190" s="450" t="s">
        <v>38329</v>
      </c>
      <c r="B10190" s="450" t="s">
        <v>16448</v>
      </c>
      <c r="C10190" s="450" t="s">
        <v>16449</v>
      </c>
      <c r="D10190" s="450" t="s">
        <v>16450</v>
      </c>
      <c r="E10190" s="450"/>
      <c r="F10190" s="450"/>
      <c r="G10190" s="450" t="s">
        <v>22877</v>
      </c>
      <c r="H10190" s="450" t="s">
        <v>22878</v>
      </c>
      <c r="I10190" s="450" t="s">
        <v>16450</v>
      </c>
      <c r="J10190" s="450" t="s">
        <v>38330</v>
      </c>
      <c r="K10190" s="450"/>
    </row>
    <row r="10191" spans="1:11">
      <c r="A10191" s="451" t="s">
        <v>16447</v>
      </c>
      <c r="B10191" s="451" t="s">
        <v>16448</v>
      </c>
      <c r="C10191" s="451" t="s">
        <v>16449</v>
      </c>
      <c r="D10191" s="451" t="s">
        <v>16450</v>
      </c>
      <c r="E10191" s="451" t="s">
        <v>16451</v>
      </c>
      <c r="F10191" s="451"/>
      <c r="G10191" s="451"/>
      <c r="H10191" s="451"/>
      <c r="I10191" s="451"/>
      <c r="J10191" s="451"/>
      <c r="K10191" s="451"/>
    </row>
    <row r="10192" spans="1:11">
      <c r="A10192" s="450" t="s">
        <v>16452</v>
      </c>
      <c r="B10192" s="450"/>
      <c r="C10192" s="450" t="s">
        <v>10529</v>
      </c>
      <c r="D10192" s="450"/>
      <c r="E10192" s="450"/>
      <c r="F10192" s="450"/>
      <c r="G10192" s="450" t="s">
        <v>22882</v>
      </c>
      <c r="H10192" s="450" t="s">
        <v>22883</v>
      </c>
      <c r="I10192" s="450" t="s">
        <v>38331</v>
      </c>
      <c r="J10192" s="450" t="s">
        <v>22997</v>
      </c>
      <c r="K10192" s="450"/>
    </row>
    <row r="10193" spans="1:11">
      <c r="A10193" s="451" t="s">
        <v>16453</v>
      </c>
      <c r="B10193" s="451"/>
      <c r="C10193" s="451" t="s">
        <v>7041</v>
      </c>
      <c r="D10193" s="451"/>
      <c r="E10193" s="451"/>
      <c r="F10193" s="451"/>
      <c r="G10193" s="451" t="s">
        <v>22877</v>
      </c>
      <c r="H10193" s="451" t="s">
        <v>22878</v>
      </c>
      <c r="I10193" s="451" t="s">
        <v>28827</v>
      </c>
      <c r="J10193" s="451" t="s">
        <v>23185</v>
      </c>
      <c r="K10193" s="451"/>
    </row>
    <row r="10194" spans="1:11">
      <c r="A10194" s="450" t="s">
        <v>16454</v>
      </c>
      <c r="B10194" s="450" t="s">
        <v>2951</v>
      </c>
      <c r="C10194" s="450" t="s">
        <v>2952</v>
      </c>
      <c r="D10194" s="450" t="s">
        <v>16455</v>
      </c>
      <c r="E10194" s="450"/>
      <c r="F10194" s="450"/>
      <c r="G10194" s="450" t="s">
        <v>22882</v>
      </c>
      <c r="H10194" s="450" t="s">
        <v>22883</v>
      </c>
      <c r="I10194" s="450" t="s">
        <v>23493</v>
      </c>
      <c r="J10194" s="450" t="s">
        <v>28828</v>
      </c>
      <c r="K10194" s="450"/>
    </row>
    <row r="10195" spans="1:11">
      <c r="A10195" s="451" t="s">
        <v>16456</v>
      </c>
      <c r="B10195" s="451"/>
      <c r="C10195" s="451" t="s">
        <v>16457</v>
      </c>
      <c r="D10195" s="451"/>
      <c r="E10195" s="451"/>
      <c r="F10195" s="451"/>
      <c r="G10195" s="451" t="s">
        <v>22877</v>
      </c>
      <c r="H10195" s="451" t="s">
        <v>22878</v>
      </c>
      <c r="I10195" s="451" t="s">
        <v>38332</v>
      </c>
      <c r="J10195" s="451" t="s">
        <v>22943</v>
      </c>
      <c r="K10195" s="451"/>
    </row>
    <row r="10196" spans="1:11">
      <c r="A10196" s="450" t="s">
        <v>38333</v>
      </c>
      <c r="B10196" s="450"/>
      <c r="C10196" s="450" t="s">
        <v>16459</v>
      </c>
      <c r="D10196" s="450"/>
      <c r="E10196" s="450"/>
      <c r="F10196" s="450"/>
      <c r="G10196" s="450" t="s">
        <v>22877</v>
      </c>
      <c r="H10196" s="450" t="s">
        <v>22878</v>
      </c>
      <c r="I10196" s="450" t="s">
        <v>38334</v>
      </c>
      <c r="J10196" s="450" t="s">
        <v>23370</v>
      </c>
      <c r="K10196" s="450"/>
    </row>
    <row r="10197" spans="1:11">
      <c r="A10197" s="451" t="s">
        <v>16458</v>
      </c>
      <c r="B10197" s="451"/>
      <c r="C10197" s="451" t="s">
        <v>16459</v>
      </c>
      <c r="D10197" s="451"/>
      <c r="E10197" s="451"/>
      <c r="F10197" s="451"/>
      <c r="G10197" s="451"/>
      <c r="H10197" s="451"/>
      <c r="I10197" s="451"/>
      <c r="J10197" s="451"/>
      <c r="K10197" s="451"/>
    </row>
    <row r="10198" spans="1:11">
      <c r="A10198" s="450" t="s">
        <v>38335</v>
      </c>
      <c r="B10198" s="450"/>
      <c r="C10198" s="450" t="s">
        <v>7041</v>
      </c>
      <c r="D10198" s="450"/>
      <c r="E10198" s="450"/>
      <c r="F10198" s="450"/>
      <c r="G10198" s="450" t="s">
        <v>22882</v>
      </c>
      <c r="H10198" s="450" t="s">
        <v>22883</v>
      </c>
      <c r="I10198" s="450" t="s">
        <v>38336</v>
      </c>
      <c r="J10198" s="450" t="s">
        <v>22942</v>
      </c>
      <c r="K10198" s="450"/>
    </row>
    <row r="10199" spans="1:11">
      <c r="A10199" s="451" t="s">
        <v>16460</v>
      </c>
      <c r="B10199" s="451"/>
      <c r="C10199" s="451" t="s">
        <v>7041</v>
      </c>
      <c r="D10199" s="451"/>
      <c r="E10199" s="451"/>
      <c r="F10199" s="451"/>
      <c r="G10199" s="451"/>
      <c r="H10199" s="451"/>
      <c r="I10199" s="451"/>
      <c r="J10199" s="451"/>
      <c r="K10199" s="451"/>
    </row>
    <row r="10200" spans="1:11">
      <c r="A10200" s="450" t="s">
        <v>38337</v>
      </c>
      <c r="B10200" s="450" t="s">
        <v>16462</v>
      </c>
      <c r="C10200" s="450" t="s">
        <v>16463</v>
      </c>
      <c r="D10200" s="450" t="s">
        <v>16464</v>
      </c>
      <c r="E10200" s="450"/>
      <c r="F10200" s="450"/>
      <c r="G10200" s="450" t="s">
        <v>22882</v>
      </c>
      <c r="H10200" s="450" t="s">
        <v>22883</v>
      </c>
      <c r="I10200" s="450" t="s">
        <v>16464</v>
      </c>
      <c r="J10200" s="450" t="s">
        <v>38338</v>
      </c>
      <c r="K10200" s="450"/>
    </row>
    <row r="10201" spans="1:11">
      <c r="A10201" s="451" t="s">
        <v>16461</v>
      </c>
      <c r="B10201" s="451" t="s">
        <v>16462</v>
      </c>
      <c r="C10201" s="451" t="s">
        <v>16463</v>
      </c>
      <c r="D10201" s="451" t="s">
        <v>16464</v>
      </c>
      <c r="E10201" s="451"/>
      <c r="F10201" s="451"/>
      <c r="G10201" s="451"/>
      <c r="H10201" s="451"/>
      <c r="I10201" s="451"/>
      <c r="J10201" s="451"/>
      <c r="K10201" s="451"/>
    </row>
    <row r="10202" spans="1:11">
      <c r="A10202" s="450" t="s">
        <v>16465</v>
      </c>
      <c r="B10202" s="450"/>
      <c r="C10202" s="450" t="s">
        <v>16466</v>
      </c>
      <c r="D10202" s="450"/>
      <c r="E10202" s="450"/>
      <c r="F10202" s="450"/>
      <c r="G10202" s="450" t="s">
        <v>22882</v>
      </c>
      <c r="H10202" s="450" t="s">
        <v>22883</v>
      </c>
      <c r="I10202" s="450" t="s">
        <v>28829</v>
      </c>
      <c r="J10202" s="450" t="s">
        <v>23185</v>
      </c>
      <c r="K10202" s="450"/>
    </row>
    <row r="10203" spans="1:11">
      <c r="A10203" s="451" t="s">
        <v>38339</v>
      </c>
      <c r="B10203" s="451" t="s">
        <v>16468</v>
      </c>
      <c r="C10203" s="451" t="s">
        <v>4138</v>
      </c>
      <c r="D10203" s="451" t="s">
        <v>16469</v>
      </c>
      <c r="E10203" s="451"/>
      <c r="F10203" s="451"/>
      <c r="G10203" s="451" t="s">
        <v>22877</v>
      </c>
      <c r="H10203" s="451" t="s">
        <v>22878</v>
      </c>
      <c r="I10203" s="451" t="s">
        <v>16469</v>
      </c>
      <c r="J10203" s="451" t="s">
        <v>38340</v>
      </c>
      <c r="K10203" s="451"/>
    </row>
    <row r="10204" spans="1:11">
      <c r="A10204" s="450" t="s">
        <v>16467</v>
      </c>
      <c r="B10204" s="450" t="s">
        <v>16468</v>
      </c>
      <c r="C10204" s="450" t="s">
        <v>4138</v>
      </c>
      <c r="D10204" s="450" t="s">
        <v>16469</v>
      </c>
      <c r="E10204" s="450"/>
      <c r="F10204" s="450"/>
      <c r="G10204" s="450"/>
      <c r="H10204" s="450"/>
      <c r="I10204" s="450"/>
      <c r="J10204" s="450"/>
      <c r="K10204" s="450"/>
    </row>
    <row r="10205" spans="1:11">
      <c r="A10205" s="451" t="s">
        <v>16470</v>
      </c>
      <c r="B10205" s="451"/>
      <c r="C10205" s="451" t="s">
        <v>16192</v>
      </c>
      <c r="D10205" s="451"/>
      <c r="E10205" s="451"/>
      <c r="F10205" s="451"/>
      <c r="G10205" s="451" t="s">
        <v>22882</v>
      </c>
      <c r="H10205" s="451" t="s">
        <v>22883</v>
      </c>
      <c r="I10205" s="451" t="s">
        <v>38341</v>
      </c>
      <c r="J10205" s="451" t="s">
        <v>22942</v>
      </c>
      <c r="K10205" s="451"/>
    </row>
    <row r="10206" spans="1:11" ht="15.5">
      <c r="A10206" s="448" t="s">
        <v>38342</v>
      </c>
      <c r="B10206" s="448" t="s">
        <v>38343</v>
      </c>
      <c r="C10206" s="448" t="s">
        <v>38344</v>
      </c>
      <c r="D10206" s="448"/>
      <c r="E10206" s="448"/>
      <c r="F10206" s="448"/>
      <c r="G10206" s="448"/>
      <c r="H10206" s="448"/>
      <c r="I10206" s="448"/>
      <c r="J10206" s="448"/>
      <c r="K10206" s="448"/>
    </row>
    <row r="10207" spans="1:11">
      <c r="A10207" s="451" t="s">
        <v>16471</v>
      </c>
      <c r="B10207" s="451"/>
      <c r="C10207" s="451" t="s">
        <v>6053</v>
      </c>
      <c r="D10207" s="451"/>
      <c r="E10207" s="451"/>
      <c r="F10207" s="451"/>
      <c r="G10207" s="451" t="s">
        <v>23075</v>
      </c>
      <c r="H10207" s="451" t="s">
        <v>22878</v>
      </c>
      <c r="I10207" s="451"/>
      <c r="J10207" s="451"/>
      <c r="K10207" s="451"/>
    </row>
    <row r="10208" spans="1:11">
      <c r="A10208" s="450" t="s">
        <v>38345</v>
      </c>
      <c r="B10208" s="450" t="s">
        <v>16473</v>
      </c>
      <c r="C10208" s="450" t="s">
        <v>15620</v>
      </c>
      <c r="D10208" s="450" t="s">
        <v>16474</v>
      </c>
      <c r="E10208" s="450"/>
      <c r="F10208" s="450"/>
      <c r="G10208" s="450" t="s">
        <v>22882</v>
      </c>
      <c r="H10208" s="450" t="s">
        <v>22883</v>
      </c>
      <c r="I10208" s="450" t="s">
        <v>16474</v>
      </c>
      <c r="J10208" s="450" t="s">
        <v>38346</v>
      </c>
      <c r="K10208" s="450"/>
    </row>
    <row r="10209" spans="1:11">
      <c r="A10209" s="451" t="s">
        <v>16472</v>
      </c>
      <c r="B10209" s="451" t="s">
        <v>16473</v>
      </c>
      <c r="C10209" s="451" t="s">
        <v>15620</v>
      </c>
      <c r="D10209" s="451" t="s">
        <v>16474</v>
      </c>
      <c r="E10209" s="451"/>
      <c r="F10209" s="451"/>
      <c r="G10209" s="451"/>
      <c r="H10209" s="451"/>
      <c r="I10209" s="451"/>
      <c r="J10209" s="451"/>
      <c r="K10209" s="451"/>
    </row>
    <row r="10210" spans="1:11">
      <c r="A10210" s="450" t="s">
        <v>38347</v>
      </c>
      <c r="B10210" s="450"/>
      <c r="C10210" s="450" t="s">
        <v>16476</v>
      </c>
      <c r="D10210" s="450"/>
      <c r="E10210" s="450"/>
      <c r="F10210" s="450"/>
      <c r="G10210" s="450" t="s">
        <v>22877</v>
      </c>
      <c r="H10210" s="450" t="s">
        <v>22878</v>
      </c>
      <c r="I10210" s="450" t="s">
        <v>38348</v>
      </c>
      <c r="J10210" s="450" t="s">
        <v>23370</v>
      </c>
      <c r="K10210" s="450"/>
    </row>
    <row r="10211" spans="1:11">
      <c r="A10211" s="451" t="s">
        <v>16475</v>
      </c>
      <c r="B10211" s="451"/>
      <c r="C10211" s="451" t="s">
        <v>16476</v>
      </c>
      <c r="D10211" s="451"/>
      <c r="E10211" s="451"/>
      <c r="F10211" s="451"/>
      <c r="G10211" s="451"/>
      <c r="H10211" s="451"/>
      <c r="I10211" s="451"/>
      <c r="J10211" s="451"/>
      <c r="K10211" s="451"/>
    </row>
    <row r="10212" spans="1:11">
      <c r="A10212" s="450" t="s">
        <v>16477</v>
      </c>
      <c r="B10212" s="450"/>
      <c r="C10212" s="450" t="s">
        <v>11650</v>
      </c>
      <c r="D10212" s="450"/>
      <c r="E10212" s="450"/>
      <c r="F10212" s="450"/>
      <c r="G10212" s="450"/>
      <c r="H10212" s="450"/>
      <c r="I10212" s="450"/>
      <c r="J10212" s="450"/>
      <c r="K10212" s="450"/>
    </row>
    <row r="10213" spans="1:11">
      <c r="A10213" s="451" t="s">
        <v>38349</v>
      </c>
      <c r="B10213" s="451"/>
      <c r="C10213" s="451" t="s">
        <v>11650</v>
      </c>
      <c r="D10213" s="451"/>
      <c r="E10213" s="451"/>
      <c r="F10213" s="451"/>
      <c r="G10213" s="451" t="s">
        <v>22882</v>
      </c>
      <c r="H10213" s="451" t="s">
        <v>22883</v>
      </c>
      <c r="I10213" s="451" t="s">
        <v>38350</v>
      </c>
      <c r="J10213" s="451" t="s">
        <v>22948</v>
      </c>
      <c r="K10213" s="451"/>
    </row>
    <row r="10214" spans="1:11">
      <c r="A10214" s="450" t="s">
        <v>16478</v>
      </c>
      <c r="B10214" s="450"/>
      <c r="C10214" s="450" t="s">
        <v>16479</v>
      </c>
      <c r="D10214" s="450"/>
      <c r="E10214" s="450"/>
      <c r="F10214" s="450"/>
      <c r="G10214" s="450" t="s">
        <v>22882</v>
      </c>
      <c r="H10214" s="450" t="s">
        <v>22883</v>
      </c>
      <c r="I10214" s="450" t="s">
        <v>38351</v>
      </c>
      <c r="J10214" s="450" t="s">
        <v>23185</v>
      </c>
      <c r="K10214" s="450"/>
    </row>
    <row r="10215" spans="1:11">
      <c r="A10215" s="451" t="s">
        <v>16480</v>
      </c>
      <c r="B10215" s="451"/>
      <c r="C10215" s="451" t="s">
        <v>7974</v>
      </c>
      <c r="D10215" s="451"/>
      <c r="E10215" s="451"/>
      <c r="F10215" s="451"/>
      <c r="G10215" s="451"/>
      <c r="H10215" s="451"/>
      <c r="I10215" s="451"/>
      <c r="J10215" s="451"/>
      <c r="K10215" s="451"/>
    </row>
    <row r="10216" spans="1:11">
      <c r="A10216" s="450" t="s">
        <v>38352</v>
      </c>
      <c r="B10216" s="450"/>
      <c r="C10216" s="450" t="s">
        <v>7974</v>
      </c>
      <c r="D10216" s="450"/>
      <c r="E10216" s="450"/>
      <c r="F10216" s="450"/>
      <c r="G10216" s="450" t="s">
        <v>22877</v>
      </c>
      <c r="H10216" s="450" t="s">
        <v>22878</v>
      </c>
      <c r="I10216" s="450" t="s">
        <v>38353</v>
      </c>
      <c r="J10216" s="450" t="s">
        <v>23121</v>
      </c>
      <c r="K10216" s="450"/>
    </row>
    <row r="10217" spans="1:11">
      <c r="A10217" s="451" t="s">
        <v>16481</v>
      </c>
      <c r="B10217" s="451"/>
      <c r="C10217" s="451" t="s">
        <v>10537</v>
      </c>
      <c r="D10217" s="451"/>
      <c r="E10217" s="451"/>
      <c r="F10217" s="451"/>
      <c r="G10217" s="451" t="s">
        <v>22882</v>
      </c>
      <c r="H10217" s="451" t="s">
        <v>22883</v>
      </c>
      <c r="I10217" s="451" t="s">
        <v>18545</v>
      </c>
      <c r="J10217" s="451" t="s">
        <v>23185</v>
      </c>
      <c r="K10217" s="451"/>
    </row>
    <row r="10218" spans="1:11">
      <c r="A10218" s="450" t="s">
        <v>16482</v>
      </c>
      <c r="B10218" s="450"/>
      <c r="C10218" s="450" t="s">
        <v>16483</v>
      </c>
      <c r="D10218" s="450"/>
      <c r="E10218" s="450"/>
      <c r="F10218" s="450"/>
      <c r="G10218" s="450" t="s">
        <v>22882</v>
      </c>
      <c r="H10218" s="450" t="s">
        <v>22883</v>
      </c>
      <c r="I10218" s="450" t="s">
        <v>38354</v>
      </c>
      <c r="J10218" s="450" t="s">
        <v>23185</v>
      </c>
      <c r="K10218" s="450"/>
    </row>
    <row r="10219" spans="1:11">
      <c r="A10219" s="451" t="s">
        <v>38355</v>
      </c>
      <c r="B10219" s="451" t="s">
        <v>16485</v>
      </c>
      <c r="C10219" s="451" t="s">
        <v>16486</v>
      </c>
      <c r="D10219" s="451"/>
      <c r="E10219" s="451"/>
      <c r="F10219" s="451"/>
      <c r="G10219" s="451" t="s">
        <v>22882</v>
      </c>
      <c r="H10219" s="451" t="s">
        <v>22883</v>
      </c>
      <c r="I10219" s="451"/>
      <c r="J10219" s="451" t="s">
        <v>38356</v>
      </c>
      <c r="K10219" s="451"/>
    </row>
    <row r="10220" spans="1:11">
      <c r="A10220" s="450" t="s">
        <v>16484</v>
      </c>
      <c r="B10220" s="450" t="s">
        <v>16485</v>
      </c>
      <c r="C10220" s="450" t="s">
        <v>16486</v>
      </c>
      <c r="D10220" s="450"/>
      <c r="E10220" s="450"/>
      <c r="F10220" s="450"/>
      <c r="G10220" s="450"/>
      <c r="H10220" s="450"/>
      <c r="I10220" s="450"/>
      <c r="J10220" s="450"/>
      <c r="K10220" s="450"/>
    </row>
    <row r="10221" spans="1:11">
      <c r="A10221" s="451" t="s">
        <v>16487</v>
      </c>
      <c r="B10221" s="451"/>
      <c r="C10221" s="451" t="s">
        <v>2466</v>
      </c>
      <c r="D10221" s="451"/>
      <c r="E10221" s="451"/>
      <c r="F10221" s="451"/>
      <c r="G10221" s="451" t="s">
        <v>22882</v>
      </c>
      <c r="H10221" s="451" t="s">
        <v>22883</v>
      </c>
      <c r="I10221" s="451"/>
      <c r="J10221" s="451" t="s">
        <v>22943</v>
      </c>
      <c r="K10221" s="451"/>
    </row>
    <row r="10222" spans="1:11">
      <c r="A10222" s="450" t="s">
        <v>16488</v>
      </c>
      <c r="B10222" s="450" t="s">
        <v>16489</v>
      </c>
      <c r="C10222" s="450" t="s">
        <v>7875</v>
      </c>
      <c r="D10222" s="450" t="s">
        <v>16490</v>
      </c>
      <c r="E10222" s="450"/>
      <c r="F10222" s="450"/>
      <c r="G10222" s="450" t="s">
        <v>22877</v>
      </c>
      <c r="H10222" s="450" t="s">
        <v>22878</v>
      </c>
      <c r="I10222" s="450" t="s">
        <v>16490</v>
      </c>
      <c r="J10222" s="450" t="s">
        <v>38357</v>
      </c>
      <c r="K10222" s="450"/>
    </row>
    <row r="10223" spans="1:11">
      <c r="A10223" s="451" t="s">
        <v>16488</v>
      </c>
      <c r="B10223" s="451" t="s">
        <v>16489</v>
      </c>
      <c r="C10223" s="451" t="s">
        <v>7875</v>
      </c>
      <c r="D10223" s="451" t="s">
        <v>16490</v>
      </c>
      <c r="E10223" s="451" t="s">
        <v>16491</v>
      </c>
      <c r="F10223" s="451"/>
      <c r="G10223" s="451"/>
      <c r="H10223" s="451"/>
      <c r="I10223" s="451"/>
      <c r="J10223" s="451"/>
      <c r="K10223" s="451"/>
    </row>
    <row r="10224" spans="1:11">
      <c r="A10224" s="450" t="s">
        <v>28830</v>
      </c>
      <c r="B10224" s="450" t="s">
        <v>28831</v>
      </c>
      <c r="C10224" s="450" t="s">
        <v>28832</v>
      </c>
      <c r="D10224" s="450" t="s">
        <v>28833</v>
      </c>
      <c r="E10224" s="450"/>
      <c r="F10224" s="450"/>
      <c r="G10224" s="450" t="s">
        <v>22877</v>
      </c>
      <c r="H10224" s="450" t="s">
        <v>22878</v>
      </c>
      <c r="I10224" s="450" t="s">
        <v>28834</v>
      </c>
      <c r="J10224" s="450" t="s">
        <v>28835</v>
      </c>
      <c r="K10224" s="450"/>
    </row>
    <row r="10225" spans="1:11">
      <c r="A10225" s="451" t="s">
        <v>16492</v>
      </c>
      <c r="B10225" s="451"/>
      <c r="C10225" s="451" t="s">
        <v>16493</v>
      </c>
      <c r="D10225" s="451"/>
      <c r="E10225" s="451"/>
      <c r="F10225" s="451"/>
      <c r="G10225" s="451" t="s">
        <v>22877</v>
      </c>
      <c r="H10225" s="451" t="s">
        <v>22878</v>
      </c>
      <c r="I10225" s="451" t="s">
        <v>28836</v>
      </c>
      <c r="J10225" s="451" t="s">
        <v>23185</v>
      </c>
      <c r="K10225" s="451"/>
    </row>
    <row r="10226" spans="1:11">
      <c r="A10226" s="450" t="s">
        <v>38358</v>
      </c>
      <c r="B10226" s="450" t="s">
        <v>16495</v>
      </c>
      <c r="C10226" s="450" t="s">
        <v>5558</v>
      </c>
      <c r="D10226" s="450" t="s">
        <v>38359</v>
      </c>
      <c r="E10226" s="450"/>
      <c r="F10226" s="450"/>
      <c r="G10226" s="450" t="s">
        <v>22877</v>
      </c>
      <c r="H10226" s="450" t="s">
        <v>22878</v>
      </c>
      <c r="I10226" s="450" t="s">
        <v>38360</v>
      </c>
      <c r="J10226" s="450" t="s">
        <v>38361</v>
      </c>
      <c r="K10226" s="450"/>
    </row>
    <row r="10227" spans="1:11">
      <c r="A10227" s="451" t="s">
        <v>16494</v>
      </c>
      <c r="B10227" s="451" t="s">
        <v>16495</v>
      </c>
      <c r="C10227" s="451" t="s">
        <v>5558</v>
      </c>
      <c r="D10227" s="451" t="s">
        <v>16496</v>
      </c>
      <c r="E10227" s="451"/>
      <c r="F10227" s="451"/>
      <c r="G10227" s="451"/>
      <c r="H10227" s="451"/>
      <c r="I10227" s="451"/>
      <c r="J10227" s="451"/>
      <c r="K10227" s="451"/>
    </row>
    <row r="10228" spans="1:11">
      <c r="A10228" s="450" t="s">
        <v>16497</v>
      </c>
      <c r="B10228" s="450"/>
      <c r="C10228" s="450" t="s">
        <v>16498</v>
      </c>
      <c r="D10228" s="450"/>
      <c r="E10228" s="450"/>
      <c r="F10228" s="450"/>
      <c r="G10228" s="450" t="s">
        <v>22882</v>
      </c>
      <c r="H10228" s="450" t="s">
        <v>22883</v>
      </c>
      <c r="I10228" s="450" t="s">
        <v>38362</v>
      </c>
      <c r="J10228" s="450" t="s">
        <v>23185</v>
      </c>
      <c r="K10228" s="450"/>
    </row>
    <row r="10229" spans="1:11">
      <c r="A10229" s="451" t="s">
        <v>16499</v>
      </c>
      <c r="B10229" s="451"/>
      <c r="C10229" s="451" t="s">
        <v>9432</v>
      </c>
      <c r="D10229" s="451"/>
      <c r="E10229" s="451"/>
      <c r="F10229" s="451"/>
      <c r="G10229" s="451" t="s">
        <v>22882</v>
      </c>
      <c r="H10229" s="451" t="s">
        <v>22883</v>
      </c>
      <c r="I10229" s="451" t="s">
        <v>28837</v>
      </c>
      <c r="J10229" s="451" t="s">
        <v>22997</v>
      </c>
      <c r="K10229" s="451"/>
    </row>
    <row r="10230" spans="1:11">
      <c r="A10230" s="450" t="s">
        <v>38363</v>
      </c>
      <c r="B10230" s="450" t="s">
        <v>16501</v>
      </c>
      <c r="C10230" s="450" t="s">
        <v>16502</v>
      </c>
      <c r="D10230" s="450" t="s">
        <v>16503</v>
      </c>
      <c r="E10230" s="450"/>
      <c r="F10230" s="450"/>
      <c r="G10230" s="450" t="s">
        <v>22877</v>
      </c>
      <c r="H10230" s="450" t="s">
        <v>22878</v>
      </c>
      <c r="I10230" s="450" t="s">
        <v>16503</v>
      </c>
      <c r="J10230" s="450" t="s">
        <v>38364</v>
      </c>
      <c r="K10230" s="450"/>
    </row>
    <row r="10231" spans="1:11">
      <c r="A10231" s="451" t="s">
        <v>16500</v>
      </c>
      <c r="B10231" s="451" t="s">
        <v>16501</v>
      </c>
      <c r="C10231" s="451" t="s">
        <v>16502</v>
      </c>
      <c r="D10231" s="451" t="s">
        <v>16503</v>
      </c>
      <c r="E10231" s="451"/>
      <c r="F10231" s="451"/>
      <c r="G10231" s="451"/>
      <c r="H10231" s="451"/>
      <c r="I10231" s="451"/>
      <c r="J10231" s="451"/>
      <c r="K10231" s="451"/>
    </row>
    <row r="10232" spans="1:11">
      <c r="A10232" s="450" t="s">
        <v>38365</v>
      </c>
      <c r="B10232" s="450"/>
      <c r="C10232" s="450" t="s">
        <v>16505</v>
      </c>
      <c r="D10232" s="450"/>
      <c r="E10232" s="450"/>
      <c r="F10232" s="450"/>
      <c r="G10232" s="450" t="s">
        <v>22882</v>
      </c>
      <c r="H10232" s="450" t="s">
        <v>22883</v>
      </c>
      <c r="I10232" s="450" t="s">
        <v>38366</v>
      </c>
      <c r="J10232" s="450" t="s">
        <v>22942</v>
      </c>
      <c r="K10232" s="450"/>
    </row>
    <row r="10233" spans="1:11">
      <c r="A10233" s="451" t="s">
        <v>16504</v>
      </c>
      <c r="B10233" s="451"/>
      <c r="C10233" s="451" t="s">
        <v>16505</v>
      </c>
      <c r="D10233" s="451"/>
      <c r="E10233" s="451"/>
      <c r="F10233" s="451"/>
      <c r="G10233" s="451"/>
      <c r="H10233" s="451"/>
      <c r="I10233" s="451"/>
      <c r="J10233" s="451"/>
      <c r="K10233" s="451"/>
    </row>
    <row r="10234" spans="1:11">
      <c r="A10234" s="450" t="s">
        <v>28838</v>
      </c>
      <c r="B10234" s="450" t="s">
        <v>28839</v>
      </c>
      <c r="C10234" s="450" t="s">
        <v>28840</v>
      </c>
      <c r="D10234" s="450"/>
      <c r="E10234" s="450"/>
      <c r="F10234" s="450"/>
      <c r="G10234" s="450" t="s">
        <v>22877</v>
      </c>
      <c r="H10234" s="450" t="s">
        <v>22878</v>
      </c>
      <c r="I10234" s="450" t="s">
        <v>28841</v>
      </c>
      <c r="J10234" s="450" t="s">
        <v>28842</v>
      </c>
      <c r="K10234" s="450"/>
    </row>
    <row r="10235" spans="1:11">
      <c r="A10235" s="451" t="s">
        <v>16506</v>
      </c>
      <c r="B10235" s="451"/>
      <c r="C10235" s="451" t="s">
        <v>16507</v>
      </c>
      <c r="D10235" s="451"/>
      <c r="E10235" s="451"/>
      <c r="F10235" s="451"/>
      <c r="G10235" s="451" t="s">
        <v>22882</v>
      </c>
      <c r="H10235" s="451" t="s">
        <v>22883</v>
      </c>
      <c r="I10235" s="451" t="s">
        <v>28843</v>
      </c>
      <c r="J10235" s="451" t="s">
        <v>22942</v>
      </c>
      <c r="K10235" s="451"/>
    </row>
    <row r="10236" spans="1:11">
      <c r="A10236" s="450" t="s">
        <v>28844</v>
      </c>
      <c r="B10236" s="450" t="s">
        <v>28845</v>
      </c>
      <c r="C10236" s="450" t="s">
        <v>16510</v>
      </c>
      <c r="D10236" s="450" t="s">
        <v>16511</v>
      </c>
      <c r="E10236" s="450"/>
      <c r="F10236" s="450"/>
      <c r="G10236" s="450" t="s">
        <v>22877</v>
      </c>
      <c r="H10236" s="450" t="s">
        <v>22878</v>
      </c>
      <c r="I10236" s="450" t="s">
        <v>23809</v>
      </c>
      <c r="J10236" s="450" t="s">
        <v>28846</v>
      </c>
      <c r="K10236" s="450"/>
    </row>
    <row r="10237" spans="1:11">
      <c r="A10237" s="451" t="s">
        <v>16508</v>
      </c>
      <c r="B10237" s="451" t="s">
        <v>16509</v>
      </c>
      <c r="C10237" s="451" t="s">
        <v>16510</v>
      </c>
      <c r="D10237" s="451" t="s">
        <v>16511</v>
      </c>
      <c r="E10237" s="451" t="s">
        <v>16512</v>
      </c>
      <c r="F10237" s="451"/>
      <c r="G10237" s="451"/>
      <c r="H10237" s="451"/>
      <c r="I10237" s="451"/>
      <c r="J10237" s="451"/>
      <c r="K10237" s="451"/>
    </row>
    <row r="10238" spans="1:11">
      <c r="A10238" s="450" t="s">
        <v>16513</v>
      </c>
      <c r="B10238" s="450"/>
      <c r="C10238" s="450" t="s">
        <v>16502</v>
      </c>
      <c r="D10238" s="450"/>
      <c r="E10238" s="450"/>
      <c r="F10238" s="450"/>
      <c r="G10238" s="450" t="s">
        <v>22877</v>
      </c>
      <c r="H10238" s="450" t="s">
        <v>22878</v>
      </c>
      <c r="I10238" s="450" t="s">
        <v>16503</v>
      </c>
      <c r="J10238" s="450" t="s">
        <v>22943</v>
      </c>
      <c r="K10238" s="450"/>
    </row>
    <row r="10239" spans="1:11">
      <c r="A10239" s="451" t="s">
        <v>16514</v>
      </c>
      <c r="B10239" s="451"/>
      <c r="C10239" s="451" t="s">
        <v>10035</v>
      </c>
      <c r="D10239" s="451"/>
      <c r="E10239" s="451"/>
      <c r="F10239" s="451"/>
      <c r="G10239" s="451" t="s">
        <v>22882</v>
      </c>
      <c r="H10239" s="451" t="s">
        <v>22883</v>
      </c>
      <c r="I10239" s="451"/>
      <c r="J10239" s="451" t="s">
        <v>22942</v>
      </c>
      <c r="K10239" s="451"/>
    </row>
    <row r="10240" spans="1:11">
      <c r="A10240" s="450" t="s">
        <v>16515</v>
      </c>
      <c r="B10240" s="450" t="s">
        <v>28847</v>
      </c>
      <c r="C10240" s="450" t="s">
        <v>16517</v>
      </c>
      <c r="D10240" s="450" t="s">
        <v>16518</v>
      </c>
      <c r="E10240" s="450"/>
      <c r="F10240" s="450"/>
      <c r="G10240" s="450" t="s">
        <v>22877</v>
      </c>
      <c r="H10240" s="450" t="s">
        <v>22878</v>
      </c>
      <c r="I10240" s="450" t="s">
        <v>16518</v>
      </c>
      <c r="J10240" s="450" t="s">
        <v>28848</v>
      </c>
      <c r="K10240" s="450"/>
    </row>
    <row r="10241" spans="1:11">
      <c r="A10241" s="451" t="s">
        <v>16515</v>
      </c>
      <c r="B10241" s="451" t="s">
        <v>16516</v>
      </c>
      <c r="C10241" s="451" t="s">
        <v>16517</v>
      </c>
      <c r="D10241" s="451" t="s">
        <v>16518</v>
      </c>
      <c r="E10241" s="451"/>
      <c r="F10241" s="451"/>
      <c r="G10241" s="451"/>
      <c r="H10241" s="451"/>
      <c r="I10241" s="451"/>
      <c r="J10241" s="451"/>
      <c r="K10241" s="451"/>
    </row>
    <row r="10242" spans="1:11">
      <c r="A10242" s="450" t="s">
        <v>16519</v>
      </c>
      <c r="B10242" s="450"/>
      <c r="C10242" s="450"/>
      <c r="D10242" s="450" t="s">
        <v>16520</v>
      </c>
      <c r="E10242" s="450"/>
      <c r="F10242" s="450"/>
      <c r="G10242" s="450" t="s">
        <v>22877</v>
      </c>
      <c r="H10242" s="450" t="s">
        <v>22878</v>
      </c>
      <c r="I10242" s="450" t="s">
        <v>16520</v>
      </c>
      <c r="J10242" s="450" t="s">
        <v>38367</v>
      </c>
      <c r="K10242" s="450"/>
    </row>
    <row r="10243" spans="1:11">
      <c r="A10243" s="451" t="s">
        <v>16521</v>
      </c>
      <c r="B10243" s="451"/>
      <c r="C10243" s="451" t="s">
        <v>16522</v>
      </c>
      <c r="D10243" s="451"/>
      <c r="E10243" s="451"/>
      <c r="F10243" s="451"/>
      <c r="G10243" s="451" t="s">
        <v>22882</v>
      </c>
      <c r="H10243" s="451" t="s">
        <v>22883</v>
      </c>
      <c r="I10243" s="451"/>
      <c r="J10243" s="451" t="s">
        <v>23121</v>
      </c>
      <c r="K10243" s="451"/>
    </row>
    <row r="10244" spans="1:11">
      <c r="A10244" s="450" t="s">
        <v>16523</v>
      </c>
      <c r="B10244" s="450"/>
      <c r="C10244" s="450" t="s">
        <v>16524</v>
      </c>
      <c r="D10244" s="450"/>
      <c r="E10244" s="450"/>
      <c r="F10244" s="450"/>
      <c r="G10244" s="450" t="s">
        <v>22882</v>
      </c>
      <c r="H10244" s="450" t="s">
        <v>22883</v>
      </c>
      <c r="I10244" s="450" t="s">
        <v>28849</v>
      </c>
      <c r="J10244" s="450" t="s">
        <v>23121</v>
      </c>
      <c r="K10244" s="450"/>
    </row>
    <row r="10245" spans="1:11">
      <c r="A10245" s="451" t="s">
        <v>38368</v>
      </c>
      <c r="B10245" s="451" t="s">
        <v>16526</v>
      </c>
      <c r="C10245" s="451" t="s">
        <v>16527</v>
      </c>
      <c r="D10245" s="451"/>
      <c r="E10245" s="451"/>
      <c r="F10245" s="451" t="s">
        <v>5778</v>
      </c>
      <c r="G10245" s="451" t="s">
        <v>22877</v>
      </c>
      <c r="H10245" s="451" t="s">
        <v>22878</v>
      </c>
      <c r="I10245" s="451" t="s">
        <v>38369</v>
      </c>
      <c r="J10245" s="451" t="s">
        <v>38370</v>
      </c>
      <c r="K10245" s="451"/>
    </row>
    <row r="10246" spans="1:11">
      <c r="A10246" s="450" t="s">
        <v>16525</v>
      </c>
      <c r="B10246" s="450" t="s">
        <v>16526</v>
      </c>
      <c r="C10246" s="450" t="s">
        <v>16527</v>
      </c>
      <c r="D10246" s="450"/>
      <c r="E10246" s="450"/>
      <c r="F10246" s="450" t="s">
        <v>5778</v>
      </c>
      <c r="G10246" s="450"/>
      <c r="H10246" s="450"/>
      <c r="I10246" s="450"/>
      <c r="J10246" s="450"/>
      <c r="K10246" s="450"/>
    </row>
    <row r="10247" spans="1:11">
      <c r="A10247" s="451" t="s">
        <v>16528</v>
      </c>
      <c r="B10247" s="451"/>
      <c r="C10247" s="451" t="s">
        <v>3469</v>
      </c>
      <c r="D10247" s="451"/>
      <c r="E10247" s="451"/>
      <c r="F10247" s="451"/>
      <c r="G10247" s="451" t="s">
        <v>22877</v>
      </c>
      <c r="H10247" s="451" t="s">
        <v>22878</v>
      </c>
      <c r="I10247" s="451" t="s">
        <v>28850</v>
      </c>
      <c r="J10247" s="451" t="s">
        <v>22997</v>
      </c>
      <c r="K10247" s="451"/>
    </row>
    <row r="10248" spans="1:11">
      <c r="A10248" s="450" t="s">
        <v>28851</v>
      </c>
      <c r="B10248" s="450" t="s">
        <v>28852</v>
      </c>
      <c r="C10248" s="450" t="s">
        <v>28853</v>
      </c>
      <c r="D10248" s="450"/>
      <c r="E10248" s="450"/>
      <c r="F10248" s="450"/>
      <c r="G10248" s="450" t="s">
        <v>22877</v>
      </c>
      <c r="H10248" s="450" t="s">
        <v>22878</v>
      </c>
      <c r="I10248" s="450" t="s">
        <v>28854</v>
      </c>
      <c r="J10248" s="450" t="s">
        <v>28855</v>
      </c>
      <c r="K10248" s="450"/>
    </row>
    <row r="10249" spans="1:11">
      <c r="A10249" s="451" t="s">
        <v>38371</v>
      </c>
      <c r="B10249" s="451"/>
      <c r="C10249" s="451" t="s">
        <v>16314</v>
      </c>
      <c r="D10249" s="451"/>
      <c r="E10249" s="451"/>
      <c r="F10249" s="451"/>
      <c r="G10249" s="451" t="s">
        <v>22882</v>
      </c>
      <c r="H10249" s="451" t="s">
        <v>22883</v>
      </c>
      <c r="I10249" s="451" t="s">
        <v>38372</v>
      </c>
      <c r="J10249" s="451" t="s">
        <v>22942</v>
      </c>
      <c r="K10249" s="451"/>
    </row>
    <row r="10250" spans="1:11">
      <c r="A10250" s="450" t="s">
        <v>38373</v>
      </c>
      <c r="B10250" s="450"/>
      <c r="C10250" s="450" t="s">
        <v>16321</v>
      </c>
      <c r="D10250" s="450"/>
      <c r="E10250" s="450"/>
      <c r="F10250" s="450"/>
      <c r="G10250" s="450" t="s">
        <v>22882</v>
      </c>
      <c r="H10250" s="450" t="s">
        <v>22883</v>
      </c>
      <c r="I10250" s="450" t="s">
        <v>38374</v>
      </c>
      <c r="J10250" s="450" t="s">
        <v>22942</v>
      </c>
      <c r="K10250" s="450"/>
    </row>
    <row r="10251" spans="1:11">
      <c r="A10251" s="451" t="s">
        <v>16529</v>
      </c>
      <c r="B10251" s="451"/>
      <c r="C10251" s="451" t="s">
        <v>6213</v>
      </c>
      <c r="D10251" s="451"/>
      <c r="E10251" s="451"/>
      <c r="F10251" s="451"/>
      <c r="G10251" s="451" t="s">
        <v>22882</v>
      </c>
      <c r="H10251" s="451" t="s">
        <v>22883</v>
      </c>
      <c r="I10251" s="451"/>
      <c r="J10251" s="451" t="s">
        <v>23121</v>
      </c>
      <c r="K10251" s="451"/>
    </row>
    <row r="10252" spans="1:11">
      <c r="A10252" s="450" t="s">
        <v>16530</v>
      </c>
      <c r="B10252" s="450"/>
      <c r="C10252" s="450" t="s">
        <v>16531</v>
      </c>
      <c r="D10252" s="450"/>
      <c r="E10252" s="450"/>
      <c r="F10252" s="450"/>
      <c r="G10252" s="450"/>
      <c r="H10252" s="450"/>
      <c r="I10252" s="450"/>
      <c r="J10252" s="450"/>
      <c r="K10252" s="450"/>
    </row>
    <row r="10253" spans="1:11">
      <c r="A10253" s="451" t="s">
        <v>28856</v>
      </c>
      <c r="B10253" s="451"/>
      <c r="C10253" s="451" t="s">
        <v>16531</v>
      </c>
      <c r="D10253" s="451"/>
      <c r="E10253" s="451"/>
      <c r="F10253" s="451"/>
      <c r="G10253" s="451" t="s">
        <v>22877</v>
      </c>
      <c r="H10253" s="451" t="s">
        <v>22878</v>
      </c>
      <c r="I10253" s="451" t="s">
        <v>28857</v>
      </c>
      <c r="J10253" s="451" t="s">
        <v>23185</v>
      </c>
      <c r="K10253" s="451"/>
    </row>
    <row r="10254" spans="1:11">
      <c r="A10254" s="450" t="s">
        <v>28858</v>
      </c>
      <c r="B10254" s="450" t="s">
        <v>28859</v>
      </c>
      <c r="C10254" s="450" t="s">
        <v>28860</v>
      </c>
      <c r="D10254" s="450"/>
      <c r="E10254" s="450"/>
      <c r="F10254" s="450"/>
      <c r="G10254" s="450" t="s">
        <v>22882</v>
      </c>
      <c r="H10254" s="450" t="s">
        <v>22883</v>
      </c>
      <c r="I10254" s="450" t="s">
        <v>28861</v>
      </c>
      <c r="J10254" s="450" t="s">
        <v>28862</v>
      </c>
      <c r="K10254" s="450"/>
    </row>
    <row r="10255" spans="1:11">
      <c r="A10255" s="451" t="s">
        <v>22149</v>
      </c>
      <c r="B10255" s="451" t="s">
        <v>22150</v>
      </c>
      <c r="C10255" s="451" t="s">
        <v>22151</v>
      </c>
      <c r="D10255" s="451"/>
      <c r="E10255" s="451"/>
      <c r="F10255" s="451"/>
      <c r="G10255" s="451" t="s">
        <v>22877</v>
      </c>
      <c r="H10255" s="451" t="s">
        <v>22878</v>
      </c>
      <c r="I10255" s="451" t="s">
        <v>5277</v>
      </c>
      <c r="J10255" s="451" t="s">
        <v>28863</v>
      </c>
      <c r="K10255" s="451"/>
    </row>
    <row r="10256" spans="1:11">
      <c r="A10256" s="450" t="s">
        <v>32010</v>
      </c>
      <c r="B10256" s="450" t="s">
        <v>16532</v>
      </c>
      <c r="C10256" s="450" t="s">
        <v>6500</v>
      </c>
      <c r="D10256" s="450" t="s">
        <v>16533</v>
      </c>
      <c r="E10256" s="450"/>
      <c r="F10256" s="450"/>
      <c r="G10256" s="450" t="s">
        <v>22882</v>
      </c>
      <c r="H10256" s="450" t="s">
        <v>22883</v>
      </c>
      <c r="I10256" s="450" t="s">
        <v>28864</v>
      </c>
      <c r="J10256" s="450" t="s">
        <v>28865</v>
      </c>
      <c r="K10256" s="450"/>
    </row>
    <row r="10257" spans="1:11">
      <c r="A10257" s="451" t="s">
        <v>21956</v>
      </c>
      <c r="B10257" s="451" t="s">
        <v>16532</v>
      </c>
      <c r="C10257" s="451" t="s">
        <v>6500</v>
      </c>
      <c r="D10257" s="451" t="s">
        <v>16533</v>
      </c>
      <c r="E10257" s="451" t="s">
        <v>16534</v>
      </c>
      <c r="F10257" s="451"/>
      <c r="G10257" s="451"/>
      <c r="H10257" s="451"/>
      <c r="I10257" s="451"/>
      <c r="J10257" s="451"/>
      <c r="K10257" s="451"/>
    </row>
    <row r="10258" spans="1:11">
      <c r="A10258" s="450" t="s">
        <v>16535</v>
      </c>
      <c r="B10258" s="450"/>
      <c r="C10258" s="450" t="s">
        <v>3025</v>
      </c>
      <c r="D10258" s="450"/>
      <c r="E10258" s="450"/>
      <c r="F10258" s="450"/>
      <c r="G10258" s="450"/>
      <c r="H10258" s="450"/>
      <c r="I10258" s="450"/>
      <c r="J10258" s="450"/>
      <c r="K10258" s="450"/>
    </row>
    <row r="10259" spans="1:11">
      <c r="A10259" s="451" t="s">
        <v>38375</v>
      </c>
      <c r="B10259" s="451"/>
      <c r="C10259" s="451" t="s">
        <v>3025</v>
      </c>
      <c r="D10259" s="451"/>
      <c r="E10259" s="451"/>
      <c r="F10259" s="451"/>
      <c r="G10259" s="451" t="s">
        <v>22877</v>
      </c>
      <c r="H10259" s="451" t="s">
        <v>22878</v>
      </c>
      <c r="I10259" s="451" t="s">
        <v>24200</v>
      </c>
      <c r="J10259" s="451" t="s">
        <v>22943</v>
      </c>
      <c r="K10259" s="451"/>
    </row>
    <row r="10260" spans="1:11">
      <c r="A10260" s="450" t="s">
        <v>16536</v>
      </c>
      <c r="B10260" s="450"/>
      <c r="C10260" s="450" t="s">
        <v>8753</v>
      </c>
      <c r="D10260" s="450"/>
      <c r="E10260" s="450"/>
      <c r="F10260" s="450"/>
      <c r="G10260" s="450"/>
      <c r="H10260" s="450"/>
      <c r="I10260" s="450"/>
      <c r="J10260" s="450"/>
      <c r="K10260" s="450"/>
    </row>
    <row r="10261" spans="1:11">
      <c r="A10261" s="451" t="s">
        <v>28866</v>
      </c>
      <c r="B10261" s="451"/>
      <c r="C10261" s="451" t="s">
        <v>8753</v>
      </c>
      <c r="D10261" s="451"/>
      <c r="E10261" s="451"/>
      <c r="F10261" s="451"/>
      <c r="G10261" s="451" t="s">
        <v>22882</v>
      </c>
      <c r="H10261" s="451" t="s">
        <v>22883</v>
      </c>
      <c r="I10261" s="451" t="s">
        <v>28867</v>
      </c>
      <c r="J10261" s="451" t="s">
        <v>22942</v>
      </c>
      <c r="K10261" s="451"/>
    </row>
    <row r="10262" spans="1:11">
      <c r="A10262" s="450" t="s">
        <v>21284</v>
      </c>
      <c r="B10262" s="450" t="s">
        <v>21285</v>
      </c>
      <c r="C10262" s="450" t="s">
        <v>13532</v>
      </c>
      <c r="D10262" s="450" t="s">
        <v>21286</v>
      </c>
      <c r="E10262" s="450"/>
      <c r="F10262" s="450"/>
      <c r="G10262" s="450"/>
      <c r="H10262" s="450"/>
      <c r="I10262" s="450"/>
      <c r="J10262" s="450"/>
      <c r="K10262" s="450"/>
    </row>
    <row r="10263" spans="1:11">
      <c r="A10263" s="451" t="s">
        <v>16537</v>
      </c>
      <c r="B10263" s="451"/>
      <c r="C10263" s="451"/>
      <c r="D10263" s="451"/>
      <c r="E10263" s="451"/>
      <c r="F10263" s="451" t="s">
        <v>38376</v>
      </c>
      <c r="G10263" s="451" t="s">
        <v>22877</v>
      </c>
      <c r="H10263" s="451" t="s">
        <v>22878</v>
      </c>
      <c r="I10263" s="451" t="s">
        <v>38377</v>
      </c>
      <c r="J10263" s="451" t="s">
        <v>24578</v>
      </c>
      <c r="K10263" s="451"/>
    </row>
    <row r="10264" spans="1:11">
      <c r="A10264" s="450" t="s">
        <v>16537</v>
      </c>
      <c r="B10264" s="450"/>
      <c r="C10264" s="450"/>
      <c r="D10264" s="450"/>
      <c r="E10264" s="450"/>
      <c r="F10264" s="450" t="s">
        <v>16538</v>
      </c>
      <c r="G10264" s="450"/>
      <c r="H10264" s="450"/>
      <c r="I10264" s="450"/>
      <c r="J10264" s="450"/>
      <c r="K10264" s="450"/>
    </row>
    <row r="10265" spans="1:11">
      <c r="A10265" s="451" t="s">
        <v>38378</v>
      </c>
      <c r="B10265" s="451"/>
      <c r="C10265" s="451" t="s">
        <v>16540</v>
      </c>
      <c r="D10265" s="451"/>
      <c r="E10265" s="451"/>
      <c r="F10265" s="451"/>
      <c r="G10265" s="451" t="s">
        <v>22877</v>
      </c>
      <c r="H10265" s="451" t="s">
        <v>22878</v>
      </c>
      <c r="I10265" s="451" t="s">
        <v>38379</v>
      </c>
      <c r="J10265" s="451" t="s">
        <v>22997</v>
      </c>
      <c r="K10265" s="451"/>
    </row>
    <row r="10266" spans="1:11">
      <c r="A10266" s="450" t="s">
        <v>16539</v>
      </c>
      <c r="B10266" s="450"/>
      <c r="C10266" s="450" t="s">
        <v>16540</v>
      </c>
      <c r="D10266" s="450"/>
      <c r="E10266" s="450"/>
      <c r="F10266" s="450"/>
      <c r="G10266" s="450"/>
      <c r="H10266" s="450"/>
      <c r="I10266" s="450"/>
      <c r="J10266" s="450"/>
      <c r="K10266" s="450"/>
    </row>
    <row r="10267" spans="1:11">
      <c r="A10267" s="451" t="s">
        <v>16541</v>
      </c>
      <c r="B10267" s="451"/>
      <c r="C10267" s="451" t="s">
        <v>1658</v>
      </c>
      <c r="D10267" s="451"/>
      <c r="E10267" s="451"/>
      <c r="F10267" s="451"/>
      <c r="G10267" s="451" t="s">
        <v>22882</v>
      </c>
      <c r="H10267" s="451" t="s">
        <v>22883</v>
      </c>
      <c r="I10267" s="451" t="s">
        <v>38380</v>
      </c>
      <c r="J10267" s="451" t="s">
        <v>23121</v>
      </c>
      <c r="K10267" s="451"/>
    </row>
    <row r="10268" spans="1:11">
      <c r="A10268" s="450" t="s">
        <v>16542</v>
      </c>
      <c r="B10268" s="450"/>
      <c r="C10268" s="450" t="s">
        <v>16543</v>
      </c>
      <c r="D10268" s="450"/>
      <c r="E10268" s="450"/>
      <c r="F10268" s="450"/>
      <c r="G10268" s="450" t="s">
        <v>22882</v>
      </c>
      <c r="H10268" s="450" t="s">
        <v>22883</v>
      </c>
      <c r="I10268" s="450" t="s">
        <v>38381</v>
      </c>
      <c r="J10268" s="450" t="s">
        <v>23185</v>
      </c>
      <c r="K10268" s="450"/>
    </row>
    <row r="10269" spans="1:11">
      <c r="A10269" s="451" t="s">
        <v>38382</v>
      </c>
      <c r="B10269" s="451"/>
      <c r="C10269" s="451" t="s">
        <v>7145</v>
      </c>
      <c r="D10269" s="451"/>
      <c r="E10269" s="451"/>
      <c r="F10269" s="451"/>
      <c r="G10269" s="451" t="s">
        <v>22877</v>
      </c>
      <c r="H10269" s="451" t="s">
        <v>22878</v>
      </c>
      <c r="I10269" s="451" t="s">
        <v>38383</v>
      </c>
      <c r="J10269" s="451" t="s">
        <v>23185</v>
      </c>
      <c r="K10269" s="451"/>
    </row>
    <row r="10270" spans="1:11">
      <c r="A10270" s="450" t="s">
        <v>16544</v>
      </c>
      <c r="B10270" s="450"/>
      <c r="C10270" s="450" t="s">
        <v>7145</v>
      </c>
      <c r="D10270" s="450"/>
      <c r="E10270" s="450"/>
      <c r="F10270" s="450"/>
      <c r="G10270" s="450"/>
      <c r="H10270" s="450"/>
      <c r="I10270" s="450"/>
      <c r="J10270" s="450"/>
      <c r="K10270" s="450"/>
    </row>
    <row r="10271" spans="1:11">
      <c r="A10271" s="451" t="s">
        <v>21957</v>
      </c>
      <c r="B10271" s="451"/>
      <c r="C10271" s="451" t="s">
        <v>16545</v>
      </c>
      <c r="D10271" s="451"/>
      <c r="E10271" s="451"/>
      <c r="F10271" s="451"/>
      <c r="G10271" s="451" t="s">
        <v>22877</v>
      </c>
      <c r="H10271" s="451" t="s">
        <v>22878</v>
      </c>
      <c r="I10271" s="451" t="s">
        <v>28868</v>
      </c>
      <c r="J10271" s="451" t="s">
        <v>23185</v>
      </c>
      <c r="K10271" s="451"/>
    </row>
    <row r="10272" spans="1:11">
      <c r="A10272" s="450" t="s">
        <v>32011</v>
      </c>
      <c r="B10272" s="450" t="s">
        <v>16323</v>
      </c>
      <c r="C10272" s="450" t="s">
        <v>16324</v>
      </c>
      <c r="D10272" s="450" t="s">
        <v>16325</v>
      </c>
      <c r="E10272" s="450"/>
      <c r="F10272" s="450"/>
      <c r="G10272" s="450" t="s">
        <v>22877</v>
      </c>
      <c r="H10272" s="450" t="s">
        <v>22878</v>
      </c>
      <c r="I10272" s="450" t="s">
        <v>16325</v>
      </c>
      <c r="J10272" s="450" t="s">
        <v>28869</v>
      </c>
      <c r="K10272" s="450"/>
    </row>
    <row r="10273" spans="1:11">
      <c r="A10273" s="451" t="s">
        <v>16546</v>
      </c>
      <c r="B10273" s="451"/>
      <c r="C10273" s="451" t="s">
        <v>6305</v>
      </c>
      <c r="D10273" s="451"/>
      <c r="E10273" s="451"/>
      <c r="F10273" s="451"/>
      <c r="G10273" s="451" t="s">
        <v>22877</v>
      </c>
      <c r="H10273" s="451" t="s">
        <v>22878</v>
      </c>
      <c r="I10273" s="451" t="s">
        <v>38384</v>
      </c>
      <c r="J10273" s="451" t="s">
        <v>23121</v>
      </c>
      <c r="K10273" s="451"/>
    </row>
    <row r="10274" spans="1:11">
      <c r="A10274" s="450" t="s">
        <v>38385</v>
      </c>
      <c r="B10274" s="450"/>
      <c r="C10274" s="450" t="s">
        <v>16548</v>
      </c>
      <c r="D10274" s="450"/>
      <c r="E10274" s="450"/>
      <c r="F10274" s="450"/>
      <c r="G10274" s="450" t="s">
        <v>22877</v>
      </c>
      <c r="H10274" s="450" t="s">
        <v>22878</v>
      </c>
      <c r="I10274" s="450"/>
      <c r="J10274" s="450" t="s">
        <v>23121</v>
      </c>
      <c r="K10274" s="450"/>
    </row>
    <row r="10275" spans="1:11">
      <c r="A10275" s="451" t="s">
        <v>16547</v>
      </c>
      <c r="B10275" s="451"/>
      <c r="C10275" s="451" t="s">
        <v>16548</v>
      </c>
      <c r="D10275" s="451"/>
      <c r="E10275" s="451"/>
      <c r="F10275" s="451"/>
      <c r="G10275" s="451"/>
      <c r="H10275" s="451"/>
      <c r="I10275" s="451"/>
      <c r="J10275" s="451"/>
      <c r="K10275" s="451"/>
    </row>
    <row r="10276" spans="1:11">
      <c r="A10276" s="450" t="s">
        <v>16549</v>
      </c>
      <c r="B10276" s="450"/>
      <c r="C10276" s="450" t="s">
        <v>1249</v>
      </c>
      <c r="D10276" s="450"/>
      <c r="E10276" s="450"/>
      <c r="F10276" s="450"/>
      <c r="G10276" s="450" t="s">
        <v>22882</v>
      </c>
      <c r="H10276" s="450" t="s">
        <v>22883</v>
      </c>
      <c r="I10276" s="450" t="s">
        <v>38386</v>
      </c>
      <c r="J10276" s="450" t="s">
        <v>23121</v>
      </c>
      <c r="K10276" s="450"/>
    </row>
    <row r="10277" spans="1:11">
      <c r="A10277" s="451" t="s">
        <v>16550</v>
      </c>
      <c r="B10277" s="451"/>
      <c r="C10277" s="451" t="s">
        <v>16551</v>
      </c>
      <c r="D10277" s="451"/>
      <c r="E10277" s="451"/>
      <c r="F10277" s="451"/>
      <c r="G10277" s="451" t="s">
        <v>22882</v>
      </c>
      <c r="H10277" s="451" t="s">
        <v>22883</v>
      </c>
      <c r="I10277" s="451"/>
      <c r="J10277" s="451" t="s">
        <v>23370</v>
      </c>
      <c r="K10277" s="451"/>
    </row>
    <row r="10278" spans="1:11">
      <c r="A10278" s="450" t="s">
        <v>38387</v>
      </c>
      <c r="B10278" s="450" t="s">
        <v>16553</v>
      </c>
      <c r="C10278" s="450" t="s">
        <v>16554</v>
      </c>
      <c r="D10278" s="450"/>
      <c r="E10278" s="450"/>
      <c r="F10278" s="450" t="s">
        <v>16555</v>
      </c>
      <c r="G10278" s="450" t="s">
        <v>22877</v>
      </c>
      <c r="H10278" s="450" t="s">
        <v>22878</v>
      </c>
      <c r="I10278" s="450" t="s">
        <v>38388</v>
      </c>
      <c r="J10278" s="450" t="s">
        <v>38389</v>
      </c>
      <c r="K10278" s="450"/>
    </row>
    <row r="10279" spans="1:11">
      <c r="A10279" s="451" t="s">
        <v>16552</v>
      </c>
      <c r="B10279" s="451" t="s">
        <v>16553</v>
      </c>
      <c r="C10279" s="451" t="s">
        <v>16554</v>
      </c>
      <c r="D10279" s="451"/>
      <c r="E10279" s="451"/>
      <c r="F10279" s="451" t="s">
        <v>16555</v>
      </c>
      <c r="G10279" s="451"/>
      <c r="H10279" s="451"/>
      <c r="I10279" s="451"/>
      <c r="J10279" s="451"/>
      <c r="K10279" s="451"/>
    </row>
    <row r="10280" spans="1:11">
      <c r="A10280" s="450" t="s">
        <v>16556</v>
      </c>
      <c r="B10280" s="450"/>
      <c r="C10280" s="450" t="s">
        <v>7868</v>
      </c>
      <c r="D10280" s="450"/>
      <c r="E10280" s="450"/>
      <c r="F10280" s="450"/>
      <c r="G10280" s="450" t="s">
        <v>22882</v>
      </c>
      <c r="H10280" s="450" t="s">
        <v>22883</v>
      </c>
      <c r="I10280" s="450" t="s">
        <v>7869</v>
      </c>
      <c r="J10280" s="450" t="s">
        <v>22943</v>
      </c>
      <c r="K10280" s="450"/>
    </row>
    <row r="10281" spans="1:11">
      <c r="A10281" s="451" t="s">
        <v>16557</v>
      </c>
      <c r="B10281" s="451"/>
      <c r="C10281" s="451" t="s">
        <v>6282</v>
      </c>
      <c r="D10281" s="451"/>
      <c r="E10281" s="451"/>
      <c r="F10281" s="451"/>
      <c r="G10281" s="451" t="s">
        <v>22877</v>
      </c>
      <c r="H10281" s="451" t="s">
        <v>22878</v>
      </c>
      <c r="I10281" s="451" t="s">
        <v>38390</v>
      </c>
      <c r="J10281" s="451" t="s">
        <v>22942</v>
      </c>
      <c r="K10281" s="451"/>
    </row>
    <row r="10282" spans="1:11">
      <c r="A10282" s="450" t="s">
        <v>21958</v>
      </c>
      <c r="B10282" s="450"/>
      <c r="C10282" s="450" t="s">
        <v>16558</v>
      </c>
      <c r="D10282" s="450"/>
      <c r="E10282" s="450"/>
      <c r="F10282" s="450"/>
      <c r="G10282" s="450" t="s">
        <v>22877</v>
      </c>
      <c r="H10282" s="450" t="s">
        <v>22878</v>
      </c>
      <c r="I10282" s="450" t="s">
        <v>38391</v>
      </c>
      <c r="J10282" s="450" t="s">
        <v>28403</v>
      </c>
      <c r="K10282" s="450"/>
    </row>
    <row r="10283" spans="1:11">
      <c r="A10283" s="451" t="s">
        <v>16559</v>
      </c>
      <c r="B10283" s="451"/>
      <c r="C10283" s="451" t="s">
        <v>16560</v>
      </c>
      <c r="D10283" s="451"/>
      <c r="E10283" s="451"/>
      <c r="F10283" s="451"/>
      <c r="G10283" s="451" t="s">
        <v>22877</v>
      </c>
      <c r="H10283" s="451" t="s">
        <v>22878</v>
      </c>
      <c r="I10283" s="451" t="s">
        <v>38392</v>
      </c>
      <c r="J10283" s="451" t="s">
        <v>22997</v>
      </c>
      <c r="K10283" s="451"/>
    </row>
    <row r="10284" spans="1:11">
      <c r="A10284" s="450" t="s">
        <v>16561</v>
      </c>
      <c r="B10284" s="450"/>
      <c r="C10284" s="450" t="s">
        <v>16562</v>
      </c>
      <c r="D10284" s="450"/>
      <c r="E10284" s="450"/>
      <c r="F10284" s="450"/>
      <c r="G10284" s="450" t="s">
        <v>22877</v>
      </c>
      <c r="H10284" s="450" t="s">
        <v>22878</v>
      </c>
      <c r="I10284" s="450" t="s">
        <v>38393</v>
      </c>
      <c r="J10284" s="450" t="s">
        <v>28870</v>
      </c>
      <c r="K10284" s="450"/>
    </row>
    <row r="10285" spans="1:11">
      <c r="A10285" s="451" t="s">
        <v>16563</v>
      </c>
      <c r="B10285" s="451"/>
      <c r="C10285" s="451" t="s">
        <v>16564</v>
      </c>
      <c r="D10285" s="451"/>
      <c r="E10285" s="451"/>
      <c r="F10285" s="451"/>
      <c r="G10285" s="451" t="s">
        <v>22877</v>
      </c>
      <c r="H10285" s="451" t="s">
        <v>22878</v>
      </c>
      <c r="I10285" s="451" t="s">
        <v>38394</v>
      </c>
      <c r="J10285" s="451" t="s">
        <v>22942</v>
      </c>
      <c r="K10285" s="451"/>
    </row>
    <row r="10286" spans="1:11">
      <c r="A10286" s="450" t="s">
        <v>38395</v>
      </c>
      <c r="B10286" s="450"/>
      <c r="C10286" s="450" t="s">
        <v>16566</v>
      </c>
      <c r="D10286" s="450"/>
      <c r="E10286" s="450"/>
      <c r="F10286" s="450"/>
      <c r="G10286" s="450" t="s">
        <v>22882</v>
      </c>
      <c r="H10286" s="450" t="s">
        <v>22883</v>
      </c>
      <c r="I10286" s="450"/>
      <c r="J10286" s="450" t="s">
        <v>22942</v>
      </c>
      <c r="K10286" s="450"/>
    </row>
    <row r="10287" spans="1:11">
      <c r="A10287" s="451" t="s">
        <v>16565</v>
      </c>
      <c r="B10287" s="451"/>
      <c r="C10287" s="451" t="s">
        <v>16566</v>
      </c>
      <c r="D10287" s="451"/>
      <c r="E10287" s="451"/>
      <c r="F10287" s="451"/>
      <c r="G10287" s="451"/>
      <c r="H10287" s="451"/>
      <c r="I10287" s="451"/>
      <c r="J10287" s="451"/>
      <c r="K10287" s="451"/>
    </row>
    <row r="10288" spans="1:11">
      <c r="A10288" s="450" t="s">
        <v>16567</v>
      </c>
      <c r="B10288" s="450" t="s">
        <v>16568</v>
      </c>
      <c r="C10288" s="450" t="s">
        <v>16569</v>
      </c>
      <c r="D10288" s="450" t="s">
        <v>16570</v>
      </c>
      <c r="E10288" s="450"/>
      <c r="F10288" s="450"/>
      <c r="G10288" s="450" t="s">
        <v>22877</v>
      </c>
      <c r="H10288" s="450" t="s">
        <v>22878</v>
      </c>
      <c r="I10288" s="450" t="s">
        <v>38396</v>
      </c>
      <c r="J10288" s="450" t="s">
        <v>38397</v>
      </c>
      <c r="K10288" s="450"/>
    </row>
    <row r="10289" spans="1:11">
      <c r="A10289" s="451" t="s">
        <v>16567</v>
      </c>
      <c r="B10289" s="451" t="s">
        <v>16568</v>
      </c>
      <c r="C10289" s="451" t="s">
        <v>16569</v>
      </c>
      <c r="D10289" s="451" t="s">
        <v>16570</v>
      </c>
      <c r="E10289" s="451" t="s">
        <v>16571</v>
      </c>
      <c r="F10289" s="451"/>
      <c r="G10289" s="451"/>
      <c r="H10289" s="451"/>
      <c r="I10289" s="451"/>
      <c r="J10289" s="451"/>
      <c r="K10289" s="451"/>
    </row>
    <row r="10290" spans="1:11">
      <c r="A10290" s="450" t="s">
        <v>16572</v>
      </c>
      <c r="B10290" s="450"/>
      <c r="C10290" s="450" t="s">
        <v>16573</v>
      </c>
      <c r="D10290" s="450"/>
      <c r="E10290" s="450"/>
      <c r="F10290" s="450"/>
      <c r="G10290" s="450" t="s">
        <v>22877</v>
      </c>
      <c r="H10290" s="450" t="s">
        <v>22878</v>
      </c>
      <c r="I10290" s="450" t="s">
        <v>38398</v>
      </c>
      <c r="J10290" s="450" t="s">
        <v>22942</v>
      </c>
      <c r="K10290" s="450"/>
    </row>
    <row r="10291" spans="1:11">
      <c r="A10291" s="451" t="s">
        <v>16574</v>
      </c>
      <c r="B10291" s="451"/>
      <c r="C10291" s="451" t="s">
        <v>10605</v>
      </c>
      <c r="D10291" s="451"/>
      <c r="E10291" s="451"/>
      <c r="F10291" s="451"/>
      <c r="G10291" s="451" t="s">
        <v>22877</v>
      </c>
      <c r="H10291" s="451" t="s">
        <v>22878</v>
      </c>
      <c r="I10291" s="451" t="s">
        <v>38399</v>
      </c>
      <c r="J10291" s="451" t="s">
        <v>22939</v>
      </c>
      <c r="K10291" s="451"/>
    </row>
    <row r="10292" spans="1:11">
      <c r="A10292" s="450" t="s">
        <v>16575</v>
      </c>
      <c r="B10292" s="450"/>
      <c r="C10292" s="450" t="s">
        <v>16576</v>
      </c>
      <c r="D10292" s="450"/>
      <c r="E10292" s="450"/>
      <c r="F10292" s="450"/>
      <c r="G10292" s="450" t="s">
        <v>22882</v>
      </c>
      <c r="H10292" s="450" t="s">
        <v>22883</v>
      </c>
      <c r="I10292" s="450"/>
      <c r="J10292" s="450" t="s">
        <v>23185</v>
      </c>
      <c r="K10292" s="450"/>
    </row>
    <row r="10293" spans="1:11">
      <c r="A10293" s="451" t="s">
        <v>38400</v>
      </c>
      <c r="B10293" s="451"/>
      <c r="C10293" s="451" t="s">
        <v>9212</v>
      </c>
      <c r="D10293" s="451"/>
      <c r="E10293" s="451"/>
      <c r="F10293" s="451"/>
      <c r="G10293" s="451" t="s">
        <v>22882</v>
      </c>
      <c r="H10293" s="451" t="s">
        <v>22883</v>
      </c>
      <c r="I10293" s="451"/>
      <c r="J10293" s="451" t="s">
        <v>22942</v>
      </c>
      <c r="K10293" s="451"/>
    </row>
    <row r="10294" spans="1:11">
      <c r="A10294" s="450" t="s">
        <v>16577</v>
      </c>
      <c r="B10294" s="450"/>
      <c r="C10294" s="450" t="s">
        <v>9212</v>
      </c>
      <c r="D10294" s="450"/>
      <c r="E10294" s="450"/>
      <c r="F10294" s="450"/>
      <c r="G10294" s="450"/>
      <c r="H10294" s="450"/>
      <c r="I10294" s="450"/>
      <c r="J10294" s="450"/>
      <c r="K10294" s="450"/>
    </row>
    <row r="10295" spans="1:11">
      <c r="A10295" s="451" t="s">
        <v>16578</v>
      </c>
      <c r="B10295" s="451"/>
      <c r="C10295" s="451" t="s">
        <v>16579</v>
      </c>
      <c r="D10295" s="451"/>
      <c r="E10295" s="451"/>
      <c r="F10295" s="451"/>
      <c r="G10295" s="451" t="s">
        <v>22877</v>
      </c>
      <c r="H10295" s="451" t="s">
        <v>22878</v>
      </c>
      <c r="I10295" s="451" t="s">
        <v>38401</v>
      </c>
      <c r="J10295" s="451" t="s">
        <v>22939</v>
      </c>
      <c r="K10295" s="451"/>
    </row>
    <row r="10296" spans="1:11">
      <c r="A10296" s="450" t="s">
        <v>16580</v>
      </c>
      <c r="B10296" s="450"/>
      <c r="C10296" s="450" t="s">
        <v>2139</v>
      </c>
      <c r="D10296" s="450"/>
      <c r="E10296" s="450"/>
      <c r="F10296" s="450"/>
      <c r="G10296" s="450" t="s">
        <v>22877</v>
      </c>
      <c r="H10296" s="450" t="s">
        <v>22878</v>
      </c>
      <c r="I10296" s="450" t="s">
        <v>38402</v>
      </c>
      <c r="J10296" s="450" t="s">
        <v>22942</v>
      </c>
      <c r="K10296" s="450"/>
    </row>
    <row r="10297" spans="1:11">
      <c r="A10297" s="451" t="s">
        <v>38403</v>
      </c>
      <c r="B10297" s="451"/>
      <c r="C10297" s="451" t="s">
        <v>7671</v>
      </c>
      <c r="D10297" s="451"/>
      <c r="E10297" s="451"/>
      <c r="F10297" s="451"/>
      <c r="G10297" s="451" t="s">
        <v>22877</v>
      </c>
      <c r="H10297" s="451" t="s">
        <v>22878</v>
      </c>
      <c r="I10297" s="451" t="s">
        <v>38404</v>
      </c>
      <c r="J10297" s="451" t="s">
        <v>28871</v>
      </c>
      <c r="K10297" s="451"/>
    </row>
    <row r="10298" spans="1:11">
      <c r="A10298" s="450" t="s">
        <v>16581</v>
      </c>
      <c r="B10298" s="450"/>
      <c r="C10298" s="450" t="s">
        <v>7671</v>
      </c>
      <c r="D10298" s="450"/>
      <c r="E10298" s="450"/>
      <c r="F10298" s="450"/>
      <c r="G10298" s="450"/>
      <c r="H10298" s="450"/>
      <c r="I10298" s="450"/>
      <c r="J10298" s="450"/>
      <c r="K10298" s="450"/>
    </row>
    <row r="10299" spans="1:11">
      <c r="A10299" s="451" t="s">
        <v>16582</v>
      </c>
      <c r="B10299" s="451"/>
      <c r="C10299" s="451" t="s">
        <v>16583</v>
      </c>
      <c r="D10299" s="451"/>
      <c r="E10299" s="451"/>
      <c r="F10299" s="451"/>
      <c r="G10299" s="451" t="s">
        <v>22877</v>
      </c>
      <c r="H10299" s="451" t="s">
        <v>22878</v>
      </c>
      <c r="I10299" s="451" t="s">
        <v>28872</v>
      </c>
      <c r="J10299" s="451" t="s">
        <v>22997</v>
      </c>
      <c r="K10299" s="451"/>
    </row>
    <row r="10300" spans="1:11">
      <c r="A10300" s="450" t="s">
        <v>28873</v>
      </c>
      <c r="B10300" s="450" t="s">
        <v>28874</v>
      </c>
      <c r="C10300" s="450" t="s">
        <v>28875</v>
      </c>
      <c r="D10300" s="450"/>
      <c r="E10300" s="450"/>
      <c r="F10300" s="450"/>
      <c r="G10300" s="450" t="s">
        <v>28876</v>
      </c>
      <c r="H10300" s="450" t="s">
        <v>22878</v>
      </c>
      <c r="I10300" s="450"/>
      <c r="J10300" s="450" t="s">
        <v>28874</v>
      </c>
      <c r="K10300" s="450"/>
    </row>
    <row r="10301" spans="1:11">
      <c r="A10301" s="451" t="s">
        <v>16584</v>
      </c>
      <c r="B10301" s="451"/>
      <c r="C10301" s="451" t="s">
        <v>10415</v>
      </c>
      <c r="D10301" s="451"/>
      <c r="E10301" s="451"/>
      <c r="F10301" s="451"/>
      <c r="G10301" s="451" t="s">
        <v>22882</v>
      </c>
      <c r="H10301" s="451" t="s">
        <v>22883</v>
      </c>
      <c r="I10301" s="451" t="s">
        <v>38405</v>
      </c>
      <c r="J10301" s="451" t="s">
        <v>22942</v>
      </c>
      <c r="K10301" s="451"/>
    </row>
    <row r="10302" spans="1:11">
      <c r="A10302" s="450" t="s">
        <v>38406</v>
      </c>
      <c r="B10302" s="450"/>
      <c r="C10302" s="450" t="s">
        <v>16586</v>
      </c>
      <c r="D10302" s="450"/>
      <c r="E10302" s="450"/>
      <c r="F10302" s="450"/>
      <c r="G10302" s="450" t="s">
        <v>22877</v>
      </c>
      <c r="H10302" s="450" t="s">
        <v>22878</v>
      </c>
      <c r="I10302" s="450" t="s">
        <v>38407</v>
      </c>
      <c r="J10302" s="450" t="s">
        <v>22942</v>
      </c>
      <c r="K10302" s="450"/>
    </row>
    <row r="10303" spans="1:11">
      <c r="A10303" s="451" t="s">
        <v>16585</v>
      </c>
      <c r="B10303" s="451"/>
      <c r="C10303" s="451" t="s">
        <v>16586</v>
      </c>
      <c r="D10303" s="451"/>
      <c r="E10303" s="451"/>
      <c r="F10303" s="451"/>
      <c r="G10303" s="451"/>
      <c r="H10303" s="451"/>
      <c r="I10303" s="451"/>
      <c r="J10303" s="451"/>
      <c r="K10303" s="451"/>
    </row>
    <row r="10304" spans="1:11">
      <c r="A10304" s="450" t="s">
        <v>16587</v>
      </c>
      <c r="B10304" s="450"/>
      <c r="C10304" s="450" t="s">
        <v>8384</v>
      </c>
      <c r="D10304" s="450"/>
      <c r="E10304" s="450"/>
      <c r="F10304" s="450"/>
      <c r="G10304" s="450" t="s">
        <v>22882</v>
      </c>
      <c r="H10304" s="450" t="s">
        <v>22883</v>
      </c>
      <c r="I10304" s="450"/>
      <c r="J10304" s="450" t="s">
        <v>23121</v>
      </c>
      <c r="K10304" s="450"/>
    </row>
    <row r="10305" spans="1:11">
      <c r="A10305" s="451" t="s">
        <v>38408</v>
      </c>
      <c r="B10305" s="451"/>
      <c r="C10305" s="451" t="s">
        <v>14716</v>
      </c>
      <c r="D10305" s="451"/>
      <c r="E10305" s="451"/>
      <c r="F10305" s="451"/>
      <c r="G10305" s="451" t="s">
        <v>22877</v>
      </c>
      <c r="H10305" s="451" t="s">
        <v>22878</v>
      </c>
      <c r="I10305" s="451" t="s">
        <v>38409</v>
      </c>
      <c r="J10305" s="451" t="s">
        <v>22948</v>
      </c>
      <c r="K10305" s="451"/>
    </row>
    <row r="10306" spans="1:11">
      <c r="A10306" s="450" t="s">
        <v>16588</v>
      </c>
      <c r="B10306" s="450"/>
      <c r="C10306" s="450" t="s">
        <v>14716</v>
      </c>
      <c r="D10306" s="450"/>
      <c r="E10306" s="450"/>
      <c r="F10306" s="450"/>
      <c r="G10306" s="450"/>
      <c r="H10306" s="450"/>
      <c r="I10306" s="450"/>
      <c r="J10306" s="450"/>
      <c r="K10306" s="450"/>
    </row>
    <row r="10307" spans="1:11">
      <c r="A10307" s="451" t="s">
        <v>16589</v>
      </c>
      <c r="B10307" s="451"/>
      <c r="C10307" s="451" t="s">
        <v>16590</v>
      </c>
      <c r="D10307" s="451"/>
      <c r="E10307" s="451"/>
      <c r="F10307" s="451"/>
      <c r="G10307" s="451" t="s">
        <v>22877</v>
      </c>
      <c r="H10307" s="451" t="s">
        <v>22878</v>
      </c>
      <c r="I10307" s="451" t="s">
        <v>38410</v>
      </c>
      <c r="J10307" s="451" t="s">
        <v>22942</v>
      </c>
      <c r="K10307" s="451"/>
    </row>
    <row r="10308" spans="1:11">
      <c r="A10308" s="450" t="s">
        <v>28877</v>
      </c>
      <c r="B10308" s="450"/>
      <c r="C10308" s="450" t="s">
        <v>16596</v>
      </c>
      <c r="D10308" s="450"/>
      <c r="E10308" s="450"/>
      <c r="F10308" s="450"/>
      <c r="G10308" s="450" t="s">
        <v>22877</v>
      </c>
      <c r="H10308" s="450" t="s">
        <v>22878</v>
      </c>
      <c r="I10308" s="450" t="s">
        <v>28878</v>
      </c>
      <c r="J10308" s="450" t="s">
        <v>22942</v>
      </c>
      <c r="K10308" s="450"/>
    </row>
    <row r="10309" spans="1:11">
      <c r="A10309" s="451" t="s">
        <v>28879</v>
      </c>
      <c r="B10309" s="451" t="s">
        <v>28880</v>
      </c>
      <c r="C10309" s="451" t="s">
        <v>16593</v>
      </c>
      <c r="D10309" s="451" t="s">
        <v>16594</v>
      </c>
      <c r="E10309" s="451"/>
      <c r="F10309" s="451"/>
      <c r="G10309" s="451" t="s">
        <v>22877</v>
      </c>
      <c r="H10309" s="451" t="s">
        <v>22878</v>
      </c>
      <c r="I10309" s="451" t="s">
        <v>16594</v>
      </c>
      <c r="J10309" s="451" t="s">
        <v>28881</v>
      </c>
      <c r="K10309" s="451"/>
    </row>
    <row r="10310" spans="1:11">
      <c r="A10310" s="450" t="s">
        <v>38411</v>
      </c>
      <c r="B10310" s="450" t="s">
        <v>16598</v>
      </c>
      <c r="C10310" s="450" t="s">
        <v>7758</v>
      </c>
      <c r="D10310" s="450" t="s">
        <v>16599</v>
      </c>
      <c r="E10310" s="450"/>
      <c r="F10310" s="450"/>
      <c r="G10310" s="450" t="s">
        <v>22877</v>
      </c>
      <c r="H10310" s="450" t="s">
        <v>22878</v>
      </c>
      <c r="I10310" s="450" t="s">
        <v>16599</v>
      </c>
      <c r="J10310" s="450" t="s">
        <v>38412</v>
      </c>
      <c r="K10310" s="450"/>
    </row>
    <row r="10311" spans="1:11">
      <c r="A10311" s="451" t="s">
        <v>16591</v>
      </c>
      <c r="B10311" s="451" t="s">
        <v>16592</v>
      </c>
      <c r="C10311" s="451" t="s">
        <v>16593</v>
      </c>
      <c r="D10311" s="451" t="s">
        <v>16594</v>
      </c>
      <c r="E10311" s="451"/>
      <c r="F10311" s="451"/>
      <c r="G10311" s="451"/>
      <c r="H10311" s="451"/>
      <c r="I10311" s="451"/>
      <c r="J10311" s="451"/>
      <c r="K10311" s="451"/>
    </row>
    <row r="10312" spans="1:11">
      <c r="A10312" s="450" t="s">
        <v>16595</v>
      </c>
      <c r="B10312" s="450"/>
      <c r="C10312" s="450" t="s">
        <v>16596</v>
      </c>
      <c r="D10312" s="450"/>
      <c r="E10312" s="450"/>
      <c r="F10312" s="450"/>
      <c r="G10312" s="450"/>
      <c r="H10312" s="450"/>
      <c r="I10312" s="450"/>
      <c r="J10312" s="450"/>
      <c r="K10312" s="450"/>
    </row>
    <row r="10313" spans="1:11">
      <c r="A10313" s="451" t="s">
        <v>16597</v>
      </c>
      <c r="B10313" s="451" t="s">
        <v>16598</v>
      </c>
      <c r="C10313" s="451" t="s">
        <v>7758</v>
      </c>
      <c r="D10313" s="451" t="s">
        <v>16599</v>
      </c>
      <c r="E10313" s="451"/>
      <c r="F10313" s="451"/>
      <c r="G10313" s="451"/>
      <c r="H10313" s="451"/>
      <c r="I10313" s="451"/>
      <c r="J10313" s="451"/>
      <c r="K10313" s="451"/>
    </row>
    <row r="10314" spans="1:11">
      <c r="A10314" s="450" t="s">
        <v>16600</v>
      </c>
      <c r="B10314" s="450"/>
      <c r="C10314" s="450" t="s">
        <v>2110</v>
      </c>
      <c r="D10314" s="450"/>
      <c r="E10314" s="450"/>
      <c r="F10314" s="450"/>
      <c r="G10314" s="450" t="s">
        <v>22877</v>
      </c>
      <c r="H10314" s="450" t="s">
        <v>22878</v>
      </c>
      <c r="I10314" s="450" t="s">
        <v>28882</v>
      </c>
      <c r="J10314" s="450" t="s">
        <v>22997</v>
      </c>
      <c r="K10314" s="450"/>
    </row>
    <row r="10315" spans="1:11">
      <c r="A10315" s="451" t="s">
        <v>28883</v>
      </c>
      <c r="B10315" s="451" t="s">
        <v>28884</v>
      </c>
      <c r="C10315" s="451" t="s">
        <v>28885</v>
      </c>
      <c r="D10315" s="451" t="s">
        <v>28886</v>
      </c>
      <c r="E10315" s="451"/>
      <c r="F10315" s="451"/>
      <c r="G10315" s="451" t="s">
        <v>22877</v>
      </c>
      <c r="H10315" s="451" t="s">
        <v>22878</v>
      </c>
      <c r="I10315" s="451" t="s">
        <v>28886</v>
      </c>
      <c r="J10315" s="451" t="s">
        <v>28887</v>
      </c>
      <c r="K10315" s="451"/>
    </row>
    <row r="10316" spans="1:11">
      <c r="A10316" s="450" t="s">
        <v>16602</v>
      </c>
      <c r="B10316" s="450" t="s">
        <v>16603</v>
      </c>
      <c r="C10316" s="450" t="s">
        <v>16604</v>
      </c>
      <c r="D10316" s="450" t="s">
        <v>16605</v>
      </c>
      <c r="E10316" s="450"/>
      <c r="F10316" s="450" t="s">
        <v>32012</v>
      </c>
      <c r="G10316" s="450" t="s">
        <v>22877</v>
      </c>
      <c r="H10316" s="450" t="s">
        <v>22878</v>
      </c>
      <c r="I10316" s="450" t="s">
        <v>21293</v>
      </c>
      <c r="J10316" s="450" t="s">
        <v>28888</v>
      </c>
      <c r="K10316" s="450"/>
    </row>
    <row r="10317" spans="1:11">
      <c r="A10317" s="451" t="s">
        <v>16602</v>
      </c>
      <c r="B10317" s="451" t="s">
        <v>16603</v>
      </c>
      <c r="C10317" s="451" t="s">
        <v>16604</v>
      </c>
      <c r="D10317" s="451" t="s">
        <v>16605</v>
      </c>
      <c r="E10317" s="451" t="s">
        <v>16606</v>
      </c>
      <c r="F10317" s="451" t="s">
        <v>16601</v>
      </c>
      <c r="G10317" s="451"/>
      <c r="H10317" s="451"/>
      <c r="I10317" s="451"/>
      <c r="J10317" s="451"/>
      <c r="K10317" s="451"/>
    </row>
    <row r="10318" spans="1:11">
      <c r="A10318" s="450" t="s">
        <v>16607</v>
      </c>
      <c r="B10318" s="450"/>
      <c r="C10318" s="450" t="s">
        <v>2285</v>
      </c>
      <c r="D10318" s="450"/>
      <c r="E10318" s="450"/>
      <c r="F10318" s="450"/>
      <c r="G10318" s="450" t="s">
        <v>22882</v>
      </c>
      <c r="H10318" s="450" t="s">
        <v>22883</v>
      </c>
      <c r="I10318" s="450"/>
      <c r="J10318" s="450" t="s">
        <v>22942</v>
      </c>
      <c r="K10318" s="450"/>
    </row>
    <row r="10319" spans="1:11">
      <c r="A10319" s="451" t="s">
        <v>28889</v>
      </c>
      <c r="B10319" s="451" t="s">
        <v>16609</v>
      </c>
      <c r="C10319" s="451" t="s">
        <v>4400</v>
      </c>
      <c r="D10319" s="451" t="s">
        <v>16610</v>
      </c>
      <c r="E10319" s="451"/>
      <c r="F10319" s="451"/>
      <c r="G10319" s="451" t="s">
        <v>22877</v>
      </c>
      <c r="H10319" s="451" t="s">
        <v>22878</v>
      </c>
      <c r="I10319" s="451" t="s">
        <v>28890</v>
      </c>
      <c r="J10319" s="451" t="s">
        <v>28891</v>
      </c>
      <c r="K10319" s="451"/>
    </row>
    <row r="10320" spans="1:11">
      <c r="A10320" s="450" t="s">
        <v>16608</v>
      </c>
      <c r="B10320" s="450" t="s">
        <v>16609</v>
      </c>
      <c r="C10320" s="450" t="s">
        <v>4400</v>
      </c>
      <c r="D10320" s="450" t="s">
        <v>16610</v>
      </c>
      <c r="E10320" s="450" t="s">
        <v>16611</v>
      </c>
      <c r="F10320" s="450"/>
      <c r="G10320" s="450"/>
      <c r="H10320" s="450"/>
      <c r="I10320" s="450"/>
      <c r="J10320" s="450"/>
      <c r="K10320" s="450"/>
    </row>
    <row r="10321" spans="1:11">
      <c r="A10321" s="451" t="s">
        <v>16612</v>
      </c>
      <c r="B10321" s="451"/>
      <c r="C10321" s="451" t="s">
        <v>3720</v>
      </c>
      <c r="D10321" s="451"/>
      <c r="E10321" s="451"/>
      <c r="F10321" s="451"/>
      <c r="G10321" s="451"/>
      <c r="H10321" s="451"/>
      <c r="I10321" s="451"/>
      <c r="J10321" s="451"/>
      <c r="K10321" s="451"/>
    </row>
    <row r="10322" spans="1:11">
      <c r="A10322" s="450" t="s">
        <v>28892</v>
      </c>
      <c r="B10322" s="450"/>
      <c r="C10322" s="450" t="s">
        <v>3720</v>
      </c>
      <c r="D10322" s="450"/>
      <c r="E10322" s="450"/>
      <c r="F10322" s="450"/>
      <c r="G10322" s="450" t="s">
        <v>22877</v>
      </c>
      <c r="H10322" s="450" t="s">
        <v>22878</v>
      </c>
      <c r="I10322" s="450" t="s">
        <v>28893</v>
      </c>
      <c r="J10322" s="450" t="s">
        <v>22942</v>
      </c>
      <c r="K10322" s="450"/>
    </row>
    <row r="10323" spans="1:11">
      <c r="A10323" s="451" t="s">
        <v>28894</v>
      </c>
      <c r="B10323" s="451" t="s">
        <v>16328</v>
      </c>
      <c r="C10323" s="451" t="s">
        <v>16329</v>
      </c>
      <c r="D10323" s="451" t="s">
        <v>16330</v>
      </c>
      <c r="E10323" s="451"/>
      <c r="F10323" s="451"/>
      <c r="G10323" s="451" t="s">
        <v>22877</v>
      </c>
      <c r="H10323" s="451" t="s">
        <v>22878</v>
      </c>
      <c r="I10323" s="451" t="s">
        <v>28895</v>
      </c>
      <c r="J10323" s="451" t="s">
        <v>28896</v>
      </c>
      <c r="K10323" s="451"/>
    </row>
    <row r="10324" spans="1:11">
      <c r="A10324" s="450" t="s">
        <v>16613</v>
      </c>
      <c r="B10324" s="450"/>
      <c r="C10324" s="450" t="s">
        <v>6059</v>
      </c>
      <c r="D10324" s="450"/>
      <c r="E10324" s="450"/>
      <c r="F10324" s="450"/>
      <c r="G10324" s="450" t="s">
        <v>22877</v>
      </c>
      <c r="H10324" s="450" t="s">
        <v>22878</v>
      </c>
      <c r="I10324" s="450" t="s">
        <v>38413</v>
      </c>
      <c r="J10324" s="450" t="s">
        <v>22942</v>
      </c>
      <c r="K10324" s="450"/>
    </row>
    <row r="10325" spans="1:11">
      <c r="A10325" s="451" t="s">
        <v>16614</v>
      </c>
      <c r="B10325" s="451"/>
      <c r="C10325" s="451" t="s">
        <v>2727</v>
      </c>
      <c r="D10325" s="451"/>
      <c r="E10325" s="451"/>
      <c r="F10325" s="451"/>
      <c r="G10325" s="451" t="s">
        <v>22877</v>
      </c>
      <c r="H10325" s="451" t="s">
        <v>22878</v>
      </c>
      <c r="I10325" s="451" t="s">
        <v>28897</v>
      </c>
      <c r="J10325" s="451" t="s">
        <v>22942</v>
      </c>
      <c r="K10325" s="451"/>
    </row>
    <row r="10326" spans="1:11">
      <c r="A10326" s="450" t="s">
        <v>16615</v>
      </c>
      <c r="B10326" s="450" t="s">
        <v>16616</v>
      </c>
      <c r="C10326" s="450" t="s">
        <v>4904</v>
      </c>
      <c r="D10326" s="450" t="s">
        <v>16617</v>
      </c>
      <c r="E10326" s="450"/>
      <c r="F10326" s="450"/>
      <c r="G10326" s="450" t="s">
        <v>22877</v>
      </c>
      <c r="H10326" s="450" t="s">
        <v>22878</v>
      </c>
      <c r="I10326" s="450" t="s">
        <v>28898</v>
      </c>
      <c r="J10326" s="450" t="s">
        <v>28899</v>
      </c>
      <c r="K10326" s="450"/>
    </row>
    <row r="10327" spans="1:11">
      <c r="A10327" s="451" t="s">
        <v>38414</v>
      </c>
      <c r="B10327" s="451"/>
      <c r="C10327" s="451" t="s">
        <v>16619</v>
      </c>
      <c r="D10327" s="451"/>
      <c r="E10327" s="451"/>
      <c r="F10327" s="451"/>
      <c r="G10327" s="451" t="s">
        <v>22877</v>
      </c>
      <c r="H10327" s="451" t="s">
        <v>22878</v>
      </c>
      <c r="I10327" s="451" t="s">
        <v>38415</v>
      </c>
      <c r="J10327" s="451" t="s">
        <v>22942</v>
      </c>
      <c r="K10327" s="451"/>
    </row>
    <row r="10328" spans="1:11">
      <c r="A10328" s="450" t="s">
        <v>16618</v>
      </c>
      <c r="B10328" s="450"/>
      <c r="C10328" s="450" t="s">
        <v>16619</v>
      </c>
      <c r="D10328" s="450"/>
      <c r="E10328" s="450"/>
      <c r="F10328" s="450"/>
      <c r="G10328" s="450"/>
      <c r="H10328" s="450"/>
      <c r="I10328" s="450"/>
      <c r="J10328" s="450"/>
      <c r="K10328" s="450"/>
    </row>
    <row r="10329" spans="1:11">
      <c r="A10329" s="451" t="s">
        <v>38416</v>
      </c>
      <c r="B10329" s="451"/>
      <c r="C10329" s="451" t="s">
        <v>16621</v>
      </c>
      <c r="D10329" s="451"/>
      <c r="E10329" s="451"/>
      <c r="F10329" s="451"/>
      <c r="G10329" s="451" t="s">
        <v>22877</v>
      </c>
      <c r="H10329" s="451" t="s">
        <v>22878</v>
      </c>
      <c r="I10329" s="451" t="s">
        <v>38417</v>
      </c>
      <c r="J10329" s="451" t="s">
        <v>22942</v>
      </c>
      <c r="K10329" s="451"/>
    </row>
    <row r="10330" spans="1:11">
      <c r="A10330" s="450" t="s">
        <v>16620</v>
      </c>
      <c r="B10330" s="450"/>
      <c r="C10330" s="450" t="s">
        <v>16621</v>
      </c>
      <c r="D10330" s="450"/>
      <c r="E10330" s="450"/>
      <c r="F10330" s="450"/>
      <c r="G10330" s="450"/>
      <c r="H10330" s="450"/>
      <c r="I10330" s="450"/>
      <c r="J10330" s="450"/>
      <c r="K10330" s="450"/>
    </row>
    <row r="10331" spans="1:11">
      <c r="A10331" s="451" t="s">
        <v>16622</v>
      </c>
      <c r="B10331" s="451"/>
      <c r="C10331" s="451" t="s">
        <v>4601</v>
      </c>
      <c r="D10331" s="451"/>
      <c r="E10331" s="451"/>
      <c r="F10331" s="451"/>
      <c r="G10331" s="451" t="s">
        <v>22877</v>
      </c>
      <c r="H10331" s="451" t="s">
        <v>22878</v>
      </c>
      <c r="I10331" s="451" t="s">
        <v>38418</v>
      </c>
      <c r="J10331" s="451" t="s">
        <v>22942</v>
      </c>
      <c r="K10331" s="451"/>
    </row>
    <row r="10332" spans="1:11">
      <c r="A10332" s="450" t="s">
        <v>16623</v>
      </c>
      <c r="B10332" s="450"/>
      <c r="C10332" s="450" t="s">
        <v>6305</v>
      </c>
      <c r="D10332" s="450"/>
      <c r="E10332" s="450"/>
      <c r="F10332" s="450"/>
      <c r="G10332" s="450" t="s">
        <v>22877</v>
      </c>
      <c r="H10332" s="450" t="s">
        <v>22878</v>
      </c>
      <c r="I10332" s="450" t="s">
        <v>38419</v>
      </c>
      <c r="J10332" s="450" t="s">
        <v>22939</v>
      </c>
      <c r="K10332" s="450"/>
    </row>
    <row r="10333" spans="1:11">
      <c r="A10333" s="451" t="s">
        <v>28900</v>
      </c>
      <c r="B10333" s="451"/>
      <c r="C10333" s="451" t="s">
        <v>16625</v>
      </c>
      <c r="D10333" s="451"/>
      <c r="E10333" s="451"/>
      <c r="F10333" s="451"/>
      <c r="G10333" s="451" t="s">
        <v>22882</v>
      </c>
      <c r="H10333" s="451" t="s">
        <v>22883</v>
      </c>
      <c r="I10333" s="451"/>
      <c r="J10333" s="451" t="s">
        <v>22948</v>
      </c>
      <c r="K10333" s="451"/>
    </row>
    <row r="10334" spans="1:11">
      <c r="A10334" s="450" t="s">
        <v>28901</v>
      </c>
      <c r="B10334" s="450" t="s">
        <v>28902</v>
      </c>
      <c r="C10334" s="450" t="s">
        <v>16628</v>
      </c>
      <c r="D10334" s="450"/>
      <c r="E10334" s="450"/>
      <c r="F10334" s="450"/>
      <c r="G10334" s="450" t="s">
        <v>22877</v>
      </c>
      <c r="H10334" s="450" t="s">
        <v>22878</v>
      </c>
      <c r="I10334" s="450" t="s">
        <v>28903</v>
      </c>
      <c r="J10334" s="450" t="s">
        <v>28904</v>
      </c>
      <c r="K10334" s="450"/>
    </row>
    <row r="10335" spans="1:11">
      <c r="A10335" s="451" t="s">
        <v>16624</v>
      </c>
      <c r="B10335" s="451"/>
      <c r="C10335" s="451" t="s">
        <v>16625</v>
      </c>
      <c r="D10335" s="451"/>
      <c r="E10335" s="451"/>
      <c r="F10335" s="451"/>
      <c r="G10335" s="451"/>
      <c r="H10335" s="451"/>
      <c r="I10335" s="451"/>
      <c r="J10335" s="451"/>
      <c r="K10335" s="451"/>
    </row>
    <row r="10336" spans="1:11">
      <c r="A10336" s="450" t="s">
        <v>16626</v>
      </c>
      <c r="B10336" s="450" t="s">
        <v>16627</v>
      </c>
      <c r="C10336" s="450" t="s">
        <v>16628</v>
      </c>
      <c r="D10336" s="450"/>
      <c r="E10336" s="450"/>
      <c r="F10336" s="450"/>
      <c r="G10336" s="450"/>
      <c r="H10336" s="450"/>
      <c r="I10336" s="450"/>
      <c r="J10336" s="450"/>
      <c r="K10336" s="450"/>
    </row>
    <row r="10337" spans="1:11">
      <c r="A10337" s="451" t="s">
        <v>16629</v>
      </c>
      <c r="B10337" s="451"/>
      <c r="C10337" s="451" t="s">
        <v>2778</v>
      </c>
      <c r="D10337" s="451"/>
      <c r="E10337" s="451"/>
      <c r="F10337" s="451"/>
      <c r="G10337" s="451" t="s">
        <v>22882</v>
      </c>
      <c r="H10337" s="451" t="s">
        <v>22883</v>
      </c>
      <c r="I10337" s="451"/>
      <c r="J10337" s="451" t="s">
        <v>23185</v>
      </c>
      <c r="K10337" s="451"/>
    </row>
    <row r="10338" spans="1:11">
      <c r="A10338" s="450" t="s">
        <v>16630</v>
      </c>
      <c r="B10338" s="450"/>
      <c r="C10338" s="450" t="s">
        <v>8747</v>
      </c>
      <c r="D10338" s="450"/>
      <c r="E10338" s="450"/>
      <c r="F10338" s="450"/>
      <c r="G10338" s="450" t="s">
        <v>22877</v>
      </c>
      <c r="H10338" s="450" t="s">
        <v>22878</v>
      </c>
      <c r="I10338" s="450" t="s">
        <v>38420</v>
      </c>
      <c r="J10338" s="450" t="s">
        <v>22942</v>
      </c>
      <c r="K10338" s="450"/>
    </row>
    <row r="10339" spans="1:11">
      <c r="A10339" s="451" t="s">
        <v>38421</v>
      </c>
      <c r="B10339" s="451"/>
      <c r="C10339" s="451" t="s">
        <v>7262</v>
      </c>
      <c r="D10339" s="451"/>
      <c r="E10339" s="451"/>
      <c r="F10339" s="451"/>
      <c r="G10339" s="451" t="s">
        <v>22877</v>
      </c>
      <c r="H10339" s="451" t="s">
        <v>22878</v>
      </c>
      <c r="I10339" s="451" t="s">
        <v>17465</v>
      </c>
      <c r="J10339" s="451" t="s">
        <v>22997</v>
      </c>
      <c r="K10339" s="451"/>
    </row>
    <row r="10340" spans="1:11">
      <c r="A10340" s="450" t="s">
        <v>16631</v>
      </c>
      <c r="B10340" s="450"/>
      <c r="C10340" s="450" t="s">
        <v>7262</v>
      </c>
      <c r="D10340" s="450"/>
      <c r="E10340" s="450"/>
      <c r="F10340" s="450"/>
      <c r="G10340" s="450"/>
      <c r="H10340" s="450"/>
      <c r="I10340" s="450"/>
      <c r="J10340" s="450"/>
      <c r="K10340" s="450"/>
    </row>
    <row r="10341" spans="1:11">
      <c r="A10341" s="451" t="s">
        <v>16632</v>
      </c>
      <c r="B10341" s="451"/>
      <c r="C10341" s="451" t="s">
        <v>8655</v>
      </c>
      <c r="D10341" s="451"/>
      <c r="E10341" s="451"/>
      <c r="F10341" s="451"/>
      <c r="G10341" s="451" t="s">
        <v>22877</v>
      </c>
      <c r="H10341" s="451" t="s">
        <v>22878</v>
      </c>
      <c r="I10341" s="451" t="s">
        <v>38422</v>
      </c>
      <c r="J10341" s="451" t="s">
        <v>22939</v>
      </c>
      <c r="K10341" s="451"/>
    </row>
    <row r="10342" spans="1:11">
      <c r="A10342" s="450" t="s">
        <v>16633</v>
      </c>
      <c r="B10342" s="450"/>
      <c r="C10342" s="450" t="s">
        <v>16634</v>
      </c>
      <c r="D10342" s="450"/>
      <c r="E10342" s="450"/>
      <c r="F10342" s="450"/>
      <c r="G10342" s="450" t="s">
        <v>22882</v>
      </c>
      <c r="H10342" s="450" t="s">
        <v>22883</v>
      </c>
      <c r="I10342" s="450"/>
      <c r="J10342" s="450" t="s">
        <v>22942</v>
      </c>
      <c r="K10342" s="450"/>
    </row>
    <row r="10343" spans="1:11">
      <c r="A10343" s="451" t="s">
        <v>38423</v>
      </c>
      <c r="B10343" s="451"/>
      <c r="C10343" s="451" t="s">
        <v>11725</v>
      </c>
      <c r="D10343" s="451"/>
      <c r="E10343" s="451"/>
      <c r="F10343" s="451"/>
      <c r="G10343" s="451" t="s">
        <v>22877</v>
      </c>
      <c r="H10343" s="451" t="s">
        <v>22878</v>
      </c>
      <c r="I10343" s="451" t="s">
        <v>38424</v>
      </c>
      <c r="J10343" s="451" t="s">
        <v>23370</v>
      </c>
      <c r="K10343" s="451"/>
    </row>
    <row r="10344" spans="1:11">
      <c r="A10344" s="450" t="s">
        <v>16635</v>
      </c>
      <c r="B10344" s="450"/>
      <c r="C10344" s="450" t="s">
        <v>11725</v>
      </c>
      <c r="D10344" s="450"/>
      <c r="E10344" s="450"/>
      <c r="F10344" s="450"/>
      <c r="G10344" s="450"/>
      <c r="H10344" s="450"/>
      <c r="I10344" s="450"/>
      <c r="J10344" s="450"/>
      <c r="K10344" s="450"/>
    </row>
    <row r="10345" spans="1:11">
      <c r="A10345" s="451" t="s">
        <v>21959</v>
      </c>
      <c r="B10345" s="451" t="s">
        <v>16636</v>
      </c>
      <c r="C10345" s="451" t="s">
        <v>9628</v>
      </c>
      <c r="D10345" s="451"/>
      <c r="E10345" s="451"/>
      <c r="F10345" s="451"/>
      <c r="G10345" s="451" t="s">
        <v>22877</v>
      </c>
      <c r="H10345" s="451" t="s">
        <v>22878</v>
      </c>
      <c r="I10345" s="451" t="s">
        <v>28905</v>
      </c>
      <c r="J10345" s="451" t="s">
        <v>28906</v>
      </c>
      <c r="K10345" s="451"/>
    </row>
    <row r="10346" spans="1:11">
      <c r="A10346" s="450" t="s">
        <v>21960</v>
      </c>
      <c r="B10346" s="450"/>
      <c r="C10346" s="450" t="s">
        <v>16637</v>
      </c>
      <c r="D10346" s="450"/>
      <c r="E10346" s="450"/>
      <c r="F10346" s="450"/>
      <c r="G10346" s="450" t="s">
        <v>22882</v>
      </c>
      <c r="H10346" s="450" t="s">
        <v>22883</v>
      </c>
      <c r="I10346" s="450"/>
      <c r="J10346" s="450" t="s">
        <v>22997</v>
      </c>
      <c r="K10346" s="450"/>
    </row>
    <row r="10347" spans="1:11">
      <c r="A10347" s="451" t="s">
        <v>38425</v>
      </c>
      <c r="B10347" s="451"/>
      <c r="C10347" s="451" t="s">
        <v>16639</v>
      </c>
      <c r="D10347" s="451"/>
      <c r="E10347" s="451"/>
      <c r="F10347" s="451"/>
      <c r="G10347" s="451" t="s">
        <v>22877</v>
      </c>
      <c r="H10347" s="451" t="s">
        <v>22878</v>
      </c>
      <c r="I10347" s="451" t="s">
        <v>38426</v>
      </c>
      <c r="J10347" s="451" t="s">
        <v>22942</v>
      </c>
      <c r="K10347" s="451"/>
    </row>
    <row r="10348" spans="1:11">
      <c r="A10348" s="450" t="s">
        <v>16638</v>
      </c>
      <c r="B10348" s="450"/>
      <c r="C10348" s="450" t="s">
        <v>16639</v>
      </c>
      <c r="D10348" s="450"/>
      <c r="E10348" s="450"/>
      <c r="F10348" s="450"/>
      <c r="G10348" s="450"/>
      <c r="H10348" s="450"/>
      <c r="I10348" s="450"/>
      <c r="J10348" s="450"/>
      <c r="K10348" s="450"/>
    </row>
    <row r="10349" spans="1:11">
      <c r="A10349" s="451" t="s">
        <v>16640</v>
      </c>
      <c r="B10349" s="451" t="s">
        <v>28907</v>
      </c>
      <c r="C10349" s="451" t="s">
        <v>16642</v>
      </c>
      <c r="D10349" s="451"/>
      <c r="E10349" s="451"/>
      <c r="F10349" s="451"/>
      <c r="G10349" s="451" t="s">
        <v>22877</v>
      </c>
      <c r="H10349" s="451" t="s">
        <v>22878</v>
      </c>
      <c r="I10349" s="451" t="s">
        <v>28908</v>
      </c>
      <c r="J10349" s="451" t="s">
        <v>28909</v>
      </c>
      <c r="K10349" s="451"/>
    </row>
    <row r="10350" spans="1:11">
      <c r="A10350" s="450" t="s">
        <v>16640</v>
      </c>
      <c r="B10350" s="450" t="s">
        <v>16641</v>
      </c>
      <c r="C10350" s="450" t="s">
        <v>16642</v>
      </c>
      <c r="D10350" s="450"/>
      <c r="E10350" s="450"/>
      <c r="F10350" s="450"/>
      <c r="G10350" s="450"/>
      <c r="H10350" s="450"/>
      <c r="I10350" s="450"/>
      <c r="J10350" s="450"/>
      <c r="K10350" s="450"/>
    </row>
    <row r="10351" spans="1:11">
      <c r="A10351" s="451" t="s">
        <v>28910</v>
      </c>
      <c r="B10351" s="451" t="s">
        <v>28911</v>
      </c>
      <c r="C10351" s="451" t="s">
        <v>28912</v>
      </c>
      <c r="D10351" s="451"/>
      <c r="E10351" s="451"/>
      <c r="F10351" s="451"/>
      <c r="G10351" s="451" t="s">
        <v>22877</v>
      </c>
      <c r="H10351" s="451" t="s">
        <v>22878</v>
      </c>
      <c r="I10351" s="451" t="s">
        <v>28913</v>
      </c>
      <c r="J10351" s="451" t="s">
        <v>28914</v>
      </c>
      <c r="K10351" s="451"/>
    </row>
    <row r="10352" spans="1:11">
      <c r="A10352" s="450" t="s">
        <v>16643</v>
      </c>
      <c r="B10352" s="450" t="s">
        <v>16644</v>
      </c>
      <c r="C10352" s="450" t="s">
        <v>16645</v>
      </c>
      <c r="D10352" s="450"/>
      <c r="E10352" s="450"/>
      <c r="F10352" s="450" t="s">
        <v>16646</v>
      </c>
      <c r="G10352" s="450" t="s">
        <v>22877</v>
      </c>
      <c r="H10352" s="450" t="s">
        <v>22878</v>
      </c>
      <c r="I10352" s="450" t="s">
        <v>28915</v>
      </c>
      <c r="J10352" s="450" t="s">
        <v>28916</v>
      </c>
      <c r="K10352" s="450"/>
    </row>
    <row r="10353" spans="1:11">
      <c r="A10353" s="451" t="s">
        <v>38427</v>
      </c>
      <c r="B10353" s="451"/>
      <c r="C10353" s="451" t="s">
        <v>16648</v>
      </c>
      <c r="D10353" s="451"/>
      <c r="E10353" s="451"/>
      <c r="F10353" s="451"/>
      <c r="G10353" s="451" t="s">
        <v>22877</v>
      </c>
      <c r="H10353" s="451" t="s">
        <v>22878</v>
      </c>
      <c r="I10353" s="451" t="s">
        <v>38428</v>
      </c>
      <c r="J10353" s="451" t="s">
        <v>22997</v>
      </c>
      <c r="K10353" s="451"/>
    </row>
    <row r="10354" spans="1:11">
      <c r="A10354" s="450" t="s">
        <v>16647</v>
      </c>
      <c r="B10354" s="450"/>
      <c r="C10354" s="450" t="s">
        <v>16648</v>
      </c>
      <c r="D10354" s="450"/>
      <c r="E10354" s="450"/>
      <c r="F10354" s="450"/>
      <c r="G10354" s="450"/>
      <c r="H10354" s="450"/>
      <c r="I10354" s="450"/>
      <c r="J10354" s="450"/>
      <c r="K10354" s="450"/>
    </row>
    <row r="10355" spans="1:11">
      <c r="A10355" s="451" t="s">
        <v>16649</v>
      </c>
      <c r="B10355" s="451"/>
      <c r="C10355" s="451" t="s">
        <v>3061</v>
      </c>
      <c r="D10355" s="451"/>
      <c r="E10355" s="451"/>
      <c r="F10355" s="451"/>
      <c r="G10355" s="451" t="s">
        <v>22877</v>
      </c>
      <c r="H10355" s="451" t="s">
        <v>22878</v>
      </c>
      <c r="I10355" s="451" t="s">
        <v>38429</v>
      </c>
      <c r="J10355" s="451" t="s">
        <v>22939</v>
      </c>
      <c r="K10355" s="451"/>
    </row>
    <row r="10356" spans="1:11">
      <c r="A10356" s="450" t="s">
        <v>38430</v>
      </c>
      <c r="B10356" s="450"/>
      <c r="C10356" s="450" t="s">
        <v>1334</v>
      </c>
      <c r="D10356" s="450"/>
      <c r="E10356" s="450"/>
      <c r="F10356" s="450"/>
      <c r="G10356" s="450" t="s">
        <v>22877</v>
      </c>
      <c r="H10356" s="450" t="s">
        <v>22878</v>
      </c>
      <c r="I10356" s="450"/>
      <c r="J10356" s="450" t="s">
        <v>22942</v>
      </c>
      <c r="K10356" s="450"/>
    </row>
    <row r="10357" spans="1:11">
      <c r="A10357" s="451" t="s">
        <v>16650</v>
      </c>
      <c r="B10357" s="451"/>
      <c r="C10357" s="451" t="s">
        <v>7522</v>
      </c>
      <c r="D10357" s="451"/>
      <c r="E10357" s="451"/>
      <c r="F10357" s="451"/>
      <c r="G10357" s="451" t="s">
        <v>22877</v>
      </c>
      <c r="H10357" s="451" t="s">
        <v>22878</v>
      </c>
      <c r="I10357" s="451" t="s">
        <v>38431</v>
      </c>
      <c r="J10357" s="451" t="s">
        <v>23190</v>
      </c>
      <c r="K10357" s="451"/>
    </row>
    <row r="10358" spans="1:11">
      <c r="A10358" s="450" t="s">
        <v>16651</v>
      </c>
      <c r="B10358" s="450"/>
      <c r="C10358" s="450" t="s">
        <v>1334</v>
      </c>
      <c r="D10358" s="450"/>
      <c r="E10358" s="450"/>
      <c r="F10358" s="450"/>
      <c r="G10358" s="450"/>
      <c r="H10358" s="450"/>
      <c r="I10358" s="450"/>
      <c r="J10358" s="450"/>
      <c r="K10358" s="450"/>
    </row>
    <row r="10359" spans="1:11">
      <c r="A10359" s="451" t="s">
        <v>16652</v>
      </c>
      <c r="B10359" s="451" t="s">
        <v>16653</v>
      </c>
      <c r="C10359" s="451" t="s">
        <v>2518</v>
      </c>
      <c r="D10359" s="451" t="s">
        <v>16654</v>
      </c>
      <c r="E10359" s="451"/>
      <c r="F10359" s="451"/>
      <c r="G10359" s="451" t="s">
        <v>22877</v>
      </c>
      <c r="H10359" s="451" t="s">
        <v>22878</v>
      </c>
      <c r="I10359" s="451" t="s">
        <v>23389</v>
      </c>
      <c r="J10359" s="451" t="s">
        <v>38432</v>
      </c>
      <c r="K10359" s="451"/>
    </row>
    <row r="10360" spans="1:11">
      <c r="A10360" s="450" t="s">
        <v>16652</v>
      </c>
      <c r="B10360" s="450" t="s">
        <v>16653</v>
      </c>
      <c r="C10360" s="450" t="s">
        <v>2518</v>
      </c>
      <c r="D10360" s="450" t="s">
        <v>16654</v>
      </c>
      <c r="E10360" s="450" t="s">
        <v>16655</v>
      </c>
      <c r="F10360" s="450"/>
      <c r="G10360" s="450"/>
      <c r="H10360" s="450"/>
      <c r="I10360" s="450"/>
      <c r="J10360" s="450"/>
      <c r="K10360" s="450"/>
    </row>
    <row r="10361" spans="1:11">
      <c r="A10361" s="451" t="s">
        <v>21961</v>
      </c>
      <c r="B10361" s="451"/>
      <c r="C10361" s="451" t="s">
        <v>1946</v>
      </c>
      <c r="D10361" s="451"/>
      <c r="E10361" s="451"/>
      <c r="F10361" s="451"/>
      <c r="G10361" s="451" t="s">
        <v>22877</v>
      </c>
      <c r="H10361" s="451" t="s">
        <v>22878</v>
      </c>
      <c r="I10361" s="451" t="s">
        <v>38433</v>
      </c>
      <c r="J10361" s="451" t="s">
        <v>23185</v>
      </c>
      <c r="K10361" s="451"/>
    </row>
    <row r="10362" spans="1:11">
      <c r="A10362" s="450" t="s">
        <v>16656</v>
      </c>
      <c r="B10362" s="450"/>
      <c r="C10362" s="450" t="s">
        <v>5781</v>
      </c>
      <c r="D10362" s="450"/>
      <c r="E10362" s="450"/>
      <c r="F10362" s="450"/>
      <c r="G10362" s="450" t="s">
        <v>22877</v>
      </c>
      <c r="H10362" s="450" t="s">
        <v>22878</v>
      </c>
      <c r="I10362" s="450" t="s">
        <v>28917</v>
      </c>
      <c r="J10362" s="450" t="s">
        <v>22997</v>
      </c>
      <c r="K10362" s="450"/>
    </row>
    <row r="10363" spans="1:11">
      <c r="A10363" s="451" t="s">
        <v>16657</v>
      </c>
      <c r="B10363" s="451" t="s">
        <v>16658</v>
      </c>
      <c r="C10363" s="451" t="s">
        <v>16659</v>
      </c>
      <c r="D10363" s="451"/>
      <c r="E10363" s="451"/>
      <c r="F10363" s="451"/>
      <c r="G10363" s="451" t="s">
        <v>22877</v>
      </c>
      <c r="H10363" s="451" t="s">
        <v>22878</v>
      </c>
      <c r="I10363" s="451" t="s">
        <v>28918</v>
      </c>
      <c r="J10363" s="451" t="s">
        <v>28919</v>
      </c>
      <c r="K10363" s="451"/>
    </row>
    <row r="10364" spans="1:11">
      <c r="A10364" s="450" t="s">
        <v>38434</v>
      </c>
      <c r="B10364" s="450"/>
      <c r="C10364" s="450" t="s">
        <v>16661</v>
      </c>
      <c r="D10364" s="450"/>
      <c r="E10364" s="450"/>
      <c r="F10364" s="450"/>
      <c r="G10364" s="450" t="s">
        <v>22877</v>
      </c>
      <c r="H10364" s="450" t="s">
        <v>22878</v>
      </c>
      <c r="I10364" s="450" t="s">
        <v>38435</v>
      </c>
      <c r="J10364" s="450" t="s">
        <v>22948</v>
      </c>
      <c r="K10364" s="450"/>
    </row>
    <row r="10365" spans="1:11">
      <c r="A10365" s="451" t="s">
        <v>16660</v>
      </c>
      <c r="B10365" s="451"/>
      <c r="C10365" s="451" t="s">
        <v>16661</v>
      </c>
      <c r="D10365" s="451"/>
      <c r="E10365" s="451"/>
      <c r="F10365" s="451"/>
      <c r="G10365" s="451"/>
      <c r="H10365" s="451"/>
      <c r="I10365" s="451"/>
      <c r="J10365" s="451"/>
      <c r="K10365" s="451"/>
    </row>
    <row r="10366" spans="1:11">
      <c r="A10366" s="450" t="s">
        <v>16662</v>
      </c>
      <c r="B10366" s="450"/>
      <c r="C10366" s="450" t="s">
        <v>16663</v>
      </c>
      <c r="D10366" s="450"/>
      <c r="E10366" s="450"/>
      <c r="F10366" s="450"/>
      <c r="G10366" s="450"/>
      <c r="H10366" s="450"/>
      <c r="I10366" s="450"/>
      <c r="J10366" s="450"/>
      <c r="K10366" s="450"/>
    </row>
    <row r="10367" spans="1:11">
      <c r="A10367" s="451" t="s">
        <v>38436</v>
      </c>
      <c r="B10367" s="451"/>
      <c r="C10367" s="451" t="s">
        <v>16663</v>
      </c>
      <c r="D10367" s="451"/>
      <c r="E10367" s="451"/>
      <c r="F10367" s="451"/>
      <c r="G10367" s="451" t="s">
        <v>22877</v>
      </c>
      <c r="H10367" s="451" t="s">
        <v>22878</v>
      </c>
      <c r="I10367" s="451" t="s">
        <v>38437</v>
      </c>
      <c r="J10367" s="451" t="s">
        <v>22997</v>
      </c>
      <c r="K10367" s="451"/>
    </row>
    <row r="10368" spans="1:11">
      <c r="A10368" s="450" t="s">
        <v>16664</v>
      </c>
      <c r="B10368" s="450"/>
      <c r="C10368" s="450" t="s">
        <v>2038</v>
      </c>
      <c r="D10368" s="450"/>
      <c r="E10368" s="450"/>
      <c r="F10368" s="450"/>
      <c r="G10368" s="450" t="s">
        <v>22877</v>
      </c>
      <c r="H10368" s="450" t="s">
        <v>22878</v>
      </c>
      <c r="I10368" s="450" t="s">
        <v>28920</v>
      </c>
      <c r="J10368" s="450" t="s">
        <v>22942</v>
      </c>
      <c r="K10368" s="450"/>
    </row>
    <row r="10369" spans="1:11">
      <c r="A10369" s="451" t="s">
        <v>16665</v>
      </c>
      <c r="B10369" s="451" t="s">
        <v>16666</v>
      </c>
      <c r="C10369" s="451" t="s">
        <v>16667</v>
      </c>
      <c r="D10369" s="451"/>
      <c r="E10369" s="451"/>
      <c r="F10369" s="451"/>
      <c r="G10369" s="451"/>
      <c r="H10369" s="451"/>
      <c r="I10369" s="451"/>
      <c r="J10369" s="451"/>
      <c r="K10369" s="451"/>
    </row>
    <row r="10370" spans="1:11">
      <c r="A10370" s="450" t="s">
        <v>32013</v>
      </c>
      <c r="B10370" s="450" t="s">
        <v>16666</v>
      </c>
      <c r="C10370" s="450" t="s">
        <v>16667</v>
      </c>
      <c r="D10370" s="450"/>
      <c r="E10370" s="450"/>
      <c r="F10370" s="450"/>
      <c r="G10370" s="450" t="s">
        <v>22877</v>
      </c>
      <c r="H10370" s="450" t="s">
        <v>22878</v>
      </c>
      <c r="I10370" s="450" t="s">
        <v>28921</v>
      </c>
      <c r="J10370" s="450" t="s">
        <v>28922</v>
      </c>
      <c r="K10370" s="450"/>
    </row>
    <row r="10371" spans="1:11">
      <c r="A10371" s="451" t="s">
        <v>16668</v>
      </c>
      <c r="B10371" s="451"/>
      <c r="C10371" s="451" t="s">
        <v>5175</v>
      </c>
      <c r="D10371" s="451"/>
      <c r="E10371" s="451"/>
      <c r="F10371" s="451"/>
      <c r="G10371" s="451" t="s">
        <v>22882</v>
      </c>
      <c r="H10371" s="451" t="s">
        <v>22883</v>
      </c>
      <c r="I10371" s="451"/>
      <c r="J10371" s="451" t="s">
        <v>22939</v>
      </c>
      <c r="K10371" s="451"/>
    </row>
    <row r="10372" spans="1:11">
      <c r="A10372" s="450" t="s">
        <v>28923</v>
      </c>
      <c r="B10372" s="450" t="s">
        <v>28924</v>
      </c>
      <c r="C10372" s="450" t="s">
        <v>1597</v>
      </c>
      <c r="D10372" s="450"/>
      <c r="E10372" s="450"/>
      <c r="F10372" s="450"/>
      <c r="G10372" s="450" t="s">
        <v>22882</v>
      </c>
      <c r="H10372" s="450" t="s">
        <v>22883</v>
      </c>
      <c r="I10372" s="450"/>
      <c r="J10372" s="450" t="s">
        <v>28925</v>
      </c>
      <c r="K10372" s="450"/>
    </row>
    <row r="10373" spans="1:11">
      <c r="A10373" s="451" t="s">
        <v>16669</v>
      </c>
      <c r="B10373" s="451"/>
      <c r="C10373" s="451" t="s">
        <v>3780</v>
      </c>
      <c r="D10373" s="451"/>
      <c r="E10373" s="451"/>
      <c r="F10373" s="451"/>
      <c r="G10373" s="451" t="s">
        <v>22877</v>
      </c>
      <c r="H10373" s="451" t="s">
        <v>22878</v>
      </c>
      <c r="I10373" s="451" t="s">
        <v>38438</v>
      </c>
      <c r="J10373" s="451" t="s">
        <v>22942</v>
      </c>
      <c r="K10373" s="451"/>
    </row>
    <row r="10374" spans="1:11">
      <c r="A10374" s="450" t="s">
        <v>16670</v>
      </c>
      <c r="B10374" s="450"/>
      <c r="C10374" s="450" t="s">
        <v>16671</v>
      </c>
      <c r="D10374" s="450"/>
      <c r="E10374" s="450"/>
      <c r="F10374" s="450"/>
      <c r="G10374" s="450" t="s">
        <v>22877</v>
      </c>
      <c r="H10374" s="450" t="s">
        <v>22878</v>
      </c>
      <c r="I10374" s="450" t="s">
        <v>38439</v>
      </c>
      <c r="J10374" s="450" t="s">
        <v>23185</v>
      </c>
      <c r="K10374" s="450"/>
    </row>
    <row r="10375" spans="1:11">
      <c r="A10375" s="451" t="s">
        <v>38440</v>
      </c>
      <c r="B10375" s="451"/>
      <c r="C10375" s="451" t="s">
        <v>16673</v>
      </c>
      <c r="D10375" s="451"/>
      <c r="E10375" s="451"/>
      <c r="F10375" s="451"/>
      <c r="G10375" s="451" t="s">
        <v>22877</v>
      </c>
      <c r="H10375" s="451" t="s">
        <v>22878</v>
      </c>
      <c r="I10375" s="451" t="s">
        <v>38441</v>
      </c>
      <c r="J10375" s="451" t="s">
        <v>23185</v>
      </c>
      <c r="K10375" s="451"/>
    </row>
    <row r="10376" spans="1:11">
      <c r="A10376" s="450" t="s">
        <v>38440</v>
      </c>
      <c r="B10376" s="450" t="s">
        <v>38442</v>
      </c>
      <c r="C10376" s="450" t="s">
        <v>16673</v>
      </c>
      <c r="D10376" s="450"/>
      <c r="E10376" s="450"/>
      <c r="F10376" s="450"/>
      <c r="G10376" s="450"/>
      <c r="H10376" s="450"/>
      <c r="I10376" s="450"/>
      <c r="J10376" s="450"/>
      <c r="K10376" s="450"/>
    </row>
    <row r="10377" spans="1:11">
      <c r="A10377" s="451" t="s">
        <v>16672</v>
      </c>
      <c r="B10377" s="451"/>
      <c r="C10377" s="451" t="s">
        <v>16673</v>
      </c>
      <c r="D10377" s="451"/>
      <c r="E10377" s="451"/>
      <c r="F10377" s="451"/>
      <c r="G10377" s="451"/>
      <c r="H10377" s="451"/>
      <c r="I10377" s="451"/>
      <c r="J10377" s="451"/>
      <c r="K10377" s="451"/>
    </row>
    <row r="10378" spans="1:11">
      <c r="A10378" s="450" t="s">
        <v>16674</v>
      </c>
      <c r="B10378" s="450"/>
      <c r="C10378" s="450" t="s">
        <v>3627</v>
      </c>
      <c r="D10378" s="450"/>
      <c r="E10378" s="450"/>
      <c r="F10378" s="450"/>
      <c r="G10378" s="450" t="s">
        <v>22877</v>
      </c>
      <c r="H10378" s="450" t="s">
        <v>22878</v>
      </c>
      <c r="I10378" s="450" t="s">
        <v>38443</v>
      </c>
      <c r="J10378" s="450" t="s">
        <v>23185</v>
      </c>
      <c r="K10378" s="450"/>
    </row>
    <row r="10379" spans="1:11">
      <c r="A10379" s="451" t="s">
        <v>38444</v>
      </c>
      <c r="B10379" s="451"/>
      <c r="C10379" s="451" t="s">
        <v>16676</v>
      </c>
      <c r="D10379" s="451"/>
      <c r="E10379" s="451"/>
      <c r="F10379" s="451"/>
      <c r="G10379" s="451" t="s">
        <v>22877</v>
      </c>
      <c r="H10379" s="451" t="s">
        <v>22878</v>
      </c>
      <c r="I10379" s="451" t="s">
        <v>38445</v>
      </c>
      <c r="J10379" s="451" t="s">
        <v>22948</v>
      </c>
      <c r="K10379" s="451"/>
    </row>
    <row r="10380" spans="1:11">
      <c r="A10380" s="450" t="s">
        <v>16675</v>
      </c>
      <c r="B10380" s="450"/>
      <c r="C10380" s="450" t="s">
        <v>16676</v>
      </c>
      <c r="D10380" s="450"/>
      <c r="E10380" s="450"/>
      <c r="F10380" s="450"/>
      <c r="G10380" s="450"/>
      <c r="H10380" s="450"/>
      <c r="I10380" s="450"/>
      <c r="J10380" s="450"/>
      <c r="K10380" s="450"/>
    </row>
    <row r="10381" spans="1:11">
      <c r="A10381" s="451" t="s">
        <v>28926</v>
      </c>
      <c r="B10381" s="451" t="s">
        <v>28927</v>
      </c>
      <c r="C10381" s="451" t="s">
        <v>28928</v>
      </c>
      <c r="D10381" s="451"/>
      <c r="E10381" s="451"/>
      <c r="F10381" s="451"/>
      <c r="G10381" s="451" t="s">
        <v>22877</v>
      </c>
      <c r="H10381" s="451" t="s">
        <v>22878</v>
      </c>
      <c r="I10381" s="451" t="s">
        <v>28929</v>
      </c>
      <c r="J10381" s="451" t="s">
        <v>28930</v>
      </c>
      <c r="K10381" s="451"/>
    </row>
    <row r="10382" spans="1:11">
      <c r="A10382" s="450" t="s">
        <v>16677</v>
      </c>
      <c r="B10382" s="450" t="s">
        <v>16678</v>
      </c>
      <c r="C10382" s="450" t="s">
        <v>6587</v>
      </c>
      <c r="D10382" s="450" t="s">
        <v>16679</v>
      </c>
      <c r="E10382" s="450"/>
      <c r="F10382" s="450"/>
      <c r="G10382" s="450" t="s">
        <v>22877</v>
      </c>
      <c r="H10382" s="450" t="s">
        <v>22878</v>
      </c>
      <c r="I10382" s="450" t="s">
        <v>28931</v>
      </c>
      <c r="J10382" s="450" t="s">
        <v>28932</v>
      </c>
      <c r="K10382" s="450"/>
    </row>
    <row r="10383" spans="1:11">
      <c r="A10383" s="451" t="s">
        <v>16677</v>
      </c>
      <c r="B10383" s="451" t="s">
        <v>16678</v>
      </c>
      <c r="C10383" s="451" t="s">
        <v>6587</v>
      </c>
      <c r="D10383" s="451" t="s">
        <v>16679</v>
      </c>
      <c r="E10383" s="451" t="s">
        <v>16680</v>
      </c>
      <c r="F10383" s="451"/>
      <c r="G10383" s="451"/>
      <c r="H10383" s="451"/>
      <c r="I10383" s="451"/>
      <c r="J10383" s="451"/>
      <c r="K10383" s="451"/>
    </row>
    <row r="10384" spans="1:11">
      <c r="A10384" s="450" t="s">
        <v>16681</v>
      </c>
      <c r="B10384" s="450"/>
      <c r="C10384" s="450" t="s">
        <v>16682</v>
      </c>
      <c r="D10384" s="450"/>
      <c r="E10384" s="450"/>
      <c r="F10384" s="450"/>
      <c r="G10384" s="450" t="s">
        <v>22882</v>
      </c>
      <c r="H10384" s="450" t="s">
        <v>22883</v>
      </c>
      <c r="I10384" s="450"/>
      <c r="J10384" s="450" t="s">
        <v>22997</v>
      </c>
      <c r="K10384" s="450"/>
    </row>
    <row r="10385" spans="1:11">
      <c r="A10385" s="451" t="s">
        <v>16683</v>
      </c>
      <c r="B10385" s="451"/>
      <c r="C10385" s="451" t="s">
        <v>14744</v>
      </c>
      <c r="D10385" s="451"/>
      <c r="E10385" s="451"/>
      <c r="F10385" s="451"/>
      <c r="G10385" s="451" t="s">
        <v>32601</v>
      </c>
      <c r="H10385" s="451" t="s">
        <v>22878</v>
      </c>
      <c r="I10385" s="451"/>
      <c r="J10385" s="451"/>
      <c r="K10385" s="451"/>
    </row>
    <row r="10386" spans="1:11">
      <c r="A10386" s="450" t="s">
        <v>16684</v>
      </c>
      <c r="B10386" s="450"/>
      <c r="C10386" s="450" t="s">
        <v>16685</v>
      </c>
      <c r="D10386" s="450"/>
      <c r="E10386" s="450"/>
      <c r="F10386" s="450"/>
      <c r="G10386" s="450" t="s">
        <v>22877</v>
      </c>
      <c r="H10386" s="450" t="s">
        <v>22878</v>
      </c>
      <c r="I10386" s="450" t="s">
        <v>27052</v>
      </c>
      <c r="J10386" s="450" t="s">
        <v>22942</v>
      </c>
      <c r="K10386" s="450"/>
    </row>
    <row r="10387" spans="1:11">
      <c r="A10387" s="451" t="s">
        <v>16686</v>
      </c>
      <c r="B10387" s="451"/>
      <c r="C10387" s="451" t="s">
        <v>16687</v>
      </c>
      <c r="D10387" s="451"/>
      <c r="E10387" s="451"/>
      <c r="F10387" s="451"/>
      <c r="G10387" s="451" t="s">
        <v>22882</v>
      </c>
      <c r="H10387" s="451" t="s">
        <v>22883</v>
      </c>
      <c r="I10387" s="451"/>
      <c r="J10387" s="451" t="s">
        <v>22942</v>
      </c>
      <c r="K10387" s="451"/>
    </row>
    <row r="10388" spans="1:11">
      <c r="A10388" s="450" t="s">
        <v>16688</v>
      </c>
      <c r="B10388" s="450" t="s">
        <v>16689</v>
      </c>
      <c r="C10388" s="450" t="s">
        <v>16690</v>
      </c>
      <c r="D10388" s="450" t="s">
        <v>16691</v>
      </c>
      <c r="E10388" s="450"/>
      <c r="F10388" s="450"/>
      <c r="G10388" s="450" t="s">
        <v>22877</v>
      </c>
      <c r="H10388" s="450" t="s">
        <v>22878</v>
      </c>
      <c r="I10388" s="450" t="s">
        <v>25747</v>
      </c>
      <c r="J10388" s="450" t="s">
        <v>28933</v>
      </c>
      <c r="K10388" s="450"/>
    </row>
    <row r="10389" spans="1:11">
      <c r="A10389" s="451" t="s">
        <v>16692</v>
      </c>
      <c r="B10389" s="451"/>
      <c r="C10389" s="451" t="s">
        <v>3013</v>
      </c>
      <c r="D10389" s="451"/>
      <c r="E10389" s="451"/>
      <c r="F10389" s="451"/>
      <c r="G10389" s="451" t="s">
        <v>22877</v>
      </c>
      <c r="H10389" s="451" t="s">
        <v>22878</v>
      </c>
      <c r="I10389" s="451" t="s">
        <v>38446</v>
      </c>
      <c r="J10389" s="451" t="s">
        <v>22942</v>
      </c>
      <c r="K10389" s="451"/>
    </row>
    <row r="10390" spans="1:11">
      <c r="A10390" s="450" t="s">
        <v>16693</v>
      </c>
      <c r="B10390" s="450"/>
      <c r="C10390" s="450" t="s">
        <v>16694</v>
      </c>
      <c r="D10390" s="450"/>
      <c r="E10390" s="450"/>
      <c r="F10390" s="450"/>
      <c r="G10390" s="450" t="s">
        <v>22877</v>
      </c>
      <c r="H10390" s="450" t="s">
        <v>22878</v>
      </c>
      <c r="I10390" s="450" t="s">
        <v>38447</v>
      </c>
      <c r="J10390" s="450" t="s">
        <v>22939</v>
      </c>
      <c r="K10390" s="450"/>
    </row>
    <row r="10391" spans="1:11">
      <c r="A10391" s="451" t="s">
        <v>16695</v>
      </c>
      <c r="B10391" s="451"/>
      <c r="C10391" s="451" t="s">
        <v>6398</v>
      </c>
      <c r="D10391" s="451"/>
      <c r="E10391" s="451"/>
      <c r="F10391" s="451"/>
      <c r="G10391" s="451" t="s">
        <v>22877</v>
      </c>
      <c r="H10391" s="451" t="s">
        <v>22878</v>
      </c>
      <c r="I10391" s="451" t="s">
        <v>38448</v>
      </c>
      <c r="J10391" s="451" t="s">
        <v>22939</v>
      </c>
      <c r="K10391" s="451"/>
    </row>
    <row r="10392" spans="1:11">
      <c r="A10392" s="450" t="s">
        <v>21962</v>
      </c>
      <c r="B10392" s="450"/>
      <c r="C10392" s="450" t="s">
        <v>16696</v>
      </c>
      <c r="D10392" s="450"/>
      <c r="E10392" s="450"/>
      <c r="F10392" s="450"/>
      <c r="G10392" s="450" t="s">
        <v>22877</v>
      </c>
      <c r="H10392" s="450" t="s">
        <v>22878</v>
      </c>
      <c r="I10392" s="450" t="s">
        <v>38449</v>
      </c>
      <c r="J10392" s="450" t="s">
        <v>23133</v>
      </c>
      <c r="K10392" s="450"/>
    </row>
    <row r="10393" spans="1:11">
      <c r="A10393" s="451" t="s">
        <v>16697</v>
      </c>
      <c r="B10393" s="451"/>
      <c r="C10393" s="451" t="s">
        <v>16698</v>
      </c>
      <c r="D10393" s="451"/>
      <c r="E10393" s="451"/>
      <c r="F10393" s="451"/>
      <c r="G10393" s="451" t="s">
        <v>22877</v>
      </c>
      <c r="H10393" s="451" t="s">
        <v>22878</v>
      </c>
      <c r="I10393" s="451" t="s">
        <v>38450</v>
      </c>
      <c r="J10393" s="451" t="s">
        <v>22942</v>
      </c>
      <c r="K10393" s="451"/>
    </row>
    <row r="10394" spans="1:11">
      <c r="A10394" s="450" t="s">
        <v>38451</v>
      </c>
      <c r="B10394" s="450"/>
      <c r="C10394" s="450" t="s">
        <v>16700</v>
      </c>
      <c r="D10394" s="450"/>
      <c r="E10394" s="450"/>
      <c r="F10394" s="450"/>
      <c r="G10394" s="450" t="s">
        <v>22877</v>
      </c>
      <c r="H10394" s="450" t="s">
        <v>22878</v>
      </c>
      <c r="I10394" s="450" t="s">
        <v>38452</v>
      </c>
      <c r="J10394" s="450" t="s">
        <v>22942</v>
      </c>
      <c r="K10394" s="450"/>
    </row>
    <row r="10395" spans="1:11">
      <c r="A10395" s="451" t="s">
        <v>38453</v>
      </c>
      <c r="B10395" s="451"/>
      <c r="C10395" s="451" t="s">
        <v>16702</v>
      </c>
      <c r="D10395" s="451"/>
      <c r="E10395" s="451"/>
      <c r="F10395" s="451"/>
      <c r="G10395" s="451" t="s">
        <v>22877</v>
      </c>
      <c r="H10395" s="451" t="s">
        <v>22878</v>
      </c>
      <c r="I10395" s="451" t="s">
        <v>38454</v>
      </c>
      <c r="J10395" s="451" t="s">
        <v>22942</v>
      </c>
      <c r="K10395" s="451"/>
    </row>
    <row r="10396" spans="1:11">
      <c r="A10396" s="450" t="s">
        <v>38455</v>
      </c>
      <c r="B10396" s="450"/>
      <c r="C10396" s="450" t="s">
        <v>16704</v>
      </c>
      <c r="D10396" s="450"/>
      <c r="E10396" s="450"/>
      <c r="F10396" s="450"/>
      <c r="G10396" s="450" t="s">
        <v>22877</v>
      </c>
      <c r="H10396" s="450" t="s">
        <v>22878</v>
      </c>
      <c r="I10396" s="450" t="s">
        <v>38456</v>
      </c>
      <c r="J10396" s="450" t="s">
        <v>22942</v>
      </c>
      <c r="K10396" s="450"/>
    </row>
    <row r="10397" spans="1:11">
      <c r="A10397" s="451" t="s">
        <v>16699</v>
      </c>
      <c r="B10397" s="451"/>
      <c r="C10397" s="451" t="s">
        <v>16700</v>
      </c>
      <c r="D10397" s="451"/>
      <c r="E10397" s="451"/>
      <c r="F10397" s="451"/>
      <c r="G10397" s="451"/>
      <c r="H10397" s="451"/>
      <c r="I10397" s="451"/>
      <c r="J10397" s="451"/>
      <c r="K10397" s="451"/>
    </row>
    <row r="10398" spans="1:11">
      <c r="A10398" s="450" t="s">
        <v>16701</v>
      </c>
      <c r="B10398" s="450"/>
      <c r="C10398" s="450" t="s">
        <v>16702</v>
      </c>
      <c r="D10398" s="450"/>
      <c r="E10398" s="450"/>
      <c r="F10398" s="450"/>
      <c r="G10398" s="450"/>
      <c r="H10398" s="450"/>
      <c r="I10398" s="450"/>
      <c r="J10398" s="450"/>
      <c r="K10398" s="450"/>
    </row>
    <row r="10399" spans="1:11">
      <c r="A10399" s="451" t="s">
        <v>16703</v>
      </c>
      <c r="B10399" s="451"/>
      <c r="C10399" s="451" t="s">
        <v>16704</v>
      </c>
      <c r="D10399" s="451"/>
      <c r="E10399" s="451"/>
      <c r="F10399" s="451"/>
      <c r="G10399" s="451"/>
      <c r="H10399" s="451"/>
      <c r="I10399" s="451"/>
      <c r="J10399" s="451"/>
      <c r="K10399" s="451"/>
    </row>
    <row r="10400" spans="1:11">
      <c r="A10400" s="450" t="s">
        <v>16705</v>
      </c>
      <c r="B10400" s="450"/>
      <c r="C10400" s="450" t="s">
        <v>16700</v>
      </c>
      <c r="D10400" s="450"/>
      <c r="E10400" s="450"/>
      <c r="F10400" s="450"/>
      <c r="G10400" s="450" t="s">
        <v>22877</v>
      </c>
      <c r="H10400" s="450" t="s">
        <v>22878</v>
      </c>
      <c r="I10400" s="450" t="s">
        <v>38452</v>
      </c>
      <c r="J10400" s="450" t="s">
        <v>22997</v>
      </c>
      <c r="K10400" s="450"/>
    </row>
    <row r="10401" spans="1:11">
      <c r="A10401" s="451" t="s">
        <v>16706</v>
      </c>
      <c r="B10401" s="451"/>
      <c r="C10401" s="451" t="s">
        <v>5391</v>
      </c>
      <c r="D10401" s="451"/>
      <c r="E10401" s="451"/>
      <c r="F10401" s="451"/>
      <c r="G10401" s="451" t="s">
        <v>22882</v>
      </c>
      <c r="H10401" s="451" t="s">
        <v>22883</v>
      </c>
      <c r="I10401" s="451"/>
      <c r="J10401" s="451" t="s">
        <v>22942</v>
      </c>
      <c r="K10401" s="451"/>
    </row>
    <row r="10402" spans="1:11">
      <c r="A10402" s="450" t="s">
        <v>38457</v>
      </c>
      <c r="B10402" s="450"/>
      <c r="C10402" s="450" t="s">
        <v>8126</v>
      </c>
      <c r="D10402" s="450"/>
      <c r="E10402" s="450"/>
      <c r="F10402" s="450"/>
      <c r="G10402" s="450" t="s">
        <v>22882</v>
      </c>
      <c r="H10402" s="450" t="s">
        <v>22883</v>
      </c>
      <c r="I10402" s="450"/>
      <c r="J10402" s="450" t="s">
        <v>22948</v>
      </c>
      <c r="K10402" s="450"/>
    </row>
    <row r="10403" spans="1:11">
      <c r="A10403" s="451" t="s">
        <v>16707</v>
      </c>
      <c r="B10403" s="451"/>
      <c r="C10403" s="451" t="s">
        <v>8126</v>
      </c>
      <c r="D10403" s="451"/>
      <c r="E10403" s="451"/>
      <c r="F10403" s="451"/>
      <c r="G10403" s="451"/>
      <c r="H10403" s="451"/>
      <c r="I10403" s="451"/>
      <c r="J10403" s="451"/>
      <c r="K10403" s="451"/>
    </row>
    <row r="10404" spans="1:11">
      <c r="A10404" s="450" t="s">
        <v>38458</v>
      </c>
      <c r="B10404" s="450" t="s">
        <v>38459</v>
      </c>
      <c r="C10404" s="450" t="s">
        <v>38460</v>
      </c>
      <c r="D10404" s="450"/>
      <c r="E10404" s="450"/>
      <c r="F10404" s="450"/>
      <c r="G10404" s="450"/>
      <c r="H10404" s="450"/>
      <c r="I10404" s="450"/>
      <c r="J10404" s="450"/>
      <c r="K10404" s="450"/>
    </row>
    <row r="10405" spans="1:11">
      <c r="A10405" s="451" t="s">
        <v>38461</v>
      </c>
      <c r="B10405" s="451"/>
      <c r="C10405" s="451" t="s">
        <v>16709</v>
      </c>
      <c r="D10405" s="451"/>
      <c r="E10405" s="451"/>
      <c r="F10405" s="451"/>
      <c r="G10405" s="451" t="s">
        <v>22882</v>
      </c>
      <c r="H10405" s="451" t="s">
        <v>22883</v>
      </c>
      <c r="I10405" s="451"/>
      <c r="J10405" s="451" t="s">
        <v>22942</v>
      </c>
      <c r="K10405" s="451"/>
    </row>
    <row r="10406" spans="1:11">
      <c r="A10406" s="450" t="s">
        <v>16708</v>
      </c>
      <c r="B10406" s="450"/>
      <c r="C10406" s="450" t="s">
        <v>16709</v>
      </c>
      <c r="D10406" s="450"/>
      <c r="E10406" s="450"/>
      <c r="F10406" s="450"/>
      <c r="G10406" s="450"/>
      <c r="H10406" s="450"/>
      <c r="I10406" s="450"/>
      <c r="J10406" s="450"/>
      <c r="K10406" s="450"/>
    </row>
    <row r="10407" spans="1:11">
      <c r="A10407" s="451" t="s">
        <v>16710</v>
      </c>
      <c r="B10407" s="451"/>
      <c r="C10407" s="451" t="s">
        <v>10784</v>
      </c>
      <c r="D10407" s="451"/>
      <c r="E10407" s="451"/>
      <c r="F10407" s="451"/>
      <c r="G10407" s="451" t="s">
        <v>22877</v>
      </c>
      <c r="H10407" s="451" t="s">
        <v>22878</v>
      </c>
      <c r="I10407" s="451" t="s">
        <v>38462</v>
      </c>
      <c r="J10407" s="451" t="s">
        <v>22997</v>
      </c>
      <c r="K10407" s="451"/>
    </row>
    <row r="10408" spans="1:11">
      <c r="A10408" s="450" t="s">
        <v>16711</v>
      </c>
      <c r="B10408" s="450"/>
      <c r="C10408" s="450" t="s">
        <v>3723</v>
      </c>
      <c r="D10408" s="450"/>
      <c r="E10408" s="450"/>
      <c r="F10408" s="450"/>
      <c r="G10408" s="450" t="s">
        <v>22877</v>
      </c>
      <c r="H10408" s="450" t="s">
        <v>22878</v>
      </c>
      <c r="I10408" s="450" t="s">
        <v>38463</v>
      </c>
      <c r="J10408" s="450" t="s">
        <v>22939</v>
      </c>
      <c r="K10408" s="450"/>
    </row>
    <row r="10409" spans="1:11">
      <c r="A10409" s="451" t="s">
        <v>16712</v>
      </c>
      <c r="B10409" s="451"/>
      <c r="C10409" s="451" t="s">
        <v>5342</v>
      </c>
      <c r="D10409" s="451"/>
      <c r="E10409" s="451"/>
      <c r="F10409" s="451"/>
      <c r="G10409" s="451" t="s">
        <v>22877</v>
      </c>
      <c r="H10409" s="451" t="s">
        <v>22878</v>
      </c>
      <c r="I10409" s="451" t="s">
        <v>38464</v>
      </c>
      <c r="J10409" s="451" t="s">
        <v>22997</v>
      </c>
      <c r="K10409" s="451"/>
    </row>
    <row r="10410" spans="1:11">
      <c r="A10410" s="450" t="s">
        <v>38465</v>
      </c>
      <c r="B10410" s="450"/>
      <c r="C10410" s="450" t="s">
        <v>2880</v>
      </c>
      <c r="D10410" s="450"/>
      <c r="E10410" s="450"/>
      <c r="F10410" s="450"/>
      <c r="G10410" s="450" t="s">
        <v>22882</v>
      </c>
      <c r="H10410" s="450" t="s">
        <v>22883</v>
      </c>
      <c r="I10410" s="450"/>
      <c r="J10410" s="450" t="s">
        <v>22942</v>
      </c>
      <c r="K10410" s="450"/>
    </row>
    <row r="10411" spans="1:11">
      <c r="A10411" s="451" t="s">
        <v>16713</v>
      </c>
      <c r="B10411" s="451"/>
      <c r="C10411" s="451" t="s">
        <v>2880</v>
      </c>
      <c r="D10411" s="451"/>
      <c r="E10411" s="451"/>
      <c r="F10411" s="451"/>
      <c r="G10411" s="451"/>
      <c r="H10411" s="451"/>
      <c r="I10411" s="451"/>
      <c r="J10411" s="451"/>
      <c r="K10411" s="451"/>
    </row>
    <row r="10412" spans="1:11">
      <c r="A10412" s="450" t="s">
        <v>16714</v>
      </c>
      <c r="B10412" s="450"/>
      <c r="C10412" s="450" t="s">
        <v>5791</v>
      </c>
      <c r="D10412" s="450"/>
      <c r="E10412" s="450"/>
      <c r="F10412" s="450"/>
      <c r="G10412" s="450" t="s">
        <v>22882</v>
      </c>
      <c r="H10412" s="450" t="s">
        <v>22883</v>
      </c>
      <c r="I10412" s="450" t="s">
        <v>28934</v>
      </c>
      <c r="J10412" s="450" t="s">
        <v>23185</v>
      </c>
      <c r="K10412" s="450"/>
    </row>
    <row r="10413" spans="1:11">
      <c r="A10413" s="451" t="s">
        <v>28935</v>
      </c>
      <c r="B10413" s="451" t="s">
        <v>28936</v>
      </c>
      <c r="C10413" s="451" t="s">
        <v>16718</v>
      </c>
      <c r="D10413" s="451"/>
      <c r="E10413" s="451"/>
      <c r="F10413" s="451"/>
      <c r="G10413" s="451" t="s">
        <v>22877</v>
      </c>
      <c r="H10413" s="451" t="s">
        <v>22878</v>
      </c>
      <c r="I10413" s="451" t="s">
        <v>28937</v>
      </c>
      <c r="J10413" s="451" t="s">
        <v>28938</v>
      </c>
      <c r="K10413" s="451"/>
    </row>
    <row r="10414" spans="1:11">
      <c r="A10414" s="450" t="s">
        <v>16715</v>
      </c>
      <c r="B10414" s="450"/>
      <c r="C10414" s="450" t="s">
        <v>1663</v>
      </c>
      <c r="D10414" s="450"/>
      <c r="E10414" s="450"/>
      <c r="F10414" s="450"/>
      <c r="G10414" s="450" t="s">
        <v>22877</v>
      </c>
      <c r="H10414" s="450" t="s">
        <v>22878</v>
      </c>
      <c r="I10414" s="450" t="s">
        <v>38466</v>
      </c>
      <c r="J10414" s="450" t="s">
        <v>22942</v>
      </c>
      <c r="K10414" s="450"/>
    </row>
    <row r="10415" spans="1:11">
      <c r="A10415" s="451" t="s">
        <v>16716</v>
      </c>
      <c r="B10415" s="451" t="s">
        <v>16717</v>
      </c>
      <c r="C10415" s="451" t="s">
        <v>16718</v>
      </c>
      <c r="D10415" s="451"/>
      <c r="E10415" s="451"/>
      <c r="F10415" s="451"/>
      <c r="G10415" s="451"/>
      <c r="H10415" s="451"/>
      <c r="I10415" s="451"/>
      <c r="J10415" s="451"/>
      <c r="K10415" s="451"/>
    </row>
    <row r="10416" spans="1:11">
      <c r="A10416" s="450" t="s">
        <v>16719</v>
      </c>
      <c r="B10416" s="450"/>
      <c r="C10416" s="450" t="s">
        <v>16566</v>
      </c>
      <c r="D10416" s="450"/>
      <c r="E10416" s="450"/>
      <c r="F10416" s="450"/>
      <c r="G10416" s="450" t="s">
        <v>22882</v>
      </c>
      <c r="H10416" s="450" t="s">
        <v>22883</v>
      </c>
      <c r="I10416" s="450"/>
      <c r="J10416" s="450" t="s">
        <v>23185</v>
      </c>
      <c r="K10416" s="450"/>
    </row>
    <row r="10417" spans="1:11">
      <c r="A10417" s="451" t="s">
        <v>16720</v>
      </c>
      <c r="B10417" s="451"/>
      <c r="C10417" s="451" t="s">
        <v>14040</v>
      </c>
      <c r="D10417" s="451"/>
      <c r="E10417" s="451"/>
      <c r="F10417" s="451"/>
      <c r="G10417" s="451" t="s">
        <v>22882</v>
      </c>
      <c r="H10417" s="451" t="s">
        <v>22883</v>
      </c>
      <c r="I10417" s="451"/>
      <c r="J10417" s="451" t="s">
        <v>22997</v>
      </c>
      <c r="K10417" s="451"/>
    </row>
    <row r="10418" spans="1:11">
      <c r="A10418" s="450" t="s">
        <v>16721</v>
      </c>
      <c r="B10418" s="450"/>
      <c r="C10418" s="450" t="s">
        <v>16722</v>
      </c>
      <c r="D10418" s="450"/>
      <c r="E10418" s="450"/>
      <c r="F10418" s="450"/>
      <c r="G10418" s="450" t="s">
        <v>22882</v>
      </c>
      <c r="H10418" s="450" t="s">
        <v>22883</v>
      </c>
      <c r="I10418" s="450" t="s">
        <v>28939</v>
      </c>
      <c r="J10418" s="450" t="s">
        <v>28940</v>
      </c>
      <c r="K10418" s="450"/>
    </row>
    <row r="10419" spans="1:11">
      <c r="A10419" s="451" t="s">
        <v>16723</v>
      </c>
      <c r="B10419" s="451" t="s">
        <v>16724</v>
      </c>
      <c r="C10419" s="451" t="s">
        <v>16725</v>
      </c>
      <c r="D10419" s="451" t="s">
        <v>16726</v>
      </c>
      <c r="E10419" s="451"/>
      <c r="F10419" s="451"/>
      <c r="G10419" s="451" t="s">
        <v>28941</v>
      </c>
      <c r="H10419" s="451" t="s">
        <v>22878</v>
      </c>
      <c r="I10419" s="451" t="s">
        <v>28942</v>
      </c>
      <c r="J10419" s="451" t="s">
        <v>16724</v>
      </c>
      <c r="K10419" s="451"/>
    </row>
    <row r="10420" spans="1:11">
      <c r="A10420" s="450" t="s">
        <v>16727</v>
      </c>
      <c r="B10420" s="450"/>
      <c r="C10420" s="450" t="s">
        <v>4979</v>
      </c>
      <c r="D10420" s="450"/>
      <c r="E10420" s="450"/>
      <c r="F10420" s="450"/>
      <c r="G10420" s="450" t="s">
        <v>22882</v>
      </c>
      <c r="H10420" s="450" t="s">
        <v>22883</v>
      </c>
      <c r="I10420" s="450"/>
      <c r="J10420" s="450" t="s">
        <v>28403</v>
      </c>
      <c r="K10420" s="450"/>
    </row>
    <row r="10421" spans="1:11">
      <c r="A10421" s="451" t="s">
        <v>16728</v>
      </c>
      <c r="B10421" s="451"/>
      <c r="C10421" s="451" t="s">
        <v>16729</v>
      </c>
      <c r="D10421" s="451"/>
      <c r="E10421" s="451"/>
      <c r="F10421" s="451"/>
      <c r="G10421" s="451" t="s">
        <v>22882</v>
      </c>
      <c r="H10421" s="451" t="s">
        <v>22883</v>
      </c>
      <c r="I10421" s="451"/>
      <c r="J10421" s="451" t="s">
        <v>22942</v>
      </c>
      <c r="K10421" s="451"/>
    </row>
    <row r="10422" spans="1:11">
      <c r="A10422" s="450" t="s">
        <v>16730</v>
      </c>
      <c r="B10422" s="450"/>
      <c r="C10422" s="450" t="s">
        <v>16731</v>
      </c>
      <c r="D10422" s="450"/>
      <c r="E10422" s="450"/>
      <c r="F10422" s="450"/>
      <c r="G10422" s="450" t="s">
        <v>22877</v>
      </c>
      <c r="H10422" s="450" t="s">
        <v>22878</v>
      </c>
      <c r="I10422" s="450" t="s">
        <v>38467</v>
      </c>
      <c r="J10422" s="450" t="s">
        <v>22997</v>
      </c>
      <c r="K10422" s="450"/>
    </row>
    <row r="10423" spans="1:11">
      <c r="A10423" s="451" t="s">
        <v>16732</v>
      </c>
      <c r="B10423" s="451"/>
      <c r="C10423" s="451" t="s">
        <v>15030</v>
      </c>
      <c r="D10423" s="451"/>
      <c r="E10423" s="451"/>
      <c r="F10423" s="451"/>
      <c r="G10423" s="451" t="s">
        <v>22877</v>
      </c>
      <c r="H10423" s="451" t="s">
        <v>22878</v>
      </c>
      <c r="I10423" s="451" t="s">
        <v>28943</v>
      </c>
      <c r="J10423" s="451" t="s">
        <v>22997</v>
      </c>
      <c r="K10423" s="451"/>
    </row>
    <row r="10424" spans="1:11">
      <c r="A10424" s="450" t="s">
        <v>28944</v>
      </c>
      <c r="B10424" s="450" t="s">
        <v>28945</v>
      </c>
      <c r="C10424" s="450" t="s">
        <v>16735</v>
      </c>
      <c r="D10424" s="450" t="s">
        <v>16736</v>
      </c>
      <c r="E10424" s="450"/>
      <c r="F10424" s="450"/>
      <c r="G10424" s="450" t="s">
        <v>22877</v>
      </c>
      <c r="H10424" s="450" t="s">
        <v>22878</v>
      </c>
      <c r="I10424" s="450" t="s">
        <v>16736</v>
      </c>
      <c r="J10424" s="450" t="s">
        <v>28946</v>
      </c>
      <c r="K10424" s="450"/>
    </row>
    <row r="10425" spans="1:11">
      <c r="A10425" s="451" t="s">
        <v>16733</v>
      </c>
      <c r="B10425" s="451" t="s">
        <v>16734</v>
      </c>
      <c r="C10425" s="451" t="s">
        <v>16735</v>
      </c>
      <c r="D10425" s="451" t="s">
        <v>16736</v>
      </c>
      <c r="E10425" s="451" t="s">
        <v>16737</v>
      </c>
      <c r="F10425" s="451"/>
      <c r="G10425" s="451"/>
      <c r="H10425" s="451"/>
      <c r="I10425" s="451"/>
      <c r="J10425" s="451"/>
      <c r="K10425" s="451"/>
    </row>
    <row r="10426" spans="1:11">
      <c r="A10426" s="450" t="s">
        <v>28947</v>
      </c>
      <c r="B10426" s="450" t="s">
        <v>28948</v>
      </c>
      <c r="C10426" s="450" t="s">
        <v>28928</v>
      </c>
      <c r="D10426" s="450"/>
      <c r="E10426" s="450"/>
      <c r="F10426" s="450"/>
      <c r="G10426" s="450" t="s">
        <v>22877</v>
      </c>
      <c r="H10426" s="450" t="s">
        <v>22878</v>
      </c>
      <c r="I10426" s="450" t="s">
        <v>28929</v>
      </c>
      <c r="J10426" s="450" t="s">
        <v>28949</v>
      </c>
      <c r="K10426" s="450"/>
    </row>
    <row r="10427" spans="1:11">
      <c r="A10427" s="451" t="s">
        <v>28950</v>
      </c>
      <c r="B10427" s="451" t="s">
        <v>28951</v>
      </c>
      <c r="C10427" s="451" t="s">
        <v>28952</v>
      </c>
      <c r="D10427" s="451"/>
      <c r="E10427" s="451"/>
      <c r="F10427" s="451"/>
      <c r="G10427" s="451" t="s">
        <v>22877</v>
      </c>
      <c r="H10427" s="451" t="s">
        <v>22878</v>
      </c>
      <c r="I10427" s="451" t="s">
        <v>28953</v>
      </c>
      <c r="J10427" s="451" t="s">
        <v>28954</v>
      </c>
      <c r="K10427" s="451"/>
    </row>
    <row r="10428" spans="1:11">
      <c r="A10428" s="450" t="s">
        <v>38468</v>
      </c>
      <c r="B10428" s="450"/>
      <c r="C10428" s="450" t="s">
        <v>16739</v>
      </c>
      <c r="D10428" s="450"/>
      <c r="E10428" s="450"/>
      <c r="F10428" s="450"/>
      <c r="G10428" s="450" t="s">
        <v>22882</v>
      </c>
      <c r="H10428" s="450" t="s">
        <v>22883</v>
      </c>
      <c r="I10428" s="450" t="s">
        <v>38469</v>
      </c>
      <c r="J10428" s="450" t="s">
        <v>28871</v>
      </c>
      <c r="K10428" s="450"/>
    </row>
    <row r="10429" spans="1:11">
      <c r="A10429" s="451" t="s">
        <v>16738</v>
      </c>
      <c r="B10429" s="451"/>
      <c r="C10429" s="451" t="s">
        <v>16739</v>
      </c>
      <c r="D10429" s="451"/>
      <c r="E10429" s="451"/>
      <c r="F10429" s="451"/>
      <c r="G10429" s="451"/>
      <c r="H10429" s="451"/>
      <c r="I10429" s="451"/>
      <c r="J10429" s="451"/>
      <c r="K10429" s="451"/>
    </row>
    <row r="10430" spans="1:11">
      <c r="A10430" s="450" t="s">
        <v>16740</v>
      </c>
      <c r="B10430" s="450"/>
      <c r="C10430" s="450" t="s">
        <v>16741</v>
      </c>
      <c r="D10430" s="450"/>
      <c r="E10430" s="450"/>
      <c r="F10430" s="450"/>
      <c r="G10430" s="450" t="s">
        <v>22877</v>
      </c>
      <c r="H10430" s="450" t="s">
        <v>22878</v>
      </c>
      <c r="I10430" s="450" t="s">
        <v>38470</v>
      </c>
      <c r="J10430" s="450" t="s">
        <v>23185</v>
      </c>
      <c r="K10430" s="450"/>
    </row>
    <row r="10431" spans="1:11">
      <c r="A10431" s="451" t="s">
        <v>16742</v>
      </c>
      <c r="B10431" s="451"/>
      <c r="C10431" s="451" t="s">
        <v>4448</v>
      </c>
      <c r="D10431" s="451"/>
      <c r="E10431" s="451"/>
      <c r="F10431" s="451"/>
      <c r="G10431" s="451" t="s">
        <v>22877</v>
      </c>
      <c r="H10431" s="451" t="s">
        <v>22878</v>
      </c>
      <c r="I10431" s="451" t="s">
        <v>28955</v>
      </c>
      <c r="J10431" s="451" t="s">
        <v>23185</v>
      </c>
      <c r="K10431" s="451"/>
    </row>
    <row r="10432" spans="1:11">
      <c r="A10432" s="450" t="s">
        <v>16743</v>
      </c>
      <c r="B10432" s="450" t="s">
        <v>16744</v>
      </c>
      <c r="C10432" s="450" t="s">
        <v>16745</v>
      </c>
      <c r="D10432" s="450"/>
      <c r="E10432" s="450"/>
      <c r="F10432" s="450"/>
      <c r="G10432" s="450"/>
      <c r="H10432" s="450"/>
      <c r="I10432" s="450"/>
      <c r="J10432" s="450"/>
      <c r="K10432" s="450"/>
    </row>
    <row r="10433" spans="1:11">
      <c r="A10433" s="451" t="s">
        <v>28956</v>
      </c>
      <c r="B10433" s="451" t="s">
        <v>16744</v>
      </c>
      <c r="C10433" s="451" t="s">
        <v>16745</v>
      </c>
      <c r="D10433" s="451"/>
      <c r="E10433" s="451"/>
      <c r="F10433" s="451"/>
      <c r="G10433" s="451" t="s">
        <v>22877</v>
      </c>
      <c r="H10433" s="451" t="s">
        <v>22878</v>
      </c>
      <c r="I10433" s="451" t="s">
        <v>28957</v>
      </c>
      <c r="J10433" s="451" t="s">
        <v>28958</v>
      </c>
      <c r="K10433" s="451"/>
    </row>
    <row r="10434" spans="1:11">
      <c r="A10434" s="450" t="s">
        <v>16746</v>
      </c>
      <c r="B10434" s="450"/>
      <c r="C10434" s="450" t="s">
        <v>4710</v>
      </c>
      <c r="D10434" s="450"/>
      <c r="E10434" s="450"/>
      <c r="F10434" s="450"/>
      <c r="G10434" s="450" t="s">
        <v>22882</v>
      </c>
      <c r="H10434" s="450" t="s">
        <v>22883</v>
      </c>
      <c r="I10434" s="450"/>
      <c r="J10434" s="450" t="s">
        <v>22997</v>
      </c>
      <c r="K10434" s="450"/>
    </row>
    <row r="10435" spans="1:11">
      <c r="A10435" s="451" t="s">
        <v>16747</v>
      </c>
      <c r="B10435" s="451" t="s">
        <v>16748</v>
      </c>
      <c r="C10435" s="451" t="s">
        <v>16749</v>
      </c>
      <c r="D10435" s="451" t="s">
        <v>16750</v>
      </c>
      <c r="E10435" s="451"/>
      <c r="F10435" s="451"/>
      <c r="G10435" s="451" t="s">
        <v>22882</v>
      </c>
      <c r="H10435" s="451" t="s">
        <v>22883</v>
      </c>
      <c r="I10435" s="451" t="s">
        <v>16750</v>
      </c>
      <c r="J10435" s="451" t="s">
        <v>28959</v>
      </c>
      <c r="K10435" s="451"/>
    </row>
    <row r="10436" spans="1:11">
      <c r="A10436" s="450" t="s">
        <v>16747</v>
      </c>
      <c r="B10436" s="450" t="s">
        <v>16748</v>
      </c>
      <c r="C10436" s="450" t="s">
        <v>16749</v>
      </c>
      <c r="D10436" s="450" t="s">
        <v>16750</v>
      </c>
      <c r="E10436" s="450" t="s">
        <v>16751</v>
      </c>
      <c r="F10436" s="450"/>
      <c r="G10436" s="450"/>
      <c r="H10436" s="450"/>
      <c r="I10436" s="450"/>
      <c r="J10436" s="450"/>
      <c r="K10436" s="450"/>
    </row>
    <row r="10437" spans="1:11">
      <c r="A10437" s="451" t="s">
        <v>16752</v>
      </c>
      <c r="B10437" s="451"/>
      <c r="C10437" s="451" t="s">
        <v>16753</v>
      </c>
      <c r="D10437" s="451"/>
      <c r="E10437" s="451"/>
      <c r="F10437" s="451"/>
      <c r="G10437" s="451" t="s">
        <v>22882</v>
      </c>
      <c r="H10437" s="451" t="s">
        <v>22883</v>
      </c>
      <c r="I10437" s="451"/>
      <c r="J10437" s="451" t="s">
        <v>28403</v>
      </c>
      <c r="K10437" s="451"/>
    </row>
    <row r="10438" spans="1:11">
      <c r="A10438" s="450" t="s">
        <v>38471</v>
      </c>
      <c r="B10438" s="450"/>
      <c r="C10438" s="450" t="s">
        <v>16755</v>
      </c>
      <c r="D10438" s="450"/>
      <c r="E10438" s="450"/>
      <c r="F10438" s="450"/>
      <c r="G10438" s="450" t="s">
        <v>22882</v>
      </c>
      <c r="H10438" s="450" t="s">
        <v>22883</v>
      </c>
      <c r="I10438" s="450"/>
      <c r="J10438" s="450" t="s">
        <v>22942</v>
      </c>
      <c r="K10438" s="450"/>
    </row>
    <row r="10439" spans="1:11">
      <c r="A10439" s="451" t="s">
        <v>16754</v>
      </c>
      <c r="B10439" s="451"/>
      <c r="C10439" s="451" t="s">
        <v>16755</v>
      </c>
      <c r="D10439" s="451"/>
      <c r="E10439" s="451"/>
      <c r="F10439" s="451"/>
      <c r="G10439" s="451"/>
      <c r="H10439" s="451"/>
      <c r="I10439" s="451"/>
      <c r="J10439" s="451"/>
      <c r="K10439" s="451"/>
    </row>
    <row r="10440" spans="1:11">
      <c r="A10440" s="450" t="s">
        <v>16756</v>
      </c>
      <c r="B10440" s="450" t="s">
        <v>16757</v>
      </c>
      <c r="C10440" s="450" t="s">
        <v>16758</v>
      </c>
      <c r="D10440" s="450" t="s">
        <v>16759</v>
      </c>
      <c r="E10440" s="450"/>
      <c r="F10440" s="450"/>
      <c r="G10440" s="450" t="s">
        <v>22882</v>
      </c>
      <c r="H10440" s="450" t="s">
        <v>22883</v>
      </c>
      <c r="I10440" s="450" t="s">
        <v>16759</v>
      </c>
      <c r="J10440" s="450" t="s">
        <v>28960</v>
      </c>
      <c r="K10440" s="450"/>
    </row>
    <row r="10441" spans="1:11">
      <c r="A10441" s="451" t="s">
        <v>16760</v>
      </c>
      <c r="B10441" s="451"/>
      <c r="C10441" s="451" t="s">
        <v>16761</v>
      </c>
      <c r="D10441" s="451"/>
      <c r="E10441" s="451"/>
      <c r="F10441" s="451"/>
      <c r="G10441" s="451" t="s">
        <v>22877</v>
      </c>
      <c r="H10441" s="451" t="s">
        <v>22878</v>
      </c>
      <c r="I10441" s="451" t="s">
        <v>38472</v>
      </c>
      <c r="J10441" s="451" t="s">
        <v>22942</v>
      </c>
      <c r="K10441" s="451"/>
    </row>
    <row r="10442" spans="1:11">
      <c r="A10442" s="450" t="s">
        <v>16762</v>
      </c>
      <c r="B10442" s="450"/>
      <c r="C10442" s="450" t="s">
        <v>16763</v>
      </c>
      <c r="D10442" s="450"/>
      <c r="E10442" s="450"/>
      <c r="F10442" s="450"/>
      <c r="G10442" s="450" t="s">
        <v>22877</v>
      </c>
      <c r="H10442" s="450" t="s">
        <v>22878</v>
      </c>
      <c r="I10442" s="450" t="s">
        <v>38473</v>
      </c>
      <c r="J10442" s="450" t="s">
        <v>23185</v>
      </c>
      <c r="K10442" s="450"/>
    </row>
    <row r="10443" spans="1:11">
      <c r="A10443" s="451" t="s">
        <v>16764</v>
      </c>
      <c r="B10443" s="451"/>
      <c r="C10443" s="451" t="s">
        <v>16765</v>
      </c>
      <c r="D10443" s="451"/>
      <c r="E10443" s="451"/>
      <c r="F10443" s="451"/>
      <c r="G10443" s="451" t="s">
        <v>22877</v>
      </c>
      <c r="H10443" s="451" t="s">
        <v>22878</v>
      </c>
      <c r="I10443" s="451" t="s">
        <v>38474</v>
      </c>
      <c r="J10443" s="451" t="s">
        <v>22942</v>
      </c>
      <c r="K10443" s="451"/>
    </row>
    <row r="10444" spans="1:11">
      <c r="A10444" s="450" t="s">
        <v>38475</v>
      </c>
      <c r="B10444" s="450"/>
      <c r="C10444" s="450" t="s">
        <v>16767</v>
      </c>
      <c r="D10444" s="450"/>
      <c r="E10444" s="450"/>
      <c r="F10444" s="450"/>
      <c r="G10444" s="450" t="s">
        <v>22877</v>
      </c>
      <c r="H10444" s="450" t="s">
        <v>22878</v>
      </c>
      <c r="I10444" s="450" t="s">
        <v>38476</v>
      </c>
      <c r="J10444" s="450" t="s">
        <v>22942</v>
      </c>
      <c r="K10444" s="450"/>
    </row>
    <row r="10445" spans="1:11">
      <c r="A10445" s="451" t="s">
        <v>16766</v>
      </c>
      <c r="B10445" s="451"/>
      <c r="C10445" s="451" t="s">
        <v>16767</v>
      </c>
      <c r="D10445" s="451"/>
      <c r="E10445" s="451"/>
      <c r="F10445" s="451"/>
      <c r="G10445" s="451"/>
      <c r="H10445" s="451"/>
      <c r="I10445" s="451"/>
      <c r="J10445" s="451"/>
      <c r="K10445" s="451"/>
    </row>
    <row r="10446" spans="1:11">
      <c r="A10446" s="450" t="s">
        <v>38477</v>
      </c>
      <c r="B10446" s="450" t="s">
        <v>38478</v>
      </c>
      <c r="C10446" s="450" t="s">
        <v>25969</v>
      </c>
      <c r="D10446" s="450"/>
      <c r="E10446" s="450"/>
      <c r="F10446" s="450"/>
      <c r="G10446" s="450"/>
      <c r="H10446" s="450"/>
      <c r="I10446" s="450"/>
      <c r="J10446" s="450"/>
      <c r="K10446" s="450"/>
    </row>
    <row r="10447" spans="1:11">
      <c r="A10447" s="451" t="s">
        <v>28961</v>
      </c>
      <c r="B10447" s="451"/>
      <c r="C10447" s="451" t="s">
        <v>9401</v>
      </c>
      <c r="D10447" s="451"/>
      <c r="E10447" s="451"/>
      <c r="F10447" s="451"/>
      <c r="G10447" s="451" t="s">
        <v>23425</v>
      </c>
      <c r="H10447" s="451" t="s">
        <v>22878</v>
      </c>
      <c r="I10447" s="451"/>
      <c r="J10447" s="451"/>
      <c r="K10447" s="451"/>
    </row>
    <row r="10448" spans="1:11">
      <c r="A10448" s="450" t="s">
        <v>38479</v>
      </c>
      <c r="B10448" s="450" t="s">
        <v>16769</v>
      </c>
      <c r="C10448" s="450" t="s">
        <v>4713</v>
      </c>
      <c r="D10448" s="450" t="s">
        <v>16770</v>
      </c>
      <c r="E10448" s="450"/>
      <c r="F10448" s="450"/>
      <c r="G10448" s="450" t="s">
        <v>22877</v>
      </c>
      <c r="H10448" s="450" t="s">
        <v>22878</v>
      </c>
      <c r="I10448" s="450" t="s">
        <v>23471</v>
      </c>
      <c r="J10448" s="450" t="s">
        <v>38480</v>
      </c>
      <c r="K10448" s="450"/>
    </row>
    <row r="10449" spans="1:11">
      <c r="A10449" s="451" t="s">
        <v>16768</v>
      </c>
      <c r="B10449" s="451" t="s">
        <v>16769</v>
      </c>
      <c r="C10449" s="451" t="s">
        <v>4713</v>
      </c>
      <c r="D10449" s="451" t="s">
        <v>16770</v>
      </c>
      <c r="E10449" s="451" t="s">
        <v>16771</v>
      </c>
      <c r="F10449" s="451"/>
      <c r="G10449" s="451"/>
      <c r="H10449" s="451"/>
      <c r="I10449" s="451"/>
      <c r="J10449" s="451"/>
      <c r="K10449" s="451"/>
    </row>
    <row r="10450" spans="1:11">
      <c r="A10450" s="450" t="s">
        <v>38481</v>
      </c>
      <c r="B10450" s="450"/>
      <c r="C10450" s="450" t="s">
        <v>2448</v>
      </c>
      <c r="D10450" s="450"/>
      <c r="E10450" s="450"/>
      <c r="F10450" s="450"/>
      <c r="G10450" s="450" t="s">
        <v>22877</v>
      </c>
      <c r="H10450" s="450" t="s">
        <v>22878</v>
      </c>
      <c r="I10450" s="450" t="s">
        <v>38482</v>
      </c>
      <c r="J10450" s="450" t="s">
        <v>23185</v>
      </c>
      <c r="K10450" s="450"/>
    </row>
    <row r="10451" spans="1:11">
      <c r="A10451" s="451" t="s">
        <v>38483</v>
      </c>
      <c r="B10451" s="451"/>
      <c r="C10451" s="451" t="s">
        <v>1791</v>
      </c>
      <c r="D10451" s="451"/>
      <c r="E10451" s="451"/>
      <c r="F10451" s="451"/>
      <c r="G10451" s="451" t="s">
        <v>22882</v>
      </c>
      <c r="H10451" s="451" t="s">
        <v>22883</v>
      </c>
      <c r="I10451" s="451" t="s">
        <v>38484</v>
      </c>
      <c r="J10451" s="451" t="s">
        <v>23133</v>
      </c>
      <c r="K10451" s="451"/>
    </row>
    <row r="10452" spans="1:11">
      <c r="A10452" s="450" t="s">
        <v>16772</v>
      </c>
      <c r="B10452" s="450"/>
      <c r="C10452" s="450" t="s">
        <v>1791</v>
      </c>
      <c r="D10452" s="450"/>
      <c r="E10452" s="450"/>
      <c r="F10452" s="450"/>
      <c r="G10452" s="450"/>
      <c r="H10452" s="450"/>
      <c r="I10452" s="450"/>
      <c r="J10452" s="450"/>
      <c r="K10452" s="450"/>
    </row>
    <row r="10453" spans="1:11">
      <c r="A10453" s="451" t="s">
        <v>28962</v>
      </c>
      <c r="B10453" s="451" t="s">
        <v>28963</v>
      </c>
      <c r="C10453" s="451" t="s">
        <v>28964</v>
      </c>
      <c r="D10453" s="451"/>
      <c r="E10453" s="451"/>
      <c r="F10453" s="451"/>
      <c r="G10453" s="451" t="s">
        <v>22877</v>
      </c>
      <c r="H10453" s="451" t="s">
        <v>22878</v>
      </c>
      <c r="I10453" s="451" t="s">
        <v>28965</v>
      </c>
      <c r="J10453" s="451" t="s">
        <v>28966</v>
      </c>
      <c r="K10453" s="451"/>
    </row>
    <row r="10454" spans="1:11">
      <c r="A10454" s="450" t="s">
        <v>21963</v>
      </c>
      <c r="B10454" s="450"/>
      <c r="C10454" s="450" t="s">
        <v>2528</v>
      </c>
      <c r="D10454" s="450"/>
      <c r="E10454" s="450"/>
      <c r="F10454" s="450"/>
      <c r="G10454" s="450" t="s">
        <v>22882</v>
      </c>
      <c r="H10454" s="450" t="s">
        <v>22883</v>
      </c>
      <c r="I10454" s="450"/>
      <c r="J10454" s="450" t="s">
        <v>23185</v>
      </c>
      <c r="K10454" s="450"/>
    </row>
    <row r="10455" spans="1:11">
      <c r="A10455" s="451" t="s">
        <v>21964</v>
      </c>
      <c r="B10455" s="451" t="s">
        <v>16773</v>
      </c>
      <c r="C10455" s="451" t="s">
        <v>15082</v>
      </c>
      <c r="D10455" s="451" t="s">
        <v>16774</v>
      </c>
      <c r="E10455" s="451" t="s">
        <v>16775</v>
      </c>
      <c r="F10455" s="451"/>
      <c r="G10455" s="451"/>
      <c r="H10455" s="451"/>
      <c r="I10455" s="451"/>
      <c r="J10455" s="451"/>
      <c r="K10455" s="451"/>
    </row>
    <row r="10456" spans="1:11">
      <c r="A10456" s="450" t="s">
        <v>32014</v>
      </c>
      <c r="B10456" s="450" t="s">
        <v>16773</v>
      </c>
      <c r="C10456" s="450" t="s">
        <v>15082</v>
      </c>
      <c r="D10456" s="450" t="s">
        <v>16774</v>
      </c>
      <c r="E10456" s="450"/>
      <c r="F10456" s="450"/>
      <c r="G10456" s="450" t="s">
        <v>22877</v>
      </c>
      <c r="H10456" s="450" t="s">
        <v>22878</v>
      </c>
      <c r="I10456" s="450" t="s">
        <v>16774</v>
      </c>
      <c r="J10456" s="450" t="s">
        <v>28967</v>
      </c>
      <c r="K10456" s="450"/>
    </row>
    <row r="10457" spans="1:11">
      <c r="A10457" s="451" t="s">
        <v>28968</v>
      </c>
      <c r="B10457" s="451" t="s">
        <v>16777</v>
      </c>
      <c r="C10457" s="451" t="s">
        <v>16778</v>
      </c>
      <c r="D10457" s="451" t="s">
        <v>16779</v>
      </c>
      <c r="E10457" s="451"/>
      <c r="F10457" s="451"/>
      <c r="G10457" s="451" t="s">
        <v>22882</v>
      </c>
      <c r="H10457" s="451" t="s">
        <v>22883</v>
      </c>
      <c r="I10457" s="451" t="s">
        <v>16779</v>
      </c>
      <c r="J10457" s="451" t="s">
        <v>28969</v>
      </c>
      <c r="K10457" s="451"/>
    </row>
    <row r="10458" spans="1:11">
      <c r="A10458" s="450" t="s">
        <v>28970</v>
      </c>
      <c r="B10458" s="450" t="s">
        <v>16782</v>
      </c>
      <c r="C10458" s="450" t="s">
        <v>16783</v>
      </c>
      <c r="D10458" s="450" t="s">
        <v>16784</v>
      </c>
      <c r="E10458" s="450"/>
      <c r="F10458" s="450"/>
      <c r="G10458" s="450" t="s">
        <v>22877</v>
      </c>
      <c r="H10458" s="450" t="s">
        <v>22878</v>
      </c>
      <c r="I10458" s="450" t="s">
        <v>16784</v>
      </c>
      <c r="J10458" s="450" t="s">
        <v>28971</v>
      </c>
      <c r="K10458" s="450"/>
    </row>
    <row r="10459" spans="1:11">
      <c r="A10459" s="451" t="s">
        <v>38485</v>
      </c>
      <c r="B10459" s="451" t="s">
        <v>16787</v>
      </c>
      <c r="C10459" s="451" t="s">
        <v>16788</v>
      </c>
      <c r="D10459" s="451" t="s">
        <v>16789</v>
      </c>
      <c r="E10459" s="451"/>
      <c r="F10459" s="451"/>
      <c r="G10459" s="451" t="s">
        <v>22877</v>
      </c>
      <c r="H10459" s="451" t="s">
        <v>22878</v>
      </c>
      <c r="I10459" s="451" t="s">
        <v>38486</v>
      </c>
      <c r="J10459" s="451" t="s">
        <v>38487</v>
      </c>
      <c r="K10459" s="451"/>
    </row>
    <row r="10460" spans="1:11">
      <c r="A10460" s="450" t="s">
        <v>16776</v>
      </c>
      <c r="B10460" s="450" t="s">
        <v>16777</v>
      </c>
      <c r="C10460" s="450" t="s">
        <v>16778</v>
      </c>
      <c r="D10460" s="450" t="s">
        <v>16779</v>
      </c>
      <c r="E10460" s="450" t="s">
        <v>16780</v>
      </c>
      <c r="F10460" s="450"/>
      <c r="G10460" s="450"/>
      <c r="H10460" s="450"/>
      <c r="I10460" s="450"/>
      <c r="J10460" s="450"/>
      <c r="K10460" s="450"/>
    </row>
    <row r="10461" spans="1:11">
      <c r="A10461" s="451" t="s">
        <v>16781</v>
      </c>
      <c r="B10461" s="451" t="s">
        <v>16782</v>
      </c>
      <c r="C10461" s="451" t="s">
        <v>16783</v>
      </c>
      <c r="D10461" s="451" t="s">
        <v>16784</v>
      </c>
      <c r="E10461" s="451" t="s">
        <v>16785</v>
      </c>
      <c r="F10461" s="451"/>
      <c r="G10461" s="451"/>
      <c r="H10461" s="451"/>
      <c r="I10461" s="451"/>
      <c r="J10461" s="451"/>
      <c r="K10461" s="451"/>
    </row>
    <row r="10462" spans="1:11">
      <c r="A10462" s="450" t="s">
        <v>16786</v>
      </c>
      <c r="B10462" s="450" t="s">
        <v>16787</v>
      </c>
      <c r="C10462" s="450" t="s">
        <v>16788</v>
      </c>
      <c r="D10462" s="450" t="s">
        <v>16789</v>
      </c>
      <c r="E10462" s="450" t="s">
        <v>16790</v>
      </c>
      <c r="F10462" s="450"/>
      <c r="G10462" s="450"/>
      <c r="H10462" s="450"/>
      <c r="I10462" s="450"/>
      <c r="J10462" s="450"/>
      <c r="K10462" s="450"/>
    </row>
    <row r="10463" spans="1:11">
      <c r="A10463" s="451" t="s">
        <v>21965</v>
      </c>
      <c r="B10463" s="451" t="s">
        <v>16791</v>
      </c>
      <c r="C10463" s="451" t="s">
        <v>16792</v>
      </c>
      <c r="D10463" s="451" t="s">
        <v>16793</v>
      </c>
      <c r="E10463" s="451"/>
      <c r="F10463" s="451"/>
      <c r="G10463" s="451" t="s">
        <v>22877</v>
      </c>
      <c r="H10463" s="451" t="s">
        <v>22878</v>
      </c>
      <c r="I10463" s="451" t="s">
        <v>16793</v>
      </c>
      <c r="J10463" s="451" t="s">
        <v>28972</v>
      </c>
      <c r="K10463" s="451"/>
    </row>
    <row r="10464" spans="1:11">
      <c r="A10464" s="450" t="s">
        <v>21966</v>
      </c>
      <c r="B10464" s="450" t="s">
        <v>28973</v>
      </c>
      <c r="C10464" s="450" t="s">
        <v>16795</v>
      </c>
      <c r="D10464" s="450" t="s">
        <v>16796</v>
      </c>
      <c r="E10464" s="450"/>
      <c r="F10464" s="450"/>
      <c r="G10464" s="450" t="s">
        <v>22877</v>
      </c>
      <c r="H10464" s="450" t="s">
        <v>22878</v>
      </c>
      <c r="I10464" s="450" t="s">
        <v>16796</v>
      </c>
      <c r="J10464" s="450" t="s">
        <v>28974</v>
      </c>
      <c r="K10464" s="450"/>
    </row>
    <row r="10465" spans="1:11">
      <c r="A10465" s="451" t="s">
        <v>21966</v>
      </c>
      <c r="B10465" s="451" t="s">
        <v>16794</v>
      </c>
      <c r="C10465" s="451" t="s">
        <v>16795</v>
      </c>
      <c r="D10465" s="451" t="s">
        <v>16796</v>
      </c>
      <c r="E10465" s="451"/>
      <c r="F10465" s="451"/>
      <c r="G10465" s="451"/>
      <c r="H10465" s="451"/>
      <c r="I10465" s="451"/>
      <c r="J10465" s="451"/>
      <c r="K10465" s="451"/>
    </row>
    <row r="10466" spans="1:11">
      <c r="A10466" s="450" t="s">
        <v>16797</v>
      </c>
      <c r="B10466" s="450"/>
      <c r="C10466" s="450" t="s">
        <v>16798</v>
      </c>
      <c r="D10466" s="450"/>
      <c r="E10466" s="450"/>
      <c r="F10466" s="450"/>
      <c r="G10466" s="450" t="s">
        <v>22882</v>
      </c>
      <c r="H10466" s="450" t="s">
        <v>22883</v>
      </c>
      <c r="I10466" s="450"/>
      <c r="J10466" s="450" t="s">
        <v>22997</v>
      </c>
      <c r="K10466" s="450"/>
    </row>
    <row r="10467" spans="1:11">
      <c r="A10467" s="451" t="s">
        <v>38488</v>
      </c>
      <c r="B10467" s="451"/>
      <c r="C10467" s="451" t="s">
        <v>2466</v>
      </c>
      <c r="D10467" s="451"/>
      <c r="E10467" s="451"/>
      <c r="F10467" s="451"/>
      <c r="G10467" s="451" t="s">
        <v>22877</v>
      </c>
      <c r="H10467" s="451" t="s">
        <v>22878</v>
      </c>
      <c r="I10467" s="451" t="s">
        <v>38489</v>
      </c>
      <c r="J10467" s="451" t="s">
        <v>23370</v>
      </c>
      <c r="K10467" s="451"/>
    </row>
    <row r="10468" spans="1:11">
      <c r="A10468" s="450" t="s">
        <v>16799</v>
      </c>
      <c r="B10468" s="450"/>
      <c r="C10468" s="450" t="s">
        <v>2466</v>
      </c>
      <c r="D10468" s="450"/>
      <c r="E10468" s="450"/>
      <c r="F10468" s="450"/>
      <c r="G10468" s="450"/>
      <c r="H10468" s="450"/>
      <c r="I10468" s="450"/>
      <c r="J10468" s="450"/>
      <c r="K10468" s="450"/>
    </row>
    <row r="10469" spans="1:11">
      <c r="A10469" s="451" t="s">
        <v>38490</v>
      </c>
      <c r="B10469" s="451"/>
      <c r="C10469" s="451" t="s">
        <v>16801</v>
      </c>
      <c r="D10469" s="451"/>
      <c r="E10469" s="451"/>
      <c r="F10469" s="451"/>
      <c r="G10469" s="451" t="s">
        <v>22877</v>
      </c>
      <c r="H10469" s="451" t="s">
        <v>22878</v>
      </c>
      <c r="I10469" s="451" t="s">
        <v>38491</v>
      </c>
      <c r="J10469" s="451" t="s">
        <v>22942</v>
      </c>
      <c r="K10469" s="451"/>
    </row>
    <row r="10470" spans="1:11">
      <c r="A10470" s="450" t="s">
        <v>16800</v>
      </c>
      <c r="B10470" s="450"/>
      <c r="C10470" s="450" t="s">
        <v>16801</v>
      </c>
      <c r="D10470" s="450"/>
      <c r="E10470" s="450"/>
      <c r="F10470" s="450"/>
      <c r="G10470" s="450"/>
      <c r="H10470" s="450"/>
      <c r="I10470" s="450"/>
      <c r="J10470" s="450"/>
      <c r="K10470" s="450"/>
    </row>
    <row r="10471" spans="1:11">
      <c r="A10471" s="451" t="s">
        <v>16802</v>
      </c>
      <c r="B10471" s="451"/>
      <c r="C10471" s="451" t="s">
        <v>4023</v>
      </c>
      <c r="D10471" s="451"/>
      <c r="E10471" s="451"/>
      <c r="F10471" s="451"/>
      <c r="G10471" s="451" t="s">
        <v>22877</v>
      </c>
      <c r="H10471" s="451" t="s">
        <v>22878</v>
      </c>
      <c r="I10471" s="451" t="s">
        <v>28975</v>
      </c>
      <c r="J10471" s="451" t="s">
        <v>22997</v>
      </c>
      <c r="K10471" s="451"/>
    </row>
    <row r="10472" spans="1:11">
      <c r="A10472" s="450" t="s">
        <v>16803</v>
      </c>
      <c r="B10472" s="450" t="s">
        <v>16804</v>
      </c>
      <c r="C10472" s="450" t="s">
        <v>16805</v>
      </c>
      <c r="D10472" s="450"/>
      <c r="E10472" s="450"/>
      <c r="F10472" s="450"/>
      <c r="G10472" s="450" t="s">
        <v>22877</v>
      </c>
      <c r="H10472" s="450" t="s">
        <v>22878</v>
      </c>
      <c r="I10472" s="450" t="s">
        <v>28976</v>
      </c>
      <c r="J10472" s="450" t="s">
        <v>28977</v>
      </c>
      <c r="K10472" s="450"/>
    </row>
    <row r="10473" spans="1:11">
      <c r="A10473" s="451" t="s">
        <v>28978</v>
      </c>
      <c r="B10473" s="451" t="s">
        <v>28979</v>
      </c>
      <c r="C10473" s="451" t="s">
        <v>3055</v>
      </c>
      <c r="D10473" s="451"/>
      <c r="E10473" s="451"/>
      <c r="F10473" s="451"/>
      <c r="G10473" s="451" t="s">
        <v>22877</v>
      </c>
      <c r="H10473" s="451" t="s">
        <v>22878</v>
      </c>
      <c r="I10473" s="451" t="s">
        <v>28980</v>
      </c>
      <c r="J10473" s="451" t="s">
        <v>28981</v>
      </c>
      <c r="K10473" s="451"/>
    </row>
    <row r="10474" spans="1:11">
      <c r="A10474" s="450" t="s">
        <v>16806</v>
      </c>
      <c r="B10474" s="450" t="s">
        <v>16807</v>
      </c>
      <c r="C10474" s="450" t="s">
        <v>1537</v>
      </c>
      <c r="D10474" s="450" t="s">
        <v>16808</v>
      </c>
      <c r="E10474" s="450"/>
      <c r="F10474" s="450"/>
      <c r="G10474" s="450" t="s">
        <v>22877</v>
      </c>
      <c r="H10474" s="450" t="s">
        <v>22878</v>
      </c>
      <c r="I10474" s="450" t="s">
        <v>38492</v>
      </c>
      <c r="J10474" s="450" t="s">
        <v>38493</v>
      </c>
      <c r="K10474" s="450"/>
    </row>
    <row r="10475" spans="1:11">
      <c r="A10475" s="451" t="s">
        <v>16806</v>
      </c>
      <c r="B10475" s="451" t="s">
        <v>16807</v>
      </c>
      <c r="C10475" s="451" t="s">
        <v>1537</v>
      </c>
      <c r="D10475" s="451" t="s">
        <v>16808</v>
      </c>
      <c r="E10475" s="451" t="s">
        <v>16809</v>
      </c>
      <c r="F10475" s="451"/>
      <c r="G10475" s="451"/>
      <c r="H10475" s="451"/>
      <c r="I10475" s="451"/>
      <c r="J10475" s="451"/>
      <c r="K10475" s="451"/>
    </row>
    <row r="10476" spans="1:11">
      <c r="A10476" s="450" t="s">
        <v>16810</v>
      </c>
      <c r="B10476" s="450"/>
      <c r="C10476" s="450" t="s">
        <v>1544</v>
      </c>
      <c r="D10476" s="450" t="s">
        <v>16811</v>
      </c>
      <c r="E10476" s="450"/>
      <c r="F10476" s="450"/>
      <c r="G10476" s="450" t="s">
        <v>22877</v>
      </c>
      <c r="H10476" s="450" t="s">
        <v>22878</v>
      </c>
      <c r="I10476" s="450" t="s">
        <v>16811</v>
      </c>
      <c r="J10476" s="450" t="s">
        <v>38494</v>
      </c>
      <c r="K10476" s="450"/>
    </row>
    <row r="10477" spans="1:11">
      <c r="A10477" s="451" t="s">
        <v>16810</v>
      </c>
      <c r="B10477" s="451"/>
      <c r="C10477" s="451" t="s">
        <v>1544</v>
      </c>
      <c r="D10477" s="451" t="s">
        <v>16811</v>
      </c>
      <c r="E10477" s="451" t="s">
        <v>16812</v>
      </c>
      <c r="F10477" s="451"/>
      <c r="G10477" s="451"/>
      <c r="H10477" s="451"/>
      <c r="I10477" s="451"/>
      <c r="J10477" s="451"/>
      <c r="K10477" s="451"/>
    </row>
    <row r="10478" spans="1:11">
      <c r="A10478" s="450" t="s">
        <v>16813</v>
      </c>
      <c r="B10478" s="450"/>
      <c r="C10478" s="450" t="s">
        <v>16814</v>
      </c>
      <c r="D10478" s="450"/>
      <c r="E10478" s="450"/>
      <c r="F10478" s="450"/>
      <c r="G10478" s="450" t="s">
        <v>22882</v>
      </c>
      <c r="H10478" s="450" t="s">
        <v>22883</v>
      </c>
      <c r="I10478" s="450"/>
      <c r="J10478" s="450" t="s">
        <v>28870</v>
      </c>
      <c r="K10478" s="450"/>
    </row>
    <row r="10479" spans="1:11">
      <c r="A10479" s="451" t="s">
        <v>38495</v>
      </c>
      <c r="B10479" s="451"/>
      <c r="C10479" s="451" t="s">
        <v>16334</v>
      </c>
      <c r="D10479" s="451"/>
      <c r="E10479" s="451"/>
      <c r="F10479" s="451"/>
      <c r="G10479" s="451" t="s">
        <v>22877</v>
      </c>
      <c r="H10479" s="451" t="s">
        <v>22878</v>
      </c>
      <c r="I10479" s="451" t="s">
        <v>38496</v>
      </c>
      <c r="J10479" s="451" t="s">
        <v>22997</v>
      </c>
      <c r="K10479" s="451"/>
    </row>
    <row r="10480" spans="1:11">
      <c r="A10480" s="450" t="s">
        <v>16815</v>
      </c>
      <c r="B10480" s="450"/>
      <c r="C10480" s="450" t="s">
        <v>10739</v>
      </c>
      <c r="D10480" s="450"/>
      <c r="E10480" s="450"/>
      <c r="F10480" s="450"/>
      <c r="G10480" s="450" t="s">
        <v>22877</v>
      </c>
      <c r="H10480" s="450" t="s">
        <v>22878</v>
      </c>
      <c r="I10480" s="450" t="s">
        <v>38497</v>
      </c>
      <c r="J10480" s="450" t="s">
        <v>23185</v>
      </c>
      <c r="K10480" s="450"/>
    </row>
    <row r="10481" spans="1:11">
      <c r="A10481" s="451" t="s">
        <v>16816</v>
      </c>
      <c r="B10481" s="451"/>
      <c r="C10481" s="451" t="s">
        <v>10865</v>
      </c>
      <c r="D10481" s="451"/>
      <c r="E10481" s="451"/>
      <c r="F10481" s="451"/>
      <c r="G10481" s="451"/>
      <c r="H10481" s="451"/>
      <c r="I10481" s="451"/>
      <c r="J10481" s="451"/>
      <c r="K10481" s="451"/>
    </row>
    <row r="10482" spans="1:11">
      <c r="A10482" s="450" t="s">
        <v>38498</v>
      </c>
      <c r="B10482" s="450"/>
      <c r="C10482" s="450" t="s">
        <v>10865</v>
      </c>
      <c r="D10482" s="450"/>
      <c r="E10482" s="450"/>
      <c r="F10482" s="450"/>
      <c r="G10482" s="450" t="s">
        <v>22882</v>
      </c>
      <c r="H10482" s="450" t="s">
        <v>22883</v>
      </c>
      <c r="I10482" s="450"/>
      <c r="J10482" s="450" t="s">
        <v>23185</v>
      </c>
      <c r="K10482" s="450"/>
    </row>
    <row r="10483" spans="1:11">
      <c r="A10483" s="451" t="s">
        <v>16817</v>
      </c>
      <c r="B10483" s="451"/>
      <c r="C10483" s="451" t="s">
        <v>16818</v>
      </c>
      <c r="D10483" s="451"/>
      <c r="E10483" s="451"/>
      <c r="F10483" s="451"/>
      <c r="G10483" s="451" t="s">
        <v>22882</v>
      </c>
      <c r="H10483" s="451" t="s">
        <v>22883</v>
      </c>
      <c r="I10483" s="451" t="s">
        <v>38499</v>
      </c>
      <c r="J10483" s="451" t="s">
        <v>23370</v>
      </c>
      <c r="K10483" s="451"/>
    </row>
    <row r="10484" spans="1:11">
      <c r="A10484" s="450" t="s">
        <v>38500</v>
      </c>
      <c r="B10484" s="450"/>
      <c r="C10484" s="450" t="s">
        <v>16820</v>
      </c>
      <c r="D10484" s="450"/>
      <c r="E10484" s="450"/>
      <c r="F10484" s="450"/>
      <c r="G10484" s="450" t="s">
        <v>22877</v>
      </c>
      <c r="H10484" s="450" t="s">
        <v>22878</v>
      </c>
      <c r="I10484" s="450" t="s">
        <v>38501</v>
      </c>
      <c r="J10484" s="450" t="s">
        <v>23370</v>
      </c>
      <c r="K10484" s="450"/>
    </row>
    <row r="10485" spans="1:11">
      <c r="A10485" s="451" t="s">
        <v>16819</v>
      </c>
      <c r="B10485" s="451"/>
      <c r="C10485" s="451" t="s">
        <v>16820</v>
      </c>
      <c r="D10485" s="451"/>
      <c r="E10485" s="451"/>
      <c r="F10485" s="451"/>
      <c r="G10485" s="451"/>
      <c r="H10485" s="451"/>
      <c r="I10485" s="451"/>
      <c r="J10485" s="451"/>
      <c r="K10485" s="451"/>
    </row>
    <row r="10486" spans="1:11">
      <c r="A10486" s="450" t="s">
        <v>16823</v>
      </c>
      <c r="B10486" s="450"/>
      <c r="C10486" s="450" t="s">
        <v>16824</v>
      </c>
      <c r="D10486" s="450"/>
      <c r="E10486" s="450"/>
      <c r="F10486" s="450"/>
      <c r="G10486" s="450" t="s">
        <v>22882</v>
      </c>
      <c r="H10486" s="450" t="s">
        <v>22883</v>
      </c>
      <c r="I10486" s="450" t="s">
        <v>38502</v>
      </c>
      <c r="J10486" s="450" t="s">
        <v>23185</v>
      </c>
      <c r="K10486" s="450"/>
    </row>
    <row r="10487" spans="1:11">
      <c r="A10487" s="451" t="s">
        <v>16825</v>
      </c>
      <c r="B10487" s="451"/>
      <c r="C10487" s="451" t="s">
        <v>7872</v>
      </c>
      <c r="D10487" s="451"/>
      <c r="E10487" s="451"/>
      <c r="F10487" s="451"/>
      <c r="G10487" s="451" t="s">
        <v>22877</v>
      </c>
      <c r="H10487" s="451" t="s">
        <v>22878</v>
      </c>
      <c r="I10487" s="451" t="s">
        <v>38503</v>
      </c>
      <c r="J10487" s="451" t="s">
        <v>22939</v>
      </c>
      <c r="K10487" s="451"/>
    </row>
    <row r="10488" spans="1:11">
      <c r="A10488" s="450" t="s">
        <v>16826</v>
      </c>
      <c r="B10488" s="450"/>
      <c r="C10488" s="450" t="s">
        <v>8117</v>
      </c>
      <c r="D10488" s="450"/>
      <c r="E10488" s="450"/>
      <c r="F10488" s="450"/>
      <c r="G10488" s="450" t="s">
        <v>22882</v>
      </c>
      <c r="H10488" s="450" t="s">
        <v>22883</v>
      </c>
      <c r="I10488" s="450"/>
      <c r="J10488" s="450" t="s">
        <v>23185</v>
      </c>
      <c r="K10488" s="450"/>
    </row>
    <row r="10489" spans="1:11">
      <c r="A10489" s="451" t="s">
        <v>16827</v>
      </c>
      <c r="B10489" s="451"/>
      <c r="C10489" s="451" t="s">
        <v>16828</v>
      </c>
      <c r="D10489" s="451"/>
      <c r="E10489" s="451"/>
      <c r="F10489" s="451"/>
      <c r="G10489" s="451" t="s">
        <v>22877</v>
      </c>
      <c r="H10489" s="451" t="s">
        <v>22878</v>
      </c>
      <c r="I10489" s="451" t="s">
        <v>28982</v>
      </c>
      <c r="J10489" s="451" t="s">
        <v>22997</v>
      </c>
      <c r="K10489" s="451"/>
    </row>
    <row r="10490" spans="1:11">
      <c r="A10490" s="450" t="s">
        <v>38504</v>
      </c>
      <c r="B10490" s="450" t="s">
        <v>16821</v>
      </c>
      <c r="C10490" s="450" t="s">
        <v>16822</v>
      </c>
      <c r="D10490" s="450"/>
      <c r="E10490" s="450"/>
      <c r="F10490" s="450"/>
      <c r="G10490" s="450" t="s">
        <v>22877</v>
      </c>
      <c r="H10490" s="450" t="s">
        <v>22878</v>
      </c>
      <c r="I10490" s="450" t="s">
        <v>38505</v>
      </c>
      <c r="J10490" s="450" t="s">
        <v>38506</v>
      </c>
      <c r="K10490" s="450"/>
    </row>
    <row r="10491" spans="1:11">
      <c r="A10491" s="451" t="s">
        <v>21967</v>
      </c>
      <c r="B10491" s="451" t="s">
        <v>16821</v>
      </c>
      <c r="C10491" s="451" t="s">
        <v>16822</v>
      </c>
      <c r="D10491" s="451"/>
      <c r="E10491" s="451"/>
      <c r="F10491" s="451"/>
      <c r="G10491" s="451"/>
      <c r="H10491" s="451"/>
      <c r="I10491" s="451"/>
      <c r="J10491" s="451"/>
      <c r="K10491" s="451"/>
    </row>
    <row r="10492" spans="1:11">
      <c r="A10492" s="450" t="s">
        <v>28983</v>
      </c>
      <c r="B10492" s="450"/>
      <c r="C10492" s="450" t="s">
        <v>7872</v>
      </c>
      <c r="D10492" s="450"/>
      <c r="E10492" s="450"/>
      <c r="F10492" s="450"/>
      <c r="G10492" s="450" t="s">
        <v>22877</v>
      </c>
      <c r="H10492" s="450" t="s">
        <v>22878</v>
      </c>
      <c r="I10492" s="450" t="s">
        <v>28982</v>
      </c>
      <c r="J10492" s="450" t="s">
        <v>22942</v>
      </c>
      <c r="K10492" s="450"/>
    </row>
    <row r="10493" spans="1:11">
      <c r="A10493" s="451" t="s">
        <v>28984</v>
      </c>
      <c r="B10493" s="451" t="s">
        <v>28985</v>
      </c>
      <c r="C10493" s="451" t="s">
        <v>28986</v>
      </c>
      <c r="D10493" s="451"/>
      <c r="E10493" s="451"/>
      <c r="F10493" s="451"/>
      <c r="G10493" s="451" t="s">
        <v>22882</v>
      </c>
      <c r="H10493" s="451" t="s">
        <v>22883</v>
      </c>
      <c r="I10493" s="451" t="s">
        <v>28987</v>
      </c>
      <c r="J10493" s="451" t="s">
        <v>28988</v>
      </c>
      <c r="K10493" s="451"/>
    </row>
    <row r="10494" spans="1:11">
      <c r="A10494" s="450" t="s">
        <v>38507</v>
      </c>
      <c r="B10494" s="450"/>
      <c r="C10494" s="450" t="s">
        <v>11349</v>
      </c>
      <c r="D10494" s="450"/>
      <c r="E10494" s="450"/>
      <c r="F10494" s="450"/>
      <c r="G10494" s="450" t="s">
        <v>22877</v>
      </c>
      <c r="H10494" s="450" t="s">
        <v>22878</v>
      </c>
      <c r="I10494" s="450" t="s">
        <v>38508</v>
      </c>
      <c r="J10494" s="450" t="s">
        <v>23185</v>
      </c>
      <c r="K10494" s="450"/>
    </row>
    <row r="10495" spans="1:11">
      <c r="A10495" s="451" t="s">
        <v>16829</v>
      </c>
      <c r="B10495" s="451"/>
      <c r="C10495" s="451" t="s">
        <v>11349</v>
      </c>
      <c r="D10495" s="451"/>
      <c r="E10495" s="451"/>
      <c r="F10495" s="451"/>
      <c r="G10495" s="451"/>
      <c r="H10495" s="451"/>
      <c r="I10495" s="451"/>
      <c r="J10495" s="451"/>
      <c r="K10495" s="451"/>
    </row>
    <row r="10496" spans="1:11">
      <c r="A10496" s="450" t="s">
        <v>16830</v>
      </c>
      <c r="B10496" s="450"/>
      <c r="C10496" s="450" t="s">
        <v>16831</v>
      </c>
      <c r="D10496" s="450"/>
      <c r="E10496" s="450"/>
      <c r="F10496" s="450"/>
      <c r="G10496" s="450" t="s">
        <v>22882</v>
      </c>
      <c r="H10496" s="450" t="s">
        <v>22883</v>
      </c>
      <c r="I10496" s="450"/>
      <c r="J10496" s="450" t="s">
        <v>23185</v>
      </c>
      <c r="K10496" s="450"/>
    </row>
    <row r="10497" spans="1:11">
      <c r="A10497" s="451" t="s">
        <v>16832</v>
      </c>
      <c r="B10497" s="451"/>
      <c r="C10497" s="451" t="s">
        <v>16833</v>
      </c>
      <c r="D10497" s="451"/>
      <c r="E10497" s="451"/>
      <c r="F10497" s="451"/>
      <c r="G10497" s="451" t="s">
        <v>22877</v>
      </c>
      <c r="H10497" s="451" t="s">
        <v>22878</v>
      </c>
      <c r="I10497" s="451" t="s">
        <v>38509</v>
      </c>
      <c r="J10497" s="451" t="s">
        <v>23185</v>
      </c>
      <c r="K10497" s="451"/>
    </row>
    <row r="10498" spans="1:11">
      <c r="A10498" s="450" t="s">
        <v>16834</v>
      </c>
      <c r="B10498" s="450"/>
      <c r="C10498" s="450" t="s">
        <v>16835</v>
      </c>
      <c r="D10498" s="450"/>
      <c r="E10498" s="450"/>
      <c r="F10498" s="450"/>
      <c r="G10498" s="450" t="s">
        <v>22882</v>
      </c>
      <c r="H10498" s="450" t="s">
        <v>22883</v>
      </c>
      <c r="I10498" s="450"/>
      <c r="J10498" s="450" t="s">
        <v>22997</v>
      </c>
      <c r="K10498" s="450"/>
    </row>
    <row r="10499" spans="1:11">
      <c r="A10499" s="451" t="s">
        <v>21968</v>
      </c>
      <c r="B10499" s="451"/>
      <c r="C10499" s="451" t="s">
        <v>4695</v>
      </c>
      <c r="D10499" s="451"/>
      <c r="E10499" s="451"/>
      <c r="F10499" s="451"/>
      <c r="G10499" s="451" t="s">
        <v>22877</v>
      </c>
      <c r="H10499" s="451" t="s">
        <v>22878</v>
      </c>
      <c r="I10499" s="451" t="s">
        <v>38510</v>
      </c>
      <c r="J10499" s="451" t="s">
        <v>22902</v>
      </c>
      <c r="K10499" s="451"/>
    </row>
    <row r="10500" spans="1:11">
      <c r="A10500" s="450" t="s">
        <v>16836</v>
      </c>
      <c r="B10500" s="450"/>
      <c r="C10500" s="450" t="s">
        <v>16837</v>
      </c>
      <c r="D10500" s="450"/>
      <c r="E10500" s="450"/>
      <c r="F10500" s="450"/>
      <c r="G10500" s="450" t="s">
        <v>22877</v>
      </c>
      <c r="H10500" s="450" t="s">
        <v>22878</v>
      </c>
      <c r="I10500" s="450" t="s">
        <v>38511</v>
      </c>
      <c r="J10500" s="450" t="s">
        <v>22939</v>
      </c>
      <c r="K10500" s="450"/>
    </row>
    <row r="10501" spans="1:11">
      <c r="A10501" s="451" t="s">
        <v>38512</v>
      </c>
      <c r="B10501" s="451"/>
      <c r="C10501" s="451" t="s">
        <v>16839</v>
      </c>
      <c r="D10501" s="451"/>
      <c r="E10501" s="451"/>
      <c r="F10501" s="451"/>
      <c r="G10501" s="451" t="s">
        <v>22877</v>
      </c>
      <c r="H10501" s="451" t="s">
        <v>22878</v>
      </c>
      <c r="I10501" s="451" t="s">
        <v>38513</v>
      </c>
      <c r="J10501" s="451" t="s">
        <v>22942</v>
      </c>
      <c r="K10501" s="451"/>
    </row>
    <row r="10502" spans="1:11">
      <c r="A10502" s="450" t="s">
        <v>16838</v>
      </c>
      <c r="B10502" s="450"/>
      <c r="C10502" s="450" t="s">
        <v>16839</v>
      </c>
      <c r="D10502" s="450"/>
      <c r="E10502" s="450"/>
      <c r="F10502" s="450"/>
      <c r="G10502" s="450"/>
      <c r="H10502" s="450"/>
      <c r="I10502" s="450"/>
      <c r="J10502" s="450"/>
      <c r="K10502" s="450"/>
    </row>
    <row r="10503" spans="1:11">
      <c r="A10503" s="451" t="s">
        <v>16840</v>
      </c>
      <c r="B10503" s="451" t="s">
        <v>16841</v>
      </c>
      <c r="C10503" s="451" t="s">
        <v>9892</v>
      </c>
      <c r="D10503" s="451"/>
      <c r="E10503" s="451"/>
      <c r="F10503" s="451"/>
      <c r="G10503" s="451" t="s">
        <v>22877</v>
      </c>
      <c r="H10503" s="451" t="s">
        <v>22878</v>
      </c>
      <c r="I10503" s="451" t="s">
        <v>28989</v>
      </c>
      <c r="J10503" s="451" t="s">
        <v>28990</v>
      </c>
      <c r="K10503" s="451"/>
    </row>
    <row r="10504" spans="1:11">
      <c r="A10504" s="450" t="s">
        <v>16842</v>
      </c>
      <c r="B10504" s="450" t="s">
        <v>16843</v>
      </c>
      <c r="C10504" s="450" t="s">
        <v>10861</v>
      </c>
      <c r="D10504" s="450" t="s">
        <v>16844</v>
      </c>
      <c r="E10504" s="450"/>
      <c r="F10504" s="450"/>
      <c r="G10504" s="450" t="s">
        <v>22882</v>
      </c>
      <c r="H10504" s="450" t="s">
        <v>22883</v>
      </c>
      <c r="I10504" s="450" t="s">
        <v>28991</v>
      </c>
      <c r="J10504" s="450" t="s">
        <v>28992</v>
      </c>
      <c r="K10504" s="450"/>
    </row>
    <row r="10505" spans="1:11">
      <c r="A10505" s="451" t="s">
        <v>28993</v>
      </c>
      <c r="B10505" s="451" t="s">
        <v>28994</v>
      </c>
      <c r="C10505" s="451" t="s">
        <v>21004</v>
      </c>
      <c r="D10505" s="451" t="s">
        <v>28995</v>
      </c>
      <c r="E10505" s="451"/>
      <c r="F10505" s="451"/>
      <c r="G10505" s="451" t="s">
        <v>22877</v>
      </c>
      <c r="H10505" s="451" t="s">
        <v>22878</v>
      </c>
      <c r="I10505" s="451"/>
      <c r="J10505" s="451" t="s">
        <v>28996</v>
      </c>
      <c r="K10505" s="451"/>
    </row>
    <row r="10506" spans="1:11">
      <c r="A10506" s="450" t="s">
        <v>38514</v>
      </c>
      <c r="B10506" s="450"/>
      <c r="C10506" s="450" t="s">
        <v>4450</v>
      </c>
      <c r="D10506" s="450"/>
      <c r="E10506" s="450"/>
      <c r="F10506" s="450"/>
      <c r="G10506" s="450" t="s">
        <v>22882</v>
      </c>
      <c r="H10506" s="450" t="s">
        <v>22883</v>
      </c>
      <c r="I10506" s="450" t="s">
        <v>38515</v>
      </c>
      <c r="J10506" s="450" t="s">
        <v>23185</v>
      </c>
      <c r="K10506" s="450"/>
    </row>
    <row r="10507" spans="1:11">
      <c r="A10507" s="451" t="s">
        <v>16845</v>
      </c>
      <c r="B10507" s="451"/>
      <c r="C10507" s="451" t="s">
        <v>8537</v>
      </c>
      <c r="D10507" s="451"/>
      <c r="E10507" s="451"/>
      <c r="F10507" s="451"/>
      <c r="G10507" s="451" t="s">
        <v>22882</v>
      </c>
      <c r="H10507" s="451" t="s">
        <v>22883</v>
      </c>
      <c r="I10507" s="451"/>
      <c r="J10507" s="451" t="s">
        <v>22997</v>
      </c>
      <c r="K10507" s="451"/>
    </row>
    <row r="10508" spans="1:11">
      <c r="A10508" s="450" t="s">
        <v>16846</v>
      </c>
      <c r="B10508" s="450"/>
      <c r="C10508" s="450" t="s">
        <v>4450</v>
      </c>
      <c r="D10508" s="450"/>
      <c r="E10508" s="450"/>
      <c r="F10508" s="450"/>
      <c r="G10508" s="450"/>
      <c r="H10508" s="450"/>
      <c r="I10508" s="450"/>
      <c r="J10508" s="450"/>
      <c r="K10508" s="450"/>
    </row>
    <row r="10509" spans="1:11">
      <c r="A10509" s="451" t="s">
        <v>16847</v>
      </c>
      <c r="B10509" s="451" t="s">
        <v>16848</v>
      </c>
      <c r="C10509" s="451" t="s">
        <v>16849</v>
      </c>
      <c r="D10509" s="451"/>
      <c r="E10509" s="451"/>
      <c r="F10509" s="451" t="s">
        <v>16850</v>
      </c>
      <c r="G10509" s="451" t="s">
        <v>22882</v>
      </c>
      <c r="H10509" s="451" t="s">
        <v>22883</v>
      </c>
      <c r="I10509" s="451" t="s">
        <v>28997</v>
      </c>
      <c r="J10509" s="451" t="s">
        <v>28998</v>
      </c>
      <c r="K10509" s="451"/>
    </row>
    <row r="10510" spans="1:11">
      <c r="A10510" s="450" t="s">
        <v>16851</v>
      </c>
      <c r="B10510" s="450" t="s">
        <v>16852</v>
      </c>
      <c r="C10510" s="450" t="s">
        <v>16853</v>
      </c>
      <c r="D10510" s="450"/>
      <c r="E10510" s="450"/>
      <c r="F10510" s="450"/>
      <c r="G10510" s="450" t="s">
        <v>22882</v>
      </c>
      <c r="H10510" s="450" t="s">
        <v>22883</v>
      </c>
      <c r="I10510" s="450" t="s">
        <v>28999</v>
      </c>
      <c r="J10510" s="450" t="s">
        <v>29000</v>
      </c>
      <c r="K10510" s="450"/>
    </row>
    <row r="10511" spans="1:11">
      <c r="A10511" s="451" t="s">
        <v>16854</v>
      </c>
      <c r="B10511" s="451"/>
      <c r="C10511" s="451" t="s">
        <v>5582</v>
      </c>
      <c r="D10511" s="451"/>
      <c r="E10511" s="451"/>
      <c r="F10511" s="451"/>
      <c r="G10511" s="451" t="s">
        <v>22882</v>
      </c>
      <c r="H10511" s="451" t="s">
        <v>22883</v>
      </c>
      <c r="I10511" s="451"/>
      <c r="J10511" s="451" t="s">
        <v>22997</v>
      </c>
      <c r="K10511" s="451"/>
    </row>
    <row r="10512" spans="1:11">
      <c r="A10512" s="450" t="s">
        <v>16858</v>
      </c>
      <c r="B10512" s="450" t="s">
        <v>16859</v>
      </c>
      <c r="C10512" s="450" t="s">
        <v>16860</v>
      </c>
      <c r="D10512" s="450"/>
      <c r="E10512" s="450"/>
      <c r="F10512" s="450" t="s">
        <v>29001</v>
      </c>
      <c r="G10512" s="450" t="s">
        <v>22882</v>
      </c>
      <c r="H10512" s="450" t="s">
        <v>22883</v>
      </c>
      <c r="I10512" s="450" t="s">
        <v>29002</v>
      </c>
      <c r="J10512" s="450" t="s">
        <v>29003</v>
      </c>
      <c r="K10512" s="450"/>
    </row>
    <row r="10513" spans="1:11">
      <c r="A10513" s="451" t="s">
        <v>16858</v>
      </c>
      <c r="B10513" s="451" t="s">
        <v>16859</v>
      </c>
      <c r="C10513" s="451" t="s">
        <v>16860</v>
      </c>
      <c r="D10513" s="451"/>
      <c r="E10513" s="451"/>
      <c r="F10513" s="451" t="s">
        <v>16861</v>
      </c>
      <c r="G10513" s="451"/>
      <c r="H10513" s="451"/>
      <c r="I10513" s="451"/>
      <c r="J10513" s="451"/>
      <c r="K10513" s="451"/>
    </row>
    <row r="10514" spans="1:11">
      <c r="A10514" s="450" t="s">
        <v>16862</v>
      </c>
      <c r="B10514" s="450"/>
      <c r="C10514" s="450" t="s">
        <v>16863</v>
      </c>
      <c r="D10514" s="450"/>
      <c r="E10514" s="450"/>
      <c r="F10514" s="450"/>
      <c r="G10514" s="450" t="s">
        <v>22882</v>
      </c>
      <c r="H10514" s="450" t="s">
        <v>22883</v>
      </c>
      <c r="I10514" s="450"/>
      <c r="J10514" s="450" t="s">
        <v>23185</v>
      </c>
      <c r="K10514" s="450"/>
    </row>
    <row r="10515" spans="1:11">
      <c r="A10515" s="451" t="s">
        <v>16864</v>
      </c>
      <c r="B10515" s="451"/>
      <c r="C10515" s="451" t="s">
        <v>16865</v>
      </c>
      <c r="D10515" s="451"/>
      <c r="E10515" s="451"/>
      <c r="F10515" s="451"/>
      <c r="G10515" s="451" t="s">
        <v>22877</v>
      </c>
      <c r="H10515" s="451" t="s">
        <v>22878</v>
      </c>
      <c r="I10515" s="451" t="s">
        <v>38516</v>
      </c>
      <c r="J10515" s="451" t="s">
        <v>22997</v>
      </c>
      <c r="K10515" s="451"/>
    </row>
    <row r="10516" spans="1:11">
      <c r="A10516" s="450" t="s">
        <v>16866</v>
      </c>
      <c r="B10516" s="450"/>
      <c r="C10516" s="450" t="s">
        <v>15203</v>
      </c>
      <c r="D10516" s="450"/>
      <c r="E10516" s="450"/>
      <c r="F10516" s="450"/>
      <c r="G10516" s="450"/>
      <c r="H10516" s="450"/>
      <c r="I10516" s="450"/>
      <c r="J10516" s="450"/>
      <c r="K10516" s="450"/>
    </row>
    <row r="10517" spans="1:11">
      <c r="A10517" s="451" t="s">
        <v>38517</v>
      </c>
      <c r="B10517" s="451"/>
      <c r="C10517" s="451" t="s">
        <v>15203</v>
      </c>
      <c r="D10517" s="451"/>
      <c r="E10517" s="451"/>
      <c r="F10517" s="451"/>
      <c r="G10517" s="451" t="s">
        <v>22882</v>
      </c>
      <c r="H10517" s="451" t="s">
        <v>22883</v>
      </c>
      <c r="I10517" s="451" t="s">
        <v>38518</v>
      </c>
      <c r="J10517" s="451" t="s">
        <v>28403</v>
      </c>
      <c r="K10517" s="451"/>
    </row>
    <row r="10518" spans="1:11">
      <c r="A10518" s="450" t="s">
        <v>38519</v>
      </c>
      <c r="B10518" s="450"/>
      <c r="C10518" s="450" t="s">
        <v>16868</v>
      </c>
      <c r="D10518" s="450"/>
      <c r="E10518" s="450"/>
      <c r="F10518" s="450"/>
      <c r="G10518" s="450" t="s">
        <v>22882</v>
      </c>
      <c r="H10518" s="450" t="s">
        <v>22883</v>
      </c>
      <c r="I10518" s="450" t="s">
        <v>38520</v>
      </c>
      <c r="J10518" s="450" t="s">
        <v>23185</v>
      </c>
      <c r="K10518" s="450"/>
    </row>
    <row r="10519" spans="1:11">
      <c r="A10519" s="451" t="s">
        <v>16867</v>
      </c>
      <c r="B10519" s="451"/>
      <c r="C10519" s="451" t="s">
        <v>16868</v>
      </c>
      <c r="D10519" s="451"/>
      <c r="E10519" s="451"/>
      <c r="F10519" s="451"/>
      <c r="G10519" s="451"/>
      <c r="H10519" s="451"/>
      <c r="I10519" s="451"/>
      <c r="J10519" s="451"/>
      <c r="K10519" s="451"/>
    </row>
    <row r="10520" spans="1:11">
      <c r="A10520" s="450" t="s">
        <v>38521</v>
      </c>
      <c r="B10520" s="450"/>
      <c r="C10520" s="450" t="s">
        <v>16682</v>
      </c>
      <c r="D10520" s="450"/>
      <c r="E10520" s="450"/>
      <c r="F10520" s="450"/>
      <c r="G10520" s="450" t="s">
        <v>22877</v>
      </c>
      <c r="H10520" s="450" t="s">
        <v>22878</v>
      </c>
      <c r="I10520" s="450" t="s">
        <v>38522</v>
      </c>
      <c r="J10520" s="450" t="s">
        <v>23370</v>
      </c>
      <c r="K10520" s="450"/>
    </row>
    <row r="10521" spans="1:11">
      <c r="A10521" s="451" t="s">
        <v>16869</v>
      </c>
      <c r="B10521" s="451"/>
      <c r="C10521" s="451" t="s">
        <v>16682</v>
      </c>
      <c r="D10521" s="451"/>
      <c r="E10521" s="451"/>
      <c r="F10521" s="451"/>
      <c r="G10521" s="451"/>
      <c r="H10521" s="451"/>
      <c r="I10521" s="451"/>
      <c r="J10521" s="451"/>
      <c r="K10521" s="451"/>
    </row>
    <row r="10522" spans="1:11">
      <c r="A10522" s="450" t="s">
        <v>38523</v>
      </c>
      <c r="B10522" s="450"/>
      <c r="C10522" s="450" t="s">
        <v>16871</v>
      </c>
      <c r="D10522" s="450"/>
      <c r="E10522" s="450"/>
      <c r="F10522" s="450"/>
      <c r="G10522" s="450" t="s">
        <v>22882</v>
      </c>
      <c r="H10522" s="450" t="s">
        <v>22883</v>
      </c>
      <c r="I10522" s="450"/>
      <c r="J10522" s="450" t="s">
        <v>22942</v>
      </c>
      <c r="K10522" s="450"/>
    </row>
    <row r="10523" spans="1:11">
      <c r="A10523" s="451" t="s">
        <v>16870</v>
      </c>
      <c r="B10523" s="451"/>
      <c r="C10523" s="451" t="s">
        <v>16871</v>
      </c>
      <c r="D10523" s="451"/>
      <c r="E10523" s="451"/>
      <c r="F10523" s="451"/>
      <c r="G10523" s="451"/>
      <c r="H10523" s="451"/>
      <c r="I10523" s="451"/>
      <c r="J10523" s="451"/>
      <c r="K10523" s="451"/>
    </row>
    <row r="10524" spans="1:11">
      <c r="A10524" s="450" t="s">
        <v>38524</v>
      </c>
      <c r="B10524" s="450"/>
      <c r="C10524" s="450" t="s">
        <v>16873</v>
      </c>
      <c r="D10524" s="450"/>
      <c r="E10524" s="450"/>
      <c r="F10524" s="450"/>
      <c r="G10524" s="450" t="s">
        <v>22882</v>
      </c>
      <c r="H10524" s="450" t="s">
        <v>22883</v>
      </c>
      <c r="I10524" s="450"/>
      <c r="J10524" s="450" t="s">
        <v>28403</v>
      </c>
      <c r="K10524" s="450"/>
    </row>
    <row r="10525" spans="1:11">
      <c r="A10525" s="451" t="s">
        <v>16872</v>
      </c>
      <c r="B10525" s="451"/>
      <c r="C10525" s="451" t="s">
        <v>16873</v>
      </c>
      <c r="D10525" s="451"/>
      <c r="E10525" s="451"/>
      <c r="F10525" s="451"/>
      <c r="G10525" s="451"/>
      <c r="H10525" s="451"/>
      <c r="I10525" s="451"/>
      <c r="J10525" s="451"/>
      <c r="K10525" s="451"/>
    </row>
    <row r="10526" spans="1:11">
      <c r="A10526" s="450" t="s">
        <v>38525</v>
      </c>
      <c r="B10526" s="450" t="s">
        <v>16875</v>
      </c>
      <c r="C10526" s="450" t="s">
        <v>38526</v>
      </c>
      <c r="D10526" s="450" t="s">
        <v>16877</v>
      </c>
      <c r="E10526" s="450"/>
      <c r="F10526" s="450"/>
      <c r="G10526" s="450" t="s">
        <v>22877</v>
      </c>
      <c r="H10526" s="450" t="s">
        <v>22878</v>
      </c>
      <c r="I10526" s="450" t="s">
        <v>37121</v>
      </c>
      <c r="J10526" s="450" t="s">
        <v>38527</v>
      </c>
      <c r="K10526" s="450"/>
    </row>
    <row r="10527" spans="1:11">
      <c r="A10527" s="451" t="s">
        <v>16874</v>
      </c>
      <c r="B10527" s="451" t="s">
        <v>16875</v>
      </c>
      <c r="C10527" s="451" t="s">
        <v>16876</v>
      </c>
      <c r="D10527" s="451" t="s">
        <v>16877</v>
      </c>
      <c r="E10527" s="451" t="s">
        <v>16878</v>
      </c>
      <c r="F10527" s="451"/>
      <c r="G10527" s="451"/>
      <c r="H10527" s="451"/>
      <c r="I10527" s="451"/>
      <c r="J10527" s="451"/>
      <c r="K10527" s="451"/>
    </row>
    <row r="10528" spans="1:11">
      <c r="A10528" s="450" t="s">
        <v>38528</v>
      </c>
      <c r="B10528" s="450"/>
      <c r="C10528" s="450" t="s">
        <v>2166</v>
      </c>
      <c r="D10528" s="450"/>
      <c r="E10528" s="450"/>
      <c r="F10528" s="450"/>
      <c r="G10528" s="450" t="s">
        <v>22882</v>
      </c>
      <c r="H10528" s="450" t="s">
        <v>22883</v>
      </c>
      <c r="I10528" s="450" t="s">
        <v>38529</v>
      </c>
      <c r="J10528" s="450" t="s">
        <v>23370</v>
      </c>
      <c r="K10528" s="450"/>
    </row>
    <row r="10529" spans="1:11">
      <c r="A10529" s="451" t="s">
        <v>16879</v>
      </c>
      <c r="B10529" s="451"/>
      <c r="C10529" s="451" t="s">
        <v>2166</v>
      </c>
      <c r="D10529" s="451"/>
      <c r="E10529" s="451"/>
      <c r="F10529" s="451"/>
      <c r="G10529" s="451"/>
      <c r="H10529" s="451"/>
      <c r="I10529" s="451"/>
      <c r="J10529" s="451"/>
      <c r="K10529" s="451"/>
    </row>
    <row r="10530" spans="1:11">
      <c r="A10530" s="450" t="s">
        <v>29004</v>
      </c>
      <c r="B10530" s="450" t="s">
        <v>16881</v>
      </c>
      <c r="C10530" s="450" t="s">
        <v>16882</v>
      </c>
      <c r="D10530" s="450" t="s">
        <v>16883</v>
      </c>
      <c r="E10530" s="450"/>
      <c r="F10530" s="450"/>
      <c r="G10530" s="450" t="s">
        <v>22877</v>
      </c>
      <c r="H10530" s="450" t="s">
        <v>22878</v>
      </c>
      <c r="I10530" s="450" t="s">
        <v>25711</v>
      </c>
      <c r="J10530" s="450" t="s">
        <v>29005</v>
      </c>
      <c r="K10530" s="450"/>
    </row>
    <row r="10531" spans="1:11">
      <c r="A10531" s="451" t="s">
        <v>16880</v>
      </c>
      <c r="B10531" s="451" t="s">
        <v>16881</v>
      </c>
      <c r="C10531" s="451" t="s">
        <v>16882</v>
      </c>
      <c r="D10531" s="451" t="s">
        <v>16883</v>
      </c>
      <c r="E10531" s="451" t="s">
        <v>16884</v>
      </c>
      <c r="F10531" s="451"/>
      <c r="G10531" s="451"/>
      <c r="H10531" s="451"/>
      <c r="I10531" s="451"/>
      <c r="J10531" s="451"/>
      <c r="K10531" s="451"/>
    </row>
    <row r="10532" spans="1:11">
      <c r="A10532" s="450" t="s">
        <v>16885</v>
      </c>
      <c r="B10532" s="450"/>
      <c r="C10532" s="450" t="s">
        <v>16886</v>
      </c>
      <c r="D10532" s="450"/>
      <c r="E10532" s="450"/>
      <c r="F10532" s="450"/>
      <c r="G10532" s="450" t="s">
        <v>22882</v>
      </c>
      <c r="H10532" s="450" t="s">
        <v>22883</v>
      </c>
      <c r="I10532" s="450"/>
      <c r="J10532" s="450" t="s">
        <v>22942</v>
      </c>
      <c r="K10532" s="450"/>
    </row>
    <row r="10533" spans="1:11">
      <c r="A10533" s="451" t="s">
        <v>38530</v>
      </c>
      <c r="B10533" s="451"/>
      <c r="C10533" s="451" t="s">
        <v>16888</v>
      </c>
      <c r="D10533" s="451"/>
      <c r="E10533" s="451"/>
      <c r="F10533" s="451"/>
      <c r="G10533" s="451" t="s">
        <v>22877</v>
      </c>
      <c r="H10533" s="451" t="s">
        <v>22878</v>
      </c>
      <c r="I10533" s="451" t="s">
        <v>38531</v>
      </c>
      <c r="J10533" s="451" t="s">
        <v>23370</v>
      </c>
      <c r="K10533" s="451"/>
    </row>
    <row r="10534" spans="1:11">
      <c r="A10534" s="450" t="s">
        <v>16887</v>
      </c>
      <c r="B10534" s="450"/>
      <c r="C10534" s="450" t="s">
        <v>16888</v>
      </c>
      <c r="D10534" s="450"/>
      <c r="E10534" s="450"/>
      <c r="F10534" s="450"/>
      <c r="G10534" s="450"/>
      <c r="H10534" s="450"/>
      <c r="I10534" s="450"/>
      <c r="J10534" s="450"/>
      <c r="K10534" s="450"/>
    </row>
    <row r="10535" spans="1:11">
      <c r="A10535" s="451" t="s">
        <v>16889</v>
      </c>
      <c r="B10535" s="451"/>
      <c r="C10535" s="451" t="s">
        <v>16890</v>
      </c>
      <c r="D10535" s="451"/>
      <c r="E10535" s="451"/>
      <c r="F10535" s="451"/>
      <c r="G10535" s="451"/>
      <c r="H10535" s="451"/>
      <c r="I10535" s="451"/>
      <c r="J10535" s="451"/>
      <c r="K10535" s="451"/>
    </row>
    <row r="10536" spans="1:11">
      <c r="A10536" s="450" t="s">
        <v>38532</v>
      </c>
      <c r="B10536" s="450"/>
      <c r="C10536" s="450" t="s">
        <v>16890</v>
      </c>
      <c r="D10536" s="450"/>
      <c r="E10536" s="450"/>
      <c r="F10536" s="450"/>
      <c r="G10536" s="450" t="s">
        <v>22877</v>
      </c>
      <c r="H10536" s="450" t="s">
        <v>22878</v>
      </c>
      <c r="I10536" s="450" t="s">
        <v>38511</v>
      </c>
      <c r="J10536" s="450" t="s">
        <v>23185</v>
      </c>
      <c r="K10536" s="450"/>
    </row>
    <row r="10537" spans="1:11">
      <c r="A10537" s="451" t="s">
        <v>21969</v>
      </c>
      <c r="B10537" s="451"/>
      <c r="C10537" s="451" t="s">
        <v>16891</v>
      </c>
      <c r="D10537" s="451"/>
      <c r="E10537" s="451"/>
      <c r="F10537" s="451"/>
      <c r="G10537" s="451" t="s">
        <v>22882</v>
      </c>
      <c r="H10537" s="451" t="s">
        <v>22883</v>
      </c>
      <c r="I10537" s="451"/>
      <c r="J10537" s="451" t="s">
        <v>22997</v>
      </c>
      <c r="K10537" s="451"/>
    </row>
    <row r="10538" spans="1:11">
      <c r="A10538" s="450" t="s">
        <v>16892</v>
      </c>
      <c r="B10538" s="450" t="s">
        <v>5584</v>
      </c>
      <c r="C10538" s="450" t="s">
        <v>2168</v>
      </c>
      <c r="D10538" s="450" t="s">
        <v>16893</v>
      </c>
      <c r="E10538" s="450"/>
      <c r="F10538" s="450"/>
      <c r="G10538" s="450" t="s">
        <v>22877</v>
      </c>
      <c r="H10538" s="450" t="s">
        <v>22878</v>
      </c>
      <c r="I10538" s="450" t="s">
        <v>16893</v>
      </c>
      <c r="J10538" s="450" t="s">
        <v>29006</v>
      </c>
      <c r="K10538" s="450"/>
    </row>
    <row r="10539" spans="1:11">
      <c r="A10539" s="451" t="s">
        <v>38533</v>
      </c>
      <c r="B10539" s="451"/>
      <c r="C10539" s="451" t="s">
        <v>8747</v>
      </c>
      <c r="D10539" s="451"/>
      <c r="E10539" s="451"/>
      <c r="F10539" s="451"/>
      <c r="G10539" s="451" t="s">
        <v>22882</v>
      </c>
      <c r="H10539" s="451" t="s">
        <v>22883</v>
      </c>
      <c r="I10539" s="451" t="s">
        <v>38534</v>
      </c>
      <c r="J10539" s="451" t="s">
        <v>38535</v>
      </c>
      <c r="K10539" s="451"/>
    </row>
    <row r="10540" spans="1:11">
      <c r="A10540" s="450" t="s">
        <v>16894</v>
      </c>
      <c r="B10540" s="450"/>
      <c r="C10540" s="450" t="s">
        <v>8747</v>
      </c>
      <c r="D10540" s="450"/>
      <c r="E10540" s="450"/>
      <c r="F10540" s="450"/>
      <c r="G10540" s="450"/>
      <c r="H10540" s="450"/>
      <c r="I10540" s="450"/>
      <c r="J10540" s="450"/>
      <c r="K10540" s="450"/>
    </row>
    <row r="10541" spans="1:11">
      <c r="A10541" s="451" t="s">
        <v>16895</v>
      </c>
      <c r="B10541" s="451"/>
      <c r="C10541" s="451" t="s">
        <v>16896</v>
      </c>
      <c r="D10541" s="451"/>
      <c r="E10541" s="451"/>
      <c r="F10541" s="451"/>
      <c r="G10541" s="451"/>
      <c r="H10541" s="451"/>
      <c r="I10541" s="451"/>
      <c r="J10541" s="451"/>
      <c r="K10541" s="451"/>
    </row>
    <row r="10542" spans="1:11">
      <c r="A10542" s="450" t="s">
        <v>29007</v>
      </c>
      <c r="B10542" s="450"/>
      <c r="C10542" s="450" t="s">
        <v>16896</v>
      </c>
      <c r="D10542" s="450"/>
      <c r="E10542" s="450"/>
      <c r="F10542" s="450"/>
      <c r="G10542" s="450" t="s">
        <v>22882</v>
      </c>
      <c r="H10542" s="450" t="s">
        <v>22883</v>
      </c>
      <c r="I10542" s="450" t="s">
        <v>29008</v>
      </c>
      <c r="J10542" s="450" t="s">
        <v>22942</v>
      </c>
      <c r="K10542" s="450"/>
    </row>
    <row r="10543" spans="1:11">
      <c r="A10543" s="451" t="s">
        <v>16897</v>
      </c>
      <c r="B10543" s="451" t="s">
        <v>16898</v>
      </c>
      <c r="C10543" s="451" t="s">
        <v>2168</v>
      </c>
      <c r="D10543" s="451" t="s">
        <v>16899</v>
      </c>
      <c r="E10543" s="451"/>
      <c r="F10543" s="451"/>
      <c r="G10543" s="451" t="s">
        <v>22877</v>
      </c>
      <c r="H10543" s="451" t="s">
        <v>22878</v>
      </c>
      <c r="I10543" s="451" t="s">
        <v>16899</v>
      </c>
      <c r="J10543" s="451" t="s">
        <v>29009</v>
      </c>
      <c r="K10543" s="451"/>
    </row>
    <row r="10544" spans="1:11">
      <c r="A10544" s="450" t="s">
        <v>16897</v>
      </c>
      <c r="B10544" s="450" t="s">
        <v>16898</v>
      </c>
      <c r="C10544" s="450" t="s">
        <v>2168</v>
      </c>
      <c r="D10544" s="450" t="s">
        <v>16899</v>
      </c>
      <c r="E10544" s="450" t="s">
        <v>16900</v>
      </c>
      <c r="F10544" s="450"/>
      <c r="G10544" s="450"/>
      <c r="H10544" s="450"/>
      <c r="I10544" s="450"/>
      <c r="J10544" s="450"/>
      <c r="K10544" s="450"/>
    </row>
    <row r="10545" spans="1:11">
      <c r="A10545" s="451" t="s">
        <v>16901</v>
      </c>
      <c r="B10545" s="451"/>
      <c r="C10545" s="451" t="s">
        <v>16902</v>
      </c>
      <c r="D10545" s="451"/>
      <c r="E10545" s="451"/>
      <c r="F10545" s="451"/>
      <c r="G10545" s="451" t="s">
        <v>22882</v>
      </c>
      <c r="H10545" s="451" t="s">
        <v>22883</v>
      </c>
      <c r="I10545" s="451"/>
      <c r="J10545" s="451" t="s">
        <v>22939</v>
      </c>
      <c r="K10545" s="451"/>
    </row>
    <row r="10546" spans="1:11">
      <c r="A10546" s="450" t="s">
        <v>16903</v>
      </c>
      <c r="B10546" s="450"/>
      <c r="C10546" s="450" t="s">
        <v>16904</v>
      </c>
      <c r="D10546" s="450"/>
      <c r="E10546" s="450"/>
      <c r="F10546" s="450"/>
      <c r="G10546" s="450" t="s">
        <v>22882</v>
      </c>
      <c r="H10546" s="450" t="s">
        <v>22883</v>
      </c>
      <c r="I10546" s="450" t="s">
        <v>38536</v>
      </c>
      <c r="J10546" s="450" t="s">
        <v>22942</v>
      </c>
      <c r="K10546" s="450"/>
    </row>
    <row r="10547" spans="1:11">
      <c r="A10547" s="451" t="s">
        <v>16905</v>
      </c>
      <c r="B10547" s="451"/>
      <c r="C10547" s="451" t="s">
        <v>1454</v>
      </c>
      <c r="D10547" s="451"/>
      <c r="E10547" s="451"/>
      <c r="F10547" s="451"/>
      <c r="G10547" s="451" t="s">
        <v>22877</v>
      </c>
      <c r="H10547" s="451" t="s">
        <v>22878</v>
      </c>
      <c r="I10547" s="451" t="s">
        <v>29010</v>
      </c>
      <c r="J10547" s="451" t="s">
        <v>22942</v>
      </c>
      <c r="K10547" s="451"/>
    </row>
    <row r="10548" spans="1:11">
      <c r="A10548" s="450" t="s">
        <v>16906</v>
      </c>
      <c r="B10548" s="450" t="s">
        <v>16907</v>
      </c>
      <c r="C10548" s="450" t="s">
        <v>16908</v>
      </c>
      <c r="D10548" s="450" t="s">
        <v>16909</v>
      </c>
      <c r="E10548" s="450"/>
      <c r="F10548" s="450"/>
      <c r="G10548" s="450" t="s">
        <v>22877</v>
      </c>
      <c r="H10548" s="450" t="s">
        <v>22878</v>
      </c>
      <c r="I10548" s="450" t="s">
        <v>38537</v>
      </c>
      <c r="J10548" s="450" t="s">
        <v>38538</v>
      </c>
      <c r="K10548" s="450"/>
    </row>
    <row r="10549" spans="1:11">
      <c r="A10549" s="451" t="s">
        <v>16906</v>
      </c>
      <c r="B10549" s="451" t="s">
        <v>16907</v>
      </c>
      <c r="C10549" s="451" t="s">
        <v>16908</v>
      </c>
      <c r="D10549" s="451" t="s">
        <v>16909</v>
      </c>
      <c r="E10549" s="451" t="s">
        <v>16910</v>
      </c>
      <c r="F10549" s="451"/>
      <c r="G10549" s="451"/>
      <c r="H10549" s="451"/>
      <c r="I10549" s="451"/>
      <c r="J10549" s="451"/>
      <c r="K10549" s="451"/>
    </row>
    <row r="10550" spans="1:11">
      <c r="A10550" s="450" t="s">
        <v>29011</v>
      </c>
      <c r="B10550" s="450" t="s">
        <v>29012</v>
      </c>
      <c r="C10550" s="450" t="s">
        <v>29013</v>
      </c>
      <c r="D10550" s="450"/>
      <c r="E10550" s="450"/>
      <c r="F10550" s="450"/>
      <c r="G10550" s="450" t="s">
        <v>22877</v>
      </c>
      <c r="H10550" s="450" t="s">
        <v>22878</v>
      </c>
      <c r="I10550" s="450" t="s">
        <v>29014</v>
      </c>
      <c r="J10550" s="450" t="s">
        <v>29015</v>
      </c>
      <c r="K10550" s="450"/>
    </row>
    <row r="10551" spans="1:11">
      <c r="A10551" s="451" t="s">
        <v>29016</v>
      </c>
      <c r="B10551" s="451" t="s">
        <v>16915</v>
      </c>
      <c r="C10551" s="451" t="s">
        <v>16916</v>
      </c>
      <c r="D10551" s="451" t="s">
        <v>16917</v>
      </c>
      <c r="E10551" s="451"/>
      <c r="F10551" s="451"/>
      <c r="G10551" s="451" t="s">
        <v>22877</v>
      </c>
      <c r="H10551" s="451" t="s">
        <v>22878</v>
      </c>
      <c r="I10551" s="451" t="s">
        <v>29017</v>
      </c>
      <c r="J10551" s="451" t="s">
        <v>29018</v>
      </c>
      <c r="K10551" s="451"/>
    </row>
    <row r="10552" spans="1:11">
      <c r="A10552" s="450" t="s">
        <v>29019</v>
      </c>
      <c r="B10552" s="450" t="s">
        <v>29020</v>
      </c>
      <c r="C10552" s="450" t="s">
        <v>29021</v>
      </c>
      <c r="D10552" s="450"/>
      <c r="E10552" s="450"/>
      <c r="F10552" s="450"/>
      <c r="G10552" s="450" t="s">
        <v>22877</v>
      </c>
      <c r="H10552" s="450" t="s">
        <v>22878</v>
      </c>
      <c r="I10552" s="450" t="s">
        <v>29022</v>
      </c>
      <c r="J10552" s="450" t="s">
        <v>29023</v>
      </c>
      <c r="K10552" s="450"/>
    </row>
    <row r="10553" spans="1:11">
      <c r="A10553" s="451" t="s">
        <v>16911</v>
      </c>
      <c r="B10553" s="451" t="s">
        <v>16912</v>
      </c>
      <c r="C10553" s="451" t="s">
        <v>2844</v>
      </c>
      <c r="D10553" s="451" t="s">
        <v>16913</v>
      </c>
      <c r="E10553" s="451"/>
      <c r="F10553" s="451"/>
      <c r="G10553" s="451"/>
      <c r="H10553" s="451"/>
      <c r="I10553" s="451"/>
      <c r="J10553" s="451"/>
      <c r="K10553" s="451"/>
    </row>
    <row r="10554" spans="1:11">
      <c r="A10554" s="450" t="s">
        <v>16914</v>
      </c>
      <c r="B10554" s="450" t="s">
        <v>16915</v>
      </c>
      <c r="C10554" s="450" t="s">
        <v>16916</v>
      </c>
      <c r="D10554" s="450" t="s">
        <v>16917</v>
      </c>
      <c r="E10554" s="450" t="s">
        <v>16918</v>
      </c>
      <c r="F10554" s="450"/>
      <c r="G10554" s="450"/>
      <c r="H10554" s="450"/>
      <c r="I10554" s="450"/>
      <c r="J10554" s="450"/>
      <c r="K10554" s="450"/>
    </row>
    <row r="10555" spans="1:11">
      <c r="A10555" s="451" t="s">
        <v>16919</v>
      </c>
      <c r="B10555" s="451" t="s">
        <v>16920</v>
      </c>
      <c r="C10555" s="451" t="s">
        <v>2844</v>
      </c>
      <c r="D10555" s="451" t="s">
        <v>16921</v>
      </c>
      <c r="E10555" s="451"/>
      <c r="F10555" s="451"/>
      <c r="G10555" s="451" t="s">
        <v>22877</v>
      </c>
      <c r="H10555" s="451" t="s">
        <v>22878</v>
      </c>
      <c r="I10555" s="451" t="s">
        <v>16921</v>
      </c>
      <c r="J10555" s="451" t="s">
        <v>38539</v>
      </c>
      <c r="K10555" s="451"/>
    </row>
    <row r="10556" spans="1:11">
      <c r="A10556" s="450" t="s">
        <v>16919</v>
      </c>
      <c r="B10556" s="450" t="s">
        <v>16920</v>
      </c>
      <c r="C10556" s="450" t="s">
        <v>2844</v>
      </c>
      <c r="D10556" s="450" t="s">
        <v>16921</v>
      </c>
      <c r="E10556" s="450" t="s">
        <v>16922</v>
      </c>
      <c r="F10556" s="450"/>
      <c r="G10556" s="450"/>
      <c r="H10556" s="450"/>
      <c r="I10556" s="450"/>
      <c r="J10556" s="450"/>
      <c r="K10556" s="450"/>
    </row>
    <row r="10557" spans="1:11">
      <c r="A10557" s="451" t="s">
        <v>38540</v>
      </c>
      <c r="B10557" s="451"/>
      <c r="C10557" s="451" t="s">
        <v>14492</v>
      </c>
      <c r="D10557" s="451"/>
      <c r="E10557" s="451"/>
      <c r="F10557" s="451"/>
      <c r="G10557" s="451" t="s">
        <v>22882</v>
      </c>
      <c r="H10557" s="451" t="s">
        <v>22883</v>
      </c>
      <c r="I10557" s="451" t="s">
        <v>38541</v>
      </c>
      <c r="J10557" s="451" t="s">
        <v>22948</v>
      </c>
      <c r="K10557" s="451"/>
    </row>
    <row r="10558" spans="1:11">
      <c r="A10558" s="450" t="s">
        <v>16923</v>
      </c>
      <c r="B10558" s="450"/>
      <c r="C10558" s="450" t="s">
        <v>14492</v>
      </c>
      <c r="D10558" s="450"/>
      <c r="E10558" s="450"/>
      <c r="F10558" s="450"/>
      <c r="G10558" s="450"/>
      <c r="H10558" s="450"/>
      <c r="I10558" s="450"/>
      <c r="J10558" s="450"/>
      <c r="K10558" s="450"/>
    </row>
    <row r="10559" spans="1:11">
      <c r="A10559" s="451" t="s">
        <v>38542</v>
      </c>
      <c r="B10559" s="451"/>
      <c r="C10559" s="451" t="s">
        <v>16925</v>
      </c>
      <c r="D10559" s="451"/>
      <c r="E10559" s="451"/>
      <c r="F10559" s="451"/>
      <c r="G10559" s="451" t="s">
        <v>22882</v>
      </c>
      <c r="H10559" s="451" t="s">
        <v>22883</v>
      </c>
      <c r="I10559" s="451"/>
      <c r="J10559" s="451" t="s">
        <v>22942</v>
      </c>
      <c r="K10559" s="451"/>
    </row>
    <row r="10560" spans="1:11">
      <c r="A10560" s="450" t="s">
        <v>16924</v>
      </c>
      <c r="B10560" s="450"/>
      <c r="C10560" s="450" t="s">
        <v>16925</v>
      </c>
      <c r="D10560" s="450"/>
      <c r="E10560" s="450"/>
      <c r="F10560" s="450"/>
      <c r="G10560" s="450"/>
      <c r="H10560" s="450"/>
      <c r="I10560" s="450"/>
      <c r="J10560" s="450"/>
      <c r="K10560" s="450"/>
    </row>
    <row r="10561" spans="1:11">
      <c r="A10561" s="451" t="s">
        <v>29024</v>
      </c>
      <c r="B10561" s="451" t="s">
        <v>16337</v>
      </c>
      <c r="C10561" s="451" t="s">
        <v>16338</v>
      </c>
      <c r="D10561" s="451" t="s">
        <v>16339</v>
      </c>
      <c r="E10561" s="451"/>
      <c r="F10561" s="451"/>
      <c r="G10561" s="451" t="s">
        <v>22882</v>
      </c>
      <c r="H10561" s="451" t="s">
        <v>22883</v>
      </c>
      <c r="I10561" s="451" t="s">
        <v>16339</v>
      </c>
      <c r="J10561" s="451" t="s">
        <v>29025</v>
      </c>
      <c r="K10561" s="451"/>
    </row>
    <row r="10562" spans="1:11">
      <c r="A10562" s="450" t="s">
        <v>16926</v>
      </c>
      <c r="B10562" s="450"/>
      <c r="C10562" s="450" t="s">
        <v>2481</v>
      </c>
      <c r="D10562" s="450"/>
      <c r="E10562" s="450"/>
      <c r="F10562" s="450"/>
      <c r="G10562" s="450" t="s">
        <v>22882</v>
      </c>
      <c r="H10562" s="450" t="s">
        <v>22883</v>
      </c>
      <c r="I10562" s="450"/>
      <c r="J10562" s="450" t="s">
        <v>22997</v>
      </c>
      <c r="K10562" s="450"/>
    </row>
    <row r="10563" spans="1:11">
      <c r="A10563" s="451" t="s">
        <v>38543</v>
      </c>
      <c r="B10563" s="451"/>
      <c r="C10563" s="451" t="s">
        <v>7873</v>
      </c>
      <c r="D10563" s="451"/>
      <c r="E10563" s="451"/>
      <c r="F10563" s="451"/>
      <c r="G10563" s="451" t="s">
        <v>22882</v>
      </c>
      <c r="H10563" s="451" t="s">
        <v>22883</v>
      </c>
      <c r="I10563" s="451"/>
      <c r="J10563" s="451" t="s">
        <v>22943</v>
      </c>
      <c r="K10563" s="451"/>
    </row>
    <row r="10564" spans="1:11">
      <c r="A10564" s="450" t="s">
        <v>16927</v>
      </c>
      <c r="B10564" s="450"/>
      <c r="C10564" s="450" t="s">
        <v>7873</v>
      </c>
      <c r="D10564" s="450"/>
      <c r="E10564" s="450"/>
      <c r="F10564" s="450"/>
      <c r="G10564" s="450"/>
      <c r="H10564" s="450"/>
      <c r="I10564" s="450"/>
      <c r="J10564" s="450"/>
      <c r="K10564" s="450"/>
    </row>
    <row r="10565" spans="1:11">
      <c r="A10565" s="451" t="s">
        <v>21970</v>
      </c>
      <c r="B10565" s="451"/>
      <c r="C10565" s="451" t="s">
        <v>2100</v>
      </c>
      <c r="D10565" s="451"/>
      <c r="E10565" s="451"/>
      <c r="F10565" s="451"/>
      <c r="G10565" s="451" t="s">
        <v>22877</v>
      </c>
      <c r="H10565" s="451" t="s">
        <v>22878</v>
      </c>
      <c r="I10565" s="451" t="s">
        <v>38544</v>
      </c>
      <c r="J10565" s="451" t="s">
        <v>23185</v>
      </c>
      <c r="K10565" s="451"/>
    </row>
    <row r="10566" spans="1:11">
      <c r="A10566" s="450" t="s">
        <v>16928</v>
      </c>
      <c r="B10566" s="450"/>
      <c r="C10566" s="450" t="s">
        <v>9251</v>
      </c>
      <c r="D10566" s="450"/>
      <c r="E10566" s="450"/>
      <c r="F10566" s="450"/>
      <c r="G10566" s="450"/>
      <c r="H10566" s="450"/>
      <c r="I10566" s="450"/>
      <c r="J10566" s="450"/>
      <c r="K10566" s="450"/>
    </row>
    <row r="10567" spans="1:11">
      <c r="A10567" s="451" t="s">
        <v>16929</v>
      </c>
      <c r="B10567" s="451"/>
      <c r="C10567" s="451" t="s">
        <v>9251</v>
      </c>
      <c r="D10567" s="451"/>
      <c r="E10567" s="451"/>
      <c r="F10567" s="451"/>
      <c r="G10567" s="451" t="s">
        <v>22877</v>
      </c>
      <c r="H10567" s="451" t="s">
        <v>22878</v>
      </c>
      <c r="I10567" s="451" t="s">
        <v>38545</v>
      </c>
      <c r="J10567" s="451" t="s">
        <v>22997</v>
      </c>
      <c r="K10567" s="451"/>
    </row>
    <row r="10568" spans="1:11">
      <c r="A10568" s="450" t="s">
        <v>16930</v>
      </c>
      <c r="B10568" s="450"/>
      <c r="C10568" s="450" t="s">
        <v>16931</v>
      </c>
      <c r="D10568" s="450"/>
      <c r="E10568" s="450"/>
      <c r="F10568" s="450"/>
      <c r="G10568" s="450" t="s">
        <v>22877</v>
      </c>
      <c r="H10568" s="450" t="s">
        <v>22878</v>
      </c>
      <c r="I10568" s="450" t="s">
        <v>38546</v>
      </c>
      <c r="J10568" s="450" t="s">
        <v>23185</v>
      </c>
      <c r="K10568" s="450"/>
    </row>
    <row r="10569" spans="1:11">
      <c r="A10569" s="451" t="s">
        <v>16932</v>
      </c>
      <c r="B10569" s="451"/>
      <c r="C10569" s="451" t="s">
        <v>16933</v>
      </c>
      <c r="D10569" s="451"/>
      <c r="E10569" s="451"/>
      <c r="F10569" s="451"/>
      <c r="G10569" s="451" t="s">
        <v>22882</v>
      </c>
      <c r="H10569" s="451" t="s">
        <v>22883</v>
      </c>
      <c r="I10569" s="451"/>
      <c r="J10569" s="451" t="s">
        <v>23185</v>
      </c>
      <c r="K10569" s="451"/>
    </row>
    <row r="10570" spans="1:11">
      <c r="A10570" s="450" t="s">
        <v>16934</v>
      </c>
      <c r="B10570" s="450"/>
      <c r="C10570" s="450" t="s">
        <v>16935</v>
      </c>
      <c r="D10570" s="450"/>
      <c r="E10570" s="450"/>
      <c r="F10570" s="450"/>
      <c r="G10570" s="450" t="s">
        <v>22877</v>
      </c>
      <c r="H10570" s="450" t="s">
        <v>22878</v>
      </c>
      <c r="I10570" s="450" t="s">
        <v>38547</v>
      </c>
      <c r="J10570" s="450" t="s">
        <v>23185</v>
      </c>
      <c r="K10570" s="450"/>
    </row>
    <row r="10571" spans="1:11">
      <c r="A10571" s="451" t="s">
        <v>16936</v>
      </c>
      <c r="B10571" s="451"/>
      <c r="C10571" s="451" t="s">
        <v>16937</v>
      </c>
      <c r="D10571" s="451"/>
      <c r="E10571" s="451"/>
      <c r="F10571" s="451"/>
      <c r="G10571" s="451"/>
      <c r="H10571" s="451"/>
      <c r="I10571" s="451"/>
      <c r="J10571" s="451"/>
      <c r="K10571" s="451"/>
    </row>
    <row r="10572" spans="1:11">
      <c r="A10572" s="450" t="s">
        <v>16938</v>
      </c>
      <c r="B10572" s="450"/>
      <c r="C10572" s="450" t="s">
        <v>16939</v>
      </c>
      <c r="D10572" s="450"/>
      <c r="E10572" s="450"/>
      <c r="F10572" s="450"/>
      <c r="G10572" s="450" t="s">
        <v>22877</v>
      </c>
      <c r="H10572" s="450" t="s">
        <v>22878</v>
      </c>
      <c r="I10572" s="450" t="s">
        <v>38548</v>
      </c>
      <c r="J10572" s="450" t="s">
        <v>23185</v>
      </c>
      <c r="K10572" s="450"/>
    </row>
    <row r="10573" spans="1:11">
      <c r="A10573" s="451" t="s">
        <v>38549</v>
      </c>
      <c r="B10573" s="451"/>
      <c r="C10573" s="451" t="s">
        <v>16937</v>
      </c>
      <c r="D10573" s="451"/>
      <c r="E10573" s="451"/>
      <c r="F10573" s="451"/>
      <c r="G10573" s="451" t="s">
        <v>22877</v>
      </c>
      <c r="H10573" s="451" t="s">
        <v>22878</v>
      </c>
      <c r="I10573" s="451" t="s">
        <v>38550</v>
      </c>
      <c r="J10573" s="451" t="s">
        <v>22942</v>
      </c>
      <c r="K10573" s="451"/>
    </row>
    <row r="10574" spans="1:11">
      <c r="A10574" s="450" t="s">
        <v>16940</v>
      </c>
      <c r="B10574" s="450"/>
      <c r="C10574" s="450" t="s">
        <v>9946</v>
      </c>
      <c r="D10574" s="450"/>
      <c r="E10574" s="450"/>
      <c r="F10574" s="450"/>
      <c r="G10574" s="450" t="s">
        <v>22882</v>
      </c>
      <c r="H10574" s="450" t="s">
        <v>22883</v>
      </c>
      <c r="I10574" s="450"/>
      <c r="J10574" s="450" t="s">
        <v>23185</v>
      </c>
      <c r="K10574" s="450"/>
    </row>
    <row r="10575" spans="1:11">
      <c r="A10575" s="451" t="s">
        <v>16941</v>
      </c>
      <c r="B10575" s="451"/>
      <c r="C10575" s="451" t="s">
        <v>16942</v>
      </c>
      <c r="D10575" s="451"/>
      <c r="E10575" s="451"/>
      <c r="F10575" s="451"/>
      <c r="G10575" s="451" t="s">
        <v>22882</v>
      </c>
      <c r="H10575" s="451" t="s">
        <v>22883</v>
      </c>
      <c r="I10575" s="451"/>
      <c r="J10575" s="451" t="s">
        <v>23185</v>
      </c>
      <c r="K10575" s="451"/>
    </row>
    <row r="10576" spans="1:11">
      <c r="A10576" s="450" t="s">
        <v>29026</v>
      </c>
      <c r="B10576" s="450" t="s">
        <v>29027</v>
      </c>
      <c r="C10576" s="450" t="s">
        <v>29028</v>
      </c>
      <c r="D10576" s="450" t="s">
        <v>29029</v>
      </c>
      <c r="E10576" s="450"/>
      <c r="F10576" s="450"/>
      <c r="G10576" s="450" t="s">
        <v>22877</v>
      </c>
      <c r="H10576" s="450" t="s">
        <v>22878</v>
      </c>
      <c r="I10576" s="450" t="s">
        <v>29030</v>
      </c>
      <c r="J10576" s="450" t="s">
        <v>29031</v>
      </c>
      <c r="K10576" s="450"/>
    </row>
    <row r="10577" spans="1:11">
      <c r="A10577" s="451" t="s">
        <v>16943</v>
      </c>
      <c r="B10577" s="451"/>
      <c r="C10577" s="451" t="s">
        <v>16944</v>
      </c>
      <c r="D10577" s="451"/>
      <c r="E10577" s="451"/>
      <c r="F10577" s="451"/>
      <c r="G10577" s="451" t="s">
        <v>22877</v>
      </c>
      <c r="H10577" s="451" t="s">
        <v>22878</v>
      </c>
      <c r="I10577" s="451" t="s">
        <v>38551</v>
      </c>
      <c r="J10577" s="451" t="s">
        <v>23185</v>
      </c>
      <c r="K10577" s="451"/>
    </row>
    <row r="10578" spans="1:11">
      <c r="A10578" s="450" t="s">
        <v>16945</v>
      </c>
      <c r="B10578" s="450"/>
      <c r="C10578" s="450" t="s">
        <v>16946</v>
      </c>
      <c r="D10578" s="450"/>
      <c r="E10578" s="450"/>
      <c r="F10578" s="450"/>
      <c r="G10578" s="450" t="s">
        <v>22882</v>
      </c>
      <c r="H10578" s="450" t="s">
        <v>22883</v>
      </c>
      <c r="I10578" s="450" t="s">
        <v>38552</v>
      </c>
      <c r="J10578" s="450" t="s">
        <v>23185</v>
      </c>
      <c r="K10578" s="450"/>
    </row>
    <row r="10579" spans="1:11">
      <c r="A10579" s="451" t="s">
        <v>16947</v>
      </c>
      <c r="B10579" s="451"/>
      <c r="C10579" s="451" t="s">
        <v>16593</v>
      </c>
      <c r="D10579" s="451"/>
      <c r="E10579" s="451"/>
      <c r="F10579" s="451"/>
      <c r="G10579" s="451" t="s">
        <v>22877</v>
      </c>
      <c r="H10579" s="451" t="s">
        <v>22878</v>
      </c>
      <c r="I10579" s="451" t="s">
        <v>29032</v>
      </c>
      <c r="J10579" s="451" t="s">
        <v>23185</v>
      </c>
      <c r="K10579" s="451"/>
    </row>
    <row r="10580" spans="1:11">
      <c r="A10580" s="450" t="s">
        <v>29033</v>
      </c>
      <c r="B10580" s="450" t="s">
        <v>29034</v>
      </c>
      <c r="C10580" s="450" t="s">
        <v>29035</v>
      </c>
      <c r="D10580" s="450" t="s">
        <v>29036</v>
      </c>
      <c r="E10580" s="450"/>
      <c r="F10580" s="450"/>
      <c r="G10580" s="450" t="s">
        <v>22877</v>
      </c>
      <c r="H10580" s="450" t="s">
        <v>22878</v>
      </c>
      <c r="I10580" s="450" t="s">
        <v>29036</v>
      </c>
      <c r="J10580" s="450" t="s">
        <v>29037</v>
      </c>
      <c r="K10580" s="450"/>
    </row>
    <row r="10581" spans="1:11">
      <c r="A10581" s="451" t="s">
        <v>16948</v>
      </c>
      <c r="B10581" s="451"/>
      <c r="C10581" s="451" t="s">
        <v>16949</v>
      </c>
      <c r="D10581" s="451"/>
      <c r="E10581" s="451"/>
      <c r="F10581" s="451"/>
      <c r="G10581" s="451" t="s">
        <v>22882</v>
      </c>
      <c r="H10581" s="451" t="s">
        <v>22883</v>
      </c>
      <c r="I10581" s="451" t="s">
        <v>38553</v>
      </c>
      <c r="J10581" s="451" t="s">
        <v>23185</v>
      </c>
      <c r="K10581" s="451"/>
    </row>
    <row r="10582" spans="1:11">
      <c r="A10582" s="450" t="s">
        <v>16950</v>
      </c>
      <c r="B10582" s="450"/>
      <c r="C10582" s="450" t="s">
        <v>16951</v>
      </c>
      <c r="D10582" s="450"/>
      <c r="E10582" s="450"/>
      <c r="F10582" s="450"/>
      <c r="G10582" s="450" t="s">
        <v>22877</v>
      </c>
      <c r="H10582" s="450" t="s">
        <v>22878</v>
      </c>
      <c r="I10582" s="450" t="s">
        <v>29038</v>
      </c>
      <c r="J10582" s="450" t="s">
        <v>23185</v>
      </c>
      <c r="K10582" s="450"/>
    </row>
    <row r="10583" spans="1:11">
      <c r="A10583" s="451" t="s">
        <v>29039</v>
      </c>
      <c r="B10583" s="451" t="s">
        <v>29040</v>
      </c>
      <c r="C10583" s="451" t="s">
        <v>16954</v>
      </c>
      <c r="D10583" s="451"/>
      <c r="E10583" s="451"/>
      <c r="F10583" s="451"/>
      <c r="G10583" s="451" t="s">
        <v>22882</v>
      </c>
      <c r="H10583" s="451" t="s">
        <v>22883</v>
      </c>
      <c r="I10583" s="451" t="s">
        <v>29041</v>
      </c>
      <c r="J10583" s="451" t="s">
        <v>29042</v>
      </c>
      <c r="K10583" s="451"/>
    </row>
    <row r="10584" spans="1:11">
      <c r="A10584" s="450" t="s">
        <v>16952</v>
      </c>
      <c r="B10584" s="450" t="s">
        <v>16953</v>
      </c>
      <c r="C10584" s="450" t="s">
        <v>16954</v>
      </c>
      <c r="D10584" s="450"/>
      <c r="E10584" s="450"/>
      <c r="F10584" s="450"/>
      <c r="G10584" s="450"/>
      <c r="H10584" s="450"/>
      <c r="I10584" s="450"/>
      <c r="J10584" s="450"/>
      <c r="K10584" s="450"/>
    </row>
    <row r="10585" spans="1:11">
      <c r="A10585" s="451" t="s">
        <v>16955</v>
      </c>
      <c r="B10585" s="451"/>
      <c r="C10585" s="451" t="s">
        <v>7522</v>
      </c>
      <c r="D10585" s="451"/>
      <c r="E10585" s="451"/>
      <c r="F10585" s="451"/>
      <c r="G10585" s="451" t="s">
        <v>22882</v>
      </c>
      <c r="H10585" s="451" t="s">
        <v>22883</v>
      </c>
      <c r="I10585" s="451" t="s">
        <v>38554</v>
      </c>
      <c r="J10585" s="451" t="s">
        <v>23185</v>
      </c>
      <c r="K10585" s="451"/>
    </row>
    <row r="10586" spans="1:11">
      <c r="A10586" s="450" t="s">
        <v>38555</v>
      </c>
      <c r="B10586" s="450"/>
      <c r="C10586" s="450" t="s">
        <v>10963</v>
      </c>
      <c r="D10586" s="450"/>
      <c r="E10586" s="450"/>
      <c r="F10586" s="450"/>
      <c r="G10586" s="450" t="s">
        <v>22882</v>
      </c>
      <c r="H10586" s="450" t="s">
        <v>22883</v>
      </c>
      <c r="I10586" s="450"/>
      <c r="J10586" s="450" t="s">
        <v>22943</v>
      </c>
      <c r="K10586" s="450"/>
    </row>
    <row r="10587" spans="1:11">
      <c r="A10587" s="451" t="s">
        <v>16956</v>
      </c>
      <c r="B10587" s="451"/>
      <c r="C10587" s="451" t="s">
        <v>10963</v>
      </c>
      <c r="D10587" s="451"/>
      <c r="E10587" s="451"/>
      <c r="F10587" s="451"/>
      <c r="G10587" s="451"/>
      <c r="H10587" s="451"/>
      <c r="I10587" s="451"/>
      <c r="J10587" s="451"/>
      <c r="K10587" s="451"/>
    </row>
    <row r="10588" spans="1:11">
      <c r="A10588" s="450" t="s">
        <v>16957</v>
      </c>
      <c r="B10588" s="450"/>
      <c r="C10588" s="450" t="s">
        <v>2018</v>
      </c>
      <c r="D10588" s="450"/>
      <c r="E10588" s="450"/>
      <c r="F10588" s="450"/>
      <c r="G10588" s="450" t="s">
        <v>22877</v>
      </c>
      <c r="H10588" s="450" t="s">
        <v>22878</v>
      </c>
      <c r="I10588" s="450" t="s">
        <v>29043</v>
      </c>
      <c r="J10588" s="450" t="s">
        <v>23185</v>
      </c>
      <c r="K10588" s="450"/>
    </row>
    <row r="10589" spans="1:11">
      <c r="A10589" s="451" t="s">
        <v>22188</v>
      </c>
      <c r="B10589" s="451"/>
      <c r="C10589" s="451"/>
      <c r="D10589" s="451" t="s">
        <v>22189</v>
      </c>
      <c r="E10589" s="451"/>
      <c r="F10589" s="451"/>
      <c r="G10589" s="451"/>
      <c r="H10589" s="451"/>
      <c r="I10589" s="451"/>
      <c r="J10589" s="451"/>
      <c r="K10589" s="451"/>
    </row>
    <row r="10590" spans="1:11">
      <c r="A10590" s="450" t="s">
        <v>30059</v>
      </c>
      <c r="B10590" s="450" t="s">
        <v>30060</v>
      </c>
      <c r="C10590" s="450" t="s">
        <v>30061</v>
      </c>
      <c r="D10590" s="450"/>
      <c r="E10590" s="450"/>
      <c r="F10590" s="450"/>
      <c r="G10590" s="450"/>
      <c r="H10590" s="450"/>
      <c r="I10590" s="450"/>
      <c r="J10590" s="450"/>
      <c r="K10590" s="450"/>
    </row>
    <row r="10591" spans="1:11">
      <c r="A10591" s="451" t="s">
        <v>29044</v>
      </c>
      <c r="B10591" s="451" t="s">
        <v>29045</v>
      </c>
      <c r="C10591" s="451" t="s">
        <v>29046</v>
      </c>
      <c r="D10591" s="451"/>
      <c r="E10591" s="451"/>
      <c r="F10591" s="451"/>
      <c r="G10591" s="451" t="s">
        <v>22877</v>
      </c>
      <c r="H10591" s="451" t="s">
        <v>22878</v>
      </c>
      <c r="I10591" s="451" t="s">
        <v>22189</v>
      </c>
      <c r="J10591" s="451" t="s">
        <v>29047</v>
      </c>
      <c r="K10591" s="451"/>
    </row>
    <row r="10592" spans="1:11">
      <c r="A10592" s="450" t="s">
        <v>16958</v>
      </c>
      <c r="B10592" s="450"/>
      <c r="C10592" s="450" t="s">
        <v>9742</v>
      </c>
      <c r="D10592" s="450"/>
      <c r="E10592" s="450"/>
      <c r="F10592" s="450"/>
      <c r="G10592" s="450" t="s">
        <v>22877</v>
      </c>
      <c r="H10592" s="450" t="s">
        <v>22878</v>
      </c>
      <c r="I10592" s="450" t="s">
        <v>38556</v>
      </c>
      <c r="J10592" s="450" t="s">
        <v>23185</v>
      </c>
      <c r="K10592" s="450"/>
    </row>
    <row r="10593" spans="1:11">
      <c r="A10593" s="451" t="s">
        <v>16959</v>
      </c>
      <c r="B10593" s="451"/>
      <c r="C10593" s="451" t="s">
        <v>16960</v>
      </c>
      <c r="D10593" s="451" t="s">
        <v>16961</v>
      </c>
      <c r="E10593" s="451"/>
      <c r="F10593" s="451"/>
      <c r="G10593" s="451" t="s">
        <v>22877</v>
      </c>
      <c r="H10593" s="451" t="s">
        <v>22878</v>
      </c>
      <c r="I10593" s="451" t="s">
        <v>16961</v>
      </c>
      <c r="J10593" s="451" t="s">
        <v>29048</v>
      </c>
      <c r="K10593" s="451"/>
    </row>
    <row r="10594" spans="1:11">
      <c r="A10594" s="450" t="s">
        <v>16959</v>
      </c>
      <c r="B10594" s="450" t="s">
        <v>16964</v>
      </c>
      <c r="C10594" s="450" t="s">
        <v>16965</v>
      </c>
      <c r="D10594" s="450" t="s">
        <v>16966</v>
      </c>
      <c r="E10594" s="450"/>
      <c r="F10594" s="450"/>
      <c r="G10594" s="450" t="s">
        <v>22882</v>
      </c>
      <c r="H10594" s="450" t="s">
        <v>22883</v>
      </c>
      <c r="I10594" s="450" t="s">
        <v>16966</v>
      </c>
      <c r="J10594" s="450" t="s">
        <v>38557</v>
      </c>
      <c r="K10594" s="450"/>
    </row>
    <row r="10595" spans="1:11">
      <c r="A10595" s="451" t="s">
        <v>16959</v>
      </c>
      <c r="B10595" s="451"/>
      <c r="C10595" s="451" t="s">
        <v>16960</v>
      </c>
      <c r="D10595" s="451" t="s">
        <v>16961</v>
      </c>
      <c r="E10595" s="451" t="s">
        <v>16962</v>
      </c>
      <c r="F10595" s="451"/>
      <c r="G10595" s="451"/>
      <c r="H10595" s="451"/>
      <c r="I10595" s="451"/>
      <c r="J10595" s="451"/>
      <c r="K10595" s="451"/>
    </row>
    <row r="10596" spans="1:11">
      <c r="A10596" s="450" t="s">
        <v>16963</v>
      </c>
      <c r="B10596" s="450" t="s">
        <v>16964</v>
      </c>
      <c r="C10596" s="450" t="s">
        <v>16965</v>
      </c>
      <c r="D10596" s="450" t="s">
        <v>16966</v>
      </c>
      <c r="E10596" s="450" t="s">
        <v>16967</v>
      </c>
      <c r="F10596" s="450"/>
      <c r="G10596" s="450"/>
      <c r="H10596" s="450"/>
      <c r="I10596" s="450"/>
      <c r="J10596" s="450"/>
      <c r="K10596" s="450"/>
    </row>
    <row r="10597" spans="1:11">
      <c r="A10597" s="451" t="s">
        <v>16968</v>
      </c>
      <c r="B10597" s="451"/>
      <c r="C10597" s="451" t="s">
        <v>16969</v>
      </c>
      <c r="D10597" s="451" t="s">
        <v>16970</v>
      </c>
      <c r="E10597" s="451"/>
      <c r="F10597" s="451"/>
      <c r="G10597" s="451" t="s">
        <v>22877</v>
      </c>
      <c r="H10597" s="451" t="s">
        <v>22878</v>
      </c>
      <c r="I10597" s="451" t="s">
        <v>16970</v>
      </c>
      <c r="J10597" s="451" t="s">
        <v>38558</v>
      </c>
      <c r="K10597" s="451"/>
    </row>
    <row r="10598" spans="1:11">
      <c r="A10598" s="450" t="s">
        <v>16968</v>
      </c>
      <c r="B10598" s="450"/>
      <c r="C10598" s="450" t="s">
        <v>16969</v>
      </c>
      <c r="D10598" s="450" t="s">
        <v>16970</v>
      </c>
      <c r="E10598" s="450" t="s">
        <v>16971</v>
      </c>
      <c r="F10598" s="450"/>
      <c r="G10598" s="450"/>
      <c r="H10598" s="450"/>
      <c r="I10598" s="450"/>
      <c r="J10598" s="450"/>
      <c r="K10598" s="450"/>
    </row>
    <row r="10599" spans="1:11">
      <c r="A10599" s="451" t="s">
        <v>16972</v>
      </c>
      <c r="B10599" s="451" t="s">
        <v>16973</v>
      </c>
      <c r="C10599" s="451" t="s">
        <v>2590</v>
      </c>
      <c r="D10599" s="451" t="s">
        <v>16974</v>
      </c>
      <c r="E10599" s="451"/>
      <c r="F10599" s="451"/>
      <c r="G10599" s="451" t="s">
        <v>22877</v>
      </c>
      <c r="H10599" s="451" t="s">
        <v>22878</v>
      </c>
      <c r="I10599" s="451" t="s">
        <v>29049</v>
      </c>
      <c r="J10599" s="451" t="s">
        <v>29050</v>
      </c>
      <c r="K10599" s="451"/>
    </row>
    <row r="10600" spans="1:11">
      <c r="A10600" s="450" t="s">
        <v>16975</v>
      </c>
      <c r="B10600" s="450" t="s">
        <v>16976</v>
      </c>
      <c r="C10600" s="450" t="s">
        <v>2062</v>
      </c>
      <c r="D10600" s="450" t="s">
        <v>16974</v>
      </c>
      <c r="E10600" s="450"/>
      <c r="F10600" s="450"/>
      <c r="G10600" s="450" t="s">
        <v>22877</v>
      </c>
      <c r="H10600" s="450" t="s">
        <v>22878</v>
      </c>
      <c r="I10600" s="450" t="s">
        <v>29051</v>
      </c>
      <c r="J10600" s="450" t="s">
        <v>29052</v>
      </c>
      <c r="K10600" s="450"/>
    </row>
    <row r="10601" spans="1:11">
      <c r="A10601" s="451" t="s">
        <v>38559</v>
      </c>
      <c r="B10601" s="451"/>
      <c r="C10601" s="451" t="s">
        <v>16978</v>
      </c>
      <c r="D10601" s="451"/>
      <c r="E10601" s="451"/>
      <c r="F10601" s="451"/>
      <c r="G10601" s="451" t="s">
        <v>22877</v>
      </c>
      <c r="H10601" s="451" t="s">
        <v>22878</v>
      </c>
      <c r="I10601" s="451" t="s">
        <v>38560</v>
      </c>
      <c r="J10601" s="451" t="s">
        <v>22942</v>
      </c>
      <c r="K10601" s="451"/>
    </row>
    <row r="10602" spans="1:11">
      <c r="A10602" s="450" t="s">
        <v>16977</v>
      </c>
      <c r="B10602" s="450"/>
      <c r="C10602" s="450" t="s">
        <v>16978</v>
      </c>
      <c r="D10602" s="450"/>
      <c r="E10602" s="450"/>
      <c r="F10602" s="450"/>
      <c r="G10602" s="450"/>
      <c r="H10602" s="450"/>
      <c r="I10602" s="450"/>
      <c r="J10602" s="450"/>
      <c r="K10602" s="450"/>
    </row>
    <row r="10603" spans="1:11">
      <c r="A10603" s="451" t="s">
        <v>29053</v>
      </c>
      <c r="B10603" s="451" t="s">
        <v>16988</v>
      </c>
      <c r="C10603" s="451" t="s">
        <v>16989</v>
      </c>
      <c r="D10603" s="451" t="s">
        <v>16990</v>
      </c>
      <c r="E10603" s="451"/>
      <c r="F10603" s="451"/>
      <c r="G10603" s="451" t="s">
        <v>22877</v>
      </c>
      <c r="H10603" s="451" t="s">
        <v>22878</v>
      </c>
      <c r="I10603" s="451" t="s">
        <v>16990</v>
      </c>
      <c r="J10603" s="451" t="s">
        <v>29054</v>
      </c>
      <c r="K10603" s="451"/>
    </row>
    <row r="10604" spans="1:11">
      <c r="A10604" s="450" t="s">
        <v>38561</v>
      </c>
      <c r="B10604" s="450" t="s">
        <v>16980</v>
      </c>
      <c r="C10604" s="450" t="s">
        <v>2604</v>
      </c>
      <c r="D10604" s="450" t="s">
        <v>16981</v>
      </c>
      <c r="E10604" s="450"/>
      <c r="F10604" s="450"/>
      <c r="G10604" s="450" t="s">
        <v>22877</v>
      </c>
      <c r="H10604" s="450" t="s">
        <v>22878</v>
      </c>
      <c r="I10604" s="450" t="s">
        <v>16981</v>
      </c>
      <c r="J10604" s="450" t="s">
        <v>38562</v>
      </c>
      <c r="K10604" s="450"/>
    </row>
    <row r="10605" spans="1:11">
      <c r="A10605" s="451" t="s">
        <v>16979</v>
      </c>
      <c r="B10605" s="451" t="s">
        <v>16980</v>
      </c>
      <c r="C10605" s="451" t="s">
        <v>2604</v>
      </c>
      <c r="D10605" s="451" t="s">
        <v>16981</v>
      </c>
      <c r="E10605" s="451" t="s">
        <v>16982</v>
      </c>
      <c r="F10605" s="451"/>
      <c r="G10605" s="451"/>
      <c r="H10605" s="451"/>
      <c r="I10605" s="451"/>
      <c r="J10605" s="451"/>
      <c r="K10605" s="451"/>
    </row>
    <row r="10606" spans="1:11">
      <c r="A10606" s="450" t="s">
        <v>38563</v>
      </c>
      <c r="B10606" s="450" t="s">
        <v>16984</v>
      </c>
      <c r="C10606" s="450" t="s">
        <v>16985</v>
      </c>
      <c r="D10606" s="450" t="s">
        <v>16986</v>
      </c>
      <c r="E10606" s="450"/>
      <c r="F10606" s="450"/>
      <c r="G10606" s="450" t="s">
        <v>22877</v>
      </c>
      <c r="H10606" s="450" t="s">
        <v>22878</v>
      </c>
      <c r="I10606" s="450" t="s">
        <v>16986</v>
      </c>
      <c r="J10606" s="450" t="s">
        <v>38564</v>
      </c>
      <c r="K10606" s="450"/>
    </row>
    <row r="10607" spans="1:11">
      <c r="A10607" s="451" t="s">
        <v>16983</v>
      </c>
      <c r="B10607" s="451" t="s">
        <v>16984</v>
      </c>
      <c r="C10607" s="451" t="s">
        <v>16985</v>
      </c>
      <c r="D10607" s="451" t="s">
        <v>16986</v>
      </c>
      <c r="E10607" s="451"/>
      <c r="F10607" s="451"/>
      <c r="G10607" s="451"/>
      <c r="H10607" s="451"/>
      <c r="I10607" s="451"/>
      <c r="J10607" s="451"/>
      <c r="K10607" s="451"/>
    </row>
    <row r="10608" spans="1:11">
      <c r="A10608" s="450" t="s">
        <v>21056</v>
      </c>
      <c r="B10608" s="450" t="s">
        <v>29055</v>
      </c>
      <c r="C10608" s="450" t="s">
        <v>21058</v>
      </c>
      <c r="D10608" s="450"/>
      <c r="E10608" s="450"/>
      <c r="F10608" s="450"/>
      <c r="G10608" s="450" t="s">
        <v>22877</v>
      </c>
      <c r="H10608" s="450" t="s">
        <v>22878</v>
      </c>
      <c r="I10608" s="450" t="s">
        <v>29056</v>
      </c>
      <c r="J10608" s="450" t="s">
        <v>29057</v>
      </c>
      <c r="K10608" s="450"/>
    </row>
    <row r="10609" spans="1:11">
      <c r="A10609" s="451" t="s">
        <v>21056</v>
      </c>
      <c r="B10609" s="451" t="s">
        <v>21057</v>
      </c>
      <c r="C10609" s="451" t="s">
        <v>21058</v>
      </c>
      <c r="D10609" s="451" t="s">
        <v>21059</v>
      </c>
      <c r="E10609" s="451"/>
      <c r="F10609" s="451"/>
      <c r="G10609" s="451"/>
      <c r="H10609" s="451"/>
      <c r="I10609" s="451"/>
      <c r="J10609" s="451"/>
      <c r="K10609" s="451"/>
    </row>
    <row r="10610" spans="1:11">
      <c r="A10610" s="450" t="s">
        <v>16987</v>
      </c>
      <c r="B10610" s="450" t="s">
        <v>16988</v>
      </c>
      <c r="C10610" s="450" t="s">
        <v>16989</v>
      </c>
      <c r="D10610" s="450" t="s">
        <v>16990</v>
      </c>
      <c r="E10610" s="450" t="s">
        <v>16991</v>
      </c>
      <c r="F10610" s="450"/>
      <c r="G10610" s="450"/>
      <c r="H10610" s="450"/>
      <c r="I10610" s="450"/>
      <c r="J10610" s="450"/>
      <c r="K10610" s="450"/>
    </row>
    <row r="10611" spans="1:11">
      <c r="A10611" s="451" t="s">
        <v>16992</v>
      </c>
      <c r="B10611" s="451"/>
      <c r="C10611" s="451" t="s">
        <v>4806</v>
      </c>
      <c r="D10611" s="451"/>
      <c r="E10611" s="451"/>
      <c r="F10611" s="451"/>
      <c r="G10611" s="451" t="s">
        <v>22882</v>
      </c>
      <c r="H10611" s="451" t="s">
        <v>22883</v>
      </c>
      <c r="I10611" s="451"/>
      <c r="J10611" s="451" t="s">
        <v>22997</v>
      </c>
      <c r="K10611" s="451"/>
    </row>
    <row r="10612" spans="1:11">
      <c r="A10612" s="450" t="s">
        <v>16993</v>
      </c>
      <c r="B10612" s="450" t="s">
        <v>16994</v>
      </c>
      <c r="C10612" s="450" t="s">
        <v>15091</v>
      </c>
      <c r="D10612" s="450" t="s">
        <v>16995</v>
      </c>
      <c r="E10612" s="450"/>
      <c r="F10612" s="450" t="s">
        <v>16996</v>
      </c>
      <c r="G10612" s="450" t="s">
        <v>22877</v>
      </c>
      <c r="H10612" s="450" t="s">
        <v>22878</v>
      </c>
      <c r="I10612" s="450" t="s">
        <v>29058</v>
      </c>
      <c r="J10612" s="450" t="s">
        <v>29059</v>
      </c>
      <c r="K10612" s="450"/>
    </row>
    <row r="10613" spans="1:11">
      <c r="A10613" s="451" t="s">
        <v>38565</v>
      </c>
      <c r="B10613" s="451"/>
      <c r="C10613" s="451" t="s">
        <v>16998</v>
      </c>
      <c r="D10613" s="451"/>
      <c r="E10613" s="451"/>
      <c r="F10613" s="451"/>
      <c r="G10613" s="451" t="s">
        <v>22877</v>
      </c>
      <c r="H10613" s="451" t="s">
        <v>22878</v>
      </c>
      <c r="I10613" s="451" t="s">
        <v>38566</v>
      </c>
      <c r="J10613" s="451" t="s">
        <v>23185</v>
      </c>
      <c r="K10613" s="451"/>
    </row>
    <row r="10614" spans="1:11">
      <c r="A10614" s="450" t="s">
        <v>16997</v>
      </c>
      <c r="B10614" s="450"/>
      <c r="C10614" s="450" t="s">
        <v>16998</v>
      </c>
      <c r="D10614" s="450"/>
      <c r="E10614" s="450"/>
      <c r="F10614" s="450"/>
      <c r="G10614" s="450"/>
      <c r="H10614" s="450"/>
      <c r="I10614" s="450"/>
      <c r="J10614" s="450"/>
      <c r="K10614" s="450"/>
    </row>
    <row r="10615" spans="1:11">
      <c r="A10615" s="451" t="s">
        <v>16999</v>
      </c>
      <c r="B10615" s="451"/>
      <c r="C10615" s="451" t="s">
        <v>9103</v>
      </c>
      <c r="D10615" s="451"/>
      <c r="E10615" s="451"/>
      <c r="F10615" s="451"/>
      <c r="G10615" s="451" t="s">
        <v>22877</v>
      </c>
      <c r="H10615" s="451" t="s">
        <v>22878</v>
      </c>
      <c r="I10615" s="451" t="s">
        <v>29060</v>
      </c>
      <c r="J10615" s="451" t="s">
        <v>23185</v>
      </c>
      <c r="K10615" s="451"/>
    </row>
    <row r="10616" spans="1:11">
      <c r="A10616" s="450" t="s">
        <v>38567</v>
      </c>
      <c r="B10616" s="450" t="s">
        <v>17001</v>
      </c>
      <c r="C10616" s="450" t="s">
        <v>17002</v>
      </c>
      <c r="D10616" s="450" t="s">
        <v>17003</v>
      </c>
      <c r="E10616" s="450"/>
      <c r="F10616" s="450"/>
      <c r="G10616" s="450" t="s">
        <v>22882</v>
      </c>
      <c r="H10616" s="450" t="s">
        <v>22883</v>
      </c>
      <c r="I10616" s="450" t="s">
        <v>17003</v>
      </c>
      <c r="J10616" s="450" t="s">
        <v>38568</v>
      </c>
      <c r="K10616" s="450"/>
    </row>
    <row r="10617" spans="1:11">
      <c r="A10617" s="451" t="s">
        <v>17000</v>
      </c>
      <c r="B10617" s="451" t="s">
        <v>17001</v>
      </c>
      <c r="C10617" s="451" t="s">
        <v>17002</v>
      </c>
      <c r="D10617" s="451" t="s">
        <v>17003</v>
      </c>
      <c r="E10617" s="451" t="s">
        <v>17004</v>
      </c>
      <c r="F10617" s="451"/>
      <c r="G10617" s="451"/>
      <c r="H10617" s="451"/>
      <c r="I10617" s="451"/>
      <c r="J10617" s="451"/>
      <c r="K10617" s="451"/>
    </row>
    <row r="10618" spans="1:11">
      <c r="A10618" s="450" t="s">
        <v>29061</v>
      </c>
      <c r="B10618" s="450" t="s">
        <v>29062</v>
      </c>
      <c r="C10618" s="450" t="s">
        <v>29063</v>
      </c>
      <c r="D10618" s="450"/>
      <c r="E10618" s="450"/>
      <c r="F10618" s="450"/>
      <c r="G10618" s="450" t="s">
        <v>22877</v>
      </c>
      <c r="H10618" s="450" t="s">
        <v>22878</v>
      </c>
      <c r="I10618" s="450" t="s">
        <v>29064</v>
      </c>
      <c r="J10618" s="450" t="s">
        <v>29065</v>
      </c>
      <c r="K10618" s="450"/>
    </row>
    <row r="10619" spans="1:11">
      <c r="A10619" s="451" t="s">
        <v>17005</v>
      </c>
      <c r="B10619" s="451"/>
      <c r="C10619" s="451" t="s">
        <v>13903</v>
      </c>
      <c r="D10619" s="451"/>
      <c r="E10619" s="451"/>
      <c r="F10619" s="451"/>
      <c r="G10619" s="451" t="s">
        <v>22877</v>
      </c>
      <c r="H10619" s="451" t="s">
        <v>22878</v>
      </c>
      <c r="I10619" s="451" t="s">
        <v>38569</v>
      </c>
      <c r="J10619" s="451" t="s">
        <v>22943</v>
      </c>
      <c r="K10619" s="451"/>
    </row>
    <row r="10620" spans="1:11">
      <c r="A10620" s="450" t="s">
        <v>17006</v>
      </c>
      <c r="B10620" s="450"/>
      <c r="C10620" s="450" t="s">
        <v>7872</v>
      </c>
      <c r="D10620" s="450"/>
      <c r="E10620" s="450"/>
      <c r="F10620" s="450"/>
      <c r="G10620" s="450" t="s">
        <v>22877</v>
      </c>
      <c r="H10620" s="450" t="s">
        <v>22878</v>
      </c>
      <c r="I10620" s="450" t="s">
        <v>38570</v>
      </c>
      <c r="J10620" s="450" t="s">
        <v>23185</v>
      </c>
      <c r="K10620" s="450"/>
    </row>
    <row r="10621" spans="1:11">
      <c r="A10621" s="451" t="s">
        <v>38571</v>
      </c>
      <c r="B10621" s="451"/>
      <c r="C10621" s="451" t="s">
        <v>17008</v>
      </c>
      <c r="D10621" s="451"/>
      <c r="E10621" s="451"/>
      <c r="F10621" s="451"/>
      <c r="G10621" s="451" t="s">
        <v>22877</v>
      </c>
      <c r="H10621" s="451" t="s">
        <v>22878</v>
      </c>
      <c r="I10621" s="451" t="s">
        <v>38572</v>
      </c>
      <c r="J10621" s="451" t="s">
        <v>23121</v>
      </c>
      <c r="K10621" s="451"/>
    </row>
    <row r="10622" spans="1:11">
      <c r="A10622" s="450" t="s">
        <v>17007</v>
      </c>
      <c r="B10622" s="450"/>
      <c r="C10622" s="450" t="s">
        <v>17008</v>
      </c>
      <c r="D10622" s="450"/>
      <c r="E10622" s="450"/>
      <c r="F10622" s="450"/>
      <c r="G10622" s="450"/>
      <c r="H10622" s="450"/>
      <c r="I10622" s="450"/>
      <c r="J10622" s="450"/>
      <c r="K10622" s="450"/>
    </row>
    <row r="10623" spans="1:11">
      <c r="A10623" s="451" t="s">
        <v>17009</v>
      </c>
      <c r="B10623" s="451"/>
      <c r="C10623" s="451" t="s">
        <v>4716</v>
      </c>
      <c r="D10623" s="451"/>
      <c r="E10623" s="451"/>
      <c r="F10623" s="451"/>
      <c r="G10623" s="451" t="s">
        <v>22877</v>
      </c>
      <c r="H10623" s="451" t="s">
        <v>22878</v>
      </c>
      <c r="I10623" s="451" t="s">
        <v>29066</v>
      </c>
      <c r="J10623" s="451" t="s">
        <v>23185</v>
      </c>
      <c r="K10623" s="451"/>
    </row>
    <row r="10624" spans="1:11">
      <c r="A10624" s="450" t="s">
        <v>17010</v>
      </c>
      <c r="B10624" s="450" t="s">
        <v>17011</v>
      </c>
      <c r="C10624" s="450" t="s">
        <v>17012</v>
      </c>
      <c r="D10624" s="450" t="s">
        <v>17013</v>
      </c>
      <c r="E10624" s="450"/>
      <c r="F10624" s="450"/>
      <c r="G10624" s="450" t="s">
        <v>22877</v>
      </c>
      <c r="H10624" s="450" t="s">
        <v>22878</v>
      </c>
      <c r="I10624" s="450" t="s">
        <v>17013</v>
      </c>
      <c r="J10624" s="450" t="s">
        <v>38573</v>
      </c>
      <c r="K10624" s="450"/>
    </row>
    <row r="10625" spans="1:11">
      <c r="A10625" s="451" t="s">
        <v>17010</v>
      </c>
      <c r="B10625" s="451" t="s">
        <v>17011</v>
      </c>
      <c r="C10625" s="451" t="s">
        <v>17012</v>
      </c>
      <c r="D10625" s="451" t="s">
        <v>17013</v>
      </c>
      <c r="E10625" s="451" t="s">
        <v>17014</v>
      </c>
      <c r="F10625" s="451"/>
      <c r="G10625" s="451"/>
      <c r="H10625" s="451"/>
      <c r="I10625" s="451"/>
      <c r="J10625" s="451"/>
      <c r="K10625" s="451"/>
    </row>
    <row r="10626" spans="1:11">
      <c r="A10626" s="450" t="s">
        <v>17015</v>
      </c>
      <c r="B10626" s="450"/>
      <c r="C10626" s="450" t="s">
        <v>8032</v>
      </c>
      <c r="D10626" s="450"/>
      <c r="E10626" s="450"/>
      <c r="F10626" s="450"/>
      <c r="G10626" s="450" t="s">
        <v>22877</v>
      </c>
      <c r="H10626" s="450" t="s">
        <v>22878</v>
      </c>
      <c r="I10626" s="450" t="s">
        <v>38574</v>
      </c>
      <c r="J10626" s="450" t="s">
        <v>23185</v>
      </c>
      <c r="K10626" s="450"/>
    </row>
    <row r="10627" spans="1:11">
      <c r="A10627" s="451" t="s">
        <v>17016</v>
      </c>
      <c r="B10627" s="451"/>
      <c r="C10627" s="451" t="s">
        <v>14016</v>
      </c>
      <c r="D10627" s="451"/>
      <c r="E10627" s="451"/>
      <c r="F10627" s="451"/>
      <c r="G10627" s="451" t="s">
        <v>23092</v>
      </c>
      <c r="H10627" s="451" t="s">
        <v>22878</v>
      </c>
      <c r="I10627" s="451"/>
      <c r="J10627" s="451"/>
      <c r="K10627" s="451"/>
    </row>
    <row r="10628" spans="1:11">
      <c r="A10628" s="450" t="s">
        <v>29067</v>
      </c>
      <c r="B10628" s="450" t="s">
        <v>29068</v>
      </c>
      <c r="C10628" s="450" t="s">
        <v>29069</v>
      </c>
      <c r="D10628" s="450"/>
      <c r="E10628" s="450"/>
      <c r="F10628" s="450"/>
      <c r="G10628" s="450" t="s">
        <v>22877</v>
      </c>
      <c r="H10628" s="450" t="s">
        <v>22878</v>
      </c>
      <c r="I10628" s="450" t="s">
        <v>29070</v>
      </c>
      <c r="J10628" s="450" t="s">
        <v>29071</v>
      </c>
      <c r="K10628" s="450"/>
    </row>
    <row r="10629" spans="1:11">
      <c r="A10629" s="451" t="s">
        <v>17017</v>
      </c>
      <c r="B10629" s="451"/>
      <c r="C10629" s="451" t="s">
        <v>17018</v>
      </c>
      <c r="D10629" s="451"/>
      <c r="E10629" s="451"/>
      <c r="F10629" s="451"/>
      <c r="G10629" s="451" t="s">
        <v>22877</v>
      </c>
      <c r="H10629" s="451" t="s">
        <v>22878</v>
      </c>
      <c r="I10629" s="451" t="s">
        <v>38575</v>
      </c>
      <c r="J10629" s="451" t="s">
        <v>23185</v>
      </c>
      <c r="K10629" s="451"/>
    </row>
    <row r="10630" spans="1:11">
      <c r="A10630" s="450" t="s">
        <v>17019</v>
      </c>
      <c r="B10630" s="450"/>
      <c r="C10630" s="450" t="s">
        <v>17020</v>
      </c>
      <c r="D10630" s="450"/>
      <c r="E10630" s="450"/>
      <c r="F10630" s="450"/>
      <c r="G10630" s="450" t="s">
        <v>22877</v>
      </c>
      <c r="H10630" s="450" t="s">
        <v>22878</v>
      </c>
      <c r="I10630" s="450" t="s">
        <v>29072</v>
      </c>
      <c r="J10630" s="450" t="s">
        <v>23185</v>
      </c>
      <c r="K10630" s="450"/>
    </row>
    <row r="10631" spans="1:11">
      <c r="A10631" s="451" t="s">
        <v>29073</v>
      </c>
      <c r="B10631" s="451" t="s">
        <v>17022</v>
      </c>
      <c r="C10631" s="451" t="s">
        <v>14700</v>
      </c>
      <c r="D10631" s="451" t="s">
        <v>17023</v>
      </c>
      <c r="E10631" s="451"/>
      <c r="F10631" s="451"/>
      <c r="G10631" s="451" t="s">
        <v>22877</v>
      </c>
      <c r="H10631" s="451" t="s">
        <v>22878</v>
      </c>
      <c r="I10631" s="451" t="s">
        <v>17023</v>
      </c>
      <c r="J10631" s="451" t="s">
        <v>29074</v>
      </c>
      <c r="K10631" s="451"/>
    </row>
    <row r="10632" spans="1:11">
      <c r="A10632" s="450" t="s">
        <v>29075</v>
      </c>
      <c r="B10632" s="450" t="s">
        <v>17025</v>
      </c>
      <c r="C10632" s="450" t="s">
        <v>17026</v>
      </c>
      <c r="D10632" s="450" t="s">
        <v>17027</v>
      </c>
      <c r="E10632" s="450"/>
      <c r="F10632" s="450"/>
      <c r="G10632" s="450" t="s">
        <v>22877</v>
      </c>
      <c r="H10632" s="450" t="s">
        <v>22878</v>
      </c>
      <c r="I10632" s="450" t="s">
        <v>17027</v>
      </c>
      <c r="J10632" s="450" t="s">
        <v>29076</v>
      </c>
      <c r="K10632" s="450"/>
    </row>
    <row r="10633" spans="1:11">
      <c r="A10633" s="451" t="s">
        <v>29077</v>
      </c>
      <c r="B10633" s="451" t="s">
        <v>17029</v>
      </c>
      <c r="C10633" s="451" t="s">
        <v>8470</v>
      </c>
      <c r="D10633" s="451" t="s">
        <v>17030</v>
      </c>
      <c r="E10633" s="451"/>
      <c r="F10633" s="451"/>
      <c r="G10633" s="451" t="s">
        <v>22877</v>
      </c>
      <c r="H10633" s="451" t="s">
        <v>22878</v>
      </c>
      <c r="I10633" s="451" t="s">
        <v>29078</v>
      </c>
      <c r="J10633" s="451" t="s">
        <v>29079</v>
      </c>
      <c r="K10633" s="451"/>
    </row>
    <row r="10634" spans="1:11">
      <c r="A10634" s="450" t="s">
        <v>17021</v>
      </c>
      <c r="B10634" s="450" t="s">
        <v>17022</v>
      </c>
      <c r="C10634" s="450" t="s">
        <v>14700</v>
      </c>
      <c r="D10634" s="450" t="s">
        <v>17023</v>
      </c>
      <c r="E10634" s="450"/>
      <c r="F10634" s="450"/>
      <c r="G10634" s="450"/>
      <c r="H10634" s="450"/>
      <c r="I10634" s="450"/>
      <c r="J10634" s="450"/>
      <c r="K10634" s="450"/>
    </row>
    <row r="10635" spans="1:11">
      <c r="A10635" s="451" t="s">
        <v>17024</v>
      </c>
      <c r="B10635" s="451" t="s">
        <v>17025</v>
      </c>
      <c r="C10635" s="451" t="s">
        <v>17026</v>
      </c>
      <c r="D10635" s="451" t="s">
        <v>17027</v>
      </c>
      <c r="E10635" s="451"/>
      <c r="F10635" s="451"/>
      <c r="G10635" s="451"/>
      <c r="H10635" s="451"/>
      <c r="I10635" s="451"/>
      <c r="J10635" s="451"/>
      <c r="K10635" s="451"/>
    </row>
    <row r="10636" spans="1:11">
      <c r="A10636" s="450" t="s">
        <v>17028</v>
      </c>
      <c r="B10636" s="450" t="s">
        <v>17029</v>
      </c>
      <c r="C10636" s="450" t="s">
        <v>8470</v>
      </c>
      <c r="D10636" s="450" t="s">
        <v>17030</v>
      </c>
      <c r="E10636" s="450"/>
      <c r="F10636" s="450"/>
      <c r="G10636" s="450"/>
      <c r="H10636" s="450"/>
      <c r="I10636" s="450"/>
      <c r="J10636" s="450"/>
      <c r="K10636" s="450"/>
    </row>
    <row r="10637" spans="1:11">
      <c r="A10637" s="451" t="s">
        <v>17031</v>
      </c>
      <c r="B10637" s="451"/>
      <c r="C10637" s="451" t="s">
        <v>3485</v>
      </c>
      <c r="D10637" s="451"/>
      <c r="E10637" s="451"/>
      <c r="F10637" s="451"/>
      <c r="G10637" s="451"/>
      <c r="H10637" s="451"/>
      <c r="I10637" s="451"/>
      <c r="J10637" s="451"/>
      <c r="K10637" s="451"/>
    </row>
    <row r="10638" spans="1:11">
      <c r="A10638" s="450" t="s">
        <v>38576</v>
      </c>
      <c r="B10638" s="450"/>
      <c r="C10638" s="450" t="s">
        <v>22780</v>
      </c>
      <c r="D10638" s="450"/>
      <c r="E10638" s="450"/>
      <c r="F10638" s="450"/>
      <c r="G10638" s="450" t="s">
        <v>22877</v>
      </c>
      <c r="H10638" s="450" t="s">
        <v>22878</v>
      </c>
      <c r="I10638" s="450" t="s">
        <v>38577</v>
      </c>
      <c r="J10638" s="450" t="s">
        <v>23185</v>
      </c>
      <c r="K10638" s="450"/>
    </row>
    <row r="10639" spans="1:11">
      <c r="A10639" s="451" t="s">
        <v>38578</v>
      </c>
      <c r="B10639" s="451"/>
      <c r="C10639" s="451" t="s">
        <v>17033</v>
      </c>
      <c r="D10639" s="451"/>
      <c r="E10639" s="451"/>
      <c r="F10639" s="451"/>
      <c r="G10639" s="451" t="s">
        <v>22882</v>
      </c>
      <c r="H10639" s="451" t="s">
        <v>22883</v>
      </c>
      <c r="I10639" s="451"/>
      <c r="J10639" s="451" t="s">
        <v>22942</v>
      </c>
      <c r="K10639" s="451"/>
    </row>
    <row r="10640" spans="1:11">
      <c r="A10640" s="450" t="s">
        <v>17032</v>
      </c>
      <c r="B10640" s="450"/>
      <c r="C10640" s="450" t="s">
        <v>17033</v>
      </c>
      <c r="D10640" s="450"/>
      <c r="E10640" s="450"/>
      <c r="F10640" s="450"/>
      <c r="G10640" s="450"/>
      <c r="H10640" s="450"/>
      <c r="I10640" s="450"/>
      <c r="J10640" s="450"/>
      <c r="K10640" s="450"/>
    </row>
    <row r="10641" spans="1:11">
      <c r="A10641" s="451" t="s">
        <v>17034</v>
      </c>
      <c r="B10641" s="451"/>
      <c r="C10641" s="451" t="s">
        <v>17035</v>
      </c>
      <c r="D10641" s="451"/>
      <c r="E10641" s="451"/>
      <c r="F10641" s="451"/>
      <c r="G10641" s="451" t="s">
        <v>22877</v>
      </c>
      <c r="H10641" s="451" t="s">
        <v>22878</v>
      </c>
      <c r="I10641" s="451" t="s">
        <v>38579</v>
      </c>
      <c r="J10641" s="451" t="s">
        <v>22997</v>
      </c>
      <c r="K10641" s="451"/>
    </row>
    <row r="10642" spans="1:11">
      <c r="A10642" s="450" t="s">
        <v>38580</v>
      </c>
      <c r="B10642" s="450"/>
      <c r="C10642" s="450" t="s">
        <v>4462</v>
      </c>
      <c r="D10642" s="450"/>
      <c r="E10642" s="450"/>
      <c r="F10642" s="450"/>
      <c r="G10642" s="450" t="s">
        <v>22882</v>
      </c>
      <c r="H10642" s="450" t="s">
        <v>22883</v>
      </c>
      <c r="I10642" s="450"/>
      <c r="J10642" s="450" t="s">
        <v>22942</v>
      </c>
      <c r="K10642" s="450"/>
    </row>
    <row r="10643" spans="1:11">
      <c r="A10643" s="451" t="s">
        <v>17036</v>
      </c>
      <c r="B10643" s="451"/>
      <c r="C10643" s="451" t="s">
        <v>4462</v>
      </c>
      <c r="D10643" s="451"/>
      <c r="E10643" s="451"/>
      <c r="F10643" s="451"/>
      <c r="G10643" s="451"/>
      <c r="H10643" s="451"/>
      <c r="I10643" s="451"/>
      <c r="J10643" s="451"/>
      <c r="K10643" s="451"/>
    </row>
    <row r="10644" spans="1:11">
      <c r="A10644" s="450" t="s">
        <v>17037</v>
      </c>
      <c r="B10644" s="450"/>
      <c r="C10644" s="450" t="s">
        <v>17038</v>
      </c>
      <c r="D10644" s="450"/>
      <c r="E10644" s="450"/>
      <c r="F10644" s="450"/>
      <c r="G10644" s="450"/>
      <c r="H10644" s="450"/>
      <c r="I10644" s="450"/>
      <c r="J10644" s="450"/>
      <c r="K10644" s="450"/>
    </row>
    <row r="10645" spans="1:11">
      <c r="A10645" s="451" t="s">
        <v>38581</v>
      </c>
      <c r="B10645" s="451"/>
      <c r="C10645" s="451" t="s">
        <v>17038</v>
      </c>
      <c r="D10645" s="451"/>
      <c r="E10645" s="451"/>
      <c r="F10645" s="451"/>
      <c r="G10645" s="451" t="s">
        <v>22877</v>
      </c>
      <c r="H10645" s="451" t="s">
        <v>22878</v>
      </c>
      <c r="I10645" s="451" t="s">
        <v>38582</v>
      </c>
      <c r="J10645" s="451" t="s">
        <v>22943</v>
      </c>
      <c r="K10645" s="451"/>
    </row>
    <row r="10646" spans="1:11">
      <c r="A10646" s="450" t="s">
        <v>17039</v>
      </c>
      <c r="B10646" s="450"/>
      <c r="C10646" s="450" t="s">
        <v>1427</v>
      </c>
      <c r="D10646" s="450"/>
      <c r="E10646" s="450"/>
      <c r="F10646" s="450"/>
      <c r="G10646" s="450" t="s">
        <v>22877</v>
      </c>
      <c r="H10646" s="450" t="s">
        <v>22878</v>
      </c>
      <c r="I10646" s="450" t="s">
        <v>38583</v>
      </c>
      <c r="J10646" s="450" t="s">
        <v>28403</v>
      </c>
      <c r="K10646" s="450"/>
    </row>
    <row r="10647" spans="1:11">
      <c r="A10647" s="451" t="s">
        <v>38584</v>
      </c>
      <c r="B10647" s="451"/>
      <c r="C10647" s="451" t="s">
        <v>17041</v>
      </c>
      <c r="D10647" s="451"/>
      <c r="E10647" s="451"/>
      <c r="F10647" s="451"/>
      <c r="G10647" s="451" t="s">
        <v>22882</v>
      </c>
      <c r="H10647" s="451" t="s">
        <v>22883</v>
      </c>
      <c r="I10647" s="451"/>
      <c r="J10647" s="451" t="s">
        <v>22942</v>
      </c>
      <c r="K10647" s="451"/>
    </row>
    <row r="10648" spans="1:11">
      <c r="A10648" s="450" t="s">
        <v>17040</v>
      </c>
      <c r="B10648" s="450"/>
      <c r="C10648" s="450" t="s">
        <v>17041</v>
      </c>
      <c r="D10648" s="450"/>
      <c r="E10648" s="450"/>
      <c r="F10648" s="450"/>
      <c r="G10648" s="450"/>
      <c r="H10648" s="450"/>
      <c r="I10648" s="450"/>
      <c r="J10648" s="450"/>
      <c r="K10648" s="450"/>
    </row>
    <row r="10649" spans="1:11">
      <c r="A10649" s="451" t="s">
        <v>17042</v>
      </c>
      <c r="B10649" s="451"/>
      <c r="C10649" s="451" t="s">
        <v>17043</v>
      </c>
      <c r="D10649" s="451"/>
      <c r="E10649" s="451"/>
      <c r="F10649" s="451"/>
      <c r="G10649" s="451" t="s">
        <v>22882</v>
      </c>
      <c r="H10649" s="451" t="s">
        <v>22883</v>
      </c>
      <c r="I10649" s="451"/>
      <c r="J10649" s="451" t="s">
        <v>23185</v>
      </c>
      <c r="K10649" s="451"/>
    </row>
    <row r="10650" spans="1:11">
      <c r="A10650" s="450" t="s">
        <v>38585</v>
      </c>
      <c r="B10650" s="450" t="s">
        <v>17045</v>
      </c>
      <c r="C10650" s="450" t="s">
        <v>17049</v>
      </c>
      <c r="D10650" s="450" t="s">
        <v>17047</v>
      </c>
      <c r="E10650" s="450"/>
      <c r="F10650" s="450" t="s">
        <v>17051</v>
      </c>
      <c r="G10650" s="450" t="s">
        <v>22877</v>
      </c>
      <c r="H10650" s="450" t="s">
        <v>22878</v>
      </c>
      <c r="I10650" s="450" t="s">
        <v>38586</v>
      </c>
      <c r="J10650" s="450" t="s">
        <v>38587</v>
      </c>
      <c r="K10650" s="450"/>
    </row>
    <row r="10651" spans="1:11">
      <c r="A10651" s="451" t="s">
        <v>17044</v>
      </c>
      <c r="B10651" s="451" t="s">
        <v>17045</v>
      </c>
      <c r="C10651" s="451" t="s">
        <v>17046</v>
      </c>
      <c r="D10651" s="451" t="s">
        <v>17047</v>
      </c>
      <c r="E10651" s="451"/>
      <c r="F10651" s="451" t="s">
        <v>15818</v>
      </c>
      <c r="G10651" s="451" t="s">
        <v>22877</v>
      </c>
      <c r="H10651" s="451" t="s">
        <v>22878</v>
      </c>
      <c r="I10651" s="451" t="s">
        <v>17047</v>
      </c>
      <c r="J10651" s="451" t="s">
        <v>38588</v>
      </c>
      <c r="K10651" s="451"/>
    </row>
    <row r="10652" spans="1:11">
      <c r="A10652" s="450" t="s">
        <v>17048</v>
      </c>
      <c r="B10652" s="450" t="s">
        <v>17045</v>
      </c>
      <c r="C10652" s="450" t="s">
        <v>17049</v>
      </c>
      <c r="D10652" s="450" t="s">
        <v>17047</v>
      </c>
      <c r="E10652" s="450" t="s">
        <v>17050</v>
      </c>
      <c r="F10652" s="450" t="s">
        <v>17051</v>
      </c>
      <c r="G10652" s="450"/>
      <c r="H10652" s="450"/>
      <c r="I10652" s="450"/>
      <c r="J10652" s="450"/>
      <c r="K10652" s="450"/>
    </row>
    <row r="10653" spans="1:11">
      <c r="A10653" s="451" t="s">
        <v>17052</v>
      </c>
      <c r="B10653" s="451"/>
      <c r="C10653" s="451" t="s">
        <v>17053</v>
      </c>
      <c r="D10653" s="451"/>
      <c r="E10653" s="451"/>
      <c r="F10653" s="451"/>
      <c r="G10653" s="451" t="s">
        <v>22877</v>
      </c>
      <c r="H10653" s="451" t="s">
        <v>22878</v>
      </c>
      <c r="I10653" s="451" t="s">
        <v>29080</v>
      </c>
      <c r="J10653" s="451" t="s">
        <v>28403</v>
      </c>
      <c r="K10653" s="451"/>
    </row>
    <row r="10654" spans="1:11">
      <c r="A10654" s="450" t="s">
        <v>38589</v>
      </c>
      <c r="B10654" s="450" t="s">
        <v>17055</v>
      </c>
      <c r="C10654" s="450" t="s">
        <v>15111</v>
      </c>
      <c r="D10654" s="450" t="s">
        <v>17056</v>
      </c>
      <c r="E10654" s="450"/>
      <c r="F10654" s="450"/>
      <c r="G10654" s="450" t="s">
        <v>22877</v>
      </c>
      <c r="H10654" s="450" t="s">
        <v>22878</v>
      </c>
      <c r="I10654" s="450" t="s">
        <v>17056</v>
      </c>
      <c r="J10654" s="450" t="s">
        <v>38590</v>
      </c>
      <c r="K10654" s="450"/>
    </row>
    <row r="10655" spans="1:11">
      <c r="A10655" s="451" t="s">
        <v>17054</v>
      </c>
      <c r="B10655" s="451" t="s">
        <v>17055</v>
      </c>
      <c r="C10655" s="451" t="s">
        <v>15111</v>
      </c>
      <c r="D10655" s="451" t="s">
        <v>17056</v>
      </c>
      <c r="E10655" s="451" t="s">
        <v>17057</v>
      </c>
      <c r="F10655" s="451"/>
      <c r="G10655" s="451"/>
      <c r="H10655" s="451"/>
      <c r="I10655" s="451"/>
      <c r="J10655" s="451"/>
      <c r="K10655" s="451"/>
    </row>
    <row r="10656" spans="1:11">
      <c r="A10656" s="450" t="s">
        <v>38591</v>
      </c>
      <c r="B10656" s="450" t="s">
        <v>17059</v>
      </c>
      <c r="C10656" s="450" t="s">
        <v>17060</v>
      </c>
      <c r="D10656" s="450" t="s">
        <v>17061</v>
      </c>
      <c r="E10656" s="450"/>
      <c r="F10656" s="450"/>
      <c r="G10656" s="450" t="s">
        <v>22877</v>
      </c>
      <c r="H10656" s="450" t="s">
        <v>22878</v>
      </c>
      <c r="I10656" s="450" t="s">
        <v>29081</v>
      </c>
      <c r="J10656" s="450" t="s">
        <v>38592</v>
      </c>
      <c r="K10656" s="450"/>
    </row>
    <row r="10657" spans="1:11">
      <c r="A10657" s="451" t="s">
        <v>17058</v>
      </c>
      <c r="B10657" s="451" t="s">
        <v>17059</v>
      </c>
      <c r="C10657" s="451" t="s">
        <v>17060</v>
      </c>
      <c r="D10657" s="451" t="s">
        <v>17061</v>
      </c>
      <c r="E10657" s="451" t="s">
        <v>17062</v>
      </c>
      <c r="F10657" s="451"/>
      <c r="G10657" s="451"/>
      <c r="H10657" s="451"/>
      <c r="I10657" s="451"/>
      <c r="J10657" s="451"/>
      <c r="K10657" s="451"/>
    </row>
    <row r="10658" spans="1:11">
      <c r="A10658" s="450" t="s">
        <v>17063</v>
      </c>
      <c r="B10658" s="450"/>
      <c r="C10658" s="450" t="s">
        <v>10155</v>
      </c>
      <c r="D10658" s="450"/>
      <c r="E10658" s="450"/>
      <c r="F10658" s="450"/>
      <c r="G10658" s="450" t="s">
        <v>22882</v>
      </c>
      <c r="H10658" s="450" t="s">
        <v>22883</v>
      </c>
      <c r="I10658" s="450" t="s">
        <v>38593</v>
      </c>
      <c r="J10658" s="450" t="s">
        <v>22902</v>
      </c>
      <c r="K10658" s="450"/>
    </row>
    <row r="10659" spans="1:11">
      <c r="A10659" s="451" t="s">
        <v>17064</v>
      </c>
      <c r="B10659" s="451"/>
      <c r="C10659" s="451" t="s">
        <v>15275</v>
      </c>
      <c r="D10659" s="451"/>
      <c r="E10659" s="451"/>
      <c r="F10659" s="451"/>
      <c r="G10659" s="451" t="s">
        <v>22882</v>
      </c>
      <c r="H10659" s="451" t="s">
        <v>22883</v>
      </c>
      <c r="I10659" s="451" t="s">
        <v>38594</v>
      </c>
      <c r="J10659" s="451" t="s">
        <v>22997</v>
      </c>
      <c r="K10659" s="451"/>
    </row>
    <row r="10660" spans="1:11">
      <c r="A10660" s="450" t="s">
        <v>38595</v>
      </c>
      <c r="B10660" s="450"/>
      <c r="C10660" s="450" t="s">
        <v>4935</v>
      </c>
      <c r="D10660" s="450"/>
      <c r="E10660" s="450"/>
      <c r="F10660" s="450"/>
      <c r="G10660" s="450" t="s">
        <v>22877</v>
      </c>
      <c r="H10660" s="450" t="s">
        <v>22878</v>
      </c>
      <c r="I10660" s="450" t="s">
        <v>38596</v>
      </c>
      <c r="J10660" s="450" t="s">
        <v>22942</v>
      </c>
      <c r="K10660" s="450"/>
    </row>
    <row r="10661" spans="1:11">
      <c r="A10661" s="451" t="s">
        <v>17065</v>
      </c>
      <c r="B10661" s="451"/>
      <c r="C10661" s="451" t="s">
        <v>4935</v>
      </c>
      <c r="D10661" s="451"/>
      <c r="E10661" s="451"/>
      <c r="F10661" s="451"/>
      <c r="G10661" s="451"/>
      <c r="H10661" s="451"/>
      <c r="I10661" s="451"/>
      <c r="J10661" s="451"/>
      <c r="K10661" s="451"/>
    </row>
    <row r="10662" spans="1:11">
      <c r="A10662" s="450" t="s">
        <v>38597</v>
      </c>
      <c r="B10662" s="450"/>
      <c r="C10662" s="450" t="s">
        <v>17067</v>
      </c>
      <c r="D10662" s="450"/>
      <c r="E10662" s="450"/>
      <c r="F10662" s="450"/>
      <c r="G10662" s="450" t="s">
        <v>22877</v>
      </c>
      <c r="H10662" s="450" t="s">
        <v>22878</v>
      </c>
      <c r="I10662" s="450" t="s">
        <v>38598</v>
      </c>
      <c r="J10662" s="450" t="s">
        <v>22942</v>
      </c>
      <c r="K10662" s="450"/>
    </row>
    <row r="10663" spans="1:11">
      <c r="A10663" s="451" t="s">
        <v>17066</v>
      </c>
      <c r="B10663" s="451"/>
      <c r="C10663" s="451" t="s">
        <v>17067</v>
      </c>
      <c r="D10663" s="451"/>
      <c r="E10663" s="451"/>
      <c r="F10663" s="451"/>
      <c r="G10663" s="451"/>
      <c r="H10663" s="451"/>
      <c r="I10663" s="451"/>
      <c r="J10663" s="451"/>
      <c r="K10663" s="451"/>
    </row>
    <row r="10664" spans="1:11">
      <c r="A10664" s="450" t="s">
        <v>17068</v>
      </c>
      <c r="B10664" s="450"/>
      <c r="C10664" s="450" t="s">
        <v>11737</v>
      </c>
      <c r="D10664" s="450"/>
      <c r="E10664" s="450"/>
      <c r="F10664" s="450"/>
      <c r="G10664" s="450" t="s">
        <v>22882</v>
      </c>
      <c r="H10664" s="450" t="s">
        <v>22883</v>
      </c>
      <c r="I10664" s="450"/>
      <c r="J10664" s="450" t="s">
        <v>23185</v>
      </c>
      <c r="K10664" s="450"/>
    </row>
    <row r="10665" spans="1:11">
      <c r="A10665" s="451" t="s">
        <v>38599</v>
      </c>
      <c r="B10665" s="451"/>
      <c r="C10665" s="451" t="s">
        <v>10186</v>
      </c>
      <c r="D10665" s="451"/>
      <c r="E10665" s="451"/>
      <c r="F10665" s="451"/>
      <c r="G10665" s="451" t="s">
        <v>22877</v>
      </c>
      <c r="H10665" s="451" t="s">
        <v>22878</v>
      </c>
      <c r="I10665" s="451" t="s">
        <v>38600</v>
      </c>
      <c r="J10665" s="451" t="s">
        <v>22942</v>
      </c>
      <c r="K10665" s="451"/>
    </row>
    <row r="10666" spans="1:11">
      <c r="A10666" s="450" t="s">
        <v>17069</v>
      </c>
      <c r="B10666" s="450"/>
      <c r="C10666" s="450" t="s">
        <v>10186</v>
      </c>
      <c r="D10666" s="450"/>
      <c r="E10666" s="450"/>
      <c r="F10666" s="450"/>
      <c r="G10666" s="450"/>
      <c r="H10666" s="450"/>
      <c r="I10666" s="450"/>
      <c r="J10666" s="450"/>
      <c r="K10666" s="450"/>
    </row>
    <row r="10667" spans="1:11">
      <c r="A10667" s="451" t="s">
        <v>17070</v>
      </c>
      <c r="B10667" s="451" t="s">
        <v>17071</v>
      </c>
      <c r="C10667" s="451" t="s">
        <v>17072</v>
      </c>
      <c r="D10667" s="451" t="s">
        <v>17073</v>
      </c>
      <c r="E10667" s="451"/>
      <c r="F10667" s="451" t="s">
        <v>17075</v>
      </c>
      <c r="G10667" s="451" t="s">
        <v>22877</v>
      </c>
      <c r="H10667" s="451" t="s">
        <v>22878</v>
      </c>
      <c r="I10667" s="451" t="s">
        <v>17073</v>
      </c>
      <c r="J10667" s="451" t="s">
        <v>38601</v>
      </c>
      <c r="K10667" s="451"/>
    </row>
    <row r="10668" spans="1:11">
      <c r="A10668" s="450" t="s">
        <v>17070</v>
      </c>
      <c r="B10668" s="450" t="s">
        <v>17071</v>
      </c>
      <c r="C10668" s="450" t="s">
        <v>17072</v>
      </c>
      <c r="D10668" s="450" t="s">
        <v>17073</v>
      </c>
      <c r="E10668" s="450" t="s">
        <v>17074</v>
      </c>
      <c r="F10668" s="450" t="s">
        <v>17075</v>
      </c>
      <c r="G10668" s="450"/>
      <c r="H10668" s="450"/>
      <c r="I10668" s="450"/>
      <c r="J10668" s="450"/>
      <c r="K10668" s="450"/>
    </row>
    <row r="10669" spans="1:11">
      <c r="A10669" s="451" t="s">
        <v>17076</v>
      </c>
      <c r="B10669" s="451"/>
      <c r="C10669" s="451" t="s">
        <v>17077</v>
      </c>
      <c r="D10669" s="451"/>
      <c r="E10669" s="451"/>
      <c r="F10669" s="451"/>
      <c r="G10669" s="451" t="s">
        <v>22877</v>
      </c>
      <c r="H10669" s="451" t="s">
        <v>22878</v>
      </c>
      <c r="I10669" s="451" t="s">
        <v>38602</v>
      </c>
      <c r="J10669" s="451" t="s">
        <v>22997</v>
      </c>
      <c r="K10669" s="451"/>
    </row>
    <row r="10670" spans="1:11">
      <c r="A10670" s="450" t="s">
        <v>17078</v>
      </c>
      <c r="B10670" s="450"/>
      <c r="C10670" s="450" t="s">
        <v>17079</v>
      </c>
      <c r="D10670" s="450"/>
      <c r="E10670" s="450"/>
      <c r="F10670" s="450"/>
      <c r="G10670" s="450" t="s">
        <v>22882</v>
      </c>
      <c r="H10670" s="450" t="s">
        <v>22883</v>
      </c>
      <c r="I10670" s="450" t="s">
        <v>38603</v>
      </c>
      <c r="J10670" s="450" t="s">
        <v>22997</v>
      </c>
      <c r="K10670" s="450"/>
    </row>
    <row r="10671" spans="1:11">
      <c r="A10671" s="451" t="s">
        <v>21971</v>
      </c>
      <c r="B10671" s="451"/>
      <c r="C10671" s="451" t="s">
        <v>15445</v>
      </c>
      <c r="D10671" s="451"/>
      <c r="E10671" s="451"/>
      <c r="F10671" s="451"/>
      <c r="G10671" s="451" t="s">
        <v>22877</v>
      </c>
      <c r="H10671" s="451" t="s">
        <v>22878</v>
      </c>
      <c r="I10671" s="451" t="s">
        <v>38604</v>
      </c>
      <c r="J10671" s="451" t="s">
        <v>22939</v>
      </c>
      <c r="K10671" s="451"/>
    </row>
    <row r="10672" spans="1:11">
      <c r="A10672" s="450" t="s">
        <v>38605</v>
      </c>
      <c r="B10672" s="450"/>
      <c r="C10672" s="450"/>
      <c r="D10672" s="450" t="s">
        <v>17081</v>
      </c>
      <c r="E10672" s="450"/>
      <c r="F10672" s="450"/>
      <c r="G10672" s="450" t="s">
        <v>22877</v>
      </c>
      <c r="H10672" s="450" t="s">
        <v>22878</v>
      </c>
      <c r="I10672" s="450" t="s">
        <v>38606</v>
      </c>
      <c r="J10672" s="450" t="s">
        <v>38607</v>
      </c>
      <c r="K10672" s="450"/>
    </row>
    <row r="10673" spans="1:11">
      <c r="A10673" s="451" t="s">
        <v>17080</v>
      </c>
      <c r="B10673" s="451"/>
      <c r="C10673" s="451"/>
      <c r="D10673" s="451" t="s">
        <v>17081</v>
      </c>
      <c r="E10673" s="451" t="s">
        <v>17082</v>
      </c>
      <c r="F10673" s="451"/>
      <c r="G10673" s="451"/>
      <c r="H10673" s="451"/>
      <c r="I10673" s="451"/>
      <c r="J10673" s="451"/>
      <c r="K10673" s="451"/>
    </row>
    <row r="10674" spans="1:11">
      <c r="A10674" s="450" t="s">
        <v>21206</v>
      </c>
      <c r="B10674" s="450"/>
      <c r="C10674" s="450" t="s">
        <v>5496</v>
      </c>
      <c r="D10674" s="450"/>
      <c r="E10674" s="450"/>
      <c r="F10674" s="450"/>
      <c r="G10674" s="450"/>
      <c r="H10674" s="450"/>
      <c r="I10674" s="450"/>
      <c r="J10674" s="450"/>
      <c r="K10674" s="450"/>
    </row>
    <row r="10675" spans="1:11">
      <c r="A10675" s="451" t="s">
        <v>17083</v>
      </c>
      <c r="B10675" s="451"/>
      <c r="C10675" s="451" t="s">
        <v>17084</v>
      </c>
      <c r="D10675" s="451"/>
      <c r="E10675" s="451"/>
      <c r="F10675" s="451"/>
      <c r="G10675" s="451" t="s">
        <v>22877</v>
      </c>
      <c r="H10675" s="451" t="s">
        <v>22878</v>
      </c>
      <c r="I10675" s="451" t="s">
        <v>38608</v>
      </c>
      <c r="J10675" s="451" t="s">
        <v>23185</v>
      </c>
      <c r="K10675" s="451"/>
    </row>
    <row r="10676" spans="1:11">
      <c r="A10676" s="450" t="s">
        <v>38609</v>
      </c>
      <c r="B10676" s="450"/>
      <c r="C10676" s="450" t="s">
        <v>17086</v>
      </c>
      <c r="D10676" s="450"/>
      <c r="E10676" s="450"/>
      <c r="F10676" s="450"/>
      <c r="G10676" s="450" t="s">
        <v>22877</v>
      </c>
      <c r="H10676" s="450" t="s">
        <v>22878</v>
      </c>
      <c r="I10676" s="450" t="s">
        <v>38610</v>
      </c>
      <c r="J10676" s="450" t="s">
        <v>22942</v>
      </c>
      <c r="K10676" s="450"/>
    </row>
    <row r="10677" spans="1:11">
      <c r="A10677" s="451" t="s">
        <v>17085</v>
      </c>
      <c r="B10677" s="451"/>
      <c r="C10677" s="451" t="s">
        <v>17086</v>
      </c>
      <c r="D10677" s="451"/>
      <c r="E10677" s="451"/>
      <c r="F10677" s="451"/>
      <c r="G10677" s="451"/>
      <c r="H10677" s="451"/>
      <c r="I10677" s="451"/>
      <c r="J10677" s="451"/>
      <c r="K10677" s="451"/>
    </row>
    <row r="10678" spans="1:11">
      <c r="A10678" s="450" t="s">
        <v>17087</v>
      </c>
      <c r="B10678" s="450"/>
      <c r="C10678" s="450" t="s">
        <v>17084</v>
      </c>
      <c r="D10678" s="450"/>
      <c r="E10678" s="450"/>
      <c r="F10678" s="450"/>
      <c r="G10678" s="450" t="s">
        <v>22877</v>
      </c>
      <c r="H10678" s="450" t="s">
        <v>22878</v>
      </c>
      <c r="I10678" s="450" t="s">
        <v>38608</v>
      </c>
      <c r="J10678" s="450" t="s">
        <v>23185</v>
      </c>
      <c r="K10678" s="450"/>
    </row>
    <row r="10679" spans="1:11">
      <c r="A10679" s="451" t="s">
        <v>17088</v>
      </c>
      <c r="B10679" s="451"/>
      <c r="C10679" s="451" t="s">
        <v>9324</v>
      </c>
      <c r="D10679" s="451"/>
      <c r="E10679" s="451"/>
      <c r="F10679" s="451"/>
      <c r="G10679" s="451" t="s">
        <v>22882</v>
      </c>
      <c r="H10679" s="451" t="s">
        <v>22883</v>
      </c>
      <c r="I10679" s="451"/>
      <c r="J10679" s="451" t="s">
        <v>22942</v>
      </c>
      <c r="K10679" s="451"/>
    </row>
    <row r="10680" spans="1:11">
      <c r="A10680" s="450" t="s">
        <v>17089</v>
      </c>
      <c r="B10680" s="450"/>
      <c r="C10680" s="450" t="s">
        <v>2245</v>
      </c>
      <c r="D10680" s="450"/>
      <c r="E10680" s="450"/>
      <c r="F10680" s="450"/>
      <c r="G10680" s="450" t="s">
        <v>22877</v>
      </c>
      <c r="H10680" s="450" t="s">
        <v>22878</v>
      </c>
      <c r="I10680" s="450" t="s">
        <v>38611</v>
      </c>
      <c r="J10680" s="450" t="s">
        <v>23185</v>
      </c>
      <c r="K10680" s="450"/>
    </row>
    <row r="10681" spans="1:11">
      <c r="A10681" s="451" t="s">
        <v>17090</v>
      </c>
      <c r="B10681" s="451"/>
      <c r="C10681" s="451" t="s">
        <v>17091</v>
      </c>
      <c r="D10681" s="451"/>
      <c r="E10681" s="451"/>
      <c r="F10681" s="451"/>
      <c r="G10681" s="451" t="s">
        <v>22877</v>
      </c>
      <c r="H10681" s="451" t="s">
        <v>22878</v>
      </c>
      <c r="I10681" s="451" t="s">
        <v>29082</v>
      </c>
      <c r="J10681" s="451" t="s">
        <v>22942</v>
      </c>
      <c r="K10681" s="451"/>
    </row>
    <row r="10682" spans="1:11">
      <c r="A10682" s="450" t="s">
        <v>17092</v>
      </c>
      <c r="B10682" s="450" t="s">
        <v>10051</v>
      </c>
      <c r="C10682" s="450" t="s">
        <v>10052</v>
      </c>
      <c r="D10682" s="450"/>
      <c r="E10682" s="450"/>
      <c r="F10682" s="450"/>
      <c r="G10682" s="450" t="s">
        <v>22877</v>
      </c>
      <c r="H10682" s="450" t="s">
        <v>22878</v>
      </c>
      <c r="I10682" s="450" t="s">
        <v>29083</v>
      </c>
      <c r="J10682" s="450" t="s">
        <v>29084</v>
      </c>
      <c r="K10682" s="450"/>
    </row>
    <row r="10683" spans="1:11">
      <c r="A10683" s="451" t="s">
        <v>17093</v>
      </c>
      <c r="B10683" s="451" t="s">
        <v>17094</v>
      </c>
      <c r="C10683" s="451" t="s">
        <v>17095</v>
      </c>
      <c r="D10683" s="451"/>
      <c r="E10683" s="451"/>
      <c r="F10683" s="451"/>
      <c r="G10683" s="451" t="s">
        <v>22877</v>
      </c>
      <c r="H10683" s="451" t="s">
        <v>22878</v>
      </c>
      <c r="I10683" s="451" t="s">
        <v>10058</v>
      </c>
      <c r="J10683" s="451" t="s">
        <v>29085</v>
      </c>
      <c r="K10683" s="451"/>
    </row>
    <row r="10684" spans="1:11">
      <c r="A10684" s="450" t="s">
        <v>17096</v>
      </c>
      <c r="B10684" s="450"/>
      <c r="C10684" s="450" t="s">
        <v>2905</v>
      </c>
      <c r="D10684" s="450"/>
      <c r="E10684" s="450"/>
      <c r="F10684" s="450"/>
      <c r="G10684" s="450" t="s">
        <v>22877</v>
      </c>
      <c r="H10684" s="450" t="s">
        <v>22878</v>
      </c>
      <c r="I10684" s="450" t="s">
        <v>38612</v>
      </c>
      <c r="J10684" s="450" t="s">
        <v>28403</v>
      </c>
      <c r="K10684" s="450"/>
    </row>
    <row r="10685" spans="1:11">
      <c r="A10685" s="451" t="s">
        <v>38613</v>
      </c>
      <c r="B10685" s="451"/>
      <c r="C10685" s="451" t="s">
        <v>16334</v>
      </c>
      <c r="D10685" s="451"/>
      <c r="E10685" s="451"/>
      <c r="F10685" s="451"/>
      <c r="G10685" s="451" t="s">
        <v>22882</v>
      </c>
      <c r="H10685" s="451" t="s">
        <v>22883</v>
      </c>
      <c r="I10685" s="451"/>
      <c r="J10685" s="451" t="s">
        <v>22997</v>
      </c>
      <c r="K10685" s="451"/>
    </row>
    <row r="10686" spans="1:11">
      <c r="A10686" s="450" t="s">
        <v>17097</v>
      </c>
      <c r="B10686" s="450"/>
      <c r="C10686" s="450" t="s">
        <v>16334</v>
      </c>
      <c r="D10686" s="450"/>
      <c r="E10686" s="450"/>
      <c r="F10686" s="450"/>
      <c r="G10686" s="450"/>
      <c r="H10686" s="450"/>
      <c r="I10686" s="450"/>
      <c r="J10686" s="450"/>
      <c r="K10686" s="450"/>
    </row>
    <row r="10687" spans="1:11">
      <c r="A10687" s="451" t="s">
        <v>21972</v>
      </c>
      <c r="B10687" s="451"/>
      <c r="C10687" s="451" t="s">
        <v>17098</v>
      </c>
      <c r="D10687" s="451"/>
      <c r="E10687" s="451"/>
      <c r="F10687" s="451"/>
      <c r="G10687" s="451" t="s">
        <v>22877</v>
      </c>
      <c r="H10687" s="451" t="s">
        <v>22878</v>
      </c>
      <c r="I10687" s="451" t="s">
        <v>38614</v>
      </c>
      <c r="J10687" s="451" t="s">
        <v>23185</v>
      </c>
      <c r="K10687" s="451"/>
    </row>
    <row r="10688" spans="1:11">
      <c r="A10688" s="450" t="s">
        <v>17099</v>
      </c>
      <c r="B10688" s="450"/>
      <c r="C10688" s="450" t="s">
        <v>3205</v>
      </c>
      <c r="D10688" s="450"/>
      <c r="E10688" s="450"/>
      <c r="F10688" s="450"/>
      <c r="G10688" s="450" t="s">
        <v>22882</v>
      </c>
      <c r="H10688" s="450" t="s">
        <v>22883</v>
      </c>
      <c r="I10688" s="450"/>
      <c r="J10688" s="450" t="s">
        <v>22942</v>
      </c>
      <c r="K10688" s="450"/>
    </row>
    <row r="10689" spans="1:11">
      <c r="A10689" s="451" t="s">
        <v>17100</v>
      </c>
      <c r="B10689" s="451"/>
      <c r="C10689" s="451" t="s">
        <v>17101</v>
      </c>
      <c r="D10689" s="451"/>
      <c r="E10689" s="451"/>
      <c r="F10689" s="451"/>
      <c r="G10689" s="451" t="s">
        <v>22877</v>
      </c>
      <c r="H10689" s="451" t="s">
        <v>22878</v>
      </c>
      <c r="I10689" s="451" t="s">
        <v>38615</v>
      </c>
      <c r="J10689" s="451" t="s">
        <v>23185</v>
      </c>
      <c r="K10689" s="451"/>
    </row>
    <row r="10690" spans="1:11">
      <c r="A10690" s="450" t="s">
        <v>38616</v>
      </c>
      <c r="B10690" s="450"/>
      <c r="C10690" s="450" t="s">
        <v>16342</v>
      </c>
      <c r="D10690" s="450"/>
      <c r="E10690" s="450"/>
      <c r="F10690" s="450"/>
      <c r="G10690" s="450" t="s">
        <v>22877</v>
      </c>
      <c r="H10690" s="450" t="s">
        <v>22878</v>
      </c>
      <c r="I10690" s="450" t="s">
        <v>38617</v>
      </c>
      <c r="J10690" s="450" t="s">
        <v>22947</v>
      </c>
      <c r="K10690" s="450"/>
    </row>
    <row r="10691" spans="1:11">
      <c r="A10691" s="451" t="s">
        <v>20178</v>
      </c>
      <c r="B10691" s="451" t="s">
        <v>20179</v>
      </c>
      <c r="C10691" s="451" t="s">
        <v>20180</v>
      </c>
      <c r="D10691" s="451"/>
      <c r="E10691" s="451"/>
      <c r="F10691" s="451"/>
      <c r="G10691" s="451"/>
      <c r="H10691" s="451"/>
      <c r="I10691" s="451"/>
      <c r="J10691" s="451"/>
      <c r="K10691" s="451"/>
    </row>
    <row r="10692" spans="1:11">
      <c r="A10692" s="450" t="s">
        <v>20181</v>
      </c>
      <c r="B10692" s="450" t="s">
        <v>5486</v>
      </c>
      <c r="C10692" s="450" t="s">
        <v>20182</v>
      </c>
      <c r="D10692" s="450" t="s">
        <v>5853</v>
      </c>
      <c r="E10692" s="450" t="s">
        <v>5854</v>
      </c>
      <c r="F10692" s="450"/>
      <c r="G10692" s="450"/>
      <c r="H10692" s="450"/>
      <c r="I10692" s="450"/>
      <c r="J10692" s="450"/>
      <c r="K10692" s="450"/>
    </row>
    <row r="10693" spans="1:11">
      <c r="A10693" s="451" t="s">
        <v>20183</v>
      </c>
      <c r="B10693" s="451" t="s">
        <v>20184</v>
      </c>
      <c r="C10693" s="451" t="s">
        <v>20185</v>
      </c>
      <c r="D10693" s="451" t="s">
        <v>5853</v>
      </c>
      <c r="E10693" s="451" t="s">
        <v>5854</v>
      </c>
      <c r="F10693" s="451"/>
      <c r="G10693" s="451"/>
      <c r="H10693" s="451"/>
      <c r="I10693" s="451"/>
      <c r="J10693" s="451"/>
      <c r="K10693" s="451"/>
    </row>
    <row r="10694" spans="1:11">
      <c r="A10694" s="450" t="s">
        <v>20186</v>
      </c>
      <c r="B10694" s="450" t="s">
        <v>20187</v>
      </c>
      <c r="C10694" s="450" t="s">
        <v>20188</v>
      </c>
      <c r="D10694" s="450"/>
      <c r="E10694" s="450"/>
      <c r="F10694" s="450"/>
      <c r="G10694" s="450"/>
      <c r="H10694" s="450"/>
      <c r="I10694" s="450"/>
      <c r="J10694" s="450"/>
      <c r="K10694" s="450"/>
    </row>
    <row r="10695" spans="1:11">
      <c r="A10695" s="451" t="s">
        <v>17102</v>
      </c>
      <c r="B10695" s="451"/>
      <c r="C10695" s="451" t="s">
        <v>1810</v>
      </c>
      <c r="D10695" s="451"/>
      <c r="E10695" s="451"/>
      <c r="F10695" s="451"/>
      <c r="G10695" s="451" t="s">
        <v>22882</v>
      </c>
      <c r="H10695" s="451" t="s">
        <v>22883</v>
      </c>
      <c r="I10695" s="451"/>
      <c r="J10695" s="451" t="s">
        <v>23185</v>
      </c>
      <c r="K10695" s="451"/>
    </row>
    <row r="10696" spans="1:11">
      <c r="A10696" s="450" t="s">
        <v>17103</v>
      </c>
      <c r="B10696" s="450"/>
      <c r="C10696" s="450" t="s">
        <v>3522</v>
      </c>
      <c r="D10696" s="450"/>
      <c r="E10696" s="450"/>
      <c r="F10696" s="450"/>
      <c r="G10696" s="450" t="s">
        <v>22882</v>
      </c>
      <c r="H10696" s="450" t="s">
        <v>22883</v>
      </c>
      <c r="I10696" s="450"/>
      <c r="J10696" s="450" t="s">
        <v>22942</v>
      </c>
      <c r="K10696" s="450"/>
    </row>
    <row r="10697" spans="1:11">
      <c r="A10697" s="451" t="s">
        <v>21973</v>
      </c>
      <c r="B10697" s="451"/>
      <c r="C10697" s="451" t="s">
        <v>17104</v>
      </c>
      <c r="D10697" s="451"/>
      <c r="E10697" s="451"/>
      <c r="F10697" s="451"/>
      <c r="G10697" s="451" t="s">
        <v>22877</v>
      </c>
      <c r="H10697" s="451" t="s">
        <v>22878</v>
      </c>
      <c r="I10697" s="451" t="s">
        <v>38618</v>
      </c>
      <c r="J10697" s="451" t="s">
        <v>23185</v>
      </c>
      <c r="K10697" s="451"/>
    </row>
    <row r="10698" spans="1:11">
      <c r="A10698" s="450" t="s">
        <v>17105</v>
      </c>
      <c r="B10698" s="450"/>
      <c r="C10698" s="450" t="s">
        <v>11208</v>
      </c>
      <c r="D10698" s="450"/>
      <c r="E10698" s="450"/>
      <c r="F10698" s="450"/>
      <c r="G10698" s="450" t="s">
        <v>22882</v>
      </c>
      <c r="H10698" s="450" t="s">
        <v>22883</v>
      </c>
      <c r="I10698" s="450" t="s">
        <v>38619</v>
      </c>
      <c r="J10698" s="450" t="s">
        <v>23185</v>
      </c>
      <c r="K10698" s="450"/>
    </row>
    <row r="10699" spans="1:11">
      <c r="A10699" s="451" t="s">
        <v>21974</v>
      </c>
      <c r="B10699" s="451"/>
      <c r="C10699" s="451" t="s">
        <v>17106</v>
      </c>
      <c r="D10699" s="451"/>
      <c r="E10699" s="451"/>
      <c r="F10699" s="451"/>
      <c r="G10699" s="451" t="s">
        <v>22877</v>
      </c>
      <c r="H10699" s="451" t="s">
        <v>22878</v>
      </c>
      <c r="I10699" s="451" t="s">
        <v>38620</v>
      </c>
      <c r="J10699" s="451" t="s">
        <v>22997</v>
      </c>
      <c r="K10699" s="451"/>
    </row>
    <row r="10700" spans="1:11">
      <c r="A10700" s="450" t="s">
        <v>17107</v>
      </c>
      <c r="B10700" s="450"/>
      <c r="C10700" s="450" t="s">
        <v>9584</v>
      </c>
      <c r="D10700" s="450"/>
      <c r="E10700" s="450"/>
      <c r="F10700" s="450"/>
      <c r="G10700" s="450" t="s">
        <v>22877</v>
      </c>
      <c r="H10700" s="450" t="s">
        <v>22878</v>
      </c>
      <c r="I10700" s="450" t="s">
        <v>38621</v>
      </c>
      <c r="J10700" s="450" t="s">
        <v>38622</v>
      </c>
      <c r="K10700" s="450"/>
    </row>
    <row r="10701" spans="1:11">
      <c r="A10701" s="451" t="s">
        <v>38623</v>
      </c>
      <c r="B10701" s="451"/>
      <c r="C10701" s="451" t="s">
        <v>17109</v>
      </c>
      <c r="D10701" s="451"/>
      <c r="E10701" s="451"/>
      <c r="F10701" s="451"/>
      <c r="G10701" s="451" t="s">
        <v>22877</v>
      </c>
      <c r="H10701" s="451" t="s">
        <v>22878</v>
      </c>
      <c r="I10701" s="451" t="s">
        <v>38624</v>
      </c>
      <c r="J10701" s="451" t="s">
        <v>22942</v>
      </c>
      <c r="K10701" s="451"/>
    </row>
    <row r="10702" spans="1:11">
      <c r="A10702" s="450" t="s">
        <v>17108</v>
      </c>
      <c r="B10702" s="450"/>
      <c r="C10702" s="450" t="s">
        <v>17109</v>
      </c>
      <c r="D10702" s="450"/>
      <c r="E10702" s="450"/>
      <c r="F10702" s="450"/>
      <c r="G10702" s="450"/>
      <c r="H10702" s="450"/>
      <c r="I10702" s="450"/>
      <c r="J10702" s="450"/>
      <c r="K10702" s="450"/>
    </row>
    <row r="10703" spans="1:11">
      <c r="A10703" s="451" t="s">
        <v>38625</v>
      </c>
      <c r="B10703" s="451"/>
      <c r="C10703" s="451" t="s">
        <v>17111</v>
      </c>
      <c r="D10703" s="451"/>
      <c r="E10703" s="451"/>
      <c r="F10703" s="451"/>
      <c r="G10703" s="451" t="s">
        <v>22882</v>
      </c>
      <c r="H10703" s="451" t="s">
        <v>22883</v>
      </c>
      <c r="I10703" s="451"/>
      <c r="J10703" s="451" t="s">
        <v>23370</v>
      </c>
      <c r="K10703" s="451"/>
    </row>
    <row r="10704" spans="1:11">
      <c r="A10704" s="450" t="s">
        <v>17110</v>
      </c>
      <c r="B10704" s="450"/>
      <c r="C10704" s="450" t="s">
        <v>17111</v>
      </c>
      <c r="D10704" s="450"/>
      <c r="E10704" s="450"/>
      <c r="F10704" s="450"/>
      <c r="G10704" s="450"/>
      <c r="H10704" s="450"/>
      <c r="I10704" s="450"/>
      <c r="J10704" s="450"/>
      <c r="K10704" s="450"/>
    </row>
    <row r="10705" spans="1:11">
      <c r="A10705" s="451" t="s">
        <v>29086</v>
      </c>
      <c r="B10705" s="451" t="s">
        <v>29087</v>
      </c>
      <c r="C10705" s="451" t="s">
        <v>10167</v>
      </c>
      <c r="D10705" s="451"/>
      <c r="E10705" s="451"/>
      <c r="F10705" s="451"/>
      <c r="G10705" s="451" t="s">
        <v>22877</v>
      </c>
      <c r="H10705" s="451" t="s">
        <v>22878</v>
      </c>
      <c r="I10705" s="451" t="s">
        <v>29088</v>
      </c>
      <c r="J10705" s="451" t="s">
        <v>29089</v>
      </c>
      <c r="K10705" s="451"/>
    </row>
    <row r="10706" spans="1:11">
      <c r="A10706" s="450" t="s">
        <v>17112</v>
      </c>
      <c r="B10706" s="450" t="s">
        <v>17113</v>
      </c>
      <c r="C10706" s="450" t="s">
        <v>2168</v>
      </c>
      <c r="D10706" s="450" t="s">
        <v>17114</v>
      </c>
      <c r="E10706" s="450"/>
      <c r="F10706" s="450"/>
      <c r="G10706" s="450" t="s">
        <v>22882</v>
      </c>
      <c r="H10706" s="450" t="s">
        <v>22883</v>
      </c>
      <c r="I10706" s="450" t="s">
        <v>17114</v>
      </c>
      <c r="J10706" s="450" t="s">
        <v>38626</v>
      </c>
      <c r="K10706" s="450"/>
    </row>
    <row r="10707" spans="1:11">
      <c r="A10707" s="451" t="s">
        <v>17112</v>
      </c>
      <c r="B10707" s="451" t="s">
        <v>17113</v>
      </c>
      <c r="C10707" s="451" t="s">
        <v>2168</v>
      </c>
      <c r="D10707" s="451" t="s">
        <v>17114</v>
      </c>
      <c r="E10707" s="451" t="s">
        <v>17115</v>
      </c>
      <c r="F10707" s="451"/>
      <c r="G10707" s="451"/>
      <c r="H10707" s="451"/>
      <c r="I10707" s="451"/>
      <c r="J10707" s="451"/>
      <c r="K10707" s="451"/>
    </row>
    <row r="10708" spans="1:11">
      <c r="A10708" s="450" t="s">
        <v>17116</v>
      </c>
      <c r="B10708" s="450"/>
      <c r="C10708" s="450" t="s">
        <v>9308</v>
      </c>
      <c r="D10708" s="450"/>
      <c r="E10708" s="450"/>
      <c r="F10708" s="450"/>
      <c r="G10708" s="450" t="s">
        <v>22877</v>
      </c>
      <c r="H10708" s="450" t="s">
        <v>22878</v>
      </c>
      <c r="I10708" s="450" t="s">
        <v>29090</v>
      </c>
      <c r="J10708" s="450" t="s">
        <v>22942</v>
      </c>
      <c r="K10708" s="450"/>
    </row>
    <row r="10709" spans="1:11">
      <c r="A10709" s="451" t="s">
        <v>38627</v>
      </c>
      <c r="B10709" s="451" t="s">
        <v>9358</v>
      </c>
      <c r="C10709" s="451" t="s">
        <v>17118</v>
      </c>
      <c r="D10709" s="451" t="s">
        <v>9360</v>
      </c>
      <c r="E10709" s="451"/>
      <c r="F10709" s="451"/>
      <c r="G10709" s="451" t="s">
        <v>22877</v>
      </c>
      <c r="H10709" s="451" t="s">
        <v>22878</v>
      </c>
      <c r="I10709" s="451" t="s">
        <v>9360</v>
      </c>
      <c r="J10709" s="451" t="s">
        <v>38628</v>
      </c>
      <c r="K10709" s="451"/>
    </row>
    <row r="10710" spans="1:11">
      <c r="A10710" s="450" t="s">
        <v>17117</v>
      </c>
      <c r="B10710" s="450" t="s">
        <v>9358</v>
      </c>
      <c r="C10710" s="450" t="s">
        <v>17118</v>
      </c>
      <c r="D10710" s="450" t="s">
        <v>9360</v>
      </c>
      <c r="E10710" s="450" t="s">
        <v>17119</v>
      </c>
      <c r="F10710" s="450"/>
      <c r="G10710" s="450"/>
      <c r="H10710" s="450"/>
      <c r="I10710" s="450"/>
      <c r="J10710" s="450"/>
      <c r="K10710" s="450"/>
    </row>
    <row r="10711" spans="1:11">
      <c r="A10711" s="451" t="s">
        <v>29091</v>
      </c>
      <c r="B10711" s="451" t="s">
        <v>29092</v>
      </c>
      <c r="C10711" s="451" t="s">
        <v>29093</v>
      </c>
      <c r="D10711" s="451"/>
      <c r="E10711" s="451"/>
      <c r="F10711" s="451"/>
      <c r="G10711" s="451" t="s">
        <v>22877</v>
      </c>
      <c r="H10711" s="451" t="s">
        <v>22878</v>
      </c>
      <c r="I10711" s="451" t="s">
        <v>29094</v>
      </c>
      <c r="J10711" s="451" t="s">
        <v>29095</v>
      </c>
      <c r="K10711" s="451"/>
    </row>
    <row r="10712" spans="1:11">
      <c r="A10712" s="450" t="s">
        <v>38629</v>
      </c>
      <c r="B10712" s="450" t="s">
        <v>17121</v>
      </c>
      <c r="C10712" s="450" t="s">
        <v>14299</v>
      </c>
      <c r="D10712" s="450" t="s">
        <v>17122</v>
      </c>
      <c r="E10712" s="450"/>
      <c r="F10712" s="450"/>
      <c r="G10712" s="450" t="s">
        <v>22877</v>
      </c>
      <c r="H10712" s="450" t="s">
        <v>22878</v>
      </c>
      <c r="I10712" s="450" t="s">
        <v>38630</v>
      </c>
      <c r="J10712" s="450" t="s">
        <v>38631</v>
      </c>
      <c r="K10712" s="450"/>
    </row>
    <row r="10713" spans="1:11">
      <c r="A10713" s="451" t="s">
        <v>17120</v>
      </c>
      <c r="B10713" s="451" t="s">
        <v>17121</v>
      </c>
      <c r="C10713" s="451" t="s">
        <v>14299</v>
      </c>
      <c r="D10713" s="451" t="s">
        <v>17122</v>
      </c>
      <c r="E10713" s="451"/>
      <c r="F10713" s="451"/>
      <c r="G10713" s="451"/>
      <c r="H10713" s="451"/>
      <c r="I10713" s="451"/>
      <c r="J10713" s="451"/>
      <c r="K10713" s="451"/>
    </row>
    <row r="10714" spans="1:11">
      <c r="A10714" s="450" t="s">
        <v>29096</v>
      </c>
      <c r="B10714" s="450" t="s">
        <v>29097</v>
      </c>
      <c r="C10714" s="450" t="s">
        <v>29098</v>
      </c>
      <c r="D10714" s="450"/>
      <c r="E10714" s="450"/>
      <c r="F10714" s="450"/>
      <c r="G10714" s="450" t="s">
        <v>22877</v>
      </c>
      <c r="H10714" s="450" t="s">
        <v>22878</v>
      </c>
      <c r="I10714" s="450" t="s">
        <v>29099</v>
      </c>
      <c r="J10714" s="450" t="s">
        <v>29100</v>
      </c>
      <c r="K10714" s="450"/>
    </row>
    <row r="10715" spans="1:11">
      <c r="A10715" s="451" t="s">
        <v>38632</v>
      </c>
      <c r="B10715" s="451"/>
      <c r="C10715" s="451" t="s">
        <v>16344</v>
      </c>
      <c r="D10715" s="451"/>
      <c r="E10715" s="451"/>
      <c r="F10715" s="451"/>
      <c r="G10715" s="451" t="s">
        <v>22877</v>
      </c>
      <c r="H10715" s="451" t="s">
        <v>22878</v>
      </c>
      <c r="I10715" s="451" t="s">
        <v>38633</v>
      </c>
      <c r="J10715" s="451" t="s">
        <v>23185</v>
      </c>
      <c r="K10715" s="451"/>
    </row>
    <row r="10716" spans="1:11">
      <c r="A10716" s="450" t="s">
        <v>17123</v>
      </c>
      <c r="B10716" s="450"/>
      <c r="C10716" s="450" t="s">
        <v>7403</v>
      </c>
      <c r="D10716" s="450"/>
      <c r="E10716" s="450"/>
      <c r="F10716" s="450"/>
      <c r="G10716" s="450"/>
      <c r="H10716" s="450"/>
      <c r="I10716" s="450"/>
      <c r="J10716" s="450"/>
      <c r="K10716" s="450"/>
    </row>
    <row r="10717" spans="1:11">
      <c r="A10717" s="451" t="s">
        <v>17124</v>
      </c>
      <c r="B10717" s="451"/>
      <c r="C10717" s="451" t="s">
        <v>9906</v>
      </c>
      <c r="D10717" s="451"/>
      <c r="E10717" s="451"/>
      <c r="F10717" s="451"/>
      <c r="G10717" s="451"/>
      <c r="H10717" s="451"/>
      <c r="I10717" s="451"/>
      <c r="J10717" s="451"/>
      <c r="K10717" s="451"/>
    </row>
    <row r="10718" spans="1:11">
      <c r="A10718" s="450" t="s">
        <v>17125</v>
      </c>
      <c r="B10718" s="450"/>
      <c r="C10718" s="450" t="s">
        <v>17126</v>
      </c>
      <c r="D10718" s="450"/>
      <c r="E10718" s="450"/>
      <c r="F10718" s="450"/>
      <c r="G10718" s="450"/>
      <c r="H10718" s="450"/>
      <c r="I10718" s="450"/>
      <c r="J10718" s="450"/>
      <c r="K10718" s="450"/>
    </row>
    <row r="10719" spans="1:11">
      <c r="A10719" s="451" t="s">
        <v>17127</v>
      </c>
      <c r="B10719" s="451"/>
      <c r="C10719" s="451" t="s">
        <v>17128</v>
      </c>
      <c r="D10719" s="451"/>
      <c r="E10719" s="451"/>
      <c r="F10719" s="451"/>
      <c r="G10719" s="451"/>
      <c r="H10719" s="451"/>
      <c r="I10719" s="451"/>
      <c r="J10719" s="451"/>
      <c r="K10719" s="451"/>
    </row>
    <row r="10720" spans="1:11">
      <c r="A10720" s="450" t="s">
        <v>17129</v>
      </c>
      <c r="B10720" s="450"/>
      <c r="C10720" s="450" t="s">
        <v>1654</v>
      </c>
      <c r="D10720" s="450"/>
      <c r="E10720" s="450"/>
      <c r="F10720" s="450"/>
      <c r="G10720" s="450" t="s">
        <v>22882</v>
      </c>
      <c r="H10720" s="450" t="s">
        <v>22883</v>
      </c>
      <c r="I10720" s="450" t="s">
        <v>29101</v>
      </c>
      <c r="J10720" s="450" t="s">
        <v>22997</v>
      </c>
      <c r="K10720" s="450"/>
    </row>
    <row r="10721" spans="1:11">
      <c r="A10721" s="451" t="s">
        <v>29102</v>
      </c>
      <c r="B10721" s="451" t="s">
        <v>29103</v>
      </c>
      <c r="C10721" s="451" t="s">
        <v>29104</v>
      </c>
      <c r="D10721" s="451"/>
      <c r="E10721" s="451"/>
      <c r="F10721" s="451"/>
      <c r="G10721" s="451" t="s">
        <v>22877</v>
      </c>
      <c r="H10721" s="451" t="s">
        <v>22878</v>
      </c>
      <c r="I10721" s="451" t="s">
        <v>29105</v>
      </c>
      <c r="J10721" s="451" t="s">
        <v>29106</v>
      </c>
      <c r="K10721" s="451"/>
    </row>
    <row r="10722" spans="1:11">
      <c r="A10722" s="450" t="s">
        <v>17130</v>
      </c>
      <c r="B10722" s="450"/>
      <c r="C10722" s="450" t="s">
        <v>4703</v>
      </c>
      <c r="D10722" s="450"/>
      <c r="E10722" s="450"/>
      <c r="F10722" s="450"/>
      <c r="G10722" s="450" t="s">
        <v>22882</v>
      </c>
      <c r="H10722" s="450" t="s">
        <v>22883</v>
      </c>
      <c r="I10722" s="450"/>
      <c r="J10722" s="450" t="s">
        <v>22997</v>
      </c>
      <c r="K10722" s="450"/>
    </row>
    <row r="10723" spans="1:11">
      <c r="A10723" s="451" t="s">
        <v>17131</v>
      </c>
      <c r="B10723" s="451"/>
      <c r="C10723" s="451" t="s">
        <v>17132</v>
      </c>
      <c r="D10723" s="451"/>
      <c r="E10723" s="451"/>
      <c r="F10723" s="451"/>
      <c r="G10723" s="451" t="s">
        <v>38634</v>
      </c>
      <c r="H10723" s="451" t="s">
        <v>22878</v>
      </c>
      <c r="I10723" s="451"/>
      <c r="J10723" s="451" t="s">
        <v>23183</v>
      </c>
      <c r="K10723" s="451"/>
    </row>
    <row r="10724" spans="1:11">
      <c r="A10724" s="450" t="s">
        <v>17133</v>
      </c>
      <c r="B10724" s="450"/>
      <c r="C10724" s="450" t="s">
        <v>17134</v>
      </c>
      <c r="D10724" s="450"/>
      <c r="E10724" s="450"/>
      <c r="F10724" s="450"/>
      <c r="G10724" s="450" t="s">
        <v>22877</v>
      </c>
      <c r="H10724" s="450" t="s">
        <v>22878</v>
      </c>
      <c r="I10724" s="450" t="s">
        <v>29107</v>
      </c>
      <c r="J10724" s="450" t="s">
        <v>22942</v>
      </c>
      <c r="K10724" s="450"/>
    </row>
    <row r="10725" spans="1:11">
      <c r="A10725" s="451" t="s">
        <v>17135</v>
      </c>
      <c r="B10725" s="451" t="s">
        <v>17136</v>
      </c>
      <c r="C10725" s="451" t="s">
        <v>17137</v>
      </c>
      <c r="D10725" s="451" t="s">
        <v>17138</v>
      </c>
      <c r="E10725" s="451"/>
      <c r="F10725" s="451"/>
      <c r="G10725" s="451" t="s">
        <v>22877</v>
      </c>
      <c r="H10725" s="451" t="s">
        <v>22878</v>
      </c>
      <c r="I10725" s="451" t="s">
        <v>29108</v>
      </c>
      <c r="J10725" s="451" t="s">
        <v>29109</v>
      </c>
      <c r="K10725" s="451"/>
    </row>
    <row r="10726" spans="1:11">
      <c r="A10726" s="450" t="s">
        <v>17135</v>
      </c>
      <c r="B10726" s="450" t="s">
        <v>17136</v>
      </c>
      <c r="C10726" s="450" t="s">
        <v>17137</v>
      </c>
      <c r="D10726" s="450" t="s">
        <v>17138</v>
      </c>
      <c r="E10726" s="450" t="s">
        <v>17139</v>
      </c>
      <c r="F10726" s="450"/>
      <c r="G10726" s="450"/>
      <c r="H10726" s="450"/>
      <c r="I10726" s="450"/>
      <c r="J10726" s="450"/>
      <c r="K10726" s="450"/>
    </row>
    <row r="10727" spans="1:11">
      <c r="A10727" s="451" t="s">
        <v>17140</v>
      </c>
      <c r="B10727" s="451"/>
      <c r="C10727" s="451" t="s">
        <v>9278</v>
      </c>
      <c r="D10727" s="451"/>
      <c r="E10727" s="451"/>
      <c r="F10727" s="451"/>
      <c r="G10727" s="451" t="s">
        <v>22882</v>
      </c>
      <c r="H10727" s="451" t="s">
        <v>22883</v>
      </c>
      <c r="I10727" s="451"/>
      <c r="J10727" s="451" t="s">
        <v>23185</v>
      </c>
      <c r="K10727" s="451"/>
    </row>
    <row r="10728" spans="1:11">
      <c r="A10728" s="450" t="s">
        <v>30062</v>
      </c>
      <c r="B10728" s="450" t="s">
        <v>30063</v>
      </c>
      <c r="C10728" s="450" t="s">
        <v>30064</v>
      </c>
      <c r="D10728" s="450"/>
      <c r="E10728" s="450"/>
      <c r="F10728" s="450"/>
      <c r="G10728" s="450"/>
      <c r="H10728" s="450"/>
      <c r="I10728" s="450"/>
      <c r="J10728" s="450"/>
      <c r="K10728" s="450"/>
    </row>
    <row r="10729" spans="1:11">
      <c r="A10729" s="451" t="s">
        <v>17141</v>
      </c>
      <c r="B10729" s="451"/>
      <c r="C10729" s="451" t="s">
        <v>17142</v>
      </c>
      <c r="D10729" s="451"/>
      <c r="E10729" s="451"/>
      <c r="F10729" s="451"/>
      <c r="G10729" s="451" t="s">
        <v>22877</v>
      </c>
      <c r="H10729" s="451" t="s">
        <v>22878</v>
      </c>
      <c r="I10729" s="451" t="s">
        <v>38635</v>
      </c>
      <c r="J10729" s="451" t="s">
        <v>22997</v>
      </c>
      <c r="K10729" s="451"/>
    </row>
    <row r="10730" spans="1:11">
      <c r="A10730" s="450" t="s">
        <v>17143</v>
      </c>
      <c r="B10730" s="450"/>
      <c r="C10730" s="450" t="s">
        <v>16949</v>
      </c>
      <c r="D10730" s="450"/>
      <c r="E10730" s="450"/>
      <c r="F10730" s="450"/>
      <c r="G10730" s="450" t="s">
        <v>22877</v>
      </c>
      <c r="H10730" s="450" t="s">
        <v>22878</v>
      </c>
      <c r="I10730" s="450" t="s">
        <v>38636</v>
      </c>
      <c r="J10730" s="450" t="s">
        <v>23185</v>
      </c>
      <c r="K10730" s="450"/>
    </row>
    <row r="10731" spans="1:11">
      <c r="A10731" s="451" t="s">
        <v>17144</v>
      </c>
      <c r="B10731" s="451"/>
      <c r="C10731" s="451" t="s">
        <v>17145</v>
      </c>
      <c r="D10731" s="451"/>
      <c r="E10731" s="451"/>
      <c r="F10731" s="451"/>
      <c r="G10731" s="451" t="s">
        <v>22877</v>
      </c>
      <c r="H10731" s="451" t="s">
        <v>22878</v>
      </c>
      <c r="I10731" s="451" t="s">
        <v>38637</v>
      </c>
      <c r="J10731" s="451" t="s">
        <v>23185</v>
      </c>
      <c r="K10731" s="451"/>
    </row>
    <row r="10732" spans="1:11">
      <c r="A10732" s="450" t="s">
        <v>38638</v>
      </c>
      <c r="B10732" s="450"/>
      <c r="C10732" s="450" t="s">
        <v>17147</v>
      </c>
      <c r="D10732" s="450"/>
      <c r="E10732" s="450"/>
      <c r="F10732" s="450"/>
      <c r="G10732" s="450" t="s">
        <v>22882</v>
      </c>
      <c r="H10732" s="450" t="s">
        <v>22883</v>
      </c>
      <c r="I10732" s="450"/>
      <c r="J10732" s="450" t="s">
        <v>22942</v>
      </c>
      <c r="K10732" s="450"/>
    </row>
    <row r="10733" spans="1:11">
      <c r="A10733" s="451" t="s">
        <v>17146</v>
      </c>
      <c r="B10733" s="451"/>
      <c r="C10733" s="451" t="s">
        <v>17147</v>
      </c>
      <c r="D10733" s="451"/>
      <c r="E10733" s="451"/>
      <c r="F10733" s="451"/>
      <c r="G10733" s="451"/>
      <c r="H10733" s="451"/>
      <c r="I10733" s="451"/>
      <c r="J10733" s="451"/>
      <c r="K10733" s="451"/>
    </row>
    <row r="10734" spans="1:11">
      <c r="A10734" s="450" t="s">
        <v>17148</v>
      </c>
      <c r="B10734" s="450"/>
      <c r="C10734" s="450" t="s">
        <v>17149</v>
      </c>
      <c r="D10734" s="450"/>
      <c r="E10734" s="450"/>
      <c r="F10734" s="450"/>
      <c r="G10734" s="450" t="s">
        <v>22877</v>
      </c>
      <c r="H10734" s="450" t="s">
        <v>22878</v>
      </c>
      <c r="I10734" s="450" t="s">
        <v>29110</v>
      </c>
      <c r="J10734" s="450" t="s">
        <v>22997</v>
      </c>
      <c r="K10734" s="450"/>
    </row>
    <row r="10735" spans="1:11">
      <c r="A10735" s="451" t="s">
        <v>32015</v>
      </c>
      <c r="B10735" s="451" t="s">
        <v>29111</v>
      </c>
      <c r="C10735" s="451" t="s">
        <v>29112</v>
      </c>
      <c r="D10735" s="451"/>
      <c r="E10735" s="451"/>
      <c r="F10735" s="451"/>
      <c r="G10735" s="451" t="s">
        <v>22877</v>
      </c>
      <c r="H10735" s="451" t="s">
        <v>22878</v>
      </c>
      <c r="I10735" s="451"/>
      <c r="J10735" s="451" t="s">
        <v>29113</v>
      </c>
      <c r="K10735" s="451"/>
    </row>
    <row r="10736" spans="1:11">
      <c r="A10736" s="450" t="s">
        <v>17150</v>
      </c>
      <c r="B10736" s="450"/>
      <c r="C10736" s="450" t="s">
        <v>17151</v>
      </c>
      <c r="D10736" s="450"/>
      <c r="E10736" s="450"/>
      <c r="F10736" s="450"/>
      <c r="G10736" s="450" t="s">
        <v>22877</v>
      </c>
      <c r="H10736" s="450" t="s">
        <v>22878</v>
      </c>
      <c r="I10736" s="450" t="s">
        <v>29114</v>
      </c>
      <c r="J10736" s="450" t="s">
        <v>23185</v>
      </c>
      <c r="K10736" s="450"/>
    </row>
    <row r="10737" spans="1:11">
      <c r="A10737" s="451" t="s">
        <v>21975</v>
      </c>
      <c r="B10737" s="451" t="s">
        <v>17152</v>
      </c>
      <c r="C10737" s="451" t="s">
        <v>5243</v>
      </c>
      <c r="D10737" s="451" t="s">
        <v>17153</v>
      </c>
      <c r="E10737" s="451"/>
      <c r="F10737" s="451"/>
      <c r="G10737" s="451" t="s">
        <v>22877</v>
      </c>
      <c r="H10737" s="451" t="s">
        <v>22878</v>
      </c>
      <c r="I10737" s="451" t="s">
        <v>17153</v>
      </c>
      <c r="J10737" s="451" t="s">
        <v>38639</v>
      </c>
      <c r="K10737" s="451"/>
    </row>
    <row r="10738" spans="1:11">
      <c r="A10738" s="450" t="s">
        <v>21975</v>
      </c>
      <c r="B10738" s="450" t="s">
        <v>17152</v>
      </c>
      <c r="C10738" s="450" t="s">
        <v>5243</v>
      </c>
      <c r="D10738" s="450" t="s">
        <v>17153</v>
      </c>
      <c r="E10738" s="450" t="s">
        <v>17154</v>
      </c>
      <c r="F10738" s="450"/>
      <c r="G10738" s="450"/>
      <c r="H10738" s="450"/>
      <c r="I10738" s="450"/>
      <c r="J10738" s="450"/>
      <c r="K10738" s="450"/>
    </row>
    <row r="10739" spans="1:11">
      <c r="A10739" s="451" t="s">
        <v>17155</v>
      </c>
      <c r="B10739" s="451"/>
      <c r="C10739" s="451" t="s">
        <v>3127</v>
      </c>
      <c r="D10739" s="451"/>
      <c r="E10739" s="451"/>
      <c r="F10739" s="451"/>
      <c r="G10739" s="451" t="s">
        <v>22877</v>
      </c>
      <c r="H10739" s="451" t="s">
        <v>22878</v>
      </c>
      <c r="I10739" s="451" t="s">
        <v>38640</v>
      </c>
      <c r="J10739" s="451" t="s">
        <v>28403</v>
      </c>
      <c r="K10739" s="451"/>
    </row>
    <row r="10740" spans="1:11">
      <c r="A10740" s="450" t="s">
        <v>17156</v>
      </c>
      <c r="B10740" s="450"/>
      <c r="C10740" s="450" t="s">
        <v>17157</v>
      </c>
      <c r="D10740" s="450"/>
      <c r="E10740" s="450"/>
      <c r="F10740" s="450"/>
      <c r="G10740" s="450"/>
      <c r="H10740" s="450"/>
      <c r="I10740" s="450"/>
      <c r="J10740" s="450"/>
      <c r="K10740" s="450"/>
    </row>
    <row r="10741" spans="1:11">
      <c r="A10741" s="451" t="s">
        <v>29115</v>
      </c>
      <c r="B10741" s="451"/>
      <c r="C10741" s="451" t="s">
        <v>17157</v>
      </c>
      <c r="D10741" s="451"/>
      <c r="E10741" s="451"/>
      <c r="F10741" s="451"/>
      <c r="G10741" s="451" t="s">
        <v>22882</v>
      </c>
      <c r="H10741" s="451" t="s">
        <v>22883</v>
      </c>
      <c r="I10741" s="451" t="s">
        <v>29116</v>
      </c>
      <c r="J10741" s="451" t="s">
        <v>28403</v>
      </c>
      <c r="K10741" s="451"/>
    </row>
    <row r="10742" spans="1:11">
      <c r="A10742" s="450" t="s">
        <v>17158</v>
      </c>
      <c r="B10742" s="450" t="s">
        <v>17159</v>
      </c>
      <c r="C10742" s="450" t="s">
        <v>17160</v>
      </c>
      <c r="D10742" s="450"/>
      <c r="E10742" s="450"/>
      <c r="F10742" s="450"/>
      <c r="G10742" s="450" t="s">
        <v>22877</v>
      </c>
      <c r="H10742" s="450" t="s">
        <v>22878</v>
      </c>
      <c r="I10742" s="450" t="s">
        <v>29117</v>
      </c>
      <c r="J10742" s="450" t="s">
        <v>29118</v>
      </c>
      <c r="K10742" s="450"/>
    </row>
    <row r="10743" spans="1:11">
      <c r="A10743" s="451" t="s">
        <v>17161</v>
      </c>
      <c r="B10743" s="451"/>
      <c r="C10743" s="451" t="s">
        <v>17162</v>
      </c>
      <c r="D10743" s="451"/>
      <c r="E10743" s="451"/>
      <c r="F10743" s="451"/>
      <c r="G10743" s="451" t="s">
        <v>22877</v>
      </c>
      <c r="H10743" s="451" t="s">
        <v>22878</v>
      </c>
      <c r="I10743" s="451" t="s">
        <v>38641</v>
      </c>
      <c r="J10743" s="451" t="s">
        <v>28403</v>
      </c>
      <c r="K10743" s="451"/>
    </row>
    <row r="10744" spans="1:11">
      <c r="A10744" s="450" t="s">
        <v>17163</v>
      </c>
      <c r="B10744" s="450" t="s">
        <v>38642</v>
      </c>
      <c r="C10744" s="450" t="s">
        <v>7418</v>
      </c>
      <c r="D10744" s="450" t="s">
        <v>17165</v>
      </c>
      <c r="E10744" s="450" t="s">
        <v>17166</v>
      </c>
      <c r="F10744" s="450"/>
      <c r="G10744" s="450"/>
      <c r="H10744" s="450"/>
      <c r="I10744" s="450"/>
      <c r="J10744" s="450"/>
      <c r="K10744" s="450"/>
    </row>
    <row r="10745" spans="1:11">
      <c r="A10745" s="451" t="s">
        <v>17167</v>
      </c>
      <c r="B10745" s="451"/>
      <c r="C10745" s="451" t="s">
        <v>1022</v>
      </c>
      <c r="D10745" s="451"/>
      <c r="E10745" s="451"/>
      <c r="F10745" s="451"/>
      <c r="G10745" s="451" t="s">
        <v>22882</v>
      </c>
      <c r="H10745" s="451" t="s">
        <v>22883</v>
      </c>
      <c r="I10745" s="451"/>
      <c r="J10745" s="451" t="s">
        <v>22997</v>
      </c>
      <c r="K10745" s="451"/>
    </row>
    <row r="10746" spans="1:11">
      <c r="A10746" s="450" t="s">
        <v>29119</v>
      </c>
      <c r="B10746" s="450" t="s">
        <v>29120</v>
      </c>
      <c r="C10746" s="450" t="s">
        <v>7418</v>
      </c>
      <c r="D10746" s="450" t="s">
        <v>17165</v>
      </c>
      <c r="E10746" s="450"/>
      <c r="F10746" s="450"/>
      <c r="G10746" s="450" t="s">
        <v>22877</v>
      </c>
      <c r="H10746" s="450" t="s">
        <v>22878</v>
      </c>
      <c r="I10746" s="450" t="s">
        <v>23389</v>
      </c>
      <c r="J10746" s="450" t="s">
        <v>29121</v>
      </c>
      <c r="K10746" s="450"/>
    </row>
    <row r="10747" spans="1:11">
      <c r="A10747" s="451" t="s">
        <v>17168</v>
      </c>
      <c r="B10747" s="451"/>
      <c r="C10747" s="451" t="s">
        <v>2106</v>
      </c>
      <c r="D10747" s="451"/>
      <c r="E10747" s="451"/>
      <c r="F10747" s="451"/>
      <c r="G10747" s="451" t="s">
        <v>22882</v>
      </c>
      <c r="H10747" s="451" t="s">
        <v>22883</v>
      </c>
      <c r="I10747" s="451"/>
      <c r="J10747" s="451" t="s">
        <v>22942</v>
      </c>
      <c r="K10747" s="451"/>
    </row>
    <row r="10748" spans="1:11">
      <c r="A10748" s="450" t="s">
        <v>17169</v>
      </c>
      <c r="B10748" s="450"/>
      <c r="C10748" s="450" t="s">
        <v>17170</v>
      </c>
      <c r="D10748" s="450"/>
      <c r="E10748" s="450"/>
      <c r="F10748" s="450"/>
      <c r="G10748" s="450" t="s">
        <v>22882</v>
      </c>
      <c r="H10748" s="450" t="s">
        <v>22883</v>
      </c>
      <c r="I10748" s="450"/>
      <c r="J10748" s="450" t="s">
        <v>23185</v>
      </c>
      <c r="K10748" s="450"/>
    </row>
    <row r="10749" spans="1:11">
      <c r="A10749" s="451" t="s">
        <v>17171</v>
      </c>
      <c r="B10749" s="451"/>
      <c r="C10749" s="451" t="s">
        <v>17172</v>
      </c>
      <c r="D10749" s="451"/>
      <c r="E10749" s="451"/>
      <c r="F10749" s="451"/>
      <c r="G10749" s="451" t="s">
        <v>22882</v>
      </c>
      <c r="H10749" s="451" t="s">
        <v>22883</v>
      </c>
      <c r="I10749" s="451" t="s">
        <v>38643</v>
      </c>
      <c r="J10749" s="451" t="s">
        <v>22942</v>
      </c>
      <c r="K10749" s="451"/>
    </row>
    <row r="10750" spans="1:11">
      <c r="A10750" s="450" t="s">
        <v>17173</v>
      </c>
      <c r="B10750" s="450"/>
      <c r="C10750" s="450" t="s">
        <v>15371</v>
      </c>
      <c r="D10750" s="450"/>
      <c r="E10750" s="450"/>
      <c r="F10750" s="450"/>
      <c r="G10750" s="450" t="s">
        <v>22877</v>
      </c>
      <c r="H10750" s="450" t="s">
        <v>22878</v>
      </c>
      <c r="I10750" s="450" t="s">
        <v>38644</v>
      </c>
      <c r="J10750" s="450" t="s">
        <v>22942</v>
      </c>
      <c r="K10750" s="450"/>
    </row>
    <row r="10751" spans="1:11">
      <c r="A10751" s="451" t="s">
        <v>38645</v>
      </c>
      <c r="B10751" s="451"/>
      <c r="C10751" s="451" t="s">
        <v>2548</v>
      </c>
      <c r="D10751" s="451"/>
      <c r="E10751" s="451"/>
      <c r="F10751" s="451"/>
      <c r="G10751" s="451" t="s">
        <v>22882</v>
      </c>
      <c r="H10751" s="451" t="s">
        <v>22883</v>
      </c>
      <c r="I10751" s="451" t="s">
        <v>38646</v>
      </c>
      <c r="J10751" s="451" t="s">
        <v>28403</v>
      </c>
      <c r="K10751" s="451"/>
    </row>
    <row r="10752" spans="1:11">
      <c r="A10752" s="450" t="s">
        <v>17174</v>
      </c>
      <c r="B10752" s="450"/>
      <c r="C10752" s="450" t="s">
        <v>2548</v>
      </c>
      <c r="D10752" s="450"/>
      <c r="E10752" s="450"/>
      <c r="F10752" s="450"/>
      <c r="G10752" s="450"/>
      <c r="H10752" s="450"/>
      <c r="I10752" s="450"/>
      <c r="J10752" s="450"/>
      <c r="K10752" s="450"/>
    </row>
    <row r="10753" spans="1:11">
      <c r="A10753" s="451" t="s">
        <v>17175</v>
      </c>
      <c r="B10753" s="451" t="s">
        <v>17176</v>
      </c>
      <c r="C10753" s="451" t="s">
        <v>17177</v>
      </c>
      <c r="D10753" s="451" t="s">
        <v>17178</v>
      </c>
      <c r="E10753" s="451"/>
      <c r="F10753" s="451" t="s">
        <v>17179</v>
      </c>
      <c r="G10753" s="451" t="s">
        <v>22877</v>
      </c>
      <c r="H10753" s="451" t="s">
        <v>22878</v>
      </c>
      <c r="I10753" s="451"/>
      <c r="J10753" s="451" t="s">
        <v>38647</v>
      </c>
      <c r="K10753" s="451"/>
    </row>
    <row r="10754" spans="1:11">
      <c r="A10754" s="450" t="s">
        <v>38648</v>
      </c>
      <c r="B10754" s="450"/>
      <c r="C10754" s="450" t="s">
        <v>1213</v>
      </c>
      <c r="D10754" s="450"/>
      <c r="E10754" s="450"/>
      <c r="F10754" s="450"/>
      <c r="G10754" s="450" t="s">
        <v>22877</v>
      </c>
      <c r="H10754" s="450" t="s">
        <v>22878</v>
      </c>
      <c r="I10754" s="450"/>
      <c r="J10754" s="450" t="s">
        <v>23370</v>
      </c>
      <c r="K10754" s="450"/>
    </row>
    <row r="10755" spans="1:11">
      <c r="A10755" s="451" t="s">
        <v>17180</v>
      </c>
      <c r="B10755" s="451"/>
      <c r="C10755" s="451" t="s">
        <v>17181</v>
      </c>
      <c r="D10755" s="451"/>
      <c r="E10755" s="451"/>
      <c r="F10755" s="451"/>
      <c r="G10755" s="451"/>
      <c r="H10755" s="451"/>
      <c r="I10755" s="451"/>
      <c r="J10755" s="451"/>
      <c r="K10755" s="451"/>
    </row>
    <row r="10756" spans="1:11">
      <c r="A10756" s="450" t="s">
        <v>38649</v>
      </c>
      <c r="B10756" s="450"/>
      <c r="C10756" s="450" t="s">
        <v>38650</v>
      </c>
      <c r="D10756" s="450"/>
      <c r="E10756" s="450"/>
      <c r="F10756" s="450"/>
      <c r="G10756" s="450" t="s">
        <v>22877</v>
      </c>
      <c r="H10756" s="450" t="s">
        <v>22878</v>
      </c>
      <c r="I10756" s="450"/>
      <c r="J10756" s="450" t="s">
        <v>22997</v>
      </c>
      <c r="K10756" s="450"/>
    </row>
    <row r="10757" spans="1:11">
      <c r="A10757" s="451" t="s">
        <v>17182</v>
      </c>
      <c r="B10757" s="451"/>
      <c r="C10757" s="451" t="s">
        <v>1213</v>
      </c>
      <c r="D10757" s="451"/>
      <c r="E10757" s="451"/>
      <c r="F10757" s="451"/>
      <c r="G10757" s="451"/>
      <c r="H10757" s="451"/>
      <c r="I10757" s="451"/>
      <c r="J10757" s="451"/>
      <c r="K10757" s="451"/>
    </row>
    <row r="10758" spans="1:11">
      <c r="A10758" s="450" t="s">
        <v>17183</v>
      </c>
      <c r="B10758" s="450"/>
      <c r="C10758" s="450" t="s">
        <v>3841</v>
      </c>
      <c r="D10758" s="450"/>
      <c r="E10758" s="450"/>
      <c r="F10758" s="450"/>
      <c r="G10758" s="450"/>
      <c r="H10758" s="450"/>
      <c r="I10758" s="450"/>
      <c r="J10758" s="450"/>
      <c r="K10758" s="450"/>
    </row>
    <row r="10759" spans="1:11">
      <c r="A10759" s="451" t="s">
        <v>38651</v>
      </c>
      <c r="B10759" s="451"/>
      <c r="C10759" s="451" t="s">
        <v>3841</v>
      </c>
      <c r="D10759" s="451"/>
      <c r="E10759" s="451"/>
      <c r="F10759" s="451"/>
      <c r="G10759" s="451" t="s">
        <v>22877</v>
      </c>
      <c r="H10759" s="451" t="s">
        <v>22878</v>
      </c>
      <c r="I10759" s="451" t="s">
        <v>38652</v>
      </c>
      <c r="J10759" s="451" t="s">
        <v>28871</v>
      </c>
      <c r="K10759" s="451"/>
    </row>
    <row r="10760" spans="1:11">
      <c r="A10760" s="450" t="s">
        <v>38653</v>
      </c>
      <c r="B10760" s="450"/>
      <c r="C10760" s="450" t="s">
        <v>17185</v>
      </c>
      <c r="D10760" s="450"/>
      <c r="E10760" s="450"/>
      <c r="F10760" s="450"/>
      <c r="G10760" s="450" t="s">
        <v>22877</v>
      </c>
      <c r="H10760" s="450" t="s">
        <v>22878</v>
      </c>
      <c r="I10760" s="450" t="s">
        <v>38654</v>
      </c>
      <c r="J10760" s="450" t="s">
        <v>22942</v>
      </c>
      <c r="K10760" s="450"/>
    </row>
    <row r="10761" spans="1:11">
      <c r="A10761" s="451" t="s">
        <v>17184</v>
      </c>
      <c r="B10761" s="451"/>
      <c r="C10761" s="451" t="s">
        <v>17185</v>
      </c>
      <c r="D10761" s="451"/>
      <c r="E10761" s="451"/>
      <c r="F10761" s="451"/>
      <c r="G10761" s="451"/>
      <c r="H10761" s="451"/>
      <c r="I10761" s="451"/>
      <c r="J10761" s="451"/>
      <c r="K10761" s="451"/>
    </row>
    <row r="10762" spans="1:11">
      <c r="A10762" s="450" t="s">
        <v>17186</v>
      </c>
      <c r="B10762" s="450"/>
      <c r="C10762" s="450" t="s">
        <v>3522</v>
      </c>
      <c r="D10762" s="450"/>
      <c r="E10762" s="450"/>
      <c r="F10762" s="450"/>
      <c r="G10762" s="450" t="s">
        <v>22882</v>
      </c>
      <c r="H10762" s="450" t="s">
        <v>22883</v>
      </c>
      <c r="I10762" s="450"/>
      <c r="J10762" s="450" t="s">
        <v>23370</v>
      </c>
      <c r="K10762" s="450"/>
    </row>
    <row r="10763" spans="1:11">
      <c r="A10763" s="451" t="s">
        <v>17187</v>
      </c>
      <c r="B10763" s="451"/>
      <c r="C10763" s="451" t="s">
        <v>4710</v>
      </c>
      <c r="D10763" s="451"/>
      <c r="E10763" s="451"/>
      <c r="F10763" s="451"/>
      <c r="G10763" s="451" t="s">
        <v>22882</v>
      </c>
      <c r="H10763" s="451" t="s">
        <v>22883</v>
      </c>
      <c r="I10763" s="451" t="s">
        <v>38655</v>
      </c>
      <c r="J10763" s="451" t="s">
        <v>28403</v>
      </c>
      <c r="K10763" s="451"/>
    </row>
    <row r="10764" spans="1:11">
      <c r="A10764" s="450" t="s">
        <v>17188</v>
      </c>
      <c r="B10764" s="450"/>
      <c r="C10764" s="450" t="s">
        <v>10631</v>
      </c>
      <c r="D10764" s="450"/>
      <c r="E10764" s="450"/>
      <c r="F10764" s="450"/>
      <c r="G10764" s="450" t="s">
        <v>22882</v>
      </c>
      <c r="H10764" s="450" t="s">
        <v>22883</v>
      </c>
      <c r="I10764" s="450"/>
      <c r="J10764" s="450" t="s">
        <v>23185</v>
      </c>
      <c r="K10764" s="450"/>
    </row>
    <row r="10765" spans="1:11">
      <c r="A10765" s="451" t="s">
        <v>17191</v>
      </c>
      <c r="B10765" s="451"/>
      <c r="C10765" s="451" t="s">
        <v>17192</v>
      </c>
      <c r="D10765" s="451"/>
      <c r="E10765" s="451"/>
      <c r="F10765" s="451"/>
      <c r="G10765" s="451" t="s">
        <v>22877</v>
      </c>
      <c r="H10765" s="451" t="s">
        <v>22878</v>
      </c>
      <c r="I10765" s="451" t="s">
        <v>29122</v>
      </c>
      <c r="J10765" s="451" t="s">
        <v>22942</v>
      </c>
      <c r="K10765" s="451"/>
    </row>
    <row r="10766" spans="1:11">
      <c r="A10766" s="450" t="s">
        <v>29123</v>
      </c>
      <c r="B10766" s="450" t="s">
        <v>29124</v>
      </c>
      <c r="C10766" s="450" t="s">
        <v>29125</v>
      </c>
      <c r="D10766" s="450"/>
      <c r="E10766" s="450"/>
      <c r="F10766" s="450"/>
      <c r="G10766" s="450" t="s">
        <v>22877</v>
      </c>
      <c r="H10766" s="450" t="s">
        <v>22878</v>
      </c>
      <c r="I10766" s="450"/>
      <c r="J10766" s="450" t="s">
        <v>29126</v>
      </c>
      <c r="K10766" s="450"/>
    </row>
    <row r="10767" spans="1:11">
      <c r="A10767" s="451" t="s">
        <v>29127</v>
      </c>
      <c r="B10767" s="451" t="s">
        <v>29128</v>
      </c>
      <c r="C10767" s="451" t="s">
        <v>29129</v>
      </c>
      <c r="D10767" s="451"/>
      <c r="E10767" s="451"/>
      <c r="F10767" s="451"/>
      <c r="G10767" s="451" t="s">
        <v>22877</v>
      </c>
      <c r="H10767" s="451" t="s">
        <v>22878</v>
      </c>
      <c r="I10767" s="451" t="s">
        <v>29130</v>
      </c>
      <c r="J10767" s="451" t="s">
        <v>29131</v>
      </c>
      <c r="K10767" s="451"/>
    </row>
    <row r="10768" spans="1:11">
      <c r="A10768" s="450" t="s">
        <v>21291</v>
      </c>
      <c r="B10768" s="450" t="s">
        <v>21292</v>
      </c>
      <c r="C10768" s="450" t="s">
        <v>16604</v>
      </c>
      <c r="D10768" s="450" t="s">
        <v>21293</v>
      </c>
      <c r="E10768" s="450"/>
      <c r="F10768" s="450"/>
      <c r="G10768" s="450"/>
      <c r="H10768" s="450"/>
      <c r="I10768" s="450"/>
      <c r="J10768" s="450"/>
      <c r="K10768" s="450"/>
    </row>
    <row r="10769" spans="1:11">
      <c r="A10769" s="451" t="s">
        <v>29132</v>
      </c>
      <c r="B10769" s="451"/>
      <c r="C10769" s="451" t="s">
        <v>17194</v>
      </c>
      <c r="D10769" s="451"/>
      <c r="E10769" s="451"/>
      <c r="F10769" s="451"/>
      <c r="G10769" s="451" t="s">
        <v>22877</v>
      </c>
      <c r="H10769" s="451" t="s">
        <v>22878</v>
      </c>
      <c r="I10769" s="451" t="s">
        <v>29133</v>
      </c>
      <c r="J10769" s="451" t="s">
        <v>28871</v>
      </c>
      <c r="K10769" s="451"/>
    </row>
    <row r="10770" spans="1:11">
      <c r="A10770" s="450" t="s">
        <v>17193</v>
      </c>
      <c r="B10770" s="450"/>
      <c r="C10770" s="450" t="s">
        <v>17194</v>
      </c>
      <c r="D10770" s="450"/>
      <c r="E10770" s="450"/>
      <c r="F10770" s="450"/>
      <c r="G10770" s="450"/>
      <c r="H10770" s="450"/>
      <c r="I10770" s="450"/>
      <c r="J10770" s="450"/>
      <c r="K10770" s="450"/>
    </row>
    <row r="10771" spans="1:11">
      <c r="A10771" s="451" t="s">
        <v>17195</v>
      </c>
      <c r="B10771" s="451" t="s">
        <v>17196</v>
      </c>
      <c r="C10771" s="451" t="s">
        <v>17197</v>
      </c>
      <c r="D10771" s="451" t="s">
        <v>17198</v>
      </c>
      <c r="E10771" s="451"/>
      <c r="F10771" s="451"/>
      <c r="G10771" s="451"/>
      <c r="H10771" s="451"/>
      <c r="I10771" s="451"/>
      <c r="J10771" s="451"/>
      <c r="K10771" s="451"/>
    </row>
    <row r="10772" spans="1:11">
      <c r="A10772" s="450" t="s">
        <v>29134</v>
      </c>
      <c r="B10772" s="450" t="s">
        <v>17196</v>
      </c>
      <c r="C10772" s="450" t="s">
        <v>17197</v>
      </c>
      <c r="D10772" s="450" t="s">
        <v>17198</v>
      </c>
      <c r="E10772" s="450"/>
      <c r="F10772" s="450"/>
      <c r="G10772" s="450" t="s">
        <v>22877</v>
      </c>
      <c r="H10772" s="450" t="s">
        <v>22878</v>
      </c>
      <c r="I10772" s="450" t="s">
        <v>17198</v>
      </c>
      <c r="J10772" s="450" t="s">
        <v>29135</v>
      </c>
      <c r="K10772" s="450"/>
    </row>
    <row r="10773" spans="1:11">
      <c r="A10773" s="451" t="s">
        <v>29136</v>
      </c>
      <c r="B10773" s="451" t="s">
        <v>29137</v>
      </c>
      <c r="C10773" s="451" t="s">
        <v>17201</v>
      </c>
      <c r="D10773" s="451"/>
      <c r="E10773" s="451"/>
      <c r="F10773" s="451" t="s">
        <v>17202</v>
      </c>
      <c r="G10773" s="451" t="s">
        <v>22877</v>
      </c>
      <c r="H10773" s="451" t="s">
        <v>22878</v>
      </c>
      <c r="I10773" s="451" t="s">
        <v>29138</v>
      </c>
      <c r="J10773" s="451" t="s">
        <v>29139</v>
      </c>
      <c r="K10773" s="451"/>
    </row>
    <row r="10774" spans="1:11">
      <c r="A10774" s="450" t="s">
        <v>17199</v>
      </c>
      <c r="B10774" s="450" t="s">
        <v>17200</v>
      </c>
      <c r="C10774" s="450" t="s">
        <v>17201</v>
      </c>
      <c r="D10774" s="450"/>
      <c r="E10774" s="450"/>
      <c r="F10774" s="450" t="s">
        <v>17202</v>
      </c>
      <c r="G10774" s="450"/>
      <c r="H10774" s="450"/>
      <c r="I10774" s="450"/>
      <c r="J10774" s="450"/>
      <c r="K10774" s="450"/>
    </row>
    <row r="10775" spans="1:11">
      <c r="A10775" s="451" t="s">
        <v>17203</v>
      </c>
      <c r="B10775" s="451"/>
      <c r="C10775" s="451" t="s">
        <v>4522</v>
      </c>
      <c r="D10775" s="451"/>
      <c r="E10775" s="451"/>
      <c r="F10775" s="451"/>
      <c r="G10775" s="451" t="s">
        <v>22882</v>
      </c>
      <c r="H10775" s="451" t="s">
        <v>22883</v>
      </c>
      <c r="I10775" s="451"/>
      <c r="J10775" s="451" t="s">
        <v>28403</v>
      </c>
      <c r="K10775" s="451"/>
    </row>
    <row r="10776" spans="1:11">
      <c r="A10776" s="450" t="s">
        <v>38656</v>
      </c>
      <c r="B10776" s="450" t="s">
        <v>17205</v>
      </c>
      <c r="C10776" s="450" t="s">
        <v>17206</v>
      </c>
      <c r="D10776" s="450" t="s">
        <v>5544</v>
      </c>
      <c r="E10776" s="450"/>
      <c r="F10776" s="450"/>
      <c r="G10776" s="450" t="s">
        <v>22877</v>
      </c>
      <c r="H10776" s="450" t="s">
        <v>22878</v>
      </c>
      <c r="I10776" s="450" t="s">
        <v>5544</v>
      </c>
      <c r="J10776" s="450" t="s">
        <v>38657</v>
      </c>
      <c r="K10776" s="450"/>
    </row>
    <row r="10777" spans="1:11">
      <c r="A10777" s="451" t="s">
        <v>17204</v>
      </c>
      <c r="B10777" s="451" t="s">
        <v>17205</v>
      </c>
      <c r="C10777" s="451" t="s">
        <v>17206</v>
      </c>
      <c r="D10777" s="451" t="s">
        <v>5544</v>
      </c>
      <c r="E10777" s="451" t="s">
        <v>5545</v>
      </c>
      <c r="F10777" s="451"/>
      <c r="G10777" s="451"/>
      <c r="H10777" s="451"/>
      <c r="I10777" s="451"/>
      <c r="J10777" s="451"/>
      <c r="K10777" s="451"/>
    </row>
    <row r="10778" spans="1:11">
      <c r="A10778" s="450" t="s">
        <v>29140</v>
      </c>
      <c r="B10778" s="450" t="s">
        <v>29141</v>
      </c>
      <c r="C10778" s="450" t="s">
        <v>29142</v>
      </c>
      <c r="D10778" s="450"/>
      <c r="E10778" s="450"/>
      <c r="F10778" s="450"/>
      <c r="G10778" s="450" t="s">
        <v>22877</v>
      </c>
      <c r="H10778" s="450" t="s">
        <v>22878</v>
      </c>
      <c r="I10778" s="450" t="s">
        <v>29143</v>
      </c>
      <c r="J10778" s="450" t="s">
        <v>29144</v>
      </c>
      <c r="K10778" s="450"/>
    </row>
    <row r="10779" spans="1:11">
      <c r="A10779" s="451" t="s">
        <v>21977</v>
      </c>
      <c r="B10779" s="451"/>
      <c r="C10779" s="451" t="s">
        <v>2487</v>
      </c>
      <c r="D10779" s="451"/>
      <c r="E10779" s="451"/>
      <c r="F10779" s="451"/>
      <c r="G10779" s="451" t="s">
        <v>22877</v>
      </c>
      <c r="H10779" s="451" t="s">
        <v>22878</v>
      </c>
      <c r="I10779" s="451" t="s">
        <v>38658</v>
      </c>
      <c r="J10779" s="451" t="s">
        <v>23185</v>
      </c>
      <c r="K10779" s="451"/>
    </row>
    <row r="10780" spans="1:11">
      <c r="A10780" s="450" t="s">
        <v>17207</v>
      </c>
      <c r="B10780" s="450"/>
      <c r="C10780" s="450" t="s">
        <v>17208</v>
      </c>
      <c r="D10780" s="450"/>
      <c r="E10780" s="450"/>
      <c r="F10780" s="450"/>
      <c r="G10780" s="450" t="s">
        <v>22877</v>
      </c>
      <c r="H10780" s="450" t="s">
        <v>22878</v>
      </c>
      <c r="I10780" s="450" t="s">
        <v>29145</v>
      </c>
      <c r="J10780" s="450" t="s">
        <v>28403</v>
      </c>
      <c r="K10780" s="450"/>
    </row>
    <row r="10781" spans="1:11">
      <c r="A10781" s="451" t="s">
        <v>20473</v>
      </c>
      <c r="B10781" s="451" t="s">
        <v>20472</v>
      </c>
      <c r="C10781" s="451" t="s">
        <v>38659</v>
      </c>
      <c r="D10781" s="451" t="s">
        <v>20474</v>
      </c>
      <c r="E10781" s="451"/>
      <c r="F10781" s="451" t="s">
        <v>38660</v>
      </c>
      <c r="G10781" s="451" t="s">
        <v>22877</v>
      </c>
      <c r="H10781" s="451" t="s">
        <v>22878</v>
      </c>
      <c r="I10781" s="451" t="s">
        <v>20474</v>
      </c>
      <c r="J10781" s="451" t="s">
        <v>38661</v>
      </c>
      <c r="K10781" s="451"/>
    </row>
    <row r="10782" spans="1:11">
      <c r="A10782" s="450" t="s">
        <v>20473</v>
      </c>
      <c r="B10782" s="450" t="s">
        <v>20472</v>
      </c>
      <c r="C10782" s="450" t="s">
        <v>3055</v>
      </c>
      <c r="D10782" s="450" t="s">
        <v>20474</v>
      </c>
      <c r="E10782" s="450"/>
      <c r="F10782" s="450" t="s">
        <v>20471</v>
      </c>
      <c r="G10782" s="450"/>
      <c r="H10782" s="450"/>
      <c r="I10782" s="450"/>
      <c r="J10782" s="450"/>
      <c r="K10782" s="450"/>
    </row>
    <row r="10783" spans="1:11">
      <c r="A10783" s="451" t="s">
        <v>38662</v>
      </c>
      <c r="B10783" s="451" t="s">
        <v>17189</v>
      </c>
      <c r="C10783" s="451" t="s">
        <v>14200</v>
      </c>
      <c r="D10783" s="451"/>
      <c r="E10783" s="451"/>
      <c r="F10783" s="451"/>
      <c r="G10783" s="451" t="s">
        <v>22877</v>
      </c>
      <c r="H10783" s="451" t="s">
        <v>22878</v>
      </c>
      <c r="I10783" s="451" t="s">
        <v>17190</v>
      </c>
      <c r="J10783" s="451" t="s">
        <v>38663</v>
      </c>
      <c r="K10783" s="451"/>
    </row>
    <row r="10784" spans="1:11">
      <c r="A10784" s="450" t="s">
        <v>21976</v>
      </c>
      <c r="B10784" s="450" t="s">
        <v>17189</v>
      </c>
      <c r="C10784" s="450" t="s">
        <v>14200</v>
      </c>
      <c r="D10784" s="450"/>
      <c r="E10784" s="450" t="s">
        <v>17190</v>
      </c>
      <c r="F10784" s="450"/>
      <c r="G10784" s="450"/>
      <c r="H10784" s="450"/>
      <c r="I10784" s="450"/>
      <c r="J10784" s="450"/>
      <c r="K10784" s="450"/>
    </row>
    <row r="10785" spans="1:11">
      <c r="A10785" s="451" t="s">
        <v>29146</v>
      </c>
      <c r="B10785" s="451" t="s">
        <v>29147</v>
      </c>
      <c r="C10785" s="451" t="s">
        <v>29148</v>
      </c>
      <c r="D10785" s="451"/>
      <c r="E10785" s="451"/>
      <c r="F10785" s="451"/>
      <c r="G10785" s="451" t="s">
        <v>22877</v>
      </c>
      <c r="H10785" s="451" t="s">
        <v>22878</v>
      </c>
      <c r="I10785" s="451" t="s">
        <v>29149</v>
      </c>
      <c r="J10785" s="451" t="s">
        <v>29150</v>
      </c>
      <c r="K10785" s="451"/>
    </row>
    <row r="10786" spans="1:11">
      <c r="A10786" s="450" t="s">
        <v>17209</v>
      </c>
      <c r="B10786" s="450"/>
      <c r="C10786" s="450" t="s">
        <v>17210</v>
      </c>
      <c r="D10786" s="450"/>
      <c r="E10786" s="450"/>
      <c r="F10786" s="450"/>
      <c r="G10786" s="450"/>
      <c r="H10786" s="450"/>
      <c r="I10786" s="450"/>
      <c r="J10786" s="450"/>
      <c r="K10786" s="450"/>
    </row>
    <row r="10787" spans="1:11">
      <c r="A10787" s="451" t="s">
        <v>38664</v>
      </c>
      <c r="B10787" s="451"/>
      <c r="C10787" s="451" t="s">
        <v>17210</v>
      </c>
      <c r="D10787" s="451"/>
      <c r="E10787" s="451"/>
      <c r="F10787" s="451"/>
      <c r="G10787" s="451" t="s">
        <v>22877</v>
      </c>
      <c r="H10787" s="451" t="s">
        <v>22878</v>
      </c>
      <c r="I10787" s="451" t="s">
        <v>29149</v>
      </c>
      <c r="J10787" s="451" t="s">
        <v>22942</v>
      </c>
      <c r="K10787" s="451"/>
    </row>
    <row r="10788" spans="1:11">
      <c r="A10788" s="450" t="s">
        <v>38665</v>
      </c>
      <c r="B10788" s="450"/>
      <c r="C10788" s="450" t="s">
        <v>17212</v>
      </c>
      <c r="D10788" s="450"/>
      <c r="E10788" s="450"/>
      <c r="F10788" s="450"/>
      <c r="G10788" s="450" t="s">
        <v>22877</v>
      </c>
      <c r="H10788" s="450" t="s">
        <v>22878</v>
      </c>
      <c r="I10788" s="450" t="s">
        <v>38666</v>
      </c>
      <c r="J10788" s="450" t="s">
        <v>22942</v>
      </c>
      <c r="K10788" s="450"/>
    </row>
    <row r="10789" spans="1:11">
      <c r="A10789" s="451" t="s">
        <v>17211</v>
      </c>
      <c r="B10789" s="451"/>
      <c r="C10789" s="451" t="s">
        <v>17212</v>
      </c>
      <c r="D10789" s="451"/>
      <c r="E10789" s="451"/>
      <c r="F10789" s="451"/>
      <c r="G10789" s="451"/>
      <c r="H10789" s="451"/>
      <c r="I10789" s="451"/>
      <c r="J10789" s="451"/>
      <c r="K10789" s="451"/>
    </row>
    <row r="10790" spans="1:11">
      <c r="A10790" s="450" t="s">
        <v>17213</v>
      </c>
      <c r="B10790" s="450" t="s">
        <v>17214</v>
      </c>
      <c r="C10790" s="450" t="s">
        <v>17215</v>
      </c>
      <c r="D10790" s="450"/>
      <c r="E10790" s="450"/>
      <c r="F10790" s="450" t="s">
        <v>11380</v>
      </c>
      <c r="G10790" s="450" t="s">
        <v>22877</v>
      </c>
      <c r="H10790" s="450" t="s">
        <v>22878</v>
      </c>
      <c r="I10790" s="450" t="s">
        <v>29151</v>
      </c>
      <c r="J10790" s="450" t="s">
        <v>29152</v>
      </c>
      <c r="K10790" s="450"/>
    </row>
    <row r="10791" spans="1:11">
      <c r="A10791" s="451" t="s">
        <v>38667</v>
      </c>
      <c r="B10791" s="451" t="s">
        <v>38668</v>
      </c>
      <c r="C10791" s="451" t="s">
        <v>17218</v>
      </c>
      <c r="D10791" s="451"/>
      <c r="E10791" s="451"/>
      <c r="F10791" s="451" t="s">
        <v>38669</v>
      </c>
      <c r="G10791" s="451" t="s">
        <v>22877</v>
      </c>
      <c r="H10791" s="451" t="s">
        <v>22878</v>
      </c>
      <c r="I10791" s="451"/>
      <c r="J10791" s="451" t="s">
        <v>38670</v>
      </c>
      <c r="K10791" s="451"/>
    </row>
    <row r="10792" spans="1:11">
      <c r="A10792" s="450" t="s">
        <v>17216</v>
      </c>
      <c r="B10792" s="450" t="s">
        <v>17217</v>
      </c>
      <c r="C10792" s="450" t="s">
        <v>17218</v>
      </c>
      <c r="D10792" s="450"/>
      <c r="E10792" s="450"/>
      <c r="F10792" s="450" t="s">
        <v>17219</v>
      </c>
      <c r="G10792" s="450"/>
      <c r="H10792" s="450"/>
      <c r="I10792" s="450"/>
      <c r="J10792" s="450"/>
      <c r="K10792" s="450"/>
    </row>
    <row r="10793" spans="1:11">
      <c r="A10793" s="451" t="s">
        <v>29153</v>
      </c>
      <c r="B10793" s="451" t="s">
        <v>29154</v>
      </c>
      <c r="C10793" s="451" t="s">
        <v>29155</v>
      </c>
      <c r="D10793" s="451"/>
      <c r="E10793" s="451"/>
      <c r="F10793" s="451"/>
      <c r="G10793" s="451" t="s">
        <v>22877</v>
      </c>
      <c r="H10793" s="451" t="s">
        <v>22878</v>
      </c>
      <c r="I10793" s="451" t="s">
        <v>29156</v>
      </c>
      <c r="J10793" s="451" t="s">
        <v>29157</v>
      </c>
      <c r="K10793" s="451"/>
    </row>
    <row r="10794" spans="1:11">
      <c r="A10794" s="450" t="s">
        <v>17220</v>
      </c>
      <c r="B10794" s="450" t="s">
        <v>17221</v>
      </c>
      <c r="C10794" s="450" t="s">
        <v>17222</v>
      </c>
      <c r="D10794" s="450" t="s">
        <v>17223</v>
      </c>
      <c r="E10794" s="450"/>
      <c r="F10794" s="450"/>
      <c r="G10794" s="450" t="s">
        <v>22877</v>
      </c>
      <c r="H10794" s="450" t="s">
        <v>22878</v>
      </c>
      <c r="I10794" s="450" t="s">
        <v>17223</v>
      </c>
      <c r="J10794" s="450" t="s">
        <v>29158</v>
      </c>
      <c r="K10794" s="450"/>
    </row>
    <row r="10795" spans="1:11">
      <c r="A10795" s="451" t="s">
        <v>17220</v>
      </c>
      <c r="B10795" s="451" t="s">
        <v>17221</v>
      </c>
      <c r="C10795" s="451" t="s">
        <v>17222</v>
      </c>
      <c r="D10795" s="451" t="s">
        <v>17223</v>
      </c>
      <c r="E10795" s="451" t="s">
        <v>17224</v>
      </c>
      <c r="F10795" s="451"/>
      <c r="G10795" s="451"/>
      <c r="H10795" s="451"/>
      <c r="I10795" s="451"/>
      <c r="J10795" s="451"/>
      <c r="K10795" s="451"/>
    </row>
    <row r="10796" spans="1:11">
      <c r="A10796" s="450" t="s">
        <v>29159</v>
      </c>
      <c r="B10796" s="450" t="s">
        <v>29160</v>
      </c>
      <c r="C10796" s="450" t="s">
        <v>29161</v>
      </c>
      <c r="D10796" s="450"/>
      <c r="E10796" s="450"/>
      <c r="F10796" s="450"/>
      <c r="G10796" s="450" t="s">
        <v>22877</v>
      </c>
      <c r="H10796" s="450" t="s">
        <v>22878</v>
      </c>
      <c r="I10796" s="450"/>
      <c r="J10796" s="450" t="s">
        <v>29162</v>
      </c>
      <c r="K10796" s="450"/>
    </row>
    <row r="10797" spans="1:11">
      <c r="A10797" s="451" t="s">
        <v>17225</v>
      </c>
      <c r="B10797" s="451"/>
      <c r="C10797" s="451" t="s">
        <v>17226</v>
      </c>
      <c r="D10797" s="451"/>
      <c r="E10797" s="451"/>
      <c r="F10797" s="451"/>
      <c r="G10797" s="451" t="s">
        <v>22877</v>
      </c>
      <c r="H10797" s="451" t="s">
        <v>22878</v>
      </c>
      <c r="I10797" s="451" t="s">
        <v>29090</v>
      </c>
      <c r="J10797" s="451" t="s">
        <v>22939</v>
      </c>
      <c r="K10797" s="451"/>
    </row>
    <row r="10798" spans="1:11">
      <c r="A10798" s="450" t="s">
        <v>29163</v>
      </c>
      <c r="B10798" s="450" t="s">
        <v>29164</v>
      </c>
      <c r="C10798" s="450" t="s">
        <v>29165</v>
      </c>
      <c r="D10798" s="450"/>
      <c r="E10798" s="450"/>
      <c r="F10798" s="450"/>
      <c r="G10798" s="450" t="s">
        <v>22877</v>
      </c>
      <c r="H10798" s="450" t="s">
        <v>22878</v>
      </c>
      <c r="I10798" s="450" t="s">
        <v>29166</v>
      </c>
      <c r="J10798" s="450" t="s">
        <v>29167</v>
      </c>
      <c r="K10798" s="450"/>
    </row>
    <row r="10799" spans="1:11">
      <c r="A10799" s="451" t="s">
        <v>29168</v>
      </c>
      <c r="B10799" s="451" t="s">
        <v>29169</v>
      </c>
      <c r="C10799" s="451" t="s">
        <v>29170</v>
      </c>
      <c r="D10799" s="451"/>
      <c r="E10799" s="451"/>
      <c r="F10799" s="451"/>
      <c r="G10799" s="451" t="s">
        <v>22877</v>
      </c>
      <c r="H10799" s="451" t="s">
        <v>22878</v>
      </c>
      <c r="I10799" s="451" t="s">
        <v>29171</v>
      </c>
      <c r="J10799" s="451" t="s">
        <v>29172</v>
      </c>
      <c r="K10799" s="451"/>
    </row>
    <row r="10800" spans="1:11">
      <c r="A10800" s="450" t="s">
        <v>38671</v>
      </c>
      <c r="B10800" s="450" t="s">
        <v>17228</v>
      </c>
      <c r="C10800" s="450" t="s">
        <v>17229</v>
      </c>
      <c r="D10800" s="450" t="s">
        <v>17230</v>
      </c>
      <c r="E10800" s="450"/>
      <c r="F10800" s="450"/>
      <c r="G10800" s="450" t="s">
        <v>22877</v>
      </c>
      <c r="H10800" s="450" t="s">
        <v>22878</v>
      </c>
      <c r="I10800" s="450" t="s">
        <v>17230</v>
      </c>
      <c r="J10800" s="450" t="s">
        <v>38672</v>
      </c>
      <c r="K10800" s="450"/>
    </row>
    <row r="10801" spans="1:11">
      <c r="A10801" s="451" t="s">
        <v>17227</v>
      </c>
      <c r="B10801" s="451" t="s">
        <v>17228</v>
      </c>
      <c r="C10801" s="451" t="s">
        <v>17229</v>
      </c>
      <c r="D10801" s="451" t="s">
        <v>17230</v>
      </c>
      <c r="E10801" s="451"/>
      <c r="F10801" s="451"/>
      <c r="G10801" s="451"/>
      <c r="H10801" s="451"/>
      <c r="I10801" s="451"/>
      <c r="J10801" s="451"/>
      <c r="K10801" s="451"/>
    </row>
    <row r="10802" spans="1:11">
      <c r="A10802" s="450" t="s">
        <v>38673</v>
      </c>
      <c r="B10802" s="450" t="s">
        <v>17232</v>
      </c>
      <c r="C10802" s="450" t="s">
        <v>17233</v>
      </c>
      <c r="D10802" s="450" t="s">
        <v>17234</v>
      </c>
      <c r="E10802" s="450"/>
      <c r="F10802" s="450"/>
      <c r="G10802" s="450" t="s">
        <v>22877</v>
      </c>
      <c r="H10802" s="450" t="s">
        <v>22878</v>
      </c>
      <c r="I10802" s="450" t="s">
        <v>17234</v>
      </c>
      <c r="J10802" s="450" t="s">
        <v>38674</v>
      </c>
      <c r="K10802" s="450"/>
    </row>
    <row r="10803" spans="1:11">
      <c r="A10803" s="451" t="s">
        <v>17231</v>
      </c>
      <c r="B10803" s="451" t="s">
        <v>17232</v>
      </c>
      <c r="C10803" s="451" t="s">
        <v>17233</v>
      </c>
      <c r="D10803" s="451" t="s">
        <v>17234</v>
      </c>
      <c r="E10803" s="451" t="s">
        <v>17235</v>
      </c>
      <c r="F10803" s="451"/>
      <c r="G10803" s="451"/>
      <c r="H10803" s="451"/>
      <c r="I10803" s="451"/>
      <c r="J10803" s="451"/>
      <c r="K10803" s="451"/>
    </row>
    <row r="10804" spans="1:11">
      <c r="A10804" s="450" t="s">
        <v>21978</v>
      </c>
      <c r="B10804" s="450"/>
      <c r="C10804" s="450" t="s">
        <v>2235</v>
      </c>
      <c r="D10804" s="450"/>
      <c r="E10804" s="450"/>
      <c r="F10804" s="450"/>
      <c r="G10804" s="450" t="s">
        <v>22877</v>
      </c>
      <c r="H10804" s="450" t="s">
        <v>22878</v>
      </c>
      <c r="I10804" s="450" t="s">
        <v>38675</v>
      </c>
      <c r="J10804" s="450" t="s">
        <v>22997</v>
      </c>
      <c r="K10804" s="450"/>
    </row>
    <row r="10805" spans="1:11">
      <c r="A10805" s="451" t="s">
        <v>17236</v>
      </c>
      <c r="B10805" s="451"/>
      <c r="C10805" s="451" t="s">
        <v>17237</v>
      </c>
      <c r="D10805" s="451"/>
      <c r="E10805" s="451"/>
      <c r="F10805" s="451"/>
      <c r="G10805" s="451" t="s">
        <v>22882</v>
      </c>
      <c r="H10805" s="451" t="s">
        <v>22883</v>
      </c>
      <c r="I10805" s="451"/>
      <c r="J10805" s="451" t="s">
        <v>22939</v>
      </c>
      <c r="K10805" s="451"/>
    </row>
    <row r="10806" spans="1:11">
      <c r="A10806" s="450" t="s">
        <v>38676</v>
      </c>
      <c r="B10806" s="450"/>
      <c r="C10806" s="450" t="s">
        <v>4327</v>
      </c>
      <c r="D10806" s="450"/>
      <c r="E10806" s="450"/>
      <c r="F10806" s="450"/>
      <c r="G10806" s="450" t="s">
        <v>22991</v>
      </c>
      <c r="H10806" s="450" t="s">
        <v>22878</v>
      </c>
      <c r="I10806" s="450" t="s">
        <v>38677</v>
      </c>
      <c r="J10806" s="450"/>
      <c r="K10806" s="450"/>
    </row>
    <row r="10807" spans="1:11">
      <c r="A10807" s="451" t="s">
        <v>17238</v>
      </c>
      <c r="B10807" s="451"/>
      <c r="C10807" s="451" t="s">
        <v>4327</v>
      </c>
      <c r="D10807" s="451"/>
      <c r="E10807" s="451"/>
      <c r="F10807" s="451"/>
      <c r="G10807" s="451"/>
      <c r="H10807" s="451"/>
      <c r="I10807" s="451"/>
      <c r="J10807" s="451"/>
      <c r="K10807" s="451"/>
    </row>
    <row r="10808" spans="1:11">
      <c r="A10808" s="450" t="s">
        <v>38678</v>
      </c>
      <c r="B10808" s="450"/>
      <c r="C10808" s="450" t="s">
        <v>6993</v>
      </c>
      <c r="D10808" s="450"/>
      <c r="E10808" s="450"/>
      <c r="F10808" s="450"/>
      <c r="G10808" s="450" t="s">
        <v>22877</v>
      </c>
      <c r="H10808" s="450" t="s">
        <v>22878</v>
      </c>
      <c r="I10808" s="450" t="s">
        <v>38679</v>
      </c>
      <c r="J10808" s="450" t="s">
        <v>22997</v>
      </c>
      <c r="K10808" s="450"/>
    </row>
    <row r="10809" spans="1:11">
      <c r="A10809" s="451" t="s">
        <v>17239</v>
      </c>
      <c r="B10809" s="451"/>
      <c r="C10809" s="451" t="s">
        <v>6993</v>
      </c>
      <c r="D10809" s="451"/>
      <c r="E10809" s="451"/>
      <c r="F10809" s="451"/>
      <c r="G10809" s="451"/>
      <c r="H10809" s="451"/>
      <c r="I10809" s="451"/>
      <c r="J10809" s="451"/>
      <c r="K10809" s="451"/>
    </row>
    <row r="10810" spans="1:11">
      <c r="A10810" s="450" t="s">
        <v>17240</v>
      </c>
      <c r="B10810" s="450"/>
      <c r="C10810" s="450" t="s">
        <v>17241</v>
      </c>
      <c r="D10810" s="450"/>
      <c r="E10810" s="450"/>
      <c r="F10810" s="450"/>
      <c r="G10810" s="450" t="s">
        <v>22882</v>
      </c>
      <c r="H10810" s="450" t="s">
        <v>22883</v>
      </c>
      <c r="I10810" s="450" t="s">
        <v>38680</v>
      </c>
      <c r="J10810" s="450" t="s">
        <v>22942</v>
      </c>
      <c r="K10810" s="450"/>
    </row>
    <row r="10811" spans="1:11">
      <c r="A10811" s="451" t="s">
        <v>17242</v>
      </c>
      <c r="B10811" s="451"/>
      <c r="C10811" s="451" t="s">
        <v>17243</v>
      </c>
      <c r="D10811" s="451"/>
      <c r="E10811" s="451"/>
      <c r="F10811" s="451"/>
      <c r="G10811" s="451" t="s">
        <v>22882</v>
      </c>
      <c r="H10811" s="451" t="s">
        <v>22883</v>
      </c>
      <c r="I10811" s="451"/>
      <c r="J10811" s="451" t="s">
        <v>22997</v>
      </c>
      <c r="K10811" s="451"/>
    </row>
    <row r="10812" spans="1:11">
      <c r="A10812" s="450" t="s">
        <v>17244</v>
      </c>
      <c r="B10812" s="450"/>
      <c r="C10812" s="450" t="s">
        <v>17245</v>
      </c>
      <c r="D10812" s="450"/>
      <c r="E10812" s="450"/>
      <c r="F10812" s="450"/>
      <c r="G10812" s="450" t="s">
        <v>22877</v>
      </c>
      <c r="H10812" s="450" t="s">
        <v>22878</v>
      </c>
      <c r="I10812" s="450" t="s">
        <v>38681</v>
      </c>
      <c r="J10812" s="450" t="s">
        <v>22997</v>
      </c>
      <c r="K10812" s="450"/>
    </row>
    <row r="10813" spans="1:11">
      <c r="A10813" s="451" t="s">
        <v>17246</v>
      </c>
      <c r="B10813" s="451"/>
      <c r="C10813" s="451" t="s">
        <v>17247</v>
      </c>
      <c r="D10813" s="451"/>
      <c r="E10813" s="451"/>
      <c r="F10813" s="451"/>
      <c r="G10813" s="451" t="s">
        <v>22877</v>
      </c>
      <c r="H10813" s="451" t="s">
        <v>22878</v>
      </c>
      <c r="I10813" s="451" t="s">
        <v>38682</v>
      </c>
      <c r="J10813" s="451" t="s">
        <v>22942</v>
      </c>
      <c r="K10813" s="451"/>
    </row>
    <row r="10814" spans="1:11">
      <c r="A10814" s="450" t="s">
        <v>38683</v>
      </c>
      <c r="B10814" s="450"/>
      <c r="C10814" s="450" t="s">
        <v>16755</v>
      </c>
      <c r="D10814" s="450"/>
      <c r="E10814" s="450"/>
      <c r="F10814" s="450"/>
      <c r="G10814" s="450" t="s">
        <v>22882</v>
      </c>
      <c r="H10814" s="450" t="s">
        <v>22883</v>
      </c>
      <c r="I10814" s="450"/>
      <c r="J10814" s="450" t="s">
        <v>22942</v>
      </c>
      <c r="K10814" s="450"/>
    </row>
    <row r="10815" spans="1:11">
      <c r="A10815" s="451" t="s">
        <v>17248</v>
      </c>
      <c r="B10815" s="451"/>
      <c r="C10815" s="451" t="s">
        <v>16755</v>
      </c>
      <c r="D10815" s="451"/>
      <c r="E10815" s="451"/>
      <c r="F10815" s="451"/>
      <c r="G10815" s="451"/>
      <c r="H10815" s="451"/>
      <c r="I10815" s="451"/>
      <c r="J10815" s="451"/>
      <c r="K10815" s="451"/>
    </row>
    <row r="10816" spans="1:11">
      <c r="A10816" s="450" t="s">
        <v>38684</v>
      </c>
      <c r="B10816" s="450"/>
      <c r="C10816" s="450" t="s">
        <v>17128</v>
      </c>
      <c r="D10816" s="450"/>
      <c r="E10816" s="450"/>
      <c r="F10816" s="450"/>
      <c r="G10816" s="450" t="s">
        <v>22877</v>
      </c>
      <c r="H10816" s="450" t="s">
        <v>22878</v>
      </c>
      <c r="I10816" s="450"/>
      <c r="J10816" s="450" t="s">
        <v>22939</v>
      </c>
      <c r="K10816" s="450"/>
    </row>
    <row r="10817" spans="1:11">
      <c r="A10817" s="451" t="s">
        <v>38685</v>
      </c>
      <c r="B10817" s="451"/>
      <c r="C10817" s="451" t="s">
        <v>7403</v>
      </c>
      <c r="D10817" s="451"/>
      <c r="E10817" s="451"/>
      <c r="F10817" s="451"/>
      <c r="G10817" s="451" t="s">
        <v>22882</v>
      </c>
      <c r="H10817" s="451" t="s">
        <v>22883</v>
      </c>
      <c r="I10817" s="451"/>
      <c r="J10817" s="451" t="s">
        <v>22997</v>
      </c>
      <c r="K10817" s="451"/>
    </row>
    <row r="10818" spans="1:11">
      <c r="A10818" s="450" t="s">
        <v>38686</v>
      </c>
      <c r="B10818" s="450"/>
      <c r="C10818" s="450" t="s">
        <v>26367</v>
      </c>
      <c r="D10818" s="450"/>
      <c r="E10818" s="450"/>
      <c r="F10818" s="450"/>
      <c r="G10818" s="450" t="s">
        <v>22877</v>
      </c>
      <c r="H10818" s="450" t="s">
        <v>22878</v>
      </c>
      <c r="I10818" s="450" t="s">
        <v>38687</v>
      </c>
      <c r="J10818" s="450" t="s">
        <v>22997</v>
      </c>
      <c r="K10818" s="450"/>
    </row>
    <row r="10819" spans="1:11">
      <c r="A10819" s="451" t="s">
        <v>38688</v>
      </c>
      <c r="B10819" s="451"/>
      <c r="C10819" s="451" t="s">
        <v>17126</v>
      </c>
      <c r="D10819" s="451"/>
      <c r="E10819" s="451"/>
      <c r="F10819" s="451"/>
      <c r="G10819" s="451" t="s">
        <v>22877</v>
      </c>
      <c r="H10819" s="451" t="s">
        <v>22878</v>
      </c>
      <c r="I10819" s="451" t="s">
        <v>38689</v>
      </c>
      <c r="J10819" s="451" t="s">
        <v>22997</v>
      </c>
      <c r="K10819" s="451"/>
    </row>
    <row r="10820" spans="1:11">
      <c r="A10820" s="450" t="s">
        <v>17249</v>
      </c>
      <c r="B10820" s="450"/>
      <c r="C10820" s="450" t="s">
        <v>17250</v>
      </c>
      <c r="D10820" s="450"/>
      <c r="E10820" s="450"/>
      <c r="F10820" s="450"/>
      <c r="G10820" s="450" t="s">
        <v>22877</v>
      </c>
      <c r="H10820" s="450" t="s">
        <v>22878</v>
      </c>
      <c r="I10820" s="450" t="s">
        <v>38690</v>
      </c>
      <c r="J10820" s="450" t="s">
        <v>28403</v>
      </c>
      <c r="K10820" s="450"/>
    </row>
    <row r="10821" spans="1:11">
      <c r="A10821" s="451" t="s">
        <v>38691</v>
      </c>
      <c r="B10821" s="451"/>
      <c r="C10821" s="451" t="s">
        <v>17252</v>
      </c>
      <c r="D10821" s="451"/>
      <c r="E10821" s="451"/>
      <c r="F10821" s="451"/>
      <c r="G10821" s="451" t="s">
        <v>22882</v>
      </c>
      <c r="H10821" s="451" t="s">
        <v>22883</v>
      </c>
      <c r="I10821" s="451" t="s">
        <v>38692</v>
      </c>
      <c r="J10821" s="451" t="s">
        <v>22942</v>
      </c>
      <c r="K10821" s="451"/>
    </row>
    <row r="10822" spans="1:11">
      <c r="A10822" s="450" t="s">
        <v>17251</v>
      </c>
      <c r="B10822" s="450"/>
      <c r="C10822" s="450" t="s">
        <v>17252</v>
      </c>
      <c r="D10822" s="450"/>
      <c r="E10822" s="450"/>
      <c r="F10822" s="450"/>
      <c r="G10822" s="450"/>
      <c r="H10822" s="450"/>
      <c r="I10822" s="450"/>
      <c r="J10822" s="450"/>
      <c r="K10822" s="450"/>
    </row>
    <row r="10823" spans="1:11">
      <c r="A10823" s="451" t="s">
        <v>17253</v>
      </c>
      <c r="B10823" s="451"/>
      <c r="C10823" s="451" t="s">
        <v>17254</v>
      </c>
      <c r="D10823" s="451"/>
      <c r="E10823" s="451"/>
      <c r="F10823" s="451"/>
      <c r="G10823" s="451" t="s">
        <v>22882</v>
      </c>
      <c r="H10823" s="451" t="s">
        <v>22883</v>
      </c>
      <c r="I10823" s="451" t="s">
        <v>29173</v>
      </c>
      <c r="J10823" s="451" t="s">
        <v>22942</v>
      </c>
      <c r="K10823" s="451"/>
    </row>
    <row r="10824" spans="1:11">
      <c r="A10824" s="450" t="s">
        <v>29174</v>
      </c>
      <c r="B10824" s="450" t="s">
        <v>17256</v>
      </c>
      <c r="C10824" s="450" t="s">
        <v>1089</v>
      </c>
      <c r="D10824" s="450" t="s">
        <v>17257</v>
      </c>
      <c r="E10824" s="450"/>
      <c r="F10824" s="450"/>
      <c r="G10824" s="450" t="s">
        <v>22877</v>
      </c>
      <c r="H10824" s="450" t="s">
        <v>22878</v>
      </c>
      <c r="I10824" s="450" t="s">
        <v>17257</v>
      </c>
      <c r="J10824" s="450" t="s">
        <v>29175</v>
      </c>
      <c r="K10824" s="450"/>
    </row>
    <row r="10825" spans="1:11">
      <c r="A10825" s="451" t="s">
        <v>17255</v>
      </c>
      <c r="B10825" s="451" t="s">
        <v>17256</v>
      </c>
      <c r="C10825" s="451" t="s">
        <v>1089</v>
      </c>
      <c r="D10825" s="451" t="s">
        <v>17257</v>
      </c>
      <c r="E10825" s="451"/>
      <c r="F10825" s="451"/>
      <c r="G10825" s="451"/>
      <c r="H10825" s="451"/>
      <c r="I10825" s="451"/>
      <c r="J10825" s="451"/>
      <c r="K10825" s="451"/>
    </row>
    <row r="10826" spans="1:11">
      <c r="A10826" s="450" t="s">
        <v>17258</v>
      </c>
      <c r="B10826" s="450" t="s">
        <v>17259</v>
      </c>
      <c r="C10826" s="450" t="s">
        <v>3222</v>
      </c>
      <c r="D10826" s="450" t="s">
        <v>17260</v>
      </c>
      <c r="E10826" s="450"/>
      <c r="F10826" s="450"/>
      <c r="G10826" s="450"/>
      <c r="H10826" s="450"/>
      <c r="I10826" s="450"/>
      <c r="J10826" s="450"/>
      <c r="K10826" s="450"/>
    </row>
    <row r="10827" spans="1:11">
      <c r="A10827" s="451" t="s">
        <v>38693</v>
      </c>
      <c r="B10827" s="451" t="s">
        <v>17259</v>
      </c>
      <c r="C10827" s="451" t="s">
        <v>3222</v>
      </c>
      <c r="D10827" s="451" t="s">
        <v>17260</v>
      </c>
      <c r="E10827" s="451"/>
      <c r="F10827" s="451"/>
      <c r="G10827" s="451" t="s">
        <v>22882</v>
      </c>
      <c r="H10827" s="451" t="s">
        <v>22883</v>
      </c>
      <c r="I10827" s="451"/>
      <c r="J10827" s="451" t="s">
        <v>38694</v>
      </c>
      <c r="K10827" s="451"/>
    </row>
    <row r="10828" spans="1:11">
      <c r="A10828" s="450" t="s">
        <v>38695</v>
      </c>
      <c r="B10828" s="450"/>
      <c r="C10828" s="450" t="s">
        <v>5582</v>
      </c>
      <c r="D10828" s="450"/>
      <c r="E10828" s="450"/>
      <c r="F10828" s="450"/>
      <c r="G10828" s="450" t="s">
        <v>23108</v>
      </c>
      <c r="H10828" s="450" t="s">
        <v>22878</v>
      </c>
      <c r="I10828" s="450"/>
      <c r="J10828" s="450"/>
      <c r="K10828" s="450" t="s">
        <v>23726</v>
      </c>
    </row>
    <row r="10829" spans="1:11">
      <c r="A10829" s="451" t="s">
        <v>17261</v>
      </c>
      <c r="B10829" s="451"/>
      <c r="C10829" s="451" t="s">
        <v>5582</v>
      </c>
      <c r="D10829" s="451"/>
      <c r="E10829" s="451"/>
      <c r="F10829" s="451"/>
      <c r="G10829" s="451"/>
      <c r="H10829" s="451"/>
      <c r="I10829" s="451"/>
      <c r="J10829" s="451"/>
      <c r="K10829" s="451"/>
    </row>
    <row r="10830" spans="1:11">
      <c r="A10830" s="450" t="s">
        <v>38696</v>
      </c>
      <c r="B10830" s="450" t="s">
        <v>17263</v>
      </c>
      <c r="C10830" s="450" t="s">
        <v>17264</v>
      </c>
      <c r="D10830" s="450"/>
      <c r="E10830" s="450"/>
      <c r="F10830" s="450"/>
      <c r="G10830" s="450" t="s">
        <v>22877</v>
      </c>
      <c r="H10830" s="450" t="s">
        <v>22878</v>
      </c>
      <c r="I10830" s="450"/>
      <c r="J10830" s="450" t="s">
        <v>38697</v>
      </c>
      <c r="K10830" s="450"/>
    </row>
    <row r="10831" spans="1:11">
      <c r="A10831" s="451" t="s">
        <v>17262</v>
      </c>
      <c r="B10831" s="451" t="s">
        <v>17263</v>
      </c>
      <c r="C10831" s="451" t="s">
        <v>17264</v>
      </c>
      <c r="D10831" s="451"/>
      <c r="E10831" s="451"/>
      <c r="F10831" s="451"/>
      <c r="G10831" s="451"/>
      <c r="H10831" s="451"/>
      <c r="I10831" s="451"/>
      <c r="J10831" s="451"/>
      <c r="K10831" s="451"/>
    </row>
    <row r="10832" spans="1:11">
      <c r="A10832" s="450" t="s">
        <v>17265</v>
      </c>
      <c r="B10832" s="450"/>
      <c r="C10832" s="450" t="s">
        <v>17266</v>
      </c>
      <c r="D10832" s="450"/>
      <c r="E10832" s="450"/>
      <c r="F10832" s="450"/>
      <c r="G10832" s="450" t="s">
        <v>22882</v>
      </c>
      <c r="H10832" s="450" t="s">
        <v>22883</v>
      </c>
      <c r="I10832" s="450" t="s">
        <v>38698</v>
      </c>
      <c r="J10832" s="450" t="s">
        <v>23185</v>
      </c>
      <c r="K10832" s="450"/>
    </row>
    <row r="10833" spans="1:11">
      <c r="A10833" s="451" t="s">
        <v>17267</v>
      </c>
      <c r="B10833" s="451"/>
      <c r="C10833" s="451" t="s">
        <v>9210</v>
      </c>
      <c r="D10833" s="451"/>
      <c r="E10833" s="451"/>
      <c r="F10833" s="451"/>
      <c r="G10833" s="451" t="s">
        <v>22877</v>
      </c>
      <c r="H10833" s="451" t="s">
        <v>22878</v>
      </c>
      <c r="I10833" s="451" t="s">
        <v>38699</v>
      </c>
      <c r="J10833" s="451" t="s">
        <v>22942</v>
      </c>
      <c r="K10833" s="451"/>
    </row>
    <row r="10834" spans="1:11">
      <c r="A10834" s="450" t="s">
        <v>21979</v>
      </c>
      <c r="B10834" s="450"/>
      <c r="C10834" s="450" t="s">
        <v>6034</v>
      </c>
      <c r="D10834" s="450"/>
      <c r="E10834" s="450"/>
      <c r="F10834" s="450"/>
      <c r="G10834" s="450" t="s">
        <v>22882</v>
      </c>
      <c r="H10834" s="450" t="s">
        <v>22883</v>
      </c>
      <c r="I10834" s="450"/>
      <c r="J10834" s="450" t="s">
        <v>22997</v>
      </c>
      <c r="K10834" s="450"/>
    </row>
    <row r="10835" spans="1:11">
      <c r="A10835" s="451" t="s">
        <v>17268</v>
      </c>
      <c r="B10835" s="451"/>
      <c r="C10835" s="451" t="s">
        <v>3619</v>
      </c>
      <c r="D10835" s="451"/>
      <c r="E10835" s="451"/>
      <c r="F10835" s="451"/>
      <c r="G10835" s="451" t="s">
        <v>22882</v>
      </c>
      <c r="H10835" s="451" t="s">
        <v>22883</v>
      </c>
      <c r="I10835" s="451" t="s">
        <v>29176</v>
      </c>
      <c r="J10835" s="451" t="s">
        <v>23185</v>
      </c>
      <c r="K10835" s="451"/>
    </row>
    <row r="10836" spans="1:11">
      <c r="A10836" s="450" t="s">
        <v>17269</v>
      </c>
      <c r="B10836" s="450" t="s">
        <v>17270</v>
      </c>
      <c r="C10836" s="450" t="s">
        <v>17271</v>
      </c>
      <c r="D10836" s="450"/>
      <c r="E10836" s="450"/>
      <c r="F10836" s="450"/>
      <c r="G10836" s="450" t="s">
        <v>22877</v>
      </c>
      <c r="H10836" s="450" t="s">
        <v>22878</v>
      </c>
      <c r="I10836" s="450" t="s">
        <v>29177</v>
      </c>
      <c r="J10836" s="450" t="s">
        <v>29178</v>
      </c>
      <c r="K10836" s="450"/>
    </row>
    <row r="10837" spans="1:11">
      <c r="A10837" s="451" t="s">
        <v>17272</v>
      </c>
      <c r="B10837" s="451"/>
      <c r="C10837" s="451" t="s">
        <v>9584</v>
      </c>
      <c r="D10837" s="451"/>
      <c r="E10837" s="451"/>
      <c r="F10837" s="451"/>
      <c r="G10837" s="451"/>
      <c r="H10837" s="451"/>
      <c r="I10837" s="451"/>
      <c r="J10837" s="451"/>
      <c r="K10837" s="451"/>
    </row>
    <row r="10838" spans="1:11">
      <c r="A10838" s="450" t="s">
        <v>38700</v>
      </c>
      <c r="B10838" s="450"/>
      <c r="C10838" s="450" t="s">
        <v>9584</v>
      </c>
      <c r="D10838" s="450"/>
      <c r="E10838" s="450"/>
      <c r="F10838" s="450"/>
      <c r="G10838" s="450" t="s">
        <v>22877</v>
      </c>
      <c r="H10838" s="450" t="s">
        <v>22878</v>
      </c>
      <c r="I10838" s="450" t="s">
        <v>38701</v>
      </c>
      <c r="J10838" s="450" t="s">
        <v>22939</v>
      </c>
      <c r="K10838" s="450"/>
    </row>
    <row r="10839" spans="1:11">
      <c r="A10839" s="451" t="s">
        <v>38702</v>
      </c>
      <c r="B10839" s="451"/>
      <c r="C10839" s="451" t="s">
        <v>4327</v>
      </c>
      <c r="D10839" s="451"/>
      <c r="E10839" s="451"/>
      <c r="F10839" s="451"/>
      <c r="G10839" s="451" t="s">
        <v>22877</v>
      </c>
      <c r="H10839" s="451" t="s">
        <v>22878</v>
      </c>
      <c r="I10839" s="451" t="s">
        <v>33737</v>
      </c>
      <c r="J10839" s="451" t="s">
        <v>23370</v>
      </c>
      <c r="K10839" s="451"/>
    </row>
    <row r="10840" spans="1:11">
      <c r="A10840" s="450" t="s">
        <v>17273</v>
      </c>
      <c r="B10840" s="450"/>
      <c r="C10840" s="450" t="s">
        <v>4327</v>
      </c>
      <c r="D10840" s="450"/>
      <c r="E10840" s="450"/>
      <c r="F10840" s="450"/>
      <c r="G10840" s="450"/>
      <c r="H10840" s="450"/>
      <c r="I10840" s="450"/>
      <c r="J10840" s="450"/>
      <c r="K10840" s="450"/>
    </row>
    <row r="10841" spans="1:11">
      <c r="A10841" s="451" t="s">
        <v>29179</v>
      </c>
      <c r="B10841" s="451" t="s">
        <v>17275</v>
      </c>
      <c r="C10841" s="451" t="s">
        <v>17276</v>
      </c>
      <c r="D10841" s="451" t="s">
        <v>17277</v>
      </c>
      <c r="E10841" s="451"/>
      <c r="F10841" s="451"/>
      <c r="G10841" s="451" t="s">
        <v>22877</v>
      </c>
      <c r="H10841" s="451" t="s">
        <v>22878</v>
      </c>
      <c r="I10841" s="451" t="s">
        <v>17277</v>
      </c>
      <c r="J10841" s="451" t="s">
        <v>29180</v>
      </c>
      <c r="K10841" s="451"/>
    </row>
    <row r="10842" spans="1:11">
      <c r="A10842" s="450" t="s">
        <v>17274</v>
      </c>
      <c r="B10842" s="450" t="s">
        <v>17275</v>
      </c>
      <c r="C10842" s="450" t="s">
        <v>17276</v>
      </c>
      <c r="D10842" s="450" t="s">
        <v>17277</v>
      </c>
      <c r="E10842" s="450" t="s">
        <v>17277</v>
      </c>
      <c r="F10842" s="450"/>
      <c r="G10842" s="450"/>
      <c r="H10842" s="450"/>
      <c r="I10842" s="450"/>
      <c r="J10842" s="450"/>
      <c r="K10842" s="450"/>
    </row>
    <row r="10843" spans="1:11">
      <c r="A10843" s="451" t="s">
        <v>38703</v>
      </c>
      <c r="B10843" s="451" t="s">
        <v>29181</v>
      </c>
      <c r="C10843" s="451" t="s">
        <v>29182</v>
      </c>
      <c r="D10843" s="451"/>
      <c r="E10843" s="451"/>
      <c r="F10843" s="451"/>
      <c r="G10843" s="451" t="s">
        <v>22882</v>
      </c>
      <c r="H10843" s="451" t="s">
        <v>22883</v>
      </c>
      <c r="I10843" s="451"/>
      <c r="J10843" s="451" t="s">
        <v>38704</v>
      </c>
      <c r="K10843" s="451"/>
    </row>
    <row r="10844" spans="1:11">
      <c r="A10844" s="450" t="s">
        <v>17278</v>
      </c>
      <c r="B10844" s="450"/>
      <c r="C10844" s="450" t="s">
        <v>17279</v>
      </c>
      <c r="D10844" s="450"/>
      <c r="E10844" s="450"/>
      <c r="F10844" s="450"/>
      <c r="G10844" s="450"/>
      <c r="H10844" s="450"/>
      <c r="I10844" s="450"/>
      <c r="J10844" s="450"/>
      <c r="K10844" s="450"/>
    </row>
    <row r="10845" spans="1:11">
      <c r="A10845" s="451" t="s">
        <v>38705</v>
      </c>
      <c r="B10845" s="451"/>
      <c r="C10845" s="451" t="s">
        <v>38706</v>
      </c>
      <c r="D10845" s="451"/>
      <c r="E10845" s="451"/>
      <c r="F10845" s="451"/>
      <c r="G10845" s="451" t="s">
        <v>22882</v>
      </c>
      <c r="H10845" s="451" t="s">
        <v>22883</v>
      </c>
      <c r="I10845" s="451" t="s">
        <v>38707</v>
      </c>
      <c r="J10845" s="451" t="s">
        <v>23185</v>
      </c>
      <c r="K10845" s="451"/>
    </row>
    <row r="10846" spans="1:11">
      <c r="A10846" s="450" t="s">
        <v>17280</v>
      </c>
      <c r="B10846" s="450"/>
      <c r="C10846" s="450" t="s">
        <v>17281</v>
      </c>
      <c r="D10846" s="450"/>
      <c r="E10846" s="450"/>
      <c r="F10846" s="450"/>
      <c r="G10846" s="450" t="s">
        <v>22882</v>
      </c>
      <c r="H10846" s="450" t="s">
        <v>22883</v>
      </c>
      <c r="I10846" s="450"/>
      <c r="J10846" s="450" t="s">
        <v>22939</v>
      </c>
      <c r="K10846" s="450"/>
    </row>
    <row r="10847" spans="1:11">
      <c r="A10847" s="451" t="s">
        <v>38708</v>
      </c>
      <c r="B10847" s="451"/>
      <c r="C10847" s="451" t="s">
        <v>4686</v>
      </c>
      <c r="D10847" s="451"/>
      <c r="E10847" s="451"/>
      <c r="F10847" s="451"/>
      <c r="G10847" s="451" t="s">
        <v>22882</v>
      </c>
      <c r="H10847" s="451" t="s">
        <v>22883</v>
      </c>
      <c r="I10847" s="451"/>
      <c r="J10847" s="451" t="s">
        <v>23370</v>
      </c>
      <c r="K10847" s="451"/>
    </row>
    <row r="10848" spans="1:11">
      <c r="A10848" s="450" t="s">
        <v>17282</v>
      </c>
      <c r="B10848" s="450"/>
      <c r="C10848" s="450" t="s">
        <v>4686</v>
      </c>
      <c r="D10848" s="450"/>
      <c r="E10848" s="450"/>
      <c r="F10848" s="450"/>
      <c r="G10848" s="450"/>
      <c r="H10848" s="450"/>
      <c r="I10848" s="450"/>
      <c r="J10848" s="450"/>
      <c r="K10848" s="450"/>
    </row>
    <row r="10849" spans="1:11">
      <c r="A10849" s="451" t="s">
        <v>29183</v>
      </c>
      <c r="B10849" s="451" t="s">
        <v>29184</v>
      </c>
      <c r="C10849" s="451" t="s">
        <v>17285</v>
      </c>
      <c r="D10849" s="451"/>
      <c r="E10849" s="451"/>
      <c r="F10849" s="451"/>
      <c r="G10849" s="451" t="s">
        <v>22877</v>
      </c>
      <c r="H10849" s="451" t="s">
        <v>22878</v>
      </c>
      <c r="I10849" s="451" t="s">
        <v>29185</v>
      </c>
      <c r="J10849" s="451" t="s">
        <v>29186</v>
      </c>
      <c r="K10849" s="451"/>
    </row>
    <row r="10850" spans="1:11">
      <c r="A10850" s="450" t="s">
        <v>17283</v>
      </c>
      <c r="B10850" s="450" t="s">
        <v>17284</v>
      </c>
      <c r="C10850" s="450" t="s">
        <v>17285</v>
      </c>
      <c r="D10850" s="450"/>
      <c r="E10850" s="450"/>
      <c r="F10850" s="450"/>
      <c r="G10850" s="450"/>
      <c r="H10850" s="450"/>
      <c r="I10850" s="450"/>
      <c r="J10850" s="450"/>
      <c r="K10850" s="450"/>
    </row>
    <row r="10851" spans="1:11">
      <c r="A10851" s="451" t="s">
        <v>17286</v>
      </c>
      <c r="B10851" s="451"/>
      <c r="C10851" s="451" t="s">
        <v>17287</v>
      </c>
      <c r="D10851" s="451"/>
      <c r="E10851" s="451"/>
      <c r="F10851" s="451"/>
      <c r="G10851" s="451" t="s">
        <v>22877</v>
      </c>
      <c r="H10851" s="451" t="s">
        <v>22878</v>
      </c>
      <c r="I10851" s="451" t="s">
        <v>29187</v>
      </c>
      <c r="J10851" s="451" t="s">
        <v>23185</v>
      </c>
      <c r="K10851" s="451"/>
    </row>
    <row r="10852" spans="1:11">
      <c r="A10852" s="450" t="s">
        <v>17288</v>
      </c>
      <c r="B10852" s="450"/>
      <c r="C10852" s="450" t="s">
        <v>17289</v>
      </c>
      <c r="D10852" s="450"/>
      <c r="E10852" s="450"/>
      <c r="F10852" s="450"/>
      <c r="G10852" s="450"/>
      <c r="H10852" s="450"/>
      <c r="I10852" s="450"/>
      <c r="J10852" s="450"/>
      <c r="K10852" s="450"/>
    </row>
    <row r="10853" spans="1:11">
      <c r="A10853" s="451" t="s">
        <v>38709</v>
      </c>
      <c r="B10853" s="451"/>
      <c r="C10853" s="451" t="s">
        <v>17289</v>
      </c>
      <c r="D10853" s="451"/>
      <c r="E10853" s="451"/>
      <c r="F10853" s="451"/>
      <c r="G10853" s="451" t="s">
        <v>22882</v>
      </c>
      <c r="H10853" s="451" t="s">
        <v>22883</v>
      </c>
      <c r="I10853" s="451" t="s">
        <v>38710</v>
      </c>
      <c r="J10853" s="451" t="s">
        <v>22942</v>
      </c>
      <c r="K10853" s="451"/>
    </row>
    <row r="10854" spans="1:11">
      <c r="A10854" s="450" t="s">
        <v>17290</v>
      </c>
      <c r="B10854" s="450"/>
      <c r="C10854" s="450" t="s">
        <v>17287</v>
      </c>
      <c r="D10854" s="450"/>
      <c r="E10854" s="450"/>
      <c r="F10854" s="450"/>
      <c r="G10854" s="450" t="s">
        <v>22877</v>
      </c>
      <c r="H10854" s="450" t="s">
        <v>22878</v>
      </c>
      <c r="I10854" s="450" t="s">
        <v>29187</v>
      </c>
      <c r="J10854" s="450" t="s">
        <v>28403</v>
      </c>
      <c r="K10854" s="450"/>
    </row>
    <row r="10855" spans="1:11">
      <c r="A10855" s="451" t="s">
        <v>17291</v>
      </c>
      <c r="B10855" s="451" t="s">
        <v>29188</v>
      </c>
      <c r="C10855" s="451" t="s">
        <v>17293</v>
      </c>
      <c r="D10855" s="451" t="s">
        <v>17294</v>
      </c>
      <c r="E10855" s="451"/>
      <c r="F10855" s="451"/>
      <c r="G10855" s="451" t="s">
        <v>22882</v>
      </c>
      <c r="H10855" s="451" t="s">
        <v>22883</v>
      </c>
      <c r="I10855" s="451" t="s">
        <v>29189</v>
      </c>
      <c r="J10855" s="451" t="s">
        <v>29190</v>
      </c>
      <c r="K10855" s="451"/>
    </row>
    <row r="10856" spans="1:11">
      <c r="A10856" s="450" t="s">
        <v>17291</v>
      </c>
      <c r="B10856" s="450" t="s">
        <v>17292</v>
      </c>
      <c r="C10856" s="450" t="s">
        <v>17293</v>
      </c>
      <c r="D10856" s="450" t="s">
        <v>17294</v>
      </c>
      <c r="E10856" s="450" t="s">
        <v>17295</v>
      </c>
      <c r="F10856" s="450"/>
      <c r="G10856" s="450"/>
      <c r="H10856" s="450"/>
      <c r="I10856" s="450"/>
      <c r="J10856" s="450"/>
      <c r="K10856" s="450"/>
    </row>
    <row r="10857" spans="1:11">
      <c r="A10857" s="451" t="s">
        <v>17296</v>
      </c>
      <c r="B10857" s="451"/>
      <c r="C10857" s="451" t="s">
        <v>17297</v>
      </c>
      <c r="D10857" s="451"/>
      <c r="E10857" s="451"/>
      <c r="F10857" s="451"/>
      <c r="G10857" s="451" t="s">
        <v>22877</v>
      </c>
      <c r="H10857" s="451" t="s">
        <v>22878</v>
      </c>
      <c r="I10857" s="451" t="s">
        <v>38711</v>
      </c>
      <c r="J10857" s="451" t="s">
        <v>22942</v>
      </c>
      <c r="K10857" s="451"/>
    </row>
    <row r="10858" spans="1:11">
      <c r="A10858" s="450" t="s">
        <v>38712</v>
      </c>
      <c r="B10858" s="450"/>
      <c r="C10858" s="450" t="s">
        <v>17299</v>
      </c>
      <c r="D10858" s="450"/>
      <c r="E10858" s="450"/>
      <c r="F10858" s="450"/>
      <c r="G10858" s="450" t="s">
        <v>22877</v>
      </c>
      <c r="H10858" s="450" t="s">
        <v>22878</v>
      </c>
      <c r="I10858" s="450" t="s">
        <v>38713</v>
      </c>
      <c r="J10858" s="450" t="s">
        <v>22942</v>
      </c>
      <c r="K10858" s="450"/>
    </row>
    <row r="10859" spans="1:11">
      <c r="A10859" s="451" t="s">
        <v>17298</v>
      </c>
      <c r="B10859" s="451"/>
      <c r="C10859" s="451" t="s">
        <v>17299</v>
      </c>
      <c r="D10859" s="451"/>
      <c r="E10859" s="451"/>
      <c r="F10859" s="451"/>
      <c r="G10859" s="451"/>
      <c r="H10859" s="451"/>
      <c r="I10859" s="451"/>
      <c r="J10859" s="451"/>
      <c r="K10859" s="451"/>
    </row>
    <row r="10860" spans="1:11">
      <c r="A10860" s="450" t="s">
        <v>17300</v>
      </c>
      <c r="B10860" s="450"/>
      <c r="C10860" s="450" t="s">
        <v>17301</v>
      </c>
      <c r="D10860" s="450"/>
      <c r="E10860" s="450"/>
      <c r="F10860" s="450"/>
      <c r="G10860" s="450" t="s">
        <v>22882</v>
      </c>
      <c r="H10860" s="450" t="s">
        <v>22883</v>
      </c>
      <c r="I10860" s="450" t="s">
        <v>29191</v>
      </c>
      <c r="J10860" s="450" t="s">
        <v>28871</v>
      </c>
      <c r="K10860" s="450"/>
    </row>
    <row r="10861" spans="1:11">
      <c r="A10861" s="451" t="s">
        <v>29192</v>
      </c>
      <c r="B10861" s="451" t="s">
        <v>29193</v>
      </c>
      <c r="C10861" s="451" t="s">
        <v>29194</v>
      </c>
      <c r="D10861" s="451"/>
      <c r="E10861" s="451"/>
      <c r="F10861" s="451"/>
      <c r="G10861" s="451" t="s">
        <v>22877</v>
      </c>
      <c r="H10861" s="451" t="s">
        <v>22878</v>
      </c>
      <c r="I10861" s="451" t="s">
        <v>29195</v>
      </c>
      <c r="J10861" s="451" t="s">
        <v>29196</v>
      </c>
      <c r="K10861" s="451"/>
    </row>
    <row r="10862" spans="1:11">
      <c r="A10862" s="450" t="s">
        <v>38714</v>
      </c>
      <c r="B10862" s="450"/>
      <c r="C10862" s="450" t="s">
        <v>17303</v>
      </c>
      <c r="D10862" s="450"/>
      <c r="E10862" s="450"/>
      <c r="F10862" s="450"/>
      <c r="G10862" s="450" t="s">
        <v>22877</v>
      </c>
      <c r="H10862" s="450" t="s">
        <v>22878</v>
      </c>
      <c r="I10862" s="450" t="s">
        <v>38715</v>
      </c>
      <c r="J10862" s="450" t="s">
        <v>22942</v>
      </c>
      <c r="K10862" s="450"/>
    </row>
    <row r="10863" spans="1:11">
      <c r="A10863" s="451" t="s">
        <v>17302</v>
      </c>
      <c r="B10863" s="451"/>
      <c r="C10863" s="451" t="s">
        <v>17303</v>
      </c>
      <c r="D10863" s="451"/>
      <c r="E10863" s="451"/>
      <c r="F10863" s="451"/>
      <c r="G10863" s="451"/>
      <c r="H10863" s="451"/>
      <c r="I10863" s="451"/>
      <c r="J10863" s="451"/>
      <c r="K10863" s="451"/>
    </row>
    <row r="10864" spans="1:11">
      <c r="A10864" s="450" t="s">
        <v>17304</v>
      </c>
      <c r="B10864" s="450"/>
      <c r="C10864" s="450" t="s">
        <v>1178</v>
      </c>
      <c r="D10864" s="450"/>
      <c r="E10864" s="450"/>
      <c r="F10864" s="450"/>
      <c r="G10864" s="450" t="s">
        <v>22882</v>
      </c>
      <c r="H10864" s="450" t="s">
        <v>22883</v>
      </c>
      <c r="I10864" s="450" t="s">
        <v>38716</v>
      </c>
      <c r="J10864" s="450" t="s">
        <v>23133</v>
      </c>
      <c r="K10864" s="450"/>
    </row>
    <row r="10865" spans="1:11">
      <c r="A10865" s="451" t="s">
        <v>17305</v>
      </c>
      <c r="B10865" s="451"/>
      <c r="C10865" s="451" t="s">
        <v>17306</v>
      </c>
      <c r="D10865" s="451"/>
      <c r="E10865" s="451"/>
      <c r="F10865" s="451"/>
      <c r="G10865" s="451" t="s">
        <v>22882</v>
      </c>
      <c r="H10865" s="451" t="s">
        <v>22883</v>
      </c>
      <c r="I10865" s="451"/>
      <c r="J10865" s="451" t="s">
        <v>22997</v>
      </c>
      <c r="K10865" s="451"/>
    </row>
    <row r="10866" spans="1:11">
      <c r="A10866" s="450" t="s">
        <v>17307</v>
      </c>
      <c r="B10866" s="450"/>
      <c r="C10866" s="450" t="s">
        <v>17308</v>
      </c>
      <c r="D10866" s="450"/>
      <c r="E10866" s="450"/>
      <c r="F10866" s="450"/>
      <c r="G10866" s="450" t="s">
        <v>22882</v>
      </c>
      <c r="H10866" s="450" t="s">
        <v>22883</v>
      </c>
      <c r="I10866" s="450"/>
      <c r="J10866" s="450" t="s">
        <v>23185</v>
      </c>
      <c r="K10866" s="450"/>
    </row>
    <row r="10867" spans="1:11">
      <c r="A10867" s="451" t="s">
        <v>21980</v>
      </c>
      <c r="B10867" s="451"/>
      <c r="C10867" s="451" t="s">
        <v>1006</v>
      </c>
      <c r="D10867" s="451"/>
      <c r="E10867" s="451"/>
      <c r="F10867" s="451"/>
      <c r="G10867" s="451" t="s">
        <v>22877</v>
      </c>
      <c r="H10867" s="451" t="s">
        <v>22878</v>
      </c>
      <c r="I10867" s="451" t="s">
        <v>29197</v>
      </c>
      <c r="J10867" s="451" t="s">
        <v>28403</v>
      </c>
      <c r="K10867" s="451"/>
    </row>
    <row r="10868" spans="1:11">
      <c r="A10868" s="450" t="s">
        <v>17309</v>
      </c>
      <c r="B10868" s="450" t="s">
        <v>17310</v>
      </c>
      <c r="C10868" s="450" t="s">
        <v>1395</v>
      </c>
      <c r="D10868" s="450" t="s">
        <v>17311</v>
      </c>
      <c r="E10868" s="450"/>
      <c r="F10868" s="450"/>
      <c r="G10868" s="450" t="s">
        <v>22877</v>
      </c>
      <c r="H10868" s="450" t="s">
        <v>22878</v>
      </c>
      <c r="I10868" s="450" t="s">
        <v>17311</v>
      </c>
      <c r="J10868" s="450" t="s">
        <v>38717</v>
      </c>
      <c r="K10868" s="450"/>
    </row>
    <row r="10869" spans="1:11">
      <c r="A10869" s="451" t="s">
        <v>17309</v>
      </c>
      <c r="B10869" s="451" t="s">
        <v>17310</v>
      </c>
      <c r="C10869" s="451" t="s">
        <v>1395</v>
      </c>
      <c r="D10869" s="451" t="s">
        <v>17311</v>
      </c>
      <c r="E10869" s="451" t="s">
        <v>17312</v>
      </c>
      <c r="F10869" s="451"/>
      <c r="G10869" s="451"/>
      <c r="H10869" s="451"/>
      <c r="I10869" s="451"/>
      <c r="J10869" s="451"/>
      <c r="K10869" s="451"/>
    </row>
    <row r="10870" spans="1:11">
      <c r="A10870" s="450" t="s">
        <v>17313</v>
      </c>
      <c r="B10870" s="450"/>
      <c r="C10870" s="450" t="s">
        <v>17314</v>
      </c>
      <c r="D10870" s="450"/>
      <c r="E10870" s="450"/>
      <c r="F10870" s="450"/>
      <c r="G10870" s="450" t="s">
        <v>22882</v>
      </c>
      <c r="H10870" s="450" t="s">
        <v>22883</v>
      </c>
      <c r="I10870" s="450" t="s">
        <v>38718</v>
      </c>
      <c r="J10870" s="450" t="s">
        <v>22997</v>
      </c>
      <c r="K10870" s="450"/>
    </row>
    <row r="10871" spans="1:11">
      <c r="A10871" s="451" t="s">
        <v>17315</v>
      </c>
      <c r="B10871" s="451"/>
      <c r="C10871" s="451" t="s">
        <v>17316</v>
      </c>
      <c r="D10871" s="451"/>
      <c r="E10871" s="451"/>
      <c r="F10871" s="451"/>
      <c r="G10871" s="451" t="s">
        <v>22877</v>
      </c>
      <c r="H10871" s="451" t="s">
        <v>22878</v>
      </c>
      <c r="I10871" s="451" t="s">
        <v>38719</v>
      </c>
      <c r="J10871" s="451" t="s">
        <v>23185</v>
      </c>
      <c r="K10871" s="451"/>
    </row>
    <row r="10872" spans="1:11">
      <c r="A10872" s="450" t="s">
        <v>38720</v>
      </c>
      <c r="B10872" s="450"/>
      <c r="C10872" s="450" t="s">
        <v>17318</v>
      </c>
      <c r="D10872" s="450"/>
      <c r="E10872" s="450"/>
      <c r="F10872" s="450"/>
      <c r="G10872" s="450" t="s">
        <v>22882</v>
      </c>
      <c r="H10872" s="450" t="s">
        <v>22883</v>
      </c>
      <c r="I10872" s="450" t="s">
        <v>38721</v>
      </c>
      <c r="J10872" s="450" t="s">
        <v>22997</v>
      </c>
      <c r="K10872" s="450"/>
    </row>
    <row r="10873" spans="1:11">
      <c r="A10873" s="451" t="s">
        <v>17317</v>
      </c>
      <c r="B10873" s="451"/>
      <c r="C10873" s="451" t="s">
        <v>17318</v>
      </c>
      <c r="D10873" s="451"/>
      <c r="E10873" s="451"/>
      <c r="F10873" s="451"/>
      <c r="G10873" s="451"/>
      <c r="H10873" s="451"/>
      <c r="I10873" s="451"/>
      <c r="J10873" s="451"/>
      <c r="K10873" s="451"/>
    </row>
    <row r="10874" spans="1:11">
      <c r="A10874" s="450" t="s">
        <v>21981</v>
      </c>
      <c r="B10874" s="450"/>
      <c r="C10874" s="450" t="s">
        <v>3834</v>
      </c>
      <c r="D10874" s="450"/>
      <c r="E10874" s="450"/>
      <c r="F10874" s="450"/>
      <c r="G10874" s="450" t="s">
        <v>22877</v>
      </c>
      <c r="H10874" s="450" t="s">
        <v>22878</v>
      </c>
      <c r="I10874" s="450" t="s">
        <v>38722</v>
      </c>
      <c r="J10874" s="450" t="s">
        <v>28871</v>
      </c>
      <c r="K10874" s="450"/>
    </row>
    <row r="10875" spans="1:11">
      <c r="A10875" s="451" t="s">
        <v>17319</v>
      </c>
      <c r="B10875" s="451"/>
      <c r="C10875" s="451" t="s">
        <v>17320</v>
      </c>
      <c r="D10875" s="451"/>
      <c r="E10875" s="451"/>
      <c r="F10875" s="451"/>
      <c r="G10875" s="451" t="s">
        <v>22882</v>
      </c>
      <c r="H10875" s="451" t="s">
        <v>22883</v>
      </c>
      <c r="I10875" s="451"/>
      <c r="J10875" s="451" t="s">
        <v>22942</v>
      </c>
      <c r="K10875" s="451"/>
    </row>
    <row r="10876" spans="1:11">
      <c r="A10876" s="450" t="s">
        <v>17321</v>
      </c>
      <c r="B10876" s="450"/>
      <c r="C10876" s="450" t="s">
        <v>17322</v>
      </c>
      <c r="D10876" s="450"/>
      <c r="E10876" s="450"/>
      <c r="F10876" s="450"/>
      <c r="G10876" s="450" t="s">
        <v>22882</v>
      </c>
      <c r="H10876" s="450" t="s">
        <v>22883</v>
      </c>
      <c r="I10876" s="450" t="s">
        <v>29198</v>
      </c>
      <c r="J10876" s="450" t="s">
        <v>23185</v>
      </c>
      <c r="K10876" s="450"/>
    </row>
    <row r="10877" spans="1:11">
      <c r="A10877" s="451" t="s">
        <v>29199</v>
      </c>
      <c r="B10877" s="451" t="s">
        <v>29200</v>
      </c>
      <c r="C10877" s="451" t="s">
        <v>29201</v>
      </c>
      <c r="D10877" s="451"/>
      <c r="E10877" s="451"/>
      <c r="F10877" s="451"/>
      <c r="G10877" s="451" t="s">
        <v>22877</v>
      </c>
      <c r="H10877" s="451" t="s">
        <v>22878</v>
      </c>
      <c r="I10877" s="451" t="s">
        <v>29202</v>
      </c>
      <c r="J10877" s="451" t="s">
        <v>29203</v>
      </c>
      <c r="K10877" s="451"/>
    </row>
    <row r="10878" spans="1:11">
      <c r="A10878" s="450" t="s">
        <v>29204</v>
      </c>
      <c r="B10878" s="450" t="s">
        <v>29205</v>
      </c>
      <c r="C10878" s="450" t="s">
        <v>29206</v>
      </c>
      <c r="D10878" s="450" t="s">
        <v>29207</v>
      </c>
      <c r="E10878" s="450"/>
      <c r="F10878" s="450"/>
      <c r="G10878" s="450" t="s">
        <v>22877</v>
      </c>
      <c r="H10878" s="450" t="s">
        <v>22878</v>
      </c>
      <c r="I10878" s="450" t="s">
        <v>29207</v>
      </c>
      <c r="J10878" s="450" t="s">
        <v>29208</v>
      </c>
      <c r="K10878" s="450"/>
    </row>
    <row r="10879" spans="1:11">
      <c r="A10879" s="451" t="s">
        <v>17323</v>
      </c>
      <c r="B10879" s="451"/>
      <c r="C10879" s="451" t="s">
        <v>7406</v>
      </c>
      <c r="D10879" s="451"/>
      <c r="E10879" s="451"/>
      <c r="F10879" s="451"/>
      <c r="G10879" s="451" t="s">
        <v>22882</v>
      </c>
      <c r="H10879" s="451" t="s">
        <v>22883</v>
      </c>
      <c r="I10879" s="451" t="s">
        <v>29209</v>
      </c>
      <c r="J10879" s="451" t="s">
        <v>28403</v>
      </c>
      <c r="K10879" s="451"/>
    </row>
    <row r="10880" spans="1:11">
      <c r="A10880" s="450" t="s">
        <v>17324</v>
      </c>
      <c r="B10880" s="450" t="s">
        <v>17325</v>
      </c>
      <c r="C10880" s="450" t="s">
        <v>17326</v>
      </c>
      <c r="D10880" s="450"/>
      <c r="E10880" s="450"/>
      <c r="F10880" s="450" t="s">
        <v>17327</v>
      </c>
      <c r="G10880" s="450" t="s">
        <v>22877</v>
      </c>
      <c r="H10880" s="450" t="s">
        <v>22878</v>
      </c>
      <c r="I10880" s="450" t="s">
        <v>29210</v>
      </c>
      <c r="J10880" s="450" t="s">
        <v>29211</v>
      </c>
      <c r="K10880" s="450"/>
    </row>
    <row r="10881" spans="1:11">
      <c r="A10881" s="451" t="s">
        <v>17328</v>
      </c>
      <c r="B10881" s="451"/>
      <c r="C10881" s="451" t="s">
        <v>1178</v>
      </c>
      <c r="D10881" s="451"/>
      <c r="E10881" s="451"/>
      <c r="F10881" s="451"/>
      <c r="G10881" s="451" t="s">
        <v>22877</v>
      </c>
      <c r="H10881" s="451" t="s">
        <v>22878</v>
      </c>
      <c r="I10881" s="451" t="s">
        <v>29212</v>
      </c>
      <c r="J10881" s="451" t="s">
        <v>22942</v>
      </c>
      <c r="K10881" s="451"/>
    </row>
    <row r="10882" spans="1:11">
      <c r="A10882" s="450" t="s">
        <v>17329</v>
      </c>
      <c r="B10882" s="450" t="s">
        <v>17330</v>
      </c>
      <c r="C10882" s="450" t="s">
        <v>2168</v>
      </c>
      <c r="D10882" s="450" t="s">
        <v>17331</v>
      </c>
      <c r="E10882" s="450"/>
      <c r="F10882" s="450"/>
      <c r="G10882" s="450" t="s">
        <v>22882</v>
      </c>
      <c r="H10882" s="450" t="s">
        <v>22883</v>
      </c>
      <c r="I10882" s="450" t="s">
        <v>17331</v>
      </c>
      <c r="J10882" s="450" t="s">
        <v>38723</v>
      </c>
      <c r="K10882" s="450"/>
    </row>
    <row r="10883" spans="1:11">
      <c r="A10883" s="451" t="s">
        <v>17329</v>
      </c>
      <c r="B10883" s="451" t="s">
        <v>17330</v>
      </c>
      <c r="C10883" s="451" t="s">
        <v>2168</v>
      </c>
      <c r="D10883" s="451" t="s">
        <v>17331</v>
      </c>
      <c r="E10883" s="451" t="s">
        <v>17332</v>
      </c>
      <c r="F10883" s="451"/>
      <c r="G10883" s="451"/>
      <c r="H10883" s="451"/>
      <c r="I10883" s="451"/>
      <c r="J10883" s="451"/>
      <c r="K10883" s="451"/>
    </row>
    <row r="10884" spans="1:11">
      <c r="A10884" s="450" t="s">
        <v>38724</v>
      </c>
      <c r="B10884" s="450" t="s">
        <v>17333</v>
      </c>
      <c r="C10884" s="450" t="s">
        <v>17334</v>
      </c>
      <c r="D10884" s="450" t="s">
        <v>17335</v>
      </c>
      <c r="E10884" s="450"/>
      <c r="F10884" s="450"/>
      <c r="G10884" s="450" t="s">
        <v>22877</v>
      </c>
      <c r="H10884" s="450" t="s">
        <v>22878</v>
      </c>
      <c r="I10884" s="450" t="s">
        <v>17335</v>
      </c>
      <c r="J10884" s="450" t="s">
        <v>38725</v>
      </c>
      <c r="K10884" s="450"/>
    </row>
    <row r="10885" spans="1:11">
      <c r="A10885" s="451" t="s">
        <v>21982</v>
      </c>
      <c r="B10885" s="451" t="s">
        <v>17333</v>
      </c>
      <c r="C10885" s="451" t="s">
        <v>17334</v>
      </c>
      <c r="D10885" s="451" t="s">
        <v>17335</v>
      </c>
      <c r="E10885" s="451" t="s">
        <v>17336</v>
      </c>
      <c r="F10885" s="451"/>
      <c r="G10885" s="451"/>
      <c r="H10885" s="451"/>
      <c r="I10885" s="451"/>
      <c r="J10885" s="451"/>
      <c r="K10885" s="451"/>
    </row>
    <row r="10886" spans="1:11">
      <c r="A10886" s="450" t="s">
        <v>21983</v>
      </c>
      <c r="B10886" s="450" t="s">
        <v>29213</v>
      </c>
      <c r="C10886" s="450" t="s">
        <v>3513</v>
      </c>
      <c r="D10886" s="450" t="s">
        <v>17338</v>
      </c>
      <c r="E10886" s="450"/>
      <c r="F10886" s="450"/>
      <c r="G10886" s="450" t="s">
        <v>22882</v>
      </c>
      <c r="H10886" s="450" t="s">
        <v>22883</v>
      </c>
      <c r="I10886" s="450" t="s">
        <v>17338</v>
      </c>
      <c r="J10886" s="450" t="s">
        <v>29214</v>
      </c>
      <c r="K10886" s="450"/>
    </row>
    <row r="10887" spans="1:11">
      <c r="A10887" s="451" t="s">
        <v>21983</v>
      </c>
      <c r="B10887" s="451" t="s">
        <v>17337</v>
      </c>
      <c r="C10887" s="451" t="s">
        <v>3513</v>
      </c>
      <c r="D10887" s="451" t="s">
        <v>17338</v>
      </c>
      <c r="E10887" s="451" t="s">
        <v>17339</v>
      </c>
      <c r="F10887" s="451"/>
      <c r="G10887" s="451"/>
      <c r="H10887" s="451"/>
      <c r="I10887" s="451"/>
      <c r="J10887" s="451"/>
      <c r="K10887" s="451"/>
    </row>
    <row r="10888" spans="1:11">
      <c r="A10888" s="450" t="s">
        <v>21984</v>
      </c>
      <c r="B10888" s="450" t="s">
        <v>17340</v>
      </c>
      <c r="C10888" s="450" t="s">
        <v>17341</v>
      </c>
      <c r="D10888" s="450"/>
      <c r="E10888" s="450"/>
      <c r="F10888" s="450" t="s">
        <v>17342</v>
      </c>
      <c r="G10888" s="450" t="s">
        <v>38726</v>
      </c>
      <c r="H10888" s="450" t="s">
        <v>22878</v>
      </c>
      <c r="I10888" s="450"/>
      <c r="J10888" s="450" t="s">
        <v>17340</v>
      </c>
      <c r="K10888" s="450"/>
    </row>
    <row r="10889" spans="1:11">
      <c r="A10889" s="451" t="s">
        <v>17343</v>
      </c>
      <c r="B10889" s="451"/>
      <c r="C10889" s="451" t="s">
        <v>17344</v>
      </c>
      <c r="D10889" s="451"/>
      <c r="E10889" s="451"/>
      <c r="F10889" s="451"/>
      <c r="G10889" s="451" t="s">
        <v>22882</v>
      </c>
      <c r="H10889" s="451" t="s">
        <v>22883</v>
      </c>
      <c r="I10889" s="451"/>
      <c r="J10889" s="451" t="s">
        <v>22942</v>
      </c>
      <c r="K10889" s="451"/>
    </row>
    <row r="10890" spans="1:11">
      <c r="A10890" s="450" t="s">
        <v>17345</v>
      </c>
      <c r="B10890" s="450"/>
      <c r="C10890" s="450" t="s">
        <v>17346</v>
      </c>
      <c r="D10890" s="450"/>
      <c r="E10890" s="450"/>
      <c r="F10890" s="450"/>
      <c r="G10890" s="450" t="s">
        <v>22877</v>
      </c>
      <c r="H10890" s="450" t="s">
        <v>22878</v>
      </c>
      <c r="I10890" s="450" t="s">
        <v>38727</v>
      </c>
      <c r="J10890" s="450" t="s">
        <v>22942</v>
      </c>
      <c r="K10890" s="450"/>
    </row>
    <row r="10891" spans="1:11">
      <c r="A10891" s="451" t="s">
        <v>17347</v>
      </c>
      <c r="B10891" s="451"/>
      <c r="C10891" s="451" t="s">
        <v>3336</v>
      </c>
      <c r="D10891" s="451"/>
      <c r="E10891" s="451"/>
      <c r="F10891" s="451"/>
      <c r="G10891" s="451" t="s">
        <v>22882</v>
      </c>
      <c r="H10891" s="451" t="s">
        <v>22883</v>
      </c>
      <c r="I10891" s="451" t="s">
        <v>38728</v>
      </c>
      <c r="J10891" s="451" t="s">
        <v>22997</v>
      </c>
      <c r="K10891" s="451"/>
    </row>
    <row r="10892" spans="1:11">
      <c r="A10892" s="450" t="s">
        <v>21985</v>
      </c>
      <c r="B10892" s="450"/>
      <c r="C10892" s="450" t="s">
        <v>17348</v>
      </c>
      <c r="D10892" s="450"/>
      <c r="E10892" s="450"/>
      <c r="F10892" s="450"/>
      <c r="G10892" s="450" t="s">
        <v>22882</v>
      </c>
      <c r="H10892" s="450" t="s">
        <v>22883</v>
      </c>
      <c r="I10892" s="450" t="s">
        <v>38729</v>
      </c>
      <c r="J10892" s="450" t="s">
        <v>22997</v>
      </c>
      <c r="K10892" s="450"/>
    </row>
    <row r="10893" spans="1:11">
      <c r="A10893" s="451" t="s">
        <v>17349</v>
      </c>
      <c r="B10893" s="451"/>
      <c r="C10893" s="451" t="s">
        <v>3921</v>
      </c>
      <c r="D10893" s="451"/>
      <c r="E10893" s="451"/>
      <c r="F10893" s="451"/>
      <c r="G10893" s="451" t="s">
        <v>22877</v>
      </c>
      <c r="H10893" s="451" t="s">
        <v>22878</v>
      </c>
      <c r="I10893" s="451" t="s">
        <v>29215</v>
      </c>
      <c r="J10893" s="451" t="s">
        <v>23185</v>
      </c>
      <c r="K10893" s="451"/>
    </row>
    <row r="10894" spans="1:11">
      <c r="A10894" s="450" t="s">
        <v>29216</v>
      </c>
      <c r="B10894" s="450" t="s">
        <v>29217</v>
      </c>
      <c r="C10894" s="450" t="s">
        <v>29218</v>
      </c>
      <c r="D10894" s="450"/>
      <c r="E10894" s="450"/>
      <c r="F10894" s="450"/>
      <c r="G10894" s="450" t="s">
        <v>22882</v>
      </c>
      <c r="H10894" s="450" t="s">
        <v>22883</v>
      </c>
      <c r="I10894" s="450"/>
      <c r="J10894" s="450" t="s">
        <v>29219</v>
      </c>
      <c r="K10894" s="450"/>
    </row>
    <row r="10895" spans="1:11">
      <c r="A10895" s="451" t="s">
        <v>17350</v>
      </c>
      <c r="B10895" s="451"/>
      <c r="C10895" s="451" t="s">
        <v>4315</v>
      </c>
      <c r="D10895" s="451"/>
      <c r="E10895" s="451"/>
      <c r="F10895" s="451"/>
      <c r="G10895" s="451" t="s">
        <v>22877</v>
      </c>
      <c r="H10895" s="451" t="s">
        <v>22878</v>
      </c>
      <c r="I10895" s="451" t="s">
        <v>38730</v>
      </c>
      <c r="J10895" s="451" t="s">
        <v>23185</v>
      </c>
      <c r="K10895" s="451"/>
    </row>
    <row r="10896" spans="1:11">
      <c r="A10896" s="450" t="s">
        <v>17351</v>
      </c>
      <c r="B10896" s="450"/>
      <c r="C10896" s="450" t="s">
        <v>3245</v>
      </c>
      <c r="D10896" s="450"/>
      <c r="E10896" s="450"/>
      <c r="F10896" s="450"/>
      <c r="G10896" s="450" t="s">
        <v>22882</v>
      </c>
      <c r="H10896" s="450" t="s">
        <v>22883</v>
      </c>
      <c r="I10896" s="450" t="s">
        <v>38731</v>
      </c>
      <c r="J10896" s="450" t="s">
        <v>23185</v>
      </c>
      <c r="K10896" s="450"/>
    </row>
    <row r="10897" spans="1:11">
      <c r="A10897" s="451" t="s">
        <v>17352</v>
      </c>
      <c r="B10897" s="451"/>
      <c r="C10897" s="451" t="s">
        <v>17353</v>
      </c>
      <c r="D10897" s="451"/>
      <c r="E10897" s="451"/>
      <c r="F10897" s="451"/>
      <c r="G10897" s="451" t="s">
        <v>22877</v>
      </c>
      <c r="H10897" s="451" t="s">
        <v>22878</v>
      </c>
      <c r="I10897" s="451" t="s">
        <v>29220</v>
      </c>
      <c r="J10897" s="451" t="s">
        <v>22997</v>
      </c>
      <c r="K10897" s="451"/>
    </row>
    <row r="10898" spans="1:11">
      <c r="A10898" s="450" t="s">
        <v>29221</v>
      </c>
      <c r="B10898" s="450" t="s">
        <v>29222</v>
      </c>
      <c r="C10898" s="450" t="s">
        <v>29223</v>
      </c>
      <c r="D10898" s="450"/>
      <c r="E10898" s="450"/>
      <c r="F10898" s="450"/>
      <c r="G10898" s="450" t="s">
        <v>22877</v>
      </c>
      <c r="H10898" s="450" t="s">
        <v>22878</v>
      </c>
      <c r="I10898" s="450" t="s">
        <v>29224</v>
      </c>
      <c r="J10898" s="450" t="s">
        <v>29225</v>
      </c>
      <c r="K10898" s="450"/>
    </row>
    <row r="10899" spans="1:11">
      <c r="A10899" s="451" t="s">
        <v>29226</v>
      </c>
      <c r="B10899" s="451" t="s">
        <v>29227</v>
      </c>
      <c r="C10899" s="451" t="s">
        <v>29228</v>
      </c>
      <c r="D10899" s="451"/>
      <c r="E10899" s="451"/>
      <c r="F10899" s="451"/>
      <c r="G10899" s="451" t="s">
        <v>22877</v>
      </c>
      <c r="H10899" s="451" t="s">
        <v>22878</v>
      </c>
      <c r="I10899" s="451" t="s">
        <v>29229</v>
      </c>
      <c r="J10899" s="451" t="s">
        <v>29230</v>
      </c>
      <c r="K10899" s="451"/>
    </row>
    <row r="10900" spans="1:11">
      <c r="A10900" s="450" t="s">
        <v>17354</v>
      </c>
      <c r="B10900" s="450"/>
      <c r="C10900" s="450" t="s">
        <v>17355</v>
      </c>
      <c r="D10900" s="450"/>
      <c r="E10900" s="450"/>
      <c r="F10900" s="450"/>
      <c r="G10900" s="450" t="s">
        <v>22877</v>
      </c>
      <c r="H10900" s="450" t="s">
        <v>22878</v>
      </c>
      <c r="I10900" s="450" t="s">
        <v>29231</v>
      </c>
      <c r="J10900" s="450" t="s">
        <v>22997</v>
      </c>
      <c r="K10900" s="450"/>
    </row>
    <row r="10901" spans="1:11">
      <c r="A10901" s="451" t="s">
        <v>17356</v>
      </c>
      <c r="B10901" s="451" t="s">
        <v>17357</v>
      </c>
      <c r="C10901" s="451" t="s">
        <v>17358</v>
      </c>
      <c r="D10901" s="451"/>
      <c r="E10901" s="451"/>
      <c r="F10901" s="451"/>
      <c r="G10901" s="451" t="s">
        <v>22882</v>
      </c>
      <c r="H10901" s="451" t="s">
        <v>22883</v>
      </c>
      <c r="I10901" s="451" t="s">
        <v>29232</v>
      </c>
      <c r="J10901" s="451" t="s">
        <v>29233</v>
      </c>
      <c r="K10901" s="451"/>
    </row>
    <row r="10902" spans="1:11">
      <c r="A10902" s="450" t="s">
        <v>29234</v>
      </c>
      <c r="B10902" s="450" t="s">
        <v>29235</v>
      </c>
      <c r="C10902" s="450" t="s">
        <v>11185</v>
      </c>
      <c r="D10902" s="450" t="s">
        <v>17391</v>
      </c>
      <c r="E10902" s="450"/>
      <c r="F10902" s="450"/>
      <c r="G10902" s="450" t="s">
        <v>22877</v>
      </c>
      <c r="H10902" s="450" t="s">
        <v>22878</v>
      </c>
      <c r="I10902" s="450" t="s">
        <v>29236</v>
      </c>
      <c r="J10902" s="450" t="s">
        <v>29237</v>
      </c>
      <c r="K10902" s="450"/>
    </row>
    <row r="10903" spans="1:11">
      <c r="A10903" s="451" t="s">
        <v>17359</v>
      </c>
      <c r="B10903" s="451" t="s">
        <v>17360</v>
      </c>
      <c r="C10903" s="451" t="s">
        <v>17361</v>
      </c>
      <c r="D10903" s="451" t="s">
        <v>17362</v>
      </c>
      <c r="E10903" s="451"/>
      <c r="F10903" s="451"/>
      <c r="G10903" s="451" t="s">
        <v>22877</v>
      </c>
      <c r="H10903" s="451" t="s">
        <v>22878</v>
      </c>
      <c r="I10903" s="451" t="s">
        <v>38732</v>
      </c>
      <c r="J10903" s="451" t="s">
        <v>38733</v>
      </c>
      <c r="K10903" s="451"/>
    </row>
    <row r="10904" spans="1:11">
      <c r="A10904" s="450" t="s">
        <v>17359</v>
      </c>
      <c r="B10904" s="450" t="s">
        <v>17360</v>
      </c>
      <c r="C10904" s="450" t="s">
        <v>17361</v>
      </c>
      <c r="D10904" s="450" t="s">
        <v>17362</v>
      </c>
      <c r="E10904" s="450" t="s">
        <v>17363</v>
      </c>
      <c r="F10904" s="450"/>
      <c r="G10904" s="450"/>
      <c r="H10904" s="450"/>
      <c r="I10904" s="450"/>
      <c r="J10904" s="450"/>
      <c r="K10904" s="450"/>
    </row>
    <row r="10905" spans="1:11">
      <c r="A10905" s="451" t="s">
        <v>29238</v>
      </c>
      <c r="B10905" s="451" t="s">
        <v>29239</v>
      </c>
      <c r="C10905" s="451" t="s">
        <v>17380</v>
      </c>
      <c r="D10905" s="451" t="s">
        <v>17381</v>
      </c>
      <c r="E10905" s="451"/>
      <c r="F10905" s="451"/>
      <c r="G10905" s="451" t="s">
        <v>22882</v>
      </c>
      <c r="H10905" s="451" t="s">
        <v>22883</v>
      </c>
      <c r="I10905" s="451" t="s">
        <v>17381</v>
      </c>
      <c r="J10905" s="451" t="s">
        <v>29240</v>
      </c>
      <c r="K10905" s="451"/>
    </row>
    <row r="10906" spans="1:11">
      <c r="A10906" s="450" t="s">
        <v>17364</v>
      </c>
      <c r="B10906" s="450" t="s">
        <v>17365</v>
      </c>
      <c r="C10906" s="450" t="s">
        <v>4152</v>
      </c>
      <c r="D10906" s="450" t="s">
        <v>17366</v>
      </c>
      <c r="E10906" s="450"/>
      <c r="F10906" s="450"/>
      <c r="G10906" s="450" t="s">
        <v>22877</v>
      </c>
      <c r="H10906" s="450" t="s">
        <v>22878</v>
      </c>
      <c r="I10906" s="450" t="s">
        <v>17366</v>
      </c>
      <c r="J10906" s="450" t="s">
        <v>29241</v>
      </c>
      <c r="K10906" s="450"/>
    </row>
    <row r="10907" spans="1:11">
      <c r="A10907" s="451" t="s">
        <v>17367</v>
      </c>
      <c r="B10907" s="451" t="s">
        <v>17368</v>
      </c>
      <c r="C10907" s="451" t="s">
        <v>17369</v>
      </c>
      <c r="D10907" s="451"/>
      <c r="E10907" s="451"/>
      <c r="F10907" s="451"/>
      <c r="G10907" s="451" t="s">
        <v>22877</v>
      </c>
      <c r="H10907" s="451" t="s">
        <v>22878</v>
      </c>
      <c r="I10907" s="451" t="s">
        <v>29242</v>
      </c>
      <c r="J10907" s="451" t="s">
        <v>29243</v>
      </c>
      <c r="K10907" s="451"/>
    </row>
    <row r="10908" spans="1:11">
      <c r="A10908" s="450" t="s">
        <v>17370</v>
      </c>
      <c r="B10908" s="450" t="s">
        <v>29244</v>
      </c>
      <c r="C10908" s="450" t="s">
        <v>4614</v>
      </c>
      <c r="D10908" s="450" t="s">
        <v>17372</v>
      </c>
      <c r="E10908" s="450"/>
      <c r="F10908" s="450"/>
      <c r="G10908" s="450" t="s">
        <v>22882</v>
      </c>
      <c r="H10908" s="450" t="s">
        <v>22883</v>
      </c>
      <c r="I10908" s="450" t="s">
        <v>29245</v>
      </c>
      <c r="J10908" s="450" t="s">
        <v>29246</v>
      </c>
      <c r="K10908" s="450"/>
    </row>
    <row r="10909" spans="1:11">
      <c r="A10909" s="451" t="s">
        <v>17370</v>
      </c>
      <c r="B10909" s="451" t="s">
        <v>17371</v>
      </c>
      <c r="C10909" s="451" t="s">
        <v>4614</v>
      </c>
      <c r="D10909" s="451" t="s">
        <v>17372</v>
      </c>
      <c r="E10909" s="451" t="s">
        <v>17373</v>
      </c>
      <c r="F10909" s="451"/>
      <c r="G10909" s="451"/>
      <c r="H10909" s="451"/>
      <c r="I10909" s="451"/>
      <c r="J10909" s="451"/>
      <c r="K10909" s="451"/>
    </row>
    <row r="10910" spans="1:11">
      <c r="A10910" s="450" t="s">
        <v>17374</v>
      </c>
      <c r="B10910" s="450" t="s">
        <v>29247</v>
      </c>
      <c r="C10910" s="450" t="s">
        <v>2278</v>
      </c>
      <c r="D10910" s="450" t="s">
        <v>17376</v>
      </c>
      <c r="E10910" s="450"/>
      <c r="F10910" s="450"/>
      <c r="G10910" s="450" t="s">
        <v>22882</v>
      </c>
      <c r="H10910" s="450" t="s">
        <v>22883</v>
      </c>
      <c r="I10910" s="450" t="s">
        <v>17376</v>
      </c>
      <c r="J10910" s="450" t="s">
        <v>29248</v>
      </c>
      <c r="K10910" s="450"/>
    </row>
    <row r="10911" spans="1:11">
      <c r="A10911" s="451" t="s">
        <v>17374</v>
      </c>
      <c r="B10911" s="451" t="s">
        <v>17375</v>
      </c>
      <c r="C10911" s="451" t="s">
        <v>2278</v>
      </c>
      <c r="D10911" s="451" t="s">
        <v>17376</v>
      </c>
      <c r="E10911" s="451" t="s">
        <v>17377</v>
      </c>
      <c r="F10911" s="451"/>
      <c r="G10911" s="451"/>
      <c r="H10911" s="451"/>
      <c r="I10911" s="451"/>
      <c r="J10911" s="451"/>
      <c r="K10911" s="451"/>
    </row>
    <row r="10912" spans="1:11">
      <c r="A10912" s="450" t="s">
        <v>17378</v>
      </c>
      <c r="B10912" s="450" t="s">
        <v>17379</v>
      </c>
      <c r="C10912" s="450" t="s">
        <v>17380</v>
      </c>
      <c r="D10912" s="450" t="s">
        <v>17381</v>
      </c>
      <c r="E10912" s="450" t="s">
        <v>17382</v>
      </c>
      <c r="F10912" s="450"/>
      <c r="G10912" s="450"/>
      <c r="H10912" s="450"/>
      <c r="I10912" s="450"/>
      <c r="J10912" s="450"/>
      <c r="K10912" s="450"/>
    </row>
    <row r="10913" spans="1:11">
      <c r="A10913" s="451" t="s">
        <v>17383</v>
      </c>
      <c r="B10913" s="451" t="s">
        <v>17384</v>
      </c>
      <c r="C10913" s="451" t="s">
        <v>17385</v>
      </c>
      <c r="D10913" s="451"/>
      <c r="E10913" s="451"/>
      <c r="F10913" s="451"/>
      <c r="G10913" s="451" t="s">
        <v>22877</v>
      </c>
      <c r="H10913" s="451" t="s">
        <v>22878</v>
      </c>
      <c r="I10913" s="451"/>
      <c r="J10913" s="451" t="s">
        <v>38734</v>
      </c>
      <c r="K10913" s="451"/>
    </row>
    <row r="10914" spans="1:11">
      <c r="A10914" s="450" t="s">
        <v>17386</v>
      </c>
      <c r="B10914" s="450" t="s">
        <v>17387</v>
      </c>
      <c r="C10914" s="450" t="s">
        <v>17388</v>
      </c>
      <c r="D10914" s="450"/>
      <c r="E10914" s="450"/>
      <c r="F10914" s="450"/>
      <c r="G10914" s="450" t="s">
        <v>22882</v>
      </c>
      <c r="H10914" s="450" t="s">
        <v>22883</v>
      </c>
      <c r="I10914" s="450"/>
      <c r="J10914" s="450" t="s">
        <v>38735</v>
      </c>
      <c r="K10914" s="450"/>
    </row>
    <row r="10915" spans="1:11">
      <c r="A10915" s="451" t="s">
        <v>17389</v>
      </c>
      <c r="B10915" s="451" t="s">
        <v>17390</v>
      </c>
      <c r="C10915" s="451" t="s">
        <v>11185</v>
      </c>
      <c r="D10915" s="451" t="s">
        <v>17391</v>
      </c>
      <c r="E10915" s="451" t="s">
        <v>17392</v>
      </c>
      <c r="F10915" s="451"/>
      <c r="G10915" s="451"/>
      <c r="H10915" s="451"/>
      <c r="I10915" s="451"/>
      <c r="J10915" s="451"/>
      <c r="K10915" s="451"/>
    </row>
    <row r="10916" spans="1:11">
      <c r="A10916" s="450" t="s">
        <v>17393</v>
      </c>
      <c r="B10916" s="450" t="s">
        <v>29249</v>
      </c>
      <c r="C10916" s="450" t="s">
        <v>4614</v>
      </c>
      <c r="D10916" s="450" t="s">
        <v>17395</v>
      </c>
      <c r="E10916" s="450"/>
      <c r="F10916" s="450"/>
      <c r="G10916" s="450" t="s">
        <v>22882</v>
      </c>
      <c r="H10916" s="450" t="s">
        <v>22883</v>
      </c>
      <c r="I10916" s="450" t="s">
        <v>27379</v>
      </c>
      <c r="J10916" s="450" t="s">
        <v>29250</v>
      </c>
      <c r="K10916" s="450"/>
    </row>
    <row r="10917" spans="1:11">
      <c r="A10917" s="451" t="s">
        <v>17393</v>
      </c>
      <c r="B10917" s="451" t="s">
        <v>17394</v>
      </c>
      <c r="C10917" s="451" t="s">
        <v>4614</v>
      </c>
      <c r="D10917" s="451" t="s">
        <v>17395</v>
      </c>
      <c r="E10917" s="451" t="s">
        <v>17396</v>
      </c>
      <c r="F10917" s="451"/>
      <c r="G10917" s="451"/>
      <c r="H10917" s="451"/>
      <c r="I10917" s="451"/>
      <c r="J10917" s="451"/>
      <c r="K10917" s="451"/>
    </row>
    <row r="10918" spans="1:11">
      <c r="A10918" s="450" t="s">
        <v>38736</v>
      </c>
      <c r="B10918" s="450"/>
      <c r="C10918" s="450" t="s">
        <v>9324</v>
      </c>
      <c r="D10918" s="450"/>
      <c r="E10918" s="450"/>
      <c r="F10918" s="450"/>
      <c r="G10918" s="450" t="s">
        <v>22877</v>
      </c>
      <c r="H10918" s="450" t="s">
        <v>22878</v>
      </c>
      <c r="I10918" s="450" t="s">
        <v>38737</v>
      </c>
      <c r="J10918" s="450" t="s">
        <v>23185</v>
      </c>
      <c r="K10918" s="450"/>
    </row>
    <row r="10919" spans="1:11">
      <c r="A10919" s="451" t="s">
        <v>17397</v>
      </c>
      <c r="B10919" s="451"/>
      <c r="C10919" s="451" t="s">
        <v>17398</v>
      </c>
      <c r="D10919" s="451"/>
      <c r="E10919" s="451"/>
      <c r="F10919" s="451"/>
      <c r="G10919" s="451"/>
      <c r="H10919" s="451"/>
      <c r="I10919" s="451"/>
      <c r="J10919" s="451"/>
      <c r="K10919" s="451"/>
    </row>
    <row r="10920" spans="1:11">
      <c r="A10920" s="450" t="s">
        <v>17399</v>
      </c>
      <c r="B10920" s="450"/>
      <c r="C10920" s="450" t="s">
        <v>17400</v>
      </c>
      <c r="D10920" s="450"/>
      <c r="E10920" s="450"/>
      <c r="F10920" s="450"/>
      <c r="G10920" s="450" t="s">
        <v>22882</v>
      </c>
      <c r="H10920" s="450" t="s">
        <v>22883</v>
      </c>
      <c r="I10920" s="450" t="s">
        <v>38738</v>
      </c>
      <c r="J10920" s="450" t="s">
        <v>23185</v>
      </c>
      <c r="K10920" s="450"/>
    </row>
    <row r="10921" spans="1:11">
      <c r="A10921" s="451" t="s">
        <v>17401</v>
      </c>
      <c r="B10921" s="451"/>
      <c r="C10921" s="451" t="s">
        <v>15281</v>
      </c>
      <c r="D10921" s="451"/>
      <c r="E10921" s="451"/>
      <c r="F10921" s="451"/>
      <c r="G10921" s="451" t="s">
        <v>22877</v>
      </c>
      <c r="H10921" s="451" t="s">
        <v>22878</v>
      </c>
      <c r="I10921" s="451" t="s">
        <v>38737</v>
      </c>
      <c r="J10921" s="451" t="s">
        <v>23185</v>
      </c>
      <c r="K10921" s="451"/>
    </row>
    <row r="10922" spans="1:11">
      <c r="A10922" s="450" t="s">
        <v>17402</v>
      </c>
      <c r="B10922" s="450"/>
      <c r="C10922" s="450" t="s">
        <v>17403</v>
      </c>
      <c r="D10922" s="450"/>
      <c r="E10922" s="450"/>
      <c r="F10922" s="450"/>
      <c r="G10922" s="450" t="s">
        <v>32668</v>
      </c>
      <c r="H10922" s="450" t="s">
        <v>22878</v>
      </c>
      <c r="I10922" s="450"/>
      <c r="J10922" s="450"/>
      <c r="K10922" s="450"/>
    </row>
    <row r="10923" spans="1:11">
      <c r="A10923" s="451" t="s">
        <v>17404</v>
      </c>
      <c r="B10923" s="451"/>
      <c r="C10923" s="451" t="s">
        <v>17405</v>
      </c>
      <c r="D10923" s="451"/>
      <c r="E10923" s="451"/>
      <c r="F10923" s="451"/>
      <c r="G10923" s="451" t="s">
        <v>22882</v>
      </c>
      <c r="H10923" s="451" t="s">
        <v>22883</v>
      </c>
      <c r="I10923" s="451" t="s">
        <v>38739</v>
      </c>
      <c r="J10923" s="451" t="s">
        <v>23185</v>
      </c>
      <c r="K10923" s="451"/>
    </row>
    <row r="10924" spans="1:11">
      <c r="A10924" s="450" t="s">
        <v>17406</v>
      </c>
      <c r="B10924" s="450"/>
      <c r="C10924" s="450" t="s">
        <v>9584</v>
      </c>
      <c r="D10924" s="450"/>
      <c r="E10924" s="450"/>
      <c r="F10924" s="450"/>
      <c r="G10924" s="450" t="s">
        <v>22877</v>
      </c>
      <c r="H10924" s="450" t="s">
        <v>22878</v>
      </c>
      <c r="I10924" s="450" t="s">
        <v>38740</v>
      </c>
      <c r="J10924" s="450" t="s">
        <v>23185</v>
      </c>
      <c r="K10924" s="450"/>
    </row>
    <row r="10925" spans="1:11">
      <c r="A10925" s="451" t="s">
        <v>38741</v>
      </c>
      <c r="B10925" s="451"/>
      <c r="C10925" s="451" t="s">
        <v>6812</v>
      </c>
      <c r="D10925" s="451"/>
      <c r="E10925" s="451"/>
      <c r="F10925" s="451"/>
      <c r="G10925" s="451" t="s">
        <v>22882</v>
      </c>
      <c r="H10925" s="451" t="s">
        <v>22883</v>
      </c>
      <c r="I10925" s="451" t="s">
        <v>38742</v>
      </c>
      <c r="J10925" s="451" t="s">
        <v>22997</v>
      </c>
      <c r="K10925" s="451"/>
    </row>
    <row r="10926" spans="1:11">
      <c r="A10926" s="450" t="s">
        <v>17407</v>
      </c>
      <c r="B10926" s="450"/>
      <c r="C10926" s="450" t="s">
        <v>6812</v>
      </c>
      <c r="D10926" s="450"/>
      <c r="E10926" s="450"/>
      <c r="F10926" s="450"/>
      <c r="G10926" s="450"/>
      <c r="H10926" s="450"/>
      <c r="I10926" s="450"/>
      <c r="J10926" s="450"/>
      <c r="K10926" s="450"/>
    </row>
    <row r="10927" spans="1:11">
      <c r="A10927" s="451" t="s">
        <v>17408</v>
      </c>
      <c r="B10927" s="451" t="s">
        <v>17409</v>
      </c>
      <c r="C10927" s="451" t="s">
        <v>17410</v>
      </c>
      <c r="D10927" s="451" t="s">
        <v>17411</v>
      </c>
      <c r="E10927" s="451"/>
      <c r="F10927" s="451"/>
      <c r="G10927" s="451" t="s">
        <v>22877</v>
      </c>
      <c r="H10927" s="451" t="s">
        <v>22878</v>
      </c>
      <c r="I10927" s="451" t="s">
        <v>17411</v>
      </c>
      <c r="J10927" s="451" t="s">
        <v>29251</v>
      </c>
      <c r="K10927" s="451"/>
    </row>
    <row r="10928" spans="1:11">
      <c r="A10928" s="450" t="s">
        <v>17408</v>
      </c>
      <c r="B10928" s="450" t="s">
        <v>17409</v>
      </c>
      <c r="C10928" s="450" t="s">
        <v>17410</v>
      </c>
      <c r="D10928" s="450" t="s">
        <v>17411</v>
      </c>
      <c r="E10928" s="450" t="s">
        <v>17412</v>
      </c>
      <c r="F10928" s="450"/>
      <c r="G10928" s="450"/>
      <c r="H10928" s="450"/>
      <c r="I10928" s="450"/>
      <c r="J10928" s="450"/>
      <c r="K10928" s="450"/>
    </row>
    <row r="10929" spans="1:11">
      <c r="A10929" s="451" t="s">
        <v>17413</v>
      </c>
      <c r="B10929" s="451"/>
      <c r="C10929" s="451" t="s">
        <v>1921</v>
      </c>
      <c r="D10929" s="451"/>
      <c r="E10929" s="451"/>
      <c r="F10929" s="451"/>
      <c r="G10929" s="451" t="s">
        <v>22882</v>
      </c>
      <c r="H10929" s="451" t="s">
        <v>22883</v>
      </c>
      <c r="I10929" s="451"/>
      <c r="J10929" s="451" t="s">
        <v>23185</v>
      </c>
      <c r="K10929" s="451"/>
    </row>
    <row r="10930" spans="1:11">
      <c r="A10930" s="450" t="s">
        <v>17414</v>
      </c>
      <c r="B10930" s="450"/>
      <c r="C10930" s="450" t="s">
        <v>17415</v>
      </c>
      <c r="D10930" s="450"/>
      <c r="E10930" s="450"/>
      <c r="F10930" s="450"/>
      <c r="G10930" s="450" t="s">
        <v>22877</v>
      </c>
      <c r="H10930" s="450" t="s">
        <v>22878</v>
      </c>
      <c r="I10930" s="450" t="s">
        <v>38743</v>
      </c>
      <c r="J10930" s="450" t="s">
        <v>22942</v>
      </c>
      <c r="K10930" s="450"/>
    </row>
    <row r="10931" spans="1:11">
      <c r="A10931" s="451" t="s">
        <v>38744</v>
      </c>
      <c r="B10931" s="451"/>
      <c r="C10931" s="451" t="s">
        <v>17417</v>
      </c>
      <c r="D10931" s="451"/>
      <c r="E10931" s="451"/>
      <c r="F10931" s="451"/>
      <c r="G10931" s="451" t="s">
        <v>22877</v>
      </c>
      <c r="H10931" s="451" t="s">
        <v>22878</v>
      </c>
      <c r="I10931" s="451" t="s">
        <v>38745</v>
      </c>
      <c r="J10931" s="451" t="s">
        <v>22942</v>
      </c>
      <c r="K10931" s="451"/>
    </row>
    <row r="10932" spans="1:11">
      <c r="A10932" s="450" t="s">
        <v>17416</v>
      </c>
      <c r="B10932" s="450"/>
      <c r="C10932" s="450" t="s">
        <v>17417</v>
      </c>
      <c r="D10932" s="450"/>
      <c r="E10932" s="450"/>
      <c r="F10932" s="450"/>
      <c r="G10932" s="450"/>
      <c r="H10932" s="450"/>
      <c r="I10932" s="450"/>
      <c r="J10932" s="450"/>
      <c r="K10932" s="450"/>
    </row>
    <row r="10933" spans="1:11">
      <c r="A10933" s="451" t="s">
        <v>17418</v>
      </c>
      <c r="B10933" s="451"/>
      <c r="C10933" s="451" t="s">
        <v>998</v>
      </c>
      <c r="D10933" s="451"/>
      <c r="E10933" s="451"/>
      <c r="F10933" s="451"/>
      <c r="G10933" s="451" t="s">
        <v>22882</v>
      </c>
      <c r="H10933" s="451" t="s">
        <v>22883</v>
      </c>
      <c r="I10933" s="451" t="s">
        <v>38746</v>
      </c>
      <c r="J10933" s="451" t="s">
        <v>22942</v>
      </c>
      <c r="K10933" s="451"/>
    </row>
    <row r="10934" spans="1:11">
      <c r="A10934" s="450" t="s">
        <v>17419</v>
      </c>
      <c r="B10934" s="450"/>
      <c r="C10934" s="450" t="s">
        <v>4098</v>
      </c>
      <c r="D10934" s="450"/>
      <c r="E10934" s="450"/>
      <c r="F10934" s="450"/>
      <c r="G10934" s="450" t="s">
        <v>22877</v>
      </c>
      <c r="H10934" s="450" t="s">
        <v>22878</v>
      </c>
      <c r="I10934" s="450" t="s">
        <v>38747</v>
      </c>
      <c r="J10934" s="450" t="s">
        <v>23185</v>
      </c>
      <c r="K10934" s="450"/>
    </row>
    <row r="10935" spans="1:11">
      <c r="A10935" s="451" t="s">
        <v>17420</v>
      </c>
      <c r="B10935" s="451"/>
      <c r="C10935" s="451" t="s">
        <v>16174</v>
      </c>
      <c r="D10935" s="451"/>
      <c r="E10935" s="451"/>
      <c r="F10935" s="451"/>
      <c r="G10935" s="451"/>
      <c r="H10935" s="451"/>
      <c r="I10935" s="451"/>
      <c r="J10935" s="451"/>
      <c r="K10935" s="451"/>
    </row>
    <row r="10936" spans="1:11">
      <c r="A10936" s="450" t="s">
        <v>29252</v>
      </c>
      <c r="B10936" s="450"/>
      <c r="C10936" s="450" t="s">
        <v>9831</v>
      </c>
      <c r="D10936" s="450"/>
      <c r="E10936" s="450"/>
      <c r="F10936" s="450"/>
      <c r="G10936" s="450" t="s">
        <v>22882</v>
      </c>
      <c r="H10936" s="450" t="s">
        <v>22883</v>
      </c>
      <c r="I10936" s="450" t="s">
        <v>29253</v>
      </c>
      <c r="J10936" s="450" t="s">
        <v>28871</v>
      </c>
      <c r="K10936" s="450"/>
    </row>
    <row r="10937" spans="1:11">
      <c r="A10937" s="451" t="s">
        <v>21986</v>
      </c>
      <c r="B10937" s="451" t="s">
        <v>29254</v>
      </c>
      <c r="C10937" s="451" t="s">
        <v>16174</v>
      </c>
      <c r="D10937" s="451"/>
      <c r="E10937" s="451"/>
      <c r="F10937" s="451"/>
      <c r="G10937" s="451" t="s">
        <v>22877</v>
      </c>
      <c r="H10937" s="451" t="s">
        <v>22878</v>
      </c>
      <c r="I10937" s="451" t="s">
        <v>29255</v>
      </c>
      <c r="J10937" s="451" t="s">
        <v>29256</v>
      </c>
      <c r="K10937" s="451"/>
    </row>
    <row r="10938" spans="1:11">
      <c r="A10938" s="450" t="s">
        <v>21986</v>
      </c>
      <c r="B10938" s="450" t="s">
        <v>17421</v>
      </c>
      <c r="C10938" s="450" t="s">
        <v>16174</v>
      </c>
      <c r="D10938" s="450"/>
      <c r="E10938" s="450"/>
      <c r="F10938" s="450"/>
      <c r="G10938" s="450"/>
      <c r="H10938" s="450"/>
      <c r="I10938" s="450"/>
      <c r="J10938" s="450"/>
      <c r="K10938" s="450"/>
    </row>
    <row r="10939" spans="1:11">
      <c r="A10939" s="451" t="s">
        <v>17422</v>
      </c>
      <c r="B10939" s="451"/>
      <c r="C10939" s="451" t="s">
        <v>9831</v>
      </c>
      <c r="D10939" s="451"/>
      <c r="E10939" s="451"/>
      <c r="F10939" s="451"/>
      <c r="G10939" s="451"/>
      <c r="H10939" s="451"/>
      <c r="I10939" s="451"/>
      <c r="J10939" s="451"/>
      <c r="K10939" s="451"/>
    </row>
    <row r="10940" spans="1:11">
      <c r="A10940" s="450" t="s">
        <v>17423</v>
      </c>
      <c r="B10940" s="450" t="s">
        <v>17424</v>
      </c>
      <c r="C10940" s="450" t="s">
        <v>17425</v>
      </c>
      <c r="D10940" s="450"/>
      <c r="E10940" s="450"/>
      <c r="F10940" s="450"/>
      <c r="G10940" s="450" t="s">
        <v>22877</v>
      </c>
      <c r="H10940" s="450" t="s">
        <v>22878</v>
      </c>
      <c r="I10940" s="450" t="s">
        <v>29257</v>
      </c>
      <c r="J10940" s="450" t="s">
        <v>29258</v>
      </c>
      <c r="K10940" s="450"/>
    </row>
    <row r="10941" spans="1:11">
      <c r="A10941" s="451" t="s">
        <v>17426</v>
      </c>
      <c r="B10941" s="451"/>
      <c r="C10941" s="451" t="s">
        <v>17427</v>
      </c>
      <c r="D10941" s="451"/>
      <c r="E10941" s="451"/>
      <c r="F10941" s="451"/>
      <c r="G10941" s="451" t="s">
        <v>22882</v>
      </c>
      <c r="H10941" s="451" t="s">
        <v>22883</v>
      </c>
      <c r="I10941" s="451" t="s">
        <v>29259</v>
      </c>
      <c r="J10941" s="451" t="s">
        <v>22997</v>
      </c>
      <c r="K10941" s="451"/>
    </row>
    <row r="10942" spans="1:11">
      <c r="A10942" s="450" t="s">
        <v>17428</v>
      </c>
      <c r="B10942" s="450" t="s">
        <v>17429</v>
      </c>
      <c r="C10942" s="450" t="s">
        <v>13484</v>
      </c>
      <c r="D10942" s="450"/>
      <c r="E10942" s="450"/>
      <c r="F10942" s="450" t="s">
        <v>11816</v>
      </c>
      <c r="G10942" s="450" t="s">
        <v>22877</v>
      </c>
      <c r="H10942" s="450" t="s">
        <v>22878</v>
      </c>
      <c r="I10942" s="450" t="s">
        <v>29260</v>
      </c>
      <c r="J10942" s="450" t="s">
        <v>29261</v>
      </c>
      <c r="K10942" s="450"/>
    </row>
    <row r="10943" spans="1:11">
      <c r="A10943" s="451" t="s">
        <v>17430</v>
      </c>
      <c r="B10943" s="451"/>
      <c r="C10943" s="451" t="s">
        <v>2727</v>
      </c>
      <c r="D10943" s="451"/>
      <c r="E10943" s="451"/>
      <c r="F10943" s="451"/>
      <c r="G10943" s="451"/>
      <c r="H10943" s="451"/>
      <c r="I10943" s="451"/>
      <c r="J10943" s="451"/>
      <c r="K10943" s="451"/>
    </row>
    <row r="10944" spans="1:11">
      <c r="A10944" s="450" t="s">
        <v>38748</v>
      </c>
      <c r="B10944" s="450"/>
      <c r="C10944" s="450" t="s">
        <v>17432</v>
      </c>
      <c r="D10944" s="450"/>
      <c r="E10944" s="450"/>
      <c r="F10944" s="450"/>
      <c r="G10944" s="450" t="s">
        <v>22877</v>
      </c>
      <c r="H10944" s="450" t="s">
        <v>22878</v>
      </c>
      <c r="I10944" s="450"/>
      <c r="J10944" s="450" t="s">
        <v>23185</v>
      </c>
      <c r="K10944" s="450"/>
    </row>
    <row r="10945" spans="1:11">
      <c r="A10945" s="451" t="s">
        <v>17431</v>
      </c>
      <c r="B10945" s="451"/>
      <c r="C10945" s="451" t="s">
        <v>17432</v>
      </c>
      <c r="D10945" s="451"/>
      <c r="E10945" s="451"/>
      <c r="F10945" s="451"/>
      <c r="G10945" s="451"/>
      <c r="H10945" s="451"/>
      <c r="I10945" s="451"/>
      <c r="J10945" s="451"/>
      <c r="K10945" s="451"/>
    </row>
    <row r="10946" spans="1:11">
      <c r="A10946" s="450" t="s">
        <v>38749</v>
      </c>
      <c r="B10946" s="450"/>
      <c r="C10946" s="450" t="s">
        <v>2727</v>
      </c>
      <c r="D10946" s="450"/>
      <c r="E10946" s="450"/>
      <c r="F10946" s="450"/>
      <c r="G10946" s="450" t="s">
        <v>22877</v>
      </c>
      <c r="H10946" s="450" t="s">
        <v>22878</v>
      </c>
      <c r="I10946" s="450" t="s">
        <v>38750</v>
      </c>
      <c r="J10946" s="450" t="s">
        <v>22942</v>
      </c>
      <c r="K10946" s="450"/>
    </row>
    <row r="10947" spans="1:11">
      <c r="A10947" s="451" t="s">
        <v>29262</v>
      </c>
      <c r="B10947" s="451"/>
      <c r="C10947" s="451" t="s">
        <v>17434</v>
      </c>
      <c r="D10947" s="451"/>
      <c r="E10947" s="451"/>
      <c r="F10947" s="451"/>
      <c r="G10947" s="451" t="s">
        <v>22877</v>
      </c>
      <c r="H10947" s="451" t="s">
        <v>22878</v>
      </c>
      <c r="I10947" s="451" t="s">
        <v>29263</v>
      </c>
      <c r="J10947" s="451" t="s">
        <v>22943</v>
      </c>
      <c r="K10947" s="451"/>
    </row>
    <row r="10948" spans="1:11">
      <c r="A10948" s="450" t="s">
        <v>17433</v>
      </c>
      <c r="B10948" s="450"/>
      <c r="C10948" s="450" t="s">
        <v>17434</v>
      </c>
      <c r="D10948" s="450"/>
      <c r="E10948" s="450"/>
      <c r="F10948" s="450"/>
      <c r="G10948" s="450"/>
      <c r="H10948" s="450"/>
      <c r="I10948" s="450"/>
      <c r="J10948" s="450"/>
      <c r="K10948" s="450"/>
    </row>
    <row r="10949" spans="1:11">
      <c r="A10949" s="451" t="s">
        <v>17435</v>
      </c>
      <c r="B10949" s="451" t="s">
        <v>17436</v>
      </c>
      <c r="C10949" s="451" t="s">
        <v>12657</v>
      </c>
      <c r="D10949" s="451"/>
      <c r="E10949" s="451"/>
      <c r="F10949" s="451"/>
      <c r="G10949" s="451" t="s">
        <v>22882</v>
      </c>
      <c r="H10949" s="451" t="s">
        <v>22883</v>
      </c>
      <c r="I10949" s="451"/>
      <c r="J10949" s="451" t="s">
        <v>29264</v>
      </c>
      <c r="K10949" s="451"/>
    </row>
    <row r="10950" spans="1:11">
      <c r="A10950" s="450" t="s">
        <v>17437</v>
      </c>
      <c r="B10950" s="450"/>
      <c r="C10950" s="450" t="s">
        <v>5091</v>
      </c>
      <c r="D10950" s="450"/>
      <c r="E10950" s="450"/>
      <c r="F10950" s="450"/>
      <c r="G10950" s="450" t="s">
        <v>22877</v>
      </c>
      <c r="H10950" s="450" t="s">
        <v>22878</v>
      </c>
      <c r="I10950" s="450" t="s">
        <v>29265</v>
      </c>
      <c r="J10950" s="450" t="s">
        <v>22997</v>
      </c>
      <c r="K10950" s="450"/>
    </row>
    <row r="10951" spans="1:11">
      <c r="A10951" s="451" t="s">
        <v>17438</v>
      </c>
      <c r="B10951" s="451" t="s">
        <v>17439</v>
      </c>
      <c r="C10951" s="451" t="s">
        <v>17440</v>
      </c>
      <c r="D10951" s="451" t="s">
        <v>17441</v>
      </c>
      <c r="E10951" s="451"/>
      <c r="F10951" s="451"/>
      <c r="G10951" s="451" t="s">
        <v>22882</v>
      </c>
      <c r="H10951" s="451" t="s">
        <v>22883</v>
      </c>
      <c r="I10951" s="451" t="s">
        <v>26610</v>
      </c>
      <c r="J10951" s="451" t="s">
        <v>29266</v>
      </c>
      <c r="K10951" s="451"/>
    </row>
    <row r="10952" spans="1:11">
      <c r="A10952" s="450" t="s">
        <v>38751</v>
      </c>
      <c r="B10952" s="450"/>
      <c r="C10952" s="450" t="s">
        <v>17443</v>
      </c>
      <c r="D10952" s="450"/>
      <c r="E10952" s="450"/>
      <c r="F10952" s="450"/>
      <c r="G10952" s="450" t="s">
        <v>22877</v>
      </c>
      <c r="H10952" s="450" t="s">
        <v>22878</v>
      </c>
      <c r="I10952" s="450" t="s">
        <v>38752</v>
      </c>
      <c r="J10952" s="450" t="s">
        <v>22942</v>
      </c>
      <c r="K10952" s="450"/>
    </row>
    <row r="10953" spans="1:11">
      <c r="A10953" s="451" t="s">
        <v>17442</v>
      </c>
      <c r="B10953" s="451"/>
      <c r="C10953" s="451" t="s">
        <v>17443</v>
      </c>
      <c r="D10953" s="451"/>
      <c r="E10953" s="451"/>
      <c r="F10953" s="451"/>
      <c r="G10953" s="451"/>
      <c r="H10953" s="451"/>
      <c r="I10953" s="451"/>
      <c r="J10953" s="451"/>
      <c r="K10953" s="451"/>
    </row>
    <row r="10954" spans="1:11">
      <c r="A10954" s="450" t="s">
        <v>17444</v>
      </c>
      <c r="B10954" s="450"/>
      <c r="C10954" s="450" t="s">
        <v>17445</v>
      </c>
      <c r="D10954" s="450"/>
      <c r="E10954" s="450"/>
      <c r="F10954" s="450"/>
      <c r="G10954" s="450" t="s">
        <v>38753</v>
      </c>
      <c r="H10954" s="450" t="s">
        <v>22878</v>
      </c>
      <c r="I10954" s="450"/>
      <c r="J10954" s="450"/>
      <c r="K10954" s="450"/>
    </row>
    <row r="10955" spans="1:11">
      <c r="A10955" s="451" t="s">
        <v>17446</v>
      </c>
      <c r="B10955" s="451"/>
      <c r="C10955" s="451" t="s">
        <v>17447</v>
      </c>
      <c r="D10955" s="451"/>
      <c r="E10955" s="451"/>
      <c r="F10955" s="451"/>
      <c r="G10955" s="451" t="s">
        <v>22877</v>
      </c>
      <c r="H10955" s="451" t="s">
        <v>22878</v>
      </c>
      <c r="I10955" s="451" t="s">
        <v>38754</v>
      </c>
      <c r="J10955" s="451" t="s">
        <v>22942</v>
      </c>
      <c r="K10955" s="451"/>
    </row>
    <row r="10956" spans="1:11">
      <c r="A10956" s="450" t="s">
        <v>17448</v>
      </c>
      <c r="B10956" s="450"/>
      <c r="C10956" s="450" t="s">
        <v>5243</v>
      </c>
      <c r="D10956" s="450"/>
      <c r="E10956" s="450"/>
      <c r="F10956" s="450"/>
      <c r="G10956" s="450" t="s">
        <v>22877</v>
      </c>
      <c r="H10956" s="450" t="s">
        <v>22878</v>
      </c>
      <c r="I10956" s="450" t="s">
        <v>38755</v>
      </c>
      <c r="J10956" s="450" t="s">
        <v>23185</v>
      </c>
      <c r="K10956" s="450"/>
    </row>
    <row r="10957" spans="1:11">
      <c r="A10957" s="451" t="s">
        <v>17449</v>
      </c>
      <c r="B10957" s="451"/>
      <c r="C10957" s="451" t="s">
        <v>17450</v>
      </c>
      <c r="D10957" s="451"/>
      <c r="E10957" s="451"/>
      <c r="F10957" s="451"/>
      <c r="G10957" s="451" t="s">
        <v>22882</v>
      </c>
      <c r="H10957" s="451" t="s">
        <v>22883</v>
      </c>
      <c r="I10957" s="451" t="s">
        <v>29267</v>
      </c>
      <c r="J10957" s="451" t="s">
        <v>23185</v>
      </c>
      <c r="K10957" s="451"/>
    </row>
    <row r="10958" spans="1:11">
      <c r="A10958" s="450" t="s">
        <v>17451</v>
      </c>
      <c r="B10958" s="450" t="s">
        <v>17452</v>
      </c>
      <c r="C10958" s="450" t="s">
        <v>6479</v>
      </c>
      <c r="D10958" s="450" t="s">
        <v>17453</v>
      </c>
      <c r="E10958" s="450" t="s">
        <v>17454</v>
      </c>
      <c r="F10958" s="450"/>
      <c r="G10958" s="450"/>
      <c r="H10958" s="450"/>
      <c r="I10958" s="450"/>
      <c r="J10958" s="450"/>
      <c r="K10958" s="450"/>
    </row>
    <row r="10959" spans="1:11">
      <c r="A10959" s="451" t="s">
        <v>29268</v>
      </c>
      <c r="B10959" s="451" t="s">
        <v>17452</v>
      </c>
      <c r="C10959" s="451" t="s">
        <v>6479</v>
      </c>
      <c r="D10959" s="451" t="s">
        <v>17453</v>
      </c>
      <c r="E10959" s="451"/>
      <c r="F10959" s="451"/>
      <c r="G10959" s="451" t="s">
        <v>22882</v>
      </c>
      <c r="H10959" s="451" t="s">
        <v>22883</v>
      </c>
      <c r="I10959" s="451" t="s">
        <v>17453</v>
      </c>
      <c r="J10959" s="451" t="s">
        <v>29269</v>
      </c>
      <c r="K10959" s="451"/>
    </row>
    <row r="10960" spans="1:11">
      <c r="A10960" s="450" t="s">
        <v>17455</v>
      </c>
      <c r="B10960" s="450" t="s">
        <v>17456</v>
      </c>
      <c r="C10960" s="450" t="s">
        <v>17380</v>
      </c>
      <c r="D10960" s="450" t="s">
        <v>17457</v>
      </c>
      <c r="E10960" s="450" t="s">
        <v>17458</v>
      </c>
      <c r="F10960" s="450"/>
      <c r="G10960" s="450"/>
      <c r="H10960" s="450"/>
      <c r="I10960" s="450"/>
      <c r="J10960" s="450"/>
      <c r="K10960" s="450"/>
    </row>
    <row r="10961" spans="1:11">
      <c r="A10961" s="451" t="s">
        <v>29270</v>
      </c>
      <c r="B10961" s="451" t="s">
        <v>17456</v>
      </c>
      <c r="C10961" s="451" t="s">
        <v>17380</v>
      </c>
      <c r="D10961" s="451" t="s">
        <v>17457</v>
      </c>
      <c r="E10961" s="451"/>
      <c r="F10961" s="451"/>
      <c r="G10961" s="451" t="s">
        <v>22882</v>
      </c>
      <c r="H10961" s="451" t="s">
        <v>22883</v>
      </c>
      <c r="I10961" s="451" t="s">
        <v>17457</v>
      </c>
      <c r="J10961" s="451" t="s">
        <v>29271</v>
      </c>
      <c r="K10961" s="451"/>
    </row>
    <row r="10962" spans="1:11">
      <c r="A10962" s="450" t="s">
        <v>17459</v>
      </c>
      <c r="B10962" s="450"/>
      <c r="C10962" s="450" t="s">
        <v>17460</v>
      </c>
      <c r="D10962" s="450"/>
      <c r="E10962" s="450"/>
      <c r="F10962" s="450"/>
      <c r="G10962" s="450" t="s">
        <v>22882</v>
      </c>
      <c r="H10962" s="450" t="s">
        <v>22883</v>
      </c>
      <c r="I10962" s="450"/>
      <c r="J10962" s="450" t="s">
        <v>22939</v>
      </c>
      <c r="K10962" s="450"/>
    </row>
    <row r="10963" spans="1:11">
      <c r="A10963" s="451" t="s">
        <v>17461</v>
      </c>
      <c r="B10963" s="451"/>
      <c r="C10963" s="451" t="s">
        <v>17462</v>
      </c>
      <c r="D10963" s="451"/>
      <c r="E10963" s="451"/>
      <c r="F10963" s="451"/>
      <c r="G10963" s="451"/>
      <c r="H10963" s="451"/>
      <c r="I10963" s="451"/>
      <c r="J10963" s="451"/>
      <c r="K10963" s="451"/>
    </row>
    <row r="10964" spans="1:11">
      <c r="A10964" s="450" t="s">
        <v>29272</v>
      </c>
      <c r="B10964" s="450"/>
      <c r="C10964" s="450" t="s">
        <v>29273</v>
      </c>
      <c r="D10964" s="450"/>
      <c r="E10964" s="450"/>
      <c r="F10964" s="450"/>
      <c r="G10964" s="450" t="s">
        <v>22877</v>
      </c>
      <c r="H10964" s="450" t="s">
        <v>22878</v>
      </c>
      <c r="I10964" s="450" t="s">
        <v>29274</v>
      </c>
      <c r="J10964" s="450" t="s">
        <v>23185</v>
      </c>
      <c r="K10964" s="450"/>
    </row>
    <row r="10965" spans="1:11">
      <c r="A10965" s="451" t="s">
        <v>17463</v>
      </c>
      <c r="B10965" s="451" t="s">
        <v>21987</v>
      </c>
      <c r="C10965" s="451" t="s">
        <v>17464</v>
      </c>
      <c r="D10965" s="451" t="s">
        <v>17465</v>
      </c>
      <c r="E10965" s="451"/>
      <c r="F10965" s="451"/>
      <c r="G10965" s="451" t="s">
        <v>29275</v>
      </c>
      <c r="H10965" s="451" t="s">
        <v>22878</v>
      </c>
      <c r="I10965" s="451" t="s">
        <v>17465</v>
      </c>
      <c r="J10965" s="451" t="s">
        <v>29276</v>
      </c>
      <c r="K10965" s="451"/>
    </row>
    <row r="10966" spans="1:11">
      <c r="A10966" s="450" t="s">
        <v>38756</v>
      </c>
      <c r="B10966" s="450"/>
      <c r="C10966" s="450" t="s">
        <v>9978</v>
      </c>
      <c r="D10966" s="450"/>
      <c r="E10966" s="450"/>
      <c r="F10966" s="450"/>
      <c r="G10966" s="450" t="s">
        <v>22882</v>
      </c>
      <c r="H10966" s="450" t="s">
        <v>22883</v>
      </c>
      <c r="I10966" s="450" t="s">
        <v>38757</v>
      </c>
      <c r="J10966" s="450" t="s">
        <v>22948</v>
      </c>
      <c r="K10966" s="450"/>
    </row>
    <row r="10967" spans="1:11">
      <c r="A10967" s="451" t="s">
        <v>38758</v>
      </c>
      <c r="B10967" s="451"/>
      <c r="C10967" s="451" t="s">
        <v>17467</v>
      </c>
      <c r="D10967" s="451"/>
      <c r="E10967" s="451"/>
      <c r="F10967" s="451"/>
      <c r="G10967" s="451" t="s">
        <v>22882</v>
      </c>
      <c r="H10967" s="451" t="s">
        <v>22883</v>
      </c>
      <c r="I10967" s="451" t="s">
        <v>38759</v>
      </c>
      <c r="J10967" s="451" t="s">
        <v>22942</v>
      </c>
      <c r="K10967" s="451"/>
    </row>
    <row r="10968" spans="1:11">
      <c r="A10968" s="450" t="s">
        <v>17466</v>
      </c>
      <c r="B10968" s="450"/>
      <c r="C10968" s="450" t="s">
        <v>17467</v>
      </c>
      <c r="D10968" s="450"/>
      <c r="E10968" s="450"/>
      <c r="F10968" s="450"/>
      <c r="G10968" s="450"/>
      <c r="H10968" s="450"/>
      <c r="I10968" s="450"/>
      <c r="J10968" s="450"/>
      <c r="K10968" s="450"/>
    </row>
    <row r="10969" spans="1:11">
      <c r="A10969" s="451" t="s">
        <v>17468</v>
      </c>
      <c r="B10969" s="451"/>
      <c r="C10969" s="451" t="s">
        <v>9978</v>
      </c>
      <c r="D10969" s="451"/>
      <c r="E10969" s="451"/>
      <c r="F10969" s="451"/>
      <c r="G10969" s="451"/>
      <c r="H10969" s="451"/>
      <c r="I10969" s="451"/>
      <c r="J10969" s="451"/>
      <c r="K10969" s="451"/>
    </row>
    <row r="10970" spans="1:11">
      <c r="A10970" s="450" t="s">
        <v>17469</v>
      </c>
      <c r="B10970" s="450"/>
      <c r="C10970" s="450" t="s">
        <v>17470</v>
      </c>
      <c r="D10970" s="450"/>
      <c r="E10970" s="450"/>
      <c r="F10970" s="450"/>
      <c r="G10970" s="450" t="s">
        <v>22882</v>
      </c>
      <c r="H10970" s="450" t="s">
        <v>22883</v>
      </c>
      <c r="I10970" s="450" t="s">
        <v>29277</v>
      </c>
      <c r="J10970" s="450" t="s">
        <v>23185</v>
      </c>
      <c r="K10970" s="450"/>
    </row>
    <row r="10971" spans="1:11">
      <c r="A10971" s="451" t="s">
        <v>29278</v>
      </c>
      <c r="B10971" s="451" t="s">
        <v>29279</v>
      </c>
      <c r="C10971" s="451" t="s">
        <v>29280</v>
      </c>
      <c r="D10971" s="451"/>
      <c r="E10971" s="451"/>
      <c r="F10971" s="451"/>
      <c r="G10971" s="451" t="s">
        <v>22877</v>
      </c>
      <c r="H10971" s="451" t="s">
        <v>22878</v>
      </c>
      <c r="I10971" s="451" t="s">
        <v>29281</v>
      </c>
      <c r="J10971" s="451" t="s">
        <v>29282</v>
      </c>
      <c r="K10971" s="451"/>
    </row>
    <row r="10972" spans="1:11" ht="15.5">
      <c r="A10972" s="448" t="s">
        <v>38760</v>
      </c>
      <c r="B10972" s="448" t="s">
        <v>38761</v>
      </c>
      <c r="C10972" s="448" t="s">
        <v>38762</v>
      </c>
      <c r="D10972" s="448"/>
      <c r="E10972" s="448"/>
      <c r="F10972" s="448"/>
      <c r="G10972" s="448"/>
      <c r="H10972" s="448"/>
      <c r="I10972" s="448"/>
      <c r="J10972" s="448"/>
      <c r="K10972" s="448"/>
    </row>
    <row r="10973" spans="1:11">
      <c r="A10973" s="451" t="s">
        <v>17471</v>
      </c>
      <c r="B10973" s="451"/>
      <c r="C10973" s="451" t="s">
        <v>17472</v>
      </c>
      <c r="D10973" s="451"/>
      <c r="E10973" s="451"/>
      <c r="F10973" s="451"/>
      <c r="G10973" s="451"/>
      <c r="H10973" s="451"/>
      <c r="I10973" s="451"/>
      <c r="J10973" s="451"/>
      <c r="K10973" s="451"/>
    </row>
    <row r="10974" spans="1:11">
      <c r="A10974" s="450" t="s">
        <v>29283</v>
      </c>
      <c r="B10974" s="450"/>
      <c r="C10974" s="450" t="s">
        <v>17472</v>
      </c>
      <c r="D10974" s="450"/>
      <c r="E10974" s="450"/>
      <c r="F10974" s="450"/>
      <c r="G10974" s="450" t="s">
        <v>22877</v>
      </c>
      <c r="H10974" s="450" t="s">
        <v>22878</v>
      </c>
      <c r="I10974" s="450" t="s">
        <v>29284</v>
      </c>
      <c r="J10974" s="450" t="s">
        <v>22939</v>
      </c>
      <c r="K10974" s="450"/>
    </row>
    <row r="10975" spans="1:11">
      <c r="A10975" s="451" t="s">
        <v>30065</v>
      </c>
      <c r="B10975" s="451" t="s">
        <v>30066</v>
      </c>
      <c r="C10975" s="451" t="s">
        <v>30067</v>
      </c>
      <c r="D10975" s="451"/>
      <c r="E10975" s="451"/>
      <c r="F10975" s="451"/>
      <c r="G10975" s="451"/>
      <c r="H10975" s="451"/>
      <c r="I10975" s="451"/>
      <c r="J10975" s="451"/>
      <c r="K10975" s="451"/>
    </row>
    <row r="10976" spans="1:11">
      <c r="A10976" s="450" t="s">
        <v>17473</v>
      </c>
      <c r="B10976" s="450"/>
      <c r="C10976" s="450" t="s">
        <v>17474</v>
      </c>
      <c r="D10976" s="450"/>
      <c r="E10976" s="450"/>
      <c r="F10976" s="450"/>
      <c r="G10976" s="450" t="s">
        <v>22877</v>
      </c>
      <c r="H10976" s="450" t="s">
        <v>22878</v>
      </c>
      <c r="I10976" s="450" t="s">
        <v>38763</v>
      </c>
      <c r="J10976" s="450" t="s">
        <v>28403</v>
      </c>
      <c r="K10976" s="450"/>
    </row>
    <row r="10977" spans="1:11">
      <c r="A10977" s="451" t="s">
        <v>21988</v>
      </c>
      <c r="B10977" s="451"/>
      <c r="C10977" s="451" t="s">
        <v>17475</v>
      </c>
      <c r="D10977" s="451"/>
      <c r="E10977" s="451"/>
      <c r="F10977" s="451"/>
      <c r="G10977" s="451" t="s">
        <v>22877</v>
      </c>
      <c r="H10977" s="451" t="s">
        <v>22878</v>
      </c>
      <c r="I10977" s="451" t="s">
        <v>38764</v>
      </c>
      <c r="J10977" s="451" t="s">
        <v>23185</v>
      </c>
      <c r="K10977" s="451"/>
    </row>
    <row r="10978" spans="1:11">
      <c r="A10978" s="450" t="s">
        <v>38765</v>
      </c>
      <c r="B10978" s="450"/>
      <c r="C10978" s="450" t="s">
        <v>8199</v>
      </c>
      <c r="D10978" s="450"/>
      <c r="E10978" s="450"/>
      <c r="F10978" s="450"/>
      <c r="G10978" s="450" t="s">
        <v>22877</v>
      </c>
      <c r="H10978" s="450" t="s">
        <v>22878</v>
      </c>
      <c r="I10978" s="450" t="s">
        <v>38766</v>
      </c>
      <c r="J10978" s="450" t="s">
        <v>23370</v>
      </c>
      <c r="K10978" s="450"/>
    </row>
    <row r="10979" spans="1:11">
      <c r="A10979" s="451" t="s">
        <v>17476</v>
      </c>
      <c r="B10979" s="451"/>
      <c r="C10979" s="451" t="s">
        <v>8199</v>
      </c>
      <c r="D10979" s="451"/>
      <c r="E10979" s="451"/>
      <c r="F10979" s="451"/>
      <c r="G10979" s="451"/>
      <c r="H10979" s="451"/>
      <c r="I10979" s="451"/>
      <c r="J10979" s="451"/>
      <c r="K10979" s="451"/>
    </row>
    <row r="10980" spans="1:11">
      <c r="A10980" s="450" t="s">
        <v>17477</v>
      </c>
      <c r="B10980" s="450"/>
      <c r="C10980" s="450" t="s">
        <v>2538</v>
      </c>
      <c r="D10980" s="450"/>
      <c r="E10980" s="450"/>
      <c r="F10980" s="450"/>
      <c r="G10980" s="450" t="s">
        <v>22877</v>
      </c>
      <c r="H10980" s="450" t="s">
        <v>22878</v>
      </c>
      <c r="I10980" s="450" t="s">
        <v>26155</v>
      </c>
      <c r="J10980" s="450" t="s">
        <v>22997</v>
      </c>
      <c r="K10980" s="450"/>
    </row>
    <row r="10981" spans="1:11">
      <c r="A10981" s="451" t="s">
        <v>17478</v>
      </c>
      <c r="B10981" s="451" t="s">
        <v>38767</v>
      </c>
      <c r="C10981" s="451" t="s">
        <v>17210</v>
      </c>
      <c r="D10981" s="451"/>
      <c r="E10981" s="451"/>
      <c r="F10981" s="451"/>
      <c r="G10981" s="451" t="s">
        <v>22882</v>
      </c>
      <c r="H10981" s="451" t="s">
        <v>22883</v>
      </c>
      <c r="I10981" s="451"/>
      <c r="J10981" s="451" t="s">
        <v>38768</v>
      </c>
      <c r="K10981" s="451"/>
    </row>
    <row r="10982" spans="1:11">
      <c r="A10982" s="450" t="s">
        <v>17478</v>
      </c>
      <c r="B10982" s="450" t="s">
        <v>17479</v>
      </c>
      <c r="C10982" s="450" t="s">
        <v>17210</v>
      </c>
      <c r="D10982" s="450"/>
      <c r="E10982" s="450"/>
      <c r="F10982" s="450"/>
      <c r="G10982" s="450"/>
      <c r="H10982" s="450"/>
      <c r="I10982" s="450"/>
      <c r="J10982" s="450"/>
      <c r="K10982" s="450"/>
    </row>
    <row r="10983" spans="1:11">
      <c r="A10983" s="451" t="s">
        <v>17480</v>
      </c>
      <c r="B10983" s="451"/>
      <c r="C10983" s="451" t="s">
        <v>7563</v>
      </c>
      <c r="D10983" s="451"/>
      <c r="E10983" s="451"/>
      <c r="F10983" s="451"/>
      <c r="G10983" s="451" t="s">
        <v>22882</v>
      </c>
      <c r="H10983" s="451" t="s">
        <v>22883</v>
      </c>
      <c r="I10983" s="451" t="s">
        <v>38769</v>
      </c>
      <c r="J10983" s="451" t="s">
        <v>22942</v>
      </c>
      <c r="K10983" s="451"/>
    </row>
    <row r="10984" spans="1:11">
      <c r="A10984" s="450" t="s">
        <v>29285</v>
      </c>
      <c r="B10984" s="450"/>
      <c r="C10984" s="450" t="s">
        <v>17482</v>
      </c>
      <c r="D10984" s="450"/>
      <c r="E10984" s="450"/>
      <c r="F10984" s="450"/>
      <c r="G10984" s="450" t="s">
        <v>22877</v>
      </c>
      <c r="H10984" s="450" t="s">
        <v>22878</v>
      </c>
      <c r="I10984" s="450" t="s">
        <v>29286</v>
      </c>
      <c r="J10984" s="450" t="s">
        <v>28871</v>
      </c>
      <c r="K10984" s="450"/>
    </row>
    <row r="10985" spans="1:11">
      <c r="A10985" s="451" t="s">
        <v>17481</v>
      </c>
      <c r="B10985" s="451"/>
      <c r="C10985" s="451" t="s">
        <v>17482</v>
      </c>
      <c r="D10985" s="451"/>
      <c r="E10985" s="451"/>
      <c r="F10985" s="451"/>
      <c r="G10985" s="451"/>
      <c r="H10985" s="451"/>
      <c r="I10985" s="451"/>
      <c r="J10985" s="451"/>
      <c r="K10985" s="451"/>
    </row>
    <row r="10986" spans="1:11">
      <c r="A10986" s="450" t="s">
        <v>38770</v>
      </c>
      <c r="B10986" s="450" t="s">
        <v>17484</v>
      </c>
      <c r="C10986" s="450" t="s">
        <v>7394</v>
      </c>
      <c r="D10986" s="450"/>
      <c r="E10986" s="450"/>
      <c r="F10986" s="450"/>
      <c r="G10986" s="450" t="s">
        <v>22882</v>
      </c>
      <c r="H10986" s="450" t="s">
        <v>22883</v>
      </c>
      <c r="I10986" s="450"/>
      <c r="J10986" s="450" t="s">
        <v>38771</v>
      </c>
      <c r="K10986" s="450"/>
    </row>
    <row r="10987" spans="1:11">
      <c r="A10987" s="451" t="s">
        <v>17483</v>
      </c>
      <c r="B10987" s="451" t="s">
        <v>17484</v>
      </c>
      <c r="C10987" s="451" t="s">
        <v>7394</v>
      </c>
      <c r="D10987" s="451"/>
      <c r="E10987" s="451"/>
      <c r="F10987" s="451"/>
      <c r="G10987" s="451"/>
      <c r="H10987" s="451"/>
      <c r="I10987" s="451"/>
      <c r="J10987" s="451"/>
      <c r="K10987" s="451"/>
    </row>
    <row r="10988" spans="1:11">
      <c r="A10988" s="450" t="s">
        <v>29287</v>
      </c>
      <c r="B10988" s="450" t="s">
        <v>17918</v>
      </c>
      <c r="C10988" s="450" t="s">
        <v>29288</v>
      </c>
      <c r="D10988" s="450"/>
      <c r="E10988" s="450"/>
      <c r="F10988" s="450"/>
      <c r="G10988" s="450" t="s">
        <v>22877</v>
      </c>
      <c r="H10988" s="450" t="s">
        <v>22878</v>
      </c>
      <c r="I10988" s="450" t="s">
        <v>29289</v>
      </c>
      <c r="J10988" s="450" t="s">
        <v>29290</v>
      </c>
      <c r="K10988" s="450"/>
    </row>
    <row r="10989" spans="1:11">
      <c r="A10989" s="451" t="s">
        <v>38772</v>
      </c>
      <c r="B10989" s="451"/>
      <c r="C10989" s="451" t="s">
        <v>16466</v>
      </c>
      <c r="D10989" s="451"/>
      <c r="E10989" s="451"/>
      <c r="F10989" s="451"/>
      <c r="G10989" s="451" t="s">
        <v>22882</v>
      </c>
      <c r="H10989" s="451" t="s">
        <v>22883</v>
      </c>
      <c r="I10989" s="451" t="s">
        <v>38773</v>
      </c>
      <c r="J10989" s="451" t="s">
        <v>22942</v>
      </c>
      <c r="K10989" s="451"/>
    </row>
    <row r="10990" spans="1:11">
      <c r="A10990" s="450" t="s">
        <v>17485</v>
      </c>
      <c r="B10990" s="450"/>
      <c r="C10990" s="450" t="s">
        <v>16466</v>
      </c>
      <c r="D10990" s="450"/>
      <c r="E10990" s="450"/>
      <c r="F10990" s="450"/>
      <c r="G10990" s="450"/>
      <c r="H10990" s="450"/>
      <c r="I10990" s="450"/>
      <c r="J10990" s="450"/>
      <c r="K10990" s="450"/>
    </row>
    <row r="10991" spans="1:11">
      <c r="A10991" s="451" t="s">
        <v>17486</v>
      </c>
      <c r="B10991" s="451"/>
      <c r="C10991" s="451" t="s">
        <v>17487</v>
      </c>
      <c r="D10991" s="451"/>
      <c r="E10991" s="451"/>
      <c r="F10991" s="451"/>
      <c r="G10991" s="451" t="s">
        <v>22882</v>
      </c>
      <c r="H10991" s="451" t="s">
        <v>22883</v>
      </c>
      <c r="I10991" s="451"/>
      <c r="J10991" s="451" t="s">
        <v>22997</v>
      </c>
      <c r="K10991" s="451"/>
    </row>
    <row r="10992" spans="1:11">
      <c r="A10992" s="450" t="s">
        <v>17488</v>
      </c>
      <c r="B10992" s="450"/>
      <c r="C10992" s="450" t="s">
        <v>17489</v>
      </c>
      <c r="D10992" s="450"/>
      <c r="E10992" s="450"/>
      <c r="F10992" s="450"/>
      <c r="G10992" s="450" t="s">
        <v>22877</v>
      </c>
      <c r="H10992" s="450" t="s">
        <v>22878</v>
      </c>
      <c r="I10992" s="450" t="s">
        <v>29291</v>
      </c>
      <c r="J10992" s="450" t="s">
        <v>23185</v>
      </c>
      <c r="K10992" s="450"/>
    </row>
    <row r="10993" spans="1:11">
      <c r="A10993" s="451" t="s">
        <v>17505</v>
      </c>
      <c r="B10993" s="451" t="s">
        <v>29292</v>
      </c>
      <c r="C10993" s="451" t="s">
        <v>1795</v>
      </c>
      <c r="D10993" s="451" t="s">
        <v>17507</v>
      </c>
      <c r="E10993" s="451"/>
      <c r="F10993" s="451"/>
      <c r="G10993" s="451" t="s">
        <v>22882</v>
      </c>
      <c r="H10993" s="451" t="s">
        <v>22883</v>
      </c>
      <c r="I10993" s="451" t="s">
        <v>17507</v>
      </c>
      <c r="J10993" s="451" t="s">
        <v>29293</v>
      </c>
      <c r="K10993" s="451"/>
    </row>
    <row r="10994" spans="1:11">
      <c r="A10994" s="450" t="s">
        <v>17505</v>
      </c>
      <c r="B10994" s="450" t="s">
        <v>17506</v>
      </c>
      <c r="C10994" s="450" t="s">
        <v>1795</v>
      </c>
      <c r="D10994" s="450" t="s">
        <v>17507</v>
      </c>
      <c r="E10994" s="450" t="s">
        <v>17508</v>
      </c>
      <c r="F10994" s="450"/>
      <c r="G10994" s="450"/>
      <c r="H10994" s="450"/>
      <c r="I10994" s="450"/>
      <c r="J10994" s="450"/>
      <c r="K10994" s="450"/>
    </row>
    <row r="10995" spans="1:11">
      <c r="A10995" s="451" t="s">
        <v>38774</v>
      </c>
      <c r="B10995" s="451" t="s">
        <v>17510</v>
      </c>
      <c r="C10995" s="451" t="s">
        <v>2327</v>
      </c>
      <c r="D10995" s="451" t="s">
        <v>17511</v>
      </c>
      <c r="E10995" s="451"/>
      <c r="F10995" s="451"/>
      <c r="G10995" s="451" t="s">
        <v>22877</v>
      </c>
      <c r="H10995" s="451" t="s">
        <v>22878</v>
      </c>
      <c r="I10995" s="451" t="s">
        <v>17511</v>
      </c>
      <c r="J10995" s="451" t="s">
        <v>38775</v>
      </c>
      <c r="K10995" s="451"/>
    </row>
    <row r="10996" spans="1:11">
      <c r="A10996" s="450" t="s">
        <v>17509</v>
      </c>
      <c r="B10996" s="450" t="s">
        <v>17510</v>
      </c>
      <c r="C10996" s="450" t="s">
        <v>2327</v>
      </c>
      <c r="D10996" s="450" t="s">
        <v>17511</v>
      </c>
      <c r="E10996" s="450"/>
      <c r="F10996" s="450"/>
      <c r="G10996" s="450"/>
      <c r="H10996" s="450"/>
      <c r="I10996" s="450"/>
      <c r="J10996" s="450"/>
      <c r="K10996" s="450"/>
    </row>
    <row r="10997" spans="1:11">
      <c r="A10997" s="451" t="s">
        <v>21994</v>
      </c>
      <c r="B10997" s="451" t="s">
        <v>17512</v>
      </c>
      <c r="C10997" s="451" t="s">
        <v>17513</v>
      </c>
      <c r="D10997" s="451" t="s">
        <v>17514</v>
      </c>
      <c r="E10997" s="451"/>
      <c r="F10997" s="451"/>
      <c r="G10997" s="451" t="s">
        <v>22877</v>
      </c>
      <c r="H10997" s="451" t="s">
        <v>22878</v>
      </c>
      <c r="I10997" s="451" t="s">
        <v>29294</v>
      </c>
      <c r="J10997" s="451" t="s">
        <v>29295</v>
      </c>
      <c r="K10997" s="451"/>
    </row>
    <row r="10998" spans="1:11">
      <c r="A10998" s="450" t="s">
        <v>38776</v>
      </c>
      <c r="B10998" s="450" t="s">
        <v>17490</v>
      </c>
      <c r="C10998" s="450" t="s">
        <v>2487</v>
      </c>
      <c r="D10998" s="450" t="s">
        <v>17491</v>
      </c>
      <c r="E10998" s="450"/>
      <c r="F10998" s="450"/>
      <c r="G10998" s="450" t="s">
        <v>22882</v>
      </c>
      <c r="H10998" s="450" t="s">
        <v>22883</v>
      </c>
      <c r="I10998" s="450" t="s">
        <v>38777</v>
      </c>
      <c r="J10998" s="450" t="s">
        <v>38778</v>
      </c>
      <c r="K10998" s="450"/>
    </row>
    <row r="10999" spans="1:11">
      <c r="A10999" s="451" t="s">
        <v>21989</v>
      </c>
      <c r="B10999" s="451" t="s">
        <v>17490</v>
      </c>
      <c r="C10999" s="451" t="s">
        <v>2487</v>
      </c>
      <c r="D10999" s="451" t="s">
        <v>17491</v>
      </c>
      <c r="E10999" s="451" t="s">
        <v>17492</v>
      </c>
      <c r="F10999" s="451"/>
      <c r="G10999" s="451"/>
      <c r="H10999" s="451"/>
      <c r="I10999" s="451"/>
      <c r="J10999" s="451"/>
      <c r="K10999" s="451"/>
    </row>
    <row r="11000" spans="1:11">
      <c r="A11000" s="450" t="s">
        <v>38779</v>
      </c>
      <c r="B11000" s="450" t="s">
        <v>17493</v>
      </c>
      <c r="C11000" s="450" t="s">
        <v>17494</v>
      </c>
      <c r="D11000" s="450" t="s">
        <v>17495</v>
      </c>
      <c r="E11000" s="450"/>
      <c r="F11000" s="450"/>
      <c r="G11000" s="450" t="s">
        <v>22882</v>
      </c>
      <c r="H11000" s="450" t="s">
        <v>22883</v>
      </c>
      <c r="I11000" s="450" t="s">
        <v>17495</v>
      </c>
      <c r="J11000" s="450" t="s">
        <v>38780</v>
      </c>
      <c r="K11000" s="450"/>
    </row>
    <row r="11001" spans="1:11">
      <c r="A11001" s="451" t="s">
        <v>21990</v>
      </c>
      <c r="B11001" s="451" t="s">
        <v>17493</v>
      </c>
      <c r="C11001" s="451" t="s">
        <v>17494</v>
      </c>
      <c r="D11001" s="451" t="s">
        <v>17495</v>
      </c>
      <c r="E11001" s="451" t="s">
        <v>17496</v>
      </c>
      <c r="F11001" s="451"/>
      <c r="G11001" s="451"/>
      <c r="H11001" s="451"/>
      <c r="I11001" s="451"/>
      <c r="J11001" s="451"/>
      <c r="K11001" s="451"/>
    </row>
    <row r="11002" spans="1:11">
      <c r="A11002" s="450" t="s">
        <v>21991</v>
      </c>
      <c r="B11002" s="450" t="s">
        <v>17497</v>
      </c>
      <c r="C11002" s="450" t="s">
        <v>17498</v>
      </c>
      <c r="D11002" s="450" t="s">
        <v>17499</v>
      </c>
      <c r="E11002" s="450"/>
      <c r="F11002" s="450"/>
      <c r="G11002" s="450" t="s">
        <v>22882</v>
      </c>
      <c r="H11002" s="450" t="s">
        <v>22883</v>
      </c>
      <c r="I11002" s="450" t="s">
        <v>17499</v>
      </c>
      <c r="J11002" s="450" t="s">
        <v>29296</v>
      </c>
      <c r="K11002" s="450"/>
    </row>
    <row r="11003" spans="1:11">
      <c r="A11003" s="451" t="s">
        <v>38781</v>
      </c>
      <c r="B11003" s="451" t="s">
        <v>17500</v>
      </c>
      <c r="C11003" s="451" t="s">
        <v>17344</v>
      </c>
      <c r="D11003" s="451" t="s">
        <v>17501</v>
      </c>
      <c r="E11003" s="451"/>
      <c r="F11003" s="451"/>
      <c r="G11003" s="451" t="s">
        <v>22882</v>
      </c>
      <c r="H11003" s="451" t="s">
        <v>22883</v>
      </c>
      <c r="I11003" s="451" t="s">
        <v>17501</v>
      </c>
      <c r="J11003" s="451" t="s">
        <v>38782</v>
      </c>
      <c r="K11003" s="451"/>
    </row>
    <row r="11004" spans="1:11">
      <c r="A11004" s="450" t="s">
        <v>21992</v>
      </c>
      <c r="B11004" s="450" t="s">
        <v>17500</v>
      </c>
      <c r="C11004" s="450" t="s">
        <v>17344</v>
      </c>
      <c r="D11004" s="450" t="s">
        <v>17501</v>
      </c>
      <c r="E11004" s="450"/>
      <c r="F11004" s="450"/>
      <c r="G11004" s="450"/>
      <c r="H11004" s="450"/>
      <c r="I11004" s="450"/>
      <c r="J11004" s="450"/>
      <c r="K11004" s="450"/>
    </row>
    <row r="11005" spans="1:11">
      <c r="A11005" s="451" t="s">
        <v>38783</v>
      </c>
      <c r="B11005" s="451" t="s">
        <v>17502</v>
      </c>
      <c r="C11005" s="451" t="s">
        <v>17503</v>
      </c>
      <c r="D11005" s="451" t="s">
        <v>17504</v>
      </c>
      <c r="E11005" s="451"/>
      <c r="F11005" s="451"/>
      <c r="G11005" s="451" t="s">
        <v>22877</v>
      </c>
      <c r="H11005" s="451" t="s">
        <v>22878</v>
      </c>
      <c r="I11005" s="451" t="s">
        <v>17504</v>
      </c>
      <c r="J11005" s="451" t="s">
        <v>38784</v>
      </c>
      <c r="K11005" s="451"/>
    </row>
    <row r="11006" spans="1:11">
      <c r="A11006" s="450" t="s">
        <v>21993</v>
      </c>
      <c r="B11006" s="450" t="s">
        <v>17502</v>
      </c>
      <c r="C11006" s="450" t="s">
        <v>17503</v>
      </c>
      <c r="D11006" s="450" t="s">
        <v>17504</v>
      </c>
      <c r="E11006" s="450"/>
      <c r="F11006" s="450"/>
      <c r="G11006" s="450"/>
      <c r="H11006" s="450"/>
      <c r="I11006" s="450"/>
      <c r="J11006" s="450"/>
      <c r="K11006" s="450"/>
    </row>
    <row r="11007" spans="1:11">
      <c r="A11007" s="451" t="s">
        <v>17515</v>
      </c>
      <c r="B11007" s="451" t="s">
        <v>17516</v>
      </c>
      <c r="C11007" s="451" t="s">
        <v>17517</v>
      </c>
      <c r="D11007" s="451" t="s">
        <v>17518</v>
      </c>
      <c r="E11007" s="451"/>
      <c r="F11007" s="451"/>
      <c r="G11007" s="451" t="s">
        <v>22877</v>
      </c>
      <c r="H11007" s="451" t="s">
        <v>22878</v>
      </c>
      <c r="I11007" s="451" t="s">
        <v>38785</v>
      </c>
      <c r="J11007" s="451" t="s">
        <v>38786</v>
      </c>
      <c r="K11007" s="451"/>
    </row>
    <row r="11008" spans="1:11">
      <c r="A11008" s="450" t="s">
        <v>17515</v>
      </c>
      <c r="B11008" s="450" t="s">
        <v>17516</v>
      </c>
      <c r="C11008" s="450" t="s">
        <v>17517</v>
      </c>
      <c r="D11008" s="450" t="s">
        <v>17518</v>
      </c>
      <c r="E11008" s="450" t="s">
        <v>17519</v>
      </c>
      <c r="F11008" s="450"/>
      <c r="G11008" s="450"/>
      <c r="H11008" s="450"/>
      <c r="I11008" s="450"/>
      <c r="J11008" s="450"/>
      <c r="K11008" s="450"/>
    </row>
    <row r="11009" spans="1:11">
      <c r="A11009" s="451" t="s">
        <v>17520</v>
      </c>
      <c r="B11009" s="451" t="s">
        <v>17521</v>
      </c>
      <c r="C11009" s="451" t="s">
        <v>3310</v>
      </c>
      <c r="D11009" s="451" t="s">
        <v>17522</v>
      </c>
      <c r="E11009" s="451"/>
      <c r="F11009" s="451"/>
      <c r="G11009" s="451" t="s">
        <v>22877</v>
      </c>
      <c r="H11009" s="451" t="s">
        <v>22878</v>
      </c>
      <c r="I11009" s="451" t="s">
        <v>29297</v>
      </c>
      <c r="J11009" s="451" t="s">
        <v>29298</v>
      </c>
      <c r="K11009" s="451"/>
    </row>
    <row r="11010" spans="1:11">
      <c r="A11010" s="450" t="s">
        <v>29299</v>
      </c>
      <c r="B11010" s="450" t="s">
        <v>17524</v>
      </c>
      <c r="C11010" s="450" t="s">
        <v>2692</v>
      </c>
      <c r="D11010" s="450" t="s">
        <v>17525</v>
      </c>
      <c r="E11010" s="450"/>
      <c r="F11010" s="450"/>
      <c r="G11010" s="450" t="s">
        <v>22877</v>
      </c>
      <c r="H11010" s="450" t="s">
        <v>22878</v>
      </c>
      <c r="I11010" s="450" t="s">
        <v>17525</v>
      </c>
      <c r="J11010" s="450" t="s">
        <v>29300</v>
      </c>
      <c r="K11010" s="450"/>
    </row>
    <row r="11011" spans="1:11">
      <c r="A11011" s="451" t="s">
        <v>17523</v>
      </c>
      <c r="B11011" s="451" t="s">
        <v>17524</v>
      </c>
      <c r="C11011" s="451" t="s">
        <v>2692</v>
      </c>
      <c r="D11011" s="451" t="s">
        <v>17525</v>
      </c>
      <c r="E11011" s="451"/>
      <c r="F11011" s="451"/>
      <c r="G11011" s="451"/>
      <c r="H11011" s="451"/>
      <c r="I11011" s="451"/>
      <c r="J11011" s="451"/>
      <c r="K11011" s="451"/>
    </row>
    <row r="11012" spans="1:11">
      <c r="A11012" s="450" t="s">
        <v>38787</v>
      </c>
      <c r="B11012" s="450"/>
      <c r="C11012" s="450" t="s">
        <v>29301</v>
      </c>
      <c r="D11012" s="450"/>
      <c r="E11012" s="450"/>
      <c r="F11012" s="450"/>
      <c r="G11012" s="450" t="s">
        <v>22882</v>
      </c>
      <c r="H11012" s="450" t="s">
        <v>22883</v>
      </c>
      <c r="I11012" s="450"/>
      <c r="J11012" s="450" t="s">
        <v>22942</v>
      </c>
      <c r="K11012" s="450"/>
    </row>
    <row r="11013" spans="1:11">
      <c r="A11013" s="451" t="s">
        <v>17526</v>
      </c>
      <c r="B11013" s="451"/>
      <c r="C11013" s="451" t="s">
        <v>17527</v>
      </c>
      <c r="D11013" s="451"/>
      <c r="E11013" s="451"/>
      <c r="F11013" s="451"/>
      <c r="G11013" s="451"/>
      <c r="H11013" s="451"/>
      <c r="I11013" s="451"/>
      <c r="J11013" s="451"/>
      <c r="K11013" s="451"/>
    </row>
    <row r="11014" spans="1:11">
      <c r="A11014" s="450" t="s">
        <v>17528</v>
      </c>
      <c r="B11014" s="450" t="s">
        <v>17529</v>
      </c>
      <c r="C11014" s="450" t="s">
        <v>6284</v>
      </c>
      <c r="D11014" s="450" t="s">
        <v>17530</v>
      </c>
      <c r="E11014" s="450"/>
      <c r="F11014" s="450"/>
      <c r="G11014" s="450" t="s">
        <v>22882</v>
      </c>
      <c r="H11014" s="450" t="s">
        <v>22883</v>
      </c>
      <c r="I11014" s="450" t="s">
        <v>38788</v>
      </c>
      <c r="J11014" s="450" t="s">
        <v>38789</v>
      </c>
      <c r="K11014" s="450"/>
    </row>
    <row r="11015" spans="1:11">
      <c r="A11015" s="451" t="s">
        <v>17528</v>
      </c>
      <c r="B11015" s="451" t="s">
        <v>17529</v>
      </c>
      <c r="C11015" s="451" t="s">
        <v>6284</v>
      </c>
      <c r="D11015" s="451" t="s">
        <v>17530</v>
      </c>
      <c r="E11015" s="451" t="s">
        <v>17531</v>
      </c>
      <c r="F11015" s="451"/>
      <c r="G11015" s="451"/>
      <c r="H11015" s="451"/>
      <c r="I11015" s="451"/>
      <c r="J11015" s="451"/>
      <c r="K11015" s="451"/>
    </row>
    <row r="11016" spans="1:11">
      <c r="A11016" s="450" t="s">
        <v>29302</v>
      </c>
      <c r="B11016" s="450" t="s">
        <v>23972</v>
      </c>
      <c r="C11016" s="450" t="s">
        <v>29303</v>
      </c>
      <c r="D11016" s="450"/>
      <c r="E11016" s="450"/>
      <c r="F11016" s="450"/>
      <c r="G11016" s="450" t="s">
        <v>22877</v>
      </c>
      <c r="H11016" s="450" t="s">
        <v>22878</v>
      </c>
      <c r="I11016" s="450" t="s">
        <v>29304</v>
      </c>
      <c r="J11016" s="450" t="s">
        <v>29305</v>
      </c>
      <c r="K11016" s="450"/>
    </row>
    <row r="11017" spans="1:11">
      <c r="A11017" s="451" t="s">
        <v>29306</v>
      </c>
      <c r="B11017" s="451" t="s">
        <v>29307</v>
      </c>
      <c r="C11017" s="451" t="s">
        <v>29308</v>
      </c>
      <c r="D11017" s="451" t="s">
        <v>29309</v>
      </c>
      <c r="E11017" s="451"/>
      <c r="F11017" s="451"/>
      <c r="G11017" s="451" t="s">
        <v>22882</v>
      </c>
      <c r="H11017" s="451" t="s">
        <v>22883</v>
      </c>
      <c r="I11017" s="451" t="s">
        <v>29310</v>
      </c>
      <c r="J11017" s="451" t="s">
        <v>29311</v>
      </c>
      <c r="K11017" s="451"/>
    </row>
    <row r="11018" spans="1:11">
      <c r="A11018" s="450" t="s">
        <v>17532</v>
      </c>
      <c r="B11018" s="450" t="s">
        <v>17533</v>
      </c>
      <c r="C11018" s="450" t="s">
        <v>17534</v>
      </c>
      <c r="D11018" s="450" t="s">
        <v>17535</v>
      </c>
      <c r="E11018" s="450"/>
      <c r="F11018" s="450"/>
      <c r="G11018" s="450" t="s">
        <v>22882</v>
      </c>
      <c r="H11018" s="450" t="s">
        <v>22883</v>
      </c>
      <c r="I11018" s="450" t="s">
        <v>29312</v>
      </c>
      <c r="J11018" s="450" t="s">
        <v>29313</v>
      </c>
      <c r="K11018" s="450"/>
    </row>
    <row r="11019" spans="1:11">
      <c r="A11019" s="451" t="s">
        <v>17532</v>
      </c>
      <c r="B11019" s="451" t="s">
        <v>17533</v>
      </c>
      <c r="C11019" s="451" t="s">
        <v>17534</v>
      </c>
      <c r="D11019" s="451" t="s">
        <v>17535</v>
      </c>
      <c r="E11019" s="451" t="s">
        <v>17536</v>
      </c>
      <c r="F11019" s="451"/>
      <c r="G11019" s="451"/>
      <c r="H11019" s="451"/>
      <c r="I11019" s="451"/>
      <c r="J11019" s="451"/>
      <c r="K11019" s="451"/>
    </row>
    <row r="11020" spans="1:11">
      <c r="A11020" s="450" t="s">
        <v>17537</v>
      </c>
      <c r="B11020" s="450"/>
      <c r="C11020" s="450" t="s">
        <v>9689</v>
      </c>
      <c r="D11020" s="450"/>
      <c r="E11020" s="450"/>
      <c r="F11020" s="450"/>
      <c r="G11020" s="450" t="s">
        <v>22882</v>
      </c>
      <c r="H11020" s="450" t="s">
        <v>22883</v>
      </c>
      <c r="I11020" s="450"/>
      <c r="J11020" s="450" t="s">
        <v>22939</v>
      </c>
      <c r="K11020" s="450"/>
    </row>
    <row r="11021" spans="1:11">
      <c r="A11021" s="451" t="s">
        <v>17538</v>
      </c>
      <c r="B11021" s="451"/>
      <c r="C11021" s="451" t="s">
        <v>17077</v>
      </c>
      <c r="D11021" s="451"/>
      <c r="E11021" s="451"/>
      <c r="F11021" s="451"/>
      <c r="G11021" s="451" t="s">
        <v>22877</v>
      </c>
      <c r="H11021" s="451" t="s">
        <v>22878</v>
      </c>
      <c r="I11021" s="451" t="s">
        <v>38790</v>
      </c>
      <c r="J11021" s="451" t="s">
        <v>22942</v>
      </c>
      <c r="K11021" s="451"/>
    </row>
    <row r="11022" spans="1:11">
      <c r="A11022" s="450" t="s">
        <v>17539</v>
      </c>
      <c r="B11022" s="450"/>
      <c r="C11022" s="450" t="s">
        <v>9004</v>
      </c>
      <c r="D11022" s="450"/>
      <c r="E11022" s="450"/>
      <c r="F11022" s="450"/>
      <c r="G11022" s="450" t="s">
        <v>22877</v>
      </c>
      <c r="H11022" s="450" t="s">
        <v>22878</v>
      </c>
      <c r="I11022" s="450" t="s">
        <v>38791</v>
      </c>
      <c r="J11022" s="450" t="s">
        <v>22942</v>
      </c>
      <c r="K11022" s="450"/>
    </row>
    <row r="11023" spans="1:11">
      <c r="A11023" s="451" t="s">
        <v>17540</v>
      </c>
      <c r="B11023" s="451"/>
      <c r="C11023" s="451" t="s">
        <v>17541</v>
      </c>
      <c r="D11023" s="451"/>
      <c r="E11023" s="451"/>
      <c r="F11023" s="451"/>
      <c r="G11023" s="451" t="s">
        <v>22882</v>
      </c>
      <c r="H11023" s="451" t="s">
        <v>22883</v>
      </c>
      <c r="I11023" s="451" t="s">
        <v>38792</v>
      </c>
      <c r="J11023" s="451" t="s">
        <v>22942</v>
      </c>
      <c r="K11023" s="451"/>
    </row>
    <row r="11024" spans="1:11">
      <c r="A11024" s="450" t="s">
        <v>38793</v>
      </c>
      <c r="B11024" s="450"/>
      <c r="C11024" s="450" t="s">
        <v>6198</v>
      </c>
      <c r="D11024" s="450"/>
      <c r="E11024" s="450"/>
      <c r="F11024" s="450"/>
      <c r="G11024" s="450" t="s">
        <v>22877</v>
      </c>
      <c r="H11024" s="450" t="s">
        <v>22878</v>
      </c>
      <c r="I11024" s="450" t="s">
        <v>38794</v>
      </c>
      <c r="J11024" s="450" t="s">
        <v>23370</v>
      </c>
      <c r="K11024" s="450"/>
    </row>
    <row r="11025" spans="1:11">
      <c r="A11025" s="451" t="s">
        <v>17542</v>
      </c>
      <c r="B11025" s="451"/>
      <c r="C11025" s="451" t="s">
        <v>6198</v>
      </c>
      <c r="D11025" s="451"/>
      <c r="E11025" s="451"/>
      <c r="F11025" s="451"/>
      <c r="G11025" s="451"/>
      <c r="H11025" s="451"/>
      <c r="I11025" s="451"/>
      <c r="J11025" s="451"/>
      <c r="K11025" s="451"/>
    </row>
    <row r="11026" spans="1:11">
      <c r="A11026" s="450" t="s">
        <v>17543</v>
      </c>
      <c r="B11026" s="450" t="s">
        <v>17544</v>
      </c>
      <c r="C11026" s="450" t="s">
        <v>17545</v>
      </c>
      <c r="D11026" s="450"/>
      <c r="E11026" s="450"/>
      <c r="F11026" s="450" t="s">
        <v>17546</v>
      </c>
      <c r="G11026" s="450" t="s">
        <v>22877</v>
      </c>
      <c r="H11026" s="450" t="s">
        <v>22878</v>
      </c>
      <c r="I11026" s="450" t="s">
        <v>29314</v>
      </c>
      <c r="J11026" s="450" t="s">
        <v>29315</v>
      </c>
      <c r="K11026" s="450"/>
    </row>
    <row r="11027" spans="1:11">
      <c r="A11027" s="451" t="s">
        <v>29316</v>
      </c>
      <c r="B11027" s="451" t="s">
        <v>29317</v>
      </c>
      <c r="C11027" s="451" t="s">
        <v>25171</v>
      </c>
      <c r="D11027" s="451"/>
      <c r="E11027" s="451"/>
      <c r="F11027" s="451"/>
      <c r="G11027" s="451" t="s">
        <v>22877</v>
      </c>
      <c r="H11027" s="451" t="s">
        <v>22878</v>
      </c>
      <c r="I11027" s="451" t="s">
        <v>29318</v>
      </c>
      <c r="J11027" s="451" t="s">
        <v>29319</v>
      </c>
      <c r="K11027" s="451"/>
    </row>
    <row r="11028" spans="1:11">
      <c r="A11028" s="450" t="s">
        <v>29320</v>
      </c>
      <c r="B11028" s="450" t="s">
        <v>29321</v>
      </c>
      <c r="C11028" s="450" t="s">
        <v>29322</v>
      </c>
      <c r="D11028" s="450"/>
      <c r="E11028" s="450"/>
      <c r="F11028" s="450"/>
      <c r="G11028" s="450" t="s">
        <v>22877</v>
      </c>
      <c r="H11028" s="450" t="s">
        <v>22878</v>
      </c>
      <c r="I11028" s="450" t="s">
        <v>29323</v>
      </c>
      <c r="J11028" s="450" t="s">
        <v>29324</v>
      </c>
      <c r="K11028" s="450"/>
    </row>
    <row r="11029" spans="1:11">
      <c r="A11029" s="451" t="s">
        <v>21995</v>
      </c>
      <c r="B11029" s="451" t="s">
        <v>17547</v>
      </c>
      <c r="C11029" s="451" t="s">
        <v>1395</v>
      </c>
      <c r="D11029" s="451" t="s">
        <v>17548</v>
      </c>
      <c r="E11029" s="451"/>
      <c r="F11029" s="451"/>
      <c r="G11029" s="451" t="s">
        <v>22877</v>
      </c>
      <c r="H11029" s="451" t="s">
        <v>22878</v>
      </c>
      <c r="I11029" s="451" t="s">
        <v>38795</v>
      </c>
      <c r="J11029" s="451" t="s">
        <v>38796</v>
      </c>
      <c r="K11029" s="451"/>
    </row>
    <row r="11030" spans="1:11">
      <c r="A11030" s="450" t="s">
        <v>21995</v>
      </c>
      <c r="B11030" s="450" t="s">
        <v>17547</v>
      </c>
      <c r="C11030" s="450" t="s">
        <v>1395</v>
      </c>
      <c r="D11030" s="450" t="s">
        <v>17548</v>
      </c>
      <c r="E11030" s="450" t="s">
        <v>17549</v>
      </c>
      <c r="F11030" s="450"/>
      <c r="G11030" s="450"/>
      <c r="H11030" s="450"/>
      <c r="I11030" s="450"/>
      <c r="J11030" s="450"/>
      <c r="K11030" s="450"/>
    </row>
    <row r="11031" spans="1:11">
      <c r="A11031" s="451" t="s">
        <v>17550</v>
      </c>
      <c r="B11031" s="451" t="s">
        <v>17551</v>
      </c>
      <c r="C11031" s="451" t="s">
        <v>1906</v>
      </c>
      <c r="D11031" s="451" t="s">
        <v>17552</v>
      </c>
      <c r="E11031" s="451"/>
      <c r="F11031" s="451"/>
      <c r="G11031" s="451" t="s">
        <v>22882</v>
      </c>
      <c r="H11031" s="451" t="s">
        <v>22883</v>
      </c>
      <c r="I11031" s="451" t="s">
        <v>38797</v>
      </c>
      <c r="J11031" s="451" t="s">
        <v>38798</v>
      </c>
      <c r="K11031" s="451"/>
    </row>
    <row r="11032" spans="1:11">
      <c r="A11032" s="450" t="s">
        <v>17550</v>
      </c>
      <c r="B11032" s="450" t="s">
        <v>17551</v>
      </c>
      <c r="C11032" s="450" t="s">
        <v>1906</v>
      </c>
      <c r="D11032" s="450" t="s">
        <v>17552</v>
      </c>
      <c r="E11032" s="450" t="s">
        <v>17553</v>
      </c>
      <c r="F11032" s="450"/>
      <c r="G11032" s="450"/>
      <c r="H11032" s="450"/>
      <c r="I11032" s="450"/>
      <c r="J11032" s="450"/>
      <c r="K11032" s="450"/>
    </row>
    <row r="11033" spans="1:11">
      <c r="A11033" s="451" t="s">
        <v>17554</v>
      </c>
      <c r="B11033" s="451"/>
      <c r="C11033" s="451" t="s">
        <v>5468</v>
      </c>
      <c r="D11033" s="451"/>
      <c r="E11033" s="451"/>
      <c r="F11033" s="451"/>
      <c r="G11033" s="451" t="s">
        <v>22882</v>
      </c>
      <c r="H11033" s="451" t="s">
        <v>22883</v>
      </c>
      <c r="I11033" s="451" t="s">
        <v>38799</v>
      </c>
      <c r="J11033" s="451" t="s">
        <v>22997</v>
      </c>
      <c r="K11033" s="451"/>
    </row>
    <row r="11034" spans="1:11">
      <c r="A11034" s="450" t="s">
        <v>17555</v>
      </c>
      <c r="B11034" s="450"/>
      <c r="C11034" s="450" t="s">
        <v>5608</v>
      </c>
      <c r="D11034" s="450"/>
      <c r="E11034" s="450"/>
      <c r="F11034" s="450"/>
      <c r="G11034" s="450"/>
      <c r="H11034" s="450"/>
      <c r="I11034" s="450"/>
      <c r="J11034" s="450"/>
      <c r="K11034" s="450"/>
    </row>
    <row r="11035" spans="1:11">
      <c r="A11035" s="451" t="s">
        <v>38800</v>
      </c>
      <c r="B11035" s="451"/>
      <c r="C11035" s="451" t="s">
        <v>5608</v>
      </c>
      <c r="D11035" s="451"/>
      <c r="E11035" s="451"/>
      <c r="F11035" s="451"/>
      <c r="G11035" s="451" t="s">
        <v>22877</v>
      </c>
      <c r="H11035" s="451" t="s">
        <v>22878</v>
      </c>
      <c r="I11035" s="451" t="s">
        <v>38801</v>
      </c>
      <c r="J11035" s="451" t="s">
        <v>28403</v>
      </c>
      <c r="K11035" s="451"/>
    </row>
    <row r="11036" spans="1:11">
      <c r="A11036" s="450" t="s">
        <v>17556</v>
      </c>
      <c r="B11036" s="450"/>
      <c r="C11036" s="450" t="s">
        <v>17557</v>
      </c>
      <c r="D11036" s="450"/>
      <c r="E11036" s="450"/>
      <c r="F11036" s="450"/>
      <c r="G11036" s="450" t="s">
        <v>22882</v>
      </c>
      <c r="H11036" s="450" t="s">
        <v>22883</v>
      </c>
      <c r="I11036" s="450" t="s">
        <v>29325</v>
      </c>
      <c r="J11036" s="450" t="s">
        <v>23185</v>
      </c>
      <c r="K11036" s="450"/>
    </row>
    <row r="11037" spans="1:11">
      <c r="A11037" s="451" t="s">
        <v>17558</v>
      </c>
      <c r="B11037" s="451" t="s">
        <v>17559</v>
      </c>
      <c r="C11037" s="451" t="s">
        <v>1102</v>
      </c>
      <c r="D11037" s="451" t="s">
        <v>17560</v>
      </c>
      <c r="E11037" s="451"/>
      <c r="F11037" s="451"/>
      <c r="G11037" s="451" t="s">
        <v>22882</v>
      </c>
      <c r="H11037" s="451" t="s">
        <v>22883</v>
      </c>
      <c r="I11037" s="451" t="s">
        <v>38802</v>
      </c>
      <c r="J11037" s="451" t="s">
        <v>38803</v>
      </c>
      <c r="K11037" s="451"/>
    </row>
    <row r="11038" spans="1:11">
      <c r="A11038" s="450" t="s">
        <v>17558</v>
      </c>
      <c r="B11038" s="450" t="s">
        <v>17559</v>
      </c>
      <c r="C11038" s="450" t="s">
        <v>1102</v>
      </c>
      <c r="D11038" s="450" t="s">
        <v>17560</v>
      </c>
      <c r="E11038" s="450" t="s">
        <v>17561</v>
      </c>
      <c r="F11038" s="450"/>
      <c r="G11038" s="450"/>
      <c r="H11038" s="450"/>
      <c r="I11038" s="450"/>
      <c r="J11038" s="450"/>
      <c r="K11038" s="450"/>
    </row>
    <row r="11039" spans="1:11">
      <c r="A11039" s="451" t="s">
        <v>17562</v>
      </c>
      <c r="B11039" s="451" t="s">
        <v>17563</v>
      </c>
      <c r="C11039" s="451" t="s">
        <v>17564</v>
      </c>
      <c r="D11039" s="451" t="s">
        <v>17565</v>
      </c>
      <c r="E11039" s="451"/>
      <c r="F11039" s="451"/>
      <c r="G11039" s="451" t="s">
        <v>22882</v>
      </c>
      <c r="H11039" s="451" t="s">
        <v>22883</v>
      </c>
      <c r="I11039" s="451" t="s">
        <v>38804</v>
      </c>
      <c r="J11039" s="451" t="s">
        <v>38805</v>
      </c>
      <c r="K11039" s="451"/>
    </row>
    <row r="11040" spans="1:11">
      <c r="A11040" s="450" t="s">
        <v>17562</v>
      </c>
      <c r="B11040" s="450" t="s">
        <v>17563</v>
      </c>
      <c r="C11040" s="450" t="s">
        <v>17564</v>
      </c>
      <c r="D11040" s="450" t="s">
        <v>17565</v>
      </c>
      <c r="E11040" s="450" t="s">
        <v>17566</v>
      </c>
      <c r="F11040" s="450"/>
      <c r="G11040" s="450"/>
      <c r="H11040" s="450"/>
      <c r="I11040" s="450"/>
      <c r="J11040" s="450"/>
      <c r="K11040" s="450"/>
    </row>
    <row r="11041" spans="1:11">
      <c r="A11041" s="451" t="s">
        <v>17567</v>
      </c>
      <c r="B11041" s="451" t="s">
        <v>17568</v>
      </c>
      <c r="C11041" s="451" t="s">
        <v>17569</v>
      </c>
      <c r="D11041" s="451" t="s">
        <v>17570</v>
      </c>
      <c r="E11041" s="451"/>
      <c r="F11041" s="451"/>
      <c r="G11041" s="451" t="s">
        <v>22877</v>
      </c>
      <c r="H11041" s="451" t="s">
        <v>22878</v>
      </c>
      <c r="I11041" s="451" t="s">
        <v>29326</v>
      </c>
      <c r="J11041" s="451" t="s">
        <v>29327</v>
      </c>
      <c r="K11041" s="451"/>
    </row>
    <row r="11042" spans="1:11">
      <c r="A11042" s="450" t="s">
        <v>17567</v>
      </c>
      <c r="B11042" s="450" t="s">
        <v>17568</v>
      </c>
      <c r="C11042" s="450" t="s">
        <v>17569</v>
      </c>
      <c r="D11042" s="450" t="s">
        <v>17570</v>
      </c>
      <c r="E11042" s="450" t="s">
        <v>17571</v>
      </c>
      <c r="F11042" s="450"/>
      <c r="G11042" s="450"/>
      <c r="H11042" s="450"/>
      <c r="I11042" s="450"/>
      <c r="J11042" s="450"/>
      <c r="K11042" s="450"/>
    </row>
    <row r="11043" spans="1:11">
      <c r="A11043" s="451" t="s">
        <v>38806</v>
      </c>
      <c r="B11043" s="451" t="s">
        <v>17573</v>
      </c>
      <c r="C11043" s="451" t="s">
        <v>7510</v>
      </c>
      <c r="D11043" s="451"/>
      <c r="E11043" s="451"/>
      <c r="F11043" s="451"/>
      <c r="G11043" s="451" t="s">
        <v>22882</v>
      </c>
      <c r="H11043" s="451" t="s">
        <v>22883</v>
      </c>
      <c r="I11043" s="451"/>
      <c r="J11043" s="451" t="s">
        <v>38807</v>
      </c>
      <c r="K11043" s="451"/>
    </row>
    <row r="11044" spans="1:11">
      <c r="A11044" s="450" t="s">
        <v>17572</v>
      </c>
      <c r="B11044" s="450" t="s">
        <v>17573</v>
      </c>
      <c r="C11044" s="450" t="s">
        <v>7510</v>
      </c>
      <c r="D11044" s="450"/>
      <c r="E11044" s="450"/>
      <c r="F11044" s="450"/>
      <c r="G11044" s="450"/>
      <c r="H11044" s="450"/>
      <c r="I11044" s="450"/>
      <c r="J11044" s="450"/>
      <c r="K11044" s="450"/>
    </row>
    <row r="11045" spans="1:11">
      <c r="A11045" s="451" t="s">
        <v>38808</v>
      </c>
      <c r="B11045" s="451"/>
      <c r="C11045" s="451" t="s">
        <v>17574</v>
      </c>
      <c r="D11045" s="451"/>
      <c r="E11045" s="451"/>
      <c r="F11045" s="451"/>
      <c r="G11045" s="451" t="s">
        <v>22882</v>
      </c>
      <c r="H11045" s="451" t="s">
        <v>22883</v>
      </c>
      <c r="I11045" s="451" t="s">
        <v>38809</v>
      </c>
      <c r="J11045" s="451" t="s">
        <v>22942</v>
      </c>
      <c r="K11045" s="451"/>
    </row>
    <row r="11046" spans="1:11">
      <c r="A11046" s="450" t="s">
        <v>21996</v>
      </c>
      <c r="B11046" s="450"/>
      <c r="C11046" s="450" t="s">
        <v>17574</v>
      </c>
      <c r="D11046" s="450"/>
      <c r="E11046" s="450"/>
      <c r="F11046" s="450"/>
      <c r="G11046" s="450"/>
      <c r="H11046" s="450"/>
      <c r="I11046" s="450"/>
      <c r="J11046" s="450"/>
      <c r="K11046" s="450"/>
    </row>
    <row r="11047" spans="1:11">
      <c r="A11047" s="451" t="s">
        <v>29328</v>
      </c>
      <c r="B11047" s="451" t="s">
        <v>17576</v>
      </c>
      <c r="C11047" s="451" t="s">
        <v>17577</v>
      </c>
      <c r="D11047" s="451"/>
      <c r="E11047" s="451"/>
      <c r="F11047" s="451"/>
      <c r="G11047" s="451" t="s">
        <v>22882</v>
      </c>
      <c r="H11047" s="451" t="s">
        <v>22883</v>
      </c>
      <c r="I11047" s="451" t="s">
        <v>29329</v>
      </c>
      <c r="J11047" s="451" t="s">
        <v>29330</v>
      </c>
      <c r="K11047" s="451"/>
    </row>
    <row r="11048" spans="1:11">
      <c r="A11048" s="450" t="s">
        <v>17575</v>
      </c>
      <c r="B11048" s="450" t="s">
        <v>17576</v>
      </c>
      <c r="C11048" s="450" t="s">
        <v>17577</v>
      </c>
      <c r="D11048" s="450"/>
      <c r="E11048" s="450"/>
      <c r="F11048" s="450"/>
      <c r="G11048" s="450"/>
      <c r="H11048" s="450"/>
      <c r="I11048" s="450"/>
      <c r="J11048" s="450"/>
      <c r="K11048" s="450"/>
    </row>
    <row r="11049" spans="1:11">
      <c r="A11049" s="451" t="s">
        <v>17578</v>
      </c>
      <c r="B11049" s="451"/>
      <c r="C11049" s="451" t="s">
        <v>17579</v>
      </c>
      <c r="D11049" s="451"/>
      <c r="E11049" s="451"/>
      <c r="F11049" s="451"/>
      <c r="G11049" s="451"/>
      <c r="H11049" s="451"/>
      <c r="I11049" s="451"/>
      <c r="J11049" s="451"/>
      <c r="K11049" s="451"/>
    </row>
    <row r="11050" spans="1:11">
      <c r="A11050" s="450" t="s">
        <v>38810</v>
      </c>
      <c r="B11050" s="450"/>
      <c r="C11050" s="450" t="s">
        <v>38811</v>
      </c>
      <c r="D11050" s="450"/>
      <c r="E11050" s="450"/>
      <c r="F11050" s="450"/>
      <c r="G11050" s="450" t="s">
        <v>22877</v>
      </c>
      <c r="H11050" s="450" t="s">
        <v>22878</v>
      </c>
      <c r="I11050" s="450" t="s">
        <v>38812</v>
      </c>
      <c r="J11050" s="450" t="s">
        <v>22942</v>
      </c>
      <c r="K11050" s="450"/>
    </row>
    <row r="11051" spans="1:11">
      <c r="A11051" s="451" t="s">
        <v>17580</v>
      </c>
      <c r="B11051" s="451"/>
      <c r="C11051" s="451" t="s">
        <v>17581</v>
      </c>
      <c r="D11051" s="451"/>
      <c r="E11051" s="451"/>
      <c r="F11051" s="451"/>
      <c r="G11051" s="451" t="s">
        <v>22882</v>
      </c>
      <c r="H11051" s="451" t="s">
        <v>22883</v>
      </c>
      <c r="I11051" s="451"/>
      <c r="J11051" s="451" t="s">
        <v>22997</v>
      </c>
      <c r="K11051" s="451"/>
    </row>
    <row r="11052" spans="1:11">
      <c r="A11052" s="450" t="s">
        <v>29331</v>
      </c>
      <c r="B11052" s="450" t="s">
        <v>29332</v>
      </c>
      <c r="C11052" s="450" t="s">
        <v>29333</v>
      </c>
      <c r="D11052" s="450" t="s">
        <v>29334</v>
      </c>
      <c r="E11052" s="450"/>
      <c r="F11052" s="450" t="s">
        <v>32016</v>
      </c>
      <c r="G11052" s="450" t="s">
        <v>22877</v>
      </c>
      <c r="H11052" s="450" t="s">
        <v>22878</v>
      </c>
      <c r="I11052" s="450" t="s">
        <v>29334</v>
      </c>
      <c r="J11052" s="450" t="s">
        <v>29335</v>
      </c>
      <c r="K11052" s="450"/>
    </row>
    <row r="11053" spans="1:11">
      <c r="A11053" s="451" t="s">
        <v>17582</v>
      </c>
      <c r="B11053" s="451" t="s">
        <v>17583</v>
      </c>
      <c r="C11053" s="451" t="s">
        <v>17584</v>
      </c>
      <c r="D11053" s="451" t="s">
        <v>17585</v>
      </c>
      <c r="E11053" s="451"/>
      <c r="F11053" s="451"/>
      <c r="G11053" s="451" t="s">
        <v>22877</v>
      </c>
      <c r="H11053" s="451" t="s">
        <v>22878</v>
      </c>
      <c r="I11053" s="451" t="s">
        <v>17585</v>
      </c>
      <c r="J11053" s="451" t="s">
        <v>38813</v>
      </c>
      <c r="K11053" s="451"/>
    </row>
    <row r="11054" spans="1:11">
      <c r="A11054" s="450" t="s">
        <v>17582</v>
      </c>
      <c r="B11054" s="450" t="s">
        <v>17583</v>
      </c>
      <c r="C11054" s="450" t="s">
        <v>17584</v>
      </c>
      <c r="D11054" s="450" t="s">
        <v>17585</v>
      </c>
      <c r="E11054" s="450" t="s">
        <v>17586</v>
      </c>
      <c r="F11054" s="450"/>
      <c r="G11054" s="450"/>
      <c r="H11054" s="450"/>
      <c r="I11054" s="450"/>
      <c r="J11054" s="450"/>
      <c r="K11054" s="450"/>
    </row>
    <row r="11055" spans="1:11">
      <c r="A11055" s="451" t="s">
        <v>29336</v>
      </c>
      <c r="B11055" s="451" t="s">
        <v>5957</v>
      </c>
      <c r="C11055" s="451" t="s">
        <v>5958</v>
      </c>
      <c r="D11055" s="451" t="s">
        <v>17588</v>
      </c>
      <c r="E11055" s="451"/>
      <c r="F11055" s="451"/>
      <c r="G11055" s="451" t="s">
        <v>23063</v>
      </c>
      <c r="H11055" s="451" t="s">
        <v>22878</v>
      </c>
      <c r="I11055" s="451" t="s">
        <v>29337</v>
      </c>
      <c r="J11055" s="451" t="s">
        <v>5957</v>
      </c>
      <c r="K11055" s="451"/>
    </row>
    <row r="11056" spans="1:11">
      <c r="A11056" s="450" t="s">
        <v>29338</v>
      </c>
      <c r="B11056" s="450" t="s">
        <v>17590</v>
      </c>
      <c r="C11056" s="450" t="s">
        <v>17591</v>
      </c>
      <c r="D11056" s="450" t="s">
        <v>17592</v>
      </c>
      <c r="E11056" s="450"/>
      <c r="F11056" s="450"/>
      <c r="G11056" s="450" t="s">
        <v>22882</v>
      </c>
      <c r="H11056" s="450" t="s">
        <v>22883</v>
      </c>
      <c r="I11056" s="450" t="s">
        <v>17592</v>
      </c>
      <c r="J11056" s="450" t="s">
        <v>29339</v>
      </c>
      <c r="K11056" s="450"/>
    </row>
    <row r="11057" spans="1:11">
      <c r="A11057" s="451" t="s">
        <v>29340</v>
      </c>
      <c r="B11057" s="451" t="s">
        <v>17594</v>
      </c>
      <c r="C11057" s="451" t="s">
        <v>11851</v>
      </c>
      <c r="D11057" s="451" t="s">
        <v>17595</v>
      </c>
      <c r="E11057" s="451"/>
      <c r="F11057" s="451"/>
      <c r="G11057" s="451" t="s">
        <v>22882</v>
      </c>
      <c r="H11057" s="451" t="s">
        <v>22883</v>
      </c>
      <c r="I11057" s="451" t="s">
        <v>17595</v>
      </c>
      <c r="J11057" s="451" t="s">
        <v>29341</v>
      </c>
      <c r="K11057" s="451"/>
    </row>
    <row r="11058" spans="1:11">
      <c r="A11058" s="450" t="s">
        <v>38814</v>
      </c>
      <c r="B11058" s="450" t="s">
        <v>17598</v>
      </c>
      <c r="C11058" s="450" t="s">
        <v>17599</v>
      </c>
      <c r="D11058" s="450" t="s">
        <v>17600</v>
      </c>
      <c r="E11058" s="450"/>
      <c r="F11058" s="450"/>
      <c r="G11058" s="450" t="s">
        <v>22882</v>
      </c>
      <c r="H11058" s="450" t="s">
        <v>22883</v>
      </c>
      <c r="I11058" s="450" t="s">
        <v>17600</v>
      </c>
      <c r="J11058" s="450" t="s">
        <v>38815</v>
      </c>
      <c r="K11058" s="450"/>
    </row>
    <row r="11059" spans="1:11">
      <c r="A11059" s="451" t="s">
        <v>17587</v>
      </c>
      <c r="B11059" s="451" t="s">
        <v>5957</v>
      </c>
      <c r="C11059" s="451" t="s">
        <v>5958</v>
      </c>
      <c r="D11059" s="451" t="s">
        <v>17588</v>
      </c>
      <c r="E11059" s="451"/>
      <c r="F11059" s="451"/>
      <c r="G11059" s="451"/>
      <c r="H11059" s="451"/>
      <c r="I11059" s="451"/>
      <c r="J11059" s="451"/>
      <c r="K11059" s="451"/>
    </row>
    <row r="11060" spans="1:11">
      <c r="A11060" s="450" t="s">
        <v>17589</v>
      </c>
      <c r="B11060" s="450" t="s">
        <v>17590</v>
      </c>
      <c r="C11060" s="450" t="s">
        <v>17591</v>
      </c>
      <c r="D11060" s="450" t="s">
        <v>17592</v>
      </c>
      <c r="E11060" s="450"/>
      <c r="F11060" s="450"/>
      <c r="G11060" s="450"/>
      <c r="H11060" s="450"/>
      <c r="I11060" s="450"/>
      <c r="J11060" s="450"/>
      <c r="K11060" s="450"/>
    </row>
    <row r="11061" spans="1:11">
      <c r="A11061" s="451" t="s">
        <v>17593</v>
      </c>
      <c r="B11061" s="451" t="s">
        <v>17594</v>
      </c>
      <c r="C11061" s="451" t="s">
        <v>11851</v>
      </c>
      <c r="D11061" s="451" t="s">
        <v>17595</v>
      </c>
      <c r="E11061" s="451" t="s">
        <v>17596</v>
      </c>
      <c r="F11061" s="451"/>
      <c r="G11061" s="451"/>
      <c r="H11061" s="451"/>
      <c r="I11061" s="451"/>
      <c r="J11061" s="451"/>
      <c r="K11061" s="451"/>
    </row>
    <row r="11062" spans="1:11">
      <c r="A11062" s="450" t="s">
        <v>17597</v>
      </c>
      <c r="B11062" s="450" t="s">
        <v>17598</v>
      </c>
      <c r="C11062" s="450" t="s">
        <v>17599</v>
      </c>
      <c r="D11062" s="450" t="s">
        <v>17600</v>
      </c>
      <c r="E11062" s="450"/>
      <c r="F11062" s="450"/>
      <c r="G11062" s="450"/>
      <c r="H11062" s="450"/>
      <c r="I11062" s="450"/>
      <c r="J11062" s="450"/>
      <c r="K11062" s="450"/>
    </row>
    <row r="11063" spans="1:11">
      <c r="A11063" s="451" t="s">
        <v>38816</v>
      </c>
      <c r="B11063" s="451" t="s">
        <v>17602</v>
      </c>
      <c r="C11063" s="451" t="s">
        <v>17603</v>
      </c>
      <c r="D11063" s="451" t="s">
        <v>17604</v>
      </c>
      <c r="E11063" s="451"/>
      <c r="F11063" s="451"/>
      <c r="G11063" s="451" t="s">
        <v>22882</v>
      </c>
      <c r="H11063" s="451" t="s">
        <v>22883</v>
      </c>
      <c r="I11063" s="451" t="s">
        <v>17604</v>
      </c>
      <c r="J11063" s="451" t="s">
        <v>38817</v>
      </c>
      <c r="K11063" s="451"/>
    </row>
    <row r="11064" spans="1:11">
      <c r="A11064" s="450" t="s">
        <v>17601</v>
      </c>
      <c r="B11064" s="450" t="s">
        <v>17602</v>
      </c>
      <c r="C11064" s="450" t="s">
        <v>17603</v>
      </c>
      <c r="D11064" s="450" t="s">
        <v>17604</v>
      </c>
      <c r="E11064" s="450" t="s">
        <v>17605</v>
      </c>
      <c r="F11064" s="450"/>
      <c r="G11064" s="450"/>
      <c r="H11064" s="450"/>
      <c r="I11064" s="450"/>
      <c r="J11064" s="450"/>
      <c r="K11064" s="450"/>
    </row>
    <row r="11065" spans="1:11">
      <c r="A11065" s="451" t="s">
        <v>20345</v>
      </c>
      <c r="B11065" s="451" t="s">
        <v>20346</v>
      </c>
      <c r="C11065" s="451" t="s">
        <v>5147</v>
      </c>
      <c r="D11065" s="451" t="s">
        <v>29342</v>
      </c>
      <c r="E11065" s="451"/>
      <c r="F11065" s="451" t="s">
        <v>20348</v>
      </c>
      <c r="G11065" s="451" t="s">
        <v>22877</v>
      </c>
      <c r="H11065" s="451" t="s">
        <v>22878</v>
      </c>
      <c r="I11065" s="451" t="s">
        <v>29343</v>
      </c>
      <c r="J11065" s="451" t="s">
        <v>29344</v>
      </c>
      <c r="K11065" s="451"/>
    </row>
    <row r="11066" spans="1:11">
      <c r="A11066" s="450" t="s">
        <v>20345</v>
      </c>
      <c r="B11066" s="450" t="s">
        <v>20346</v>
      </c>
      <c r="C11066" s="450" t="s">
        <v>5147</v>
      </c>
      <c r="D11066" s="450" t="s">
        <v>20347</v>
      </c>
      <c r="E11066" s="450"/>
      <c r="F11066" s="450" t="s">
        <v>20348</v>
      </c>
      <c r="G11066" s="450"/>
      <c r="H11066" s="450"/>
      <c r="I11066" s="450"/>
      <c r="J11066" s="450"/>
      <c r="K11066" s="450"/>
    </row>
    <row r="11067" spans="1:11">
      <c r="A11067" s="451" t="s">
        <v>38818</v>
      </c>
      <c r="B11067" s="451"/>
      <c r="C11067" s="451" t="s">
        <v>17606</v>
      </c>
      <c r="D11067" s="451"/>
      <c r="E11067" s="451"/>
      <c r="F11067" s="451"/>
      <c r="G11067" s="451" t="s">
        <v>22882</v>
      </c>
      <c r="H11067" s="451" t="s">
        <v>22883</v>
      </c>
      <c r="I11067" s="451"/>
      <c r="J11067" s="451" t="s">
        <v>22997</v>
      </c>
      <c r="K11067" s="451"/>
    </row>
    <row r="11068" spans="1:11">
      <c r="A11068" s="450" t="s">
        <v>21997</v>
      </c>
      <c r="B11068" s="450"/>
      <c r="C11068" s="450" t="s">
        <v>17606</v>
      </c>
      <c r="D11068" s="450"/>
      <c r="E11068" s="450"/>
      <c r="F11068" s="450"/>
      <c r="G11068" s="450"/>
      <c r="H11068" s="450"/>
      <c r="I11068" s="450"/>
      <c r="J11068" s="450"/>
      <c r="K11068" s="450"/>
    </row>
    <row r="11069" spans="1:11">
      <c r="A11069" s="451" t="s">
        <v>17607</v>
      </c>
      <c r="B11069" s="451" t="s">
        <v>17608</v>
      </c>
      <c r="C11069" s="451" t="s">
        <v>6078</v>
      </c>
      <c r="D11069" s="451" t="s">
        <v>17609</v>
      </c>
      <c r="E11069" s="451"/>
      <c r="F11069" s="451"/>
      <c r="G11069" s="451"/>
      <c r="H11069" s="451"/>
      <c r="I11069" s="451"/>
      <c r="J11069" s="451"/>
      <c r="K11069" s="451"/>
    </row>
    <row r="11070" spans="1:11">
      <c r="A11070" s="450" t="s">
        <v>29345</v>
      </c>
      <c r="B11070" s="450" t="s">
        <v>17608</v>
      </c>
      <c r="C11070" s="450" t="s">
        <v>6078</v>
      </c>
      <c r="D11070" s="450" t="s">
        <v>17609</v>
      </c>
      <c r="E11070" s="450"/>
      <c r="F11070" s="450"/>
      <c r="G11070" s="450" t="s">
        <v>22882</v>
      </c>
      <c r="H11070" s="450" t="s">
        <v>22883</v>
      </c>
      <c r="I11070" s="450" t="s">
        <v>25183</v>
      </c>
      <c r="J11070" s="450" t="s">
        <v>29346</v>
      </c>
      <c r="K11070" s="450"/>
    </row>
    <row r="11071" spans="1:11">
      <c r="A11071" s="451" t="s">
        <v>38819</v>
      </c>
      <c r="B11071" s="451"/>
      <c r="C11071" s="451"/>
      <c r="D11071" s="451"/>
      <c r="E11071" s="451"/>
      <c r="F11071" s="451"/>
      <c r="G11071" s="451" t="s">
        <v>22882</v>
      </c>
      <c r="H11071" s="451" t="s">
        <v>22883</v>
      </c>
      <c r="I11071" s="451" t="s">
        <v>38820</v>
      </c>
      <c r="J11071" s="451" t="s">
        <v>24578</v>
      </c>
      <c r="K11071" s="451"/>
    </row>
    <row r="11072" spans="1:11">
      <c r="A11072" s="450" t="s">
        <v>17610</v>
      </c>
      <c r="B11072" s="450"/>
      <c r="C11072" s="450"/>
      <c r="D11072" s="450"/>
      <c r="E11072" s="450"/>
      <c r="F11072" s="450"/>
      <c r="G11072" s="450"/>
      <c r="H11072" s="450"/>
      <c r="I11072" s="450"/>
      <c r="J11072" s="450"/>
      <c r="K11072" s="450"/>
    </row>
    <row r="11073" spans="1:11">
      <c r="A11073" s="451" t="s">
        <v>29347</v>
      </c>
      <c r="B11073" s="451" t="s">
        <v>29181</v>
      </c>
      <c r="C11073" s="451" t="s">
        <v>29182</v>
      </c>
      <c r="D11073" s="451"/>
      <c r="E11073" s="451"/>
      <c r="F11073" s="451"/>
      <c r="G11073" s="451" t="s">
        <v>22877</v>
      </c>
      <c r="H11073" s="451" t="s">
        <v>22878</v>
      </c>
      <c r="I11073" s="451" t="s">
        <v>29348</v>
      </c>
      <c r="J11073" s="451" t="s">
        <v>29349</v>
      </c>
      <c r="K11073" s="451"/>
    </row>
    <row r="11074" spans="1:11">
      <c r="A11074" s="450" t="s">
        <v>38821</v>
      </c>
      <c r="B11074" s="450"/>
      <c r="C11074" s="450" t="s">
        <v>17612</v>
      </c>
      <c r="D11074" s="450"/>
      <c r="E11074" s="450"/>
      <c r="F11074" s="450"/>
      <c r="G11074" s="450" t="s">
        <v>22882</v>
      </c>
      <c r="H11074" s="450" t="s">
        <v>22883</v>
      </c>
      <c r="I11074" s="450"/>
      <c r="J11074" s="450" t="s">
        <v>22942</v>
      </c>
      <c r="K11074" s="450"/>
    </row>
    <row r="11075" spans="1:11">
      <c r="A11075" s="451" t="s">
        <v>38822</v>
      </c>
      <c r="B11075" s="451"/>
      <c r="C11075" s="451" t="s">
        <v>7740</v>
      </c>
      <c r="D11075" s="451"/>
      <c r="E11075" s="451"/>
      <c r="F11075" s="451"/>
      <c r="G11075" s="451" t="s">
        <v>22882</v>
      </c>
      <c r="H11075" s="451" t="s">
        <v>22883</v>
      </c>
      <c r="I11075" s="451"/>
      <c r="J11075" s="451" t="s">
        <v>22942</v>
      </c>
      <c r="K11075" s="451"/>
    </row>
    <row r="11076" spans="1:11">
      <c r="A11076" s="450" t="s">
        <v>17611</v>
      </c>
      <c r="B11076" s="450"/>
      <c r="C11076" s="450" t="s">
        <v>17612</v>
      </c>
      <c r="D11076" s="450"/>
      <c r="E11076" s="450"/>
      <c r="F11076" s="450"/>
      <c r="G11076" s="450"/>
      <c r="H11076" s="450"/>
      <c r="I11076" s="450"/>
      <c r="J11076" s="450"/>
      <c r="K11076" s="450"/>
    </row>
    <row r="11077" spans="1:11">
      <c r="A11077" s="451" t="s">
        <v>17613</v>
      </c>
      <c r="B11077" s="451"/>
      <c r="C11077" s="451" t="s">
        <v>7740</v>
      </c>
      <c r="D11077" s="451"/>
      <c r="E11077" s="451"/>
      <c r="F11077" s="451"/>
      <c r="G11077" s="451"/>
      <c r="H11077" s="451"/>
      <c r="I11077" s="451"/>
      <c r="J11077" s="451"/>
      <c r="K11077" s="451"/>
    </row>
    <row r="11078" spans="1:11">
      <c r="A11078" s="450" t="s">
        <v>38823</v>
      </c>
      <c r="B11078" s="450"/>
      <c r="C11078" s="450" t="s">
        <v>17617</v>
      </c>
      <c r="D11078" s="450"/>
      <c r="E11078" s="450"/>
      <c r="F11078" s="450"/>
      <c r="G11078" s="450" t="s">
        <v>22882</v>
      </c>
      <c r="H11078" s="450" t="s">
        <v>22883</v>
      </c>
      <c r="I11078" s="450" t="s">
        <v>38824</v>
      </c>
      <c r="J11078" s="450" t="s">
        <v>22942</v>
      </c>
      <c r="K11078" s="450"/>
    </row>
    <row r="11079" spans="1:11">
      <c r="A11079" s="451" t="s">
        <v>38825</v>
      </c>
      <c r="B11079" s="451"/>
      <c r="C11079" s="451" t="s">
        <v>17615</v>
      </c>
      <c r="D11079" s="451"/>
      <c r="E11079" s="451"/>
      <c r="F11079" s="451"/>
      <c r="G11079" s="451" t="s">
        <v>22882</v>
      </c>
      <c r="H11079" s="451" t="s">
        <v>22883</v>
      </c>
      <c r="I11079" s="451" t="s">
        <v>38824</v>
      </c>
      <c r="J11079" s="451" t="s">
        <v>22942</v>
      </c>
      <c r="K11079" s="451"/>
    </row>
    <row r="11080" spans="1:11">
      <c r="A11080" s="450" t="s">
        <v>17614</v>
      </c>
      <c r="B11080" s="450"/>
      <c r="C11080" s="450" t="s">
        <v>17615</v>
      </c>
      <c r="D11080" s="450"/>
      <c r="E11080" s="450"/>
      <c r="F11080" s="450"/>
      <c r="G11080" s="450"/>
      <c r="H11080" s="450"/>
      <c r="I11080" s="450"/>
      <c r="J11080" s="450"/>
      <c r="K11080" s="450"/>
    </row>
    <row r="11081" spans="1:11">
      <c r="A11081" s="451" t="s">
        <v>17616</v>
      </c>
      <c r="B11081" s="451"/>
      <c r="C11081" s="451" t="s">
        <v>17617</v>
      </c>
      <c r="D11081" s="451"/>
      <c r="E11081" s="451"/>
      <c r="F11081" s="451"/>
      <c r="G11081" s="451"/>
      <c r="H11081" s="451"/>
      <c r="I11081" s="451"/>
      <c r="J11081" s="451"/>
      <c r="K11081" s="451"/>
    </row>
    <row r="11082" spans="1:11">
      <c r="A11082" s="450" t="s">
        <v>38826</v>
      </c>
      <c r="B11082" s="450"/>
      <c r="C11082" s="450" t="s">
        <v>17621</v>
      </c>
      <c r="D11082" s="450"/>
      <c r="E11082" s="450"/>
      <c r="F11082" s="450"/>
      <c r="G11082" s="450" t="s">
        <v>22882</v>
      </c>
      <c r="H11082" s="450" t="s">
        <v>22883</v>
      </c>
      <c r="I11082" s="450" t="s">
        <v>38827</v>
      </c>
      <c r="J11082" s="450" t="s">
        <v>22942</v>
      </c>
      <c r="K11082" s="450"/>
    </row>
    <row r="11083" spans="1:11">
      <c r="A11083" s="451" t="s">
        <v>38828</v>
      </c>
      <c r="B11083" s="451"/>
      <c r="C11083" s="451" t="s">
        <v>17619</v>
      </c>
      <c r="D11083" s="451"/>
      <c r="E11083" s="451"/>
      <c r="F11083" s="451"/>
      <c r="G11083" s="451" t="s">
        <v>22877</v>
      </c>
      <c r="H11083" s="451" t="s">
        <v>22878</v>
      </c>
      <c r="I11083" s="451" t="s">
        <v>38829</v>
      </c>
      <c r="J11083" s="451" t="s">
        <v>22942</v>
      </c>
      <c r="K11083" s="451"/>
    </row>
    <row r="11084" spans="1:11">
      <c r="A11084" s="450" t="s">
        <v>17618</v>
      </c>
      <c r="B11084" s="450"/>
      <c r="C11084" s="450" t="s">
        <v>17619</v>
      </c>
      <c r="D11084" s="450"/>
      <c r="E11084" s="450"/>
      <c r="F11084" s="450"/>
      <c r="G11084" s="450"/>
      <c r="H11084" s="450"/>
      <c r="I11084" s="450"/>
      <c r="J11084" s="450"/>
      <c r="K11084" s="450"/>
    </row>
    <row r="11085" spans="1:11">
      <c r="A11085" s="451" t="s">
        <v>17620</v>
      </c>
      <c r="B11085" s="451"/>
      <c r="C11085" s="451" t="s">
        <v>17621</v>
      </c>
      <c r="D11085" s="451"/>
      <c r="E11085" s="451"/>
      <c r="F11085" s="451"/>
      <c r="G11085" s="451"/>
      <c r="H11085" s="451"/>
      <c r="I11085" s="451"/>
      <c r="J11085" s="451"/>
      <c r="K11085" s="451"/>
    </row>
    <row r="11086" spans="1:11">
      <c r="A11086" s="450" t="s">
        <v>17622</v>
      </c>
      <c r="B11086" s="450"/>
      <c r="C11086" s="450" t="s">
        <v>4529</v>
      </c>
      <c r="D11086" s="450"/>
      <c r="E11086" s="450"/>
      <c r="F11086" s="450"/>
      <c r="G11086" s="450" t="s">
        <v>22882</v>
      </c>
      <c r="H11086" s="450" t="s">
        <v>22883</v>
      </c>
      <c r="I11086" s="450" t="s">
        <v>29350</v>
      </c>
      <c r="J11086" s="450" t="s">
        <v>23185</v>
      </c>
      <c r="K11086" s="450"/>
    </row>
    <row r="11087" spans="1:11">
      <c r="A11087" s="451" t="s">
        <v>29351</v>
      </c>
      <c r="B11087" s="451" t="s">
        <v>17624</v>
      </c>
      <c r="C11087" s="451" t="s">
        <v>17625</v>
      </c>
      <c r="D11087" s="451" t="s">
        <v>17626</v>
      </c>
      <c r="E11087" s="451"/>
      <c r="F11087" s="451"/>
      <c r="G11087" s="451" t="s">
        <v>22877</v>
      </c>
      <c r="H11087" s="451" t="s">
        <v>22878</v>
      </c>
      <c r="I11087" s="451" t="s">
        <v>29352</v>
      </c>
      <c r="J11087" s="451" t="s">
        <v>29353</v>
      </c>
      <c r="K11087" s="451"/>
    </row>
    <row r="11088" spans="1:11">
      <c r="A11088" s="450" t="s">
        <v>38830</v>
      </c>
      <c r="B11088" s="450" t="s">
        <v>17628</v>
      </c>
      <c r="C11088" s="450" t="s">
        <v>6153</v>
      </c>
      <c r="D11088" s="450" t="s">
        <v>17629</v>
      </c>
      <c r="E11088" s="450"/>
      <c r="F11088" s="450"/>
      <c r="G11088" s="450" t="s">
        <v>22882</v>
      </c>
      <c r="H11088" s="450" t="s">
        <v>22883</v>
      </c>
      <c r="I11088" s="450" t="s">
        <v>25438</v>
      </c>
      <c r="J11088" s="450" t="s">
        <v>38831</v>
      </c>
      <c r="K11088" s="450"/>
    </row>
    <row r="11089" spans="1:11">
      <c r="A11089" s="451" t="s">
        <v>17623</v>
      </c>
      <c r="B11089" s="451" t="s">
        <v>17624</v>
      </c>
      <c r="C11089" s="451" t="s">
        <v>17625</v>
      </c>
      <c r="D11089" s="451" t="s">
        <v>17626</v>
      </c>
      <c r="E11089" s="451"/>
      <c r="F11089" s="451"/>
      <c r="G11089" s="451"/>
      <c r="H11089" s="451"/>
      <c r="I11089" s="451"/>
      <c r="J11089" s="451"/>
      <c r="K11089" s="451"/>
    </row>
    <row r="11090" spans="1:11">
      <c r="A11090" s="450" t="s">
        <v>17627</v>
      </c>
      <c r="B11090" s="450" t="s">
        <v>17628</v>
      </c>
      <c r="C11090" s="450" t="s">
        <v>6153</v>
      </c>
      <c r="D11090" s="450" t="s">
        <v>17629</v>
      </c>
      <c r="E11090" s="450"/>
      <c r="F11090" s="450"/>
      <c r="G11090" s="450"/>
      <c r="H11090" s="450"/>
      <c r="I11090" s="450"/>
      <c r="J11090" s="450"/>
      <c r="K11090" s="450"/>
    </row>
    <row r="11091" spans="1:11">
      <c r="A11091" s="451" t="s">
        <v>29354</v>
      </c>
      <c r="B11091" s="451" t="s">
        <v>29355</v>
      </c>
      <c r="C11091" s="451" t="s">
        <v>17632</v>
      </c>
      <c r="D11091" s="451"/>
      <c r="E11091" s="451"/>
      <c r="F11091" s="451"/>
      <c r="G11091" s="451" t="s">
        <v>22877</v>
      </c>
      <c r="H11091" s="451" t="s">
        <v>22878</v>
      </c>
      <c r="I11091" s="451" t="s">
        <v>29356</v>
      </c>
      <c r="J11091" s="451" t="s">
        <v>29357</v>
      </c>
      <c r="K11091" s="451"/>
    </row>
    <row r="11092" spans="1:11">
      <c r="A11092" s="450" t="s">
        <v>17630</v>
      </c>
      <c r="B11092" s="450" t="s">
        <v>17631</v>
      </c>
      <c r="C11092" s="450" t="s">
        <v>17632</v>
      </c>
      <c r="D11092" s="450"/>
      <c r="E11092" s="450"/>
      <c r="F11092" s="450"/>
      <c r="G11092" s="450"/>
      <c r="H11092" s="450"/>
      <c r="I11092" s="450"/>
      <c r="J11092" s="450"/>
      <c r="K11092" s="450"/>
    </row>
    <row r="11093" spans="1:11">
      <c r="A11093" s="451" t="s">
        <v>17633</v>
      </c>
      <c r="B11093" s="451"/>
      <c r="C11093" s="451" t="s">
        <v>17634</v>
      </c>
      <c r="D11093" s="451"/>
      <c r="E11093" s="451"/>
      <c r="F11093" s="451"/>
      <c r="G11093" s="451" t="s">
        <v>22882</v>
      </c>
      <c r="H11093" s="451" t="s">
        <v>22883</v>
      </c>
      <c r="I11093" s="451" t="s">
        <v>38832</v>
      </c>
      <c r="J11093" s="451" t="s">
        <v>22942</v>
      </c>
      <c r="K11093" s="451"/>
    </row>
    <row r="11094" spans="1:11">
      <c r="A11094" s="450" t="s">
        <v>17635</v>
      </c>
      <c r="B11094" s="450"/>
      <c r="C11094" s="450" t="s">
        <v>9929</v>
      </c>
      <c r="D11094" s="450"/>
      <c r="E11094" s="450"/>
      <c r="F11094" s="450"/>
      <c r="G11094" s="450" t="s">
        <v>22882</v>
      </c>
      <c r="H11094" s="450" t="s">
        <v>22883</v>
      </c>
      <c r="I11094" s="450" t="s">
        <v>29358</v>
      </c>
      <c r="J11094" s="450" t="s">
        <v>23185</v>
      </c>
      <c r="K11094" s="450"/>
    </row>
    <row r="11095" spans="1:11">
      <c r="A11095" s="451" t="s">
        <v>21998</v>
      </c>
      <c r="B11095" s="451" t="s">
        <v>29359</v>
      </c>
      <c r="C11095" s="451" t="s">
        <v>12142</v>
      </c>
      <c r="D11095" s="451"/>
      <c r="E11095" s="451"/>
      <c r="F11095" s="451"/>
      <c r="G11095" s="451" t="s">
        <v>22877</v>
      </c>
      <c r="H11095" s="451" t="s">
        <v>22878</v>
      </c>
      <c r="I11095" s="451" t="s">
        <v>29360</v>
      </c>
      <c r="J11095" s="451" t="s">
        <v>29361</v>
      </c>
      <c r="K11095" s="451"/>
    </row>
    <row r="11096" spans="1:11">
      <c r="A11096" s="450" t="s">
        <v>21998</v>
      </c>
      <c r="B11096" s="450" t="s">
        <v>17636</v>
      </c>
      <c r="C11096" s="450" t="s">
        <v>12142</v>
      </c>
      <c r="D11096" s="450"/>
      <c r="E11096" s="450"/>
      <c r="F11096" s="450"/>
      <c r="G11096" s="450"/>
      <c r="H11096" s="450"/>
      <c r="I11096" s="450"/>
      <c r="J11096" s="450"/>
      <c r="K11096" s="450"/>
    </row>
    <row r="11097" spans="1:11">
      <c r="A11097" s="451" t="s">
        <v>17637</v>
      </c>
      <c r="B11097" s="451"/>
      <c r="C11097" s="451" t="s">
        <v>2622</v>
      </c>
      <c r="D11097" s="451"/>
      <c r="E11097" s="451"/>
      <c r="F11097" s="451"/>
      <c r="G11097" s="451"/>
      <c r="H11097" s="451"/>
      <c r="I11097" s="451"/>
      <c r="J11097" s="451"/>
      <c r="K11097" s="451"/>
    </row>
    <row r="11098" spans="1:11">
      <c r="A11098" s="450" t="s">
        <v>29362</v>
      </c>
      <c r="B11098" s="450"/>
      <c r="C11098" s="450" t="s">
        <v>2622</v>
      </c>
      <c r="D11098" s="450"/>
      <c r="E11098" s="450"/>
      <c r="F11098" s="450"/>
      <c r="G11098" s="450" t="s">
        <v>22877</v>
      </c>
      <c r="H11098" s="450" t="s">
        <v>22878</v>
      </c>
      <c r="I11098" s="450" t="s">
        <v>29363</v>
      </c>
      <c r="J11098" s="450" t="s">
        <v>23133</v>
      </c>
      <c r="K11098" s="450"/>
    </row>
    <row r="11099" spans="1:11">
      <c r="A11099" s="451" t="s">
        <v>17638</v>
      </c>
      <c r="B11099" s="451" t="s">
        <v>17639</v>
      </c>
      <c r="C11099" s="451" t="s">
        <v>17640</v>
      </c>
      <c r="D11099" s="451"/>
      <c r="E11099" s="451"/>
      <c r="F11099" s="451"/>
      <c r="G11099" s="451" t="s">
        <v>22882</v>
      </c>
      <c r="H11099" s="451" t="s">
        <v>22883</v>
      </c>
      <c r="I11099" s="451"/>
      <c r="J11099" s="451" t="s">
        <v>29364</v>
      </c>
      <c r="K11099" s="451"/>
    </row>
    <row r="11100" spans="1:11">
      <c r="A11100" s="450" t="s">
        <v>17641</v>
      </c>
      <c r="B11100" s="450"/>
      <c r="C11100" s="450" t="s">
        <v>17642</v>
      </c>
      <c r="D11100" s="450"/>
      <c r="E11100" s="450"/>
      <c r="F11100" s="450"/>
      <c r="G11100" s="450" t="s">
        <v>22877</v>
      </c>
      <c r="H11100" s="450" t="s">
        <v>22878</v>
      </c>
      <c r="I11100" s="450" t="s">
        <v>38833</v>
      </c>
      <c r="J11100" s="450" t="s">
        <v>22942</v>
      </c>
      <c r="K11100" s="450"/>
    </row>
    <row r="11101" spans="1:11">
      <c r="A11101" s="451" t="s">
        <v>17643</v>
      </c>
      <c r="B11101" s="451"/>
      <c r="C11101" s="451" t="s">
        <v>7103</v>
      </c>
      <c r="D11101" s="451"/>
      <c r="E11101" s="451"/>
      <c r="F11101" s="451"/>
      <c r="G11101" s="451" t="s">
        <v>22877</v>
      </c>
      <c r="H11101" s="451" t="s">
        <v>22878</v>
      </c>
      <c r="I11101" s="451" t="s">
        <v>38834</v>
      </c>
      <c r="J11101" s="451" t="s">
        <v>23185</v>
      </c>
      <c r="K11101" s="451"/>
    </row>
    <row r="11102" spans="1:11">
      <c r="A11102" s="450" t="s">
        <v>17644</v>
      </c>
      <c r="B11102" s="450"/>
      <c r="C11102" s="450" t="s">
        <v>17645</v>
      </c>
      <c r="D11102" s="450"/>
      <c r="E11102" s="450"/>
      <c r="F11102" s="450"/>
      <c r="G11102" s="450" t="s">
        <v>22882</v>
      </c>
      <c r="H11102" s="450" t="s">
        <v>22883</v>
      </c>
      <c r="I11102" s="450" t="s">
        <v>38835</v>
      </c>
      <c r="J11102" s="450" t="s">
        <v>22942</v>
      </c>
      <c r="K11102" s="450"/>
    </row>
    <row r="11103" spans="1:11">
      <c r="A11103" s="451" t="s">
        <v>38836</v>
      </c>
      <c r="B11103" s="451"/>
      <c r="C11103" s="451" t="s">
        <v>17647</v>
      </c>
      <c r="D11103" s="451"/>
      <c r="E11103" s="451"/>
      <c r="F11103" s="451"/>
      <c r="G11103" s="451" t="s">
        <v>22882</v>
      </c>
      <c r="H11103" s="451" t="s">
        <v>22883</v>
      </c>
      <c r="I11103" s="451"/>
      <c r="J11103" s="451" t="s">
        <v>22943</v>
      </c>
      <c r="K11103" s="451"/>
    </row>
    <row r="11104" spans="1:11">
      <c r="A11104" s="450" t="s">
        <v>17646</v>
      </c>
      <c r="B11104" s="450"/>
      <c r="C11104" s="450" t="s">
        <v>17647</v>
      </c>
      <c r="D11104" s="450"/>
      <c r="E11104" s="450"/>
      <c r="F11104" s="450"/>
      <c r="G11104" s="450"/>
      <c r="H11104" s="450"/>
      <c r="I11104" s="450"/>
      <c r="J11104" s="450"/>
      <c r="K11104" s="450"/>
    </row>
    <row r="11105" spans="1:11">
      <c r="A11105" s="451" t="s">
        <v>38837</v>
      </c>
      <c r="B11105" s="451"/>
      <c r="C11105" s="451" t="s">
        <v>17649</v>
      </c>
      <c r="D11105" s="451"/>
      <c r="E11105" s="451"/>
      <c r="F11105" s="451"/>
      <c r="G11105" s="451" t="s">
        <v>22877</v>
      </c>
      <c r="H11105" s="451" t="s">
        <v>22878</v>
      </c>
      <c r="I11105" s="451" t="s">
        <v>38838</v>
      </c>
      <c r="J11105" s="451" t="s">
        <v>22942</v>
      </c>
      <c r="K11105" s="451"/>
    </row>
    <row r="11106" spans="1:11">
      <c r="A11106" s="450" t="s">
        <v>17648</v>
      </c>
      <c r="B11106" s="450"/>
      <c r="C11106" s="450" t="s">
        <v>17649</v>
      </c>
      <c r="D11106" s="450"/>
      <c r="E11106" s="450"/>
      <c r="F11106" s="450"/>
      <c r="G11106" s="450"/>
      <c r="H11106" s="450"/>
      <c r="I11106" s="450"/>
      <c r="J11106" s="450"/>
      <c r="K11106" s="450"/>
    </row>
    <row r="11107" spans="1:11">
      <c r="A11107" s="451" t="s">
        <v>17650</v>
      </c>
      <c r="B11107" s="451"/>
      <c r="C11107" s="451" t="s">
        <v>16391</v>
      </c>
      <c r="D11107" s="451"/>
      <c r="E11107" s="451"/>
      <c r="F11107" s="451"/>
      <c r="G11107" s="451" t="s">
        <v>22882</v>
      </c>
      <c r="H11107" s="451" t="s">
        <v>22883</v>
      </c>
      <c r="I11107" s="451"/>
      <c r="J11107" s="451" t="s">
        <v>22939</v>
      </c>
      <c r="K11107" s="451"/>
    </row>
    <row r="11108" spans="1:11">
      <c r="A11108" s="450" t="s">
        <v>17651</v>
      </c>
      <c r="B11108" s="450"/>
      <c r="C11108" s="450" t="s">
        <v>17652</v>
      </c>
      <c r="D11108" s="450"/>
      <c r="E11108" s="450"/>
      <c r="F11108" s="450"/>
      <c r="G11108" s="450" t="s">
        <v>22877</v>
      </c>
      <c r="H11108" s="450" t="s">
        <v>22878</v>
      </c>
      <c r="I11108" s="450" t="s">
        <v>38839</v>
      </c>
      <c r="J11108" s="450" t="s">
        <v>23370</v>
      </c>
      <c r="K11108" s="450"/>
    </row>
    <row r="11109" spans="1:11">
      <c r="A11109" s="451" t="s">
        <v>17653</v>
      </c>
      <c r="B11109" s="451"/>
      <c r="C11109" s="451" t="s">
        <v>1263</v>
      </c>
      <c r="D11109" s="451"/>
      <c r="E11109" s="451"/>
      <c r="F11109" s="451"/>
      <c r="G11109" s="451" t="s">
        <v>22877</v>
      </c>
      <c r="H11109" s="451" t="s">
        <v>22878</v>
      </c>
      <c r="I11109" s="451" t="s">
        <v>29365</v>
      </c>
      <c r="J11109" s="451" t="s">
        <v>23370</v>
      </c>
      <c r="K11109" s="451"/>
    </row>
    <row r="11110" spans="1:11">
      <c r="A11110" s="450" t="s">
        <v>17654</v>
      </c>
      <c r="B11110" s="450" t="s">
        <v>17655</v>
      </c>
      <c r="C11110" s="450" t="s">
        <v>9403</v>
      </c>
      <c r="D11110" s="450"/>
      <c r="E11110" s="450"/>
      <c r="F11110" s="450"/>
      <c r="G11110" s="450"/>
      <c r="H11110" s="450"/>
      <c r="I11110" s="450"/>
      <c r="J11110" s="450"/>
      <c r="K11110" s="450"/>
    </row>
    <row r="11111" spans="1:11">
      <c r="A11111" s="451" t="s">
        <v>29366</v>
      </c>
      <c r="B11111" s="451" t="s">
        <v>17655</v>
      </c>
      <c r="C11111" s="451" t="s">
        <v>9403</v>
      </c>
      <c r="D11111" s="451"/>
      <c r="E11111" s="451"/>
      <c r="F11111" s="451"/>
      <c r="G11111" s="451" t="s">
        <v>22882</v>
      </c>
      <c r="H11111" s="451" t="s">
        <v>22883</v>
      </c>
      <c r="I11111" s="451" t="s">
        <v>29367</v>
      </c>
      <c r="J11111" s="451" t="s">
        <v>29368</v>
      </c>
      <c r="K11111" s="451"/>
    </row>
    <row r="11112" spans="1:11">
      <c r="A11112" s="450" t="s">
        <v>17656</v>
      </c>
      <c r="B11112" s="450"/>
      <c r="C11112" s="450" t="s">
        <v>17657</v>
      </c>
      <c r="D11112" s="450"/>
      <c r="E11112" s="450"/>
      <c r="F11112" s="450"/>
      <c r="G11112" s="450" t="s">
        <v>22877</v>
      </c>
      <c r="H11112" s="450" t="s">
        <v>22878</v>
      </c>
      <c r="I11112" s="450" t="s">
        <v>38840</v>
      </c>
      <c r="J11112" s="450" t="s">
        <v>22942</v>
      </c>
      <c r="K11112" s="450"/>
    </row>
    <row r="11113" spans="1:11">
      <c r="A11113" s="451" t="s">
        <v>38841</v>
      </c>
      <c r="B11113" s="451"/>
      <c r="C11113" s="451" t="s">
        <v>2178</v>
      </c>
      <c r="D11113" s="451"/>
      <c r="E11113" s="451"/>
      <c r="F11113" s="451"/>
      <c r="G11113" s="451" t="s">
        <v>22877</v>
      </c>
      <c r="H11113" s="451" t="s">
        <v>22878</v>
      </c>
      <c r="I11113" s="451" t="s">
        <v>38842</v>
      </c>
      <c r="J11113" s="451" t="s">
        <v>28871</v>
      </c>
      <c r="K11113" s="451"/>
    </row>
    <row r="11114" spans="1:11">
      <c r="A11114" s="450" t="s">
        <v>17658</v>
      </c>
      <c r="B11114" s="450"/>
      <c r="C11114" s="450" t="s">
        <v>2178</v>
      </c>
      <c r="D11114" s="450"/>
      <c r="E11114" s="450"/>
      <c r="F11114" s="450"/>
      <c r="G11114" s="450"/>
      <c r="H11114" s="450"/>
      <c r="I11114" s="450"/>
      <c r="J11114" s="450"/>
      <c r="K11114" s="450"/>
    </row>
    <row r="11115" spans="1:11">
      <c r="A11115" s="451" t="s">
        <v>17659</v>
      </c>
      <c r="B11115" s="451"/>
      <c r="C11115" s="451" t="s">
        <v>16263</v>
      </c>
      <c r="D11115" s="451"/>
      <c r="E11115" s="451"/>
      <c r="F11115" s="451"/>
      <c r="G11115" s="451" t="s">
        <v>22882</v>
      </c>
      <c r="H11115" s="451" t="s">
        <v>22883</v>
      </c>
      <c r="I11115" s="451" t="s">
        <v>38843</v>
      </c>
      <c r="J11115" s="451" t="s">
        <v>22997</v>
      </c>
      <c r="K11115" s="451"/>
    </row>
    <row r="11116" spans="1:11">
      <c r="A11116" s="450" t="s">
        <v>17660</v>
      </c>
      <c r="B11116" s="450"/>
      <c r="C11116" s="450" t="s">
        <v>4703</v>
      </c>
      <c r="D11116" s="450"/>
      <c r="E11116" s="450"/>
      <c r="F11116" s="450"/>
      <c r="G11116" s="450" t="s">
        <v>22882</v>
      </c>
      <c r="H11116" s="450" t="s">
        <v>22883</v>
      </c>
      <c r="I11116" s="450"/>
      <c r="J11116" s="450" t="s">
        <v>22942</v>
      </c>
      <c r="K11116" s="450"/>
    </row>
    <row r="11117" spans="1:11">
      <c r="A11117" s="451" t="s">
        <v>17661</v>
      </c>
      <c r="B11117" s="451" t="s">
        <v>29369</v>
      </c>
      <c r="C11117" s="451" t="s">
        <v>1795</v>
      </c>
      <c r="D11117" s="451" t="s">
        <v>17663</v>
      </c>
      <c r="E11117" s="451"/>
      <c r="F11117" s="451"/>
      <c r="G11117" s="451" t="s">
        <v>22882</v>
      </c>
      <c r="H11117" s="451" t="s">
        <v>22883</v>
      </c>
      <c r="I11117" s="451" t="s">
        <v>17663</v>
      </c>
      <c r="J11117" s="451" t="s">
        <v>29370</v>
      </c>
      <c r="K11117" s="451"/>
    </row>
    <row r="11118" spans="1:11">
      <c r="A11118" s="450" t="s">
        <v>17661</v>
      </c>
      <c r="B11118" s="450" t="s">
        <v>17662</v>
      </c>
      <c r="C11118" s="450" t="s">
        <v>1795</v>
      </c>
      <c r="D11118" s="450" t="s">
        <v>17663</v>
      </c>
      <c r="E11118" s="450" t="s">
        <v>17508</v>
      </c>
      <c r="F11118" s="450"/>
      <c r="G11118" s="450"/>
      <c r="H11118" s="450"/>
      <c r="I11118" s="450"/>
      <c r="J11118" s="450"/>
      <c r="K11118" s="450"/>
    </row>
    <row r="11119" spans="1:11">
      <c r="A11119" s="451" t="s">
        <v>29371</v>
      </c>
      <c r="B11119" s="451" t="s">
        <v>29372</v>
      </c>
      <c r="C11119" s="451" t="s">
        <v>29373</v>
      </c>
      <c r="D11119" s="451"/>
      <c r="E11119" s="451"/>
      <c r="F11119" s="451"/>
      <c r="G11119" s="451" t="s">
        <v>22877</v>
      </c>
      <c r="H11119" s="451" t="s">
        <v>22878</v>
      </c>
      <c r="I11119" s="451" t="s">
        <v>29374</v>
      </c>
      <c r="J11119" s="451" t="s">
        <v>29375</v>
      </c>
      <c r="K11119" s="451"/>
    </row>
    <row r="11120" spans="1:11">
      <c r="A11120" s="450" t="s">
        <v>38844</v>
      </c>
      <c r="B11120" s="450"/>
      <c r="C11120" s="450" t="s">
        <v>17665</v>
      </c>
      <c r="D11120" s="450"/>
      <c r="E11120" s="450"/>
      <c r="F11120" s="450"/>
      <c r="G11120" s="450" t="s">
        <v>22882</v>
      </c>
      <c r="H11120" s="450" t="s">
        <v>22883</v>
      </c>
      <c r="I11120" s="450"/>
      <c r="J11120" s="450" t="s">
        <v>22997</v>
      </c>
      <c r="K11120" s="450"/>
    </row>
    <row r="11121" spans="1:11">
      <c r="A11121" s="451" t="s">
        <v>17664</v>
      </c>
      <c r="B11121" s="451"/>
      <c r="C11121" s="451" t="s">
        <v>17665</v>
      </c>
      <c r="D11121" s="451"/>
      <c r="E11121" s="451"/>
      <c r="F11121" s="451"/>
      <c r="G11121" s="451"/>
      <c r="H11121" s="451"/>
      <c r="I11121" s="451"/>
      <c r="J11121" s="451"/>
      <c r="K11121" s="451"/>
    </row>
    <row r="11122" spans="1:11">
      <c r="A11122" s="450" t="s">
        <v>38845</v>
      </c>
      <c r="B11122" s="450"/>
      <c r="C11122" s="450" t="s">
        <v>17667</v>
      </c>
      <c r="D11122" s="450"/>
      <c r="E11122" s="450"/>
      <c r="F11122" s="450"/>
      <c r="G11122" s="450" t="s">
        <v>22877</v>
      </c>
      <c r="H11122" s="450" t="s">
        <v>22878</v>
      </c>
      <c r="I11122" s="450" t="s">
        <v>38846</v>
      </c>
      <c r="J11122" s="450" t="s">
        <v>22942</v>
      </c>
      <c r="K11122" s="450"/>
    </row>
    <row r="11123" spans="1:11">
      <c r="A11123" s="451" t="s">
        <v>17666</v>
      </c>
      <c r="B11123" s="451"/>
      <c r="C11123" s="451" t="s">
        <v>17667</v>
      </c>
      <c r="D11123" s="451"/>
      <c r="E11123" s="451"/>
      <c r="F11123" s="451"/>
      <c r="G11123" s="451"/>
      <c r="H11123" s="451"/>
      <c r="I11123" s="451"/>
      <c r="J11123" s="451"/>
      <c r="K11123" s="451"/>
    </row>
    <row r="11124" spans="1:11">
      <c r="A11124" s="450" t="s">
        <v>17668</v>
      </c>
      <c r="B11124" s="450" t="s">
        <v>17669</v>
      </c>
      <c r="C11124" s="450" t="s">
        <v>2844</v>
      </c>
      <c r="D11124" s="450" t="s">
        <v>17670</v>
      </c>
      <c r="E11124" s="450" t="s">
        <v>17671</v>
      </c>
      <c r="F11124" s="450" t="s">
        <v>17672</v>
      </c>
      <c r="G11124" s="450"/>
      <c r="H11124" s="450"/>
      <c r="I11124" s="450"/>
      <c r="J11124" s="450"/>
      <c r="K11124" s="450"/>
    </row>
    <row r="11125" spans="1:11">
      <c r="A11125" s="451" t="s">
        <v>17673</v>
      </c>
      <c r="B11125" s="451"/>
      <c r="C11125" s="451" t="s">
        <v>17674</v>
      </c>
      <c r="D11125" s="451"/>
      <c r="E11125" s="451"/>
      <c r="F11125" s="451"/>
      <c r="G11125" s="451" t="s">
        <v>22882</v>
      </c>
      <c r="H11125" s="451" t="s">
        <v>22883</v>
      </c>
      <c r="I11125" s="451"/>
      <c r="J11125" s="451" t="s">
        <v>22948</v>
      </c>
      <c r="K11125" s="451"/>
    </row>
    <row r="11126" spans="1:11">
      <c r="A11126" s="450" t="s">
        <v>38847</v>
      </c>
      <c r="B11126" s="450"/>
      <c r="C11126" s="450" t="s">
        <v>16144</v>
      </c>
      <c r="D11126" s="450"/>
      <c r="E11126" s="450"/>
      <c r="F11126" s="450"/>
      <c r="G11126" s="450" t="s">
        <v>22877</v>
      </c>
      <c r="H11126" s="450" t="s">
        <v>22878</v>
      </c>
      <c r="I11126" s="450" t="s">
        <v>38848</v>
      </c>
      <c r="J11126" s="450" t="s">
        <v>22942</v>
      </c>
      <c r="K11126" s="450"/>
    </row>
    <row r="11127" spans="1:11">
      <c r="A11127" s="451" t="s">
        <v>17675</v>
      </c>
      <c r="B11127" s="451"/>
      <c r="C11127" s="451" t="s">
        <v>16144</v>
      </c>
      <c r="D11127" s="451"/>
      <c r="E11127" s="451"/>
      <c r="F11127" s="451"/>
      <c r="G11127" s="451"/>
      <c r="H11127" s="451"/>
      <c r="I11127" s="451"/>
      <c r="J11127" s="451"/>
      <c r="K11127" s="451"/>
    </row>
    <row r="11128" spans="1:11">
      <c r="A11128" s="450" t="s">
        <v>17676</v>
      </c>
      <c r="B11128" s="450"/>
      <c r="C11128" s="450" t="s">
        <v>17677</v>
      </c>
      <c r="D11128" s="450"/>
      <c r="E11128" s="450"/>
      <c r="F11128" s="450"/>
      <c r="G11128" s="450" t="s">
        <v>22882</v>
      </c>
      <c r="H11128" s="450" t="s">
        <v>22883</v>
      </c>
      <c r="I11128" s="450" t="s">
        <v>26398</v>
      </c>
      <c r="J11128" s="450" t="s">
        <v>22939</v>
      </c>
      <c r="K11128" s="450"/>
    </row>
    <row r="11129" spans="1:11">
      <c r="A11129" s="451" t="s">
        <v>17678</v>
      </c>
      <c r="B11129" s="451"/>
      <c r="C11129" s="451" t="s">
        <v>17679</v>
      </c>
      <c r="D11129" s="451"/>
      <c r="E11129" s="451"/>
      <c r="F11129" s="451"/>
      <c r="G11129" s="451" t="s">
        <v>22877</v>
      </c>
      <c r="H11129" s="451" t="s">
        <v>22878</v>
      </c>
      <c r="I11129" s="451" t="s">
        <v>38849</v>
      </c>
      <c r="J11129" s="451" t="s">
        <v>32766</v>
      </c>
      <c r="K11129" s="451"/>
    </row>
    <row r="11130" spans="1:11">
      <c r="A11130" s="450" t="s">
        <v>17680</v>
      </c>
      <c r="B11130" s="450"/>
      <c r="C11130" s="450" t="s">
        <v>1022</v>
      </c>
      <c r="D11130" s="450"/>
      <c r="E11130" s="450"/>
      <c r="F11130" s="450"/>
      <c r="G11130" s="450" t="s">
        <v>22882</v>
      </c>
      <c r="H11130" s="450" t="s">
        <v>22883</v>
      </c>
      <c r="I11130" s="450" t="s">
        <v>38850</v>
      </c>
      <c r="J11130" s="450" t="s">
        <v>22942</v>
      </c>
      <c r="K11130" s="450"/>
    </row>
    <row r="11131" spans="1:11">
      <c r="A11131" s="451" t="s">
        <v>17681</v>
      </c>
      <c r="B11131" s="451"/>
      <c r="C11131" s="451" t="s">
        <v>16144</v>
      </c>
      <c r="D11131" s="451"/>
      <c r="E11131" s="451"/>
      <c r="F11131" s="451"/>
      <c r="G11131" s="451"/>
      <c r="H11131" s="451"/>
      <c r="I11131" s="451"/>
      <c r="J11131" s="451"/>
      <c r="K11131" s="451"/>
    </row>
    <row r="11132" spans="1:11">
      <c r="A11132" s="450" t="s">
        <v>38851</v>
      </c>
      <c r="B11132" s="450"/>
      <c r="C11132" s="450" t="s">
        <v>16144</v>
      </c>
      <c r="D11132" s="450"/>
      <c r="E11132" s="450"/>
      <c r="F11132" s="450"/>
      <c r="G11132" s="450" t="s">
        <v>22877</v>
      </c>
      <c r="H11132" s="450" t="s">
        <v>22878</v>
      </c>
      <c r="I11132" s="450" t="s">
        <v>38848</v>
      </c>
      <c r="J11132" s="450" t="s">
        <v>22997</v>
      </c>
      <c r="K11132" s="450"/>
    </row>
    <row r="11133" spans="1:11">
      <c r="A11133" s="451" t="s">
        <v>17682</v>
      </c>
      <c r="B11133" s="451"/>
      <c r="C11133" s="451" t="s">
        <v>17683</v>
      </c>
      <c r="D11133" s="451"/>
      <c r="E11133" s="451"/>
      <c r="F11133" s="451"/>
      <c r="G11133" s="451" t="s">
        <v>22882</v>
      </c>
      <c r="H11133" s="451" t="s">
        <v>22883</v>
      </c>
      <c r="I11133" s="451"/>
      <c r="J11133" s="451" t="s">
        <v>22997</v>
      </c>
      <c r="K11133" s="451"/>
    </row>
    <row r="11134" spans="1:11">
      <c r="A11134" s="450" t="s">
        <v>29376</v>
      </c>
      <c r="B11134" s="450"/>
      <c r="C11134" s="450" t="s">
        <v>17692</v>
      </c>
      <c r="D11134" s="450"/>
      <c r="E11134" s="450"/>
      <c r="F11134" s="450"/>
      <c r="G11134" s="450" t="s">
        <v>22882</v>
      </c>
      <c r="H11134" s="450" t="s">
        <v>22883</v>
      </c>
      <c r="I11134" s="450" t="s">
        <v>29377</v>
      </c>
      <c r="J11134" s="450" t="s">
        <v>22942</v>
      </c>
      <c r="K11134" s="450"/>
    </row>
    <row r="11135" spans="1:11">
      <c r="A11135" s="451" t="s">
        <v>17684</v>
      </c>
      <c r="B11135" s="451" t="s">
        <v>17694</v>
      </c>
      <c r="C11135" s="451" t="s">
        <v>5576</v>
      </c>
      <c r="D11135" s="451"/>
      <c r="E11135" s="451"/>
      <c r="F11135" s="451"/>
      <c r="G11135" s="451" t="s">
        <v>22877</v>
      </c>
      <c r="H11135" s="451" t="s">
        <v>22878</v>
      </c>
      <c r="I11135" s="451" t="s">
        <v>29378</v>
      </c>
      <c r="J11135" s="451" t="s">
        <v>29379</v>
      </c>
      <c r="K11135" s="451"/>
    </row>
    <row r="11136" spans="1:11">
      <c r="A11136" s="450" t="s">
        <v>17684</v>
      </c>
      <c r="B11136" s="450" t="s">
        <v>17685</v>
      </c>
      <c r="C11136" s="450" t="s">
        <v>5576</v>
      </c>
      <c r="D11136" s="450"/>
      <c r="E11136" s="450"/>
      <c r="F11136" s="450"/>
      <c r="G11136" s="450"/>
      <c r="H11136" s="450"/>
      <c r="I11136" s="450"/>
      <c r="J11136" s="450"/>
      <c r="K11136" s="450"/>
    </row>
    <row r="11137" spans="1:11">
      <c r="A11137" s="451" t="s">
        <v>17686</v>
      </c>
      <c r="B11137" s="451"/>
      <c r="C11137" s="451" t="s">
        <v>17687</v>
      </c>
      <c r="D11137" s="451"/>
      <c r="E11137" s="451"/>
      <c r="F11137" s="451"/>
      <c r="G11137" s="451" t="s">
        <v>22877</v>
      </c>
      <c r="H11137" s="451" t="s">
        <v>22878</v>
      </c>
      <c r="I11137" s="451" t="s">
        <v>38852</v>
      </c>
      <c r="J11137" s="451" t="s">
        <v>28403</v>
      </c>
      <c r="K11137" s="451"/>
    </row>
    <row r="11138" spans="1:11">
      <c r="A11138" s="450" t="s">
        <v>17688</v>
      </c>
      <c r="B11138" s="450" t="s">
        <v>17689</v>
      </c>
      <c r="C11138" s="450" t="s">
        <v>17690</v>
      </c>
      <c r="D11138" s="450"/>
      <c r="E11138" s="450"/>
      <c r="F11138" s="450"/>
      <c r="G11138" s="450" t="s">
        <v>22882</v>
      </c>
      <c r="H11138" s="450" t="s">
        <v>22883</v>
      </c>
      <c r="I11138" s="450"/>
      <c r="J11138" s="450" t="s">
        <v>38853</v>
      </c>
      <c r="K11138" s="450"/>
    </row>
    <row r="11139" spans="1:11">
      <c r="A11139" s="451" t="s">
        <v>38854</v>
      </c>
      <c r="B11139" s="451"/>
      <c r="C11139" s="451" t="s">
        <v>17696</v>
      </c>
      <c r="D11139" s="451"/>
      <c r="E11139" s="451"/>
      <c r="F11139" s="451"/>
      <c r="G11139" s="451" t="s">
        <v>22882</v>
      </c>
      <c r="H11139" s="451" t="s">
        <v>22883</v>
      </c>
      <c r="I11139" s="451"/>
      <c r="J11139" s="451" t="s">
        <v>28403</v>
      </c>
      <c r="K11139" s="451"/>
    </row>
    <row r="11140" spans="1:11">
      <c r="A11140" s="450" t="s">
        <v>29380</v>
      </c>
      <c r="B11140" s="450"/>
      <c r="C11140" s="450" t="s">
        <v>17692</v>
      </c>
      <c r="D11140" s="450"/>
      <c r="E11140" s="450"/>
      <c r="F11140" s="450"/>
      <c r="G11140" s="450" t="s">
        <v>22882</v>
      </c>
      <c r="H11140" s="450" t="s">
        <v>22883</v>
      </c>
      <c r="I11140" s="450" t="s">
        <v>29377</v>
      </c>
      <c r="J11140" s="450" t="s">
        <v>22942</v>
      </c>
      <c r="K11140" s="450"/>
    </row>
    <row r="11141" spans="1:11">
      <c r="A11141" s="451" t="s">
        <v>17691</v>
      </c>
      <c r="B11141" s="451"/>
      <c r="C11141" s="451" t="s">
        <v>17692</v>
      </c>
      <c r="D11141" s="451"/>
      <c r="E11141" s="451"/>
      <c r="F11141" s="451"/>
      <c r="G11141" s="451"/>
      <c r="H11141" s="451"/>
      <c r="I11141" s="451"/>
      <c r="J11141" s="451"/>
      <c r="K11141" s="451"/>
    </row>
    <row r="11142" spans="1:11">
      <c r="A11142" s="450" t="s">
        <v>17693</v>
      </c>
      <c r="B11142" s="450" t="s">
        <v>17694</v>
      </c>
      <c r="C11142" s="450" t="s">
        <v>5576</v>
      </c>
      <c r="D11142" s="450"/>
      <c r="E11142" s="450"/>
      <c r="F11142" s="450"/>
      <c r="G11142" s="450"/>
      <c r="H11142" s="450"/>
      <c r="I11142" s="450"/>
      <c r="J11142" s="450"/>
      <c r="K11142" s="450"/>
    </row>
    <row r="11143" spans="1:11">
      <c r="A11143" s="451" t="s">
        <v>17695</v>
      </c>
      <c r="B11143" s="451"/>
      <c r="C11143" s="451" t="s">
        <v>17696</v>
      </c>
      <c r="D11143" s="451"/>
      <c r="E11143" s="451"/>
      <c r="F11143" s="451"/>
      <c r="G11143" s="451"/>
      <c r="H11143" s="451"/>
      <c r="I11143" s="451"/>
      <c r="J11143" s="451"/>
      <c r="K11143" s="451"/>
    </row>
    <row r="11144" spans="1:11">
      <c r="A11144" s="450" t="s">
        <v>17697</v>
      </c>
      <c r="B11144" s="450"/>
      <c r="C11144" s="450" t="s">
        <v>17692</v>
      </c>
      <c r="D11144" s="450"/>
      <c r="E11144" s="450"/>
      <c r="F11144" s="450"/>
      <c r="G11144" s="450"/>
      <c r="H11144" s="450"/>
      <c r="I11144" s="450"/>
      <c r="J11144" s="450"/>
      <c r="K11144" s="450"/>
    </row>
    <row r="11145" spans="1:11">
      <c r="A11145" s="451" t="s">
        <v>17698</v>
      </c>
      <c r="B11145" s="451" t="s">
        <v>38855</v>
      </c>
      <c r="C11145" s="451" t="s">
        <v>17700</v>
      </c>
      <c r="D11145" s="451"/>
      <c r="E11145" s="451"/>
      <c r="F11145" s="451"/>
      <c r="G11145" s="451" t="s">
        <v>22882</v>
      </c>
      <c r="H11145" s="451" t="s">
        <v>22883</v>
      </c>
      <c r="I11145" s="451"/>
      <c r="J11145" s="451" t="s">
        <v>38856</v>
      </c>
      <c r="K11145" s="451"/>
    </row>
    <row r="11146" spans="1:11">
      <c r="A11146" s="450" t="s">
        <v>17698</v>
      </c>
      <c r="B11146" s="450" t="s">
        <v>17699</v>
      </c>
      <c r="C11146" s="450" t="s">
        <v>17700</v>
      </c>
      <c r="D11146" s="450"/>
      <c r="E11146" s="450" t="s">
        <v>9154</v>
      </c>
      <c r="F11146" s="450"/>
      <c r="G11146" s="450"/>
      <c r="H11146" s="450"/>
      <c r="I11146" s="450"/>
      <c r="J11146" s="450"/>
      <c r="K11146" s="450"/>
    </row>
    <row r="11147" spans="1:11">
      <c r="A11147" s="451" t="s">
        <v>17701</v>
      </c>
      <c r="B11147" s="451"/>
      <c r="C11147" s="451" t="s">
        <v>17702</v>
      </c>
      <c r="D11147" s="451"/>
      <c r="E11147" s="451"/>
      <c r="F11147" s="451"/>
      <c r="G11147" s="451" t="s">
        <v>22882</v>
      </c>
      <c r="H11147" s="451" t="s">
        <v>22883</v>
      </c>
      <c r="I11147" s="451" t="s">
        <v>29381</v>
      </c>
      <c r="J11147" s="451" t="s">
        <v>22942</v>
      </c>
      <c r="K11147" s="451"/>
    </row>
    <row r="11148" spans="1:11">
      <c r="A11148" s="450" t="s">
        <v>29382</v>
      </c>
      <c r="B11148" s="450" t="s">
        <v>29383</v>
      </c>
      <c r="C11148" s="450" t="s">
        <v>15145</v>
      </c>
      <c r="D11148" s="450" t="s">
        <v>17705</v>
      </c>
      <c r="E11148" s="450"/>
      <c r="F11148" s="450"/>
      <c r="G11148" s="450" t="s">
        <v>22882</v>
      </c>
      <c r="H11148" s="450" t="s">
        <v>22883</v>
      </c>
      <c r="I11148" s="450" t="s">
        <v>29384</v>
      </c>
      <c r="J11148" s="450" t="s">
        <v>29385</v>
      </c>
      <c r="K11148" s="450"/>
    </row>
    <row r="11149" spans="1:11">
      <c r="A11149" s="451" t="s">
        <v>17703</v>
      </c>
      <c r="B11149" s="451" t="s">
        <v>17704</v>
      </c>
      <c r="C11149" s="451" t="s">
        <v>15145</v>
      </c>
      <c r="D11149" s="451" t="s">
        <v>17705</v>
      </c>
      <c r="E11149" s="451" t="s">
        <v>9154</v>
      </c>
      <c r="F11149" s="451"/>
      <c r="G11149" s="451"/>
      <c r="H11149" s="451"/>
      <c r="I11149" s="451"/>
      <c r="J11149" s="451"/>
      <c r="K11149" s="451"/>
    </row>
    <row r="11150" spans="1:11">
      <c r="A11150" s="450" t="s">
        <v>29386</v>
      </c>
      <c r="B11150" s="450" t="s">
        <v>29387</v>
      </c>
      <c r="C11150" s="450" t="s">
        <v>29388</v>
      </c>
      <c r="D11150" s="450"/>
      <c r="E11150" s="450"/>
      <c r="F11150" s="450"/>
      <c r="G11150" s="450" t="s">
        <v>22877</v>
      </c>
      <c r="H11150" s="450" t="s">
        <v>22878</v>
      </c>
      <c r="I11150" s="450" t="s">
        <v>29389</v>
      </c>
      <c r="J11150" s="450" t="s">
        <v>29390</v>
      </c>
      <c r="K11150" s="450"/>
    </row>
    <row r="11151" spans="1:11">
      <c r="A11151" s="451" t="s">
        <v>38857</v>
      </c>
      <c r="B11151" s="451" t="s">
        <v>17707</v>
      </c>
      <c r="C11151" s="451" t="s">
        <v>17708</v>
      </c>
      <c r="D11151" s="451"/>
      <c r="E11151" s="451"/>
      <c r="F11151" s="451" t="s">
        <v>17709</v>
      </c>
      <c r="G11151" s="451" t="s">
        <v>22877</v>
      </c>
      <c r="H11151" s="451" t="s">
        <v>22878</v>
      </c>
      <c r="I11151" s="451" t="s">
        <v>38858</v>
      </c>
      <c r="J11151" s="451" t="s">
        <v>38859</v>
      </c>
      <c r="K11151" s="451"/>
    </row>
    <row r="11152" spans="1:11">
      <c r="A11152" s="450" t="s">
        <v>17706</v>
      </c>
      <c r="B11152" s="450" t="s">
        <v>17707</v>
      </c>
      <c r="C11152" s="450" t="s">
        <v>17708</v>
      </c>
      <c r="D11152" s="450"/>
      <c r="E11152" s="450"/>
      <c r="F11152" s="450" t="s">
        <v>17709</v>
      </c>
      <c r="G11152" s="450"/>
      <c r="H11152" s="450"/>
      <c r="I11152" s="450"/>
      <c r="J11152" s="450"/>
      <c r="K11152" s="450"/>
    </row>
    <row r="11153" spans="1:11">
      <c r="A11153" s="451" t="s">
        <v>17710</v>
      </c>
      <c r="B11153" s="451"/>
      <c r="C11153" s="451" t="s">
        <v>17711</v>
      </c>
      <c r="D11153" s="451"/>
      <c r="E11153" s="451"/>
      <c r="F11153" s="451"/>
      <c r="G11153" s="451" t="s">
        <v>22882</v>
      </c>
      <c r="H11153" s="451" t="s">
        <v>22883</v>
      </c>
      <c r="I11153" s="451" t="s">
        <v>38860</v>
      </c>
      <c r="J11153" s="451" t="s">
        <v>22942</v>
      </c>
      <c r="K11153" s="451"/>
    </row>
    <row r="11154" spans="1:11">
      <c r="A11154" s="450" t="s">
        <v>17712</v>
      </c>
      <c r="B11154" s="450"/>
      <c r="C11154" s="450" t="s">
        <v>7563</v>
      </c>
      <c r="D11154" s="450"/>
      <c r="E11154" s="450"/>
      <c r="F11154" s="450"/>
      <c r="G11154" s="450" t="s">
        <v>22882</v>
      </c>
      <c r="H11154" s="450" t="s">
        <v>22883</v>
      </c>
      <c r="I11154" s="450" t="s">
        <v>29391</v>
      </c>
      <c r="J11154" s="450" t="s">
        <v>22997</v>
      </c>
      <c r="K11154" s="450"/>
    </row>
    <row r="11155" spans="1:11">
      <c r="A11155" s="451" t="s">
        <v>29392</v>
      </c>
      <c r="B11155" s="451" t="s">
        <v>29393</v>
      </c>
      <c r="C11155" s="451" t="s">
        <v>17715</v>
      </c>
      <c r="D11155" s="451" t="s">
        <v>17716</v>
      </c>
      <c r="E11155" s="451"/>
      <c r="F11155" s="451"/>
      <c r="G11155" s="451" t="s">
        <v>22877</v>
      </c>
      <c r="H11155" s="451" t="s">
        <v>22878</v>
      </c>
      <c r="I11155" s="451" t="s">
        <v>29394</v>
      </c>
      <c r="J11155" s="451" t="s">
        <v>29395</v>
      </c>
      <c r="K11155" s="451"/>
    </row>
    <row r="11156" spans="1:11">
      <c r="A11156" s="450" t="s">
        <v>17713</v>
      </c>
      <c r="B11156" s="450" t="s">
        <v>17714</v>
      </c>
      <c r="C11156" s="450" t="s">
        <v>17715</v>
      </c>
      <c r="D11156" s="450" t="s">
        <v>17716</v>
      </c>
      <c r="E11156" s="450"/>
      <c r="F11156" s="450"/>
      <c r="G11156" s="450"/>
      <c r="H11156" s="450"/>
      <c r="I11156" s="450"/>
      <c r="J11156" s="450"/>
      <c r="K11156" s="450"/>
    </row>
    <row r="11157" spans="1:11">
      <c r="A11157" s="451" t="s">
        <v>17717</v>
      </c>
      <c r="B11157" s="451"/>
      <c r="C11157" s="451" t="s">
        <v>17718</v>
      </c>
      <c r="D11157" s="451"/>
      <c r="E11157" s="451"/>
      <c r="F11157" s="451"/>
      <c r="G11157" s="451" t="s">
        <v>22882</v>
      </c>
      <c r="H11157" s="451" t="s">
        <v>22883</v>
      </c>
      <c r="I11157" s="451" t="s">
        <v>38861</v>
      </c>
      <c r="J11157" s="451" t="s">
        <v>23185</v>
      </c>
      <c r="K11157" s="451"/>
    </row>
    <row r="11158" spans="1:11">
      <c r="A11158" s="450" t="s">
        <v>17719</v>
      </c>
      <c r="B11158" s="450"/>
      <c r="C11158" s="450" t="s">
        <v>1946</v>
      </c>
      <c r="D11158" s="450"/>
      <c r="E11158" s="450"/>
      <c r="F11158" s="450"/>
      <c r="G11158" s="450" t="s">
        <v>22877</v>
      </c>
      <c r="H11158" s="450" t="s">
        <v>22878</v>
      </c>
      <c r="I11158" s="450" t="s">
        <v>38862</v>
      </c>
      <c r="J11158" s="450" t="s">
        <v>22939</v>
      </c>
      <c r="K11158" s="450"/>
    </row>
    <row r="11159" spans="1:11">
      <c r="A11159" s="451" t="s">
        <v>17720</v>
      </c>
      <c r="B11159" s="451"/>
      <c r="C11159" s="451" t="s">
        <v>17721</v>
      </c>
      <c r="D11159" s="451"/>
      <c r="E11159" s="451"/>
      <c r="F11159" s="451"/>
      <c r="G11159" s="451" t="s">
        <v>22877</v>
      </c>
      <c r="H11159" s="451" t="s">
        <v>22878</v>
      </c>
      <c r="I11159" s="451" t="s">
        <v>29396</v>
      </c>
      <c r="J11159" s="451" t="s">
        <v>23185</v>
      </c>
      <c r="K11159" s="451"/>
    </row>
    <row r="11160" spans="1:11">
      <c r="A11160" s="450" t="s">
        <v>17722</v>
      </c>
      <c r="B11160" s="450" t="s">
        <v>17723</v>
      </c>
      <c r="C11160" s="450" t="s">
        <v>3055</v>
      </c>
      <c r="D11160" s="450" t="s">
        <v>17724</v>
      </c>
      <c r="E11160" s="450"/>
      <c r="F11160" s="450"/>
      <c r="G11160" s="450" t="s">
        <v>22877</v>
      </c>
      <c r="H11160" s="450" t="s">
        <v>22878</v>
      </c>
      <c r="I11160" s="450" t="s">
        <v>29397</v>
      </c>
      <c r="J11160" s="450" t="s">
        <v>29398</v>
      </c>
      <c r="K11160" s="450"/>
    </row>
    <row r="11161" spans="1:11">
      <c r="A11161" s="451" t="s">
        <v>17725</v>
      </c>
      <c r="B11161" s="451" t="s">
        <v>17726</v>
      </c>
      <c r="C11161" s="451" t="s">
        <v>17727</v>
      </c>
      <c r="D11161" s="451"/>
      <c r="E11161" s="451"/>
      <c r="F11161" s="451"/>
      <c r="G11161" s="451" t="s">
        <v>22877</v>
      </c>
      <c r="H11161" s="451" t="s">
        <v>22878</v>
      </c>
      <c r="I11161" s="451" t="s">
        <v>29399</v>
      </c>
      <c r="J11161" s="451" t="s">
        <v>29400</v>
      </c>
      <c r="K11161" s="451"/>
    </row>
    <row r="11162" spans="1:11">
      <c r="A11162" s="450" t="s">
        <v>17728</v>
      </c>
      <c r="B11162" s="450"/>
      <c r="C11162" s="450" t="s">
        <v>6860</v>
      </c>
      <c r="D11162" s="450"/>
      <c r="E11162" s="450"/>
      <c r="F11162" s="450"/>
      <c r="G11162" s="450"/>
      <c r="H11162" s="450"/>
      <c r="I11162" s="450"/>
      <c r="J11162" s="450"/>
      <c r="K11162" s="450"/>
    </row>
    <row r="11163" spans="1:11">
      <c r="A11163" s="451" t="s">
        <v>38863</v>
      </c>
      <c r="B11163" s="451"/>
      <c r="C11163" s="451" t="s">
        <v>6860</v>
      </c>
      <c r="D11163" s="451"/>
      <c r="E11163" s="451"/>
      <c r="F11163" s="451"/>
      <c r="G11163" s="451" t="s">
        <v>22877</v>
      </c>
      <c r="H11163" s="451" t="s">
        <v>22878</v>
      </c>
      <c r="I11163" s="451" t="s">
        <v>38864</v>
      </c>
      <c r="J11163" s="451" t="s">
        <v>28870</v>
      </c>
      <c r="K11163" s="451"/>
    </row>
    <row r="11164" spans="1:11">
      <c r="A11164" s="450" t="s">
        <v>17729</v>
      </c>
      <c r="B11164" s="450"/>
      <c r="C11164" s="450" t="s">
        <v>17730</v>
      </c>
      <c r="D11164" s="450"/>
      <c r="E11164" s="450"/>
      <c r="F11164" s="450"/>
      <c r="G11164" s="450" t="s">
        <v>22882</v>
      </c>
      <c r="H11164" s="450" t="s">
        <v>22883</v>
      </c>
      <c r="I11164" s="450"/>
      <c r="J11164" s="450" t="s">
        <v>22997</v>
      </c>
      <c r="K11164" s="450"/>
    </row>
    <row r="11165" spans="1:11">
      <c r="A11165" s="451" t="s">
        <v>17731</v>
      </c>
      <c r="B11165" s="451"/>
      <c r="C11165" s="451" t="s">
        <v>7082</v>
      </c>
      <c r="D11165" s="451"/>
      <c r="E11165" s="451"/>
      <c r="F11165" s="451"/>
      <c r="G11165" s="451" t="s">
        <v>22882</v>
      </c>
      <c r="H11165" s="451" t="s">
        <v>22883</v>
      </c>
      <c r="I11165" s="451" t="s">
        <v>38865</v>
      </c>
      <c r="J11165" s="451" t="s">
        <v>28871</v>
      </c>
      <c r="K11165" s="451"/>
    </row>
    <row r="11166" spans="1:11">
      <c r="A11166" s="450" t="s">
        <v>17732</v>
      </c>
      <c r="B11166" s="450"/>
      <c r="C11166" s="450" t="s">
        <v>17733</v>
      </c>
      <c r="D11166" s="450"/>
      <c r="E11166" s="450"/>
      <c r="F11166" s="450"/>
      <c r="G11166" s="450" t="s">
        <v>22882</v>
      </c>
      <c r="H11166" s="450" t="s">
        <v>22883</v>
      </c>
      <c r="I11166" s="450"/>
      <c r="J11166" s="450" t="s">
        <v>23185</v>
      </c>
      <c r="K11166" s="450"/>
    </row>
    <row r="11167" spans="1:11">
      <c r="A11167" s="451" t="s">
        <v>38866</v>
      </c>
      <c r="B11167" s="451"/>
      <c r="C11167" s="451" t="s">
        <v>17735</v>
      </c>
      <c r="D11167" s="451"/>
      <c r="E11167" s="451"/>
      <c r="F11167" s="451"/>
      <c r="G11167" s="451" t="s">
        <v>22882</v>
      </c>
      <c r="H11167" s="451" t="s">
        <v>22883</v>
      </c>
      <c r="I11167" s="451"/>
      <c r="J11167" s="451" t="s">
        <v>23443</v>
      </c>
      <c r="K11167" s="451"/>
    </row>
    <row r="11168" spans="1:11">
      <c r="A11168" s="450" t="s">
        <v>17734</v>
      </c>
      <c r="B11168" s="450"/>
      <c r="C11168" s="450" t="s">
        <v>17735</v>
      </c>
      <c r="D11168" s="450"/>
      <c r="E11168" s="450"/>
      <c r="F11168" s="450"/>
      <c r="G11168" s="450"/>
      <c r="H11168" s="450"/>
      <c r="I11168" s="450"/>
      <c r="J11168" s="450"/>
      <c r="K11168" s="450"/>
    </row>
    <row r="11169" spans="1:11">
      <c r="A11169" s="451" t="s">
        <v>38867</v>
      </c>
      <c r="B11169" s="451"/>
      <c r="C11169" s="451" t="s">
        <v>17737</v>
      </c>
      <c r="D11169" s="451"/>
      <c r="E11169" s="451"/>
      <c r="F11169" s="451"/>
      <c r="G11169" s="451" t="s">
        <v>22877</v>
      </c>
      <c r="H11169" s="451" t="s">
        <v>22878</v>
      </c>
      <c r="I11169" s="451" t="s">
        <v>38868</v>
      </c>
      <c r="J11169" s="451" t="s">
        <v>28403</v>
      </c>
      <c r="K11169" s="451"/>
    </row>
    <row r="11170" spans="1:11">
      <c r="A11170" s="450" t="s">
        <v>17736</v>
      </c>
      <c r="B11170" s="450"/>
      <c r="C11170" s="450" t="s">
        <v>17737</v>
      </c>
      <c r="D11170" s="450"/>
      <c r="E11170" s="450"/>
      <c r="F11170" s="450"/>
      <c r="G11170" s="450"/>
      <c r="H11170" s="450"/>
      <c r="I11170" s="450"/>
      <c r="J11170" s="450"/>
      <c r="K11170" s="450"/>
    </row>
    <row r="11171" spans="1:11">
      <c r="A11171" s="451" t="s">
        <v>17738</v>
      </c>
      <c r="B11171" s="451"/>
      <c r="C11171" s="451" t="s">
        <v>16639</v>
      </c>
      <c r="D11171" s="451"/>
      <c r="E11171" s="451"/>
      <c r="F11171" s="451"/>
      <c r="G11171" s="451" t="s">
        <v>22877</v>
      </c>
      <c r="H11171" s="451" t="s">
        <v>22878</v>
      </c>
      <c r="I11171" s="451" t="s">
        <v>38869</v>
      </c>
      <c r="J11171" s="451" t="s">
        <v>22942</v>
      </c>
      <c r="K11171" s="451"/>
    </row>
    <row r="11172" spans="1:11">
      <c r="A11172" s="450" t="s">
        <v>17739</v>
      </c>
      <c r="B11172" s="450"/>
      <c r="C11172" s="450" t="s">
        <v>17740</v>
      </c>
      <c r="D11172" s="450"/>
      <c r="E11172" s="450"/>
      <c r="F11172" s="450"/>
      <c r="G11172" s="450" t="s">
        <v>22882</v>
      </c>
      <c r="H11172" s="450" t="s">
        <v>22883</v>
      </c>
      <c r="I11172" s="450" t="s">
        <v>29401</v>
      </c>
      <c r="J11172" s="450" t="s">
        <v>28403</v>
      </c>
      <c r="K11172" s="450"/>
    </row>
    <row r="11173" spans="1:11">
      <c r="A11173" s="451" t="s">
        <v>29402</v>
      </c>
      <c r="B11173" s="451" t="s">
        <v>29403</v>
      </c>
      <c r="C11173" s="451" t="s">
        <v>29404</v>
      </c>
      <c r="D11173" s="451"/>
      <c r="E11173" s="451"/>
      <c r="F11173" s="451"/>
      <c r="G11173" s="451" t="s">
        <v>22877</v>
      </c>
      <c r="H11173" s="451" t="s">
        <v>22878</v>
      </c>
      <c r="I11173" s="451" t="s">
        <v>29405</v>
      </c>
      <c r="J11173" s="451" t="s">
        <v>29406</v>
      </c>
      <c r="K11173" s="451"/>
    </row>
    <row r="11174" spans="1:11">
      <c r="A11174" s="450" t="s">
        <v>17741</v>
      </c>
      <c r="B11174" s="450"/>
      <c r="C11174" s="450" t="s">
        <v>17742</v>
      </c>
      <c r="D11174" s="450"/>
      <c r="E11174" s="450"/>
      <c r="F11174" s="450"/>
      <c r="G11174" s="450"/>
      <c r="H11174" s="450"/>
      <c r="I11174" s="450"/>
      <c r="J11174" s="450"/>
      <c r="K11174" s="450"/>
    </row>
    <row r="11175" spans="1:11">
      <c r="A11175" s="451" t="s">
        <v>29407</v>
      </c>
      <c r="B11175" s="451"/>
      <c r="C11175" s="451" t="s">
        <v>17742</v>
      </c>
      <c r="D11175" s="451"/>
      <c r="E11175" s="451"/>
      <c r="F11175" s="451"/>
      <c r="G11175" s="451" t="s">
        <v>22877</v>
      </c>
      <c r="H11175" s="451" t="s">
        <v>22878</v>
      </c>
      <c r="I11175" s="451" t="s">
        <v>29408</v>
      </c>
      <c r="J11175" s="451" t="s">
        <v>28403</v>
      </c>
      <c r="K11175" s="451"/>
    </row>
    <row r="11176" spans="1:11">
      <c r="A11176" s="450" t="s">
        <v>17743</v>
      </c>
      <c r="B11176" s="450" t="s">
        <v>17744</v>
      </c>
      <c r="C11176" s="450" t="s">
        <v>4806</v>
      </c>
      <c r="D11176" s="450"/>
      <c r="E11176" s="450"/>
      <c r="F11176" s="450"/>
      <c r="G11176" s="450" t="s">
        <v>22877</v>
      </c>
      <c r="H11176" s="450" t="s">
        <v>22878</v>
      </c>
      <c r="I11176" s="450" t="s">
        <v>29409</v>
      </c>
      <c r="J11176" s="450" t="s">
        <v>29410</v>
      </c>
      <c r="K11176" s="450"/>
    </row>
    <row r="11177" spans="1:11">
      <c r="A11177" s="451" t="s">
        <v>17745</v>
      </c>
      <c r="B11177" s="451"/>
      <c r="C11177" s="451" t="s">
        <v>17746</v>
      </c>
      <c r="D11177" s="451"/>
      <c r="E11177" s="451"/>
      <c r="F11177" s="451"/>
      <c r="G11177" s="451" t="s">
        <v>22882</v>
      </c>
      <c r="H11177" s="451" t="s">
        <v>22883</v>
      </c>
      <c r="I11177" s="451" t="s">
        <v>38870</v>
      </c>
      <c r="J11177" s="451" t="s">
        <v>23185</v>
      </c>
      <c r="K11177" s="451"/>
    </row>
    <row r="11178" spans="1:11">
      <c r="A11178" s="450" t="s">
        <v>17747</v>
      </c>
      <c r="B11178" s="450" t="s">
        <v>17748</v>
      </c>
      <c r="C11178" s="450" t="s">
        <v>13706</v>
      </c>
      <c r="D11178" s="450" t="s">
        <v>17749</v>
      </c>
      <c r="E11178" s="450" t="s">
        <v>17750</v>
      </c>
      <c r="F11178" s="450"/>
      <c r="G11178" s="450"/>
      <c r="H11178" s="450"/>
      <c r="I11178" s="450"/>
      <c r="J11178" s="450"/>
      <c r="K11178" s="450"/>
    </row>
    <row r="11179" spans="1:11">
      <c r="A11179" s="451" t="s">
        <v>17751</v>
      </c>
      <c r="B11179" s="451"/>
      <c r="C11179" s="451" t="s">
        <v>17752</v>
      </c>
      <c r="D11179" s="451"/>
      <c r="E11179" s="451"/>
      <c r="F11179" s="451"/>
      <c r="G11179" s="451" t="s">
        <v>22882</v>
      </c>
      <c r="H11179" s="451" t="s">
        <v>22883</v>
      </c>
      <c r="I11179" s="451"/>
      <c r="J11179" s="451" t="s">
        <v>28871</v>
      </c>
      <c r="K11179" s="451"/>
    </row>
    <row r="11180" spans="1:11">
      <c r="A11180" s="450" t="s">
        <v>17753</v>
      </c>
      <c r="B11180" s="450"/>
      <c r="C11180" s="450" t="s">
        <v>3880</v>
      </c>
      <c r="D11180" s="450"/>
      <c r="E11180" s="450"/>
      <c r="F11180" s="450"/>
      <c r="G11180" s="450" t="s">
        <v>22882</v>
      </c>
      <c r="H11180" s="450" t="s">
        <v>22883</v>
      </c>
      <c r="I11180" s="450" t="s">
        <v>29411</v>
      </c>
      <c r="J11180" s="450" t="s">
        <v>28403</v>
      </c>
      <c r="K11180" s="450"/>
    </row>
    <row r="11181" spans="1:11">
      <c r="A11181" s="451" t="s">
        <v>17754</v>
      </c>
      <c r="B11181" s="451" t="s">
        <v>17755</v>
      </c>
      <c r="C11181" s="451" t="s">
        <v>17527</v>
      </c>
      <c r="D11181" s="451"/>
      <c r="E11181" s="451"/>
      <c r="F11181" s="451"/>
      <c r="G11181" s="451"/>
      <c r="H11181" s="451"/>
      <c r="I11181" s="451"/>
      <c r="J11181" s="451"/>
      <c r="K11181" s="451"/>
    </row>
    <row r="11182" spans="1:11">
      <c r="A11182" s="450" t="s">
        <v>29412</v>
      </c>
      <c r="B11182" s="450" t="s">
        <v>29413</v>
      </c>
      <c r="C11182" s="450" t="s">
        <v>29301</v>
      </c>
      <c r="D11182" s="450"/>
      <c r="E11182" s="450"/>
      <c r="F11182" s="450"/>
      <c r="G11182" s="450" t="s">
        <v>22882</v>
      </c>
      <c r="H11182" s="450" t="s">
        <v>22883</v>
      </c>
      <c r="I11182" s="450"/>
      <c r="J11182" s="450" t="s">
        <v>29414</v>
      </c>
      <c r="K11182" s="450"/>
    </row>
    <row r="11183" spans="1:11">
      <c r="A11183" s="451" t="s">
        <v>17756</v>
      </c>
      <c r="B11183" s="451" t="s">
        <v>17748</v>
      </c>
      <c r="C11183" s="451" t="s">
        <v>13706</v>
      </c>
      <c r="D11183" s="451" t="s">
        <v>17749</v>
      </c>
      <c r="E11183" s="451"/>
      <c r="F11183" s="451"/>
      <c r="G11183" s="451" t="s">
        <v>22877</v>
      </c>
      <c r="H11183" s="451" t="s">
        <v>22878</v>
      </c>
      <c r="I11183" s="451" t="s">
        <v>29415</v>
      </c>
      <c r="J11183" s="451" t="s">
        <v>29416</v>
      </c>
      <c r="K11183" s="451"/>
    </row>
    <row r="11184" spans="1:11">
      <c r="A11184" s="450" t="s">
        <v>32017</v>
      </c>
      <c r="B11184" s="450" t="s">
        <v>29417</v>
      </c>
      <c r="C11184" s="450" t="s">
        <v>29418</v>
      </c>
      <c r="D11184" s="450" t="s">
        <v>29419</v>
      </c>
      <c r="E11184" s="450"/>
      <c r="F11184" s="450"/>
      <c r="G11184" s="450" t="s">
        <v>22877</v>
      </c>
      <c r="H11184" s="450" t="s">
        <v>22878</v>
      </c>
      <c r="I11184" s="450" t="s">
        <v>29420</v>
      </c>
      <c r="J11184" s="450" t="s">
        <v>29421</v>
      </c>
      <c r="K11184" s="450"/>
    </row>
    <row r="11185" spans="1:11">
      <c r="A11185" s="451" t="s">
        <v>17757</v>
      </c>
      <c r="B11185" s="451"/>
      <c r="C11185" s="451" t="s">
        <v>4124</v>
      </c>
      <c r="D11185" s="451"/>
      <c r="E11185" s="451"/>
      <c r="F11185" s="451"/>
      <c r="G11185" s="451" t="s">
        <v>22882</v>
      </c>
      <c r="H11185" s="451" t="s">
        <v>22883</v>
      </c>
      <c r="I11185" s="451" t="s">
        <v>38871</v>
      </c>
      <c r="J11185" s="451" t="s">
        <v>28403</v>
      </c>
      <c r="K11185" s="451"/>
    </row>
    <row r="11186" spans="1:11">
      <c r="A11186" s="450" t="s">
        <v>17758</v>
      </c>
      <c r="B11186" s="450"/>
      <c r="C11186" s="450" t="s">
        <v>17759</v>
      </c>
      <c r="D11186" s="450"/>
      <c r="E11186" s="450"/>
      <c r="F11186" s="450"/>
      <c r="G11186" s="450" t="s">
        <v>22877</v>
      </c>
      <c r="H11186" s="450" t="s">
        <v>22878</v>
      </c>
      <c r="I11186" s="450" t="s">
        <v>38872</v>
      </c>
      <c r="J11186" s="450" t="s">
        <v>23185</v>
      </c>
      <c r="K11186" s="450"/>
    </row>
    <row r="11187" spans="1:11">
      <c r="A11187" s="451" t="s">
        <v>17760</v>
      </c>
      <c r="B11187" s="451"/>
      <c r="C11187" s="451" t="s">
        <v>17761</v>
      </c>
      <c r="D11187" s="451"/>
      <c r="E11187" s="451"/>
      <c r="F11187" s="451"/>
      <c r="G11187" s="451" t="s">
        <v>22882</v>
      </c>
      <c r="H11187" s="451" t="s">
        <v>22883</v>
      </c>
      <c r="I11187" s="451"/>
      <c r="J11187" s="451" t="s">
        <v>28871</v>
      </c>
      <c r="K11187" s="451"/>
    </row>
    <row r="11188" spans="1:11">
      <c r="A11188" s="450" t="s">
        <v>29422</v>
      </c>
      <c r="B11188" s="450" t="s">
        <v>29423</v>
      </c>
      <c r="C11188" s="450" t="s">
        <v>29424</v>
      </c>
      <c r="D11188" s="450"/>
      <c r="E11188" s="450"/>
      <c r="F11188" s="450"/>
      <c r="G11188" s="450" t="s">
        <v>22877</v>
      </c>
      <c r="H11188" s="450" t="s">
        <v>22878</v>
      </c>
      <c r="I11188" s="450" t="s">
        <v>29425</v>
      </c>
      <c r="J11188" s="450" t="s">
        <v>29426</v>
      </c>
      <c r="K11188" s="450"/>
    </row>
    <row r="11189" spans="1:11">
      <c r="A11189" s="451" t="s">
        <v>17762</v>
      </c>
      <c r="B11189" s="451"/>
      <c r="C11189" s="451" t="s">
        <v>17763</v>
      </c>
      <c r="D11189" s="451"/>
      <c r="E11189" s="451"/>
      <c r="F11189" s="451"/>
      <c r="G11189" s="451" t="s">
        <v>22882</v>
      </c>
      <c r="H11189" s="451" t="s">
        <v>22883</v>
      </c>
      <c r="I11189" s="451"/>
      <c r="J11189" s="451" t="s">
        <v>23185</v>
      </c>
      <c r="K11189" s="451"/>
    </row>
    <row r="11190" spans="1:11">
      <c r="A11190" s="450" t="s">
        <v>38873</v>
      </c>
      <c r="B11190" s="450"/>
      <c r="C11190" s="450" t="s">
        <v>6065</v>
      </c>
      <c r="D11190" s="450"/>
      <c r="E11190" s="450"/>
      <c r="F11190" s="450"/>
      <c r="G11190" s="450" t="s">
        <v>22882</v>
      </c>
      <c r="H11190" s="450" t="s">
        <v>22883</v>
      </c>
      <c r="I11190" s="450"/>
      <c r="J11190" s="450" t="s">
        <v>28403</v>
      </c>
      <c r="K11190" s="450"/>
    </row>
    <row r="11191" spans="1:11">
      <c r="A11191" s="451" t="s">
        <v>17764</v>
      </c>
      <c r="B11191" s="451"/>
      <c r="C11191" s="451" t="s">
        <v>6065</v>
      </c>
      <c r="D11191" s="451"/>
      <c r="E11191" s="451"/>
      <c r="F11191" s="451"/>
      <c r="G11191" s="451"/>
      <c r="H11191" s="451"/>
      <c r="I11191" s="451"/>
      <c r="J11191" s="451"/>
      <c r="K11191" s="451"/>
    </row>
    <row r="11192" spans="1:11">
      <c r="A11192" s="450" t="s">
        <v>17765</v>
      </c>
      <c r="B11192" s="450"/>
      <c r="C11192" s="450" t="s">
        <v>17766</v>
      </c>
      <c r="D11192" s="450"/>
      <c r="E11192" s="450"/>
      <c r="F11192" s="450"/>
      <c r="G11192" s="450" t="s">
        <v>22882</v>
      </c>
      <c r="H11192" s="450" t="s">
        <v>22883</v>
      </c>
      <c r="I11192" s="450" t="s">
        <v>38874</v>
      </c>
      <c r="J11192" s="450" t="s">
        <v>22997</v>
      </c>
      <c r="K11192" s="450"/>
    </row>
    <row r="11193" spans="1:11">
      <c r="A11193" s="451" t="s">
        <v>38875</v>
      </c>
      <c r="B11193" s="451"/>
      <c r="C11193" s="451" t="s">
        <v>2574</v>
      </c>
      <c r="D11193" s="451"/>
      <c r="E11193" s="451"/>
      <c r="F11193" s="451"/>
      <c r="G11193" s="451" t="s">
        <v>22882</v>
      </c>
      <c r="H11193" s="451" t="s">
        <v>22883</v>
      </c>
      <c r="I11193" s="451"/>
      <c r="J11193" s="451" t="s">
        <v>28403</v>
      </c>
      <c r="K11193" s="451"/>
    </row>
    <row r="11194" spans="1:11">
      <c r="A11194" s="450" t="s">
        <v>17767</v>
      </c>
      <c r="B11194" s="450"/>
      <c r="C11194" s="450" t="s">
        <v>2574</v>
      </c>
      <c r="D11194" s="450"/>
      <c r="E11194" s="450"/>
      <c r="F11194" s="450"/>
      <c r="G11194" s="450"/>
      <c r="H11194" s="450"/>
      <c r="I11194" s="450"/>
      <c r="J11194" s="450"/>
      <c r="K11194" s="450"/>
    </row>
    <row r="11195" spans="1:11">
      <c r="A11195" s="451" t="s">
        <v>32018</v>
      </c>
      <c r="B11195" s="451" t="s">
        <v>29427</v>
      </c>
      <c r="C11195" s="451" t="s">
        <v>17769</v>
      </c>
      <c r="D11195" s="451" t="s">
        <v>17770</v>
      </c>
      <c r="E11195" s="451"/>
      <c r="F11195" s="451"/>
      <c r="G11195" s="451" t="s">
        <v>22877</v>
      </c>
      <c r="H11195" s="451" t="s">
        <v>22878</v>
      </c>
      <c r="I11195" s="451" t="s">
        <v>29428</v>
      </c>
      <c r="J11195" s="451" t="s">
        <v>29429</v>
      </c>
      <c r="K11195" s="451"/>
    </row>
    <row r="11196" spans="1:11">
      <c r="A11196" s="450" t="s">
        <v>21999</v>
      </c>
      <c r="B11196" s="450" t="s">
        <v>17768</v>
      </c>
      <c r="C11196" s="450" t="s">
        <v>17769</v>
      </c>
      <c r="D11196" s="450" t="s">
        <v>17770</v>
      </c>
      <c r="E11196" s="450" t="s">
        <v>17771</v>
      </c>
      <c r="F11196" s="450"/>
      <c r="G11196" s="450"/>
      <c r="H11196" s="450"/>
      <c r="I11196" s="450"/>
      <c r="J11196" s="450"/>
      <c r="K11196" s="450"/>
    </row>
    <row r="11197" spans="1:11">
      <c r="A11197" s="451" t="s">
        <v>29430</v>
      </c>
      <c r="B11197" s="451" t="s">
        <v>29431</v>
      </c>
      <c r="C11197" s="451" t="s">
        <v>29432</v>
      </c>
      <c r="D11197" s="451"/>
      <c r="E11197" s="451"/>
      <c r="F11197" s="451"/>
      <c r="G11197" s="451" t="s">
        <v>22877</v>
      </c>
      <c r="H11197" s="451" t="s">
        <v>22878</v>
      </c>
      <c r="I11197" s="451" t="s">
        <v>29433</v>
      </c>
      <c r="J11197" s="451" t="s">
        <v>29434</v>
      </c>
      <c r="K11197" s="451"/>
    </row>
    <row r="11198" spans="1:11">
      <c r="A11198" s="450" t="s">
        <v>17772</v>
      </c>
      <c r="B11198" s="450"/>
      <c r="C11198" s="450" t="s">
        <v>17773</v>
      </c>
      <c r="D11198" s="450"/>
      <c r="E11198" s="450"/>
      <c r="F11198" s="450"/>
      <c r="G11198" s="450" t="s">
        <v>22877</v>
      </c>
      <c r="H11198" s="450" t="s">
        <v>22878</v>
      </c>
      <c r="I11198" s="450" t="s">
        <v>29399</v>
      </c>
      <c r="J11198" s="450" t="s">
        <v>23185</v>
      </c>
      <c r="K11198" s="450"/>
    </row>
    <row r="11199" spans="1:11">
      <c r="A11199" s="451" t="s">
        <v>17774</v>
      </c>
      <c r="B11199" s="451"/>
      <c r="C11199" s="451" t="s">
        <v>17775</v>
      </c>
      <c r="D11199" s="451"/>
      <c r="E11199" s="451"/>
      <c r="F11199" s="451"/>
      <c r="G11199" s="451" t="s">
        <v>22877</v>
      </c>
      <c r="H11199" s="451" t="s">
        <v>22878</v>
      </c>
      <c r="I11199" s="451" t="s">
        <v>29435</v>
      </c>
      <c r="J11199" s="451" t="s">
        <v>23185</v>
      </c>
      <c r="K11199" s="451"/>
    </row>
    <row r="11200" spans="1:11">
      <c r="A11200" s="450" t="s">
        <v>38876</v>
      </c>
      <c r="B11200" s="450"/>
      <c r="C11200" s="450" t="s">
        <v>17777</v>
      </c>
      <c r="D11200" s="450"/>
      <c r="E11200" s="450"/>
      <c r="F11200" s="450"/>
      <c r="G11200" s="450" t="s">
        <v>22877</v>
      </c>
      <c r="H11200" s="450" t="s">
        <v>22878</v>
      </c>
      <c r="I11200" s="450" t="s">
        <v>38877</v>
      </c>
      <c r="J11200" s="450" t="s">
        <v>23185</v>
      </c>
      <c r="K11200" s="450"/>
    </row>
    <row r="11201" spans="1:11">
      <c r="A11201" s="451" t="s">
        <v>17776</v>
      </c>
      <c r="B11201" s="451"/>
      <c r="C11201" s="451" t="s">
        <v>17777</v>
      </c>
      <c r="D11201" s="451"/>
      <c r="E11201" s="451"/>
      <c r="F11201" s="451"/>
      <c r="G11201" s="451"/>
      <c r="H11201" s="451"/>
      <c r="I11201" s="451"/>
      <c r="J11201" s="451"/>
      <c r="K11201" s="451"/>
    </row>
    <row r="11202" spans="1:11">
      <c r="A11202" s="450" t="s">
        <v>17778</v>
      </c>
      <c r="B11202" s="450"/>
      <c r="C11202" s="450" t="s">
        <v>10298</v>
      </c>
      <c r="D11202" s="450"/>
      <c r="E11202" s="450"/>
      <c r="F11202" s="450"/>
      <c r="G11202" s="450" t="s">
        <v>22882</v>
      </c>
      <c r="H11202" s="450" t="s">
        <v>22883</v>
      </c>
      <c r="I11202" s="450" t="s">
        <v>38878</v>
      </c>
      <c r="J11202" s="450" t="s">
        <v>23185</v>
      </c>
      <c r="K11202" s="450"/>
    </row>
    <row r="11203" spans="1:11">
      <c r="A11203" s="451" t="s">
        <v>38879</v>
      </c>
      <c r="B11203" s="451"/>
      <c r="C11203" s="451" t="s">
        <v>17780</v>
      </c>
      <c r="D11203" s="451"/>
      <c r="E11203" s="451"/>
      <c r="F11203" s="451"/>
      <c r="G11203" s="451" t="s">
        <v>22882</v>
      </c>
      <c r="H11203" s="451" t="s">
        <v>22883</v>
      </c>
      <c r="I11203" s="451"/>
      <c r="J11203" s="451" t="s">
        <v>28403</v>
      </c>
      <c r="K11203" s="451"/>
    </row>
    <row r="11204" spans="1:11">
      <c r="A11204" s="450" t="s">
        <v>17779</v>
      </c>
      <c r="B11204" s="450"/>
      <c r="C11204" s="450" t="s">
        <v>17780</v>
      </c>
      <c r="D11204" s="450"/>
      <c r="E11204" s="450"/>
      <c r="F11204" s="450"/>
      <c r="G11204" s="450"/>
      <c r="H11204" s="450"/>
      <c r="I11204" s="450"/>
      <c r="J11204" s="450"/>
      <c r="K11204" s="450"/>
    </row>
    <row r="11205" spans="1:11">
      <c r="A11205" s="451" t="s">
        <v>17781</v>
      </c>
      <c r="B11205" s="451"/>
      <c r="C11205" s="451" t="s">
        <v>10464</v>
      </c>
      <c r="D11205" s="451"/>
      <c r="E11205" s="451"/>
      <c r="F11205" s="451"/>
      <c r="G11205" s="451"/>
      <c r="H11205" s="451"/>
      <c r="I11205" s="451"/>
      <c r="J11205" s="451"/>
      <c r="K11205" s="451"/>
    </row>
    <row r="11206" spans="1:11">
      <c r="A11206" s="450" t="s">
        <v>29436</v>
      </c>
      <c r="B11206" s="450"/>
      <c r="C11206" s="450" t="s">
        <v>10464</v>
      </c>
      <c r="D11206" s="450"/>
      <c r="E11206" s="450"/>
      <c r="F11206" s="450"/>
      <c r="G11206" s="450" t="s">
        <v>22882</v>
      </c>
      <c r="H11206" s="450" t="s">
        <v>22883</v>
      </c>
      <c r="I11206" s="450" t="s">
        <v>23616</v>
      </c>
      <c r="J11206" s="450" t="s">
        <v>22942</v>
      </c>
      <c r="K11206" s="450"/>
    </row>
    <row r="11207" spans="1:11">
      <c r="A11207" s="451" t="s">
        <v>29437</v>
      </c>
      <c r="B11207" s="451" t="s">
        <v>22872</v>
      </c>
      <c r="C11207" s="451" t="s">
        <v>29438</v>
      </c>
      <c r="D11207" s="451"/>
      <c r="E11207" s="451"/>
      <c r="F11207" s="451"/>
      <c r="G11207" s="451" t="s">
        <v>22877</v>
      </c>
      <c r="H11207" s="451" t="s">
        <v>22878</v>
      </c>
      <c r="I11207" s="451" t="s">
        <v>23702</v>
      </c>
      <c r="J11207" s="451" t="s">
        <v>29439</v>
      </c>
      <c r="K11207" s="451"/>
    </row>
    <row r="11208" spans="1:11">
      <c r="A11208" s="450" t="s">
        <v>17782</v>
      </c>
      <c r="B11208" s="450" t="s">
        <v>17783</v>
      </c>
      <c r="C11208" s="450" t="s">
        <v>2518</v>
      </c>
      <c r="D11208" s="450"/>
      <c r="E11208" s="450"/>
      <c r="F11208" s="450"/>
      <c r="G11208" s="450"/>
      <c r="H11208" s="450"/>
      <c r="I11208" s="450"/>
      <c r="J11208" s="450"/>
      <c r="K11208" s="450"/>
    </row>
    <row r="11209" spans="1:11">
      <c r="A11209" s="451" t="s">
        <v>29440</v>
      </c>
      <c r="B11209" s="451" t="s">
        <v>17785</v>
      </c>
      <c r="C11209" s="451" t="s">
        <v>3980</v>
      </c>
      <c r="D11209" s="451"/>
      <c r="E11209" s="451"/>
      <c r="F11209" s="451"/>
      <c r="G11209" s="451" t="s">
        <v>22877</v>
      </c>
      <c r="H11209" s="451" t="s">
        <v>22878</v>
      </c>
      <c r="I11209" s="451" t="s">
        <v>29441</v>
      </c>
      <c r="J11209" s="451" t="s">
        <v>29442</v>
      </c>
      <c r="K11209" s="451"/>
    </row>
    <row r="11210" spans="1:11">
      <c r="A11210" s="450" t="s">
        <v>17784</v>
      </c>
      <c r="B11210" s="450" t="s">
        <v>17785</v>
      </c>
      <c r="C11210" s="450" t="s">
        <v>3980</v>
      </c>
      <c r="D11210" s="450"/>
      <c r="E11210" s="450"/>
      <c r="F11210" s="450"/>
      <c r="G11210" s="450"/>
      <c r="H11210" s="450"/>
      <c r="I11210" s="450"/>
      <c r="J11210" s="450"/>
      <c r="K11210" s="450"/>
    </row>
    <row r="11211" spans="1:11">
      <c r="A11211" s="451" t="s">
        <v>17786</v>
      </c>
      <c r="B11211" s="451"/>
      <c r="C11211" s="451" t="s">
        <v>17787</v>
      </c>
      <c r="D11211" s="451"/>
      <c r="E11211" s="451"/>
      <c r="F11211" s="451"/>
      <c r="G11211" s="451" t="s">
        <v>22882</v>
      </c>
      <c r="H11211" s="451" t="s">
        <v>22883</v>
      </c>
      <c r="I11211" s="451"/>
      <c r="J11211" s="451" t="s">
        <v>23185</v>
      </c>
      <c r="K11211" s="451"/>
    </row>
    <row r="11212" spans="1:11">
      <c r="A11212" s="450" t="s">
        <v>17788</v>
      </c>
      <c r="B11212" s="450"/>
      <c r="C11212" s="450" t="s">
        <v>17789</v>
      </c>
      <c r="D11212" s="450"/>
      <c r="E11212" s="450"/>
      <c r="F11212" s="450"/>
      <c r="G11212" s="450"/>
      <c r="H11212" s="450"/>
      <c r="I11212" s="450"/>
      <c r="J11212" s="450"/>
      <c r="K11212" s="450"/>
    </row>
    <row r="11213" spans="1:11">
      <c r="A11213" s="451" t="s">
        <v>38880</v>
      </c>
      <c r="B11213" s="451"/>
      <c r="C11213" s="451" t="s">
        <v>17789</v>
      </c>
      <c r="D11213" s="451"/>
      <c r="E11213" s="451"/>
      <c r="F11213" s="451"/>
      <c r="G11213" s="451" t="s">
        <v>22882</v>
      </c>
      <c r="H11213" s="451" t="s">
        <v>22883</v>
      </c>
      <c r="I11213" s="451" t="s">
        <v>34274</v>
      </c>
      <c r="J11213" s="451" t="s">
        <v>22997</v>
      </c>
      <c r="K11213" s="451"/>
    </row>
    <row r="11214" spans="1:11">
      <c r="A11214" s="450" t="s">
        <v>38881</v>
      </c>
      <c r="B11214" s="450"/>
      <c r="C11214" s="450" t="s">
        <v>16263</v>
      </c>
      <c r="D11214" s="450"/>
      <c r="E11214" s="450"/>
      <c r="F11214" s="450"/>
      <c r="G11214" s="450" t="s">
        <v>22877</v>
      </c>
      <c r="H11214" s="450" t="s">
        <v>22878</v>
      </c>
      <c r="I11214" s="450" t="s">
        <v>38882</v>
      </c>
      <c r="J11214" s="450" t="s">
        <v>23370</v>
      </c>
      <c r="K11214" s="450"/>
    </row>
    <row r="11215" spans="1:11">
      <c r="A11215" s="451" t="s">
        <v>17790</v>
      </c>
      <c r="B11215" s="451"/>
      <c r="C11215" s="451" t="s">
        <v>16263</v>
      </c>
      <c r="D11215" s="451"/>
      <c r="E11215" s="451"/>
      <c r="F11215" s="451"/>
      <c r="G11215" s="451"/>
      <c r="H11215" s="451"/>
      <c r="I11215" s="451"/>
      <c r="J11215" s="451"/>
      <c r="K11215" s="451"/>
    </row>
    <row r="11216" spans="1:11">
      <c r="A11216" s="450" t="s">
        <v>38883</v>
      </c>
      <c r="B11216" s="450"/>
      <c r="C11216" s="450" t="s">
        <v>17792</v>
      </c>
      <c r="D11216" s="450"/>
      <c r="E11216" s="450"/>
      <c r="F11216" s="450"/>
      <c r="G11216" s="450" t="s">
        <v>22877</v>
      </c>
      <c r="H11216" s="450" t="s">
        <v>22878</v>
      </c>
      <c r="I11216" s="450" t="s">
        <v>38884</v>
      </c>
      <c r="J11216" s="450" t="s">
        <v>23133</v>
      </c>
      <c r="K11216" s="450"/>
    </row>
    <row r="11217" spans="1:11">
      <c r="A11217" s="451" t="s">
        <v>17791</v>
      </c>
      <c r="B11217" s="451"/>
      <c r="C11217" s="451" t="s">
        <v>17792</v>
      </c>
      <c r="D11217" s="451"/>
      <c r="E11217" s="451"/>
      <c r="F11217" s="451"/>
      <c r="G11217" s="451"/>
      <c r="H11217" s="451"/>
      <c r="I11217" s="451"/>
      <c r="J11217" s="451"/>
      <c r="K11217" s="451"/>
    </row>
    <row r="11218" spans="1:11">
      <c r="A11218" s="450" t="s">
        <v>38885</v>
      </c>
      <c r="B11218" s="450" t="s">
        <v>17794</v>
      </c>
      <c r="C11218" s="450" t="s">
        <v>12283</v>
      </c>
      <c r="D11218" s="450"/>
      <c r="E11218" s="450"/>
      <c r="F11218" s="450"/>
      <c r="G11218" s="450" t="s">
        <v>22877</v>
      </c>
      <c r="H11218" s="450" t="s">
        <v>22878</v>
      </c>
      <c r="I11218" s="450" t="s">
        <v>38886</v>
      </c>
      <c r="J11218" s="450" t="s">
        <v>38887</v>
      </c>
      <c r="K11218" s="450"/>
    </row>
    <row r="11219" spans="1:11">
      <c r="A11219" s="451" t="s">
        <v>17793</v>
      </c>
      <c r="B11219" s="451" t="s">
        <v>17794</v>
      </c>
      <c r="C11219" s="451" t="s">
        <v>12283</v>
      </c>
      <c r="D11219" s="451"/>
      <c r="E11219" s="451"/>
      <c r="F11219" s="451"/>
      <c r="G11219" s="451"/>
      <c r="H11219" s="451"/>
      <c r="I11219" s="451"/>
      <c r="J11219" s="451"/>
      <c r="K11219" s="451"/>
    </row>
    <row r="11220" spans="1:11">
      <c r="A11220" s="450" t="s">
        <v>17795</v>
      </c>
      <c r="B11220" s="450"/>
      <c r="C11220" s="450" t="s">
        <v>17796</v>
      </c>
      <c r="D11220" s="450"/>
      <c r="E11220" s="450"/>
      <c r="F11220" s="450"/>
      <c r="G11220" s="450" t="s">
        <v>22877</v>
      </c>
      <c r="H11220" s="450" t="s">
        <v>22878</v>
      </c>
      <c r="I11220" s="450" t="s">
        <v>38888</v>
      </c>
      <c r="J11220" s="450" t="s">
        <v>23185</v>
      </c>
      <c r="K11220" s="450"/>
    </row>
    <row r="11221" spans="1:11">
      <c r="A11221" s="451" t="s">
        <v>17797</v>
      </c>
      <c r="B11221" s="451"/>
      <c r="C11221" s="451" t="s">
        <v>17798</v>
      </c>
      <c r="D11221" s="451"/>
      <c r="E11221" s="451"/>
      <c r="F11221" s="451"/>
      <c r="G11221" s="451"/>
      <c r="H11221" s="451"/>
      <c r="I11221" s="451"/>
      <c r="J11221" s="451"/>
      <c r="K11221" s="451"/>
    </row>
    <row r="11222" spans="1:11">
      <c r="A11222" s="450" t="s">
        <v>38889</v>
      </c>
      <c r="B11222" s="450"/>
      <c r="C11222" s="450" t="s">
        <v>17798</v>
      </c>
      <c r="D11222" s="450"/>
      <c r="E11222" s="450"/>
      <c r="F11222" s="450"/>
      <c r="G11222" s="450" t="s">
        <v>22882</v>
      </c>
      <c r="H11222" s="450" t="s">
        <v>22883</v>
      </c>
      <c r="I11222" s="450" t="s">
        <v>38890</v>
      </c>
      <c r="J11222" s="450" t="s">
        <v>28403</v>
      </c>
      <c r="K11222" s="450"/>
    </row>
    <row r="11223" spans="1:11">
      <c r="A11223" s="451" t="s">
        <v>38891</v>
      </c>
      <c r="B11223" s="451"/>
      <c r="C11223" s="451" t="s">
        <v>17800</v>
      </c>
      <c r="D11223" s="451"/>
      <c r="E11223" s="451"/>
      <c r="F11223" s="451"/>
      <c r="G11223" s="451" t="s">
        <v>22882</v>
      </c>
      <c r="H11223" s="451" t="s">
        <v>22883</v>
      </c>
      <c r="I11223" s="451" t="s">
        <v>38892</v>
      </c>
      <c r="J11223" s="451" t="s">
        <v>22997</v>
      </c>
      <c r="K11223" s="451"/>
    </row>
    <row r="11224" spans="1:11">
      <c r="A11224" s="450" t="s">
        <v>17799</v>
      </c>
      <c r="B11224" s="450"/>
      <c r="C11224" s="450" t="s">
        <v>17800</v>
      </c>
      <c r="D11224" s="450"/>
      <c r="E11224" s="450"/>
      <c r="F11224" s="450"/>
      <c r="G11224" s="450"/>
      <c r="H11224" s="450"/>
      <c r="I11224" s="450"/>
      <c r="J11224" s="450"/>
      <c r="K11224" s="450"/>
    </row>
    <row r="11225" spans="1:11">
      <c r="A11225" s="451" t="s">
        <v>17801</v>
      </c>
      <c r="B11225" s="451"/>
      <c r="C11225" s="451" t="s">
        <v>17802</v>
      </c>
      <c r="D11225" s="451"/>
      <c r="E11225" s="451"/>
      <c r="F11225" s="451"/>
      <c r="G11225" s="451" t="s">
        <v>22877</v>
      </c>
      <c r="H11225" s="451" t="s">
        <v>22878</v>
      </c>
      <c r="I11225" s="451" t="s">
        <v>38893</v>
      </c>
      <c r="J11225" s="451" t="s">
        <v>28871</v>
      </c>
      <c r="K11225" s="451"/>
    </row>
    <row r="11226" spans="1:11">
      <c r="A11226" s="450" t="s">
        <v>17803</v>
      </c>
      <c r="B11226" s="450"/>
      <c r="C11226" s="450" t="s">
        <v>17804</v>
      </c>
      <c r="D11226" s="450"/>
      <c r="E11226" s="450"/>
      <c r="F11226" s="450"/>
      <c r="G11226" s="450"/>
      <c r="H11226" s="450"/>
      <c r="I11226" s="450"/>
      <c r="J11226" s="450"/>
      <c r="K11226" s="450"/>
    </row>
    <row r="11227" spans="1:11">
      <c r="A11227" s="451" t="s">
        <v>29443</v>
      </c>
      <c r="B11227" s="451"/>
      <c r="C11227" s="451" t="s">
        <v>17804</v>
      </c>
      <c r="D11227" s="451"/>
      <c r="E11227" s="451"/>
      <c r="F11227" s="451"/>
      <c r="G11227" s="451" t="s">
        <v>22877</v>
      </c>
      <c r="H11227" s="451" t="s">
        <v>22878</v>
      </c>
      <c r="I11227" s="451" t="s">
        <v>29444</v>
      </c>
      <c r="J11227" s="451" t="s">
        <v>22942</v>
      </c>
      <c r="K11227" s="451"/>
    </row>
    <row r="11228" spans="1:11">
      <c r="A11228" s="450" t="s">
        <v>38894</v>
      </c>
      <c r="B11228" s="450" t="s">
        <v>17806</v>
      </c>
      <c r="C11228" s="450" t="s">
        <v>17807</v>
      </c>
      <c r="D11228" s="450"/>
      <c r="E11228" s="450"/>
      <c r="F11228" s="450"/>
      <c r="G11228" s="450" t="s">
        <v>22882</v>
      </c>
      <c r="H11228" s="450" t="s">
        <v>22883</v>
      </c>
      <c r="I11228" s="450" t="s">
        <v>38895</v>
      </c>
      <c r="J11228" s="450" t="s">
        <v>38896</v>
      </c>
      <c r="K11228" s="450"/>
    </row>
    <row r="11229" spans="1:11">
      <c r="A11229" s="451" t="s">
        <v>17805</v>
      </c>
      <c r="B11229" s="451" t="s">
        <v>17806</v>
      </c>
      <c r="C11229" s="451" t="s">
        <v>17807</v>
      </c>
      <c r="D11229" s="451"/>
      <c r="E11229" s="451"/>
      <c r="F11229" s="451"/>
      <c r="G11229" s="451"/>
      <c r="H11229" s="451"/>
      <c r="I11229" s="451"/>
      <c r="J11229" s="451"/>
      <c r="K11229" s="451"/>
    </row>
    <row r="11230" spans="1:11">
      <c r="A11230" s="450" t="s">
        <v>38897</v>
      </c>
      <c r="B11230" s="450"/>
      <c r="C11230" s="450" t="s">
        <v>17809</v>
      </c>
      <c r="D11230" s="450"/>
      <c r="E11230" s="450"/>
      <c r="F11230" s="450"/>
      <c r="G11230" s="450" t="s">
        <v>22877</v>
      </c>
      <c r="H11230" s="450" t="s">
        <v>22878</v>
      </c>
      <c r="I11230" s="450" t="s">
        <v>38898</v>
      </c>
      <c r="J11230" s="450" t="s">
        <v>22942</v>
      </c>
      <c r="K11230" s="450"/>
    </row>
    <row r="11231" spans="1:11">
      <c r="A11231" s="451" t="s">
        <v>17808</v>
      </c>
      <c r="B11231" s="451"/>
      <c r="C11231" s="451" t="s">
        <v>17809</v>
      </c>
      <c r="D11231" s="451"/>
      <c r="E11231" s="451"/>
      <c r="F11231" s="451"/>
      <c r="G11231" s="451"/>
      <c r="H11231" s="451"/>
      <c r="I11231" s="451"/>
      <c r="J11231" s="451"/>
      <c r="K11231" s="451"/>
    </row>
    <row r="11232" spans="1:11">
      <c r="A11232" s="450" t="s">
        <v>17810</v>
      </c>
      <c r="B11232" s="450"/>
      <c r="C11232" s="450" t="s">
        <v>2702</v>
      </c>
      <c r="D11232" s="450"/>
      <c r="E11232" s="450"/>
      <c r="F11232" s="450"/>
      <c r="G11232" s="450" t="s">
        <v>22877</v>
      </c>
      <c r="H11232" s="450" t="s">
        <v>22878</v>
      </c>
      <c r="I11232" s="450" t="s">
        <v>38899</v>
      </c>
      <c r="J11232" s="450" t="s">
        <v>22997</v>
      </c>
      <c r="K11232" s="450"/>
    </row>
    <row r="11233" spans="1:11">
      <c r="A11233" s="451" t="s">
        <v>17811</v>
      </c>
      <c r="B11233" s="451"/>
      <c r="C11233" s="451" t="s">
        <v>17812</v>
      </c>
      <c r="D11233" s="451"/>
      <c r="E11233" s="451"/>
      <c r="F11233" s="451"/>
      <c r="G11233" s="451" t="s">
        <v>22877</v>
      </c>
      <c r="H11233" s="451" t="s">
        <v>22878</v>
      </c>
      <c r="I11233" s="451" t="s">
        <v>29445</v>
      </c>
      <c r="J11233" s="451" t="s">
        <v>23185</v>
      </c>
      <c r="K11233" s="451"/>
    </row>
    <row r="11234" spans="1:11">
      <c r="A11234" s="450" t="s">
        <v>29446</v>
      </c>
      <c r="B11234" s="450" t="s">
        <v>29447</v>
      </c>
      <c r="C11234" s="450" t="s">
        <v>29448</v>
      </c>
      <c r="D11234" s="450"/>
      <c r="E11234" s="450"/>
      <c r="F11234" s="450"/>
      <c r="G11234" s="450" t="s">
        <v>22877</v>
      </c>
      <c r="H11234" s="450" t="s">
        <v>22878</v>
      </c>
      <c r="I11234" s="450" t="s">
        <v>29449</v>
      </c>
      <c r="J11234" s="450" t="s">
        <v>29450</v>
      </c>
      <c r="K11234" s="450"/>
    </row>
    <row r="11235" spans="1:11">
      <c r="A11235" s="451" t="s">
        <v>17813</v>
      </c>
      <c r="B11235" s="451"/>
      <c r="C11235" s="451" t="s">
        <v>17106</v>
      </c>
      <c r="D11235" s="451"/>
      <c r="E11235" s="451"/>
      <c r="F11235" s="451"/>
      <c r="G11235" s="451" t="s">
        <v>22877</v>
      </c>
      <c r="H11235" s="451" t="s">
        <v>22878</v>
      </c>
      <c r="I11235" s="451" t="s">
        <v>29451</v>
      </c>
      <c r="J11235" s="451" t="s">
        <v>22942</v>
      </c>
      <c r="K11235" s="451"/>
    </row>
    <row r="11236" spans="1:11">
      <c r="A11236" s="450" t="s">
        <v>38900</v>
      </c>
      <c r="B11236" s="450" t="s">
        <v>17815</v>
      </c>
      <c r="C11236" s="450" t="s">
        <v>17816</v>
      </c>
      <c r="D11236" s="450" t="s">
        <v>17817</v>
      </c>
      <c r="E11236" s="450"/>
      <c r="F11236" s="450"/>
      <c r="G11236" s="450" t="s">
        <v>22877</v>
      </c>
      <c r="H11236" s="450" t="s">
        <v>22878</v>
      </c>
      <c r="I11236" s="450" t="s">
        <v>38901</v>
      </c>
      <c r="J11236" s="450" t="s">
        <v>38902</v>
      </c>
      <c r="K11236" s="450"/>
    </row>
    <row r="11237" spans="1:11">
      <c r="A11237" s="451" t="s">
        <v>17814</v>
      </c>
      <c r="B11237" s="451" t="s">
        <v>17815</v>
      </c>
      <c r="C11237" s="451" t="s">
        <v>17816</v>
      </c>
      <c r="D11237" s="451" t="s">
        <v>17817</v>
      </c>
      <c r="E11237" s="451" t="s">
        <v>17818</v>
      </c>
      <c r="F11237" s="451"/>
      <c r="G11237" s="451"/>
      <c r="H11237" s="451"/>
      <c r="I11237" s="451"/>
      <c r="J11237" s="451"/>
      <c r="K11237" s="451"/>
    </row>
    <row r="11238" spans="1:11">
      <c r="A11238" s="450" t="s">
        <v>17819</v>
      </c>
      <c r="B11238" s="450"/>
      <c r="C11238" s="450" t="s">
        <v>17820</v>
      </c>
      <c r="D11238" s="450"/>
      <c r="E11238" s="450"/>
      <c r="F11238" s="450"/>
      <c r="G11238" s="450" t="s">
        <v>22877</v>
      </c>
      <c r="H11238" s="450" t="s">
        <v>22878</v>
      </c>
      <c r="I11238" s="450" t="s">
        <v>29452</v>
      </c>
      <c r="J11238" s="450" t="s">
        <v>22997</v>
      </c>
      <c r="K11238" s="450"/>
    </row>
    <row r="11239" spans="1:11">
      <c r="A11239" s="451" t="s">
        <v>38903</v>
      </c>
      <c r="B11239" s="451"/>
      <c r="C11239" s="451" t="s">
        <v>17822</v>
      </c>
      <c r="D11239" s="451"/>
      <c r="E11239" s="451"/>
      <c r="F11239" s="451"/>
      <c r="G11239" s="451" t="s">
        <v>22882</v>
      </c>
      <c r="H11239" s="451" t="s">
        <v>22883</v>
      </c>
      <c r="I11239" s="451"/>
      <c r="J11239" s="451" t="s">
        <v>22942</v>
      </c>
      <c r="K11239" s="451"/>
    </row>
    <row r="11240" spans="1:11">
      <c r="A11240" s="450" t="s">
        <v>17821</v>
      </c>
      <c r="B11240" s="450"/>
      <c r="C11240" s="450" t="s">
        <v>17822</v>
      </c>
      <c r="D11240" s="450"/>
      <c r="E11240" s="450"/>
      <c r="F11240" s="450"/>
      <c r="G11240" s="450"/>
      <c r="H11240" s="450"/>
      <c r="I11240" s="450"/>
      <c r="J11240" s="450"/>
      <c r="K11240" s="450"/>
    </row>
    <row r="11241" spans="1:11">
      <c r="A11241" s="451" t="s">
        <v>30068</v>
      </c>
      <c r="B11241" s="451" t="s">
        <v>30069</v>
      </c>
      <c r="C11241" s="451" t="s">
        <v>30070</v>
      </c>
      <c r="D11241" s="451"/>
      <c r="E11241" s="451"/>
      <c r="F11241" s="451"/>
      <c r="G11241" s="451"/>
      <c r="H11241" s="451"/>
      <c r="I11241" s="451"/>
      <c r="J11241" s="451"/>
      <c r="K11241" s="451"/>
    </row>
    <row r="11242" spans="1:11">
      <c r="A11242" s="450" t="s">
        <v>29453</v>
      </c>
      <c r="B11242" s="450" t="s">
        <v>29454</v>
      </c>
      <c r="C11242" s="450" t="s">
        <v>17825</v>
      </c>
      <c r="D11242" s="450" t="s">
        <v>17826</v>
      </c>
      <c r="E11242" s="450"/>
      <c r="F11242" s="450"/>
      <c r="G11242" s="450" t="s">
        <v>22877</v>
      </c>
      <c r="H11242" s="450" t="s">
        <v>22878</v>
      </c>
      <c r="I11242" s="450" t="s">
        <v>17826</v>
      </c>
      <c r="J11242" s="450" t="s">
        <v>29455</v>
      </c>
      <c r="K11242" s="450"/>
    </row>
    <row r="11243" spans="1:11">
      <c r="A11243" s="451" t="s">
        <v>29453</v>
      </c>
      <c r="B11243" s="451" t="s">
        <v>17828</v>
      </c>
      <c r="C11243" s="451" t="s">
        <v>17829</v>
      </c>
      <c r="D11243" s="451"/>
      <c r="E11243" s="451"/>
      <c r="F11243" s="451"/>
      <c r="G11243" s="451" t="s">
        <v>22877</v>
      </c>
      <c r="H11243" s="451" t="s">
        <v>22878</v>
      </c>
      <c r="I11243" s="451" t="s">
        <v>38820</v>
      </c>
      <c r="J11243" s="451" t="s">
        <v>38904</v>
      </c>
      <c r="K11243" s="451"/>
    </row>
    <row r="11244" spans="1:11">
      <c r="A11244" s="450" t="s">
        <v>17823</v>
      </c>
      <c r="B11244" s="450" t="s">
        <v>17824</v>
      </c>
      <c r="C11244" s="450" t="s">
        <v>17825</v>
      </c>
      <c r="D11244" s="450" t="s">
        <v>17826</v>
      </c>
      <c r="E11244" s="450" t="s">
        <v>17827</v>
      </c>
      <c r="F11244" s="450"/>
      <c r="G11244" s="450"/>
      <c r="H11244" s="450"/>
      <c r="I11244" s="450"/>
      <c r="J11244" s="450"/>
      <c r="K11244" s="450"/>
    </row>
    <row r="11245" spans="1:11">
      <c r="A11245" s="451" t="s">
        <v>17823</v>
      </c>
      <c r="B11245" s="451" t="s">
        <v>17828</v>
      </c>
      <c r="C11245" s="451" t="s">
        <v>17829</v>
      </c>
      <c r="D11245" s="451"/>
      <c r="E11245" s="451" t="s">
        <v>17830</v>
      </c>
      <c r="F11245" s="451"/>
      <c r="G11245" s="451"/>
      <c r="H11245" s="451"/>
      <c r="I11245" s="451"/>
      <c r="J11245" s="451"/>
      <c r="K11245" s="451"/>
    </row>
    <row r="11246" spans="1:11">
      <c r="A11246" s="450" t="s">
        <v>29456</v>
      </c>
      <c r="B11246" s="450" t="s">
        <v>29457</v>
      </c>
      <c r="C11246" s="450" t="s">
        <v>29458</v>
      </c>
      <c r="D11246" s="450"/>
      <c r="E11246" s="450"/>
      <c r="F11246" s="450"/>
      <c r="G11246" s="450" t="s">
        <v>22877</v>
      </c>
      <c r="H11246" s="450" t="s">
        <v>22878</v>
      </c>
      <c r="I11246" s="450" t="s">
        <v>29435</v>
      </c>
      <c r="J11246" s="450" t="s">
        <v>29459</v>
      </c>
      <c r="K11246" s="450"/>
    </row>
    <row r="11247" spans="1:11">
      <c r="A11247" s="451" t="s">
        <v>38905</v>
      </c>
      <c r="B11247" s="451"/>
      <c r="C11247" s="451" t="s">
        <v>17832</v>
      </c>
      <c r="D11247" s="451"/>
      <c r="E11247" s="451"/>
      <c r="F11247" s="451"/>
      <c r="G11247" s="451" t="s">
        <v>22882</v>
      </c>
      <c r="H11247" s="451" t="s">
        <v>22883</v>
      </c>
      <c r="I11247" s="451" t="s">
        <v>38906</v>
      </c>
      <c r="J11247" s="451" t="s">
        <v>22997</v>
      </c>
      <c r="K11247" s="451"/>
    </row>
    <row r="11248" spans="1:11">
      <c r="A11248" s="450" t="s">
        <v>17831</v>
      </c>
      <c r="B11248" s="450"/>
      <c r="C11248" s="450" t="s">
        <v>17832</v>
      </c>
      <c r="D11248" s="450"/>
      <c r="E11248" s="450"/>
      <c r="F11248" s="450"/>
      <c r="G11248" s="450"/>
      <c r="H11248" s="450"/>
      <c r="I11248" s="450"/>
      <c r="J11248" s="450"/>
      <c r="K11248" s="450"/>
    </row>
    <row r="11249" spans="1:11">
      <c r="A11249" s="451" t="s">
        <v>17833</v>
      </c>
      <c r="B11249" s="451"/>
      <c r="C11249" s="451" t="s">
        <v>17834</v>
      </c>
      <c r="D11249" s="451"/>
      <c r="E11249" s="451"/>
      <c r="F11249" s="451"/>
      <c r="G11249" s="451" t="s">
        <v>22882</v>
      </c>
      <c r="H11249" s="451" t="s">
        <v>22883</v>
      </c>
      <c r="I11249" s="451" t="s">
        <v>38907</v>
      </c>
      <c r="J11249" s="451" t="s">
        <v>22997</v>
      </c>
      <c r="K11249" s="451"/>
    </row>
    <row r="11250" spans="1:11">
      <c r="A11250" s="450" t="s">
        <v>17835</v>
      </c>
      <c r="B11250" s="450"/>
      <c r="C11250" s="450" t="s">
        <v>5161</v>
      </c>
      <c r="D11250" s="450"/>
      <c r="E11250" s="450"/>
      <c r="F11250" s="450"/>
      <c r="G11250" s="450" t="s">
        <v>22877</v>
      </c>
      <c r="H11250" s="450" t="s">
        <v>22878</v>
      </c>
      <c r="I11250" s="450" t="s">
        <v>38908</v>
      </c>
      <c r="J11250" s="450" t="s">
        <v>23133</v>
      </c>
      <c r="K11250" s="450"/>
    </row>
    <row r="11251" spans="1:11">
      <c r="A11251" s="451" t="s">
        <v>17836</v>
      </c>
      <c r="B11251" s="451"/>
      <c r="C11251" s="451" t="s">
        <v>4335</v>
      </c>
      <c r="D11251" s="451"/>
      <c r="E11251" s="451"/>
      <c r="F11251" s="451"/>
      <c r="G11251" s="451"/>
      <c r="H11251" s="451"/>
      <c r="I11251" s="451"/>
      <c r="J11251" s="451"/>
      <c r="K11251" s="451"/>
    </row>
    <row r="11252" spans="1:11">
      <c r="A11252" s="450" t="s">
        <v>17837</v>
      </c>
      <c r="B11252" s="450"/>
      <c r="C11252" s="450" t="s">
        <v>17838</v>
      </c>
      <c r="D11252" s="450"/>
      <c r="E11252" s="450"/>
      <c r="F11252" s="450"/>
      <c r="G11252" s="450" t="s">
        <v>23776</v>
      </c>
      <c r="H11252" s="450" t="s">
        <v>22878</v>
      </c>
      <c r="I11252" s="450"/>
      <c r="J11252" s="450"/>
      <c r="K11252" s="450"/>
    </row>
    <row r="11253" spans="1:11">
      <c r="A11253" s="451" t="s">
        <v>38909</v>
      </c>
      <c r="B11253" s="451"/>
      <c r="C11253" s="451" t="s">
        <v>4335</v>
      </c>
      <c r="D11253" s="451"/>
      <c r="E11253" s="451"/>
      <c r="F11253" s="451"/>
      <c r="G11253" s="451" t="s">
        <v>22877</v>
      </c>
      <c r="H11253" s="451" t="s">
        <v>22878</v>
      </c>
      <c r="I11253" s="451" t="s">
        <v>38910</v>
      </c>
      <c r="J11253" s="451" t="s">
        <v>23370</v>
      </c>
      <c r="K11253" s="451"/>
    </row>
    <row r="11254" spans="1:11">
      <c r="A11254" s="450" t="s">
        <v>17839</v>
      </c>
      <c r="B11254" s="450"/>
      <c r="C11254" s="450" t="s">
        <v>17840</v>
      </c>
      <c r="D11254" s="450"/>
      <c r="E11254" s="450"/>
      <c r="F11254" s="450"/>
      <c r="G11254" s="450" t="s">
        <v>22877</v>
      </c>
      <c r="H11254" s="450" t="s">
        <v>22878</v>
      </c>
      <c r="I11254" s="450" t="s">
        <v>38911</v>
      </c>
      <c r="J11254" s="450" t="s">
        <v>22942</v>
      </c>
      <c r="K11254" s="450"/>
    </row>
    <row r="11255" spans="1:11">
      <c r="A11255" s="451" t="s">
        <v>38912</v>
      </c>
      <c r="B11255" s="451"/>
      <c r="C11255" s="451" t="s">
        <v>17842</v>
      </c>
      <c r="D11255" s="451"/>
      <c r="E11255" s="451"/>
      <c r="F11255" s="451"/>
      <c r="G11255" s="451" t="s">
        <v>22877</v>
      </c>
      <c r="H11255" s="451" t="s">
        <v>22878</v>
      </c>
      <c r="I11255" s="451" t="s">
        <v>38913</v>
      </c>
      <c r="J11255" s="451" t="s">
        <v>22997</v>
      </c>
      <c r="K11255" s="451"/>
    </row>
    <row r="11256" spans="1:11">
      <c r="A11256" s="450" t="s">
        <v>17841</v>
      </c>
      <c r="B11256" s="450"/>
      <c r="C11256" s="450" t="s">
        <v>17842</v>
      </c>
      <c r="D11256" s="450"/>
      <c r="E11256" s="450"/>
      <c r="F11256" s="450"/>
      <c r="G11256" s="450"/>
      <c r="H11256" s="450"/>
      <c r="I11256" s="450"/>
      <c r="J11256" s="450"/>
      <c r="K11256" s="450"/>
    </row>
    <row r="11257" spans="1:11">
      <c r="A11257" s="451" t="s">
        <v>38914</v>
      </c>
      <c r="B11257" s="451"/>
      <c r="C11257" s="451" t="s">
        <v>4710</v>
      </c>
      <c r="D11257" s="451"/>
      <c r="E11257" s="451"/>
      <c r="F11257" s="451"/>
      <c r="G11257" s="451" t="s">
        <v>22882</v>
      </c>
      <c r="H11257" s="451" t="s">
        <v>22883</v>
      </c>
      <c r="I11257" s="451"/>
      <c r="J11257" s="451" t="s">
        <v>22942</v>
      </c>
      <c r="K11257" s="451"/>
    </row>
    <row r="11258" spans="1:11">
      <c r="A11258" s="450" t="s">
        <v>17843</v>
      </c>
      <c r="B11258" s="450"/>
      <c r="C11258" s="450" t="s">
        <v>4710</v>
      </c>
      <c r="D11258" s="450"/>
      <c r="E11258" s="450"/>
      <c r="F11258" s="450"/>
      <c r="G11258" s="450"/>
      <c r="H11258" s="450"/>
      <c r="I11258" s="450"/>
      <c r="J11258" s="450"/>
      <c r="K11258" s="450"/>
    </row>
    <row r="11259" spans="1:11">
      <c r="A11259" s="451" t="s">
        <v>29460</v>
      </c>
      <c r="B11259" s="451"/>
      <c r="C11259" s="451" t="s">
        <v>11639</v>
      </c>
      <c r="D11259" s="451"/>
      <c r="E11259" s="451"/>
      <c r="F11259" s="451"/>
      <c r="G11259" s="451" t="s">
        <v>22882</v>
      </c>
      <c r="H11259" s="451" t="s">
        <v>22883</v>
      </c>
      <c r="I11259" s="451" t="s">
        <v>29461</v>
      </c>
      <c r="J11259" s="451" t="s">
        <v>28403</v>
      </c>
      <c r="K11259" s="451"/>
    </row>
    <row r="11260" spans="1:11">
      <c r="A11260" s="450" t="s">
        <v>17844</v>
      </c>
      <c r="B11260" s="450" t="s">
        <v>29462</v>
      </c>
      <c r="C11260" s="450" t="s">
        <v>7780</v>
      </c>
      <c r="D11260" s="450" t="s">
        <v>17846</v>
      </c>
      <c r="E11260" s="450"/>
      <c r="F11260" s="450"/>
      <c r="G11260" s="450" t="s">
        <v>22882</v>
      </c>
      <c r="H11260" s="450" t="s">
        <v>22883</v>
      </c>
      <c r="I11260" s="450" t="s">
        <v>29463</v>
      </c>
      <c r="J11260" s="450" t="s">
        <v>29464</v>
      </c>
      <c r="K11260" s="450"/>
    </row>
    <row r="11261" spans="1:11">
      <c r="A11261" s="451" t="s">
        <v>17844</v>
      </c>
      <c r="B11261" s="451" t="s">
        <v>17845</v>
      </c>
      <c r="C11261" s="451" t="s">
        <v>7780</v>
      </c>
      <c r="D11261" s="451" t="s">
        <v>17846</v>
      </c>
      <c r="E11261" s="451" t="s">
        <v>17847</v>
      </c>
      <c r="F11261" s="451"/>
      <c r="G11261" s="451"/>
      <c r="H11261" s="451"/>
      <c r="I11261" s="451"/>
      <c r="J11261" s="451"/>
      <c r="K11261" s="451"/>
    </row>
    <row r="11262" spans="1:11">
      <c r="A11262" s="450" t="s">
        <v>38915</v>
      </c>
      <c r="B11262" s="450"/>
      <c r="C11262" s="450" t="s">
        <v>17849</v>
      </c>
      <c r="D11262" s="450"/>
      <c r="E11262" s="450"/>
      <c r="F11262" s="450"/>
      <c r="G11262" s="450" t="s">
        <v>22877</v>
      </c>
      <c r="H11262" s="450" t="s">
        <v>22878</v>
      </c>
      <c r="I11262" s="450" t="s">
        <v>38916</v>
      </c>
      <c r="J11262" s="450" t="s">
        <v>28403</v>
      </c>
      <c r="K11262" s="450"/>
    </row>
    <row r="11263" spans="1:11">
      <c r="A11263" s="451" t="s">
        <v>17848</v>
      </c>
      <c r="B11263" s="451"/>
      <c r="C11263" s="451" t="s">
        <v>17849</v>
      </c>
      <c r="D11263" s="451"/>
      <c r="E11263" s="451"/>
      <c r="F11263" s="451"/>
      <c r="G11263" s="451"/>
      <c r="H11263" s="451"/>
      <c r="I11263" s="451"/>
      <c r="J11263" s="451"/>
      <c r="K11263" s="451"/>
    </row>
    <row r="11264" spans="1:11">
      <c r="A11264" s="450" t="s">
        <v>17850</v>
      </c>
      <c r="B11264" s="450"/>
      <c r="C11264" s="450" t="s">
        <v>11639</v>
      </c>
      <c r="D11264" s="450"/>
      <c r="E11264" s="450"/>
      <c r="F11264" s="450"/>
      <c r="G11264" s="450"/>
      <c r="H11264" s="450"/>
      <c r="I11264" s="450"/>
      <c r="J11264" s="450"/>
      <c r="K11264" s="450"/>
    </row>
    <row r="11265" spans="1:11">
      <c r="A11265" s="451" t="s">
        <v>17851</v>
      </c>
      <c r="B11265" s="451"/>
      <c r="C11265" s="451" t="s">
        <v>6294</v>
      </c>
      <c r="D11265" s="451"/>
      <c r="E11265" s="451"/>
      <c r="F11265" s="451"/>
      <c r="G11265" s="451" t="s">
        <v>22877</v>
      </c>
      <c r="H11265" s="451" t="s">
        <v>22878</v>
      </c>
      <c r="I11265" s="451" t="s">
        <v>29465</v>
      </c>
      <c r="J11265" s="451" t="s">
        <v>23185</v>
      </c>
      <c r="K11265" s="451"/>
    </row>
    <row r="11266" spans="1:11">
      <c r="A11266" s="450" t="s">
        <v>20287</v>
      </c>
      <c r="B11266" s="450" t="s">
        <v>29466</v>
      </c>
      <c r="C11266" s="450" t="s">
        <v>29467</v>
      </c>
      <c r="D11266" s="450" t="s">
        <v>20290</v>
      </c>
      <c r="E11266" s="450"/>
      <c r="F11266" s="450"/>
      <c r="G11266" s="450" t="s">
        <v>22877</v>
      </c>
      <c r="H11266" s="450" t="s">
        <v>22878</v>
      </c>
      <c r="I11266" s="450" t="s">
        <v>20290</v>
      </c>
      <c r="J11266" s="450" t="s">
        <v>29468</v>
      </c>
      <c r="K11266" s="450"/>
    </row>
    <row r="11267" spans="1:11">
      <c r="A11267" s="451" t="s">
        <v>20287</v>
      </c>
      <c r="B11267" s="451" t="s">
        <v>20288</v>
      </c>
      <c r="C11267" s="451" t="s">
        <v>20289</v>
      </c>
      <c r="D11267" s="451" t="s">
        <v>20290</v>
      </c>
      <c r="E11267" s="451"/>
      <c r="F11267" s="451" t="s">
        <v>20291</v>
      </c>
      <c r="G11267" s="451"/>
      <c r="H11267" s="451"/>
      <c r="I11267" s="451"/>
      <c r="J11267" s="451"/>
      <c r="K11267" s="451"/>
    </row>
    <row r="11268" spans="1:11">
      <c r="A11268" s="450" t="s">
        <v>17852</v>
      </c>
      <c r="B11268" s="450"/>
      <c r="C11268" s="450" t="s">
        <v>17853</v>
      </c>
      <c r="D11268" s="450"/>
      <c r="E11268" s="450"/>
      <c r="F11268" s="450"/>
      <c r="G11268" s="450" t="s">
        <v>22882</v>
      </c>
      <c r="H11268" s="450" t="s">
        <v>22883</v>
      </c>
      <c r="I11268" s="450" t="s">
        <v>29469</v>
      </c>
      <c r="J11268" s="450" t="s">
        <v>22997</v>
      </c>
      <c r="K11268" s="450"/>
    </row>
    <row r="11269" spans="1:11">
      <c r="A11269" s="451" t="s">
        <v>20344</v>
      </c>
      <c r="B11269" s="451" t="s">
        <v>21166</v>
      </c>
      <c r="C11269" s="451" t="s">
        <v>38917</v>
      </c>
      <c r="D11269" s="451" t="s">
        <v>38918</v>
      </c>
      <c r="E11269" s="451"/>
      <c r="F11269" s="451"/>
      <c r="G11269" s="451" t="s">
        <v>22877</v>
      </c>
      <c r="H11269" s="451" t="s">
        <v>22878</v>
      </c>
      <c r="I11269" s="451" t="s">
        <v>38919</v>
      </c>
      <c r="J11269" s="451" t="s">
        <v>38920</v>
      </c>
      <c r="K11269" s="451"/>
    </row>
    <row r="11270" spans="1:11">
      <c r="A11270" s="450" t="s">
        <v>20344</v>
      </c>
      <c r="B11270" s="450" t="s">
        <v>21166</v>
      </c>
      <c r="C11270" s="450" t="s">
        <v>21165</v>
      </c>
      <c r="D11270" s="450" t="s">
        <v>21167</v>
      </c>
      <c r="E11270" s="450"/>
      <c r="F11270" s="450"/>
      <c r="G11270" s="450"/>
      <c r="H11270" s="450"/>
      <c r="I11270" s="450"/>
      <c r="J11270" s="450"/>
      <c r="K11270" s="450"/>
    </row>
    <row r="11271" spans="1:11">
      <c r="A11271" s="451" t="s">
        <v>17854</v>
      </c>
      <c r="B11271" s="451" t="s">
        <v>29470</v>
      </c>
      <c r="C11271" s="451" t="s">
        <v>29471</v>
      </c>
      <c r="D11271" s="451"/>
      <c r="E11271" s="451"/>
      <c r="F11271" s="451" t="s">
        <v>17857</v>
      </c>
      <c r="G11271" s="451" t="s">
        <v>22877</v>
      </c>
      <c r="H11271" s="451" t="s">
        <v>22878</v>
      </c>
      <c r="I11271" s="451" t="s">
        <v>29472</v>
      </c>
      <c r="J11271" s="451" t="s">
        <v>29473</v>
      </c>
      <c r="K11271" s="451"/>
    </row>
    <row r="11272" spans="1:11">
      <c r="A11272" s="450" t="s">
        <v>17854</v>
      </c>
      <c r="B11272" s="450" t="s">
        <v>17855</v>
      </c>
      <c r="C11272" s="450" t="s">
        <v>17856</v>
      </c>
      <c r="D11272" s="450"/>
      <c r="E11272" s="450"/>
      <c r="F11272" s="450" t="s">
        <v>17857</v>
      </c>
      <c r="G11272" s="450"/>
      <c r="H11272" s="450"/>
      <c r="I11272" s="450"/>
      <c r="J11272" s="450"/>
      <c r="K11272" s="450"/>
    </row>
    <row r="11273" spans="1:11">
      <c r="A11273" s="451" t="s">
        <v>17858</v>
      </c>
      <c r="B11273" s="451"/>
      <c r="C11273" s="451" t="s">
        <v>17859</v>
      </c>
      <c r="D11273" s="451"/>
      <c r="E11273" s="451"/>
      <c r="F11273" s="451"/>
      <c r="G11273" s="451" t="s">
        <v>22882</v>
      </c>
      <c r="H11273" s="451" t="s">
        <v>22883</v>
      </c>
      <c r="I11273" s="451" t="s">
        <v>38921</v>
      </c>
      <c r="J11273" s="451" t="s">
        <v>23185</v>
      </c>
      <c r="K11273" s="451"/>
    </row>
    <row r="11274" spans="1:11">
      <c r="A11274" s="450" t="s">
        <v>17860</v>
      </c>
      <c r="B11274" s="450"/>
      <c r="C11274" s="450" t="s">
        <v>10861</v>
      </c>
      <c r="D11274" s="450"/>
      <c r="E11274" s="450"/>
      <c r="F11274" s="450"/>
      <c r="G11274" s="450" t="s">
        <v>22882</v>
      </c>
      <c r="H11274" s="450" t="s">
        <v>22883</v>
      </c>
      <c r="I11274" s="450"/>
      <c r="J11274" s="450" t="s">
        <v>23185</v>
      </c>
      <c r="K11274" s="450"/>
    </row>
    <row r="11275" spans="1:11">
      <c r="A11275" s="451" t="s">
        <v>38922</v>
      </c>
      <c r="B11275" s="451"/>
      <c r="C11275" s="451" t="s">
        <v>17862</v>
      </c>
      <c r="D11275" s="451"/>
      <c r="E11275" s="451"/>
      <c r="F11275" s="451"/>
      <c r="G11275" s="451" t="s">
        <v>22877</v>
      </c>
      <c r="H11275" s="451" t="s">
        <v>22878</v>
      </c>
      <c r="I11275" s="451" t="s">
        <v>38923</v>
      </c>
      <c r="J11275" s="451" t="s">
        <v>22997</v>
      </c>
      <c r="K11275" s="451"/>
    </row>
    <row r="11276" spans="1:11">
      <c r="A11276" s="450" t="s">
        <v>17861</v>
      </c>
      <c r="B11276" s="450"/>
      <c r="C11276" s="450" t="s">
        <v>17862</v>
      </c>
      <c r="D11276" s="450"/>
      <c r="E11276" s="450"/>
      <c r="F11276" s="450"/>
      <c r="G11276" s="450"/>
      <c r="H11276" s="450"/>
      <c r="I11276" s="450"/>
      <c r="J11276" s="450"/>
      <c r="K11276" s="450"/>
    </row>
    <row r="11277" spans="1:11">
      <c r="A11277" s="451" t="s">
        <v>17863</v>
      </c>
      <c r="B11277" s="451"/>
      <c r="C11277" s="451" t="s">
        <v>17864</v>
      </c>
      <c r="D11277" s="451"/>
      <c r="E11277" s="451"/>
      <c r="F11277" s="451"/>
      <c r="G11277" s="451"/>
      <c r="H11277" s="451"/>
      <c r="I11277" s="451"/>
      <c r="J11277" s="451"/>
      <c r="K11277" s="451"/>
    </row>
    <row r="11278" spans="1:11">
      <c r="A11278" s="450" t="s">
        <v>38924</v>
      </c>
      <c r="B11278" s="450"/>
      <c r="C11278" s="450" t="s">
        <v>17864</v>
      </c>
      <c r="D11278" s="450"/>
      <c r="E11278" s="450"/>
      <c r="F11278" s="450"/>
      <c r="G11278" s="450" t="s">
        <v>22882</v>
      </c>
      <c r="H11278" s="450" t="s">
        <v>22883</v>
      </c>
      <c r="I11278" s="450" t="s">
        <v>38925</v>
      </c>
      <c r="J11278" s="450" t="s">
        <v>22942</v>
      </c>
      <c r="K11278" s="450"/>
    </row>
    <row r="11279" spans="1:11">
      <c r="A11279" s="451" t="s">
        <v>38926</v>
      </c>
      <c r="B11279" s="451"/>
      <c r="C11279" s="451" t="s">
        <v>38927</v>
      </c>
      <c r="D11279" s="451"/>
      <c r="E11279" s="451"/>
      <c r="F11279" s="451"/>
      <c r="G11279" s="451" t="s">
        <v>22882</v>
      </c>
      <c r="H11279" s="451" t="s">
        <v>22883</v>
      </c>
      <c r="I11279" s="451" t="s">
        <v>38928</v>
      </c>
      <c r="J11279" s="451" t="s">
        <v>22942</v>
      </c>
      <c r="K11279" s="451"/>
    </row>
    <row r="11280" spans="1:11">
      <c r="A11280" s="450" t="s">
        <v>17865</v>
      </c>
      <c r="B11280" s="450"/>
      <c r="C11280" s="450" t="s">
        <v>17866</v>
      </c>
      <c r="D11280" s="450"/>
      <c r="E11280" s="450"/>
      <c r="F11280" s="450"/>
      <c r="G11280" s="450" t="s">
        <v>22882</v>
      </c>
      <c r="H11280" s="450" t="s">
        <v>22883</v>
      </c>
      <c r="I11280" s="450"/>
      <c r="J11280" s="450" t="s">
        <v>23185</v>
      </c>
      <c r="K11280" s="450"/>
    </row>
    <row r="11281" spans="1:11">
      <c r="A11281" s="451" t="s">
        <v>17867</v>
      </c>
      <c r="B11281" s="451"/>
      <c r="C11281" s="451" t="s">
        <v>17868</v>
      </c>
      <c r="D11281" s="451"/>
      <c r="E11281" s="451"/>
      <c r="F11281" s="451"/>
      <c r="G11281" s="451" t="s">
        <v>22877</v>
      </c>
      <c r="H11281" s="451" t="s">
        <v>22878</v>
      </c>
      <c r="I11281" s="451" t="s">
        <v>38929</v>
      </c>
      <c r="J11281" s="451" t="s">
        <v>23185</v>
      </c>
      <c r="K11281" s="451"/>
    </row>
    <row r="11282" spans="1:11">
      <c r="A11282" s="450" t="s">
        <v>38930</v>
      </c>
      <c r="B11282" s="450"/>
      <c r="C11282" s="450" t="s">
        <v>17869</v>
      </c>
      <c r="D11282" s="450"/>
      <c r="E11282" s="450"/>
      <c r="F11282" s="450"/>
      <c r="G11282" s="450" t="s">
        <v>22877</v>
      </c>
      <c r="H11282" s="450" t="s">
        <v>22878</v>
      </c>
      <c r="I11282" s="450" t="s">
        <v>38931</v>
      </c>
      <c r="J11282" s="450" t="s">
        <v>22942</v>
      </c>
      <c r="K11282" s="450"/>
    </row>
    <row r="11283" spans="1:11">
      <c r="A11283" s="451" t="s">
        <v>22001</v>
      </c>
      <c r="B11283" s="451"/>
      <c r="C11283" s="451" t="s">
        <v>17869</v>
      </c>
      <c r="D11283" s="451"/>
      <c r="E11283" s="451"/>
      <c r="F11283" s="451"/>
      <c r="G11283" s="451"/>
      <c r="H11283" s="451"/>
      <c r="I11283" s="451"/>
      <c r="J11283" s="451"/>
      <c r="K11283" s="451"/>
    </row>
    <row r="11284" spans="1:11">
      <c r="A11284" s="450" t="s">
        <v>17870</v>
      </c>
      <c r="B11284" s="450"/>
      <c r="C11284" s="450" t="s">
        <v>17871</v>
      </c>
      <c r="D11284" s="450"/>
      <c r="E11284" s="450"/>
      <c r="F11284" s="450"/>
      <c r="G11284" s="450" t="s">
        <v>22877</v>
      </c>
      <c r="H11284" s="450" t="s">
        <v>22878</v>
      </c>
      <c r="I11284" s="450" t="s">
        <v>29474</v>
      </c>
      <c r="J11284" s="450" t="s">
        <v>22939</v>
      </c>
      <c r="K11284" s="450"/>
    </row>
    <row r="11285" spans="1:11">
      <c r="A11285" s="451" t="s">
        <v>38932</v>
      </c>
      <c r="B11285" s="451" t="s">
        <v>17872</v>
      </c>
      <c r="C11285" s="451" t="s">
        <v>17873</v>
      </c>
      <c r="D11285" s="451" t="s">
        <v>17874</v>
      </c>
      <c r="E11285" s="451"/>
      <c r="F11285" s="451"/>
      <c r="G11285" s="451" t="s">
        <v>22877</v>
      </c>
      <c r="H11285" s="451" t="s">
        <v>22878</v>
      </c>
      <c r="I11285" s="451" t="s">
        <v>23680</v>
      </c>
      <c r="J11285" s="451" t="s">
        <v>38933</v>
      </c>
      <c r="K11285" s="451"/>
    </row>
    <row r="11286" spans="1:11">
      <c r="A11286" s="450" t="s">
        <v>22002</v>
      </c>
      <c r="B11286" s="450" t="s">
        <v>17872</v>
      </c>
      <c r="C11286" s="450" t="s">
        <v>17873</v>
      </c>
      <c r="D11286" s="450" t="s">
        <v>17874</v>
      </c>
      <c r="E11286" s="450" t="s">
        <v>17875</v>
      </c>
      <c r="F11286" s="450"/>
      <c r="G11286" s="450"/>
      <c r="H11286" s="450"/>
      <c r="I11286" s="450"/>
      <c r="J11286" s="450"/>
      <c r="K11286" s="450"/>
    </row>
    <row r="11287" spans="1:11">
      <c r="A11287" s="451" t="s">
        <v>22003</v>
      </c>
      <c r="B11287" s="451"/>
      <c r="C11287" s="451" t="s">
        <v>6026</v>
      </c>
      <c r="D11287" s="451"/>
      <c r="E11287" s="451"/>
      <c r="F11287" s="451"/>
      <c r="G11287" s="451" t="s">
        <v>22877</v>
      </c>
      <c r="H11287" s="451" t="s">
        <v>22878</v>
      </c>
      <c r="I11287" s="451" t="s">
        <v>38934</v>
      </c>
      <c r="J11287" s="451" t="s">
        <v>22939</v>
      </c>
      <c r="K11287" s="451"/>
    </row>
    <row r="11288" spans="1:11">
      <c r="A11288" s="450" t="s">
        <v>22000</v>
      </c>
      <c r="B11288" s="450"/>
      <c r="C11288" s="450" t="s">
        <v>2604</v>
      </c>
      <c r="D11288" s="450"/>
      <c r="E11288" s="450"/>
      <c r="F11288" s="450"/>
      <c r="G11288" s="450" t="s">
        <v>22877</v>
      </c>
      <c r="H11288" s="450" t="s">
        <v>22878</v>
      </c>
      <c r="I11288" s="450" t="s">
        <v>38935</v>
      </c>
      <c r="J11288" s="450" t="s">
        <v>38936</v>
      </c>
      <c r="K11288" s="450"/>
    </row>
    <row r="11289" spans="1:11">
      <c r="A11289" s="451" t="s">
        <v>38937</v>
      </c>
      <c r="B11289" s="451"/>
      <c r="C11289" s="451" t="s">
        <v>9919</v>
      </c>
      <c r="D11289" s="451"/>
      <c r="E11289" s="451"/>
      <c r="F11289" s="451"/>
      <c r="G11289" s="451" t="s">
        <v>22877</v>
      </c>
      <c r="H11289" s="451" t="s">
        <v>22878</v>
      </c>
      <c r="I11289" s="451" t="s">
        <v>38938</v>
      </c>
      <c r="J11289" s="451" t="s">
        <v>23185</v>
      </c>
      <c r="K11289" s="451"/>
    </row>
    <row r="11290" spans="1:11">
      <c r="A11290" s="450" t="s">
        <v>17876</v>
      </c>
      <c r="B11290" s="450"/>
      <c r="C11290" s="450" t="s">
        <v>9919</v>
      </c>
      <c r="D11290" s="450"/>
      <c r="E11290" s="450"/>
      <c r="F11290" s="450"/>
      <c r="G11290" s="450"/>
      <c r="H11290" s="450"/>
      <c r="I11290" s="450"/>
      <c r="J11290" s="450"/>
      <c r="K11290" s="450"/>
    </row>
    <row r="11291" spans="1:11">
      <c r="A11291" s="451" t="s">
        <v>17877</v>
      </c>
      <c r="B11291" s="451"/>
      <c r="C11291" s="451" t="s">
        <v>5718</v>
      </c>
      <c r="D11291" s="451"/>
      <c r="E11291" s="451"/>
      <c r="F11291" s="451"/>
      <c r="G11291" s="451" t="s">
        <v>22882</v>
      </c>
      <c r="H11291" s="451" t="s">
        <v>22883</v>
      </c>
      <c r="I11291" s="451" t="s">
        <v>29475</v>
      </c>
      <c r="J11291" s="451" t="s">
        <v>23185</v>
      </c>
      <c r="K11291" s="451"/>
    </row>
    <row r="11292" spans="1:11">
      <c r="A11292" s="450" t="s">
        <v>29476</v>
      </c>
      <c r="B11292" s="450" t="s">
        <v>29477</v>
      </c>
      <c r="C11292" s="450" t="s">
        <v>26681</v>
      </c>
      <c r="D11292" s="450" t="s">
        <v>29478</v>
      </c>
      <c r="E11292" s="450"/>
      <c r="F11292" s="450"/>
      <c r="G11292" s="450" t="s">
        <v>22877</v>
      </c>
      <c r="H11292" s="450" t="s">
        <v>22878</v>
      </c>
      <c r="I11292" s="450" t="s">
        <v>29478</v>
      </c>
      <c r="J11292" s="450" t="s">
        <v>29479</v>
      </c>
      <c r="K11292" s="450"/>
    </row>
    <row r="11293" spans="1:11">
      <c r="A11293" s="451" t="s">
        <v>17878</v>
      </c>
      <c r="B11293" s="451"/>
      <c r="C11293" s="451" t="s">
        <v>17879</v>
      </c>
      <c r="D11293" s="451"/>
      <c r="E11293" s="451"/>
      <c r="F11293" s="451"/>
      <c r="G11293" s="451" t="s">
        <v>22877</v>
      </c>
      <c r="H11293" s="451" t="s">
        <v>22878</v>
      </c>
      <c r="I11293" s="451" t="s">
        <v>29480</v>
      </c>
      <c r="J11293" s="451" t="s">
        <v>23185</v>
      </c>
      <c r="K11293" s="451"/>
    </row>
    <row r="11294" spans="1:11" ht="14.5">
      <c r="A11294" s="450" t="s">
        <v>38939</v>
      </c>
      <c r="B11294" s="450" t="s">
        <v>17881</v>
      </c>
      <c r="C11294" s="450" t="s">
        <v>17882</v>
      </c>
      <c r="D11294" s="450" t="s">
        <v>17883</v>
      </c>
      <c r="E11294" s="450"/>
      <c r="F11294" s="454" t="s">
        <v>38940</v>
      </c>
      <c r="G11294" s="450" t="s">
        <v>22882</v>
      </c>
      <c r="H11294" s="450" t="s">
        <v>22883</v>
      </c>
      <c r="I11294" s="450" t="s">
        <v>17883</v>
      </c>
      <c r="J11294" s="450" t="s">
        <v>38941</v>
      </c>
      <c r="K11294" s="450"/>
    </row>
    <row r="11295" spans="1:11" ht="14.5">
      <c r="A11295" s="451" t="s">
        <v>17880</v>
      </c>
      <c r="B11295" s="451" t="s">
        <v>17881</v>
      </c>
      <c r="C11295" s="451" t="s">
        <v>17882</v>
      </c>
      <c r="D11295" s="451" t="s">
        <v>17883</v>
      </c>
      <c r="E11295" s="451" t="s">
        <v>17883</v>
      </c>
      <c r="F11295" s="458" t="s">
        <v>17884</v>
      </c>
      <c r="G11295" s="451"/>
      <c r="H11295" s="451"/>
      <c r="I11295" s="451"/>
      <c r="J11295" s="451"/>
      <c r="K11295" s="451"/>
    </row>
    <row r="11296" spans="1:11">
      <c r="A11296" s="450" t="s">
        <v>38942</v>
      </c>
      <c r="B11296" s="450" t="s">
        <v>17886</v>
      </c>
      <c r="C11296" s="450" t="s">
        <v>17887</v>
      </c>
      <c r="D11296" s="450" t="s">
        <v>17888</v>
      </c>
      <c r="E11296" s="450"/>
      <c r="F11296" s="450"/>
      <c r="G11296" s="450" t="s">
        <v>22877</v>
      </c>
      <c r="H11296" s="450" t="s">
        <v>22878</v>
      </c>
      <c r="I11296" s="450" t="s">
        <v>17888</v>
      </c>
      <c r="J11296" s="450" t="s">
        <v>38943</v>
      </c>
      <c r="K11296" s="450"/>
    </row>
    <row r="11297" spans="1:11">
      <c r="A11297" s="451" t="s">
        <v>17885</v>
      </c>
      <c r="B11297" s="451" t="s">
        <v>17886</v>
      </c>
      <c r="C11297" s="451" t="s">
        <v>17887</v>
      </c>
      <c r="D11297" s="451" t="s">
        <v>17888</v>
      </c>
      <c r="E11297" s="451"/>
      <c r="F11297" s="451"/>
      <c r="G11297" s="451"/>
      <c r="H11297" s="451"/>
      <c r="I11297" s="451"/>
      <c r="J11297" s="451"/>
      <c r="K11297" s="451"/>
    </row>
    <row r="11298" spans="1:11">
      <c r="A11298" s="450" t="s">
        <v>17889</v>
      </c>
      <c r="B11298" s="450"/>
      <c r="C11298" s="450" t="s">
        <v>17890</v>
      </c>
      <c r="D11298" s="450"/>
      <c r="E11298" s="450"/>
      <c r="F11298" s="450"/>
      <c r="G11298" s="450" t="s">
        <v>22877</v>
      </c>
      <c r="H11298" s="450" t="s">
        <v>22878</v>
      </c>
      <c r="I11298" s="450" t="s">
        <v>38944</v>
      </c>
      <c r="J11298" s="450" t="s">
        <v>22902</v>
      </c>
      <c r="K11298" s="450"/>
    </row>
    <row r="11299" spans="1:11">
      <c r="A11299" s="451" t="s">
        <v>17891</v>
      </c>
      <c r="B11299" s="451"/>
      <c r="C11299" s="451" t="s">
        <v>6141</v>
      </c>
      <c r="D11299" s="451"/>
      <c r="E11299" s="451"/>
      <c r="F11299" s="451"/>
      <c r="G11299" s="451" t="s">
        <v>22877</v>
      </c>
      <c r="H11299" s="451" t="s">
        <v>22878</v>
      </c>
      <c r="I11299" s="451" t="s">
        <v>38945</v>
      </c>
      <c r="J11299" s="451" t="s">
        <v>23185</v>
      </c>
      <c r="K11299" s="451"/>
    </row>
    <row r="11300" spans="1:11">
      <c r="A11300" s="450" t="s">
        <v>17892</v>
      </c>
      <c r="B11300" s="450"/>
      <c r="C11300" s="450" t="s">
        <v>17893</v>
      </c>
      <c r="D11300" s="450"/>
      <c r="E11300" s="450"/>
      <c r="F11300" s="450"/>
      <c r="G11300" s="450" t="s">
        <v>22877</v>
      </c>
      <c r="H11300" s="450" t="s">
        <v>22878</v>
      </c>
      <c r="I11300" s="450" t="s">
        <v>38946</v>
      </c>
      <c r="J11300" s="450" t="s">
        <v>23185</v>
      </c>
      <c r="K11300" s="450"/>
    </row>
    <row r="11301" spans="1:11">
      <c r="A11301" s="451" t="s">
        <v>22004</v>
      </c>
      <c r="B11301" s="451"/>
      <c r="C11301" s="451" t="s">
        <v>3894</v>
      </c>
      <c r="D11301" s="451"/>
      <c r="E11301" s="451"/>
      <c r="F11301" s="451"/>
      <c r="G11301" s="451" t="s">
        <v>22882</v>
      </c>
      <c r="H11301" s="451" t="s">
        <v>22883</v>
      </c>
      <c r="I11301" s="451"/>
      <c r="J11301" s="451" t="s">
        <v>23185</v>
      </c>
      <c r="K11301" s="451"/>
    </row>
    <row r="11302" spans="1:11">
      <c r="A11302" s="450" t="s">
        <v>17894</v>
      </c>
      <c r="B11302" s="450"/>
      <c r="C11302" s="450" t="s">
        <v>4437</v>
      </c>
      <c r="D11302" s="450"/>
      <c r="E11302" s="450"/>
      <c r="F11302" s="450"/>
      <c r="G11302" s="450" t="s">
        <v>22882</v>
      </c>
      <c r="H11302" s="450" t="s">
        <v>22883</v>
      </c>
      <c r="I11302" s="450" t="s">
        <v>38947</v>
      </c>
      <c r="J11302" s="450" t="s">
        <v>23185</v>
      </c>
      <c r="K11302" s="450"/>
    </row>
    <row r="11303" spans="1:11">
      <c r="A11303" s="451" t="s">
        <v>17895</v>
      </c>
      <c r="B11303" s="451"/>
      <c r="C11303" s="451" t="s">
        <v>2702</v>
      </c>
      <c r="D11303" s="451"/>
      <c r="E11303" s="451"/>
      <c r="F11303" s="451"/>
      <c r="G11303" s="451"/>
      <c r="H11303" s="451"/>
      <c r="I11303" s="451"/>
      <c r="J11303" s="451"/>
      <c r="K11303" s="451"/>
    </row>
    <row r="11304" spans="1:11">
      <c r="A11304" s="450" t="s">
        <v>38948</v>
      </c>
      <c r="B11304" s="450"/>
      <c r="C11304" s="450" t="s">
        <v>2702</v>
      </c>
      <c r="D11304" s="450"/>
      <c r="E11304" s="450"/>
      <c r="F11304" s="450"/>
      <c r="G11304" s="450" t="s">
        <v>22882</v>
      </c>
      <c r="H11304" s="450" t="s">
        <v>22883</v>
      </c>
      <c r="I11304" s="450"/>
      <c r="J11304" s="450" t="s">
        <v>28871</v>
      </c>
      <c r="K11304" s="450"/>
    </row>
    <row r="11305" spans="1:11">
      <c r="A11305" s="451" t="s">
        <v>38949</v>
      </c>
      <c r="B11305" s="451"/>
      <c r="C11305" s="451" t="s">
        <v>9161</v>
      </c>
      <c r="D11305" s="451"/>
      <c r="E11305" s="451"/>
      <c r="F11305" s="451"/>
      <c r="G11305" s="451" t="s">
        <v>22877</v>
      </c>
      <c r="H11305" s="451" t="s">
        <v>22878</v>
      </c>
      <c r="I11305" s="451" t="s">
        <v>38950</v>
      </c>
      <c r="J11305" s="451" t="s">
        <v>28403</v>
      </c>
      <c r="K11305" s="451"/>
    </row>
    <row r="11306" spans="1:11">
      <c r="A11306" s="450" t="s">
        <v>17896</v>
      </c>
      <c r="B11306" s="450"/>
      <c r="C11306" s="450" t="s">
        <v>9161</v>
      </c>
      <c r="D11306" s="450"/>
      <c r="E11306" s="450"/>
      <c r="F11306" s="450"/>
      <c r="G11306" s="450"/>
      <c r="H11306" s="450"/>
      <c r="I11306" s="450"/>
      <c r="J11306" s="450"/>
      <c r="K11306" s="450"/>
    </row>
    <row r="11307" spans="1:11">
      <c r="A11307" s="451" t="s">
        <v>17897</v>
      </c>
      <c r="B11307" s="451"/>
      <c r="C11307" s="451" t="s">
        <v>4290</v>
      </c>
      <c r="D11307" s="451"/>
      <c r="E11307" s="451"/>
      <c r="F11307" s="451"/>
      <c r="G11307" s="451" t="s">
        <v>22877</v>
      </c>
      <c r="H11307" s="451" t="s">
        <v>22878</v>
      </c>
      <c r="I11307" s="451" t="s">
        <v>38951</v>
      </c>
      <c r="J11307" s="451" t="s">
        <v>22942</v>
      </c>
      <c r="K11307" s="451"/>
    </row>
    <row r="11308" spans="1:11">
      <c r="A11308" s="450" t="s">
        <v>17898</v>
      </c>
      <c r="B11308" s="450"/>
      <c r="C11308" s="450" t="s">
        <v>17899</v>
      </c>
      <c r="D11308" s="450"/>
      <c r="E11308" s="450"/>
      <c r="F11308" s="450"/>
      <c r="G11308" s="450" t="s">
        <v>22882</v>
      </c>
      <c r="H11308" s="450" t="s">
        <v>22883</v>
      </c>
      <c r="I11308" s="450"/>
      <c r="J11308" s="450" t="s">
        <v>23185</v>
      </c>
      <c r="K11308" s="450"/>
    </row>
    <row r="11309" spans="1:11">
      <c r="A11309" s="451" t="s">
        <v>17900</v>
      </c>
      <c r="B11309" s="451"/>
      <c r="C11309" s="451" t="s">
        <v>17901</v>
      </c>
      <c r="D11309" s="451"/>
      <c r="E11309" s="451"/>
      <c r="F11309" s="451"/>
      <c r="G11309" s="451" t="s">
        <v>22877</v>
      </c>
      <c r="H11309" s="451" t="s">
        <v>22878</v>
      </c>
      <c r="I11309" s="451" t="s">
        <v>29481</v>
      </c>
      <c r="J11309" s="451" t="s">
        <v>29482</v>
      </c>
      <c r="K11309" s="451"/>
    </row>
    <row r="11310" spans="1:11">
      <c r="A11310" s="450" t="s">
        <v>38952</v>
      </c>
      <c r="B11310" s="450" t="s">
        <v>17903</v>
      </c>
      <c r="C11310" s="450" t="s">
        <v>9824</v>
      </c>
      <c r="D11310" s="450" t="s">
        <v>17904</v>
      </c>
      <c r="E11310" s="450"/>
      <c r="F11310" s="450"/>
      <c r="G11310" s="450" t="s">
        <v>22877</v>
      </c>
      <c r="H11310" s="450" t="s">
        <v>22878</v>
      </c>
      <c r="I11310" s="450" t="s">
        <v>38953</v>
      </c>
      <c r="J11310" s="450" t="s">
        <v>38954</v>
      </c>
      <c r="K11310" s="450"/>
    </row>
    <row r="11311" spans="1:11">
      <c r="A11311" s="451" t="s">
        <v>17902</v>
      </c>
      <c r="B11311" s="451" t="s">
        <v>17903</v>
      </c>
      <c r="C11311" s="451" t="s">
        <v>9824</v>
      </c>
      <c r="D11311" s="451" t="s">
        <v>17904</v>
      </c>
      <c r="E11311" s="451"/>
      <c r="F11311" s="451"/>
      <c r="G11311" s="451"/>
      <c r="H11311" s="451"/>
      <c r="I11311" s="451"/>
      <c r="J11311" s="451"/>
      <c r="K11311" s="451"/>
    </row>
    <row r="11312" spans="1:11">
      <c r="A11312" s="450" t="s">
        <v>29483</v>
      </c>
      <c r="B11312" s="450" t="s">
        <v>29484</v>
      </c>
      <c r="C11312" s="450" t="s">
        <v>29485</v>
      </c>
      <c r="D11312" s="450"/>
      <c r="E11312" s="450"/>
      <c r="F11312" s="450"/>
      <c r="G11312" s="450" t="s">
        <v>22877</v>
      </c>
      <c r="H11312" s="450" t="s">
        <v>22878</v>
      </c>
      <c r="I11312" s="450" t="s">
        <v>29486</v>
      </c>
      <c r="J11312" s="450" t="s">
        <v>29487</v>
      </c>
      <c r="K11312" s="450"/>
    </row>
    <row r="11313" spans="1:11">
      <c r="A11313" s="451" t="s">
        <v>29488</v>
      </c>
      <c r="B11313" s="451" t="s">
        <v>29489</v>
      </c>
      <c r="C11313" s="451" t="s">
        <v>29490</v>
      </c>
      <c r="D11313" s="451"/>
      <c r="E11313" s="451"/>
      <c r="F11313" s="451"/>
      <c r="G11313" s="451" t="s">
        <v>22877</v>
      </c>
      <c r="H11313" s="451" t="s">
        <v>22878</v>
      </c>
      <c r="I11313" s="451" t="s">
        <v>29491</v>
      </c>
      <c r="J11313" s="451" t="s">
        <v>29492</v>
      </c>
      <c r="K11313" s="451"/>
    </row>
    <row r="11314" spans="1:11">
      <c r="A11314" s="450" t="s">
        <v>17905</v>
      </c>
      <c r="B11314" s="450"/>
      <c r="C11314" s="450" t="s">
        <v>17906</v>
      </c>
      <c r="D11314" s="450"/>
      <c r="E11314" s="450"/>
      <c r="F11314" s="450"/>
      <c r="G11314" s="450" t="s">
        <v>22882</v>
      </c>
      <c r="H11314" s="450" t="s">
        <v>22883</v>
      </c>
      <c r="I11314" s="450"/>
      <c r="J11314" s="450" t="s">
        <v>23370</v>
      </c>
      <c r="K11314" s="450"/>
    </row>
    <row r="11315" spans="1:11">
      <c r="A11315" s="451" t="s">
        <v>38955</v>
      </c>
      <c r="B11315" s="451"/>
      <c r="C11315" s="451" t="s">
        <v>38956</v>
      </c>
      <c r="D11315" s="451"/>
      <c r="E11315" s="451"/>
      <c r="F11315" s="451"/>
      <c r="G11315" s="451" t="s">
        <v>22877</v>
      </c>
      <c r="H11315" s="451" t="s">
        <v>22878</v>
      </c>
      <c r="I11315" s="451" t="s">
        <v>38957</v>
      </c>
      <c r="J11315" s="451" t="s">
        <v>22942</v>
      </c>
      <c r="K11315" s="451"/>
    </row>
    <row r="11316" spans="1:11">
      <c r="A11316" s="450" t="s">
        <v>17907</v>
      </c>
      <c r="B11316" s="450"/>
      <c r="C11316" s="450" t="s">
        <v>17908</v>
      </c>
      <c r="D11316" s="450"/>
      <c r="E11316" s="450"/>
      <c r="F11316" s="450"/>
      <c r="G11316" s="450"/>
      <c r="H11316" s="450"/>
      <c r="I11316" s="450"/>
      <c r="J11316" s="450"/>
      <c r="K11316" s="450"/>
    </row>
    <row r="11317" spans="1:11">
      <c r="A11317" s="451" t="s">
        <v>17909</v>
      </c>
      <c r="B11317" s="451" t="s">
        <v>17910</v>
      </c>
      <c r="C11317" s="451" t="s">
        <v>17911</v>
      </c>
      <c r="D11317" s="451" t="s">
        <v>17912</v>
      </c>
      <c r="E11317" s="451"/>
      <c r="F11317" s="451"/>
      <c r="G11317" s="451" t="s">
        <v>22877</v>
      </c>
      <c r="H11317" s="451" t="s">
        <v>22878</v>
      </c>
      <c r="I11317" s="451" t="s">
        <v>29493</v>
      </c>
      <c r="J11317" s="451" t="s">
        <v>29494</v>
      </c>
      <c r="K11317" s="451"/>
    </row>
    <row r="11318" spans="1:11">
      <c r="A11318" s="450" t="s">
        <v>17913</v>
      </c>
      <c r="B11318" s="450" t="s">
        <v>17914</v>
      </c>
      <c r="C11318" s="450" t="s">
        <v>17915</v>
      </c>
      <c r="D11318" s="450"/>
      <c r="E11318" s="450"/>
      <c r="F11318" s="450" t="s">
        <v>17916</v>
      </c>
      <c r="G11318" s="450" t="s">
        <v>22877</v>
      </c>
      <c r="H11318" s="450" t="s">
        <v>22878</v>
      </c>
      <c r="I11318" s="450" t="s">
        <v>29495</v>
      </c>
      <c r="J11318" s="450" t="s">
        <v>29496</v>
      </c>
      <c r="K11318" s="450"/>
    </row>
    <row r="11319" spans="1:11">
      <c r="A11319" s="451" t="s">
        <v>21360</v>
      </c>
      <c r="B11319" s="451" t="s">
        <v>21359</v>
      </c>
      <c r="C11319" s="451" t="s">
        <v>21358</v>
      </c>
      <c r="D11319" s="451" t="s">
        <v>21357</v>
      </c>
      <c r="E11319" s="451"/>
      <c r="F11319" s="451" t="s">
        <v>21361</v>
      </c>
      <c r="G11319" s="451"/>
      <c r="H11319" s="451"/>
      <c r="I11319" s="451"/>
      <c r="J11319" s="451"/>
      <c r="K11319" s="451"/>
    </row>
    <row r="11320" spans="1:11">
      <c r="A11320" s="450" t="s">
        <v>29497</v>
      </c>
      <c r="B11320" s="450" t="s">
        <v>29498</v>
      </c>
      <c r="C11320" s="450" t="s">
        <v>21358</v>
      </c>
      <c r="D11320" s="450"/>
      <c r="E11320" s="450"/>
      <c r="F11320" s="450"/>
      <c r="G11320" s="450" t="s">
        <v>22877</v>
      </c>
      <c r="H11320" s="450" t="s">
        <v>22878</v>
      </c>
      <c r="I11320" s="450" t="s">
        <v>29499</v>
      </c>
      <c r="J11320" s="450" t="s">
        <v>29500</v>
      </c>
      <c r="K11320" s="450"/>
    </row>
    <row r="11321" spans="1:11">
      <c r="A11321" s="451" t="s">
        <v>17917</v>
      </c>
      <c r="B11321" s="451" t="s">
        <v>17918</v>
      </c>
      <c r="C11321" s="451" t="s">
        <v>17919</v>
      </c>
      <c r="D11321" s="451"/>
      <c r="E11321" s="451"/>
      <c r="F11321" s="451"/>
      <c r="G11321" s="451" t="s">
        <v>22877</v>
      </c>
      <c r="H11321" s="451" t="s">
        <v>22878</v>
      </c>
      <c r="I11321" s="451" t="s">
        <v>29289</v>
      </c>
      <c r="J11321" s="451" t="s">
        <v>29501</v>
      </c>
      <c r="K11321" s="451"/>
    </row>
    <row r="11322" spans="1:11">
      <c r="A11322" s="450" t="s">
        <v>17920</v>
      </c>
      <c r="B11322" s="450"/>
      <c r="C11322" s="450" t="s">
        <v>8460</v>
      </c>
      <c r="D11322" s="450"/>
      <c r="E11322" s="450"/>
      <c r="F11322" s="450"/>
      <c r="G11322" s="450" t="s">
        <v>22882</v>
      </c>
      <c r="H11322" s="450" t="s">
        <v>22883</v>
      </c>
      <c r="I11322" s="450" t="s">
        <v>38958</v>
      </c>
      <c r="J11322" s="450" t="s">
        <v>22942</v>
      </c>
      <c r="K11322" s="450"/>
    </row>
    <row r="11323" spans="1:11">
      <c r="A11323" s="451" t="s">
        <v>17921</v>
      </c>
      <c r="B11323" s="451"/>
      <c r="C11323" s="451" t="s">
        <v>17400</v>
      </c>
      <c r="D11323" s="451"/>
      <c r="E11323" s="451"/>
      <c r="F11323" s="451"/>
      <c r="G11323" s="451"/>
      <c r="H11323" s="451"/>
      <c r="I11323" s="451"/>
      <c r="J11323" s="451"/>
      <c r="K11323" s="451"/>
    </row>
    <row r="11324" spans="1:11">
      <c r="A11324" s="450" t="s">
        <v>38959</v>
      </c>
      <c r="B11324" s="450"/>
      <c r="C11324" s="450" t="s">
        <v>17400</v>
      </c>
      <c r="D11324" s="450"/>
      <c r="E11324" s="450"/>
      <c r="F11324" s="450"/>
      <c r="G11324" s="450" t="s">
        <v>22882</v>
      </c>
      <c r="H11324" s="450" t="s">
        <v>22883</v>
      </c>
      <c r="I11324" s="450" t="s">
        <v>38960</v>
      </c>
      <c r="J11324" s="450" t="s">
        <v>23370</v>
      </c>
      <c r="K11324" s="450"/>
    </row>
    <row r="11325" spans="1:11">
      <c r="A11325" s="451" t="s">
        <v>17922</v>
      </c>
      <c r="B11325" s="451"/>
      <c r="C11325" s="451" t="s">
        <v>17923</v>
      </c>
      <c r="D11325" s="451"/>
      <c r="E11325" s="451"/>
      <c r="F11325" s="451"/>
      <c r="G11325" s="451" t="s">
        <v>22877</v>
      </c>
      <c r="H11325" s="451" t="s">
        <v>22878</v>
      </c>
      <c r="I11325" s="451" t="s">
        <v>38961</v>
      </c>
      <c r="J11325" s="451" t="s">
        <v>22942</v>
      </c>
      <c r="K11325" s="451"/>
    </row>
    <row r="11326" spans="1:11">
      <c r="A11326" s="450" t="s">
        <v>17924</v>
      </c>
      <c r="B11326" s="450"/>
      <c r="C11326" s="450" t="s">
        <v>16573</v>
      </c>
      <c r="D11326" s="450"/>
      <c r="E11326" s="450"/>
      <c r="F11326" s="450"/>
      <c r="G11326" s="450" t="s">
        <v>22882</v>
      </c>
      <c r="H11326" s="450" t="s">
        <v>22883</v>
      </c>
      <c r="I11326" s="450"/>
      <c r="J11326" s="450" t="s">
        <v>22997</v>
      </c>
      <c r="K11326" s="450"/>
    </row>
    <row r="11327" spans="1:11">
      <c r="A11327" s="451" t="s">
        <v>17925</v>
      </c>
      <c r="B11327" s="451"/>
      <c r="C11327" s="451" t="s">
        <v>17926</v>
      </c>
      <c r="D11327" s="451"/>
      <c r="E11327" s="451"/>
      <c r="F11327" s="451"/>
      <c r="G11327" s="451" t="s">
        <v>22877</v>
      </c>
      <c r="H11327" s="451" t="s">
        <v>22878</v>
      </c>
      <c r="I11327" s="451" t="s">
        <v>29502</v>
      </c>
      <c r="J11327" s="451" t="s">
        <v>28403</v>
      </c>
      <c r="K11327" s="451"/>
    </row>
    <row r="11328" spans="1:11">
      <c r="A11328" s="450" t="s">
        <v>17927</v>
      </c>
      <c r="B11328" s="450" t="s">
        <v>17928</v>
      </c>
      <c r="C11328" s="450" t="s">
        <v>17929</v>
      </c>
      <c r="D11328" s="450"/>
      <c r="E11328" s="450"/>
      <c r="F11328" s="450"/>
      <c r="G11328" s="450"/>
      <c r="H11328" s="450"/>
      <c r="I11328" s="450"/>
      <c r="J11328" s="450"/>
      <c r="K11328" s="450"/>
    </row>
    <row r="11329" spans="1:11">
      <c r="A11329" s="451" t="s">
        <v>29503</v>
      </c>
      <c r="B11329" s="451" t="s">
        <v>29504</v>
      </c>
      <c r="C11329" s="451" t="s">
        <v>17929</v>
      </c>
      <c r="D11329" s="451"/>
      <c r="E11329" s="451"/>
      <c r="F11329" s="451"/>
      <c r="G11329" s="451" t="s">
        <v>22882</v>
      </c>
      <c r="H11329" s="451" t="s">
        <v>22883</v>
      </c>
      <c r="I11329" s="451"/>
      <c r="J11329" s="451" t="s">
        <v>29505</v>
      </c>
      <c r="K11329" s="451"/>
    </row>
    <row r="11330" spans="1:11">
      <c r="A11330" s="450" t="s">
        <v>17930</v>
      </c>
      <c r="B11330" s="450"/>
      <c r="C11330" s="450" t="s">
        <v>17931</v>
      </c>
      <c r="D11330" s="450"/>
      <c r="E11330" s="450"/>
      <c r="F11330" s="450"/>
      <c r="G11330" s="450" t="s">
        <v>22882</v>
      </c>
      <c r="H11330" s="450" t="s">
        <v>22883</v>
      </c>
      <c r="I11330" s="450" t="s">
        <v>38962</v>
      </c>
      <c r="J11330" s="450" t="s">
        <v>28871</v>
      </c>
      <c r="K11330" s="450"/>
    </row>
    <row r="11331" spans="1:11">
      <c r="A11331" s="451" t="s">
        <v>17932</v>
      </c>
      <c r="B11331" s="451"/>
      <c r="C11331" s="451" t="s">
        <v>17933</v>
      </c>
      <c r="D11331" s="451"/>
      <c r="E11331" s="451"/>
      <c r="F11331" s="451"/>
      <c r="G11331" s="451" t="s">
        <v>22877</v>
      </c>
      <c r="H11331" s="451" t="s">
        <v>22878</v>
      </c>
      <c r="I11331" s="451" t="s">
        <v>38963</v>
      </c>
      <c r="J11331" s="451" t="s">
        <v>23370</v>
      </c>
      <c r="K11331" s="451"/>
    </row>
    <row r="11332" spans="1:11">
      <c r="A11332" s="450" t="s">
        <v>17934</v>
      </c>
      <c r="B11332" s="450"/>
      <c r="C11332" s="450" t="s">
        <v>7804</v>
      </c>
      <c r="D11332" s="450"/>
      <c r="E11332" s="450"/>
      <c r="F11332" s="450"/>
      <c r="G11332" s="450" t="s">
        <v>22877</v>
      </c>
      <c r="H11332" s="450" t="s">
        <v>22878</v>
      </c>
      <c r="I11332" s="450" t="s">
        <v>25363</v>
      </c>
      <c r="J11332" s="450" t="s">
        <v>22997</v>
      </c>
      <c r="K11332" s="450"/>
    </row>
    <row r="11333" spans="1:11">
      <c r="A11333" s="451" t="s">
        <v>29506</v>
      </c>
      <c r="B11333" s="451" t="s">
        <v>29507</v>
      </c>
      <c r="C11333" s="451" t="s">
        <v>29508</v>
      </c>
      <c r="D11333" s="451" t="s">
        <v>25510</v>
      </c>
      <c r="E11333" s="451"/>
      <c r="F11333" s="451"/>
      <c r="G11333" s="451" t="s">
        <v>22877</v>
      </c>
      <c r="H11333" s="451" t="s">
        <v>22878</v>
      </c>
      <c r="I11333" s="451" t="s">
        <v>29509</v>
      </c>
      <c r="J11333" s="451" t="s">
        <v>29510</v>
      </c>
      <c r="K11333" s="451"/>
    </row>
    <row r="11334" spans="1:11">
      <c r="A11334" s="450" t="s">
        <v>20189</v>
      </c>
      <c r="B11334" s="450" t="s">
        <v>20190</v>
      </c>
      <c r="C11334" s="450" t="s">
        <v>15454</v>
      </c>
      <c r="D11334" s="450"/>
      <c r="E11334" s="450"/>
      <c r="F11334" s="450"/>
      <c r="G11334" s="450"/>
      <c r="H11334" s="450"/>
      <c r="I11334" s="450"/>
      <c r="J11334" s="450"/>
      <c r="K11334" s="450"/>
    </row>
    <row r="11335" spans="1:11">
      <c r="A11335" s="451" t="s">
        <v>20191</v>
      </c>
      <c r="B11335" s="451" t="s">
        <v>15455</v>
      </c>
      <c r="C11335" s="451" t="s">
        <v>15456</v>
      </c>
      <c r="D11335" s="451" t="s">
        <v>35314</v>
      </c>
      <c r="E11335" s="451"/>
      <c r="F11335" s="451"/>
      <c r="G11335" s="451" t="s">
        <v>22882</v>
      </c>
      <c r="H11335" s="451" t="s">
        <v>22883</v>
      </c>
      <c r="I11335" s="451"/>
      <c r="J11335" s="451" t="s">
        <v>38964</v>
      </c>
      <c r="K11335" s="451"/>
    </row>
    <row r="11336" spans="1:11">
      <c r="A11336" s="450" t="s">
        <v>20191</v>
      </c>
      <c r="B11336" s="450" t="s">
        <v>15455</v>
      </c>
      <c r="C11336" s="450" t="s">
        <v>15456</v>
      </c>
      <c r="D11336" s="450" t="s">
        <v>15452</v>
      </c>
      <c r="E11336" s="450"/>
      <c r="F11336" s="450"/>
      <c r="G11336" s="450"/>
      <c r="H11336" s="450"/>
      <c r="I11336" s="450"/>
      <c r="J11336" s="450"/>
      <c r="K11336" s="450"/>
    </row>
    <row r="11337" spans="1:11">
      <c r="A11337" s="451" t="s">
        <v>20192</v>
      </c>
      <c r="B11337" s="451" t="s">
        <v>15450</v>
      </c>
      <c r="C11337" s="451" t="s">
        <v>15451</v>
      </c>
      <c r="D11337" s="451" t="s">
        <v>15452</v>
      </c>
      <c r="E11337" s="451"/>
      <c r="F11337" s="451"/>
      <c r="G11337" s="451" t="s">
        <v>22877</v>
      </c>
      <c r="H11337" s="451" t="s">
        <v>22878</v>
      </c>
      <c r="I11337" s="451" t="s">
        <v>29511</v>
      </c>
      <c r="J11337" s="451" t="s">
        <v>29512</v>
      </c>
      <c r="K11337" s="451"/>
    </row>
    <row r="11338" spans="1:11">
      <c r="A11338" s="450" t="s">
        <v>20192</v>
      </c>
      <c r="B11338" s="450" t="s">
        <v>15450</v>
      </c>
      <c r="C11338" s="450" t="s">
        <v>15451</v>
      </c>
      <c r="D11338" s="450" t="s">
        <v>15452</v>
      </c>
      <c r="E11338" s="450" t="s">
        <v>15453</v>
      </c>
      <c r="F11338" s="450"/>
      <c r="G11338" s="450"/>
      <c r="H11338" s="450"/>
      <c r="I11338" s="450"/>
      <c r="J11338" s="450"/>
      <c r="K11338" s="450"/>
    </row>
    <row r="11339" spans="1:11">
      <c r="A11339" s="451" t="s">
        <v>17935</v>
      </c>
      <c r="B11339" s="451"/>
      <c r="C11339" s="451" t="s">
        <v>9886</v>
      </c>
      <c r="D11339" s="451"/>
      <c r="E11339" s="451"/>
      <c r="F11339" s="451"/>
      <c r="G11339" s="451" t="s">
        <v>22882</v>
      </c>
      <c r="H11339" s="451" t="s">
        <v>22883</v>
      </c>
      <c r="I11339" s="451"/>
      <c r="J11339" s="451" t="s">
        <v>22942</v>
      </c>
      <c r="K11339" s="451"/>
    </row>
    <row r="11340" spans="1:11">
      <c r="A11340" s="450" t="s">
        <v>17936</v>
      </c>
      <c r="B11340" s="450"/>
      <c r="C11340" s="450" t="s">
        <v>2583</v>
      </c>
      <c r="D11340" s="450"/>
      <c r="E11340" s="450"/>
      <c r="F11340" s="450"/>
      <c r="G11340" s="450" t="s">
        <v>22877</v>
      </c>
      <c r="H11340" s="450" t="s">
        <v>22878</v>
      </c>
      <c r="I11340" s="450" t="s">
        <v>29513</v>
      </c>
      <c r="J11340" s="450" t="s">
        <v>23185</v>
      </c>
      <c r="K11340" s="450"/>
    </row>
    <row r="11341" spans="1:11">
      <c r="A11341" s="451" t="s">
        <v>29514</v>
      </c>
      <c r="B11341" s="451" t="s">
        <v>29515</v>
      </c>
      <c r="C11341" s="451" t="s">
        <v>29516</v>
      </c>
      <c r="D11341" s="451"/>
      <c r="E11341" s="451"/>
      <c r="F11341" s="451"/>
      <c r="G11341" s="451" t="s">
        <v>22877</v>
      </c>
      <c r="H11341" s="451" t="s">
        <v>22878</v>
      </c>
      <c r="I11341" s="451"/>
      <c r="J11341" s="451" t="s">
        <v>29517</v>
      </c>
      <c r="K11341" s="451"/>
    </row>
    <row r="11342" spans="1:11">
      <c r="A11342" s="450" t="s">
        <v>17937</v>
      </c>
      <c r="B11342" s="450"/>
      <c r="C11342" s="450" t="s">
        <v>11265</v>
      </c>
      <c r="D11342" s="450"/>
      <c r="E11342" s="450"/>
      <c r="F11342" s="450"/>
      <c r="G11342" s="450" t="s">
        <v>22877</v>
      </c>
      <c r="H11342" s="450" t="s">
        <v>22878</v>
      </c>
      <c r="I11342" s="450" t="s">
        <v>38965</v>
      </c>
      <c r="J11342" s="450" t="s">
        <v>22942</v>
      </c>
      <c r="K11342" s="450"/>
    </row>
    <row r="11343" spans="1:11">
      <c r="A11343" s="451" t="s">
        <v>17938</v>
      </c>
      <c r="B11343" s="451"/>
      <c r="C11343" s="451" t="s">
        <v>17939</v>
      </c>
      <c r="D11343" s="451"/>
      <c r="E11343" s="451"/>
      <c r="F11343" s="451"/>
      <c r="G11343" s="451" t="s">
        <v>22877</v>
      </c>
      <c r="H11343" s="451" t="s">
        <v>22878</v>
      </c>
      <c r="I11343" s="451" t="s">
        <v>29518</v>
      </c>
      <c r="J11343" s="451" t="s">
        <v>23185</v>
      </c>
      <c r="K11343" s="451"/>
    </row>
    <row r="11344" spans="1:11">
      <c r="A11344" s="450" t="s">
        <v>29519</v>
      </c>
      <c r="B11344" s="450" t="s">
        <v>17946</v>
      </c>
      <c r="C11344" s="450" t="s">
        <v>17947</v>
      </c>
      <c r="D11344" s="450" t="s">
        <v>17948</v>
      </c>
      <c r="E11344" s="450"/>
      <c r="F11344" s="450"/>
      <c r="G11344" s="450" t="s">
        <v>22882</v>
      </c>
      <c r="H11344" s="450" t="s">
        <v>22883</v>
      </c>
      <c r="I11344" s="450" t="s">
        <v>17948</v>
      </c>
      <c r="J11344" s="450" t="s">
        <v>29520</v>
      </c>
      <c r="K11344" s="450"/>
    </row>
    <row r="11345" spans="1:11">
      <c r="A11345" s="451" t="s">
        <v>29519</v>
      </c>
      <c r="B11345" s="451" t="s">
        <v>17941</v>
      </c>
      <c r="C11345" s="451" t="s">
        <v>17942</v>
      </c>
      <c r="D11345" s="451" t="s">
        <v>17943</v>
      </c>
      <c r="E11345" s="451"/>
      <c r="F11345" s="451"/>
      <c r="G11345" s="451" t="s">
        <v>22882</v>
      </c>
      <c r="H11345" s="451" t="s">
        <v>22883</v>
      </c>
      <c r="I11345" s="451" t="s">
        <v>17943</v>
      </c>
      <c r="J11345" s="451" t="s">
        <v>29521</v>
      </c>
      <c r="K11345" s="451"/>
    </row>
    <row r="11346" spans="1:11">
      <c r="A11346" s="450" t="s">
        <v>17940</v>
      </c>
      <c r="B11346" s="450" t="s">
        <v>17941</v>
      </c>
      <c r="C11346" s="450" t="s">
        <v>17942</v>
      </c>
      <c r="D11346" s="450" t="s">
        <v>17943</v>
      </c>
      <c r="E11346" s="450" t="s">
        <v>17944</v>
      </c>
      <c r="F11346" s="450"/>
      <c r="G11346" s="450"/>
      <c r="H11346" s="450"/>
      <c r="I11346" s="450"/>
      <c r="J11346" s="450"/>
      <c r="K11346" s="450"/>
    </row>
    <row r="11347" spans="1:11">
      <c r="A11347" s="451" t="s">
        <v>17945</v>
      </c>
      <c r="B11347" s="451" t="s">
        <v>17946</v>
      </c>
      <c r="C11347" s="451" t="s">
        <v>17947</v>
      </c>
      <c r="D11347" s="451" t="s">
        <v>17948</v>
      </c>
      <c r="E11347" s="451" t="s">
        <v>17949</v>
      </c>
      <c r="F11347" s="451"/>
      <c r="G11347" s="451"/>
      <c r="H11347" s="451"/>
      <c r="I11347" s="451"/>
      <c r="J11347" s="451"/>
      <c r="K11347" s="451"/>
    </row>
    <row r="11348" spans="1:11">
      <c r="A11348" s="450" t="s">
        <v>38966</v>
      </c>
      <c r="B11348" s="450"/>
      <c r="C11348" s="450" t="s">
        <v>17951</v>
      </c>
      <c r="D11348" s="450"/>
      <c r="E11348" s="450"/>
      <c r="F11348" s="450"/>
      <c r="G11348" s="450" t="s">
        <v>22877</v>
      </c>
      <c r="H11348" s="450" t="s">
        <v>22878</v>
      </c>
      <c r="I11348" s="450" t="s">
        <v>38967</v>
      </c>
      <c r="J11348" s="450" t="s">
        <v>28403</v>
      </c>
      <c r="K11348" s="450"/>
    </row>
    <row r="11349" spans="1:11">
      <c r="A11349" s="451" t="s">
        <v>17950</v>
      </c>
      <c r="B11349" s="451"/>
      <c r="C11349" s="451" t="s">
        <v>17951</v>
      </c>
      <c r="D11349" s="451"/>
      <c r="E11349" s="451"/>
      <c r="F11349" s="451"/>
      <c r="G11349" s="451"/>
      <c r="H11349" s="451"/>
      <c r="I11349" s="451"/>
      <c r="J11349" s="451"/>
      <c r="K11349" s="451"/>
    </row>
    <row r="11350" spans="1:11">
      <c r="A11350" s="450" t="s">
        <v>38968</v>
      </c>
      <c r="B11350" s="450"/>
      <c r="C11350" s="450" t="s">
        <v>1780</v>
      </c>
      <c r="D11350" s="450"/>
      <c r="E11350" s="450"/>
      <c r="F11350" s="450"/>
      <c r="G11350" s="450" t="s">
        <v>22882</v>
      </c>
      <c r="H11350" s="450" t="s">
        <v>22883</v>
      </c>
      <c r="I11350" s="450" t="s">
        <v>38969</v>
      </c>
      <c r="J11350" s="450" t="s">
        <v>23370</v>
      </c>
      <c r="K11350" s="450"/>
    </row>
    <row r="11351" spans="1:11">
      <c r="A11351" s="451" t="s">
        <v>17952</v>
      </c>
      <c r="B11351" s="451"/>
      <c r="C11351" s="451" t="s">
        <v>1780</v>
      </c>
      <c r="D11351" s="451"/>
      <c r="E11351" s="451"/>
      <c r="F11351" s="451"/>
      <c r="G11351" s="451"/>
      <c r="H11351" s="451"/>
      <c r="I11351" s="451"/>
      <c r="J11351" s="451"/>
      <c r="K11351" s="451"/>
    </row>
    <row r="11352" spans="1:11">
      <c r="A11352" s="450" t="s">
        <v>38970</v>
      </c>
      <c r="B11352" s="450"/>
      <c r="C11352" s="450" t="s">
        <v>5423</v>
      </c>
      <c r="D11352" s="450"/>
      <c r="E11352" s="450"/>
      <c r="F11352" s="450"/>
      <c r="G11352" s="450" t="s">
        <v>22882</v>
      </c>
      <c r="H11352" s="450" t="s">
        <v>22883</v>
      </c>
      <c r="I11352" s="450"/>
      <c r="J11352" s="450" t="s">
        <v>28871</v>
      </c>
      <c r="K11352" s="450"/>
    </row>
    <row r="11353" spans="1:11">
      <c r="A11353" s="451" t="s">
        <v>17953</v>
      </c>
      <c r="B11353" s="451"/>
      <c r="C11353" s="451" t="s">
        <v>5423</v>
      </c>
      <c r="D11353" s="451"/>
      <c r="E11353" s="451"/>
      <c r="F11353" s="451"/>
      <c r="G11353" s="451"/>
      <c r="H11353" s="451"/>
      <c r="I11353" s="451"/>
      <c r="J11353" s="451"/>
      <c r="K11353" s="451"/>
    </row>
    <row r="11354" spans="1:11">
      <c r="A11354" s="450" t="s">
        <v>17954</v>
      </c>
      <c r="B11354" s="450" t="s">
        <v>29522</v>
      </c>
      <c r="C11354" s="450" t="s">
        <v>7840</v>
      </c>
      <c r="D11354" s="450"/>
      <c r="E11354" s="450"/>
      <c r="F11354" s="450"/>
      <c r="G11354" s="450" t="s">
        <v>22877</v>
      </c>
      <c r="H11354" s="450" t="s">
        <v>22878</v>
      </c>
      <c r="I11354" s="450" t="s">
        <v>29523</v>
      </c>
      <c r="J11354" s="450" t="s">
        <v>29524</v>
      </c>
      <c r="K11354" s="450"/>
    </row>
    <row r="11355" spans="1:11">
      <c r="A11355" s="451" t="s">
        <v>17954</v>
      </c>
      <c r="B11355" s="451" t="s">
        <v>17955</v>
      </c>
      <c r="C11355" s="451" t="s">
        <v>7840</v>
      </c>
      <c r="D11355" s="451"/>
      <c r="E11355" s="451"/>
      <c r="F11355" s="451"/>
      <c r="G11355" s="451"/>
      <c r="H11355" s="451"/>
      <c r="I11355" s="451"/>
      <c r="J11355" s="451"/>
      <c r="K11355" s="451"/>
    </row>
    <row r="11356" spans="1:11">
      <c r="A11356" s="450" t="s">
        <v>17956</v>
      </c>
      <c r="B11356" s="450"/>
      <c r="C11356" s="450" t="s">
        <v>17957</v>
      </c>
      <c r="D11356" s="450"/>
      <c r="E11356" s="450"/>
      <c r="F11356" s="450"/>
      <c r="G11356" s="450"/>
      <c r="H11356" s="450"/>
      <c r="I11356" s="450"/>
      <c r="J11356" s="450"/>
      <c r="K11356" s="450"/>
    </row>
    <row r="11357" spans="1:11">
      <c r="A11357" s="451" t="s">
        <v>29525</v>
      </c>
      <c r="B11357" s="451"/>
      <c r="C11357" s="451" t="s">
        <v>29526</v>
      </c>
      <c r="D11357" s="451"/>
      <c r="E11357" s="451"/>
      <c r="F11357" s="451"/>
      <c r="G11357" s="451" t="s">
        <v>22877</v>
      </c>
      <c r="H11357" s="451" t="s">
        <v>22878</v>
      </c>
      <c r="I11357" s="451" t="s">
        <v>29527</v>
      </c>
      <c r="J11357" s="451" t="s">
        <v>22997</v>
      </c>
      <c r="K11357" s="451"/>
    </row>
    <row r="11358" spans="1:11">
      <c r="A11358" s="450" t="s">
        <v>38971</v>
      </c>
      <c r="B11358" s="450" t="s">
        <v>17959</v>
      </c>
      <c r="C11358" s="450" t="s">
        <v>17960</v>
      </c>
      <c r="D11358" s="450" t="s">
        <v>17961</v>
      </c>
      <c r="E11358" s="450"/>
      <c r="F11358" s="450"/>
      <c r="G11358" s="450" t="s">
        <v>22877</v>
      </c>
      <c r="H11358" s="450" t="s">
        <v>22878</v>
      </c>
      <c r="I11358" s="450" t="s">
        <v>38972</v>
      </c>
      <c r="J11358" s="450" t="s">
        <v>38973</v>
      </c>
      <c r="K11358" s="450"/>
    </row>
    <row r="11359" spans="1:11">
      <c r="A11359" s="451" t="s">
        <v>17958</v>
      </c>
      <c r="B11359" s="451" t="s">
        <v>17959</v>
      </c>
      <c r="C11359" s="451" t="s">
        <v>17960</v>
      </c>
      <c r="D11359" s="451" t="s">
        <v>17961</v>
      </c>
      <c r="E11359" s="451" t="s">
        <v>17962</v>
      </c>
      <c r="F11359" s="451"/>
      <c r="G11359" s="451"/>
      <c r="H11359" s="451"/>
      <c r="I11359" s="451"/>
      <c r="J11359" s="451"/>
      <c r="K11359" s="451"/>
    </row>
    <row r="11360" spans="1:11">
      <c r="A11360" s="450" t="s">
        <v>29528</v>
      </c>
      <c r="B11360" s="450" t="s">
        <v>17969</v>
      </c>
      <c r="C11360" s="450" t="s">
        <v>3917</v>
      </c>
      <c r="D11360" s="450" t="s">
        <v>17970</v>
      </c>
      <c r="E11360" s="450"/>
      <c r="F11360" s="450"/>
      <c r="G11360" s="450" t="s">
        <v>22877</v>
      </c>
      <c r="H11360" s="450" t="s">
        <v>22878</v>
      </c>
      <c r="I11360" s="450" t="s">
        <v>17970</v>
      </c>
      <c r="J11360" s="450" t="s">
        <v>29529</v>
      </c>
      <c r="K11360" s="450"/>
    </row>
    <row r="11361" spans="1:11">
      <c r="A11361" s="451" t="s">
        <v>38974</v>
      </c>
      <c r="B11361" s="451"/>
      <c r="C11361" s="451" t="s">
        <v>8088</v>
      </c>
      <c r="D11361" s="451"/>
      <c r="E11361" s="451"/>
      <c r="F11361" s="451"/>
      <c r="G11361" s="451" t="s">
        <v>22877</v>
      </c>
      <c r="H11361" s="451" t="s">
        <v>22878</v>
      </c>
      <c r="I11361" s="451" t="s">
        <v>38975</v>
      </c>
      <c r="J11361" s="451" t="s">
        <v>28403</v>
      </c>
      <c r="K11361" s="451"/>
    </row>
    <row r="11362" spans="1:11">
      <c r="A11362" s="450" t="s">
        <v>38976</v>
      </c>
      <c r="B11362" s="450"/>
      <c r="C11362" s="450" t="s">
        <v>17964</v>
      </c>
      <c r="D11362" s="450"/>
      <c r="E11362" s="450"/>
      <c r="F11362" s="450"/>
      <c r="G11362" s="450" t="s">
        <v>22877</v>
      </c>
      <c r="H11362" s="450" t="s">
        <v>22878</v>
      </c>
      <c r="I11362" s="450"/>
      <c r="J11362" s="450" t="s">
        <v>28403</v>
      </c>
      <c r="K11362" s="450"/>
    </row>
    <row r="11363" spans="1:11">
      <c r="A11363" s="451" t="s">
        <v>17963</v>
      </c>
      <c r="B11363" s="451"/>
      <c r="C11363" s="451" t="s">
        <v>17964</v>
      </c>
      <c r="D11363" s="451"/>
      <c r="E11363" s="451"/>
      <c r="F11363" s="451"/>
      <c r="G11363" s="451"/>
      <c r="H11363" s="451"/>
      <c r="I11363" s="451"/>
      <c r="J11363" s="451"/>
      <c r="K11363" s="451"/>
    </row>
    <row r="11364" spans="1:11">
      <c r="A11364" s="450" t="s">
        <v>17965</v>
      </c>
      <c r="B11364" s="450"/>
      <c r="C11364" s="450" t="s">
        <v>8088</v>
      </c>
      <c r="D11364" s="450"/>
      <c r="E11364" s="450"/>
      <c r="F11364" s="450"/>
      <c r="G11364" s="450"/>
      <c r="H11364" s="450"/>
      <c r="I11364" s="450"/>
      <c r="J11364" s="450"/>
      <c r="K11364" s="450"/>
    </row>
    <row r="11365" spans="1:11">
      <c r="A11365" s="451" t="s">
        <v>17966</v>
      </c>
      <c r="B11365" s="451"/>
      <c r="C11365" s="451" t="s">
        <v>17967</v>
      </c>
      <c r="D11365" s="451"/>
      <c r="E11365" s="451"/>
      <c r="F11365" s="451"/>
      <c r="G11365" s="451"/>
      <c r="H11365" s="451"/>
      <c r="I11365" s="451"/>
      <c r="J11365" s="451"/>
      <c r="K11365" s="451"/>
    </row>
    <row r="11366" spans="1:11">
      <c r="A11366" s="450" t="s">
        <v>29530</v>
      </c>
      <c r="B11366" s="450"/>
      <c r="C11366" s="450" t="s">
        <v>17967</v>
      </c>
      <c r="D11366" s="450"/>
      <c r="E11366" s="450"/>
      <c r="F11366" s="450"/>
      <c r="G11366" s="450" t="s">
        <v>22877</v>
      </c>
      <c r="H11366" s="450" t="s">
        <v>22878</v>
      </c>
      <c r="I11366" s="450"/>
      <c r="J11366" s="450" t="s">
        <v>28871</v>
      </c>
      <c r="K11366" s="450"/>
    </row>
    <row r="11367" spans="1:11">
      <c r="A11367" s="451" t="s">
        <v>29531</v>
      </c>
      <c r="B11367" s="451" t="s">
        <v>29532</v>
      </c>
      <c r="C11367" s="451" t="s">
        <v>15687</v>
      </c>
      <c r="D11367" s="451"/>
      <c r="E11367" s="451"/>
      <c r="F11367" s="451"/>
      <c r="G11367" s="451" t="s">
        <v>22877</v>
      </c>
      <c r="H11367" s="451" t="s">
        <v>22878</v>
      </c>
      <c r="I11367" s="451" t="s">
        <v>29533</v>
      </c>
      <c r="J11367" s="451" t="s">
        <v>29534</v>
      </c>
      <c r="K11367" s="451"/>
    </row>
    <row r="11368" spans="1:11">
      <c r="A11368" s="450" t="s">
        <v>17968</v>
      </c>
      <c r="B11368" s="450" t="s">
        <v>17969</v>
      </c>
      <c r="C11368" s="450" t="s">
        <v>3917</v>
      </c>
      <c r="D11368" s="450" t="s">
        <v>17970</v>
      </c>
      <c r="E11368" s="450" t="s">
        <v>17971</v>
      </c>
      <c r="F11368" s="450"/>
      <c r="G11368" s="450"/>
      <c r="H11368" s="450"/>
      <c r="I11368" s="450"/>
      <c r="J11368" s="450"/>
      <c r="K11368" s="450"/>
    </row>
    <row r="11369" spans="1:11">
      <c r="A11369" s="451" t="s">
        <v>17972</v>
      </c>
      <c r="B11369" s="451"/>
      <c r="C11369" s="451" t="s">
        <v>17973</v>
      </c>
      <c r="D11369" s="451"/>
      <c r="E11369" s="451"/>
      <c r="F11369" s="451"/>
      <c r="G11369" s="451"/>
      <c r="H11369" s="451"/>
      <c r="I11369" s="451"/>
      <c r="J11369" s="451"/>
      <c r="K11369" s="451"/>
    </row>
    <row r="11370" spans="1:11">
      <c r="A11370" s="450" t="s">
        <v>29535</v>
      </c>
      <c r="B11370" s="450"/>
      <c r="C11370" s="450" t="s">
        <v>17973</v>
      </c>
      <c r="D11370" s="450"/>
      <c r="E11370" s="450"/>
      <c r="F11370" s="450"/>
      <c r="G11370" s="450" t="s">
        <v>22877</v>
      </c>
      <c r="H11370" s="450" t="s">
        <v>22878</v>
      </c>
      <c r="I11370" s="450" t="s">
        <v>29536</v>
      </c>
      <c r="J11370" s="450" t="s">
        <v>28403</v>
      </c>
      <c r="K11370" s="450"/>
    </row>
    <row r="11371" spans="1:11">
      <c r="A11371" s="451" t="s">
        <v>17974</v>
      </c>
      <c r="B11371" s="451" t="s">
        <v>29537</v>
      </c>
      <c r="C11371" s="451" t="s">
        <v>7522</v>
      </c>
      <c r="D11371" s="451" t="s">
        <v>17976</v>
      </c>
      <c r="E11371" s="451"/>
      <c r="F11371" s="451"/>
      <c r="G11371" s="451" t="s">
        <v>22877</v>
      </c>
      <c r="H11371" s="451" t="s">
        <v>22878</v>
      </c>
      <c r="I11371" s="451" t="s">
        <v>17976</v>
      </c>
      <c r="J11371" s="451" t="s">
        <v>29538</v>
      </c>
      <c r="K11371" s="451"/>
    </row>
    <row r="11372" spans="1:11">
      <c r="A11372" s="450" t="s">
        <v>17974</v>
      </c>
      <c r="B11372" s="450" t="s">
        <v>17975</v>
      </c>
      <c r="C11372" s="450" t="s">
        <v>7522</v>
      </c>
      <c r="D11372" s="450" t="s">
        <v>17976</v>
      </c>
      <c r="E11372" s="450" t="s">
        <v>17977</v>
      </c>
      <c r="F11372" s="450"/>
      <c r="G11372" s="450"/>
      <c r="H11372" s="450"/>
      <c r="I11372" s="450"/>
      <c r="J11372" s="450"/>
      <c r="K11372" s="450"/>
    </row>
    <row r="11373" spans="1:11">
      <c r="A11373" s="451" t="s">
        <v>17978</v>
      </c>
      <c r="B11373" s="451" t="s">
        <v>38977</v>
      </c>
      <c r="C11373" s="451" t="s">
        <v>17983</v>
      </c>
      <c r="D11373" s="451" t="s">
        <v>17979</v>
      </c>
      <c r="E11373" s="451"/>
      <c r="F11373" s="451" t="s">
        <v>17985</v>
      </c>
      <c r="G11373" s="451" t="s">
        <v>22877</v>
      </c>
      <c r="H11373" s="451" t="s">
        <v>22878</v>
      </c>
      <c r="I11373" s="451"/>
      <c r="J11373" s="451" t="s">
        <v>38978</v>
      </c>
      <c r="K11373" s="451"/>
    </row>
    <row r="11374" spans="1:11">
      <c r="A11374" s="450" t="s">
        <v>17978</v>
      </c>
      <c r="B11374" s="450"/>
      <c r="C11374" s="450"/>
      <c r="D11374" s="450" t="s">
        <v>17979</v>
      </c>
      <c r="E11374" s="450" t="s">
        <v>17980</v>
      </c>
      <c r="F11374" s="450"/>
      <c r="G11374" s="450"/>
      <c r="H11374" s="450"/>
      <c r="I11374" s="450"/>
      <c r="J11374" s="450"/>
      <c r="K11374" s="450"/>
    </row>
    <row r="11375" spans="1:11">
      <c r="A11375" s="451" t="s">
        <v>17981</v>
      </c>
      <c r="B11375" s="451" t="s">
        <v>17982</v>
      </c>
      <c r="C11375" s="451" t="s">
        <v>17983</v>
      </c>
      <c r="D11375" s="451" t="s">
        <v>17979</v>
      </c>
      <c r="E11375" s="451" t="s">
        <v>17984</v>
      </c>
      <c r="F11375" s="451" t="s">
        <v>17985</v>
      </c>
      <c r="G11375" s="451"/>
      <c r="H11375" s="451"/>
      <c r="I11375" s="451"/>
      <c r="J11375" s="451"/>
      <c r="K11375" s="451"/>
    </row>
    <row r="11376" spans="1:11">
      <c r="A11376" s="450" t="s">
        <v>17986</v>
      </c>
      <c r="B11376" s="450" t="s">
        <v>38979</v>
      </c>
      <c r="C11376" s="450" t="s">
        <v>17988</v>
      </c>
      <c r="D11376" s="450"/>
      <c r="E11376" s="450"/>
      <c r="F11376" s="450" t="s">
        <v>17989</v>
      </c>
      <c r="G11376" s="450" t="s">
        <v>22877</v>
      </c>
      <c r="H11376" s="450" t="s">
        <v>22878</v>
      </c>
      <c r="I11376" s="450"/>
      <c r="J11376" s="450" t="s">
        <v>38980</v>
      </c>
      <c r="K11376" s="450"/>
    </row>
    <row r="11377" spans="1:11">
      <c r="A11377" s="451" t="s">
        <v>17986</v>
      </c>
      <c r="B11377" s="451" t="s">
        <v>17987</v>
      </c>
      <c r="C11377" s="451" t="s">
        <v>17988</v>
      </c>
      <c r="D11377" s="451"/>
      <c r="E11377" s="451"/>
      <c r="F11377" s="451" t="s">
        <v>17989</v>
      </c>
      <c r="G11377" s="451"/>
      <c r="H11377" s="451"/>
      <c r="I11377" s="451"/>
      <c r="J11377" s="451"/>
      <c r="K11377" s="451"/>
    </row>
    <row r="11378" spans="1:11">
      <c r="A11378" s="450" t="s">
        <v>29539</v>
      </c>
      <c r="B11378" s="450" t="s">
        <v>17991</v>
      </c>
      <c r="C11378" s="450" t="s">
        <v>1913</v>
      </c>
      <c r="D11378" s="450" t="s">
        <v>17992</v>
      </c>
      <c r="E11378" s="450"/>
      <c r="F11378" s="450"/>
      <c r="G11378" s="450" t="s">
        <v>22882</v>
      </c>
      <c r="H11378" s="450" t="s">
        <v>22883</v>
      </c>
      <c r="I11378" s="450" t="s">
        <v>29540</v>
      </c>
      <c r="J11378" s="450" t="s">
        <v>29541</v>
      </c>
      <c r="K11378" s="450"/>
    </row>
    <row r="11379" spans="1:11">
      <c r="A11379" s="451" t="s">
        <v>38981</v>
      </c>
      <c r="B11379" s="451"/>
      <c r="C11379" s="451" t="s">
        <v>17994</v>
      </c>
      <c r="D11379" s="451"/>
      <c r="E11379" s="451"/>
      <c r="F11379" s="451"/>
      <c r="G11379" s="451" t="s">
        <v>22882</v>
      </c>
      <c r="H11379" s="451" t="s">
        <v>22883</v>
      </c>
      <c r="I11379" s="451" t="s">
        <v>38982</v>
      </c>
      <c r="J11379" s="451" t="s">
        <v>28403</v>
      </c>
      <c r="K11379" s="451"/>
    </row>
    <row r="11380" spans="1:11">
      <c r="A11380" s="450" t="s">
        <v>17990</v>
      </c>
      <c r="B11380" s="450" t="s">
        <v>17991</v>
      </c>
      <c r="C11380" s="450" t="s">
        <v>1913</v>
      </c>
      <c r="D11380" s="450" t="s">
        <v>17992</v>
      </c>
      <c r="E11380" s="450"/>
      <c r="F11380" s="450"/>
      <c r="G11380" s="450"/>
      <c r="H11380" s="450"/>
      <c r="I11380" s="450"/>
      <c r="J11380" s="450"/>
      <c r="K11380" s="450"/>
    </row>
    <row r="11381" spans="1:11">
      <c r="A11381" s="451" t="s">
        <v>17993</v>
      </c>
      <c r="B11381" s="451"/>
      <c r="C11381" s="451" t="s">
        <v>17994</v>
      </c>
      <c r="D11381" s="451"/>
      <c r="E11381" s="451"/>
      <c r="F11381" s="451"/>
      <c r="G11381" s="451"/>
      <c r="H11381" s="451"/>
      <c r="I11381" s="451"/>
      <c r="J11381" s="451"/>
      <c r="K11381" s="451"/>
    </row>
    <row r="11382" spans="1:11">
      <c r="A11382" s="450" t="s">
        <v>29542</v>
      </c>
      <c r="B11382" s="450" t="s">
        <v>29543</v>
      </c>
      <c r="C11382" s="450" t="s">
        <v>16564</v>
      </c>
      <c r="D11382" s="450" t="s">
        <v>17997</v>
      </c>
      <c r="E11382" s="450"/>
      <c r="F11382" s="450"/>
      <c r="G11382" s="450" t="s">
        <v>22882</v>
      </c>
      <c r="H11382" s="450" t="s">
        <v>22883</v>
      </c>
      <c r="I11382" s="450" t="s">
        <v>17997</v>
      </c>
      <c r="J11382" s="450" t="s">
        <v>29544</v>
      </c>
      <c r="K11382" s="450"/>
    </row>
    <row r="11383" spans="1:11">
      <c r="A11383" s="451" t="s">
        <v>17995</v>
      </c>
      <c r="B11383" s="451" t="s">
        <v>17996</v>
      </c>
      <c r="C11383" s="451" t="s">
        <v>1232</v>
      </c>
      <c r="D11383" s="451" t="s">
        <v>17997</v>
      </c>
      <c r="E11383" s="451" t="s">
        <v>17997</v>
      </c>
      <c r="F11383" s="451"/>
      <c r="G11383" s="451"/>
      <c r="H11383" s="451"/>
      <c r="I11383" s="451"/>
      <c r="J11383" s="451"/>
      <c r="K11383" s="451"/>
    </row>
    <row r="11384" spans="1:11">
      <c r="A11384" s="450" t="s">
        <v>29545</v>
      </c>
      <c r="B11384" s="450" t="s">
        <v>29546</v>
      </c>
      <c r="C11384" s="450" t="s">
        <v>29547</v>
      </c>
      <c r="D11384" s="450"/>
      <c r="E11384" s="450"/>
      <c r="F11384" s="450"/>
      <c r="G11384" s="450" t="s">
        <v>22877</v>
      </c>
      <c r="H11384" s="450" t="s">
        <v>22878</v>
      </c>
      <c r="I11384" s="450" t="s">
        <v>29548</v>
      </c>
      <c r="J11384" s="450" t="s">
        <v>29549</v>
      </c>
      <c r="K11384" s="450"/>
    </row>
    <row r="11385" spans="1:11">
      <c r="A11385" s="451" t="s">
        <v>17998</v>
      </c>
      <c r="B11385" s="451"/>
      <c r="C11385" s="451" t="s">
        <v>17999</v>
      </c>
      <c r="D11385" s="451"/>
      <c r="E11385" s="451"/>
      <c r="F11385" s="451"/>
      <c r="G11385" s="451" t="s">
        <v>22877</v>
      </c>
      <c r="H11385" s="451" t="s">
        <v>22878</v>
      </c>
      <c r="I11385" s="451" t="s">
        <v>29550</v>
      </c>
      <c r="J11385" s="451" t="s">
        <v>22943</v>
      </c>
      <c r="K11385" s="451"/>
    </row>
    <row r="11386" spans="1:11">
      <c r="A11386" s="450" t="s">
        <v>29551</v>
      </c>
      <c r="B11386" s="450" t="s">
        <v>25075</v>
      </c>
      <c r="C11386" s="450" t="s">
        <v>26551</v>
      </c>
      <c r="D11386" s="450"/>
      <c r="E11386" s="450"/>
      <c r="F11386" s="450"/>
      <c r="G11386" s="450" t="s">
        <v>22877</v>
      </c>
      <c r="H11386" s="450" t="s">
        <v>22878</v>
      </c>
      <c r="I11386" s="450" t="s">
        <v>29552</v>
      </c>
      <c r="J11386" s="450" t="s">
        <v>29553</v>
      </c>
      <c r="K11386" s="450"/>
    </row>
    <row r="11387" spans="1:11">
      <c r="A11387" s="451" t="s">
        <v>18000</v>
      </c>
      <c r="B11387" s="451"/>
      <c r="C11387" s="451" t="s">
        <v>18001</v>
      </c>
      <c r="D11387" s="451"/>
      <c r="E11387" s="451"/>
      <c r="F11387" s="451"/>
      <c r="G11387" s="451" t="s">
        <v>22877</v>
      </c>
      <c r="H11387" s="451" t="s">
        <v>22878</v>
      </c>
      <c r="I11387" s="451" t="s">
        <v>38983</v>
      </c>
      <c r="J11387" s="451" t="s">
        <v>22943</v>
      </c>
      <c r="K11387" s="451"/>
    </row>
    <row r="11388" spans="1:11">
      <c r="A11388" s="450" t="s">
        <v>18002</v>
      </c>
      <c r="B11388" s="450"/>
      <c r="C11388" s="450" t="s">
        <v>16698</v>
      </c>
      <c r="D11388" s="450"/>
      <c r="E11388" s="450"/>
      <c r="F11388" s="450"/>
      <c r="G11388" s="450" t="s">
        <v>22882</v>
      </c>
      <c r="H11388" s="450" t="s">
        <v>22883</v>
      </c>
      <c r="I11388" s="450" t="s">
        <v>38984</v>
      </c>
      <c r="J11388" s="450" t="s">
        <v>23185</v>
      </c>
      <c r="K11388" s="450"/>
    </row>
    <row r="11389" spans="1:11">
      <c r="A11389" s="451" t="s">
        <v>18003</v>
      </c>
      <c r="B11389" s="451"/>
      <c r="C11389" s="451" t="s">
        <v>18004</v>
      </c>
      <c r="D11389" s="451"/>
      <c r="E11389" s="451"/>
      <c r="F11389" s="451"/>
      <c r="G11389" s="451" t="s">
        <v>22877</v>
      </c>
      <c r="H11389" s="451" t="s">
        <v>22878</v>
      </c>
      <c r="I11389" s="451" t="s">
        <v>38985</v>
      </c>
      <c r="J11389" s="451" t="s">
        <v>22943</v>
      </c>
      <c r="K11389" s="451"/>
    </row>
    <row r="11390" spans="1:11">
      <c r="A11390" s="450" t="s">
        <v>18005</v>
      </c>
      <c r="B11390" s="450"/>
      <c r="C11390" s="450" t="s">
        <v>18006</v>
      </c>
      <c r="D11390" s="450"/>
      <c r="E11390" s="450"/>
      <c r="F11390" s="450"/>
      <c r="G11390" s="450"/>
      <c r="H11390" s="450"/>
      <c r="I11390" s="450"/>
      <c r="J11390" s="450"/>
      <c r="K11390" s="450"/>
    </row>
    <row r="11391" spans="1:11">
      <c r="A11391" s="451" t="s">
        <v>22005</v>
      </c>
      <c r="B11391" s="451"/>
      <c r="C11391" s="451" t="s">
        <v>7760</v>
      </c>
      <c r="D11391" s="451"/>
      <c r="E11391" s="451"/>
      <c r="F11391" s="451"/>
      <c r="G11391" s="451" t="s">
        <v>38986</v>
      </c>
      <c r="H11391" s="451" t="s">
        <v>22878</v>
      </c>
      <c r="I11391" s="451" t="s">
        <v>29554</v>
      </c>
      <c r="J11391" s="451" t="s">
        <v>38987</v>
      </c>
      <c r="K11391" s="451"/>
    </row>
    <row r="11392" spans="1:11">
      <c r="A11392" s="450" t="s">
        <v>38988</v>
      </c>
      <c r="B11392" s="450"/>
      <c r="C11392" s="450" t="s">
        <v>8727</v>
      </c>
      <c r="D11392" s="450"/>
      <c r="E11392" s="450"/>
      <c r="F11392" s="450"/>
      <c r="G11392" s="450" t="s">
        <v>22877</v>
      </c>
      <c r="H11392" s="450" t="s">
        <v>22878</v>
      </c>
      <c r="I11392" s="450"/>
      <c r="J11392" s="450" t="s">
        <v>22943</v>
      </c>
      <c r="K11392" s="450"/>
    </row>
    <row r="11393" spans="1:11">
      <c r="A11393" s="451" t="s">
        <v>18007</v>
      </c>
      <c r="B11393" s="451"/>
      <c r="C11393" s="451" t="s">
        <v>8727</v>
      </c>
      <c r="D11393" s="451"/>
      <c r="E11393" s="451"/>
      <c r="F11393" s="451"/>
      <c r="G11393" s="451"/>
      <c r="H11393" s="451"/>
      <c r="I11393" s="451"/>
      <c r="J11393" s="451"/>
      <c r="K11393" s="451"/>
    </row>
    <row r="11394" spans="1:11">
      <c r="A11394" s="450" t="s">
        <v>18008</v>
      </c>
      <c r="B11394" s="450" t="s">
        <v>29555</v>
      </c>
      <c r="C11394" s="450" t="s">
        <v>29556</v>
      </c>
      <c r="D11394" s="450"/>
      <c r="E11394" s="450"/>
      <c r="F11394" s="450" t="s">
        <v>25462</v>
      </c>
      <c r="G11394" s="450" t="s">
        <v>22877</v>
      </c>
      <c r="H11394" s="450" t="s">
        <v>22878</v>
      </c>
      <c r="I11394" s="450" t="s">
        <v>29557</v>
      </c>
      <c r="J11394" s="450" t="s">
        <v>29558</v>
      </c>
      <c r="K11394" s="450"/>
    </row>
    <row r="11395" spans="1:11">
      <c r="A11395" s="451" t="s">
        <v>18008</v>
      </c>
      <c r="B11395" s="451" t="s">
        <v>18009</v>
      </c>
      <c r="C11395" s="451" t="s">
        <v>14988</v>
      </c>
      <c r="D11395" s="451"/>
      <c r="E11395" s="451"/>
      <c r="F11395" s="451" t="s">
        <v>8060</v>
      </c>
      <c r="G11395" s="451"/>
      <c r="H11395" s="451"/>
      <c r="I11395" s="451"/>
      <c r="J11395" s="451"/>
      <c r="K11395" s="451"/>
    </row>
    <row r="11396" spans="1:11">
      <c r="A11396" s="450" t="s">
        <v>38989</v>
      </c>
      <c r="B11396" s="450" t="s">
        <v>18011</v>
      </c>
      <c r="C11396" s="450" t="s">
        <v>18012</v>
      </c>
      <c r="D11396" s="450" t="s">
        <v>18013</v>
      </c>
      <c r="E11396" s="450"/>
      <c r="F11396" s="450" t="s">
        <v>18015</v>
      </c>
      <c r="G11396" s="450" t="s">
        <v>22877</v>
      </c>
      <c r="H11396" s="450" t="s">
        <v>22878</v>
      </c>
      <c r="I11396" s="450"/>
      <c r="J11396" s="450" t="s">
        <v>38990</v>
      </c>
      <c r="K11396" s="450"/>
    </row>
    <row r="11397" spans="1:11">
      <c r="A11397" s="451" t="s">
        <v>18010</v>
      </c>
      <c r="B11397" s="451" t="s">
        <v>18011</v>
      </c>
      <c r="C11397" s="451" t="s">
        <v>18012</v>
      </c>
      <c r="D11397" s="451" t="s">
        <v>18013</v>
      </c>
      <c r="E11397" s="451" t="s">
        <v>18014</v>
      </c>
      <c r="F11397" s="451" t="s">
        <v>18015</v>
      </c>
      <c r="G11397" s="451"/>
      <c r="H11397" s="451"/>
      <c r="I11397" s="451"/>
      <c r="J11397" s="451"/>
      <c r="K11397" s="451"/>
    </row>
    <row r="11398" spans="1:11">
      <c r="A11398" s="450" t="s">
        <v>38991</v>
      </c>
      <c r="B11398" s="450"/>
      <c r="C11398" s="450" t="s">
        <v>6153</v>
      </c>
      <c r="D11398" s="450"/>
      <c r="E11398" s="450"/>
      <c r="F11398" s="450"/>
      <c r="G11398" s="450" t="s">
        <v>22882</v>
      </c>
      <c r="H11398" s="450" t="s">
        <v>22883</v>
      </c>
      <c r="I11398" s="450"/>
      <c r="J11398" s="450" t="s">
        <v>22943</v>
      </c>
      <c r="K11398" s="450"/>
    </row>
    <row r="11399" spans="1:11">
      <c r="A11399" s="451" t="s">
        <v>18016</v>
      </c>
      <c r="B11399" s="451"/>
      <c r="C11399" s="451" t="s">
        <v>6153</v>
      </c>
      <c r="D11399" s="451"/>
      <c r="E11399" s="451"/>
      <c r="F11399" s="451"/>
      <c r="G11399" s="451"/>
      <c r="H11399" s="451"/>
      <c r="I11399" s="451"/>
      <c r="J11399" s="451"/>
      <c r="K11399" s="451"/>
    </row>
    <row r="11400" spans="1:11">
      <c r="A11400" s="450" t="s">
        <v>18017</v>
      </c>
      <c r="B11400" s="450"/>
      <c r="C11400" s="450" t="s">
        <v>3874</v>
      </c>
      <c r="D11400" s="450"/>
      <c r="E11400" s="450"/>
      <c r="F11400" s="450"/>
      <c r="G11400" s="450" t="s">
        <v>22877</v>
      </c>
      <c r="H11400" s="450" t="s">
        <v>22878</v>
      </c>
      <c r="I11400" s="450" t="s">
        <v>29559</v>
      </c>
      <c r="J11400" s="450" t="s">
        <v>28870</v>
      </c>
      <c r="K11400" s="450"/>
    </row>
    <row r="11401" spans="1:11">
      <c r="A11401" s="451" t="s">
        <v>29560</v>
      </c>
      <c r="B11401" s="451" t="s">
        <v>29561</v>
      </c>
      <c r="C11401" s="451" t="s">
        <v>18020</v>
      </c>
      <c r="D11401" s="451"/>
      <c r="E11401" s="451"/>
      <c r="F11401" s="451"/>
      <c r="G11401" s="451" t="s">
        <v>22877</v>
      </c>
      <c r="H11401" s="451" t="s">
        <v>22878</v>
      </c>
      <c r="I11401" s="451" t="s">
        <v>29562</v>
      </c>
      <c r="J11401" s="451" t="s">
        <v>29563</v>
      </c>
      <c r="K11401" s="451"/>
    </row>
    <row r="11402" spans="1:11">
      <c r="A11402" s="450" t="s">
        <v>18018</v>
      </c>
      <c r="B11402" s="450" t="s">
        <v>18019</v>
      </c>
      <c r="C11402" s="450" t="s">
        <v>18020</v>
      </c>
      <c r="D11402" s="450"/>
      <c r="E11402" s="450"/>
      <c r="F11402" s="450"/>
      <c r="G11402" s="450"/>
      <c r="H11402" s="450"/>
      <c r="I11402" s="450"/>
      <c r="J11402" s="450"/>
      <c r="K11402" s="450"/>
    </row>
    <row r="11403" spans="1:11">
      <c r="A11403" s="451" t="s">
        <v>38992</v>
      </c>
      <c r="B11403" s="451"/>
      <c r="C11403" s="451" t="s">
        <v>15544</v>
      </c>
      <c r="D11403" s="451"/>
      <c r="E11403" s="451"/>
      <c r="F11403" s="451"/>
      <c r="G11403" s="451" t="s">
        <v>22877</v>
      </c>
      <c r="H11403" s="451" t="s">
        <v>22878</v>
      </c>
      <c r="I11403" s="451" t="s">
        <v>38993</v>
      </c>
      <c r="J11403" s="451" t="s">
        <v>22943</v>
      </c>
      <c r="K11403" s="451"/>
    </row>
    <row r="11404" spans="1:11">
      <c r="A11404" s="450" t="s">
        <v>18021</v>
      </c>
      <c r="B11404" s="450"/>
      <c r="C11404" s="450" t="s">
        <v>15544</v>
      </c>
      <c r="D11404" s="450"/>
      <c r="E11404" s="450"/>
      <c r="F11404" s="450"/>
      <c r="G11404" s="450"/>
      <c r="H11404" s="450"/>
      <c r="I11404" s="450"/>
      <c r="J11404" s="450"/>
      <c r="K11404" s="450"/>
    </row>
    <row r="11405" spans="1:11">
      <c r="A11405" s="451" t="s">
        <v>18022</v>
      </c>
      <c r="B11405" s="451"/>
      <c r="C11405" s="451" t="s">
        <v>18023</v>
      </c>
      <c r="D11405" s="451"/>
      <c r="E11405" s="451"/>
      <c r="F11405" s="451"/>
      <c r="G11405" s="451" t="s">
        <v>22877</v>
      </c>
      <c r="H11405" s="451" t="s">
        <v>22878</v>
      </c>
      <c r="I11405" s="451" t="s">
        <v>38994</v>
      </c>
      <c r="J11405" s="451" t="s">
        <v>23185</v>
      </c>
      <c r="K11405" s="451"/>
    </row>
    <row r="11406" spans="1:11">
      <c r="A11406" s="450" t="s">
        <v>18024</v>
      </c>
      <c r="B11406" s="450"/>
      <c r="C11406" s="450" t="s">
        <v>4854</v>
      </c>
      <c r="D11406" s="450"/>
      <c r="E11406" s="450"/>
      <c r="F11406" s="450"/>
      <c r="G11406" s="450" t="s">
        <v>22877</v>
      </c>
      <c r="H11406" s="450" t="s">
        <v>22878</v>
      </c>
      <c r="I11406" s="450" t="s">
        <v>38995</v>
      </c>
      <c r="J11406" s="450" t="s">
        <v>22943</v>
      </c>
      <c r="K11406" s="450"/>
    </row>
    <row r="11407" spans="1:11">
      <c r="A11407" s="451" t="s">
        <v>18025</v>
      </c>
      <c r="B11407" s="451"/>
      <c r="C11407" s="451" t="s">
        <v>6129</v>
      </c>
      <c r="D11407" s="451"/>
      <c r="E11407" s="451"/>
      <c r="F11407" s="451"/>
      <c r="G11407" s="451" t="s">
        <v>22877</v>
      </c>
      <c r="H11407" s="451" t="s">
        <v>22878</v>
      </c>
      <c r="I11407" s="451"/>
      <c r="J11407" s="451" t="s">
        <v>22902</v>
      </c>
      <c r="K11407" s="451"/>
    </row>
    <row r="11408" spans="1:11">
      <c r="A11408" s="450" t="s">
        <v>18026</v>
      </c>
      <c r="B11408" s="450" t="s">
        <v>18027</v>
      </c>
      <c r="C11408" s="450" t="s">
        <v>8111</v>
      </c>
      <c r="D11408" s="450" t="s">
        <v>18028</v>
      </c>
      <c r="E11408" s="450"/>
      <c r="F11408" s="450"/>
      <c r="G11408" s="450" t="s">
        <v>22877</v>
      </c>
      <c r="H11408" s="450" t="s">
        <v>22878</v>
      </c>
      <c r="I11408" s="450" t="s">
        <v>24418</v>
      </c>
      <c r="J11408" s="450" t="s">
        <v>29564</v>
      </c>
      <c r="K11408" s="450"/>
    </row>
    <row r="11409" spans="1:11">
      <c r="A11409" s="451" t="s">
        <v>18026</v>
      </c>
      <c r="B11409" s="451" t="s">
        <v>18027</v>
      </c>
      <c r="C11409" s="451" t="s">
        <v>8111</v>
      </c>
      <c r="D11409" s="451" t="s">
        <v>18028</v>
      </c>
      <c r="E11409" s="451" t="s">
        <v>18029</v>
      </c>
      <c r="F11409" s="451"/>
      <c r="G11409" s="451"/>
      <c r="H11409" s="451"/>
      <c r="I11409" s="451"/>
      <c r="J11409" s="451"/>
      <c r="K11409" s="451"/>
    </row>
    <row r="11410" spans="1:11">
      <c r="A11410" s="450" t="s">
        <v>18030</v>
      </c>
      <c r="B11410" s="450"/>
      <c r="C11410" s="450" t="s">
        <v>18031</v>
      </c>
      <c r="D11410" s="450"/>
      <c r="E11410" s="450"/>
      <c r="F11410" s="450"/>
      <c r="G11410" s="450" t="s">
        <v>22877</v>
      </c>
      <c r="H11410" s="450" t="s">
        <v>22878</v>
      </c>
      <c r="I11410" s="450"/>
      <c r="J11410" s="450" t="s">
        <v>23185</v>
      </c>
      <c r="K11410" s="450"/>
    </row>
    <row r="11411" spans="1:11">
      <c r="A11411" s="451" t="s">
        <v>29565</v>
      </c>
      <c r="B11411" s="451"/>
      <c r="C11411" s="451" t="s">
        <v>10170</v>
      </c>
      <c r="D11411" s="451"/>
      <c r="E11411" s="451"/>
      <c r="F11411" s="451"/>
      <c r="G11411" s="451" t="s">
        <v>22877</v>
      </c>
      <c r="H11411" s="451" t="s">
        <v>22878</v>
      </c>
      <c r="I11411" s="451" t="s">
        <v>29566</v>
      </c>
      <c r="J11411" s="451" t="s">
        <v>22943</v>
      </c>
      <c r="K11411" s="451"/>
    </row>
    <row r="11412" spans="1:11">
      <c r="A11412" s="450" t="s">
        <v>18032</v>
      </c>
      <c r="B11412" s="450"/>
      <c r="C11412" s="450" t="s">
        <v>10170</v>
      </c>
      <c r="D11412" s="450"/>
      <c r="E11412" s="450"/>
      <c r="F11412" s="450"/>
      <c r="G11412" s="450"/>
      <c r="H11412" s="450"/>
      <c r="I11412" s="450"/>
      <c r="J11412" s="450"/>
      <c r="K11412" s="450"/>
    </row>
    <row r="11413" spans="1:11">
      <c r="A11413" s="451" t="s">
        <v>21318</v>
      </c>
      <c r="B11413" s="451" t="s">
        <v>21319</v>
      </c>
      <c r="C11413" s="451" t="s">
        <v>21320</v>
      </c>
      <c r="D11413" s="451" t="s">
        <v>21321</v>
      </c>
      <c r="E11413" s="451"/>
      <c r="F11413" s="451"/>
      <c r="G11413" s="451"/>
      <c r="H11413" s="451"/>
      <c r="I11413" s="451"/>
      <c r="J11413" s="451"/>
      <c r="K11413" s="451"/>
    </row>
    <row r="11414" spans="1:11">
      <c r="A11414" s="450" t="s">
        <v>29567</v>
      </c>
      <c r="B11414" s="450" t="s">
        <v>21319</v>
      </c>
      <c r="C11414" s="450" t="s">
        <v>21320</v>
      </c>
      <c r="D11414" s="450" t="s">
        <v>21321</v>
      </c>
      <c r="E11414" s="450"/>
      <c r="F11414" s="450" t="s">
        <v>29568</v>
      </c>
      <c r="G11414" s="450" t="s">
        <v>22877</v>
      </c>
      <c r="H11414" s="450" t="s">
        <v>22878</v>
      </c>
      <c r="I11414" s="450" t="s">
        <v>21321</v>
      </c>
      <c r="J11414" s="450" t="s">
        <v>29569</v>
      </c>
      <c r="K11414" s="450"/>
    </row>
    <row r="11415" spans="1:11">
      <c r="A11415" s="451" t="s">
        <v>29570</v>
      </c>
      <c r="B11415" s="451" t="s">
        <v>29571</v>
      </c>
      <c r="C11415" s="451" t="s">
        <v>3055</v>
      </c>
      <c r="D11415" s="451"/>
      <c r="E11415" s="451"/>
      <c r="F11415" s="451"/>
      <c r="G11415" s="451" t="s">
        <v>22877</v>
      </c>
      <c r="H11415" s="451" t="s">
        <v>22878</v>
      </c>
      <c r="I11415" s="451" t="s">
        <v>29572</v>
      </c>
      <c r="J11415" s="451" t="s">
        <v>29573</v>
      </c>
      <c r="K11415" s="451"/>
    </row>
    <row r="11416" spans="1:11">
      <c r="A11416" s="450" t="s">
        <v>18033</v>
      </c>
      <c r="B11416" s="450"/>
      <c r="C11416" s="450" t="s">
        <v>18034</v>
      </c>
      <c r="D11416" s="450"/>
      <c r="E11416" s="450"/>
      <c r="F11416" s="450"/>
      <c r="G11416" s="450"/>
      <c r="H11416" s="450"/>
      <c r="I11416" s="450"/>
      <c r="J11416" s="450"/>
      <c r="K11416" s="450"/>
    </row>
    <row r="11417" spans="1:11">
      <c r="A11417" s="451" t="s">
        <v>18035</v>
      </c>
      <c r="B11417" s="451"/>
      <c r="C11417" s="451" t="s">
        <v>1963</v>
      </c>
      <c r="D11417" s="451"/>
      <c r="E11417" s="451"/>
      <c r="F11417" s="451"/>
      <c r="G11417" s="451" t="s">
        <v>22882</v>
      </c>
      <c r="H11417" s="451" t="s">
        <v>22883</v>
      </c>
      <c r="I11417" s="451" t="s">
        <v>38996</v>
      </c>
      <c r="J11417" s="451" t="s">
        <v>23185</v>
      </c>
      <c r="K11417" s="451"/>
    </row>
    <row r="11418" spans="1:11">
      <c r="A11418" s="450" t="s">
        <v>29574</v>
      </c>
      <c r="B11418" s="450"/>
      <c r="C11418" s="450" t="s">
        <v>18034</v>
      </c>
      <c r="D11418" s="450"/>
      <c r="E11418" s="450"/>
      <c r="F11418" s="450"/>
      <c r="G11418" s="450" t="s">
        <v>22877</v>
      </c>
      <c r="H11418" s="450" t="s">
        <v>22878</v>
      </c>
      <c r="I11418" s="450" t="s">
        <v>29575</v>
      </c>
      <c r="J11418" s="450" t="s">
        <v>23143</v>
      </c>
      <c r="K11418" s="450"/>
    </row>
    <row r="11419" spans="1:11">
      <c r="A11419" s="451" t="s">
        <v>18036</v>
      </c>
      <c r="B11419" s="451" t="s">
        <v>18037</v>
      </c>
      <c r="C11419" s="451" t="s">
        <v>18038</v>
      </c>
      <c r="D11419" s="451" t="s">
        <v>18039</v>
      </c>
      <c r="E11419" s="451"/>
      <c r="F11419" s="451"/>
      <c r="G11419" s="451" t="s">
        <v>22877</v>
      </c>
      <c r="H11419" s="451" t="s">
        <v>22878</v>
      </c>
      <c r="I11419" s="451" t="s">
        <v>29394</v>
      </c>
      <c r="J11419" s="451" t="s">
        <v>29576</v>
      </c>
      <c r="K11419" s="451"/>
    </row>
    <row r="11420" spans="1:11">
      <c r="A11420" s="450" t="s">
        <v>18040</v>
      </c>
      <c r="B11420" s="450" t="s">
        <v>18041</v>
      </c>
      <c r="C11420" s="450" t="s">
        <v>18042</v>
      </c>
      <c r="D11420" s="450" t="s">
        <v>18043</v>
      </c>
      <c r="E11420" s="450"/>
      <c r="F11420" s="450"/>
      <c r="G11420" s="450" t="s">
        <v>22882</v>
      </c>
      <c r="H11420" s="450" t="s">
        <v>22883</v>
      </c>
      <c r="I11420" s="450" t="s">
        <v>38997</v>
      </c>
      <c r="J11420" s="450" t="s">
        <v>38998</v>
      </c>
      <c r="K11420" s="450"/>
    </row>
    <row r="11421" spans="1:11">
      <c r="A11421" s="451" t="s">
        <v>18040</v>
      </c>
      <c r="B11421" s="451" t="s">
        <v>18041</v>
      </c>
      <c r="C11421" s="451" t="s">
        <v>18042</v>
      </c>
      <c r="D11421" s="451" t="s">
        <v>18043</v>
      </c>
      <c r="E11421" s="451" t="s">
        <v>18044</v>
      </c>
      <c r="F11421" s="451"/>
      <c r="G11421" s="451"/>
      <c r="H11421" s="451"/>
      <c r="I11421" s="451"/>
      <c r="J11421" s="451"/>
      <c r="K11421" s="451"/>
    </row>
    <row r="11422" spans="1:11">
      <c r="A11422" s="450" t="s">
        <v>29577</v>
      </c>
      <c r="B11422" s="450" t="s">
        <v>29578</v>
      </c>
      <c r="C11422" s="450" t="s">
        <v>18047</v>
      </c>
      <c r="D11422" s="450"/>
      <c r="E11422" s="450"/>
      <c r="F11422" s="450"/>
      <c r="G11422" s="450" t="s">
        <v>22877</v>
      </c>
      <c r="H11422" s="450" t="s">
        <v>22878</v>
      </c>
      <c r="I11422" s="450" t="s">
        <v>29579</v>
      </c>
      <c r="J11422" s="450" t="s">
        <v>29580</v>
      </c>
      <c r="K11422" s="450"/>
    </row>
    <row r="11423" spans="1:11">
      <c r="A11423" s="451" t="s">
        <v>18045</v>
      </c>
      <c r="B11423" s="451" t="s">
        <v>18046</v>
      </c>
      <c r="C11423" s="451" t="s">
        <v>18047</v>
      </c>
      <c r="D11423" s="451"/>
      <c r="E11423" s="451"/>
      <c r="F11423" s="451"/>
      <c r="G11423" s="451"/>
      <c r="H11423" s="451"/>
      <c r="I11423" s="451"/>
      <c r="J11423" s="451"/>
      <c r="K11423" s="451"/>
    </row>
    <row r="11424" spans="1:11">
      <c r="A11424" s="450" t="s">
        <v>18048</v>
      </c>
      <c r="B11424" s="450"/>
      <c r="C11424" s="450" t="s">
        <v>1810</v>
      </c>
      <c r="D11424" s="450"/>
      <c r="E11424" s="450"/>
      <c r="F11424" s="450"/>
      <c r="G11424" s="450" t="s">
        <v>22882</v>
      </c>
      <c r="H11424" s="450" t="s">
        <v>22883</v>
      </c>
      <c r="I11424" s="450" t="s">
        <v>29581</v>
      </c>
      <c r="J11424" s="450" t="s">
        <v>23185</v>
      </c>
      <c r="K11424" s="450"/>
    </row>
    <row r="11425" spans="1:11">
      <c r="A11425" s="451" t="s">
        <v>29582</v>
      </c>
      <c r="B11425" s="451" t="s">
        <v>29583</v>
      </c>
      <c r="C11425" s="451" t="s">
        <v>29584</v>
      </c>
      <c r="D11425" s="451" t="s">
        <v>18052</v>
      </c>
      <c r="E11425" s="451"/>
      <c r="F11425" s="451" t="s">
        <v>29585</v>
      </c>
      <c r="G11425" s="451" t="s">
        <v>29586</v>
      </c>
      <c r="H11425" s="451" t="s">
        <v>22878</v>
      </c>
      <c r="I11425" s="451" t="s">
        <v>18052</v>
      </c>
      <c r="J11425" s="451" t="s">
        <v>29587</v>
      </c>
      <c r="K11425" s="451"/>
    </row>
    <row r="11426" spans="1:11">
      <c r="A11426" s="450" t="s">
        <v>18049</v>
      </c>
      <c r="B11426" s="450" t="s">
        <v>18050</v>
      </c>
      <c r="C11426" s="450" t="s">
        <v>18051</v>
      </c>
      <c r="D11426" s="450" t="s">
        <v>18052</v>
      </c>
      <c r="E11426" s="450" t="s">
        <v>18053</v>
      </c>
      <c r="F11426" s="450" t="s">
        <v>18054</v>
      </c>
      <c r="G11426" s="450"/>
      <c r="H11426" s="450"/>
      <c r="I11426" s="450"/>
      <c r="J11426" s="450"/>
      <c r="K11426" s="450"/>
    </row>
    <row r="11427" spans="1:11">
      <c r="A11427" s="451" t="s">
        <v>18055</v>
      </c>
      <c r="B11427" s="451" t="s">
        <v>18056</v>
      </c>
      <c r="C11427" s="451" t="s">
        <v>18051</v>
      </c>
      <c r="D11427" s="451" t="s">
        <v>18052</v>
      </c>
      <c r="E11427" s="451" t="s">
        <v>18053</v>
      </c>
      <c r="F11427" s="451" t="s">
        <v>18054</v>
      </c>
      <c r="G11427" s="451"/>
      <c r="H11427" s="451"/>
      <c r="I11427" s="451"/>
      <c r="J11427" s="451"/>
      <c r="K11427" s="451"/>
    </row>
    <row r="11428" spans="1:11">
      <c r="A11428" s="450" t="s">
        <v>18057</v>
      </c>
      <c r="B11428" s="450" t="s">
        <v>18058</v>
      </c>
      <c r="C11428" s="450" t="s">
        <v>18059</v>
      </c>
      <c r="D11428" s="450"/>
      <c r="E11428" s="450"/>
      <c r="F11428" s="450"/>
      <c r="G11428" s="450"/>
      <c r="H11428" s="450"/>
      <c r="I11428" s="450"/>
      <c r="J11428" s="450"/>
      <c r="K11428" s="450"/>
    </row>
    <row r="11429" spans="1:11">
      <c r="A11429" s="451" t="s">
        <v>29588</v>
      </c>
      <c r="B11429" s="451" t="s">
        <v>18056</v>
      </c>
      <c r="C11429" s="451" t="s">
        <v>18051</v>
      </c>
      <c r="D11429" s="451" t="s">
        <v>18052</v>
      </c>
      <c r="E11429" s="451"/>
      <c r="F11429" s="451" t="s">
        <v>18054</v>
      </c>
      <c r="G11429" s="451" t="s">
        <v>22877</v>
      </c>
      <c r="H11429" s="451" t="s">
        <v>22878</v>
      </c>
      <c r="I11429" s="451" t="s">
        <v>18052</v>
      </c>
      <c r="J11429" s="451" t="s">
        <v>29589</v>
      </c>
      <c r="K11429" s="451"/>
    </row>
    <row r="11430" spans="1:11">
      <c r="A11430" s="450" t="s">
        <v>29590</v>
      </c>
      <c r="B11430" s="450" t="s">
        <v>18058</v>
      </c>
      <c r="C11430" s="450" t="s">
        <v>18059</v>
      </c>
      <c r="D11430" s="450"/>
      <c r="E11430" s="450"/>
      <c r="F11430" s="450"/>
      <c r="G11430" s="450" t="s">
        <v>29591</v>
      </c>
      <c r="H11430" s="450" t="s">
        <v>22878</v>
      </c>
      <c r="I11430" s="450" t="s">
        <v>29592</v>
      </c>
      <c r="J11430" s="450" t="s">
        <v>18058</v>
      </c>
      <c r="K11430" s="450"/>
    </row>
    <row r="11431" spans="1:11">
      <c r="A11431" s="451" t="s">
        <v>18060</v>
      </c>
      <c r="B11431" s="451"/>
      <c r="C11431" s="451" t="s">
        <v>18061</v>
      </c>
      <c r="D11431" s="451"/>
      <c r="E11431" s="451"/>
      <c r="F11431" s="451"/>
      <c r="G11431" s="451"/>
      <c r="H11431" s="451"/>
      <c r="I11431" s="451"/>
      <c r="J11431" s="451"/>
      <c r="K11431" s="451"/>
    </row>
    <row r="11432" spans="1:11">
      <c r="A11432" s="450" t="s">
        <v>29593</v>
      </c>
      <c r="B11432" s="450"/>
      <c r="C11432" s="450" t="s">
        <v>29594</v>
      </c>
      <c r="D11432" s="450"/>
      <c r="E11432" s="450"/>
      <c r="F11432" s="450"/>
      <c r="G11432" s="450" t="s">
        <v>29595</v>
      </c>
      <c r="H11432" s="450" t="s">
        <v>22878</v>
      </c>
      <c r="I11432" s="450" t="s">
        <v>29596</v>
      </c>
      <c r="J11432" s="450" t="s">
        <v>29597</v>
      </c>
      <c r="K11432" s="450"/>
    </row>
    <row r="11433" spans="1:11">
      <c r="A11433" s="451" t="s">
        <v>29598</v>
      </c>
      <c r="B11433" s="451" t="s">
        <v>29599</v>
      </c>
      <c r="C11433" s="451" t="s">
        <v>29600</v>
      </c>
      <c r="D11433" s="451"/>
      <c r="E11433" s="451"/>
      <c r="F11433" s="451"/>
      <c r="G11433" s="451" t="s">
        <v>22877</v>
      </c>
      <c r="H11433" s="451" t="s">
        <v>22878</v>
      </c>
      <c r="I11433" s="451" t="s">
        <v>29601</v>
      </c>
      <c r="J11433" s="451" t="s">
        <v>29602</v>
      </c>
      <c r="K11433" s="451"/>
    </row>
    <row r="11434" spans="1:11">
      <c r="A11434" s="450" t="s">
        <v>38999</v>
      </c>
      <c r="B11434" s="450" t="s">
        <v>18063</v>
      </c>
      <c r="C11434" s="450" t="s">
        <v>3643</v>
      </c>
      <c r="D11434" s="450" t="s">
        <v>18064</v>
      </c>
      <c r="E11434" s="450"/>
      <c r="F11434" s="450"/>
      <c r="G11434" s="450" t="s">
        <v>22877</v>
      </c>
      <c r="H11434" s="450" t="s">
        <v>22878</v>
      </c>
      <c r="I11434" s="450" t="s">
        <v>18064</v>
      </c>
      <c r="J11434" s="450" t="s">
        <v>39000</v>
      </c>
      <c r="K11434" s="450"/>
    </row>
    <row r="11435" spans="1:11">
      <c r="A11435" s="451" t="s">
        <v>18062</v>
      </c>
      <c r="B11435" s="451" t="s">
        <v>18063</v>
      </c>
      <c r="C11435" s="451" t="s">
        <v>3643</v>
      </c>
      <c r="D11435" s="451" t="s">
        <v>18064</v>
      </c>
      <c r="E11435" s="451"/>
      <c r="F11435" s="451"/>
      <c r="G11435" s="451"/>
      <c r="H11435" s="451"/>
      <c r="I11435" s="451"/>
      <c r="J11435" s="451"/>
      <c r="K11435" s="451"/>
    </row>
    <row r="11436" spans="1:11">
      <c r="A11436" s="450" t="s">
        <v>18065</v>
      </c>
      <c r="B11436" s="450"/>
      <c r="C11436" s="450" t="s">
        <v>9363</v>
      </c>
      <c r="D11436" s="450"/>
      <c r="E11436" s="450"/>
      <c r="F11436" s="450"/>
      <c r="G11436" s="450" t="s">
        <v>22882</v>
      </c>
      <c r="H11436" s="450" t="s">
        <v>22883</v>
      </c>
      <c r="I11436" s="450" t="s">
        <v>39001</v>
      </c>
      <c r="J11436" s="450" t="s">
        <v>23143</v>
      </c>
      <c r="K11436" s="450"/>
    </row>
    <row r="11437" spans="1:11">
      <c r="A11437" s="451" t="s">
        <v>18066</v>
      </c>
      <c r="B11437" s="451"/>
      <c r="C11437" s="451" t="s">
        <v>2327</v>
      </c>
      <c r="D11437" s="451"/>
      <c r="E11437" s="451"/>
      <c r="F11437" s="451"/>
      <c r="G11437" s="451" t="s">
        <v>22877</v>
      </c>
      <c r="H11437" s="451" t="s">
        <v>22878</v>
      </c>
      <c r="I11437" s="451" t="s">
        <v>11622</v>
      </c>
      <c r="J11437" s="451" t="s">
        <v>28870</v>
      </c>
      <c r="K11437" s="451"/>
    </row>
    <row r="11438" spans="1:11">
      <c r="A11438" s="450" t="s">
        <v>29603</v>
      </c>
      <c r="B11438" s="450" t="s">
        <v>29604</v>
      </c>
      <c r="C11438" s="450" t="s">
        <v>29605</v>
      </c>
      <c r="D11438" s="450"/>
      <c r="E11438" s="450"/>
      <c r="F11438" s="450"/>
      <c r="G11438" s="450" t="s">
        <v>22877</v>
      </c>
      <c r="H11438" s="450" t="s">
        <v>22878</v>
      </c>
      <c r="I11438" s="450" t="s">
        <v>29606</v>
      </c>
      <c r="J11438" s="450" t="s">
        <v>29607</v>
      </c>
      <c r="K11438" s="450"/>
    </row>
    <row r="11439" spans="1:11">
      <c r="A11439" s="451" t="s">
        <v>18067</v>
      </c>
      <c r="B11439" s="451"/>
      <c r="C11439" s="451" t="s">
        <v>3089</v>
      </c>
      <c r="D11439" s="451"/>
      <c r="E11439" s="451"/>
      <c r="F11439" s="451"/>
      <c r="G11439" s="451" t="s">
        <v>22877</v>
      </c>
      <c r="H11439" s="451" t="s">
        <v>22878</v>
      </c>
      <c r="I11439" s="451" t="s">
        <v>39002</v>
      </c>
      <c r="J11439" s="451" t="s">
        <v>39003</v>
      </c>
      <c r="K11439" s="451"/>
    </row>
    <row r="11440" spans="1:11">
      <c r="A11440" s="450" t="s">
        <v>18068</v>
      </c>
      <c r="B11440" s="450"/>
      <c r="C11440" s="450" t="s">
        <v>17901</v>
      </c>
      <c r="D11440" s="450"/>
      <c r="E11440" s="450"/>
      <c r="F11440" s="450"/>
      <c r="G11440" s="450" t="s">
        <v>22882</v>
      </c>
      <c r="H11440" s="450" t="s">
        <v>22883</v>
      </c>
      <c r="I11440" s="450" t="s">
        <v>29481</v>
      </c>
      <c r="J11440" s="450" t="s">
        <v>32766</v>
      </c>
      <c r="K11440" s="450"/>
    </row>
    <row r="11441" spans="1:11">
      <c r="A11441" s="451" t="s">
        <v>18069</v>
      </c>
      <c r="B11441" s="451"/>
      <c r="C11441" s="451" t="s">
        <v>18070</v>
      </c>
      <c r="D11441" s="451"/>
      <c r="E11441" s="451"/>
      <c r="F11441" s="451"/>
      <c r="G11441" s="451" t="s">
        <v>22882</v>
      </c>
      <c r="H11441" s="451" t="s">
        <v>22883</v>
      </c>
      <c r="I11441" s="451" t="s">
        <v>39004</v>
      </c>
      <c r="J11441" s="451" t="s">
        <v>22902</v>
      </c>
      <c r="K11441" s="451"/>
    </row>
    <row r="11442" spans="1:11">
      <c r="A11442" s="450" t="s">
        <v>18071</v>
      </c>
      <c r="B11442" s="450"/>
      <c r="C11442" s="450" t="s">
        <v>18072</v>
      </c>
      <c r="D11442" s="450"/>
      <c r="E11442" s="450"/>
      <c r="F11442" s="450"/>
      <c r="G11442" s="450" t="s">
        <v>22882</v>
      </c>
      <c r="H11442" s="450" t="s">
        <v>22883</v>
      </c>
      <c r="I11442" s="450"/>
      <c r="J11442" s="450" t="s">
        <v>22902</v>
      </c>
      <c r="K11442" s="450"/>
    </row>
    <row r="11443" spans="1:11">
      <c r="A11443" s="451" t="s">
        <v>18073</v>
      </c>
      <c r="B11443" s="451"/>
      <c r="C11443" s="451" t="s">
        <v>18074</v>
      </c>
      <c r="D11443" s="451"/>
      <c r="E11443" s="451"/>
      <c r="F11443" s="451"/>
      <c r="G11443" s="451" t="s">
        <v>29608</v>
      </c>
      <c r="H11443" s="451" t="s">
        <v>22883</v>
      </c>
      <c r="I11443" s="451"/>
      <c r="J11443" s="451"/>
      <c r="K11443" s="451" t="s">
        <v>29609</v>
      </c>
    </row>
    <row r="11444" spans="1:11">
      <c r="A11444" s="450" t="s">
        <v>39005</v>
      </c>
      <c r="B11444" s="450" t="s">
        <v>18076</v>
      </c>
      <c r="C11444" s="450" t="s">
        <v>18077</v>
      </c>
      <c r="D11444" s="450"/>
      <c r="E11444" s="450"/>
      <c r="F11444" s="450"/>
      <c r="G11444" s="450" t="s">
        <v>22877</v>
      </c>
      <c r="H11444" s="450" t="s">
        <v>22878</v>
      </c>
      <c r="I11444" s="450" t="s">
        <v>39006</v>
      </c>
      <c r="J11444" s="450" t="s">
        <v>39007</v>
      </c>
      <c r="K11444" s="450"/>
    </row>
    <row r="11445" spans="1:11">
      <c r="A11445" s="451" t="s">
        <v>18075</v>
      </c>
      <c r="B11445" s="451" t="s">
        <v>18076</v>
      </c>
      <c r="C11445" s="451" t="s">
        <v>18077</v>
      </c>
      <c r="D11445" s="451"/>
      <c r="E11445" s="451"/>
      <c r="F11445" s="451"/>
      <c r="G11445" s="451"/>
      <c r="H11445" s="451"/>
      <c r="I11445" s="451"/>
      <c r="J11445" s="451"/>
      <c r="K11445" s="451"/>
    </row>
    <row r="11446" spans="1:11">
      <c r="A11446" s="450" t="s">
        <v>18078</v>
      </c>
      <c r="B11446" s="450" t="s">
        <v>18079</v>
      </c>
      <c r="C11446" s="450" t="s">
        <v>18080</v>
      </c>
      <c r="D11446" s="450" t="s">
        <v>18081</v>
      </c>
      <c r="E11446" s="450"/>
      <c r="F11446" s="450"/>
      <c r="G11446" s="450" t="s">
        <v>22877</v>
      </c>
      <c r="H11446" s="450" t="s">
        <v>22878</v>
      </c>
      <c r="I11446" s="450" t="s">
        <v>29610</v>
      </c>
      <c r="J11446" s="450" t="s">
        <v>29611</v>
      </c>
      <c r="K11446" s="450"/>
    </row>
    <row r="11447" spans="1:11">
      <c r="A11447" s="451" t="s">
        <v>39008</v>
      </c>
      <c r="B11447" s="451"/>
      <c r="C11447" s="451" t="s">
        <v>2652</v>
      </c>
      <c r="D11447" s="451"/>
      <c r="E11447" s="451"/>
      <c r="F11447" s="451"/>
      <c r="G11447" s="451" t="s">
        <v>22877</v>
      </c>
      <c r="H11447" s="451" t="s">
        <v>22878</v>
      </c>
      <c r="I11447" s="451" t="s">
        <v>39009</v>
      </c>
      <c r="J11447" s="451" t="s">
        <v>28870</v>
      </c>
      <c r="K11447" s="451"/>
    </row>
    <row r="11448" spans="1:11">
      <c r="A11448" s="450" t="s">
        <v>18082</v>
      </c>
      <c r="B11448" s="450"/>
      <c r="C11448" s="450"/>
      <c r="D11448" s="450" t="s">
        <v>18083</v>
      </c>
      <c r="E11448" s="450"/>
      <c r="F11448" s="450"/>
      <c r="G11448" s="450" t="s">
        <v>22877</v>
      </c>
      <c r="H11448" s="450" t="s">
        <v>22878</v>
      </c>
      <c r="I11448" s="450" t="s">
        <v>39010</v>
      </c>
      <c r="J11448" s="450" t="s">
        <v>39011</v>
      </c>
      <c r="K11448" s="450"/>
    </row>
    <row r="11449" spans="1:11">
      <c r="A11449" s="451" t="s">
        <v>18084</v>
      </c>
      <c r="B11449" s="451"/>
      <c r="C11449" s="451" t="s">
        <v>2652</v>
      </c>
      <c r="D11449" s="451"/>
      <c r="E11449" s="451"/>
      <c r="F11449" s="451"/>
      <c r="G11449" s="451"/>
      <c r="H11449" s="451"/>
      <c r="I11449" s="451"/>
      <c r="J11449" s="451"/>
      <c r="K11449" s="451"/>
    </row>
    <row r="11450" spans="1:11">
      <c r="A11450" s="450" t="s">
        <v>18085</v>
      </c>
      <c r="B11450" s="450"/>
      <c r="C11450" s="450" t="s">
        <v>8384</v>
      </c>
      <c r="D11450" s="450"/>
      <c r="E11450" s="450"/>
      <c r="F11450" s="450"/>
      <c r="G11450" s="450" t="s">
        <v>29612</v>
      </c>
      <c r="H11450" s="450" t="s">
        <v>22883</v>
      </c>
      <c r="I11450" s="450"/>
      <c r="J11450" s="450" t="s">
        <v>29613</v>
      </c>
      <c r="K11450" s="450"/>
    </row>
    <row r="11451" spans="1:11">
      <c r="A11451" s="451" t="s">
        <v>29614</v>
      </c>
      <c r="B11451" s="451" t="s">
        <v>29615</v>
      </c>
      <c r="C11451" s="451" t="s">
        <v>29616</v>
      </c>
      <c r="D11451" s="451"/>
      <c r="E11451" s="451"/>
      <c r="F11451" s="451"/>
      <c r="G11451" s="451" t="s">
        <v>22877</v>
      </c>
      <c r="H11451" s="451" t="s">
        <v>22878</v>
      </c>
      <c r="I11451" s="451" t="s">
        <v>29617</v>
      </c>
      <c r="J11451" s="451" t="s">
        <v>29618</v>
      </c>
      <c r="K11451" s="451"/>
    </row>
    <row r="11452" spans="1:11">
      <c r="A11452" s="450" t="s">
        <v>29619</v>
      </c>
      <c r="B11452" s="450" t="s">
        <v>18087</v>
      </c>
      <c r="C11452" s="450" t="s">
        <v>14965</v>
      </c>
      <c r="D11452" s="450" t="s">
        <v>18088</v>
      </c>
      <c r="E11452" s="450"/>
      <c r="F11452" s="450"/>
      <c r="G11452" s="450" t="s">
        <v>22877</v>
      </c>
      <c r="H11452" s="450" t="s">
        <v>22878</v>
      </c>
      <c r="I11452" s="450" t="s">
        <v>18088</v>
      </c>
      <c r="J11452" s="450" t="s">
        <v>29620</v>
      </c>
      <c r="K11452" s="450"/>
    </row>
    <row r="11453" spans="1:11">
      <c r="A11453" s="451" t="s">
        <v>18086</v>
      </c>
      <c r="B11453" s="451" t="s">
        <v>18087</v>
      </c>
      <c r="C11453" s="451" t="s">
        <v>14965</v>
      </c>
      <c r="D11453" s="451" t="s">
        <v>18088</v>
      </c>
      <c r="E11453" s="451" t="s">
        <v>18089</v>
      </c>
      <c r="F11453" s="451"/>
      <c r="G11453" s="451"/>
      <c r="H11453" s="451"/>
      <c r="I11453" s="451"/>
      <c r="J11453" s="451"/>
      <c r="K11453" s="451"/>
    </row>
    <row r="11454" spans="1:11">
      <c r="A11454" s="450" t="s">
        <v>18090</v>
      </c>
      <c r="B11454" s="450" t="s">
        <v>18091</v>
      </c>
      <c r="C11454" s="450" t="s">
        <v>18092</v>
      </c>
      <c r="D11454" s="450" t="s">
        <v>18093</v>
      </c>
      <c r="E11454" s="450" t="s">
        <v>18094</v>
      </c>
      <c r="F11454" s="450"/>
      <c r="G11454" s="450"/>
      <c r="H11454" s="450"/>
      <c r="I11454" s="450"/>
      <c r="J11454" s="450"/>
      <c r="K11454" s="450"/>
    </row>
    <row r="11455" spans="1:11">
      <c r="A11455" s="451" t="s">
        <v>29621</v>
      </c>
      <c r="B11455" s="451" t="s">
        <v>29622</v>
      </c>
      <c r="C11455" s="451" t="s">
        <v>18092</v>
      </c>
      <c r="D11455" s="451" t="s">
        <v>18093</v>
      </c>
      <c r="E11455" s="451"/>
      <c r="F11455" s="451"/>
      <c r="G11455" s="451" t="s">
        <v>22877</v>
      </c>
      <c r="H11455" s="451" t="s">
        <v>22878</v>
      </c>
      <c r="I11455" s="451" t="s">
        <v>18093</v>
      </c>
      <c r="J11455" s="451" t="s">
        <v>29623</v>
      </c>
      <c r="K11455" s="451"/>
    </row>
    <row r="11456" spans="1:11">
      <c r="A11456" s="450" t="s">
        <v>18095</v>
      </c>
      <c r="B11456" s="450"/>
      <c r="C11456" s="450" t="s">
        <v>17683</v>
      </c>
      <c r="D11456" s="450"/>
      <c r="E11456" s="450"/>
      <c r="F11456" s="450"/>
      <c r="G11456" s="450" t="s">
        <v>39012</v>
      </c>
      <c r="H11456" s="450" t="s">
        <v>22883</v>
      </c>
      <c r="I11456" s="450" t="s">
        <v>39013</v>
      </c>
      <c r="J11456" s="450" t="s">
        <v>39014</v>
      </c>
      <c r="K11456" s="450"/>
    </row>
    <row r="11457" spans="1:11">
      <c r="A11457" s="451" t="s">
        <v>18096</v>
      </c>
      <c r="B11457" s="451"/>
      <c r="C11457" s="451" t="s">
        <v>7873</v>
      </c>
      <c r="D11457" s="451"/>
      <c r="E11457" s="451"/>
      <c r="F11457" s="451"/>
      <c r="G11457" s="451" t="s">
        <v>22877</v>
      </c>
      <c r="H11457" s="451" t="s">
        <v>22878</v>
      </c>
      <c r="I11457" s="451" t="s">
        <v>39015</v>
      </c>
      <c r="J11457" s="451" t="s">
        <v>23185</v>
      </c>
      <c r="K11457" s="451"/>
    </row>
    <row r="11458" spans="1:11">
      <c r="A11458" s="450" t="s">
        <v>18097</v>
      </c>
      <c r="B11458" s="450"/>
      <c r="C11458" s="450" t="s">
        <v>18098</v>
      </c>
      <c r="D11458" s="450"/>
      <c r="E11458" s="450"/>
      <c r="F11458" s="450"/>
      <c r="G11458" s="450" t="s">
        <v>29624</v>
      </c>
      <c r="H11458" s="450" t="s">
        <v>22883</v>
      </c>
      <c r="I11458" s="450"/>
      <c r="J11458" s="450" t="s">
        <v>29625</v>
      </c>
      <c r="K11458" s="450"/>
    </row>
    <row r="11459" spans="1:11">
      <c r="A11459" s="451" t="s">
        <v>39016</v>
      </c>
      <c r="B11459" s="451" t="s">
        <v>18100</v>
      </c>
      <c r="C11459" s="451" t="s">
        <v>12657</v>
      </c>
      <c r="D11459" s="451"/>
      <c r="E11459" s="451"/>
      <c r="F11459" s="451"/>
      <c r="G11459" s="451" t="s">
        <v>22877</v>
      </c>
      <c r="H11459" s="451" t="s">
        <v>22878</v>
      </c>
      <c r="I11459" s="451" t="s">
        <v>39017</v>
      </c>
      <c r="J11459" s="451" t="s">
        <v>39018</v>
      </c>
      <c r="K11459" s="451"/>
    </row>
    <row r="11460" spans="1:11">
      <c r="A11460" s="450" t="s">
        <v>18099</v>
      </c>
      <c r="B11460" s="450" t="s">
        <v>18100</v>
      </c>
      <c r="C11460" s="450" t="s">
        <v>12657</v>
      </c>
      <c r="D11460" s="450"/>
      <c r="E11460" s="450"/>
      <c r="F11460" s="450"/>
      <c r="G11460" s="450"/>
      <c r="H11460" s="450"/>
      <c r="I11460" s="450"/>
      <c r="J11460" s="450"/>
      <c r="K11460" s="450"/>
    </row>
    <row r="11461" spans="1:11">
      <c r="A11461" s="451" t="s">
        <v>29626</v>
      </c>
      <c r="B11461" s="451" t="s">
        <v>29627</v>
      </c>
      <c r="C11461" s="451" t="s">
        <v>10180</v>
      </c>
      <c r="D11461" s="451"/>
      <c r="E11461" s="451"/>
      <c r="F11461" s="451" t="s">
        <v>29628</v>
      </c>
      <c r="G11461" s="451" t="s">
        <v>22877</v>
      </c>
      <c r="H11461" s="451" t="s">
        <v>22878</v>
      </c>
      <c r="I11461" s="451" t="s">
        <v>29629</v>
      </c>
      <c r="J11461" s="451" t="s">
        <v>29630</v>
      </c>
      <c r="K11461" s="451"/>
    </row>
    <row r="11462" spans="1:11">
      <c r="A11462" s="450" t="s">
        <v>18101</v>
      </c>
      <c r="B11462" s="450"/>
      <c r="C11462" s="450" t="s">
        <v>7804</v>
      </c>
      <c r="D11462" s="450"/>
      <c r="E11462" s="450"/>
      <c r="F11462" s="450"/>
      <c r="G11462" s="450" t="s">
        <v>22877</v>
      </c>
      <c r="H11462" s="450" t="s">
        <v>22878</v>
      </c>
      <c r="I11462" s="450" t="s">
        <v>39019</v>
      </c>
      <c r="J11462" s="450" t="s">
        <v>23185</v>
      </c>
      <c r="K11462" s="450"/>
    </row>
    <row r="11463" spans="1:11">
      <c r="A11463" s="451" t="s">
        <v>39020</v>
      </c>
      <c r="B11463" s="451"/>
      <c r="C11463" s="451" t="s">
        <v>18103</v>
      </c>
      <c r="D11463" s="451"/>
      <c r="E11463" s="451"/>
      <c r="F11463" s="451"/>
      <c r="G11463" s="451" t="s">
        <v>22877</v>
      </c>
      <c r="H11463" s="451" t="s">
        <v>22878</v>
      </c>
      <c r="I11463" s="451" t="s">
        <v>39021</v>
      </c>
      <c r="J11463" s="451" t="s">
        <v>22942</v>
      </c>
      <c r="K11463" s="451"/>
    </row>
    <row r="11464" spans="1:11">
      <c r="A11464" s="450" t="s">
        <v>18102</v>
      </c>
      <c r="B11464" s="450"/>
      <c r="C11464" s="450" t="s">
        <v>18103</v>
      </c>
      <c r="D11464" s="450"/>
      <c r="E11464" s="450"/>
      <c r="F11464" s="450"/>
      <c r="G11464" s="450"/>
      <c r="H11464" s="450"/>
      <c r="I11464" s="450"/>
      <c r="J11464" s="450"/>
      <c r="K11464" s="450"/>
    </row>
    <row r="11465" spans="1:11">
      <c r="A11465" s="451" t="s">
        <v>18104</v>
      </c>
      <c r="B11465" s="451" t="s">
        <v>2306</v>
      </c>
      <c r="C11465" s="451" t="s">
        <v>13040</v>
      </c>
      <c r="D11465" s="451" t="s">
        <v>18105</v>
      </c>
      <c r="E11465" s="451"/>
      <c r="F11465" s="451" t="s">
        <v>29631</v>
      </c>
      <c r="G11465" s="451" t="s">
        <v>22877</v>
      </c>
      <c r="H11465" s="451" t="s">
        <v>22878</v>
      </c>
      <c r="I11465" s="451" t="s">
        <v>18105</v>
      </c>
      <c r="J11465" s="451" t="s">
        <v>32019</v>
      </c>
      <c r="K11465" s="451"/>
    </row>
    <row r="11466" spans="1:11">
      <c r="A11466" s="450" t="s">
        <v>18104</v>
      </c>
      <c r="B11466" s="450" t="s">
        <v>2306</v>
      </c>
      <c r="C11466" s="450" t="s">
        <v>13040</v>
      </c>
      <c r="D11466" s="450" t="s">
        <v>18105</v>
      </c>
      <c r="E11466" s="450" t="s">
        <v>18106</v>
      </c>
      <c r="F11466" s="450" t="s">
        <v>18107</v>
      </c>
      <c r="G11466" s="450"/>
      <c r="H11466" s="450"/>
      <c r="I11466" s="450"/>
      <c r="J11466" s="450"/>
      <c r="K11466" s="450"/>
    </row>
    <row r="11467" spans="1:11">
      <c r="A11467" s="451" t="s">
        <v>18108</v>
      </c>
      <c r="B11467" s="451"/>
      <c r="C11467" s="451" t="s">
        <v>18109</v>
      </c>
      <c r="D11467" s="451"/>
      <c r="E11467" s="451"/>
      <c r="F11467" s="451"/>
      <c r="G11467" s="451" t="s">
        <v>22882</v>
      </c>
      <c r="H11467" s="451" t="s">
        <v>22883</v>
      </c>
      <c r="I11467" s="451"/>
      <c r="J11467" s="451" t="s">
        <v>23185</v>
      </c>
      <c r="K11467" s="451"/>
    </row>
    <row r="11468" spans="1:11">
      <c r="A11468" s="450" t="s">
        <v>29632</v>
      </c>
      <c r="B11468" s="450" t="s">
        <v>29633</v>
      </c>
      <c r="C11468" s="450" t="s">
        <v>18112</v>
      </c>
      <c r="D11468" s="450"/>
      <c r="E11468" s="450"/>
      <c r="F11468" s="450"/>
      <c r="G11468" s="450" t="s">
        <v>22882</v>
      </c>
      <c r="H11468" s="450" t="s">
        <v>22883</v>
      </c>
      <c r="I11468" s="450" t="s">
        <v>32020</v>
      </c>
      <c r="J11468" s="450" t="s">
        <v>32021</v>
      </c>
      <c r="K11468" s="450"/>
    </row>
    <row r="11469" spans="1:11">
      <c r="A11469" s="451" t="s">
        <v>18110</v>
      </c>
      <c r="B11469" s="451" t="s">
        <v>18111</v>
      </c>
      <c r="C11469" s="451" t="s">
        <v>18112</v>
      </c>
      <c r="D11469" s="451"/>
      <c r="E11469" s="451"/>
      <c r="F11469" s="451"/>
      <c r="G11469" s="451"/>
      <c r="H11469" s="451"/>
      <c r="I11469" s="451"/>
      <c r="J11469" s="451"/>
      <c r="K11469" s="451"/>
    </row>
    <row r="11470" spans="1:11">
      <c r="A11470" s="450" t="s">
        <v>29634</v>
      </c>
      <c r="B11470" s="450" t="s">
        <v>18114</v>
      </c>
      <c r="C11470" s="450" t="s">
        <v>18115</v>
      </c>
      <c r="D11470" s="450" t="s">
        <v>18116</v>
      </c>
      <c r="E11470" s="450"/>
      <c r="F11470" s="450"/>
      <c r="G11470" s="450" t="s">
        <v>22877</v>
      </c>
      <c r="H11470" s="450" t="s">
        <v>22878</v>
      </c>
      <c r="I11470" s="450" t="s">
        <v>18116</v>
      </c>
      <c r="J11470" s="450" t="s">
        <v>32022</v>
      </c>
      <c r="K11470" s="450"/>
    </row>
    <row r="11471" spans="1:11">
      <c r="A11471" s="451" t="s">
        <v>29635</v>
      </c>
      <c r="B11471" s="451" t="s">
        <v>18124</v>
      </c>
      <c r="C11471" s="451" t="s">
        <v>18125</v>
      </c>
      <c r="D11471" s="451" t="s">
        <v>18126</v>
      </c>
      <c r="E11471" s="451"/>
      <c r="F11471" s="451"/>
      <c r="G11471" s="451" t="s">
        <v>22877</v>
      </c>
      <c r="H11471" s="451" t="s">
        <v>22878</v>
      </c>
      <c r="I11471" s="451" t="s">
        <v>18126</v>
      </c>
      <c r="J11471" s="451" t="s">
        <v>32023</v>
      </c>
      <c r="K11471" s="451"/>
    </row>
    <row r="11472" spans="1:11">
      <c r="A11472" s="450" t="s">
        <v>29636</v>
      </c>
      <c r="B11472" s="450" t="s">
        <v>29637</v>
      </c>
      <c r="C11472" s="450" t="s">
        <v>29638</v>
      </c>
      <c r="D11472" s="450"/>
      <c r="E11472" s="450"/>
      <c r="F11472" s="450"/>
      <c r="G11472" s="450" t="s">
        <v>22877</v>
      </c>
      <c r="H11472" s="450" t="s">
        <v>22878</v>
      </c>
      <c r="I11472" s="450" t="s">
        <v>32024</v>
      </c>
      <c r="J11472" s="450" t="s">
        <v>32025</v>
      </c>
      <c r="K11472" s="450"/>
    </row>
    <row r="11473" spans="1:11">
      <c r="A11473" s="451" t="s">
        <v>29639</v>
      </c>
      <c r="B11473" s="451" t="s">
        <v>18119</v>
      </c>
      <c r="C11473" s="451" t="s">
        <v>18120</v>
      </c>
      <c r="D11473" s="451" t="s">
        <v>18121</v>
      </c>
      <c r="E11473" s="451"/>
      <c r="F11473" s="451"/>
      <c r="G11473" s="451" t="s">
        <v>22877</v>
      </c>
      <c r="H11473" s="451" t="s">
        <v>22878</v>
      </c>
      <c r="I11473" s="451" t="s">
        <v>18121</v>
      </c>
      <c r="J11473" s="451" t="s">
        <v>32026</v>
      </c>
      <c r="K11473" s="451"/>
    </row>
    <row r="11474" spans="1:11">
      <c r="A11474" s="450" t="s">
        <v>18113</v>
      </c>
      <c r="B11474" s="450" t="s">
        <v>18114</v>
      </c>
      <c r="C11474" s="450" t="s">
        <v>18115</v>
      </c>
      <c r="D11474" s="450" t="s">
        <v>18116</v>
      </c>
      <c r="E11474" s="450" t="s">
        <v>18117</v>
      </c>
      <c r="F11474" s="450"/>
      <c r="G11474" s="450"/>
      <c r="H11474" s="450"/>
      <c r="I11474" s="450"/>
      <c r="J11474" s="450"/>
      <c r="K11474" s="450"/>
    </row>
    <row r="11475" spans="1:11">
      <c r="A11475" s="451" t="s">
        <v>18118</v>
      </c>
      <c r="B11475" s="451" t="s">
        <v>18119</v>
      </c>
      <c r="C11475" s="451" t="s">
        <v>18120</v>
      </c>
      <c r="D11475" s="451" t="s">
        <v>18121</v>
      </c>
      <c r="E11475" s="451" t="s">
        <v>18122</v>
      </c>
      <c r="F11475" s="451"/>
      <c r="G11475" s="451"/>
      <c r="H11475" s="451"/>
      <c r="I11475" s="451"/>
      <c r="J11475" s="451"/>
      <c r="K11475" s="451"/>
    </row>
    <row r="11476" spans="1:11">
      <c r="A11476" s="450" t="s">
        <v>18123</v>
      </c>
      <c r="B11476" s="450" t="s">
        <v>18124</v>
      </c>
      <c r="C11476" s="450" t="s">
        <v>18125</v>
      </c>
      <c r="D11476" s="450" t="s">
        <v>18126</v>
      </c>
      <c r="E11476" s="450" t="s">
        <v>18127</v>
      </c>
      <c r="F11476" s="450"/>
      <c r="G11476" s="450"/>
      <c r="H11476" s="450"/>
      <c r="I11476" s="450"/>
      <c r="J11476" s="450"/>
      <c r="K11476" s="450"/>
    </row>
    <row r="11477" spans="1:11">
      <c r="A11477" s="451" t="s">
        <v>39022</v>
      </c>
      <c r="B11477" s="451"/>
      <c r="C11477" s="451" t="s">
        <v>1913</v>
      </c>
      <c r="D11477" s="451"/>
      <c r="E11477" s="451"/>
      <c r="F11477" s="451"/>
      <c r="G11477" s="451" t="s">
        <v>22877</v>
      </c>
      <c r="H11477" s="451" t="s">
        <v>22878</v>
      </c>
      <c r="I11477" s="451" t="s">
        <v>39023</v>
      </c>
      <c r="J11477" s="451" t="s">
        <v>22997</v>
      </c>
      <c r="K11477" s="451"/>
    </row>
    <row r="11478" spans="1:11">
      <c r="A11478" s="450" t="s">
        <v>18128</v>
      </c>
      <c r="B11478" s="450"/>
      <c r="C11478" s="450" t="s">
        <v>1913</v>
      </c>
      <c r="D11478" s="450"/>
      <c r="E11478" s="450"/>
      <c r="F11478" s="450"/>
      <c r="G11478" s="450"/>
      <c r="H11478" s="450"/>
      <c r="I11478" s="450"/>
      <c r="J11478" s="450"/>
      <c r="K11478" s="450"/>
    </row>
    <row r="11479" spans="1:11">
      <c r="A11479" s="451" t="s">
        <v>18129</v>
      </c>
      <c r="B11479" s="451"/>
      <c r="C11479" s="451" t="s">
        <v>18130</v>
      </c>
      <c r="D11479" s="451"/>
      <c r="E11479" s="451"/>
      <c r="F11479" s="451"/>
      <c r="G11479" s="451"/>
      <c r="H11479" s="451"/>
      <c r="I11479" s="451"/>
      <c r="J11479" s="451"/>
      <c r="K11479" s="451"/>
    </row>
    <row r="11480" spans="1:11">
      <c r="A11480" s="450" t="s">
        <v>29640</v>
      </c>
      <c r="B11480" s="450"/>
      <c r="C11480" s="450" t="s">
        <v>18130</v>
      </c>
      <c r="D11480" s="450"/>
      <c r="E11480" s="450"/>
      <c r="F11480" s="450"/>
      <c r="G11480" s="450" t="s">
        <v>22882</v>
      </c>
      <c r="H11480" s="450" t="s">
        <v>22883</v>
      </c>
      <c r="I11480" s="450"/>
      <c r="J11480" s="450" t="s">
        <v>22942</v>
      </c>
      <c r="K11480" s="450"/>
    </row>
    <row r="11481" spans="1:11">
      <c r="A11481" s="451" t="s">
        <v>39024</v>
      </c>
      <c r="B11481" s="451" t="s">
        <v>18132</v>
      </c>
      <c r="C11481" s="451" t="s">
        <v>15882</v>
      </c>
      <c r="D11481" s="451" t="s">
        <v>18133</v>
      </c>
      <c r="E11481" s="451"/>
      <c r="F11481" s="451"/>
      <c r="G11481" s="451" t="s">
        <v>22882</v>
      </c>
      <c r="H11481" s="451" t="s">
        <v>22883</v>
      </c>
      <c r="I11481" s="451" t="s">
        <v>18133</v>
      </c>
      <c r="J11481" s="451" t="s">
        <v>39025</v>
      </c>
      <c r="K11481" s="451"/>
    </row>
    <row r="11482" spans="1:11">
      <c r="A11482" s="450" t="s">
        <v>18131</v>
      </c>
      <c r="B11482" s="450" t="s">
        <v>18132</v>
      </c>
      <c r="C11482" s="450" t="s">
        <v>15882</v>
      </c>
      <c r="D11482" s="450" t="s">
        <v>18133</v>
      </c>
      <c r="E11482" s="450" t="s">
        <v>18134</v>
      </c>
      <c r="F11482" s="450"/>
      <c r="G11482" s="450"/>
      <c r="H11482" s="450"/>
      <c r="I11482" s="450"/>
      <c r="J11482" s="450"/>
      <c r="K11482" s="450"/>
    </row>
    <row r="11483" spans="1:11">
      <c r="A11483" s="451" t="s">
        <v>39026</v>
      </c>
      <c r="B11483" s="451"/>
      <c r="C11483" s="451" t="s">
        <v>18136</v>
      </c>
      <c r="D11483" s="451"/>
      <c r="E11483" s="451"/>
      <c r="F11483" s="451"/>
      <c r="G11483" s="451" t="s">
        <v>22877</v>
      </c>
      <c r="H11483" s="451" t="s">
        <v>22878</v>
      </c>
      <c r="I11483" s="451" t="s">
        <v>39027</v>
      </c>
      <c r="J11483" s="451" t="s">
        <v>28871</v>
      </c>
      <c r="K11483" s="451"/>
    </row>
    <row r="11484" spans="1:11">
      <c r="A11484" s="450" t="s">
        <v>18135</v>
      </c>
      <c r="B11484" s="450"/>
      <c r="C11484" s="450" t="s">
        <v>18136</v>
      </c>
      <c r="D11484" s="450"/>
      <c r="E11484" s="450"/>
      <c r="F11484" s="450"/>
      <c r="G11484" s="450"/>
      <c r="H11484" s="450"/>
      <c r="I11484" s="450"/>
      <c r="J11484" s="450"/>
      <c r="K11484" s="450"/>
    </row>
    <row r="11485" spans="1:11">
      <c r="A11485" s="451" t="s">
        <v>29641</v>
      </c>
      <c r="B11485" s="451" t="s">
        <v>29642</v>
      </c>
      <c r="C11485" s="451" t="s">
        <v>29643</v>
      </c>
      <c r="D11485" s="451"/>
      <c r="E11485" s="451"/>
      <c r="F11485" s="451"/>
      <c r="G11485" s="451" t="s">
        <v>22877</v>
      </c>
      <c r="H11485" s="451" t="s">
        <v>22878</v>
      </c>
      <c r="I11485" s="451" t="s">
        <v>32027</v>
      </c>
      <c r="J11485" s="451" t="s">
        <v>32028</v>
      </c>
      <c r="K11485" s="451"/>
    </row>
    <row r="11486" spans="1:11">
      <c r="A11486" s="450" t="s">
        <v>22006</v>
      </c>
      <c r="B11486" s="450"/>
      <c r="C11486" s="450" t="s">
        <v>7041</v>
      </c>
      <c r="D11486" s="450"/>
      <c r="E11486" s="450"/>
      <c r="F11486" s="450"/>
      <c r="G11486" s="450" t="s">
        <v>22882</v>
      </c>
      <c r="H11486" s="450" t="s">
        <v>22883</v>
      </c>
      <c r="I11486" s="450" t="s">
        <v>39028</v>
      </c>
      <c r="J11486" s="450" t="s">
        <v>22942</v>
      </c>
      <c r="K11486" s="450"/>
    </row>
    <row r="11487" spans="1:11">
      <c r="A11487" s="451" t="s">
        <v>18137</v>
      </c>
      <c r="B11487" s="451"/>
      <c r="C11487" s="451" t="s">
        <v>7854</v>
      </c>
      <c r="D11487" s="451"/>
      <c r="E11487" s="451"/>
      <c r="F11487" s="451"/>
      <c r="G11487" s="451" t="s">
        <v>22877</v>
      </c>
      <c r="H11487" s="451" t="s">
        <v>22878</v>
      </c>
      <c r="I11487" s="451" t="s">
        <v>35192</v>
      </c>
      <c r="J11487" s="451" t="s">
        <v>22997</v>
      </c>
      <c r="K11487" s="451"/>
    </row>
    <row r="11488" spans="1:11">
      <c r="A11488" s="450" t="s">
        <v>18138</v>
      </c>
      <c r="B11488" s="450"/>
      <c r="C11488" s="450" t="s">
        <v>14590</v>
      </c>
      <c r="D11488" s="450"/>
      <c r="E11488" s="450"/>
      <c r="F11488" s="450"/>
      <c r="G11488" s="450" t="s">
        <v>22882</v>
      </c>
      <c r="H11488" s="450" t="s">
        <v>22883</v>
      </c>
      <c r="I11488" s="450"/>
      <c r="J11488" s="450" t="s">
        <v>22997</v>
      </c>
      <c r="K11488" s="450"/>
    </row>
    <row r="11489" spans="1:11">
      <c r="A11489" s="451" t="s">
        <v>29644</v>
      </c>
      <c r="B11489" s="451" t="s">
        <v>29645</v>
      </c>
      <c r="C11489" s="451" t="s">
        <v>29646</v>
      </c>
      <c r="D11489" s="451"/>
      <c r="E11489" s="451"/>
      <c r="F11489" s="451"/>
      <c r="G11489" s="451" t="s">
        <v>22877</v>
      </c>
      <c r="H11489" s="451" t="s">
        <v>22878</v>
      </c>
      <c r="I11489" s="451" t="s">
        <v>32029</v>
      </c>
      <c r="J11489" s="451" t="s">
        <v>32030</v>
      </c>
      <c r="K11489" s="451"/>
    </row>
    <row r="11490" spans="1:11">
      <c r="A11490" s="450" t="s">
        <v>29647</v>
      </c>
      <c r="B11490" s="450" t="s">
        <v>18143</v>
      </c>
      <c r="C11490" s="450" t="s">
        <v>18144</v>
      </c>
      <c r="D11490" s="450"/>
      <c r="E11490" s="450"/>
      <c r="F11490" s="450"/>
      <c r="G11490" s="450" t="s">
        <v>22877</v>
      </c>
      <c r="H11490" s="450" t="s">
        <v>22878</v>
      </c>
      <c r="I11490" s="450" t="s">
        <v>32031</v>
      </c>
      <c r="J11490" s="450" t="s">
        <v>32032</v>
      </c>
      <c r="K11490" s="450"/>
    </row>
    <row r="11491" spans="1:11">
      <c r="A11491" s="451" t="s">
        <v>29648</v>
      </c>
      <c r="B11491" s="451" t="s">
        <v>18140</v>
      </c>
      <c r="C11491" s="451" t="s">
        <v>3055</v>
      </c>
      <c r="D11491" s="451" t="s">
        <v>18141</v>
      </c>
      <c r="E11491" s="451"/>
      <c r="F11491" s="451"/>
      <c r="G11491" s="451" t="s">
        <v>22877</v>
      </c>
      <c r="H11491" s="451" t="s">
        <v>22878</v>
      </c>
      <c r="I11491" s="451" t="s">
        <v>32033</v>
      </c>
      <c r="J11491" s="451" t="s">
        <v>32034</v>
      </c>
      <c r="K11491" s="451"/>
    </row>
    <row r="11492" spans="1:11">
      <c r="A11492" s="450" t="s">
        <v>18139</v>
      </c>
      <c r="B11492" s="450" t="s">
        <v>18140</v>
      </c>
      <c r="C11492" s="450" t="s">
        <v>3055</v>
      </c>
      <c r="D11492" s="450" t="s">
        <v>18141</v>
      </c>
      <c r="E11492" s="450"/>
      <c r="F11492" s="450"/>
      <c r="G11492" s="450"/>
      <c r="H11492" s="450"/>
      <c r="I11492" s="450"/>
      <c r="J11492" s="450"/>
      <c r="K11492" s="450"/>
    </row>
    <row r="11493" spans="1:11">
      <c r="A11493" s="451" t="s">
        <v>18142</v>
      </c>
      <c r="B11493" s="451" t="s">
        <v>18143</v>
      </c>
      <c r="C11493" s="451" t="s">
        <v>18144</v>
      </c>
      <c r="D11493" s="451"/>
      <c r="E11493" s="451"/>
      <c r="F11493" s="451"/>
      <c r="G11493" s="451"/>
      <c r="H11493" s="451"/>
      <c r="I11493" s="451"/>
      <c r="J11493" s="451"/>
      <c r="K11493" s="451"/>
    </row>
    <row r="11494" spans="1:11">
      <c r="A11494" s="450" t="s">
        <v>18145</v>
      </c>
      <c r="B11494" s="450"/>
      <c r="C11494" s="450" t="s">
        <v>18146</v>
      </c>
      <c r="D11494" s="450"/>
      <c r="E11494" s="450"/>
      <c r="F11494" s="450"/>
      <c r="G11494" s="450" t="s">
        <v>22882</v>
      </c>
      <c r="H11494" s="450" t="s">
        <v>22883</v>
      </c>
      <c r="I11494" s="450" t="s">
        <v>32035</v>
      </c>
      <c r="J11494" s="450" t="s">
        <v>23185</v>
      </c>
      <c r="K11494" s="450"/>
    </row>
    <row r="11495" spans="1:11">
      <c r="A11495" s="451" t="s">
        <v>21053</v>
      </c>
      <c r="B11495" s="451" t="s">
        <v>21055</v>
      </c>
      <c r="C11495" s="451" t="s">
        <v>39029</v>
      </c>
      <c r="D11495" s="451">
        <v>2562327949</v>
      </c>
      <c r="E11495" s="451"/>
      <c r="F11495" s="451"/>
      <c r="G11495" s="451" t="s">
        <v>22877</v>
      </c>
      <c r="H11495" s="451" t="s">
        <v>22878</v>
      </c>
      <c r="I11495" s="451" t="s">
        <v>39030</v>
      </c>
      <c r="J11495" s="451" t="s">
        <v>39031</v>
      </c>
      <c r="K11495" s="451"/>
    </row>
    <row r="11496" spans="1:11">
      <c r="A11496" s="450" t="s">
        <v>21053</v>
      </c>
      <c r="B11496" s="450" t="s">
        <v>21055</v>
      </c>
      <c r="C11496" s="450" t="s">
        <v>21054</v>
      </c>
      <c r="D11496" s="450">
        <v>2562327949</v>
      </c>
      <c r="E11496" s="450"/>
      <c r="F11496" s="450"/>
      <c r="G11496" s="450"/>
      <c r="H11496" s="450"/>
      <c r="I11496" s="450"/>
      <c r="J11496" s="450"/>
      <c r="K11496" s="450"/>
    </row>
    <row r="11497" spans="1:11">
      <c r="A11497" s="451" t="s">
        <v>29649</v>
      </c>
      <c r="B11497" s="451" t="s">
        <v>29650</v>
      </c>
      <c r="C11497" s="451" t="s">
        <v>29651</v>
      </c>
      <c r="D11497" s="451"/>
      <c r="E11497" s="451"/>
      <c r="F11497" s="451"/>
      <c r="G11497" s="451" t="s">
        <v>22877</v>
      </c>
      <c r="H11497" s="451" t="s">
        <v>22878</v>
      </c>
      <c r="I11497" s="451" t="s">
        <v>32036</v>
      </c>
      <c r="J11497" s="451" t="s">
        <v>32037</v>
      </c>
      <c r="K11497" s="451"/>
    </row>
    <row r="11498" spans="1:11">
      <c r="A11498" s="450" t="s">
        <v>18147</v>
      </c>
      <c r="B11498" s="450"/>
      <c r="C11498" s="450" t="s">
        <v>18148</v>
      </c>
      <c r="D11498" s="450"/>
      <c r="E11498" s="450"/>
      <c r="F11498" s="450"/>
      <c r="G11498" s="450" t="s">
        <v>22882</v>
      </c>
      <c r="H11498" s="450" t="s">
        <v>22883</v>
      </c>
      <c r="I11498" s="450"/>
      <c r="J11498" s="450" t="s">
        <v>22997</v>
      </c>
      <c r="K11498" s="450"/>
    </row>
    <row r="11499" spans="1:11">
      <c r="A11499" s="451" t="s">
        <v>18149</v>
      </c>
      <c r="B11499" s="451"/>
      <c r="C11499" s="451" t="s">
        <v>5042</v>
      </c>
      <c r="D11499" s="451"/>
      <c r="E11499" s="451"/>
      <c r="F11499" s="451"/>
      <c r="G11499" s="451" t="s">
        <v>22882</v>
      </c>
      <c r="H11499" s="451" t="s">
        <v>22883</v>
      </c>
      <c r="I11499" s="451"/>
      <c r="J11499" s="451" t="s">
        <v>23185</v>
      </c>
      <c r="K11499" s="451"/>
    </row>
    <row r="11500" spans="1:11">
      <c r="A11500" s="450" t="s">
        <v>39032</v>
      </c>
      <c r="B11500" s="450" t="s">
        <v>18151</v>
      </c>
      <c r="C11500" s="450" t="s">
        <v>18152</v>
      </c>
      <c r="D11500" s="450" t="s">
        <v>1859</v>
      </c>
      <c r="E11500" s="450"/>
      <c r="F11500" s="450"/>
      <c r="G11500" s="450" t="s">
        <v>22882</v>
      </c>
      <c r="H11500" s="450" t="s">
        <v>22883</v>
      </c>
      <c r="I11500" s="450" t="s">
        <v>1859</v>
      </c>
      <c r="J11500" s="450" t="s">
        <v>39033</v>
      </c>
      <c r="K11500" s="450"/>
    </row>
    <row r="11501" spans="1:11">
      <c r="A11501" s="451" t="s">
        <v>18150</v>
      </c>
      <c r="B11501" s="451" t="s">
        <v>18151</v>
      </c>
      <c r="C11501" s="451" t="s">
        <v>18152</v>
      </c>
      <c r="D11501" s="451" t="s">
        <v>1859</v>
      </c>
      <c r="E11501" s="451" t="s">
        <v>1860</v>
      </c>
      <c r="F11501" s="451"/>
      <c r="G11501" s="451"/>
      <c r="H11501" s="451"/>
      <c r="I11501" s="451"/>
      <c r="J11501" s="451"/>
      <c r="K11501" s="451"/>
    </row>
    <row r="11502" spans="1:11">
      <c r="A11502" s="450" t="s">
        <v>29652</v>
      </c>
      <c r="B11502" s="450" t="s">
        <v>18154</v>
      </c>
      <c r="C11502" s="450" t="s">
        <v>18155</v>
      </c>
      <c r="D11502" s="450" t="s">
        <v>18156</v>
      </c>
      <c r="E11502" s="450"/>
      <c r="F11502" s="450"/>
      <c r="G11502" s="450" t="s">
        <v>22877</v>
      </c>
      <c r="H11502" s="450" t="s">
        <v>22878</v>
      </c>
      <c r="I11502" s="450" t="s">
        <v>32038</v>
      </c>
      <c r="J11502" s="450" t="s">
        <v>32039</v>
      </c>
      <c r="K11502" s="450"/>
    </row>
    <row r="11503" spans="1:11">
      <c r="A11503" s="451" t="s">
        <v>18153</v>
      </c>
      <c r="B11503" s="451" t="s">
        <v>18154</v>
      </c>
      <c r="C11503" s="451" t="s">
        <v>18155</v>
      </c>
      <c r="D11503" s="451" t="s">
        <v>18156</v>
      </c>
      <c r="E11503" s="451" t="s">
        <v>18157</v>
      </c>
      <c r="F11503" s="451"/>
      <c r="G11503" s="451"/>
      <c r="H11503" s="451"/>
      <c r="I11503" s="451"/>
      <c r="J11503" s="451"/>
      <c r="K11503" s="451"/>
    </row>
    <row r="11504" spans="1:11">
      <c r="A11504" s="450" t="s">
        <v>18158</v>
      </c>
      <c r="B11504" s="450"/>
      <c r="C11504" s="450" t="s">
        <v>18159</v>
      </c>
      <c r="D11504" s="450"/>
      <c r="E11504" s="450"/>
      <c r="F11504" s="450"/>
      <c r="G11504" s="450" t="s">
        <v>22882</v>
      </c>
      <c r="H11504" s="450" t="s">
        <v>22883</v>
      </c>
      <c r="I11504" s="450"/>
      <c r="J11504" s="450" t="s">
        <v>22997</v>
      </c>
      <c r="K11504" s="450"/>
    </row>
    <row r="11505" spans="1:11">
      <c r="A11505" s="451" t="s">
        <v>18160</v>
      </c>
      <c r="B11505" s="451"/>
      <c r="C11505" s="451" t="s">
        <v>3010</v>
      </c>
      <c r="D11505" s="451"/>
      <c r="E11505" s="451"/>
      <c r="F11505" s="451"/>
      <c r="G11505" s="451" t="s">
        <v>22877</v>
      </c>
      <c r="H11505" s="451" t="s">
        <v>22878</v>
      </c>
      <c r="I11505" s="451" t="s">
        <v>39034</v>
      </c>
      <c r="J11505" s="451" t="s">
        <v>28403</v>
      </c>
      <c r="K11505" s="451"/>
    </row>
    <row r="11506" spans="1:11">
      <c r="A11506" s="450" t="s">
        <v>39035</v>
      </c>
      <c r="B11506" s="450"/>
      <c r="C11506" s="450" t="s">
        <v>39036</v>
      </c>
      <c r="D11506" s="450"/>
      <c r="E11506" s="450"/>
      <c r="F11506" s="450"/>
      <c r="G11506" s="450" t="s">
        <v>22882</v>
      </c>
      <c r="H11506" s="450" t="s">
        <v>22883</v>
      </c>
      <c r="I11506" s="450" t="s">
        <v>39037</v>
      </c>
      <c r="J11506" s="450" t="s">
        <v>23370</v>
      </c>
      <c r="K11506" s="450"/>
    </row>
    <row r="11507" spans="1:11">
      <c r="A11507" s="451" t="s">
        <v>18161</v>
      </c>
      <c r="B11507" s="451"/>
      <c r="C11507" s="451" t="s">
        <v>18162</v>
      </c>
      <c r="D11507" s="451"/>
      <c r="E11507" s="451"/>
      <c r="F11507" s="451"/>
      <c r="G11507" s="451"/>
      <c r="H11507" s="451"/>
      <c r="I11507" s="451"/>
      <c r="J11507" s="451"/>
      <c r="K11507" s="451"/>
    </row>
    <row r="11508" spans="1:11">
      <c r="A11508" s="450" t="s">
        <v>39038</v>
      </c>
      <c r="B11508" s="450" t="s">
        <v>20194</v>
      </c>
      <c r="C11508" s="450" t="s">
        <v>20195</v>
      </c>
      <c r="D11508" s="450"/>
      <c r="E11508" s="450"/>
      <c r="F11508" s="450" t="s">
        <v>20196</v>
      </c>
      <c r="G11508" s="450" t="s">
        <v>22877</v>
      </c>
      <c r="H11508" s="450" t="s">
        <v>22878</v>
      </c>
      <c r="I11508" s="450" t="s">
        <v>39039</v>
      </c>
      <c r="J11508" s="450" t="s">
        <v>39040</v>
      </c>
      <c r="K11508" s="450"/>
    </row>
    <row r="11509" spans="1:11">
      <c r="A11509" s="451" t="s">
        <v>20193</v>
      </c>
      <c r="B11509" s="451" t="s">
        <v>20194</v>
      </c>
      <c r="C11509" s="451" t="s">
        <v>20195</v>
      </c>
      <c r="D11509" s="451"/>
      <c r="E11509" s="451"/>
      <c r="F11509" s="451" t="s">
        <v>20196</v>
      </c>
      <c r="G11509" s="451"/>
      <c r="H11509" s="451"/>
      <c r="I11509" s="451"/>
      <c r="J11509" s="451"/>
      <c r="K11509" s="451"/>
    </row>
    <row r="11510" spans="1:11">
      <c r="A11510" s="450" t="s">
        <v>18163</v>
      </c>
      <c r="B11510" s="450"/>
      <c r="C11510" s="450" t="s">
        <v>18164</v>
      </c>
      <c r="D11510" s="450"/>
      <c r="E11510" s="450"/>
      <c r="F11510" s="450"/>
      <c r="G11510" s="450" t="s">
        <v>22877</v>
      </c>
      <c r="H11510" s="450" t="s">
        <v>22878</v>
      </c>
      <c r="I11510" s="450" t="s">
        <v>39041</v>
      </c>
      <c r="J11510" s="450" t="s">
        <v>23370</v>
      </c>
      <c r="K11510" s="450"/>
    </row>
    <row r="11511" spans="1:11">
      <c r="A11511" s="451" t="s">
        <v>18165</v>
      </c>
      <c r="B11511" s="451"/>
      <c r="C11511" s="451" t="s">
        <v>5243</v>
      </c>
      <c r="D11511" s="451"/>
      <c r="E11511" s="451"/>
      <c r="F11511" s="451"/>
      <c r="G11511" s="451" t="s">
        <v>22882</v>
      </c>
      <c r="H11511" s="451" t="s">
        <v>22883</v>
      </c>
      <c r="I11511" s="451"/>
      <c r="J11511" s="451" t="s">
        <v>22942</v>
      </c>
      <c r="K11511" s="451"/>
    </row>
    <row r="11512" spans="1:11">
      <c r="A11512" s="450" t="s">
        <v>39042</v>
      </c>
      <c r="B11512" s="450"/>
      <c r="C11512" s="450" t="s">
        <v>18167</v>
      </c>
      <c r="D11512" s="450"/>
      <c r="E11512" s="450"/>
      <c r="F11512" s="450"/>
      <c r="G11512" s="450" t="s">
        <v>22882</v>
      </c>
      <c r="H11512" s="450" t="s">
        <v>22883</v>
      </c>
      <c r="I11512" s="450" t="s">
        <v>39043</v>
      </c>
      <c r="J11512" s="450" t="s">
        <v>28870</v>
      </c>
      <c r="K11512" s="450"/>
    </row>
    <row r="11513" spans="1:11">
      <c r="A11513" s="451" t="s">
        <v>39044</v>
      </c>
      <c r="B11513" s="451"/>
      <c r="C11513" s="451" t="s">
        <v>18169</v>
      </c>
      <c r="D11513" s="451"/>
      <c r="E11513" s="451"/>
      <c r="F11513" s="451"/>
      <c r="G11513" s="451" t="s">
        <v>22877</v>
      </c>
      <c r="H11513" s="451" t="s">
        <v>22878</v>
      </c>
      <c r="I11513" s="451" t="s">
        <v>39045</v>
      </c>
      <c r="J11513" s="451" t="s">
        <v>23370</v>
      </c>
      <c r="K11513" s="451"/>
    </row>
    <row r="11514" spans="1:11">
      <c r="A11514" s="450" t="s">
        <v>39046</v>
      </c>
      <c r="B11514" s="450"/>
      <c r="C11514" s="450" t="s">
        <v>18171</v>
      </c>
      <c r="D11514" s="450"/>
      <c r="E11514" s="450"/>
      <c r="F11514" s="450"/>
      <c r="G11514" s="450" t="s">
        <v>22882</v>
      </c>
      <c r="H11514" s="450" t="s">
        <v>22883</v>
      </c>
      <c r="I11514" s="450"/>
      <c r="J11514" s="450" t="s">
        <v>23370</v>
      </c>
      <c r="K11514" s="450"/>
    </row>
    <row r="11515" spans="1:11">
      <c r="A11515" s="451" t="s">
        <v>39047</v>
      </c>
      <c r="B11515" s="451"/>
      <c r="C11515" s="451" t="s">
        <v>18173</v>
      </c>
      <c r="D11515" s="451"/>
      <c r="E11515" s="451"/>
      <c r="F11515" s="451"/>
      <c r="G11515" s="451" t="s">
        <v>22882</v>
      </c>
      <c r="H11515" s="451" t="s">
        <v>22883</v>
      </c>
      <c r="I11515" s="451"/>
      <c r="J11515" s="451" t="s">
        <v>23370</v>
      </c>
      <c r="K11515" s="451"/>
    </row>
    <row r="11516" spans="1:11">
      <c r="A11516" s="450" t="s">
        <v>18166</v>
      </c>
      <c r="B11516" s="450"/>
      <c r="C11516" s="450" t="s">
        <v>18167</v>
      </c>
      <c r="D11516" s="450"/>
      <c r="E11516" s="450"/>
      <c r="F11516" s="450"/>
      <c r="G11516" s="450"/>
      <c r="H11516" s="450"/>
      <c r="I11516" s="450"/>
      <c r="J11516" s="450"/>
      <c r="K11516" s="450"/>
    </row>
    <row r="11517" spans="1:11">
      <c r="A11517" s="451" t="s">
        <v>18168</v>
      </c>
      <c r="B11517" s="451"/>
      <c r="C11517" s="451" t="s">
        <v>18169</v>
      </c>
      <c r="D11517" s="451"/>
      <c r="E11517" s="451"/>
      <c r="F11517" s="451"/>
      <c r="G11517" s="451"/>
      <c r="H11517" s="451"/>
      <c r="I11517" s="451"/>
      <c r="J11517" s="451"/>
      <c r="K11517" s="451"/>
    </row>
    <row r="11518" spans="1:11">
      <c r="A11518" s="450" t="s">
        <v>18170</v>
      </c>
      <c r="B11518" s="450"/>
      <c r="C11518" s="450" t="s">
        <v>18171</v>
      </c>
      <c r="D11518" s="450"/>
      <c r="E11518" s="450"/>
      <c r="F11518" s="450"/>
      <c r="G11518" s="450"/>
      <c r="H11518" s="450"/>
      <c r="I11518" s="450"/>
      <c r="J11518" s="450"/>
      <c r="K11518" s="450"/>
    </row>
    <row r="11519" spans="1:11">
      <c r="A11519" s="451" t="s">
        <v>18172</v>
      </c>
      <c r="B11519" s="451"/>
      <c r="C11519" s="451" t="s">
        <v>18173</v>
      </c>
      <c r="D11519" s="451"/>
      <c r="E11519" s="451"/>
      <c r="F11519" s="451"/>
      <c r="G11519" s="451"/>
      <c r="H11519" s="451"/>
      <c r="I11519" s="451"/>
      <c r="J11519" s="451"/>
      <c r="K11519" s="451"/>
    </row>
    <row r="11520" spans="1:11">
      <c r="A11520" s="450" t="s">
        <v>18174</v>
      </c>
      <c r="B11520" s="450"/>
      <c r="C11520" s="450" t="s">
        <v>4365</v>
      </c>
      <c r="D11520" s="450"/>
      <c r="E11520" s="450"/>
      <c r="F11520" s="450"/>
      <c r="G11520" s="450" t="s">
        <v>22882</v>
      </c>
      <c r="H11520" s="450" t="s">
        <v>22883</v>
      </c>
      <c r="I11520" s="450"/>
      <c r="J11520" s="450" t="s">
        <v>23185</v>
      </c>
      <c r="K11520" s="450"/>
    </row>
    <row r="11521" spans="1:11">
      <c r="A11521" s="451" t="s">
        <v>18175</v>
      </c>
      <c r="B11521" s="451"/>
      <c r="C11521" s="451" t="s">
        <v>18176</v>
      </c>
      <c r="D11521" s="451"/>
      <c r="E11521" s="451"/>
      <c r="F11521" s="451"/>
      <c r="G11521" s="451" t="s">
        <v>22877</v>
      </c>
      <c r="H11521" s="451" t="s">
        <v>22878</v>
      </c>
      <c r="I11521" s="451" t="s">
        <v>39048</v>
      </c>
      <c r="J11521" s="451" t="s">
        <v>22997</v>
      </c>
      <c r="K11521" s="451"/>
    </row>
    <row r="11522" spans="1:11">
      <c r="A11522" s="450" t="s">
        <v>18177</v>
      </c>
      <c r="B11522" s="450"/>
      <c r="C11522" s="450" t="s">
        <v>3414</v>
      </c>
      <c r="D11522" s="450"/>
      <c r="E11522" s="450"/>
      <c r="F11522" s="450"/>
      <c r="G11522" s="450" t="s">
        <v>22882</v>
      </c>
      <c r="H11522" s="450" t="s">
        <v>22883</v>
      </c>
      <c r="I11522" s="450"/>
      <c r="J11522" s="450" t="s">
        <v>28871</v>
      </c>
      <c r="K11522" s="450"/>
    </row>
    <row r="11523" spans="1:11">
      <c r="A11523" s="451" t="s">
        <v>18178</v>
      </c>
      <c r="B11523" s="451"/>
      <c r="C11523" s="451" t="s">
        <v>4848</v>
      </c>
      <c r="D11523" s="451"/>
      <c r="E11523" s="451"/>
      <c r="F11523" s="451"/>
      <c r="G11523" s="451" t="s">
        <v>22882</v>
      </c>
      <c r="H11523" s="451" t="s">
        <v>22883</v>
      </c>
      <c r="I11523" s="451"/>
      <c r="J11523" s="451" t="s">
        <v>22942</v>
      </c>
      <c r="K11523" s="451"/>
    </row>
    <row r="11524" spans="1:11">
      <c r="A11524" s="450" t="s">
        <v>18179</v>
      </c>
      <c r="B11524" s="450"/>
      <c r="C11524" s="450" t="s">
        <v>18180</v>
      </c>
      <c r="D11524" s="450"/>
      <c r="E11524" s="450"/>
      <c r="F11524" s="450"/>
      <c r="G11524" s="450" t="s">
        <v>22877</v>
      </c>
      <c r="H11524" s="450" t="s">
        <v>22878</v>
      </c>
      <c r="I11524" s="450" t="s">
        <v>32040</v>
      </c>
      <c r="J11524" s="450" t="s">
        <v>23185</v>
      </c>
      <c r="K11524" s="450"/>
    </row>
    <row r="11525" spans="1:11">
      <c r="A11525" s="451" t="s">
        <v>39049</v>
      </c>
      <c r="B11525" s="451" t="s">
        <v>21003</v>
      </c>
      <c r="C11525" s="451" t="s">
        <v>21004</v>
      </c>
      <c r="D11525" s="451" t="s">
        <v>21005</v>
      </c>
      <c r="E11525" s="451"/>
      <c r="F11525" s="451"/>
      <c r="G11525" s="451" t="s">
        <v>22877</v>
      </c>
      <c r="H11525" s="451" t="s">
        <v>22878</v>
      </c>
      <c r="I11525" s="451" t="s">
        <v>21005</v>
      </c>
      <c r="J11525" s="451" t="s">
        <v>39050</v>
      </c>
      <c r="K11525" s="451"/>
    </row>
    <row r="11526" spans="1:11">
      <c r="A11526" s="450" t="s">
        <v>22007</v>
      </c>
      <c r="B11526" s="450" t="s">
        <v>21003</v>
      </c>
      <c r="C11526" s="450" t="s">
        <v>21004</v>
      </c>
      <c r="D11526" s="450" t="s">
        <v>21005</v>
      </c>
      <c r="E11526" s="450"/>
      <c r="F11526" s="450"/>
      <c r="G11526" s="450"/>
      <c r="H11526" s="450"/>
      <c r="I11526" s="450"/>
      <c r="J11526" s="450"/>
      <c r="K11526" s="450"/>
    </row>
    <row r="11527" spans="1:11">
      <c r="A11527" s="451" t="s">
        <v>39051</v>
      </c>
      <c r="B11527" s="451"/>
      <c r="C11527" s="451" t="s">
        <v>18182</v>
      </c>
      <c r="D11527" s="451"/>
      <c r="E11527" s="451"/>
      <c r="F11527" s="451"/>
      <c r="G11527" s="451" t="s">
        <v>22877</v>
      </c>
      <c r="H11527" s="451" t="s">
        <v>22878</v>
      </c>
      <c r="I11527" s="451" t="s">
        <v>39052</v>
      </c>
      <c r="J11527" s="451" t="s">
        <v>28403</v>
      </c>
      <c r="K11527" s="451"/>
    </row>
    <row r="11528" spans="1:11">
      <c r="A11528" s="450" t="s">
        <v>18181</v>
      </c>
      <c r="B11528" s="450"/>
      <c r="C11528" s="450" t="s">
        <v>18182</v>
      </c>
      <c r="D11528" s="450"/>
      <c r="E11528" s="450"/>
      <c r="F11528" s="450"/>
      <c r="G11528" s="450"/>
      <c r="H11528" s="450"/>
      <c r="I11528" s="450"/>
      <c r="J11528" s="450"/>
      <c r="K11528" s="450"/>
    </row>
    <row r="11529" spans="1:11">
      <c r="A11529" s="451" t="s">
        <v>29653</v>
      </c>
      <c r="B11529" s="451" t="s">
        <v>29654</v>
      </c>
      <c r="C11529" s="451" t="s">
        <v>29655</v>
      </c>
      <c r="D11529" s="451" t="s">
        <v>29656</v>
      </c>
      <c r="E11529" s="451"/>
      <c r="F11529" s="451"/>
      <c r="G11529" s="451" t="s">
        <v>22877</v>
      </c>
      <c r="H11529" s="451" t="s">
        <v>22878</v>
      </c>
      <c r="I11529" s="451" t="s">
        <v>32041</v>
      </c>
      <c r="J11529" s="451" t="s">
        <v>32042</v>
      </c>
      <c r="K11529" s="451"/>
    </row>
    <row r="11530" spans="1:11">
      <c r="A11530" s="450" t="s">
        <v>39053</v>
      </c>
      <c r="B11530" s="450"/>
      <c r="C11530" s="450" t="s">
        <v>18184</v>
      </c>
      <c r="D11530" s="450"/>
      <c r="E11530" s="450"/>
      <c r="F11530" s="450"/>
      <c r="G11530" s="450" t="s">
        <v>22877</v>
      </c>
      <c r="H11530" s="450" t="s">
        <v>22878</v>
      </c>
      <c r="I11530" s="450" t="s">
        <v>39054</v>
      </c>
      <c r="J11530" s="450" t="s">
        <v>23370</v>
      </c>
      <c r="K11530" s="450"/>
    </row>
    <row r="11531" spans="1:11">
      <c r="A11531" s="451" t="s">
        <v>18183</v>
      </c>
      <c r="B11531" s="451"/>
      <c r="C11531" s="451" t="s">
        <v>18184</v>
      </c>
      <c r="D11531" s="451"/>
      <c r="E11531" s="451"/>
      <c r="F11531" s="451"/>
      <c r="G11531" s="451"/>
      <c r="H11531" s="451"/>
      <c r="I11531" s="451"/>
      <c r="J11531" s="451"/>
      <c r="K11531" s="451"/>
    </row>
    <row r="11532" spans="1:11">
      <c r="A11532" s="450" t="s">
        <v>18185</v>
      </c>
      <c r="B11532" s="450"/>
      <c r="C11532" s="450" t="s">
        <v>18186</v>
      </c>
      <c r="D11532" s="450"/>
      <c r="E11532" s="450"/>
      <c r="F11532" s="450"/>
      <c r="G11532" s="450" t="s">
        <v>22877</v>
      </c>
      <c r="H11532" s="450" t="s">
        <v>22878</v>
      </c>
      <c r="I11532" s="450" t="s">
        <v>39055</v>
      </c>
      <c r="J11532" s="450" t="s">
        <v>23370</v>
      </c>
      <c r="K11532" s="450"/>
    </row>
    <row r="11533" spans="1:11">
      <c r="A11533" s="451" t="s">
        <v>18187</v>
      </c>
      <c r="B11533" s="451"/>
      <c r="C11533" s="451" t="s">
        <v>18188</v>
      </c>
      <c r="D11533" s="451"/>
      <c r="E11533" s="451"/>
      <c r="F11533" s="451"/>
      <c r="G11533" s="451" t="s">
        <v>22882</v>
      </c>
      <c r="H11533" s="451" t="s">
        <v>22883</v>
      </c>
      <c r="I11533" s="451" t="s">
        <v>32043</v>
      </c>
      <c r="J11533" s="451" t="s">
        <v>22942</v>
      </c>
      <c r="K11533" s="451"/>
    </row>
    <row r="11534" spans="1:11">
      <c r="A11534" s="450" t="s">
        <v>39056</v>
      </c>
      <c r="B11534" s="450"/>
      <c r="C11534" s="450" t="s">
        <v>5069</v>
      </c>
      <c r="D11534" s="450"/>
      <c r="E11534" s="450"/>
      <c r="F11534" s="450"/>
      <c r="G11534" s="450" t="s">
        <v>22877</v>
      </c>
      <c r="H11534" s="450" t="s">
        <v>22878</v>
      </c>
      <c r="I11534" s="450" t="s">
        <v>39057</v>
      </c>
      <c r="J11534" s="450" t="s">
        <v>23370</v>
      </c>
      <c r="K11534" s="450"/>
    </row>
    <row r="11535" spans="1:11">
      <c r="A11535" s="451" t="s">
        <v>18189</v>
      </c>
      <c r="B11535" s="451"/>
      <c r="C11535" s="451" t="s">
        <v>5069</v>
      </c>
      <c r="D11535" s="451"/>
      <c r="E11535" s="451"/>
      <c r="F11535" s="451"/>
      <c r="G11535" s="451"/>
      <c r="H11535" s="451"/>
      <c r="I11535" s="451"/>
      <c r="J11535" s="451"/>
      <c r="K11535" s="451"/>
    </row>
    <row r="11536" spans="1:11">
      <c r="A11536" s="450" t="s">
        <v>18190</v>
      </c>
      <c r="B11536" s="450"/>
      <c r="C11536" s="450" t="s">
        <v>18191</v>
      </c>
      <c r="D11536" s="450"/>
      <c r="E11536" s="450"/>
      <c r="F11536" s="450"/>
      <c r="G11536" s="450" t="s">
        <v>22882</v>
      </c>
      <c r="H11536" s="450" t="s">
        <v>22883</v>
      </c>
      <c r="I11536" s="450" t="s">
        <v>32043</v>
      </c>
      <c r="J11536" s="450" t="s">
        <v>22997</v>
      </c>
      <c r="K11536" s="450"/>
    </row>
    <row r="11537" spans="1:11">
      <c r="A11537" s="451" t="s">
        <v>18192</v>
      </c>
      <c r="B11537" s="451" t="s">
        <v>29657</v>
      </c>
      <c r="C11537" s="451" t="s">
        <v>18194</v>
      </c>
      <c r="D11537" s="451" t="s">
        <v>18195</v>
      </c>
      <c r="E11537" s="451"/>
      <c r="F11537" s="451"/>
      <c r="G11537" s="451" t="s">
        <v>22877</v>
      </c>
      <c r="H11537" s="451" t="s">
        <v>22878</v>
      </c>
      <c r="I11537" s="451" t="s">
        <v>18195</v>
      </c>
      <c r="J11537" s="451" t="s">
        <v>32044</v>
      </c>
      <c r="K11537" s="451"/>
    </row>
    <row r="11538" spans="1:11">
      <c r="A11538" s="450" t="s">
        <v>18192</v>
      </c>
      <c r="B11538" s="450" t="s">
        <v>18193</v>
      </c>
      <c r="C11538" s="450" t="s">
        <v>18194</v>
      </c>
      <c r="D11538" s="450" t="s">
        <v>18195</v>
      </c>
      <c r="E11538" s="450"/>
      <c r="F11538" s="450"/>
      <c r="G11538" s="450"/>
      <c r="H11538" s="450"/>
      <c r="I11538" s="450"/>
      <c r="J11538" s="450"/>
      <c r="K11538" s="450"/>
    </row>
    <row r="11539" spans="1:11">
      <c r="A11539" s="451" t="s">
        <v>18196</v>
      </c>
      <c r="B11539" s="451" t="s">
        <v>18197</v>
      </c>
      <c r="C11539" s="451" t="s">
        <v>18198</v>
      </c>
      <c r="D11539" s="451" t="s">
        <v>18199</v>
      </c>
      <c r="E11539" s="451"/>
      <c r="F11539" s="451" t="s">
        <v>18201</v>
      </c>
      <c r="G11539" s="451" t="s">
        <v>22877</v>
      </c>
      <c r="H11539" s="451" t="s">
        <v>22878</v>
      </c>
      <c r="I11539" s="451" t="s">
        <v>18199</v>
      </c>
      <c r="J11539" s="451" t="s">
        <v>39058</v>
      </c>
      <c r="K11539" s="451"/>
    </row>
    <row r="11540" spans="1:11">
      <c r="A11540" s="450" t="s">
        <v>18196</v>
      </c>
      <c r="B11540" s="450" t="s">
        <v>18197</v>
      </c>
      <c r="C11540" s="450" t="s">
        <v>18198</v>
      </c>
      <c r="D11540" s="450" t="s">
        <v>18199</v>
      </c>
      <c r="E11540" s="450" t="s">
        <v>18200</v>
      </c>
      <c r="F11540" s="450" t="s">
        <v>18201</v>
      </c>
      <c r="G11540" s="450"/>
      <c r="H11540" s="450"/>
      <c r="I11540" s="450"/>
      <c r="J11540" s="450"/>
      <c r="K11540" s="450"/>
    </row>
    <row r="11541" spans="1:11">
      <c r="A11541" s="451" t="s">
        <v>29658</v>
      </c>
      <c r="B11541" s="451" t="s">
        <v>20198</v>
      </c>
      <c r="C11541" s="451" t="s">
        <v>20199</v>
      </c>
      <c r="D11541" s="451" t="s">
        <v>20200</v>
      </c>
      <c r="E11541" s="451"/>
      <c r="F11541" s="451" t="s">
        <v>20202</v>
      </c>
      <c r="G11541" s="451" t="s">
        <v>22877</v>
      </c>
      <c r="H11541" s="451" t="s">
        <v>22878</v>
      </c>
      <c r="I11541" s="451" t="s">
        <v>20200</v>
      </c>
      <c r="J11541" s="451" t="s">
        <v>32045</v>
      </c>
      <c r="K11541" s="451"/>
    </row>
    <row r="11542" spans="1:11">
      <c r="A11542" s="450" t="s">
        <v>39059</v>
      </c>
      <c r="B11542" s="450" t="s">
        <v>18203</v>
      </c>
      <c r="C11542" s="450" t="s">
        <v>3124</v>
      </c>
      <c r="D11542" s="450" t="s">
        <v>18204</v>
      </c>
      <c r="E11542" s="450"/>
      <c r="F11542" s="450"/>
      <c r="G11542" s="450" t="s">
        <v>22877</v>
      </c>
      <c r="H11542" s="450" t="s">
        <v>22878</v>
      </c>
      <c r="I11542" s="450" t="s">
        <v>39060</v>
      </c>
      <c r="J11542" s="450" t="s">
        <v>39061</v>
      </c>
      <c r="K11542" s="450"/>
    </row>
    <row r="11543" spans="1:11">
      <c r="A11543" s="451" t="s">
        <v>20197</v>
      </c>
      <c r="B11543" s="451" t="s">
        <v>20198</v>
      </c>
      <c r="C11543" s="451" t="s">
        <v>20199</v>
      </c>
      <c r="D11543" s="451" t="s">
        <v>20200</v>
      </c>
      <c r="E11543" s="451" t="s">
        <v>20201</v>
      </c>
      <c r="F11543" s="451" t="s">
        <v>20202</v>
      </c>
      <c r="G11543" s="451"/>
      <c r="H11543" s="451"/>
      <c r="I11543" s="451"/>
      <c r="J11543" s="451"/>
      <c r="K11543" s="451"/>
    </row>
    <row r="11544" spans="1:11">
      <c r="A11544" s="450" t="s">
        <v>18202</v>
      </c>
      <c r="B11544" s="450" t="s">
        <v>18203</v>
      </c>
      <c r="C11544" s="450" t="s">
        <v>3124</v>
      </c>
      <c r="D11544" s="450" t="s">
        <v>18204</v>
      </c>
      <c r="E11544" s="450" t="s">
        <v>18205</v>
      </c>
      <c r="F11544" s="450"/>
      <c r="G11544" s="450"/>
      <c r="H11544" s="450"/>
      <c r="I11544" s="450"/>
      <c r="J11544" s="450"/>
      <c r="K11544" s="450"/>
    </row>
    <row r="11545" spans="1:11">
      <c r="A11545" s="451" t="s">
        <v>18206</v>
      </c>
      <c r="B11545" s="451"/>
      <c r="C11545" s="451" t="s">
        <v>18207</v>
      </c>
      <c r="D11545" s="451"/>
      <c r="E11545" s="451"/>
      <c r="F11545" s="451"/>
      <c r="G11545" s="451" t="s">
        <v>22882</v>
      </c>
      <c r="H11545" s="451" t="s">
        <v>22883</v>
      </c>
      <c r="I11545" s="451" t="s">
        <v>39062</v>
      </c>
      <c r="J11545" s="451" t="s">
        <v>23370</v>
      </c>
      <c r="K11545" s="451"/>
    </row>
    <row r="11546" spans="1:11">
      <c r="A11546" s="450" t="s">
        <v>39063</v>
      </c>
      <c r="B11546" s="450"/>
      <c r="C11546" s="450" t="s">
        <v>3013</v>
      </c>
      <c r="D11546" s="450"/>
      <c r="E11546" s="450"/>
      <c r="F11546" s="450"/>
      <c r="G11546" s="450" t="s">
        <v>22877</v>
      </c>
      <c r="H11546" s="450" t="s">
        <v>22878</v>
      </c>
      <c r="I11546" s="450" t="s">
        <v>39064</v>
      </c>
      <c r="J11546" s="450" t="s">
        <v>22942</v>
      </c>
      <c r="K11546" s="450"/>
    </row>
    <row r="11547" spans="1:11">
      <c r="A11547" s="451" t="s">
        <v>18208</v>
      </c>
      <c r="B11547" s="451"/>
      <c r="C11547" s="451" t="s">
        <v>3013</v>
      </c>
      <c r="D11547" s="451"/>
      <c r="E11547" s="451"/>
      <c r="F11547" s="451"/>
      <c r="G11547" s="451"/>
      <c r="H11547" s="451"/>
      <c r="I11547" s="451"/>
      <c r="J11547" s="451"/>
      <c r="K11547" s="451"/>
    </row>
    <row r="11548" spans="1:11">
      <c r="A11548" s="450" t="s">
        <v>18209</v>
      </c>
      <c r="B11548" s="450"/>
      <c r="C11548" s="450" t="s">
        <v>14282</v>
      </c>
      <c r="D11548" s="450"/>
      <c r="E11548" s="450"/>
      <c r="F11548" s="450"/>
      <c r="G11548" s="450" t="s">
        <v>22882</v>
      </c>
      <c r="H11548" s="450" t="s">
        <v>22883</v>
      </c>
      <c r="I11548" s="450"/>
      <c r="J11548" s="450" t="s">
        <v>23185</v>
      </c>
      <c r="K11548" s="450"/>
    </row>
    <row r="11549" spans="1:11">
      <c r="A11549" s="451" t="s">
        <v>18210</v>
      </c>
      <c r="B11549" s="451" t="s">
        <v>18211</v>
      </c>
      <c r="C11549" s="451" t="s">
        <v>18212</v>
      </c>
      <c r="D11549" s="451" t="s">
        <v>18213</v>
      </c>
      <c r="E11549" s="451"/>
      <c r="F11549" s="451"/>
      <c r="G11549" s="451" t="s">
        <v>22877</v>
      </c>
      <c r="H11549" s="451" t="s">
        <v>22878</v>
      </c>
      <c r="I11549" s="451" t="s">
        <v>18213</v>
      </c>
      <c r="J11549" s="451" t="s">
        <v>32046</v>
      </c>
      <c r="K11549" s="451"/>
    </row>
    <row r="11550" spans="1:11">
      <c r="A11550" s="450" t="s">
        <v>39065</v>
      </c>
      <c r="B11550" s="450"/>
      <c r="C11550" s="450" t="s">
        <v>18215</v>
      </c>
      <c r="D11550" s="450" t="s">
        <v>18216</v>
      </c>
      <c r="E11550" s="450"/>
      <c r="F11550" s="450"/>
      <c r="G11550" s="450" t="s">
        <v>22877</v>
      </c>
      <c r="H11550" s="450" t="s">
        <v>22878</v>
      </c>
      <c r="I11550" s="450" t="s">
        <v>18216</v>
      </c>
      <c r="J11550" s="450" t="s">
        <v>39066</v>
      </c>
      <c r="K11550" s="450"/>
    </row>
    <row r="11551" spans="1:11">
      <c r="A11551" s="451" t="s">
        <v>18214</v>
      </c>
      <c r="B11551" s="451"/>
      <c r="C11551" s="451" t="s">
        <v>18215</v>
      </c>
      <c r="D11551" s="451" t="s">
        <v>18216</v>
      </c>
      <c r="E11551" s="451" t="s">
        <v>18217</v>
      </c>
      <c r="F11551" s="451"/>
      <c r="G11551" s="451"/>
      <c r="H11551" s="451"/>
      <c r="I11551" s="451"/>
      <c r="J11551" s="451"/>
      <c r="K11551" s="451"/>
    </row>
    <row r="11552" spans="1:11">
      <c r="A11552" s="450" t="s">
        <v>18218</v>
      </c>
      <c r="B11552" s="450"/>
      <c r="C11552" s="450" t="s">
        <v>18219</v>
      </c>
      <c r="D11552" s="450"/>
      <c r="E11552" s="450"/>
      <c r="F11552" s="450"/>
      <c r="G11552" s="450" t="s">
        <v>22877</v>
      </c>
      <c r="H11552" s="450" t="s">
        <v>22878</v>
      </c>
      <c r="I11552" s="450" t="s">
        <v>32047</v>
      </c>
      <c r="J11552" s="450" t="s">
        <v>23185</v>
      </c>
      <c r="K11552" s="450"/>
    </row>
    <row r="11553" spans="1:11">
      <c r="A11553" s="451" t="s">
        <v>39067</v>
      </c>
      <c r="B11553" s="451" t="s">
        <v>18221</v>
      </c>
      <c r="C11553" s="451" t="s">
        <v>18222</v>
      </c>
      <c r="D11553" s="451" t="s">
        <v>18223</v>
      </c>
      <c r="E11553" s="451"/>
      <c r="F11553" s="451"/>
      <c r="G11553" s="451" t="s">
        <v>22877</v>
      </c>
      <c r="H11553" s="451" t="s">
        <v>22878</v>
      </c>
      <c r="I11553" s="451" t="s">
        <v>18223</v>
      </c>
      <c r="J11553" s="451" t="s">
        <v>39068</v>
      </c>
      <c r="K11553" s="451"/>
    </row>
    <row r="11554" spans="1:11">
      <c r="A11554" s="450" t="s">
        <v>18220</v>
      </c>
      <c r="B11554" s="450" t="s">
        <v>18221</v>
      </c>
      <c r="C11554" s="450" t="s">
        <v>18222</v>
      </c>
      <c r="D11554" s="450" t="s">
        <v>18223</v>
      </c>
      <c r="E11554" s="450" t="s">
        <v>18224</v>
      </c>
      <c r="F11554" s="450"/>
      <c r="G11554" s="450"/>
      <c r="H11554" s="450"/>
      <c r="I11554" s="450"/>
      <c r="J11554" s="450"/>
      <c r="K11554" s="450"/>
    </row>
    <row r="11555" spans="1:11">
      <c r="A11555" s="451" t="s">
        <v>18225</v>
      </c>
      <c r="B11555" s="451" t="s">
        <v>18226</v>
      </c>
      <c r="C11555" s="451" t="s">
        <v>1395</v>
      </c>
      <c r="D11555" s="451" t="s">
        <v>18227</v>
      </c>
      <c r="E11555" s="451"/>
      <c r="F11555" s="451"/>
      <c r="G11555" s="451" t="s">
        <v>22877</v>
      </c>
      <c r="H11555" s="451" t="s">
        <v>22878</v>
      </c>
      <c r="I11555" s="451" t="s">
        <v>18227</v>
      </c>
      <c r="J11555" s="451" t="s">
        <v>32048</v>
      </c>
      <c r="K11555" s="451"/>
    </row>
    <row r="11556" spans="1:11">
      <c r="A11556" s="450" t="s">
        <v>18228</v>
      </c>
      <c r="B11556" s="450" t="s">
        <v>18229</v>
      </c>
      <c r="C11556" s="450" t="s">
        <v>4400</v>
      </c>
      <c r="D11556" s="450" t="s">
        <v>18230</v>
      </c>
      <c r="E11556" s="450"/>
      <c r="F11556" s="450"/>
      <c r="G11556" s="450" t="s">
        <v>22877</v>
      </c>
      <c r="H11556" s="450" t="s">
        <v>22878</v>
      </c>
      <c r="I11556" s="450" t="s">
        <v>18230</v>
      </c>
      <c r="J11556" s="450" t="s">
        <v>32049</v>
      </c>
      <c r="K11556" s="450"/>
    </row>
    <row r="11557" spans="1:11">
      <c r="A11557" s="451" t="s">
        <v>18228</v>
      </c>
      <c r="B11557" s="451" t="s">
        <v>18229</v>
      </c>
      <c r="C11557" s="451" t="s">
        <v>4400</v>
      </c>
      <c r="D11557" s="451" t="s">
        <v>18230</v>
      </c>
      <c r="E11557" s="451" t="s">
        <v>18231</v>
      </c>
      <c r="F11557" s="451"/>
      <c r="G11557" s="451"/>
      <c r="H11557" s="451"/>
      <c r="I11557" s="451"/>
      <c r="J11557" s="451"/>
      <c r="K11557" s="451"/>
    </row>
    <row r="11558" spans="1:11">
      <c r="A11558" s="450" t="s">
        <v>18232</v>
      </c>
      <c r="B11558" s="450"/>
      <c r="C11558" s="450" t="s">
        <v>18233</v>
      </c>
      <c r="D11558" s="450"/>
      <c r="E11558" s="450"/>
      <c r="F11558" s="450"/>
      <c r="G11558" s="450"/>
      <c r="H11558" s="450"/>
      <c r="I11558" s="450"/>
      <c r="J11558" s="450"/>
      <c r="K11558" s="450"/>
    </row>
    <row r="11559" spans="1:11">
      <c r="A11559" s="451" t="s">
        <v>29659</v>
      </c>
      <c r="B11559" s="451"/>
      <c r="C11559" s="451" t="s">
        <v>18233</v>
      </c>
      <c r="D11559" s="451"/>
      <c r="E11559" s="451"/>
      <c r="F11559" s="451"/>
      <c r="G11559" s="451" t="s">
        <v>22877</v>
      </c>
      <c r="H11559" s="451" t="s">
        <v>22878</v>
      </c>
      <c r="I11559" s="451" t="s">
        <v>32050</v>
      </c>
      <c r="J11559" s="451" t="s">
        <v>22942</v>
      </c>
      <c r="K11559" s="451"/>
    </row>
    <row r="11560" spans="1:11">
      <c r="A11560" s="450" t="s">
        <v>39069</v>
      </c>
      <c r="B11560" s="450" t="s">
        <v>39070</v>
      </c>
      <c r="C11560" s="450" t="s">
        <v>39071</v>
      </c>
      <c r="D11560" s="450" t="s">
        <v>18235</v>
      </c>
      <c r="E11560" s="450"/>
      <c r="F11560" s="450"/>
      <c r="G11560" s="450" t="s">
        <v>23525</v>
      </c>
      <c r="H11560" s="450" t="s">
        <v>22878</v>
      </c>
      <c r="I11560" s="450" t="s">
        <v>39072</v>
      </c>
      <c r="J11560" s="450" t="s">
        <v>7238</v>
      </c>
      <c r="K11560" s="450"/>
    </row>
    <row r="11561" spans="1:11">
      <c r="A11561" s="451" t="s">
        <v>18234</v>
      </c>
      <c r="B11561" s="451" t="s">
        <v>7238</v>
      </c>
      <c r="C11561" s="451" t="s">
        <v>1218</v>
      </c>
      <c r="D11561" s="451" t="s">
        <v>18235</v>
      </c>
      <c r="E11561" s="451"/>
      <c r="F11561" s="451"/>
      <c r="G11561" s="451"/>
      <c r="H11561" s="451"/>
      <c r="I11561" s="451"/>
      <c r="J11561" s="451"/>
      <c r="K11561" s="451"/>
    </row>
    <row r="11562" spans="1:11">
      <c r="A11562" s="450" t="s">
        <v>18236</v>
      </c>
      <c r="B11562" s="450"/>
      <c r="C11562" s="450" t="s">
        <v>18237</v>
      </c>
      <c r="D11562" s="450"/>
      <c r="E11562" s="450"/>
      <c r="F11562" s="450"/>
      <c r="G11562" s="450" t="s">
        <v>22882</v>
      </c>
      <c r="H11562" s="450" t="s">
        <v>22883</v>
      </c>
      <c r="I11562" s="450" t="s">
        <v>39073</v>
      </c>
      <c r="J11562" s="450" t="s">
        <v>23185</v>
      </c>
      <c r="K11562" s="450"/>
    </row>
    <row r="11563" spans="1:11">
      <c r="A11563" s="451" t="s">
        <v>18238</v>
      </c>
      <c r="B11563" s="451"/>
      <c r="C11563" s="451" t="s">
        <v>18239</v>
      </c>
      <c r="D11563" s="451"/>
      <c r="E11563" s="451"/>
      <c r="F11563" s="451"/>
      <c r="G11563" s="451" t="s">
        <v>22877</v>
      </c>
      <c r="H11563" s="451" t="s">
        <v>22878</v>
      </c>
      <c r="I11563" s="451" t="s">
        <v>39074</v>
      </c>
      <c r="J11563" s="451" t="s">
        <v>28403</v>
      </c>
      <c r="K11563" s="451"/>
    </row>
    <row r="11564" spans="1:11">
      <c r="A11564" s="450" t="s">
        <v>39075</v>
      </c>
      <c r="B11564" s="450"/>
      <c r="C11564" s="450" t="s">
        <v>4802</v>
      </c>
      <c r="D11564" s="450"/>
      <c r="E11564" s="450"/>
      <c r="F11564" s="450"/>
      <c r="G11564" s="450" t="s">
        <v>22877</v>
      </c>
      <c r="H11564" s="450" t="s">
        <v>22878</v>
      </c>
      <c r="I11564" s="450" t="s">
        <v>39076</v>
      </c>
      <c r="J11564" s="450" t="s">
        <v>22997</v>
      </c>
      <c r="K11564" s="450"/>
    </row>
    <row r="11565" spans="1:11">
      <c r="A11565" s="451" t="s">
        <v>18240</v>
      </c>
      <c r="B11565" s="451"/>
      <c r="C11565" s="451" t="s">
        <v>4802</v>
      </c>
      <c r="D11565" s="451"/>
      <c r="E11565" s="451"/>
      <c r="F11565" s="451"/>
      <c r="G11565" s="451"/>
      <c r="H11565" s="451"/>
      <c r="I11565" s="451"/>
      <c r="J11565" s="451"/>
      <c r="K11565" s="451"/>
    </row>
    <row r="11566" spans="1:11">
      <c r="A11566" s="450" t="s">
        <v>18241</v>
      </c>
      <c r="B11566" s="450"/>
      <c r="C11566" s="450" t="s">
        <v>18242</v>
      </c>
      <c r="D11566" s="450"/>
      <c r="E11566" s="450"/>
      <c r="F11566" s="450"/>
      <c r="G11566" s="450" t="s">
        <v>22877</v>
      </c>
      <c r="H11566" s="450" t="s">
        <v>22878</v>
      </c>
      <c r="I11566" s="450" t="s">
        <v>39077</v>
      </c>
      <c r="J11566" s="450" t="s">
        <v>28403</v>
      </c>
      <c r="K11566" s="450"/>
    </row>
    <row r="11567" spans="1:11">
      <c r="A11567" s="451" t="s">
        <v>18243</v>
      </c>
      <c r="B11567" s="451"/>
      <c r="C11567" s="451" t="s">
        <v>3100</v>
      </c>
      <c r="D11567" s="451"/>
      <c r="E11567" s="451"/>
      <c r="F11567" s="451"/>
      <c r="G11567" s="451"/>
      <c r="H11567" s="451"/>
      <c r="I11567" s="451"/>
      <c r="J11567" s="451"/>
      <c r="K11567" s="451"/>
    </row>
    <row r="11568" spans="1:11">
      <c r="A11568" s="450" t="s">
        <v>18244</v>
      </c>
      <c r="B11568" s="450"/>
      <c r="C11568" s="450" t="s">
        <v>18245</v>
      </c>
      <c r="D11568" s="450"/>
      <c r="E11568" s="450"/>
      <c r="F11568" s="450"/>
      <c r="G11568" s="450" t="s">
        <v>22882</v>
      </c>
      <c r="H11568" s="450" t="s">
        <v>22883</v>
      </c>
      <c r="I11568" s="450"/>
      <c r="J11568" s="450" t="s">
        <v>23185</v>
      </c>
      <c r="K11568" s="450"/>
    </row>
    <row r="11569" spans="1:11">
      <c r="A11569" s="451" t="s">
        <v>18246</v>
      </c>
      <c r="B11569" s="451"/>
      <c r="C11569" s="451" t="s">
        <v>18247</v>
      </c>
      <c r="D11569" s="451"/>
      <c r="E11569" s="451"/>
      <c r="F11569" s="451"/>
      <c r="G11569" s="451" t="s">
        <v>22877</v>
      </c>
      <c r="H11569" s="451" t="s">
        <v>22878</v>
      </c>
      <c r="I11569" s="451" t="s">
        <v>39078</v>
      </c>
      <c r="J11569" s="451" t="s">
        <v>22939</v>
      </c>
      <c r="K11569" s="451"/>
    </row>
    <row r="11570" spans="1:11">
      <c r="A11570" s="450" t="s">
        <v>39079</v>
      </c>
      <c r="B11570" s="450"/>
      <c r="C11570" s="450" t="s">
        <v>3100</v>
      </c>
      <c r="D11570" s="450"/>
      <c r="E11570" s="450"/>
      <c r="F11570" s="450"/>
      <c r="G11570" s="450" t="s">
        <v>22882</v>
      </c>
      <c r="H11570" s="450" t="s">
        <v>22883</v>
      </c>
      <c r="I11570" s="450" t="s">
        <v>39080</v>
      </c>
      <c r="J11570" s="450" t="s">
        <v>28403</v>
      </c>
      <c r="K11570" s="450"/>
    </row>
    <row r="11571" spans="1:11">
      <c r="A11571" s="451" t="s">
        <v>39081</v>
      </c>
      <c r="B11571" s="451"/>
      <c r="C11571" s="451" t="s">
        <v>18249</v>
      </c>
      <c r="D11571" s="451"/>
      <c r="E11571" s="451"/>
      <c r="F11571" s="451"/>
      <c r="G11571" s="451" t="s">
        <v>22877</v>
      </c>
      <c r="H11571" s="451" t="s">
        <v>22878</v>
      </c>
      <c r="I11571" s="451" t="s">
        <v>39082</v>
      </c>
      <c r="J11571" s="451" t="s">
        <v>22942</v>
      </c>
      <c r="K11571" s="451"/>
    </row>
    <row r="11572" spans="1:11">
      <c r="A11572" s="450" t="s">
        <v>18248</v>
      </c>
      <c r="B11572" s="450"/>
      <c r="C11572" s="450" t="s">
        <v>18249</v>
      </c>
      <c r="D11572" s="450"/>
      <c r="E11572" s="450"/>
      <c r="F11572" s="450"/>
      <c r="G11572" s="450"/>
      <c r="H11572" s="450"/>
      <c r="I11572" s="450"/>
      <c r="J11572" s="450"/>
      <c r="K11572" s="450"/>
    </row>
    <row r="11573" spans="1:11">
      <c r="A11573" s="451" t="s">
        <v>18250</v>
      </c>
      <c r="B11573" s="451"/>
      <c r="C11573" s="451" t="s">
        <v>10804</v>
      </c>
      <c r="D11573" s="451"/>
      <c r="E11573" s="451"/>
      <c r="F11573" s="451"/>
      <c r="G11573" s="451" t="s">
        <v>22882</v>
      </c>
      <c r="H11573" s="451" t="s">
        <v>22883</v>
      </c>
      <c r="I11573" s="451" t="s">
        <v>39083</v>
      </c>
      <c r="J11573" s="451" t="s">
        <v>22997</v>
      </c>
      <c r="K11573" s="451"/>
    </row>
    <row r="11574" spans="1:11">
      <c r="A11574" s="450" t="s">
        <v>18251</v>
      </c>
      <c r="B11574" s="450"/>
      <c r="C11574" s="450" t="s">
        <v>18252</v>
      </c>
      <c r="D11574" s="450"/>
      <c r="E11574" s="450"/>
      <c r="F11574" s="450"/>
      <c r="G11574" s="450" t="s">
        <v>22882</v>
      </c>
      <c r="H11574" s="450" t="s">
        <v>22883</v>
      </c>
      <c r="I11574" s="450" t="s">
        <v>32051</v>
      </c>
      <c r="J11574" s="450" t="s">
        <v>23185</v>
      </c>
      <c r="K11574" s="450"/>
    </row>
    <row r="11575" spans="1:11">
      <c r="A11575" s="451" t="s">
        <v>18253</v>
      </c>
      <c r="B11575" s="451" t="s">
        <v>29660</v>
      </c>
      <c r="C11575" s="451" t="s">
        <v>18255</v>
      </c>
      <c r="D11575" s="451" t="s">
        <v>18256</v>
      </c>
      <c r="E11575" s="451"/>
      <c r="F11575" s="451" t="s">
        <v>18257</v>
      </c>
      <c r="G11575" s="451" t="s">
        <v>22877</v>
      </c>
      <c r="H11575" s="451" t="s">
        <v>22878</v>
      </c>
      <c r="I11575" s="451" t="s">
        <v>18256</v>
      </c>
      <c r="J11575" s="451" t="s">
        <v>32052</v>
      </c>
      <c r="K11575" s="451"/>
    </row>
    <row r="11576" spans="1:11">
      <c r="A11576" s="450" t="s">
        <v>18253</v>
      </c>
      <c r="B11576" s="450" t="s">
        <v>18254</v>
      </c>
      <c r="C11576" s="450" t="s">
        <v>18255</v>
      </c>
      <c r="D11576" s="450" t="s">
        <v>18256</v>
      </c>
      <c r="E11576" s="450"/>
      <c r="F11576" s="450" t="s">
        <v>18257</v>
      </c>
      <c r="G11576" s="450"/>
      <c r="H11576" s="450"/>
      <c r="I11576" s="450"/>
      <c r="J11576" s="450"/>
      <c r="K11576" s="450"/>
    </row>
    <row r="11577" spans="1:11">
      <c r="A11577" s="451" t="s">
        <v>18258</v>
      </c>
      <c r="B11577" s="451"/>
      <c r="C11577" s="451" t="s">
        <v>6305</v>
      </c>
      <c r="D11577" s="451"/>
      <c r="E11577" s="451"/>
      <c r="F11577" s="451"/>
      <c r="G11577" s="451" t="s">
        <v>22877</v>
      </c>
      <c r="H11577" s="451" t="s">
        <v>22878</v>
      </c>
      <c r="I11577" s="451" t="s">
        <v>39084</v>
      </c>
      <c r="J11577" s="451" t="s">
        <v>23185</v>
      </c>
      <c r="K11577" s="451"/>
    </row>
    <row r="11578" spans="1:11">
      <c r="A11578" s="450" t="s">
        <v>18259</v>
      </c>
      <c r="B11578" s="450"/>
      <c r="C11578" s="450" t="s">
        <v>18260</v>
      </c>
      <c r="D11578" s="450"/>
      <c r="E11578" s="450"/>
      <c r="F11578" s="450"/>
      <c r="G11578" s="450" t="s">
        <v>22882</v>
      </c>
      <c r="H11578" s="450" t="s">
        <v>22883</v>
      </c>
      <c r="I11578" s="450"/>
      <c r="J11578" s="450" t="s">
        <v>22942</v>
      </c>
      <c r="K11578" s="450"/>
    </row>
    <row r="11579" spans="1:11">
      <c r="A11579" s="451" t="s">
        <v>18261</v>
      </c>
      <c r="B11579" s="451"/>
      <c r="C11579" s="451" t="s">
        <v>18262</v>
      </c>
      <c r="D11579" s="451"/>
      <c r="E11579" s="451"/>
      <c r="F11579" s="451"/>
      <c r="G11579" s="451"/>
      <c r="H11579" s="451"/>
      <c r="I11579" s="451"/>
      <c r="J11579" s="451"/>
      <c r="K11579" s="451"/>
    </row>
    <row r="11580" spans="1:11">
      <c r="A11580" s="450" t="s">
        <v>39085</v>
      </c>
      <c r="B11580" s="450"/>
      <c r="C11580" s="450" t="s">
        <v>18262</v>
      </c>
      <c r="D11580" s="450"/>
      <c r="E11580" s="450"/>
      <c r="F11580" s="450"/>
      <c r="G11580" s="450" t="s">
        <v>22882</v>
      </c>
      <c r="H11580" s="450" t="s">
        <v>22883</v>
      </c>
      <c r="I11580" s="450"/>
      <c r="J11580" s="450" t="s">
        <v>28403</v>
      </c>
      <c r="K11580" s="450"/>
    </row>
    <row r="11581" spans="1:11">
      <c r="A11581" s="451" t="s">
        <v>18263</v>
      </c>
      <c r="B11581" s="451"/>
      <c r="C11581" s="451" t="s">
        <v>18264</v>
      </c>
      <c r="D11581" s="451"/>
      <c r="E11581" s="451"/>
      <c r="F11581" s="451"/>
      <c r="G11581" s="451" t="s">
        <v>22877</v>
      </c>
      <c r="H11581" s="451" t="s">
        <v>22878</v>
      </c>
      <c r="I11581" s="451" t="s">
        <v>32053</v>
      </c>
      <c r="J11581" s="451" t="s">
        <v>22942</v>
      </c>
      <c r="K11581" s="451"/>
    </row>
    <row r="11582" spans="1:11">
      <c r="A11582" s="450" t="s">
        <v>18265</v>
      </c>
      <c r="B11582" s="450" t="s">
        <v>18266</v>
      </c>
      <c r="C11582" s="450" t="s">
        <v>16324</v>
      </c>
      <c r="D11582" s="450" t="s">
        <v>16325</v>
      </c>
      <c r="E11582" s="450" t="s">
        <v>16326</v>
      </c>
      <c r="F11582" s="450"/>
      <c r="G11582" s="450"/>
      <c r="H11582" s="450"/>
      <c r="I11582" s="450"/>
      <c r="J11582" s="450"/>
      <c r="K11582" s="450"/>
    </row>
    <row r="11583" spans="1:11">
      <c r="A11583" s="451" t="s">
        <v>29661</v>
      </c>
      <c r="B11583" s="451" t="s">
        <v>18266</v>
      </c>
      <c r="C11583" s="451" t="s">
        <v>16324</v>
      </c>
      <c r="D11583" s="451" t="s">
        <v>16325</v>
      </c>
      <c r="E11583" s="451"/>
      <c r="F11583" s="451"/>
      <c r="G11583" s="451" t="s">
        <v>22877</v>
      </c>
      <c r="H11583" s="451" t="s">
        <v>22878</v>
      </c>
      <c r="I11583" s="451" t="s">
        <v>16325</v>
      </c>
      <c r="J11583" s="451" t="s">
        <v>32054</v>
      </c>
      <c r="K11583" s="451"/>
    </row>
    <row r="11584" spans="1:11">
      <c r="A11584" s="450" t="s">
        <v>18267</v>
      </c>
      <c r="B11584" s="450"/>
      <c r="C11584" s="450" t="s">
        <v>11265</v>
      </c>
      <c r="D11584" s="450"/>
      <c r="E11584" s="450"/>
      <c r="F11584" s="450"/>
      <c r="G11584" s="450" t="s">
        <v>22877</v>
      </c>
      <c r="H11584" s="450" t="s">
        <v>22878</v>
      </c>
      <c r="I11584" s="450" t="s">
        <v>39086</v>
      </c>
      <c r="J11584" s="450" t="s">
        <v>22997</v>
      </c>
      <c r="K11584" s="450"/>
    </row>
    <row r="11585" spans="1:11">
      <c r="A11585" s="451" t="s">
        <v>18268</v>
      </c>
      <c r="B11585" s="451"/>
      <c r="C11585" s="451" t="s">
        <v>18269</v>
      </c>
      <c r="D11585" s="451"/>
      <c r="E11585" s="451"/>
      <c r="F11585" s="451"/>
      <c r="G11585" s="451" t="s">
        <v>22877</v>
      </c>
      <c r="H11585" s="451" t="s">
        <v>22878</v>
      </c>
      <c r="I11585" s="451" t="s">
        <v>39087</v>
      </c>
      <c r="J11585" s="451" t="s">
        <v>22939</v>
      </c>
      <c r="K11585" s="451"/>
    </row>
    <row r="11586" spans="1:11">
      <c r="A11586" s="450" t="s">
        <v>18270</v>
      </c>
      <c r="B11586" s="450"/>
      <c r="C11586" s="450" t="s">
        <v>4280</v>
      </c>
      <c r="D11586" s="450"/>
      <c r="E11586" s="450"/>
      <c r="F11586" s="450"/>
      <c r="G11586" s="450"/>
      <c r="H11586" s="450"/>
      <c r="I11586" s="450"/>
      <c r="J11586" s="450"/>
      <c r="K11586" s="450"/>
    </row>
    <row r="11587" spans="1:11">
      <c r="A11587" s="451" t="s">
        <v>18271</v>
      </c>
      <c r="B11587" s="451" t="s">
        <v>18272</v>
      </c>
      <c r="C11587" s="451" t="s">
        <v>4933</v>
      </c>
      <c r="D11587" s="451"/>
      <c r="E11587" s="451"/>
      <c r="F11587" s="451" t="s">
        <v>21395</v>
      </c>
      <c r="G11587" s="451" t="s">
        <v>22877</v>
      </c>
      <c r="H11587" s="451" t="s">
        <v>22878</v>
      </c>
      <c r="I11587" s="451" t="s">
        <v>32055</v>
      </c>
      <c r="J11587" s="451" t="s">
        <v>32056</v>
      </c>
      <c r="K11587" s="451"/>
    </row>
    <row r="11588" spans="1:11">
      <c r="A11588" s="450" t="s">
        <v>29662</v>
      </c>
      <c r="B11588" s="450"/>
      <c r="C11588" s="450" t="s">
        <v>4280</v>
      </c>
      <c r="D11588" s="450"/>
      <c r="E11588" s="450"/>
      <c r="F11588" s="450"/>
      <c r="G11588" s="450" t="s">
        <v>22877</v>
      </c>
      <c r="H11588" s="450" t="s">
        <v>22878</v>
      </c>
      <c r="I11588" s="450" t="s">
        <v>32057</v>
      </c>
      <c r="J11588" s="450" t="s">
        <v>22997</v>
      </c>
      <c r="K11588" s="450"/>
    </row>
    <row r="11589" spans="1:11">
      <c r="A11589" s="451" t="s">
        <v>18273</v>
      </c>
      <c r="B11589" s="451" t="s">
        <v>39088</v>
      </c>
      <c r="C11589" s="451" t="s">
        <v>18275</v>
      </c>
      <c r="D11589" s="451"/>
      <c r="E11589" s="451"/>
      <c r="F11589" s="451"/>
      <c r="G11589" s="451" t="s">
        <v>22882</v>
      </c>
      <c r="H11589" s="451" t="s">
        <v>22883</v>
      </c>
      <c r="I11589" s="451"/>
      <c r="J11589" s="451" t="s">
        <v>39089</v>
      </c>
      <c r="K11589" s="451"/>
    </row>
    <row r="11590" spans="1:11">
      <c r="A11590" s="450" t="s">
        <v>18273</v>
      </c>
      <c r="B11590" s="450" t="s">
        <v>18274</v>
      </c>
      <c r="C11590" s="450" t="s">
        <v>18275</v>
      </c>
      <c r="D11590" s="450"/>
      <c r="E11590" s="450"/>
      <c r="F11590" s="450"/>
      <c r="G11590" s="450"/>
      <c r="H11590" s="450"/>
      <c r="I11590" s="450"/>
      <c r="J11590" s="450"/>
      <c r="K11590" s="450"/>
    </row>
    <row r="11591" spans="1:11">
      <c r="A11591" s="451" t="s">
        <v>18276</v>
      </c>
      <c r="B11591" s="451" t="s">
        <v>29663</v>
      </c>
      <c r="C11591" s="451" t="s">
        <v>6038</v>
      </c>
      <c r="D11591" s="451" t="s">
        <v>29664</v>
      </c>
      <c r="E11591" s="451"/>
      <c r="F11591" s="451" t="s">
        <v>29665</v>
      </c>
      <c r="G11591" s="451" t="s">
        <v>22877</v>
      </c>
      <c r="H11591" s="451" t="s">
        <v>22878</v>
      </c>
      <c r="I11591" s="451" t="s">
        <v>29664</v>
      </c>
      <c r="J11591" s="451" t="s">
        <v>32058</v>
      </c>
      <c r="K11591" s="451"/>
    </row>
    <row r="11592" spans="1:11">
      <c r="A11592" s="450" t="s">
        <v>18276</v>
      </c>
      <c r="B11592" s="450"/>
      <c r="C11592" s="450" t="s">
        <v>6038</v>
      </c>
      <c r="D11592" s="450"/>
      <c r="E11592" s="450"/>
      <c r="F11592" s="450"/>
      <c r="G11592" s="450"/>
      <c r="H11592" s="450"/>
      <c r="I11592" s="450"/>
      <c r="J11592" s="450"/>
      <c r="K11592" s="450"/>
    </row>
    <row r="11593" spans="1:11">
      <c r="A11593" s="451" t="s">
        <v>29666</v>
      </c>
      <c r="B11593" s="451" t="s">
        <v>29667</v>
      </c>
      <c r="C11593" s="451" t="s">
        <v>29668</v>
      </c>
      <c r="D11593" s="451"/>
      <c r="E11593" s="451"/>
      <c r="F11593" s="451"/>
      <c r="G11593" s="451" t="s">
        <v>22877</v>
      </c>
      <c r="H11593" s="451" t="s">
        <v>22878</v>
      </c>
      <c r="I11593" s="451" t="s">
        <v>32059</v>
      </c>
      <c r="J11593" s="451" t="s">
        <v>32060</v>
      </c>
      <c r="K11593" s="451"/>
    </row>
    <row r="11594" spans="1:11">
      <c r="A11594" s="450" t="s">
        <v>18277</v>
      </c>
      <c r="B11594" s="450"/>
      <c r="C11594" s="450" t="s">
        <v>16639</v>
      </c>
      <c r="D11594" s="450"/>
      <c r="E11594" s="450"/>
      <c r="F11594" s="450"/>
      <c r="G11594" s="450" t="s">
        <v>22882</v>
      </c>
      <c r="H11594" s="450" t="s">
        <v>22883</v>
      </c>
      <c r="I11594" s="450" t="s">
        <v>39090</v>
      </c>
      <c r="J11594" s="450" t="s">
        <v>23185</v>
      </c>
      <c r="K11594" s="450"/>
    </row>
    <row r="11595" spans="1:11">
      <c r="A11595" s="451" t="s">
        <v>39091</v>
      </c>
      <c r="B11595" s="451"/>
      <c r="C11595" s="451" t="s">
        <v>18279</v>
      </c>
      <c r="D11595" s="451"/>
      <c r="E11595" s="451"/>
      <c r="F11595" s="451"/>
      <c r="G11595" s="451" t="s">
        <v>22882</v>
      </c>
      <c r="H11595" s="451" t="s">
        <v>22883</v>
      </c>
      <c r="I11595" s="451"/>
      <c r="J11595" s="451" t="s">
        <v>22942</v>
      </c>
      <c r="K11595" s="451"/>
    </row>
    <row r="11596" spans="1:11">
      <c r="A11596" s="450" t="s">
        <v>18278</v>
      </c>
      <c r="B11596" s="450"/>
      <c r="C11596" s="450" t="s">
        <v>18279</v>
      </c>
      <c r="D11596" s="450"/>
      <c r="E11596" s="450"/>
      <c r="F11596" s="450"/>
      <c r="G11596" s="450"/>
      <c r="H11596" s="450"/>
      <c r="I11596" s="450"/>
      <c r="J11596" s="450"/>
      <c r="K11596" s="450"/>
    </row>
    <row r="11597" spans="1:11">
      <c r="A11597" s="451" t="s">
        <v>18280</v>
      </c>
      <c r="B11597" s="451"/>
      <c r="C11597" s="451" t="s">
        <v>17800</v>
      </c>
      <c r="D11597" s="451"/>
      <c r="E11597" s="451"/>
      <c r="F11597" s="451"/>
      <c r="G11597" s="451" t="s">
        <v>22882</v>
      </c>
      <c r="H11597" s="451" t="s">
        <v>22883</v>
      </c>
      <c r="I11597" s="451" t="s">
        <v>39092</v>
      </c>
      <c r="J11597" s="451" t="s">
        <v>22997</v>
      </c>
      <c r="K11597" s="451"/>
    </row>
    <row r="11598" spans="1:11">
      <c r="A11598" s="450" t="s">
        <v>39093</v>
      </c>
      <c r="B11598" s="450"/>
      <c r="C11598" s="450" t="s">
        <v>18282</v>
      </c>
      <c r="D11598" s="450"/>
      <c r="E11598" s="450"/>
      <c r="F11598" s="450"/>
      <c r="G11598" s="450" t="s">
        <v>22877</v>
      </c>
      <c r="H11598" s="450" t="s">
        <v>22878</v>
      </c>
      <c r="I11598" s="450" t="s">
        <v>39094</v>
      </c>
      <c r="J11598" s="450" t="s">
        <v>23185</v>
      </c>
      <c r="K11598" s="450"/>
    </row>
    <row r="11599" spans="1:11">
      <c r="A11599" s="451" t="s">
        <v>18281</v>
      </c>
      <c r="B11599" s="451"/>
      <c r="C11599" s="451" t="s">
        <v>18282</v>
      </c>
      <c r="D11599" s="451"/>
      <c r="E11599" s="451"/>
      <c r="F11599" s="451"/>
      <c r="G11599" s="451"/>
      <c r="H11599" s="451"/>
      <c r="I11599" s="451"/>
      <c r="J11599" s="451"/>
      <c r="K11599" s="451"/>
    </row>
    <row r="11600" spans="1:11">
      <c r="A11600" s="450" t="s">
        <v>18283</v>
      </c>
      <c r="B11600" s="450"/>
      <c r="C11600" s="450" t="s">
        <v>18284</v>
      </c>
      <c r="D11600" s="450"/>
      <c r="E11600" s="450"/>
      <c r="F11600" s="450"/>
      <c r="G11600" s="450" t="s">
        <v>22877</v>
      </c>
      <c r="H11600" s="450" t="s">
        <v>22878</v>
      </c>
      <c r="I11600" s="450" t="s">
        <v>39095</v>
      </c>
      <c r="J11600" s="450" t="s">
        <v>23185</v>
      </c>
      <c r="K11600" s="450"/>
    </row>
    <row r="11601" spans="1:11">
      <c r="A11601" s="451" t="s">
        <v>18285</v>
      </c>
      <c r="B11601" s="451"/>
      <c r="C11601" s="451" t="s">
        <v>9886</v>
      </c>
      <c r="D11601" s="451"/>
      <c r="E11601" s="451"/>
      <c r="F11601" s="451"/>
      <c r="G11601" s="451" t="s">
        <v>39096</v>
      </c>
      <c r="H11601" s="451" t="s">
        <v>22878</v>
      </c>
      <c r="I11601" s="451"/>
      <c r="J11601" s="451"/>
      <c r="K11601" s="451"/>
    </row>
    <row r="11602" spans="1:11">
      <c r="A11602" s="450" t="s">
        <v>22008</v>
      </c>
      <c r="B11602" s="450"/>
      <c r="C11602" s="450" t="s">
        <v>4678</v>
      </c>
      <c r="D11602" s="450"/>
      <c r="E11602" s="450"/>
      <c r="F11602" s="450"/>
      <c r="G11602" s="450" t="s">
        <v>22882</v>
      </c>
      <c r="H11602" s="450" t="s">
        <v>22883</v>
      </c>
      <c r="I11602" s="450" t="s">
        <v>32061</v>
      </c>
      <c r="J11602" s="450" t="s">
        <v>23185</v>
      </c>
      <c r="K11602" s="450"/>
    </row>
    <row r="11603" spans="1:11">
      <c r="A11603" s="451" t="s">
        <v>30071</v>
      </c>
      <c r="B11603" s="451" t="s">
        <v>30072</v>
      </c>
      <c r="C11603" s="451" t="s">
        <v>30073</v>
      </c>
      <c r="D11603" s="451"/>
      <c r="E11603" s="451"/>
      <c r="F11603" s="451"/>
      <c r="G11603" s="451"/>
      <c r="H11603" s="451"/>
      <c r="I11603" s="451"/>
      <c r="J11603" s="451"/>
      <c r="K11603" s="451"/>
    </row>
    <row r="11604" spans="1:11">
      <c r="A11604" s="450" t="s">
        <v>22009</v>
      </c>
      <c r="B11604" s="450"/>
      <c r="C11604" s="450" t="s">
        <v>18286</v>
      </c>
      <c r="D11604" s="450"/>
      <c r="E11604" s="450"/>
      <c r="F11604" s="450"/>
      <c r="G11604" s="450" t="s">
        <v>22877</v>
      </c>
      <c r="H11604" s="450" t="s">
        <v>22878</v>
      </c>
      <c r="I11604" s="450" t="s">
        <v>39097</v>
      </c>
      <c r="J11604" s="450" t="s">
        <v>22997</v>
      </c>
      <c r="K11604" s="450"/>
    </row>
    <row r="11605" spans="1:11">
      <c r="A11605" s="451" t="s">
        <v>18287</v>
      </c>
      <c r="B11605" s="451"/>
      <c r="C11605" s="451" t="s">
        <v>18288</v>
      </c>
      <c r="D11605" s="451"/>
      <c r="E11605" s="451"/>
      <c r="F11605" s="451"/>
      <c r="G11605" s="451"/>
      <c r="H11605" s="451"/>
      <c r="I11605" s="451"/>
      <c r="J11605" s="451"/>
      <c r="K11605" s="451"/>
    </row>
    <row r="11606" spans="1:11">
      <c r="A11606" s="450" t="s">
        <v>39098</v>
      </c>
      <c r="B11606" s="450"/>
      <c r="C11606" s="450" t="s">
        <v>18288</v>
      </c>
      <c r="D11606" s="450"/>
      <c r="E11606" s="450"/>
      <c r="F11606" s="450"/>
      <c r="G11606" s="450" t="s">
        <v>22882</v>
      </c>
      <c r="H11606" s="450" t="s">
        <v>22883</v>
      </c>
      <c r="I11606" s="450"/>
      <c r="J11606" s="450" t="s">
        <v>22942</v>
      </c>
      <c r="K11606" s="450"/>
    </row>
    <row r="11607" spans="1:11">
      <c r="A11607" s="451" t="s">
        <v>18289</v>
      </c>
      <c r="B11607" s="451"/>
      <c r="C11607" s="451" t="s">
        <v>2038</v>
      </c>
      <c r="D11607" s="451"/>
      <c r="E11607" s="451"/>
      <c r="F11607" s="451"/>
      <c r="G11607" s="451"/>
      <c r="H11607" s="451"/>
      <c r="I11607" s="451"/>
      <c r="J11607" s="451"/>
      <c r="K11607" s="451"/>
    </row>
    <row r="11608" spans="1:11">
      <c r="A11608" s="450" t="s">
        <v>39099</v>
      </c>
      <c r="B11608" s="450" t="s">
        <v>18291</v>
      </c>
      <c r="C11608" s="450" t="s">
        <v>3602</v>
      </c>
      <c r="D11608" s="450" t="s">
        <v>18292</v>
      </c>
      <c r="E11608" s="450"/>
      <c r="F11608" s="450"/>
      <c r="G11608" s="450" t="s">
        <v>22877</v>
      </c>
      <c r="H11608" s="450" t="s">
        <v>22878</v>
      </c>
      <c r="I11608" s="450" t="s">
        <v>18292</v>
      </c>
      <c r="J11608" s="450" t="s">
        <v>39100</v>
      </c>
      <c r="K11608" s="450"/>
    </row>
    <row r="11609" spans="1:11">
      <c r="A11609" s="451" t="s">
        <v>18290</v>
      </c>
      <c r="B11609" s="451" t="s">
        <v>18291</v>
      </c>
      <c r="C11609" s="451" t="s">
        <v>3602</v>
      </c>
      <c r="D11609" s="451" t="s">
        <v>18292</v>
      </c>
      <c r="E11609" s="451" t="s">
        <v>18293</v>
      </c>
      <c r="F11609" s="451"/>
      <c r="G11609" s="451"/>
      <c r="H11609" s="451"/>
      <c r="I11609" s="451"/>
      <c r="J11609" s="451"/>
      <c r="K11609" s="451"/>
    </row>
    <row r="11610" spans="1:11">
      <c r="A11610" s="450" t="s">
        <v>18294</v>
      </c>
      <c r="B11610" s="450"/>
      <c r="C11610" s="450" t="s">
        <v>9232</v>
      </c>
      <c r="D11610" s="450"/>
      <c r="E11610" s="450"/>
      <c r="F11610" s="450"/>
      <c r="G11610" s="450" t="s">
        <v>22877</v>
      </c>
      <c r="H11610" s="450" t="s">
        <v>22878</v>
      </c>
      <c r="I11610" s="450" t="s">
        <v>39101</v>
      </c>
      <c r="J11610" s="450" t="s">
        <v>23185</v>
      </c>
      <c r="K11610" s="450"/>
    </row>
    <row r="11611" spans="1:11">
      <c r="A11611" s="451" t="s">
        <v>18295</v>
      </c>
      <c r="B11611" s="451"/>
      <c r="C11611" s="451" t="s">
        <v>3169</v>
      </c>
      <c r="D11611" s="451"/>
      <c r="E11611" s="451"/>
      <c r="F11611" s="451"/>
      <c r="G11611" s="451" t="s">
        <v>22877</v>
      </c>
      <c r="H11611" s="451" t="s">
        <v>22878</v>
      </c>
      <c r="I11611" s="451" t="s">
        <v>39102</v>
      </c>
      <c r="J11611" s="451" t="s">
        <v>23185</v>
      </c>
      <c r="K11611" s="451"/>
    </row>
    <row r="11612" spans="1:11">
      <c r="A11612" s="450" t="s">
        <v>18296</v>
      </c>
      <c r="B11612" s="450"/>
      <c r="C11612" s="450" t="s">
        <v>18297</v>
      </c>
      <c r="D11612" s="450"/>
      <c r="E11612" s="450"/>
      <c r="F11612" s="450"/>
      <c r="G11612" s="450" t="s">
        <v>22877</v>
      </c>
      <c r="H11612" s="450" t="s">
        <v>22878</v>
      </c>
      <c r="I11612" s="450" t="s">
        <v>32062</v>
      </c>
      <c r="J11612" s="450" t="s">
        <v>32063</v>
      </c>
      <c r="K11612" s="450"/>
    </row>
    <row r="11613" spans="1:11">
      <c r="A11613" s="451" t="s">
        <v>18298</v>
      </c>
      <c r="B11613" s="451" t="s">
        <v>18299</v>
      </c>
      <c r="C11613" s="451" t="s">
        <v>18300</v>
      </c>
      <c r="D11613" s="451" t="s">
        <v>18301</v>
      </c>
      <c r="E11613" s="451"/>
      <c r="F11613" s="451"/>
      <c r="G11613" s="451" t="s">
        <v>22877</v>
      </c>
      <c r="H11613" s="451" t="s">
        <v>22878</v>
      </c>
      <c r="I11613" s="451" t="s">
        <v>18301</v>
      </c>
      <c r="J11613" s="451" t="s">
        <v>32064</v>
      </c>
      <c r="K11613" s="451"/>
    </row>
    <row r="11614" spans="1:11">
      <c r="A11614" s="450" t="s">
        <v>18298</v>
      </c>
      <c r="B11614" s="450" t="s">
        <v>18299</v>
      </c>
      <c r="C11614" s="450" t="s">
        <v>18300</v>
      </c>
      <c r="D11614" s="450" t="s">
        <v>18301</v>
      </c>
      <c r="E11614" s="450" t="s">
        <v>18302</v>
      </c>
      <c r="F11614" s="450"/>
      <c r="G11614" s="450"/>
      <c r="H11614" s="450"/>
      <c r="I11614" s="450"/>
      <c r="J11614" s="450"/>
      <c r="K11614" s="450"/>
    </row>
    <row r="11615" spans="1:11">
      <c r="A11615" s="451" t="s">
        <v>18303</v>
      </c>
      <c r="B11615" s="451" t="s">
        <v>18304</v>
      </c>
      <c r="C11615" s="451" t="s">
        <v>18305</v>
      </c>
      <c r="D11615" s="451" t="s">
        <v>18306</v>
      </c>
      <c r="E11615" s="451" t="s">
        <v>18307</v>
      </c>
      <c r="F11615" s="451"/>
      <c r="G11615" s="451"/>
      <c r="H11615" s="451"/>
      <c r="I11615" s="451"/>
      <c r="J11615" s="451"/>
      <c r="K11615" s="451"/>
    </row>
    <row r="11616" spans="1:11">
      <c r="A11616" s="450" t="s">
        <v>29669</v>
      </c>
      <c r="B11616" s="450" t="s">
        <v>18304</v>
      </c>
      <c r="C11616" s="450" t="s">
        <v>18305</v>
      </c>
      <c r="D11616" s="450" t="s">
        <v>18306</v>
      </c>
      <c r="E11616" s="450"/>
      <c r="F11616" s="450"/>
      <c r="G11616" s="450" t="s">
        <v>22877</v>
      </c>
      <c r="H11616" s="450" t="s">
        <v>22878</v>
      </c>
      <c r="I11616" s="450" t="s">
        <v>23389</v>
      </c>
      <c r="J11616" s="450" t="s">
        <v>32065</v>
      </c>
      <c r="K11616" s="450"/>
    </row>
    <row r="11617" spans="1:11">
      <c r="A11617" s="451" t="s">
        <v>18308</v>
      </c>
      <c r="B11617" s="451"/>
      <c r="C11617" s="451" t="s">
        <v>18309</v>
      </c>
      <c r="D11617" s="451"/>
      <c r="E11617" s="451"/>
      <c r="F11617" s="451"/>
      <c r="G11617" s="451" t="s">
        <v>22877</v>
      </c>
      <c r="H11617" s="451" t="s">
        <v>22878</v>
      </c>
      <c r="I11617" s="451" t="s">
        <v>32066</v>
      </c>
      <c r="J11617" s="451" t="s">
        <v>23185</v>
      </c>
      <c r="K11617" s="451"/>
    </row>
    <row r="11618" spans="1:11">
      <c r="A11618" s="450" t="s">
        <v>18310</v>
      </c>
      <c r="B11618" s="450" t="s">
        <v>18311</v>
      </c>
      <c r="C11618" s="450" t="s">
        <v>18312</v>
      </c>
      <c r="D11618" s="450"/>
      <c r="E11618" s="450"/>
      <c r="F11618" s="450" t="s">
        <v>18313</v>
      </c>
      <c r="G11618" s="450" t="s">
        <v>22877</v>
      </c>
      <c r="H11618" s="450" t="s">
        <v>22878</v>
      </c>
      <c r="I11618" s="450" t="s">
        <v>32067</v>
      </c>
      <c r="J11618" s="450" t="s">
        <v>32068</v>
      </c>
      <c r="K11618" s="450"/>
    </row>
    <row r="11619" spans="1:11">
      <c r="A11619" s="451" t="s">
        <v>18314</v>
      </c>
      <c r="B11619" s="451"/>
      <c r="C11619" s="451" t="s">
        <v>18315</v>
      </c>
      <c r="D11619" s="451"/>
      <c r="E11619" s="451"/>
      <c r="F11619" s="451"/>
      <c r="G11619" s="451" t="s">
        <v>22877</v>
      </c>
      <c r="H11619" s="451" t="s">
        <v>22878</v>
      </c>
      <c r="I11619" s="451" t="s">
        <v>32066</v>
      </c>
      <c r="J11619" s="451" t="s">
        <v>22939</v>
      </c>
      <c r="K11619" s="451"/>
    </row>
    <row r="11620" spans="1:11">
      <c r="A11620" s="450" t="s">
        <v>18316</v>
      </c>
      <c r="B11620" s="450"/>
      <c r="C11620" s="450" t="s">
        <v>18317</v>
      </c>
      <c r="D11620" s="450"/>
      <c r="E11620" s="450"/>
      <c r="F11620" s="450"/>
      <c r="G11620" s="450" t="s">
        <v>22882</v>
      </c>
      <c r="H11620" s="450" t="s">
        <v>22883</v>
      </c>
      <c r="I11620" s="450"/>
      <c r="J11620" s="450" t="s">
        <v>23185</v>
      </c>
      <c r="K11620" s="450"/>
    </row>
    <row r="11621" spans="1:11">
      <c r="A11621" s="451" t="s">
        <v>18318</v>
      </c>
      <c r="B11621" s="451"/>
      <c r="C11621" s="451" t="s">
        <v>2138</v>
      </c>
      <c r="D11621" s="451"/>
      <c r="E11621" s="451"/>
      <c r="F11621" s="451"/>
      <c r="G11621" s="451"/>
      <c r="H11621" s="451"/>
      <c r="I11621" s="451"/>
      <c r="J11621" s="451"/>
      <c r="K11621" s="451"/>
    </row>
    <row r="11622" spans="1:11">
      <c r="A11622" s="450" t="s">
        <v>18319</v>
      </c>
      <c r="B11622" s="450"/>
      <c r="C11622" s="450" t="s">
        <v>18320</v>
      </c>
      <c r="D11622" s="450"/>
      <c r="E11622" s="450"/>
      <c r="F11622" s="450"/>
      <c r="G11622" s="450" t="s">
        <v>22877</v>
      </c>
      <c r="H11622" s="450" t="s">
        <v>22878</v>
      </c>
      <c r="I11622" s="450" t="s">
        <v>32069</v>
      </c>
      <c r="J11622" s="450" t="s">
        <v>28871</v>
      </c>
      <c r="K11622" s="450"/>
    </row>
    <row r="11623" spans="1:11">
      <c r="A11623" s="451" t="s">
        <v>29670</v>
      </c>
      <c r="B11623" s="451" t="s">
        <v>18322</v>
      </c>
      <c r="C11623" s="451" t="s">
        <v>18323</v>
      </c>
      <c r="D11623" s="451"/>
      <c r="E11623" s="451"/>
      <c r="F11623" s="451"/>
      <c r="G11623" s="451" t="s">
        <v>22877</v>
      </c>
      <c r="H11623" s="451" t="s">
        <v>22878</v>
      </c>
      <c r="I11623" s="451" t="s">
        <v>32070</v>
      </c>
      <c r="J11623" s="451" t="s">
        <v>32071</v>
      </c>
      <c r="K11623" s="451"/>
    </row>
    <row r="11624" spans="1:11">
      <c r="A11624" s="450" t="s">
        <v>29671</v>
      </c>
      <c r="B11624" s="450" t="s">
        <v>29672</v>
      </c>
      <c r="C11624" s="450" t="s">
        <v>29673</v>
      </c>
      <c r="D11624" s="450"/>
      <c r="E11624" s="450"/>
      <c r="F11624" s="450"/>
      <c r="G11624" s="450" t="s">
        <v>22877</v>
      </c>
      <c r="H11624" s="450" t="s">
        <v>22878</v>
      </c>
      <c r="I11624" s="450" t="s">
        <v>32072</v>
      </c>
      <c r="J11624" s="450" t="s">
        <v>32073</v>
      </c>
      <c r="K11624" s="450"/>
    </row>
    <row r="11625" spans="1:11">
      <c r="A11625" s="451" t="s">
        <v>29674</v>
      </c>
      <c r="B11625" s="451" t="s">
        <v>29675</v>
      </c>
      <c r="C11625" s="451" t="s">
        <v>29676</v>
      </c>
      <c r="D11625" s="451"/>
      <c r="E11625" s="451"/>
      <c r="F11625" s="451"/>
      <c r="G11625" s="451" t="s">
        <v>22877</v>
      </c>
      <c r="H11625" s="451" t="s">
        <v>22878</v>
      </c>
      <c r="I11625" s="451" t="s">
        <v>32074</v>
      </c>
      <c r="J11625" s="451" t="s">
        <v>32075</v>
      </c>
      <c r="K11625" s="451"/>
    </row>
    <row r="11626" spans="1:11">
      <c r="A11626" s="450" t="s">
        <v>29677</v>
      </c>
      <c r="B11626" s="450" t="s">
        <v>29678</v>
      </c>
      <c r="C11626" s="450" t="s">
        <v>29679</v>
      </c>
      <c r="D11626" s="450"/>
      <c r="E11626" s="450"/>
      <c r="F11626" s="450"/>
      <c r="G11626" s="450" t="s">
        <v>22877</v>
      </c>
      <c r="H11626" s="450" t="s">
        <v>22878</v>
      </c>
      <c r="I11626" s="450" t="s">
        <v>32076</v>
      </c>
      <c r="J11626" s="450" t="s">
        <v>32077</v>
      </c>
      <c r="K11626" s="450"/>
    </row>
    <row r="11627" spans="1:11">
      <c r="A11627" s="451" t="s">
        <v>29680</v>
      </c>
      <c r="B11627" s="451" t="s">
        <v>29681</v>
      </c>
      <c r="C11627" s="451" t="s">
        <v>11975</v>
      </c>
      <c r="D11627" s="451"/>
      <c r="E11627" s="451"/>
      <c r="F11627" s="451"/>
      <c r="G11627" s="451" t="s">
        <v>22877</v>
      </c>
      <c r="H11627" s="451" t="s">
        <v>22878</v>
      </c>
      <c r="I11627" s="451" t="s">
        <v>32078</v>
      </c>
      <c r="J11627" s="451" t="s">
        <v>32079</v>
      </c>
      <c r="K11627" s="451"/>
    </row>
    <row r="11628" spans="1:11">
      <c r="A11628" s="450" t="s">
        <v>18321</v>
      </c>
      <c r="B11628" s="450" t="s">
        <v>18322</v>
      </c>
      <c r="C11628" s="450" t="s">
        <v>18323</v>
      </c>
      <c r="D11628" s="450"/>
      <c r="E11628" s="450"/>
      <c r="F11628" s="450"/>
      <c r="G11628" s="450"/>
      <c r="H11628" s="450"/>
      <c r="I11628" s="450"/>
      <c r="J11628" s="450"/>
      <c r="K11628" s="450"/>
    </row>
    <row r="11629" spans="1:11">
      <c r="A11629" s="451" t="s">
        <v>29682</v>
      </c>
      <c r="B11629" s="451" t="s">
        <v>29683</v>
      </c>
      <c r="C11629" s="451" t="s">
        <v>29684</v>
      </c>
      <c r="D11629" s="451"/>
      <c r="E11629" s="451"/>
      <c r="F11629" s="451"/>
      <c r="G11629" s="451" t="s">
        <v>22877</v>
      </c>
      <c r="H11629" s="451" t="s">
        <v>22878</v>
      </c>
      <c r="I11629" s="451" t="s">
        <v>32080</v>
      </c>
      <c r="J11629" s="451" t="s">
        <v>32081</v>
      </c>
      <c r="K11629" s="451"/>
    </row>
    <row r="11630" spans="1:11">
      <c r="A11630" s="450" t="s">
        <v>29685</v>
      </c>
      <c r="B11630" s="450" t="s">
        <v>29686</v>
      </c>
      <c r="C11630" s="450" t="s">
        <v>29687</v>
      </c>
      <c r="D11630" s="450"/>
      <c r="E11630" s="450"/>
      <c r="F11630" s="450"/>
      <c r="G11630" s="450" t="s">
        <v>22877</v>
      </c>
      <c r="H11630" s="450" t="s">
        <v>22878</v>
      </c>
      <c r="I11630" s="450" t="s">
        <v>32082</v>
      </c>
      <c r="J11630" s="450" t="s">
        <v>32083</v>
      </c>
      <c r="K11630" s="450"/>
    </row>
    <row r="11631" spans="1:11">
      <c r="A11631" s="451" t="s">
        <v>18324</v>
      </c>
      <c r="B11631" s="451"/>
      <c r="C11631" s="451" t="s">
        <v>2258</v>
      </c>
      <c r="D11631" s="451"/>
      <c r="E11631" s="451"/>
      <c r="F11631" s="451"/>
      <c r="G11631" s="451"/>
      <c r="H11631" s="451"/>
      <c r="I11631" s="451"/>
      <c r="J11631" s="451"/>
      <c r="K11631" s="451"/>
    </row>
    <row r="11632" spans="1:11">
      <c r="A11632" s="450" t="s">
        <v>39103</v>
      </c>
      <c r="B11632" s="450"/>
      <c r="C11632" s="450" t="s">
        <v>2258</v>
      </c>
      <c r="D11632" s="450"/>
      <c r="E11632" s="450"/>
      <c r="F11632" s="450"/>
      <c r="G11632" s="450" t="s">
        <v>22877</v>
      </c>
      <c r="H11632" s="450" t="s">
        <v>22878</v>
      </c>
      <c r="I11632" s="450" t="s">
        <v>39104</v>
      </c>
      <c r="J11632" s="450" t="s">
        <v>23370</v>
      </c>
      <c r="K11632" s="450"/>
    </row>
    <row r="11633" spans="1:11">
      <c r="A11633" s="451" t="s">
        <v>18325</v>
      </c>
      <c r="B11633" s="451"/>
      <c r="C11633" s="451" t="s">
        <v>18326</v>
      </c>
      <c r="D11633" s="451"/>
      <c r="E11633" s="451"/>
      <c r="F11633" s="451"/>
      <c r="G11633" s="451"/>
      <c r="H11633" s="451"/>
      <c r="I11633" s="451"/>
      <c r="J11633" s="451"/>
      <c r="K11633" s="451"/>
    </row>
    <row r="11634" spans="1:11">
      <c r="A11634" s="450" t="s">
        <v>18327</v>
      </c>
      <c r="B11634" s="450"/>
      <c r="C11634" s="450" t="s">
        <v>18328</v>
      </c>
      <c r="D11634" s="450"/>
      <c r="E11634" s="450"/>
      <c r="F11634" s="450"/>
      <c r="G11634" s="450"/>
      <c r="H11634" s="450"/>
      <c r="I11634" s="450"/>
      <c r="J11634" s="450"/>
      <c r="K11634" s="450"/>
    </row>
    <row r="11635" spans="1:11">
      <c r="A11635" s="451" t="s">
        <v>18329</v>
      </c>
      <c r="B11635" s="451"/>
      <c r="C11635" s="451" t="s">
        <v>18330</v>
      </c>
      <c r="D11635" s="451"/>
      <c r="E11635" s="451"/>
      <c r="F11635" s="451"/>
      <c r="G11635" s="451"/>
      <c r="H11635" s="451"/>
      <c r="I11635" s="451"/>
      <c r="J11635" s="451"/>
      <c r="K11635" s="451"/>
    </row>
    <row r="11636" spans="1:11">
      <c r="A11636" s="450" t="s">
        <v>18331</v>
      </c>
      <c r="B11636" s="450"/>
      <c r="C11636" s="450" t="s">
        <v>18332</v>
      </c>
      <c r="D11636" s="450"/>
      <c r="E11636" s="450"/>
      <c r="F11636" s="450"/>
      <c r="G11636" s="450"/>
      <c r="H11636" s="450"/>
      <c r="I11636" s="450"/>
      <c r="J11636" s="450"/>
      <c r="K11636" s="450"/>
    </row>
    <row r="11637" spans="1:11">
      <c r="A11637" s="451" t="s">
        <v>18333</v>
      </c>
      <c r="B11637" s="451"/>
      <c r="C11637" s="451" t="s">
        <v>7840</v>
      </c>
      <c r="D11637" s="451"/>
      <c r="E11637" s="451"/>
      <c r="F11637" s="451"/>
      <c r="G11637" s="451"/>
      <c r="H11637" s="451"/>
      <c r="I11637" s="451"/>
      <c r="J11637" s="451"/>
      <c r="K11637" s="451"/>
    </row>
    <row r="11638" spans="1:11">
      <c r="A11638" s="450" t="s">
        <v>18334</v>
      </c>
      <c r="B11638" s="450"/>
      <c r="C11638" s="450" t="s">
        <v>18335</v>
      </c>
      <c r="D11638" s="450"/>
      <c r="E11638" s="450"/>
      <c r="F11638" s="450"/>
      <c r="G11638" s="450"/>
      <c r="H11638" s="450"/>
      <c r="I11638" s="450"/>
      <c r="J11638" s="450"/>
      <c r="K11638" s="450"/>
    </row>
    <row r="11639" spans="1:11">
      <c r="A11639" s="451" t="s">
        <v>18336</v>
      </c>
      <c r="B11639" s="451" t="s">
        <v>18337</v>
      </c>
      <c r="C11639" s="451" t="s">
        <v>2741</v>
      </c>
      <c r="D11639" s="451"/>
      <c r="E11639" s="451"/>
      <c r="F11639" s="451"/>
      <c r="G11639" s="451"/>
      <c r="H11639" s="451"/>
      <c r="I11639" s="451"/>
      <c r="J11639" s="451"/>
      <c r="K11639" s="451"/>
    </row>
    <row r="11640" spans="1:11">
      <c r="A11640" s="450" t="s">
        <v>18338</v>
      </c>
      <c r="B11640" s="450"/>
      <c r="C11640" s="450" t="s">
        <v>18328</v>
      </c>
      <c r="D11640" s="450"/>
      <c r="E11640" s="450"/>
      <c r="F11640" s="450"/>
      <c r="G11640" s="450"/>
      <c r="H11640" s="450"/>
      <c r="I11640" s="450"/>
      <c r="J11640" s="450"/>
      <c r="K11640" s="450"/>
    </row>
    <row r="11641" spans="1:11">
      <c r="A11641" s="451" t="s">
        <v>18339</v>
      </c>
      <c r="B11641" s="451" t="s">
        <v>18340</v>
      </c>
      <c r="C11641" s="451" t="s">
        <v>18341</v>
      </c>
      <c r="D11641" s="451"/>
      <c r="E11641" s="451"/>
      <c r="F11641" s="451"/>
      <c r="G11641" s="451"/>
      <c r="H11641" s="451"/>
      <c r="I11641" s="451"/>
      <c r="J11641" s="451"/>
      <c r="K11641" s="451"/>
    </row>
    <row r="11642" spans="1:11">
      <c r="A11642" s="450" t="s">
        <v>18342</v>
      </c>
      <c r="B11642" s="450"/>
      <c r="C11642" s="450" t="s">
        <v>18343</v>
      </c>
      <c r="D11642" s="450"/>
      <c r="E11642" s="450"/>
      <c r="F11642" s="450"/>
      <c r="G11642" s="450"/>
      <c r="H11642" s="450"/>
      <c r="I11642" s="450"/>
      <c r="J11642" s="450"/>
      <c r="K11642" s="450"/>
    </row>
    <row r="11643" spans="1:11">
      <c r="A11643" s="451" t="s">
        <v>22010</v>
      </c>
      <c r="B11643" s="451"/>
      <c r="C11643" s="451" t="s">
        <v>18344</v>
      </c>
      <c r="D11643" s="451"/>
      <c r="E11643" s="451"/>
      <c r="F11643" s="451"/>
      <c r="G11643" s="451"/>
      <c r="H11643" s="451"/>
      <c r="I11643" s="451"/>
      <c r="J11643" s="451"/>
      <c r="K11643" s="451"/>
    </row>
    <row r="11644" spans="1:11">
      <c r="A11644" s="450" t="s">
        <v>22011</v>
      </c>
      <c r="B11644" s="450"/>
      <c r="C11644" s="450" t="s">
        <v>18345</v>
      </c>
      <c r="D11644" s="450"/>
      <c r="E11644" s="450"/>
      <c r="F11644" s="450"/>
      <c r="G11644" s="450"/>
      <c r="H11644" s="450"/>
      <c r="I11644" s="450"/>
      <c r="J11644" s="450"/>
      <c r="K11644" s="450"/>
    </row>
    <row r="11645" spans="1:11">
      <c r="A11645" s="451" t="s">
        <v>18346</v>
      </c>
      <c r="B11645" s="451" t="s">
        <v>18347</v>
      </c>
      <c r="C11645" s="451" t="s">
        <v>18348</v>
      </c>
      <c r="D11645" s="451" t="s">
        <v>18349</v>
      </c>
      <c r="E11645" s="451"/>
      <c r="F11645" s="451"/>
      <c r="G11645" s="451"/>
      <c r="H11645" s="451"/>
      <c r="I11645" s="451"/>
      <c r="J11645" s="451"/>
      <c r="K11645" s="451"/>
    </row>
    <row r="11646" spans="1:11">
      <c r="A11646" s="450" t="s">
        <v>18350</v>
      </c>
      <c r="B11646" s="450"/>
      <c r="C11646" s="450" t="s">
        <v>18351</v>
      </c>
      <c r="D11646" s="450"/>
      <c r="E11646" s="450"/>
      <c r="F11646" s="450"/>
      <c r="G11646" s="450"/>
      <c r="H11646" s="450"/>
      <c r="I11646" s="450"/>
      <c r="J11646" s="450"/>
      <c r="K11646" s="450"/>
    </row>
    <row r="11647" spans="1:11">
      <c r="A11647" s="451" t="s">
        <v>18352</v>
      </c>
      <c r="B11647" s="451"/>
      <c r="C11647" s="451" t="s">
        <v>5889</v>
      </c>
      <c r="D11647" s="451"/>
      <c r="E11647" s="451"/>
      <c r="F11647" s="451"/>
      <c r="G11647" s="451"/>
      <c r="H11647" s="451"/>
      <c r="I11647" s="451"/>
      <c r="J11647" s="451"/>
      <c r="K11647" s="451"/>
    </row>
    <row r="11648" spans="1:11">
      <c r="A11648" s="450" t="s">
        <v>18353</v>
      </c>
      <c r="B11648" s="450"/>
      <c r="C11648" s="450" t="s">
        <v>6331</v>
      </c>
      <c r="D11648" s="450"/>
      <c r="E11648" s="450"/>
      <c r="F11648" s="450"/>
      <c r="G11648" s="450"/>
      <c r="H11648" s="450"/>
      <c r="I11648" s="450"/>
      <c r="J11648" s="450"/>
      <c r="K11648" s="450"/>
    </row>
    <row r="11649" spans="1:11">
      <c r="A11649" s="451" t="s">
        <v>18354</v>
      </c>
      <c r="B11649" s="451"/>
      <c r="C11649" s="451" t="s">
        <v>18355</v>
      </c>
      <c r="D11649" s="451"/>
      <c r="E11649" s="451"/>
      <c r="F11649" s="451"/>
      <c r="G11649" s="451"/>
      <c r="H11649" s="451"/>
      <c r="I11649" s="451"/>
      <c r="J11649" s="451"/>
      <c r="K11649" s="451"/>
    </row>
    <row r="11650" spans="1:11">
      <c r="A11650" s="450" t="s">
        <v>18356</v>
      </c>
      <c r="B11650" s="450"/>
      <c r="C11650" s="450" t="s">
        <v>18357</v>
      </c>
      <c r="D11650" s="450"/>
      <c r="E11650" s="450"/>
      <c r="F11650" s="450"/>
      <c r="G11650" s="450"/>
      <c r="H11650" s="450"/>
      <c r="I11650" s="450"/>
      <c r="J11650" s="450"/>
      <c r="K11650" s="450"/>
    </row>
    <row r="11651" spans="1:11">
      <c r="A11651" s="451" t="s">
        <v>18358</v>
      </c>
      <c r="B11651" s="451"/>
      <c r="C11651" s="451" t="s">
        <v>18359</v>
      </c>
      <c r="D11651" s="451"/>
      <c r="E11651" s="451"/>
      <c r="F11651" s="451"/>
      <c r="G11651" s="451"/>
      <c r="H11651" s="451"/>
      <c r="I11651" s="451"/>
      <c r="J11651" s="451"/>
      <c r="K11651" s="451"/>
    </row>
    <row r="11652" spans="1:11">
      <c r="A11652" s="450" t="s">
        <v>18360</v>
      </c>
      <c r="B11652" s="450"/>
      <c r="C11652" s="450" t="s">
        <v>18361</v>
      </c>
      <c r="D11652" s="450"/>
      <c r="E11652" s="450"/>
      <c r="F11652" s="450"/>
      <c r="G11652" s="450"/>
      <c r="H11652" s="450"/>
      <c r="I11652" s="450"/>
      <c r="J11652" s="450"/>
      <c r="K11652" s="450"/>
    </row>
    <row r="11653" spans="1:11">
      <c r="A11653" s="451" t="s">
        <v>18362</v>
      </c>
      <c r="B11653" s="451"/>
      <c r="C11653" s="451" t="s">
        <v>7840</v>
      </c>
      <c r="D11653" s="451"/>
      <c r="E11653" s="451"/>
      <c r="F11653" s="451"/>
      <c r="G11653" s="451"/>
      <c r="H11653" s="451"/>
      <c r="I11653" s="451"/>
      <c r="J11653" s="451"/>
      <c r="K11653" s="451"/>
    </row>
    <row r="11654" spans="1:11">
      <c r="A11654" s="450" t="s">
        <v>18363</v>
      </c>
      <c r="B11654" s="450"/>
      <c r="C11654" s="450" t="s">
        <v>3704</v>
      </c>
      <c r="D11654" s="450"/>
      <c r="E11654" s="450"/>
      <c r="F11654" s="450"/>
      <c r="G11654" s="450"/>
      <c r="H11654" s="450"/>
      <c r="I11654" s="450"/>
      <c r="J11654" s="450"/>
      <c r="K11654" s="450"/>
    </row>
    <row r="11655" spans="1:11">
      <c r="A11655" s="451" t="s">
        <v>18364</v>
      </c>
      <c r="B11655" s="451"/>
      <c r="C11655" s="451" t="s">
        <v>18365</v>
      </c>
      <c r="D11655" s="451"/>
      <c r="E11655" s="451"/>
      <c r="F11655" s="451"/>
      <c r="G11655" s="451"/>
      <c r="H11655" s="451"/>
      <c r="I11655" s="451"/>
      <c r="J11655" s="451"/>
      <c r="K11655" s="451"/>
    </row>
    <row r="11656" spans="1:11">
      <c r="A11656" s="450" t="s">
        <v>29688</v>
      </c>
      <c r="B11656" s="450" t="s">
        <v>29689</v>
      </c>
      <c r="C11656" s="450" t="s">
        <v>7788</v>
      </c>
      <c r="D11656" s="450" t="s">
        <v>18368</v>
      </c>
      <c r="E11656" s="450"/>
      <c r="F11656" s="450"/>
      <c r="G11656" s="450" t="s">
        <v>22877</v>
      </c>
      <c r="H11656" s="450" t="s">
        <v>22878</v>
      </c>
      <c r="I11656" s="450" t="s">
        <v>18368</v>
      </c>
      <c r="J11656" s="450" t="s">
        <v>32084</v>
      </c>
      <c r="K11656" s="450"/>
    </row>
    <row r="11657" spans="1:11">
      <c r="A11657" s="451" t="s">
        <v>18366</v>
      </c>
      <c r="B11657" s="451" t="s">
        <v>18367</v>
      </c>
      <c r="C11657" s="451" t="s">
        <v>7788</v>
      </c>
      <c r="D11657" s="451" t="s">
        <v>18368</v>
      </c>
      <c r="E11657" s="451" t="s">
        <v>18369</v>
      </c>
      <c r="F11657" s="451"/>
      <c r="G11657" s="451"/>
      <c r="H11657" s="451"/>
      <c r="I11657" s="451"/>
      <c r="J11657" s="451"/>
      <c r="K11657" s="451"/>
    </row>
    <row r="11658" spans="1:11">
      <c r="A11658" s="450" t="s">
        <v>18370</v>
      </c>
      <c r="B11658" s="450"/>
      <c r="C11658" s="450" t="s">
        <v>18371</v>
      </c>
      <c r="D11658" s="450"/>
      <c r="E11658" s="450"/>
      <c r="F11658" s="450"/>
      <c r="G11658" s="450" t="s">
        <v>22877</v>
      </c>
      <c r="H11658" s="450" t="s">
        <v>22878</v>
      </c>
      <c r="I11658" s="450" t="s">
        <v>39105</v>
      </c>
      <c r="J11658" s="450" t="s">
        <v>23185</v>
      </c>
      <c r="K11658" s="450"/>
    </row>
    <row r="11659" spans="1:11">
      <c r="A11659" s="451" t="s">
        <v>18372</v>
      </c>
      <c r="B11659" s="451"/>
      <c r="C11659" s="451" t="s">
        <v>2776</v>
      </c>
      <c r="D11659" s="451"/>
      <c r="E11659" s="451"/>
      <c r="F11659" s="451"/>
      <c r="G11659" s="451" t="s">
        <v>22877</v>
      </c>
      <c r="H11659" s="451" t="s">
        <v>22878</v>
      </c>
      <c r="I11659" s="451" t="s">
        <v>32085</v>
      </c>
      <c r="J11659" s="451" t="s">
        <v>22997</v>
      </c>
      <c r="K11659" s="451"/>
    </row>
    <row r="11660" spans="1:11">
      <c r="A11660" s="450" t="s">
        <v>29690</v>
      </c>
      <c r="B11660" s="450" t="s">
        <v>29691</v>
      </c>
      <c r="C11660" s="450" t="s">
        <v>2741</v>
      </c>
      <c r="D11660" s="450"/>
      <c r="E11660" s="450"/>
      <c r="F11660" s="450"/>
      <c r="G11660" s="450" t="s">
        <v>22877</v>
      </c>
      <c r="H11660" s="450" t="s">
        <v>22878</v>
      </c>
      <c r="I11660" s="450" t="s">
        <v>32086</v>
      </c>
      <c r="J11660" s="450" t="s">
        <v>32087</v>
      </c>
      <c r="K11660" s="450"/>
    </row>
    <row r="11661" spans="1:11">
      <c r="A11661" s="451" t="s">
        <v>22012</v>
      </c>
      <c r="B11661" s="451"/>
      <c r="C11661" s="451" t="s">
        <v>18373</v>
      </c>
      <c r="D11661" s="451"/>
      <c r="E11661" s="451"/>
      <c r="F11661" s="451"/>
      <c r="G11661" s="451" t="s">
        <v>22877</v>
      </c>
      <c r="H11661" s="451" t="s">
        <v>22878</v>
      </c>
      <c r="I11661" s="451" t="s">
        <v>32088</v>
      </c>
      <c r="J11661" s="451" t="s">
        <v>22942</v>
      </c>
      <c r="K11661" s="451"/>
    </row>
    <row r="11662" spans="1:11">
      <c r="A11662" s="450" t="s">
        <v>29692</v>
      </c>
      <c r="B11662" s="450" t="s">
        <v>29693</v>
      </c>
      <c r="C11662" s="450" t="s">
        <v>29694</v>
      </c>
      <c r="D11662" s="450"/>
      <c r="E11662" s="450"/>
      <c r="F11662" s="450" t="s">
        <v>29695</v>
      </c>
      <c r="G11662" s="450" t="s">
        <v>22877</v>
      </c>
      <c r="H11662" s="450" t="s">
        <v>22878</v>
      </c>
      <c r="I11662" s="450" t="s">
        <v>32089</v>
      </c>
      <c r="J11662" s="450" t="s">
        <v>32090</v>
      </c>
      <c r="K11662" s="450"/>
    </row>
    <row r="11663" spans="1:11">
      <c r="A11663" s="451" t="s">
        <v>18374</v>
      </c>
      <c r="B11663" s="451"/>
      <c r="C11663" s="451" t="s">
        <v>18375</v>
      </c>
      <c r="D11663" s="451"/>
      <c r="E11663" s="451"/>
      <c r="F11663" s="451"/>
      <c r="G11663" s="451" t="s">
        <v>22882</v>
      </c>
      <c r="H11663" s="451" t="s">
        <v>22883</v>
      </c>
      <c r="I11663" s="451" t="s">
        <v>39106</v>
      </c>
      <c r="J11663" s="451" t="s">
        <v>23185</v>
      </c>
      <c r="K11663" s="451"/>
    </row>
    <row r="11664" spans="1:11">
      <c r="A11664" s="450" t="s">
        <v>18376</v>
      </c>
      <c r="B11664" s="450"/>
      <c r="C11664" s="450" t="s">
        <v>15490</v>
      </c>
      <c r="D11664" s="450"/>
      <c r="E11664" s="450"/>
      <c r="F11664" s="450"/>
      <c r="G11664" s="450" t="s">
        <v>22882</v>
      </c>
      <c r="H11664" s="450" t="s">
        <v>22883</v>
      </c>
      <c r="I11664" s="450"/>
      <c r="J11664" s="450" t="s">
        <v>22948</v>
      </c>
      <c r="K11664" s="450"/>
    </row>
    <row r="11665" spans="1:11">
      <c r="A11665" s="451" t="s">
        <v>18377</v>
      </c>
      <c r="B11665" s="451"/>
      <c r="C11665" s="451" t="s">
        <v>14051</v>
      </c>
      <c r="D11665" s="451"/>
      <c r="E11665" s="451"/>
      <c r="F11665" s="451"/>
      <c r="G11665" s="451" t="s">
        <v>22877</v>
      </c>
      <c r="H11665" s="451" t="s">
        <v>22878</v>
      </c>
      <c r="I11665" s="451" t="s">
        <v>39107</v>
      </c>
      <c r="J11665" s="451" t="s">
        <v>28403</v>
      </c>
      <c r="K11665" s="451"/>
    </row>
    <row r="11666" spans="1:11">
      <c r="A11666" s="450" t="s">
        <v>18378</v>
      </c>
      <c r="B11666" s="450"/>
      <c r="C11666" s="450" t="s">
        <v>8601</v>
      </c>
      <c r="D11666" s="450"/>
      <c r="E11666" s="450"/>
      <c r="F11666" s="450"/>
      <c r="G11666" s="450" t="s">
        <v>22877</v>
      </c>
      <c r="H11666" s="450" t="s">
        <v>22878</v>
      </c>
      <c r="I11666" s="450" t="s">
        <v>32091</v>
      </c>
      <c r="J11666" s="450" t="s">
        <v>22997</v>
      </c>
      <c r="K11666" s="450"/>
    </row>
    <row r="11667" spans="1:11">
      <c r="A11667" s="451" t="s">
        <v>29696</v>
      </c>
      <c r="B11667" s="451" t="s">
        <v>29697</v>
      </c>
      <c r="C11667" s="451" t="s">
        <v>29698</v>
      </c>
      <c r="D11667" s="451" t="s">
        <v>29699</v>
      </c>
      <c r="E11667" s="451"/>
      <c r="F11667" s="451" t="s">
        <v>29700</v>
      </c>
      <c r="G11667" s="451" t="s">
        <v>22877</v>
      </c>
      <c r="H11667" s="451" t="s">
        <v>22878</v>
      </c>
      <c r="I11667" s="451" t="s">
        <v>20218</v>
      </c>
      <c r="J11667" s="451" t="s">
        <v>32092</v>
      </c>
      <c r="K11667" s="451"/>
    </row>
    <row r="11668" spans="1:11">
      <c r="A11668" s="450" t="s">
        <v>20222</v>
      </c>
      <c r="B11668" s="450" t="s">
        <v>20221</v>
      </c>
      <c r="C11668" s="450" t="s">
        <v>12798</v>
      </c>
      <c r="D11668" s="450" t="s">
        <v>20218</v>
      </c>
      <c r="E11668" s="450" t="s">
        <v>20219</v>
      </c>
      <c r="F11668" s="450" t="s">
        <v>20220</v>
      </c>
      <c r="G11668" s="450"/>
      <c r="H11668" s="450"/>
      <c r="I11668" s="450"/>
      <c r="J11668" s="450"/>
      <c r="K11668" s="450"/>
    </row>
    <row r="11669" spans="1:11">
      <c r="A11669" s="451" t="s">
        <v>18379</v>
      </c>
      <c r="B11669" s="451" t="s">
        <v>18380</v>
      </c>
      <c r="C11669" s="451" t="s">
        <v>6807</v>
      </c>
      <c r="D11669" s="451" t="s">
        <v>18381</v>
      </c>
      <c r="E11669" s="451"/>
      <c r="F11669" s="451"/>
      <c r="G11669" s="451" t="s">
        <v>22877</v>
      </c>
      <c r="H11669" s="451" t="s">
        <v>22878</v>
      </c>
      <c r="I11669" s="451"/>
      <c r="J11669" s="451" t="s">
        <v>39108</v>
      </c>
      <c r="K11669" s="451"/>
    </row>
    <row r="11670" spans="1:11">
      <c r="A11670" s="450" t="s">
        <v>18379</v>
      </c>
      <c r="B11670" s="450" t="s">
        <v>18380</v>
      </c>
      <c r="C11670" s="450" t="s">
        <v>6807</v>
      </c>
      <c r="D11670" s="450" t="s">
        <v>18381</v>
      </c>
      <c r="E11670" s="450" t="s">
        <v>18382</v>
      </c>
      <c r="F11670" s="450"/>
      <c r="G11670" s="450"/>
      <c r="H11670" s="450"/>
      <c r="I11670" s="450"/>
      <c r="J11670" s="450"/>
      <c r="K11670" s="450"/>
    </row>
    <row r="11671" spans="1:11">
      <c r="A11671" s="451" t="s">
        <v>18383</v>
      </c>
      <c r="B11671" s="451"/>
      <c r="C11671" s="451" t="s">
        <v>18384</v>
      </c>
      <c r="D11671" s="451"/>
      <c r="E11671" s="451"/>
      <c r="F11671" s="451"/>
      <c r="G11671" s="451" t="s">
        <v>22877</v>
      </c>
      <c r="H11671" s="451" t="s">
        <v>22878</v>
      </c>
      <c r="I11671" s="451" t="s">
        <v>32093</v>
      </c>
      <c r="J11671" s="451" t="s">
        <v>23185</v>
      </c>
      <c r="K11671" s="451"/>
    </row>
    <row r="11672" spans="1:11">
      <c r="A11672" s="450" t="s">
        <v>39109</v>
      </c>
      <c r="B11672" s="450"/>
      <c r="C11672" s="450" t="s">
        <v>18386</v>
      </c>
      <c r="D11672" s="450"/>
      <c r="E11672" s="450"/>
      <c r="F11672" s="450"/>
      <c r="G11672" s="450" t="s">
        <v>22877</v>
      </c>
      <c r="H11672" s="450" t="s">
        <v>22878</v>
      </c>
      <c r="I11672" s="450"/>
      <c r="J11672" s="450" t="s">
        <v>22997</v>
      </c>
      <c r="K11672" s="450"/>
    </row>
    <row r="11673" spans="1:11">
      <c r="A11673" s="451" t="s">
        <v>18385</v>
      </c>
      <c r="B11673" s="451"/>
      <c r="C11673" s="451" t="s">
        <v>18386</v>
      </c>
      <c r="D11673" s="451"/>
      <c r="E11673" s="451"/>
      <c r="F11673" s="451"/>
      <c r="G11673" s="451"/>
      <c r="H11673" s="451"/>
      <c r="I11673" s="451"/>
      <c r="J11673" s="451"/>
      <c r="K11673" s="451"/>
    </row>
    <row r="11674" spans="1:11">
      <c r="A11674" s="450" t="s">
        <v>18387</v>
      </c>
      <c r="B11674" s="450"/>
      <c r="C11674" s="450" t="s">
        <v>18388</v>
      </c>
      <c r="D11674" s="450"/>
      <c r="E11674" s="450"/>
      <c r="F11674" s="450"/>
      <c r="G11674" s="450"/>
      <c r="H11674" s="450"/>
      <c r="I11674" s="450"/>
      <c r="J11674" s="450"/>
      <c r="K11674" s="450"/>
    </row>
    <row r="11675" spans="1:11">
      <c r="A11675" s="451" t="s">
        <v>39110</v>
      </c>
      <c r="B11675" s="451"/>
      <c r="C11675" s="451" t="s">
        <v>18388</v>
      </c>
      <c r="D11675" s="451"/>
      <c r="E11675" s="451"/>
      <c r="F11675" s="451"/>
      <c r="G11675" s="451" t="s">
        <v>22877</v>
      </c>
      <c r="H11675" s="451" t="s">
        <v>22878</v>
      </c>
      <c r="I11675" s="451"/>
      <c r="J11675" s="451" t="s">
        <v>22942</v>
      </c>
      <c r="K11675" s="451"/>
    </row>
    <row r="11676" spans="1:11">
      <c r="A11676" s="450" t="s">
        <v>18389</v>
      </c>
      <c r="B11676" s="450"/>
      <c r="C11676" s="450" t="s">
        <v>18390</v>
      </c>
      <c r="D11676" s="450"/>
      <c r="E11676" s="450"/>
      <c r="F11676" s="450"/>
      <c r="G11676" s="450"/>
      <c r="H11676" s="450"/>
      <c r="I11676" s="450"/>
      <c r="J11676" s="450"/>
      <c r="K11676" s="450"/>
    </row>
    <row r="11677" spans="1:11">
      <c r="A11677" s="451" t="s">
        <v>39111</v>
      </c>
      <c r="B11677" s="451"/>
      <c r="C11677" s="451" t="s">
        <v>18390</v>
      </c>
      <c r="D11677" s="451"/>
      <c r="E11677" s="451"/>
      <c r="F11677" s="451"/>
      <c r="G11677" s="451" t="s">
        <v>22877</v>
      </c>
      <c r="H11677" s="451" t="s">
        <v>22878</v>
      </c>
      <c r="I11677" s="451"/>
      <c r="J11677" s="451" t="s">
        <v>22942</v>
      </c>
      <c r="K11677" s="451"/>
    </row>
    <row r="11678" spans="1:11">
      <c r="A11678" s="450" t="s">
        <v>18391</v>
      </c>
      <c r="B11678" s="450"/>
      <c r="C11678" s="450" t="s">
        <v>18392</v>
      </c>
      <c r="D11678" s="450"/>
      <c r="E11678" s="450"/>
      <c r="F11678" s="450"/>
      <c r="G11678" s="450"/>
      <c r="H11678" s="450"/>
      <c r="I11678" s="450"/>
      <c r="J11678" s="450"/>
      <c r="K11678" s="450"/>
    </row>
    <row r="11679" spans="1:11">
      <c r="A11679" s="451" t="s">
        <v>39112</v>
      </c>
      <c r="B11679" s="451"/>
      <c r="C11679" s="451" t="s">
        <v>18392</v>
      </c>
      <c r="D11679" s="451"/>
      <c r="E11679" s="451"/>
      <c r="F11679" s="451"/>
      <c r="G11679" s="451" t="s">
        <v>22877</v>
      </c>
      <c r="H11679" s="451" t="s">
        <v>22878</v>
      </c>
      <c r="I11679" s="451"/>
      <c r="J11679" s="451" t="s">
        <v>22942</v>
      </c>
      <c r="K11679" s="451"/>
    </row>
    <row r="11680" spans="1:11">
      <c r="A11680" s="450" t="s">
        <v>39113</v>
      </c>
      <c r="B11680" s="450"/>
      <c r="C11680" s="450" t="s">
        <v>18394</v>
      </c>
      <c r="D11680" s="450"/>
      <c r="E11680" s="450"/>
      <c r="F11680" s="450"/>
      <c r="G11680" s="450" t="s">
        <v>22882</v>
      </c>
      <c r="H11680" s="450" t="s">
        <v>22883</v>
      </c>
      <c r="I11680" s="450"/>
      <c r="J11680" s="450" t="s">
        <v>22948</v>
      </c>
      <c r="K11680" s="450"/>
    </row>
    <row r="11681" spans="1:11">
      <c r="A11681" s="451" t="s">
        <v>18393</v>
      </c>
      <c r="B11681" s="451"/>
      <c r="C11681" s="451" t="s">
        <v>18394</v>
      </c>
      <c r="D11681" s="451"/>
      <c r="E11681" s="451"/>
      <c r="F11681" s="451"/>
      <c r="G11681" s="451"/>
      <c r="H11681" s="451"/>
      <c r="I11681" s="451"/>
      <c r="J11681" s="451"/>
      <c r="K11681" s="451"/>
    </row>
    <row r="11682" spans="1:11">
      <c r="A11682" s="450" t="s">
        <v>39114</v>
      </c>
      <c r="B11682" s="450"/>
      <c r="C11682" s="450" t="s">
        <v>18396</v>
      </c>
      <c r="D11682" s="450"/>
      <c r="E11682" s="450"/>
      <c r="F11682" s="450"/>
      <c r="G11682" s="450" t="s">
        <v>22882</v>
      </c>
      <c r="H11682" s="450" t="s">
        <v>22883</v>
      </c>
      <c r="I11682" s="450"/>
      <c r="J11682" s="450" t="s">
        <v>22997</v>
      </c>
      <c r="K11682" s="450"/>
    </row>
    <row r="11683" spans="1:11">
      <c r="A11683" s="451" t="s">
        <v>18395</v>
      </c>
      <c r="B11683" s="451"/>
      <c r="C11683" s="451" t="s">
        <v>18396</v>
      </c>
      <c r="D11683" s="451"/>
      <c r="E11683" s="451"/>
      <c r="F11683" s="451"/>
      <c r="G11683" s="451"/>
      <c r="H11683" s="451"/>
      <c r="I11683" s="451"/>
      <c r="J11683" s="451"/>
      <c r="K11683" s="451"/>
    </row>
    <row r="11684" spans="1:11">
      <c r="A11684" s="450" t="s">
        <v>18397</v>
      </c>
      <c r="B11684" s="450"/>
      <c r="C11684" s="450" t="s">
        <v>18398</v>
      </c>
      <c r="D11684" s="450"/>
      <c r="E11684" s="450"/>
      <c r="F11684" s="450"/>
      <c r="G11684" s="450" t="s">
        <v>22882</v>
      </c>
      <c r="H11684" s="450" t="s">
        <v>22883</v>
      </c>
      <c r="I11684" s="450"/>
      <c r="J11684" s="450" t="s">
        <v>22942</v>
      </c>
      <c r="K11684" s="450"/>
    </row>
    <row r="11685" spans="1:11">
      <c r="A11685" s="451" t="s">
        <v>18399</v>
      </c>
      <c r="B11685" s="451"/>
      <c r="C11685" s="451" t="s">
        <v>18400</v>
      </c>
      <c r="D11685" s="451"/>
      <c r="E11685" s="451"/>
      <c r="F11685" s="451"/>
      <c r="G11685" s="451"/>
      <c r="H11685" s="451"/>
      <c r="I11685" s="451"/>
      <c r="J11685" s="451"/>
      <c r="K11685" s="451"/>
    </row>
    <row r="11686" spans="1:11">
      <c r="A11686" s="450" t="s">
        <v>18401</v>
      </c>
      <c r="B11686" s="450"/>
      <c r="C11686" s="450" t="s">
        <v>18402</v>
      </c>
      <c r="D11686" s="450"/>
      <c r="E11686" s="450"/>
      <c r="F11686" s="450"/>
      <c r="G11686" s="450"/>
      <c r="H11686" s="450"/>
      <c r="I11686" s="450"/>
      <c r="J11686" s="450"/>
      <c r="K11686" s="450"/>
    </row>
    <row r="11687" spans="1:11">
      <c r="A11687" s="451" t="s">
        <v>39115</v>
      </c>
      <c r="B11687" s="451"/>
      <c r="C11687" s="451" t="s">
        <v>18402</v>
      </c>
      <c r="D11687" s="451"/>
      <c r="E11687" s="451"/>
      <c r="F11687" s="451"/>
      <c r="G11687" s="451" t="s">
        <v>22877</v>
      </c>
      <c r="H11687" s="451" t="s">
        <v>22878</v>
      </c>
      <c r="I11687" s="451"/>
      <c r="J11687" s="451" t="s">
        <v>22942</v>
      </c>
      <c r="K11687" s="451"/>
    </row>
    <row r="11688" spans="1:11">
      <c r="A11688" s="450" t="s">
        <v>39116</v>
      </c>
      <c r="B11688" s="450"/>
      <c r="C11688" s="450" t="s">
        <v>10385</v>
      </c>
      <c r="D11688" s="450"/>
      <c r="E11688" s="450"/>
      <c r="F11688" s="450"/>
      <c r="G11688" s="450" t="s">
        <v>22877</v>
      </c>
      <c r="H11688" s="450" t="s">
        <v>22878</v>
      </c>
      <c r="I11688" s="450"/>
      <c r="J11688" s="450" t="s">
        <v>22942</v>
      </c>
      <c r="K11688" s="450"/>
    </row>
    <row r="11689" spans="1:11">
      <c r="A11689" s="451" t="s">
        <v>39117</v>
      </c>
      <c r="B11689" s="451"/>
      <c r="C11689" s="451" t="s">
        <v>18400</v>
      </c>
      <c r="D11689" s="451"/>
      <c r="E11689" s="451"/>
      <c r="F11689" s="451"/>
      <c r="G11689" s="451" t="s">
        <v>22877</v>
      </c>
      <c r="H11689" s="451" t="s">
        <v>22878</v>
      </c>
      <c r="I11689" s="451"/>
      <c r="J11689" s="451" t="s">
        <v>28403</v>
      </c>
      <c r="K11689" s="451"/>
    </row>
    <row r="11690" spans="1:11">
      <c r="A11690" s="450" t="s">
        <v>18403</v>
      </c>
      <c r="B11690" s="450"/>
      <c r="C11690" s="450" t="s">
        <v>10385</v>
      </c>
      <c r="D11690" s="450"/>
      <c r="E11690" s="450"/>
      <c r="F11690" s="450"/>
      <c r="G11690" s="450"/>
      <c r="H11690" s="450"/>
      <c r="I11690" s="450"/>
      <c r="J11690" s="450"/>
      <c r="K11690" s="450"/>
    </row>
    <row r="11691" spans="1:11">
      <c r="A11691" s="451" t="s">
        <v>39118</v>
      </c>
      <c r="B11691" s="451" t="s">
        <v>18405</v>
      </c>
      <c r="C11691" s="451" t="s">
        <v>2067</v>
      </c>
      <c r="D11691" s="451" t="s">
        <v>18406</v>
      </c>
      <c r="E11691" s="451"/>
      <c r="F11691" s="451"/>
      <c r="G11691" s="451" t="s">
        <v>22877</v>
      </c>
      <c r="H11691" s="451" t="s">
        <v>22878</v>
      </c>
      <c r="I11691" s="451"/>
      <c r="J11691" s="451" t="s">
        <v>39119</v>
      </c>
      <c r="K11691" s="451"/>
    </row>
    <row r="11692" spans="1:11">
      <c r="A11692" s="450" t="s">
        <v>18404</v>
      </c>
      <c r="B11692" s="450" t="s">
        <v>18405</v>
      </c>
      <c r="C11692" s="450" t="s">
        <v>2067</v>
      </c>
      <c r="D11692" s="450" t="s">
        <v>18406</v>
      </c>
      <c r="E11692" s="450"/>
      <c r="F11692" s="450"/>
      <c r="G11692" s="450"/>
      <c r="H11692" s="450"/>
      <c r="I11692" s="450"/>
      <c r="J11692" s="450"/>
      <c r="K11692" s="450"/>
    </row>
    <row r="11693" spans="1:11">
      <c r="A11693" s="451" t="s">
        <v>18407</v>
      </c>
      <c r="B11693" s="451" t="s">
        <v>18408</v>
      </c>
      <c r="C11693" s="451" t="s">
        <v>18409</v>
      </c>
      <c r="D11693" s="451" t="s">
        <v>18410</v>
      </c>
      <c r="E11693" s="451"/>
      <c r="F11693" s="451"/>
      <c r="G11693" s="451"/>
      <c r="H11693" s="451"/>
      <c r="I11693" s="451"/>
      <c r="J11693" s="451"/>
      <c r="K11693" s="451"/>
    </row>
    <row r="11694" spans="1:11">
      <c r="A11694" s="450" t="s">
        <v>29701</v>
      </c>
      <c r="B11694" s="450" t="s">
        <v>18408</v>
      </c>
      <c r="C11694" s="450" t="s">
        <v>18409</v>
      </c>
      <c r="D11694" s="450" t="s">
        <v>18410</v>
      </c>
      <c r="E11694" s="450"/>
      <c r="F11694" s="450"/>
      <c r="G11694" s="450" t="s">
        <v>22877</v>
      </c>
      <c r="H11694" s="450" t="s">
        <v>22878</v>
      </c>
      <c r="I11694" s="450" t="s">
        <v>18410</v>
      </c>
      <c r="J11694" s="450" t="s">
        <v>32094</v>
      </c>
      <c r="K11694" s="450"/>
    </row>
    <row r="11695" spans="1:11">
      <c r="A11695" s="451" t="s">
        <v>18411</v>
      </c>
      <c r="B11695" s="451"/>
      <c r="C11695" s="451" t="s">
        <v>2258</v>
      </c>
      <c r="D11695" s="451"/>
      <c r="E11695" s="451"/>
      <c r="F11695" s="451"/>
      <c r="G11695" s="451" t="s">
        <v>22877</v>
      </c>
      <c r="H11695" s="451" t="s">
        <v>22878</v>
      </c>
      <c r="I11695" s="451"/>
      <c r="J11695" s="451" t="s">
        <v>23185</v>
      </c>
      <c r="K11695" s="451"/>
    </row>
    <row r="11696" spans="1:11">
      <c r="A11696" s="450" t="s">
        <v>18412</v>
      </c>
      <c r="B11696" s="450"/>
      <c r="C11696" s="450" t="s">
        <v>18413</v>
      </c>
      <c r="D11696" s="450"/>
      <c r="E11696" s="450"/>
      <c r="F11696" s="450"/>
      <c r="G11696" s="450" t="s">
        <v>22882</v>
      </c>
      <c r="H11696" s="450" t="s">
        <v>22883</v>
      </c>
      <c r="I11696" s="450" t="s">
        <v>32095</v>
      </c>
      <c r="J11696" s="450" t="s">
        <v>22942</v>
      </c>
      <c r="K11696" s="450"/>
    </row>
    <row r="11697" spans="1:11">
      <c r="A11697" s="451" t="s">
        <v>18414</v>
      </c>
      <c r="B11697" s="451"/>
      <c r="C11697" s="451" t="s">
        <v>18415</v>
      </c>
      <c r="D11697" s="451"/>
      <c r="E11697" s="451"/>
      <c r="F11697" s="451"/>
      <c r="G11697" s="451" t="s">
        <v>22877</v>
      </c>
      <c r="H11697" s="451" t="s">
        <v>22878</v>
      </c>
      <c r="I11697" s="451"/>
      <c r="J11697" s="451" t="s">
        <v>23185</v>
      </c>
      <c r="K11697" s="451"/>
    </row>
    <row r="11698" spans="1:11">
      <c r="A11698" s="450" t="s">
        <v>39120</v>
      </c>
      <c r="B11698" s="450"/>
      <c r="C11698" s="450" t="s">
        <v>3398</v>
      </c>
      <c r="D11698" s="450"/>
      <c r="E11698" s="450"/>
      <c r="F11698" s="450"/>
      <c r="G11698" s="450" t="s">
        <v>22877</v>
      </c>
      <c r="H11698" s="450" t="s">
        <v>22878</v>
      </c>
      <c r="I11698" s="450"/>
      <c r="J11698" s="450" t="s">
        <v>23370</v>
      </c>
      <c r="K11698" s="450"/>
    </row>
    <row r="11699" spans="1:11">
      <c r="A11699" s="451" t="s">
        <v>18416</v>
      </c>
      <c r="B11699" s="451"/>
      <c r="C11699" s="451" t="s">
        <v>3398</v>
      </c>
      <c r="D11699" s="451"/>
      <c r="E11699" s="451"/>
      <c r="F11699" s="451"/>
      <c r="G11699" s="451"/>
      <c r="H11699" s="451"/>
      <c r="I11699" s="451"/>
      <c r="J11699" s="451"/>
      <c r="K11699" s="451"/>
    </row>
    <row r="11700" spans="1:11">
      <c r="A11700" s="450" t="s">
        <v>39121</v>
      </c>
      <c r="B11700" s="450"/>
      <c r="C11700" s="450" t="s">
        <v>14923</v>
      </c>
      <c r="D11700" s="450"/>
      <c r="E11700" s="450"/>
      <c r="F11700" s="450"/>
      <c r="G11700" s="450" t="s">
        <v>22877</v>
      </c>
      <c r="H11700" s="450" t="s">
        <v>22878</v>
      </c>
      <c r="I11700" s="450"/>
      <c r="J11700" s="450" t="s">
        <v>22997</v>
      </c>
      <c r="K11700" s="450"/>
    </row>
    <row r="11701" spans="1:11">
      <c r="A11701" s="451" t="s">
        <v>18417</v>
      </c>
      <c r="B11701" s="451"/>
      <c r="C11701" s="451" t="s">
        <v>14923</v>
      </c>
      <c r="D11701" s="451"/>
      <c r="E11701" s="451"/>
      <c r="F11701" s="451"/>
      <c r="G11701" s="451"/>
      <c r="H11701" s="451"/>
      <c r="I11701" s="451"/>
      <c r="J11701" s="451"/>
      <c r="K11701" s="451"/>
    </row>
    <row r="11702" spans="1:11">
      <c r="A11702" s="450" t="s">
        <v>29702</v>
      </c>
      <c r="B11702" s="450" t="s">
        <v>18422</v>
      </c>
      <c r="C11702" s="450" t="s">
        <v>18423</v>
      </c>
      <c r="D11702" s="450" t="s">
        <v>18424</v>
      </c>
      <c r="E11702" s="450"/>
      <c r="F11702" s="450"/>
      <c r="G11702" s="450" t="s">
        <v>22882</v>
      </c>
      <c r="H11702" s="450" t="s">
        <v>22883</v>
      </c>
      <c r="I11702" s="450"/>
      <c r="J11702" s="450" t="s">
        <v>32096</v>
      </c>
      <c r="K11702" s="450"/>
    </row>
    <row r="11703" spans="1:11">
      <c r="A11703" s="451" t="s">
        <v>29703</v>
      </c>
      <c r="B11703" s="451" t="s">
        <v>18419</v>
      </c>
      <c r="C11703" s="451" t="s">
        <v>3980</v>
      </c>
      <c r="D11703" s="451" t="s">
        <v>18420</v>
      </c>
      <c r="E11703" s="451"/>
      <c r="F11703" s="451"/>
      <c r="G11703" s="451" t="s">
        <v>22877</v>
      </c>
      <c r="H11703" s="451" t="s">
        <v>22878</v>
      </c>
      <c r="I11703" s="451" t="s">
        <v>24393</v>
      </c>
      <c r="J11703" s="451" t="s">
        <v>32097</v>
      </c>
      <c r="K11703" s="451"/>
    </row>
    <row r="11704" spans="1:11">
      <c r="A11704" s="450" t="s">
        <v>18418</v>
      </c>
      <c r="B11704" s="450" t="s">
        <v>18419</v>
      </c>
      <c r="C11704" s="450" t="s">
        <v>3980</v>
      </c>
      <c r="D11704" s="450" t="s">
        <v>18420</v>
      </c>
      <c r="E11704" s="450"/>
      <c r="F11704" s="450"/>
      <c r="G11704" s="450"/>
      <c r="H11704" s="450"/>
      <c r="I11704" s="450"/>
      <c r="J11704" s="450"/>
      <c r="K11704" s="450"/>
    </row>
    <row r="11705" spans="1:11">
      <c r="A11705" s="451" t="s">
        <v>18421</v>
      </c>
      <c r="B11705" s="451" t="s">
        <v>18422</v>
      </c>
      <c r="C11705" s="451" t="s">
        <v>18423</v>
      </c>
      <c r="D11705" s="451" t="s">
        <v>18424</v>
      </c>
      <c r="E11705" s="451"/>
      <c r="F11705" s="451"/>
      <c r="G11705" s="451"/>
      <c r="H11705" s="451"/>
      <c r="I11705" s="451"/>
      <c r="J11705" s="451"/>
      <c r="K11705" s="451"/>
    </row>
    <row r="11706" spans="1:11">
      <c r="A11706" s="450" t="s">
        <v>39122</v>
      </c>
      <c r="B11706" s="450" t="s">
        <v>39123</v>
      </c>
      <c r="C11706" s="450" t="s">
        <v>18427</v>
      </c>
      <c r="D11706" s="450" t="s">
        <v>18428</v>
      </c>
      <c r="E11706" s="450"/>
      <c r="F11706" s="450"/>
      <c r="G11706" s="450" t="s">
        <v>22877</v>
      </c>
      <c r="H11706" s="450" t="s">
        <v>22878</v>
      </c>
      <c r="I11706" s="450"/>
      <c r="J11706" s="450" t="s">
        <v>39124</v>
      </c>
      <c r="K11706" s="450"/>
    </row>
    <row r="11707" spans="1:11">
      <c r="A11707" s="451" t="s">
        <v>18425</v>
      </c>
      <c r="B11707" s="451" t="s">
        <v>18426</v>
      </c>
      <c r="C11707" s="451" t="s">
        <v>18427</v>
      </c>
      <c r="D11707" s="451" t="s">
        <v>18428</v>
      </c>
      <c r="E11707" s="451" t="s">
        <v>18429</v>
      </c>
      <c r="F11707" s="451"/>
      <c r="G11707" s="451"/>
      <c r="H11707" s="451"/>
      <c r="I11707" s="451"/>
      <c r="J11707" s="451"/>
      <c r="K11707" s="451"/>
    </row>
    <row r="11708" spans="1:11">
      <c r="A11708" s="450" t="s">
        <v>18430</v>
      </c>
      <c r="B11708" s="450"/>
      <c r="C11708" s="450" t="s">
        <v>4703</v>
      </c>
      <c r="D11708" s="450"/>
      <c r="E11708" s="450"/>
      <c r="F11708" s="450"/>
      <c r="G11708" s="450" t="s">
        <v>22882</v>
      </c>
      <c r="H11708" s="450" t="s">
        <v>22883</v>
      </c>
      <c r="I11708" s="450"/>
      <c r="J11708" s="450" t="s">
        <v>28403</v>
      </c>
      <c r="K11708" s="450"/>
    </row>
    <row r="11709" spans="1:11">
      <c r="A11709" s="451" t="s">
        <v>18431</v>
      </c>
      <c r="B11709" s="451"/>
      <c r="C11709" s="451" t="s">
        <v>18432</v>
      </c>
      <c r="D11709" s="451"/>
      <c r="E11709" s="451"/>
      <c r="F11709" s="451"/>
      <c r="G11709" s="451" t="s">
        <v>22882</v>
      </c>
      <c r="H11709" s="451" t="s">
        <v>22883</v>
      </c>
      <c r="I11709" s="451"/>
      <c r="J11709" s="451" t="s">
        <v>23185</v>
      </c>
      <c r="K11709" s="451"/>
    </row>
    <row r="11710" spans="1:11">
      <c r="A11710" s="450" t="s">
        <v>18433</v>
      </c>
      <c r="B11710" s="450"/>
      <c r="C11710" s="450" t="s">
        <v>18434</v>
      </c>
      <c r="D11710" s="450"/>
      <c r="E11710" s="450"/>
      <c r="F11710" s="450"/>
      <c r="G11710" s="450" t="s">
        <v>22882</v>
      </c>
      <c r="H11710" s="450" t="s">
        <v>22883</v>
      </c>
      <c r="I11710" s="450"/>
      <c r="J11710" s="450" t="s">
        <v>23185</v>
      </c>
      <c r="K11710" s="450"/>
    </row>
    <row r="11711" spans="1:11">
      <c r="A11711" s="451" t="s">
        <v>39125</v>
      </c>
      <c r="B11711" s="451"/>
      <c r="C11711" s="451" t="s">
        <v>18436</v>
      </c>
      <c r="D11711" s="451" t="s">
        <v>18437</v>
      </c>
      <c r="E11711" s="451"/>
      <c r="F11711" s="451"/>
      <c r="G11711" s="451" t="s">
        <v>22877</v>
      </c>
      <c r="H11711" s="451" t="s">
        <v>22878</v>
      </c>
      <c r="I11711" s="451"/>
      <c r="J11711" s="451" t="s">
        <v>39126</v>
      </c>
      <c r="K11711" s="451"/>
    </row>
    <row r="11712" spans="1:11">
      <c r="A11712" s="450" t="s">
        <v>18435</v>
      </c>
      <c r="B11712" s="450"/>
      <c r="C11712" s="450" t="s">
        <v>18436</v>
      </c>
      <c r="D11712" s="450" t="s">
        <v>18437</v>
      </c>
      <c r="E11712" s="450" t="s">
        <v>18438</v>
      </c>
      <c r="F11712" s="450"/>
      <c r="G11712" s="450"/>
      <c r="H11712" s="450"/>
      <c r="I11712" s="450"/>
      <c r="J11712" s="450"/>
      <c r="K11712" s="450"/>
    </row>
    <row r="11713" spans="1:11">
      <c r="A11713" s="451" t="s">
        <v>18439</v>
      </c>
      <c r="B11713" s="451"/>
      <c r="C11713" s="451" t="s">
        <v>3839</v>
      </c>
      <c r="D11713" s="451"/>
      <c r="E11713" s="451"/>
      <c r="F11713" s="451"/>
      <c r="G11713" s="451" t="s">
        <v>22882</v>
      </c>
      <c r="H11713" s="451" t="s">
        <v>22883</v>
      </c>
      <c r="I11713" s="451"/>
      <c r="J11713" s="451" t="s">
        <v>22997</v>
      </c>
      <c r="K11713" s="451"/>
    </row>
    <row r="11714" spans="1:11">
      <c r="A11714" s="450" t="s">
        <v>18440</v>
      </c>
      <c r="B11714" s="450"/>
      <c r="C11714" s="450" t="s">
        <v>18441</v>
      </c>
      <c r="D11714" s="450"/>
      <c r="E11714" s="450"/>
      <c r="F11714" s="450"/>
      <c r="G11714" s="450"/>
      <c r="H11714" s="450"/>
      <c r="I11714" s="450"/>
      <c r="J11714" s="450"/>
      <c r="K11714" s="450"/>
    </row>
    <row r="11715" spans="1:11">
      <c r="A11715" s="451" t="s">
        <v>29704</v>
      </c>
      <c r="B11715" s="451"/>
      <c r="C11715" s="451" t="s">
        <v>18441</v>
      </c>
      <c r="D11715" s="451"/>
      <c r="E11715" s="451"/>
      <c r="F11715" s="451"/>
      <c r="G11715" s="451" t="s">
        <v>22882</v>
      </c>
      <c r="H11715" s="451" t="s">
        <v>22883</v>
      </c>
      <c r="I11715" s="451" t="s">
        <v>32098</v>
      </c>
      <c r="J11715" s="451" t="s">
        <v>22997</v>
      </c>
      <c r="K11715" s="451"/>
    </row>
    <row r="11716" spans="1:11">
      <c r="A11716" s="450" t="s">
        <v>39127</v>
      </c>
      <c r="B11716" s="450"/>
      <c r="C11716" s="450" t="s">
        <v>7082</v>
      </c>
      <c r="D11716" s="450"/>
      <c r="E11716" s="450"/>
      <c r="F11716" s="450"/>
      <c r="G11716" s="450" t="s">
        <v>22877</v>
      </c>
      <c r="H11716" s="450" t="s">
        <v>22878</v>
      </c>
      <c r="I11716" s="450"/>
      <c r="J11716" s="450" t="s">
        <v>22942</v>
      </c>
      <c r="K11716" s="450"/>
    </row>
    <row r="11717" spans="1:11">
      <c r="A11717" s="451" t="s">
        <v>18442</v>
      </c>
      <c r="B11717" s="451"/>
      <c r="C11717" s="451" t="s">
        <v>7082</v>
      </c>
      <c r="D11717" s="451"/>
      <c r="E11717" s="451"/>
      <c r="F11717" s="451"/>
      <c r="G11717" s="451"/>
      <c r="H11717" s="451"/>
      <c r="I11717" s="451"/>
      <c r="J11717" s="451"/>
      <c r="K11717" s="451"/>
    </row>
    <row r="11718" spans="1:11">
      <c r="A11718" s="450" t="s">
        <v>22013</v>
      </c>
      <c r="B11718" s="450" t="s">
        <v>18443</v>
      </c>
      <c r="C11718" s="450" t="s">
        <v>18444</v>
      </c>
      <c r="D11718" s="450"/>
      <c r="E11718" s="450"/>
      <c r="F11718" s="450"/>
      <c r="G11718" s="450" t="s">
        <v>22877</v>
      </c>
      <c r="H11718" s="450" t="s">
        <v>22878</v>
      </c>
      <c r="I11718" s="450"/>
      <c r="J11718" s="450" t="s">
        <v>32099</v>
      </c>
      <c r="K11718" s="450"/>
    </row>
    <row r="11719" spans="1:11">
      <c r="A11719" s="451" t="s">
        <v>18445</v>
      </c>
      <c r="B11719" s="451"/>
      <c r="C11719" s="451" t="s">
        <v>16463</v>
      </c>
      <c r="D11719" s="451"/>
      <c r="E11719" s="451"/>
      <c r="F11719" s="451"/>
      <c r="G11719" s="451" t="s">
        <v>22877</v>
      </c>
      <c r="H11719" s="451" t="s">
        <v>22878</v>
      </c>
      <c r="I11719" s="451" t="s">
        <v>32100</v>
      </c>
      <c r="J11719" s="451" t="s">
        <v>23185</v>
      </c>
      <c r="K11719" s="451"/>
    </row>
    <row r="11720" spans="1:11">
      <c r="A11720" s="450" t="s">
        <v>18446</v>
      </c>
      <c r="B11720" s="450" t="s">
        <v>18447</v>
      </c>
      <c r="C11720" s="450" t="s">
        <v>3055</v>
      </c>
      <c r="D11720" s="450" t="s">
        <v>18448</v>
      </c>
      <c r="E11720" s="450"/>
      <c r="F11720" s="450"/>
      <c r="G11720" s="450" t="s">
        <v>22877</v>
      </c>
      <c r="H11720" s="450" t="s">
        <v>22878</v>
      </c>
      <c r="I11720" s="450" t="s">
        <v>18448</v>
      </c>
      <c r="J11720" s="450" t="s">
        <v>32101</v>
      </c>
      <c r="K11720" s="450"/>
    </row>
    <row r="11721" spans="1:11">
      <c r="A11721" s="451" t="s">
        <v>18449</v>
      </c>
      <c r="B11721" s="451"/>
      <c r="C11721" s="451" t="s">
        <v>18450</v>
      </c>
      <c r="D11721" s="451"/>
      <c r="E11721" s="451"/>
      <c r="F11721" s="451"/>
      <c r="G11721" s="451" t="s">
        <v>22877</v>
      </c>
      <c r="H11721" s="451" t="s">
        <v>22878</v>
      </c>
      <c r="I11721" s="451" t="s">
        <v>39128</v>
      </c>
      <c r="J11721" s="451" t="s">
        <v>22942</v>
      </c>
      <c r="K11721" s="451"/>
    </row>
    <row r="11722" spans="1:11">
      <c r="A11722" s="450" t="s">
        <v>39129</v>
      </c>
      <c r="B11722" s="450" t="s">
        <v>39130</v>
      </c>
      <c r="C11722" s="450" t="s">
        <v>9866</v>
      </c>
      <c r="D11722" s="450"/>
      <c r="E11722" s="450"/>
      <c r="F11722" s="450" t="s">
        <v>39131</v>
      </c>
      <c r="G11722" s="450" t="s">
        <v>22877</v>
      </c>
      <c r="H11722" s="450" t="s">
        <v>22878</v>
      </c>
      <c r="I11722" s="450"/>
      <c r="J11722" s="450" t="s">
        <v>39132</v>
      </c>
      <c r="K11722" s="450"/>
    </row>
    <row r="11723" spans="1:11">
      <c r="A11723" s="451" t="s">
        <v>18451</v>
      </c>
      <c r="B11723" s="451"/>
      <c r="C11723" s="451" t="s">
        <v>18452</v>
      </c>
      <c r="D11723" s="451"/>
      <c r="E11723" s="451"/>
      <c r="F11723" s="451"/>
      <c r="G11723" s="451" t="s">
        <v>22877</v>
      </c>
      <c r="H11723" s="451" t="s">
        <v>22878</v>
      </c>
      <c r="I11723" s="451"/>
      <c r="J11723" s="451" t="s">
        <v>23185</v>
      </c>
      <c r="K11723" s="451"/>
    </row>
    <row r="11724" spans="1:11">
      <c r="A11724" s="450" t="s">
        <v>18453</v>
      </c>
      <c r="B11724" s="450"/>
      <c r="C11724" s="450" t="s">
        <v>18454</v>
      </c>
      <c r="D11724" s="450"/>
      <c r="E11724" s="450"/>
      <c r="F11724" s="450"/>
      <c r="G11724" s="450" t="s">
        <v>22877</v>
      </c>
      <c r="H11724" s="450" t="s">
        <v>22878</v>
      </c>
      <c r="I11724" s="450"/>
      <c r="J11724" s="450" t="s">
        <v>23185</v>
      </c>
      <c r="K11724" s="450"/>
    </row>
    <row r="11725" spans="1:11">
      <c r="A11725" s="451" t="s">
        <v>39133</v>
      </c>
      <c r="B11725" s="451" t="s">
        <v>39134</v>
      </c>
      <c r="C11725" s="451" t="s">
        <v>39135</v>
      </c>
      <c r="D11725" s="451"/>
      <c r="E11725" s="451"/>
      <c r="F11725" s="451"/>
      <c r="G11725" s="451" t="s">
        <v>22882</v>
      </c>
      <c r="H11725" s="451" t="s">
        <v>22883</v>
      </c>
      <c r="I11725" s="451"/>
      <c r="J11725" s="451" t="s">
        <v>39136</v>
      </c>
      <c r="K11725" s="451"/>
    </row>
    <row r="11726" spans="1:11">
      <c r="A11726" s="450" t="s">
        <v>39137</v>
      </c>
      <c r="B11726" s="450" t="s">
        <v>39138</v>
      </c>
      <c r="C11726" s="450" t="s">
        <v>39139</v>
      </c>
      <c r="D11726" s="450"/>
      <c r="E11726" s="450"/>
      <c r="F11726" s="450"/>
      <c r="G11726" s="450" t="s">
        <v>22877</v>
      </c>
      <c r="H11726" s="450" t="s">
        <v>22878</v>
      </c>
      <c r="I11726" s="450"/>
      <c r="J11726" s="450" t="s">
        <v>39140</v>
      </c>
      <c r="K11726" s="450"/>
    </row>
    <row r="11727" spans="1:11">
      <c r="A11727" s="451" t="s">
        <v>18455</v>
      </c>
      <c r="B11727" s="451"/>
      <c r="C11727" s="451" t="s">
        <v>18456</v>
      </c>
      <c r="D11727" s="451"/>
      <c r="E11727" s="451"/>
      <c r="F11727" s="451"/>
      <c r="G11727" s="451" t="s">
        <v>22882</v>
      </c>
      <c r="H11727" s="451" t="s">
        <v>22883</v>
      </c>
      <c r="I11727" s="451"/>
      <c r="J11727" s="451" t="s">
        <v>28871</v>
      </c>
      <c r="K11727" s="451"/>
    </row>
    <row r="11728" spans="1:11">
      <c r="A11728" s="450" t="s">
        <v>18457</v>
      </c>
      <c r="B11728" s="450"/>
      <c r="C11728" s="450" t="s">
        <v>18458</v>
      </c>
      <c r="D11728" s="450"/>
      <c r="E11728" s="450"/>
      <c r="F11728" s="450"/>
      <c r="G11728" s="450" t="s">
        <v>22877</v>
      </c>
      <c r="H11728" s="450" t="s">
        <v>22878</v>
      </c>
      <c r="I11728" s="450"/>
      <c r="J11728" s="450" t="s">
        <v>23185</v>
      </c>
      <c r="K11728" s="450"/>
    </row>
    <row r="11729" spans="1:11">
      <c r="A11729" s="451" t="s">
        <v>22014</v>
      </c>
      <c r="B11729" s="451"/>
      <c r="C11729" s="451" t="s">
        <v>11204</v>
      </c>
      <c r="D11729" s="451"/>
      <c r="E11729" s="451"/>
      <c r="F11729" s="451"/>
      <c r="G11729" s="451" t="s">
        <v>22877</v>
      </c>
      <c r="H11729" s="451" t="s">
        <v>22878</v>
      </c>
      <c r="I11729" s="451"/>
      <c r="J11729" s="451" t="s">
        <v>22997</v>
      </c>
      <c r="K11729" s="451"/>
    </row>
    <row r="11730" spans="1:11">
      <c r="A11730" s="450" t="s">
        <v>18459</v>
      </c>
      <c r="B11730" s="450"/>
      <c r="C11730" s="450" t="s">
        <v>18460</v>
      </c>
      <c r="D11730" s="450"/>
      <c r="E11730" s="450"/>
      <c r="F11730" s="450"/>
      <c r="G11730" s="450" t="s">
        <v>22877</v>
      </c>
      <c r="H11730" s="450" t="s">
        <v>22878</v>
      </c>
      <c r="I11730" s="450" t="s">
        <v>32102</v>
      </c>
      <c r="J11730" s="450" t="s">
        <v>28403</v>
      </c>
      <c r="K11730" s="450"/>
    </row>
    <row r="11731" spans="1:11">
      <c r="A11731" s="451" t="s">
        <v>39141</v>
      </c>
      <c r="B11731" s="451"/>
      <c r="C11731" s="451" t="s">
        <v>18462</v>
      </c>
      <c r="D11731" s="451"/>
      <c r="E11731" s="451"/>
      <c r="F11731" s="451"/>
      <c r="G11731" s="451" t="s">
        <v>22877</v>
      </c>
      <c r="H11731" s="451" t="s">
        <v>22878</v>
      </c>
      <c r="I11731" s="451"/>
      <c r="J11731" s="451" t="s">
        <v>22942</v>
      </c>
      <c r="K11731" s="451"/>
    </row>
    <row r="11732" spans="1:11">
      <c r="A11732" s="450" t="s">
        <v>18461</v>
      </c>
      <c r="B11732" s="450"/>
      <c r="C11732" s="450" t="s">
        <v>18462</v>
      </c>
      <c r="D11732" s="450"/>
      <c r="E11732" s="450"/>
      <c r="F11732" s="450"/>
      <c r="G11732" s="450"/>
      <c r="H11732" s="450"/>
      <c r="I11732" s="450"/>
      <c r="J11732" s="450"/>
      <c r="K11732" s="450"/>
    </row>
    <row r="11733" spans="1:11">
      <c r="A11733" s="451" t="s">
        <v>18463</v>
      </c>
      <c r="B11733" s="451"/>
      <c r="C11733" s="451" t="s">
        <v>17033</v>
      </c>
      <c r="D11733" s="451"/>
      <c r="E11733" s="451"/>
      <c r="F11733" s="451"/>
      <c r="G11733" s="451" t="s">
        <v>22882</v>
      </c>
      <c r="H11733" s="451" t="s">
        <v>22883</v>
      </c>
      <c r="I11733" s="451"/>
      <c r="J11733" s="451" t="s">
        <v>23185</v>
      </c>
      <c r="K11733" s="451"/>
    </row>
    <row r="11734" spans="1:11">
      <c r="A11734" s="450" t="s">
        <v>18464</v>
      </c>
      <c r="B11734" s="450"/>
      <c r="C11734" s="450" t="s">
        <v>18465</v>
      </c>
      <c r="D11734" s="450"/>
      <c r="E11734" s="450"/>
      <c r="F11734" s="450"/>
      <c r="G11734" s="450" t="s">
        <v>22877</v>
      </c>
      <c r="H11734" s="450" t="s">
        <v>22878</v>
      </c>
      <c r="I11734" s="450"/>
      <c r="J11734" s="450" t="s">
        <v>23185</v>
      </c>
      <c r="K11734" s="450"/>
    </row>
    <row r="11735" spans="1:11">
      <c r="A11735" s="451" t="s">
        <v>18466</v>
      </c>
      <c r="B11735" s="451"/>
      <c r="C11735" s="451" t="s">
        <v>7548</v>
      </c>
      <c r="D11735" s="451"/>
      <c r="E11735" s="451"/>
      <c r="F11735" s="451"/>
      <c r="G11735" s="451" t="s">
        <v>22877</v>
      </c>
      <c r="H11735" s="451" t="s">
        <v>22878</v>
      </c>
      <c r="I11735" s="451"/>
      <c r="J11735" s="451" t="s">
        <v>23185</v>
      </c>
      <c r="K11735" s="451"/>
    </row>
    <row r="11736" spans="1:11">
      <c r="A11736" s="450" t="s">
        <v>18467</v>
      </c>
      <c r="B11736" s="450" t="s">
        <v>18468</v>
      </c>
      <c r="C11736" s="450" t="s">
        <v>18469</v>
      </c>
      <c r="D11736" s="450"/>
      <c r="E11736" s="450"/>
      <c r="F11736" s="450" t="s">
        <v>39142</v>
      </c>
      <c r="G11736" s="450" t="s">
        <v>22877</v>
      </c>
      <c r="H11736" s="450" t="s">
        <v>22878</v>
      </c>
      <c r="I11736" s="450"/>
      <c r="J11736" s="450" t="s">
        <v>39143</v>
      </c>
      <c r="K11736" s="450"/>
    </row>
    <row r="11737" spans="1:11">
      <c r="A11737" s="451" t="s">
        <v>18467</v>
      </c>
      <c r="B11737" s="451" t="s">
        <v>18468</v>
      </c>
      <c r="C11737" s="451" t="s">
        <v>18469</v>
      </c>
      <c r="D11737" s="451"/>
      <c r="E11737" s="451"/>
      <c r="F11737" s="451" t="s">
        <v>18470</v>
      </c>
      <c r="G11737" s="451"/>
      <c r="H11737" s="451"/>
      <c r="I11737" s="451"/>
      <c r="J11737" s="451"/>
      <c r="K11737" s="451"/>
    </row>
    <row r="11738" spans="1:11">
      <c r="A11738" s="450" t="s">
        <v>18471</v>
      </c>
      <c r="B11738" s="450" t="s">
        <v>32103</v>
      </c>
      <c r="C11738" s="450" t="s">
        <v>18473</v>
      </c>
      <c r="D11738" s="450"/>
      <c r="E11738" s="450"/>
      <c r="F11738" s="450"/>
      <c r="G11738" s="450" t="s">
        <v>22877</v>
      </c>
      <c r="H11738" s="450" t="s">
        <v>22878</v>
      </c>
      <c r="I11738" s="450" t="s">
        <v>32104</v>
      </c>
      <c r="J11738" s="450" t="s">
        <v>32105</v>
      </c>
      <c r="K11738" s="450"/>
    </row>
    <row r="11739" spans="1:11">
      <c r="A11739" s="451" t="s">
        <v>39144</v>
      </c>
      <c r="B11739" s="451"/>
      <c r="C11739" s="451" t="s">
        <v>18475</v>
      </c>
      <c r="D11739" s="451"/>
      <c r="E11739" s="451"/>
      <c r="F11739" s="451"/>
      <c r="G11739" s="451" t="s">
        <v>22877</v>
      </c>
      <c r="H11739" s="451" t="s">
        <v>22878</v>
      </c>
      <c r="I11739" s="451" t="s">
        <v>39145</v>
      </c>
      <c r="J11739" s="451" t="s">
        <v>23185</v>
      </c>
      <c r="K11739" s="451"/>
    </row>
    <row r="11740" spans="1:11">
      <c r="A11740" s="450" t="s">
        <v>18474</v>
      </c>
      <c r="B11740" s="450"/>
      <c r="C11740" s="450" t="s">
        <v>18475</v>
      </c>
      <c r="D11740" s="450"/>
      <c r="E11740" s="450"/>
      <c r="F11740" s="450"/>
      <c r="G11740" s="450"/>
      <c r="H11740" s="450"/>
      <c r="I11740" s="450"/>
      <c r="J11740" s="450"/>
      <c r="K11740" s="450"/>
    </row>
    <row r="11741" spans="1:11">
      <c r="A11741" s="451" t="s">
        <v>18476</v>
      </c>
      <c r="B11741" s="451"/>
      <c r="C11741" s="451" t="s">
        <v>7758</v>
      </c>
      <c r="D11741" s="451"/>
      <c r="E11741" s="451"/>
      <c r="F11741" s="451"/>
      <c r="G11741" s="451" t="s">
        <v>22877</v>
      </c>
      <c r="H11741" s="451" t="s">
        <v>22878</v>
      </c>
      <c r="I11741" s="451"/>
      <c r="J11741" s="451" t="s">
        <v>28403</v>
      </c>
      <c r="K11741" s="451"/>
    </row>
    <row r="11742" spans="1:11">
      <c r="A11742" s="450" t="s">
        <v>18477</v>
      </c>
      <c r="B11742" s="450" t="s">
        <v>29705</v>
      </c>
      <c r="C11742" s="450" t="s">
        <v>18479</v>
      </c>
      <c r="D11742" s="450" t="s">
        <v>18480</v>
      </c>
      <c r="E11742" s="450"/>
      <c r="F11742" s="450" t="s">
        <v>18482</v>
      </c>
      <c r="G11742" s="450" t="s">
        <v>22877</v>
      </c>
      <c r="H11742" s="450" t="s">
        <v>22878</v>
      </c>
      <c r="I11742" s="450" t="s">
        <v>18480</v>
      </c>
      <c r="J11742" s="450" t="s">
        <v>32106</v>
      </c>
      <c r="K11742" s="450"/>
    </row>
    <row r="11743" spans="1:11">
      <c r="A11743" s="451" t="s">
        <v>18477</v>
      </c>
      <c r="B11743" s="451" t="s">
        <v>18478</v>
      </c>
      <c r="C11743" s="451" t="s">
        <v>18479</v>
      </c>
      <c r="D11743" s="451" t="s">
        <v>18480</v>
      </c>
      <c r="E11743" s="451" t="s">
        <v>18481</v>
      </c>
      <c r="F11743" s="451" t="s">
        <v>18482</v>
      </c>
      <c r="G11743" s="451"/>
      <c r="H11743" s="451"/>
      <c r="I11743" s="451"/>
      <c r="J11743" s="451"/>
      <c r="K11743" s="451"/>
    </row>
    <row r="11744" spans="1:11">
      <c r="A11744" s="450" t="s">
        <v>39146</v>
      </c>
      <c r="B11744" s="450" t="s">
        <v>18484</v>
      </c>
      <c r="C11744" s="450" t="s">
        <v>18485</v>
      </c>
      <c r="D11744" s="450"/>
      <c r="E11744" s="450"/>
      <c r="F11744" s="450" t="s">
        <v>18486</v>
      </c>
      <c r="G11744" s="450" t="s">
        <v>22877</v>
      </c>
      <c r="H11744" s="450" t="s">
        <v>22878</v>
      </c>
      <c r="I11744" s="450" t="s">
        <v>39147</v>
      </c>
      <c r="J11744" s="450" t="s">
        <v>39148</v>
      </c>
      <c r="K11744" s="450"/>
    </row>
    <row r="11745" spans="1:11">
      <c r="A11745" s="451" t="s">
        <v>18483</v>
      </c>
      <c r="B11745" s="451" t="s">
        <v>18484</v>
      </c>
      <c r="C11745" s="451" t="s">
        <v>18485</v>
      </c>
      <c r="D11745" s="451"/>
      <c r="E11745" s="451"/>
      <c r="F11745" s="451" t="s">
        <v>18486</v>
      </c>
      <c r="G11745" s="451"/>
      <c r="H11745" s="451"/>
      <c r="I11745" s="451"/>
      <c r="J11745" s="451"/>
      <c r="K11745" s="451"/>
    </row>
    <row r="11746" spans="1:11">
      <c r="A11746" s="450" t="s">
        <v>18487</v>
      </c>
      <c r="B11746" s="450"/>
      <c r="C11746" s="450" t="s">
        <v>18488</v>
      </c>
      <c r="D11746" s="450"/>
      <c r="E11746" s="450"/>
      <c r="F11746" s="450"/>
      <c r="G11746" s="450" t="s">
        <v>22877</v>
      </c>
      <c r="H11746" s="450" t="s">
        <v>22878</v>
      </c>
      <c r="I11746" s="450" t="s">
        <v>32107</v>
      </c>
      <c r="J11746" s="450" t="s">
        <v>22942</v>
      </c>
      <c r="K11746" s="450"/>
    </row>
    <row r="11747" spans="1:11">
      <c r="A11747" s="451" t="s">
        <v>18489</v>
      </c>
      <c r="B11747" s="451" t="s">
        <v>39149</v>
      </c>
      <c r="C11747" s="451" t="s">
        <v>18491</v>
      </c>
      <c r="D11747" s="451"/>
      <c r="E11747" s="451"/>
      <c r="F11747" s="451"/>
      <c r="G11747" s="451" t="s">
        <v>22877</v>
      </c>
      <c r="H11747" s="451" t="s">
        <v>22878</v>
      </c>
      <c r="I11747" s="451"/>
      <c r="J11747" s="451" t="s">
        <v>39150</v>
      </c>
      <c r="K11747" s="451"/>
    </row>
    <row r="11748" spans="1:11">
      <c r="A11748" s="450" t="s">
        <v>18489</v>
      </c>
      <c r="B11748" s="450" t="s">
        <v>18490</v>
      </c>
      <c r="C11748" s="450" t="s">
        <v>18491</v>
      </c>
      <c r="D11748" s="450"/>
      <c r="E11748" s="450"/>
      <c r="F11748" s="450"/>
      <c r="G11748" s="450"/>
      <c r="H11748" s="450"/>
      <c r="I11748" s="450"/>
      <c r="J11748" s="450"/>
      <c r="K11748" s="450"/>
    </row>
    <row r="11749" spans="1:11">
      <c r="A11749" s="451" t="s">
        <v>29706</v>
      </c>
      <c r="B11749" s="451" t="s">
        <v>29707</v>
      </c>
      <c r="C11749" s="451" t="s">
        <v>29708</v>
      </c>
      <c r="D11749" s="451"/>
      <c r="E11749" s="451"/>
      <c r="F11749" s="451"/>
      <c r="G11749" s="451" t="s">
        <v>22877</v>
      </c>
      <c r="H11749" s="451" t="s">
        <v>22878</v>
      </c>
      <c r="I11749" s="451" t="s">
        <v>32108</v>
      </c>
      <c r="J11749" s="451" t="s">
        <v>32109</v>
      </c>
      <c r="K11749" s="451"/>
    </row>
    <row r="11750" spans="1:11">
      <c r="A11750" s="450" t="s">
        <v>29709</v>
      </c>
      <c r="B11750" s="450" t="s">
        <v>29710</v>
      </c>
      <c r="C11750" s="450" t="s">
        <v>29711</v>
      </c>
      <c r="D11750" s="450" t="s">
        <v>29712</v>
      </c>
      <c r="E11750" s="450"/>
      <c r="F11750" s="450"/>
      <c r="G11750" s="450" t="s">
        <v>22877</v>
      </c>
      <c r="H11750" s="450" t="s">
        <v>22878</v>
      </c>
      <c r="I11750" s="450" t="s">
        <v>32110</v>
      </c>
      <c r="J11750" s="450" t="s">
        <v>32111</v>
      </c>
      <c r="K11750" s="450"/>
    </row>
    <row r="11751" spans="1:11">
      <c r="A11751" s="451" t="s">
        <v>39151</v>
      </c>
      <c r="B11751" s="451" t="s">
        <v>18493</v>
      </c>
      <c r="C11751" s="451" t="s">
        <v>18494</v>
      </c>
      <c r="D11751" s="451"/>
      <c r="E11751" s="451"/>
      <c r="F11751" s="451" t="s">
        <v>39152</v>
      </c>
      <c r="G11751" s="451" t="s">
        <v>22877</v>
      </c>
      <c r="H11751" s="451" t="s">
        <v>22878</v>
      </c>
      <c r="I11751" s="451" t="s">
        <v>39153</v>
      </c>
      <c r="J11751" s="451" t="s">
        <v>39154</v>
      </c>
      <c r="K11751" s="451"/>
    </row>
    <row r="11752" spans="1:11">
      <c r="A11752" s="450" t="s">
        <v>18492</v>
      </c>
      <c r="B11752" s="450" t="s">
        <v>18493</v>
      </c>
      <c r="C11752" s="450" t="s">
        <v>18494</v>
      </c>
      <c r="D11752" s="450"/>
      <c r="E11752" s="450"/>
      <c r="F11752" s="450" t="s">
        <v>18495</v>
      </c>
      <c r="G11752" s="450"/>
      <c r="H11752" s="450"/>
      <c r="I11752" s="450"/>
      <c r="J11752" s="450"/>
      <c r="K11752" s="450"/>
    </row>
    <row r="11753" spans="1:11">
      <c r="A11753" s="451" t="s">
        <v>39155</v>
      </c>
      <c r="B11753" s="451"/>
      <c r="C11753" s="451" t="s">
        <v>18326</v>
      </c>
      <c r="D11753" s="451"/>
      <c r="E11753" s="451"/>
      <c r="F11753" s="451"/>
      <c r="G11753" s="451" t="s">
        <v>22882</v>
      </c>
      <c r="H11753" s="451" t="s">
        <v>22883</v>
      </c>
      <c r="I11753" s="451" t="s">
        <v>32112</v>
      </c>
      <c r="J11753" s="451" t="s">
        <v>23185</v>
      </c>
      <c r="K11753" s="451"/>
    </row>
    <row r="11754" spans="1:11">
      <c r="A11754" s="450" t="s">
        <v>29713</v>
      </c>
      <c r="B11754" s="450"/>
      <c r="C11754" s="450" t="s">
        <v>18328</v>
      </c>
      <c r="D11754" s="450"/>
      <c r="E11754" s="450"/>
      <c r="F11754" s="450"/>
      <c r="G11754" s="450" t="s">
        <v>22882</v>
      </c>
      <c r="H11754" s="450" t="s">
        <v>22883</v>
      </c>
      <c r="I11754" s="450" t="s">
        <v>32112</v>
      </c>
      <c r="J11754" s="450" t="s">
        <v>22997</v>
      </c>
      <c r="K11754" s="450"/>
    </row>
    <row r="11755" spans="1:11">
      <c r="A11755" s="451" t="s">
        <v>18496</v>
      </c>
      <c r="B11755" s="451" t="s">
        <v>18497</v>
      </c>
      <c r="C11755" s="451" t="s">
        <v>5743</v>
      </c>
      <c r="D11755" s="451"/>
      <c r="E11755" s="451"/>
      <c r="F11755" s="451"/>
      <c r="G11755" s="451"/>
      <c r="H11755" s="451"/>
      <c r="I11755" s="451"/>
      <c r="J11755" s="451"/>
      <c r="K11755" s="451"/>
    </row>
    <row r="11756" spans="1:11">
      <c r="A11756" s="450" t="s">
        <v>18498</v>
      </c>
      <c r="B11756" s="450" t="s">
        <v>2508</v>
      </c>
      <c r="C11756" s="450" t="s">
        <v>18499</v>
      </c>
      <c r="D11756" s="450"/>
      <c r="E11756" s="450"/>
      <c r="F11756" s="450"/>
      <c r="G11756" s="450"/>
      <c r="H11756" s="450"/>
      <c r="I11756" s="450"/>
      <c r="J11756" s="450"/>
      <c r="K11756" s="450"/>
    </row>
    <row r="11757" spans="1:11">
      <c r="A11757" s="451" t="s">
        <v>29714</v>
      </c>
      <c r="B11757" s="451" t="s">
        <v>29715</v>
      </c>
      <c r="C11757" s="451" t="s">
        <v>29716</v>
      </c>
      <c r="D11757" s="451" t="s">
        <v>29717</v>
      </c>
      <c r="E11757" s="451"/>
      <c r="F11757" s="451"/>
      <c r="G11757" s="451" t="s">
        <v>22877</v>
      </c>
      <c r="H11757" s="451" t="s">
        <v>22878</v>
      </c>
      <c r="I11757" s="451"/>
      <c r="J11757" s="451" t="s">
        <v>32113</v>
      </c>
      <c r="K11757" s="451"/>
    </row>
    <row r="11758" spans="1:11">
      <c r="A11758" s="450" t="s">
        <v>39156</v>
      </c>
      <c r="B11758" s="450"/>
      <c r="C11758" s="450" t="s">
        <v>18343</v>
      </c>
      <c r="D11758" s="450"/>
      <c r="E11758" s="450"/>
      <c r="F11758" s="450"/>
      <c r="G11758" s="450" t="s">
        <v>22882</v>
      </c>
      <c r="H11758" s="450" t="s">
        <v>22883</v>
      </c>
      <c r="I11758" s="450" t="s">
        <v>39157</v>
      </c>
      <c r="J11758" s="450" t="s">
        <v>22942</v>
      </c>
      <c r="K11758" s="450"/>
    </row>
    <row r="11759" spans="1:11">
      <c r="A11759" s="451" t="s">
        <v>39158</v>
      </c>
      <c r="B11759" s="451"/>
      <c r="C11759" s="451" t="s">
        <v>18344</v>
      </c>
      <c r="D11759" s="451"/>
      <c r="E11759" s="451"/>
      <c r="F11759" s="451"/>
      <c r="G11759" s="451" t="s">
        <v>22877</v>
      </c>
      <c r="H11759" s="451" t="s">
        <v>22878</v>
      </c>
      <c r="I11759" s="451"/>
      <c r="J11759" s="451" t="s">
        <v>22997</v>
      </c>
      <c r="K11759" s="451"/>
    </row>
    <row r="11760" spans="1:11">
      <c r="A11760" s="450" t="s">
        <v>39159</v>
      </c>
      <c r="B11760" s="450"/>
      <c r="C11760" s="450" t="s">
        <v>18345</v>
      </c>
      <c r="D11760" s="450"/>
      <c r="E11760" s="450"/>
      <c r="F11760" s="450"/>
      <c r="G11760" s="450" t="s">
        <v>22882</v>
      </c>
      <c r="H11760" s="450" t="s">
        <v>22883</v>
      </c>
      <c r="I11760" s="450" t="s">
        <v>39160</v>
      </c>
      <c r="J11760" s="450" t="s">
        <v>23185</v>
      </c>
      <c r="K11760" s="450"/>
    </row>
    <row r="11761" spans="1:11">
      <c r="A11761" s="451" t="s">
        <v>18500</v>
      </c>
      <c r="B11761" s="451"/>
      <c r="C11761" s="451"/>
      <c r="D11761" s="451"/>
      <c r="E11761" s="451"/>
      <c r="F11761" s="451"/>
      <c r="G11761" s="451"/>
      <c r="H11761" s="451"/>
      <c r="I11761" s="451"/>
      <c r="J11761" s="451"/>
      <c r="K11761" s="451"/>
    </row>
    <row r="11762" spans="1:11">
      <c r="A11762" s="450" t="s">
        <v>39161</v>
      </c>
      <c r="B11762" s="450"/>
      <c r="C11762" s="450" t="s">
        <v>18351</v>
      </c>
      <c r="D11762" s="450"/>
      <c r="E11762" s="450"/>
      <c r="F11762" s="450"/>
      <c r="G11762" s="450" t="s">
        <v>22877</v>
      </c>
      <c r="H11762" s="450" t="s">
        <v>22878</v>
      </c>
      <c r="I11762" s="450"/>
      <c r="J11762" s="450" t="s">
        <v>22997</v>
      </c>
      <c r="K11762" s="450"/>
    </row>
    <row r="11763" spans="1:11">
      <c r="A11763" s="451" t="s">
        <v>39162</v>
      </c>
      <c r="B11763" s="451"/>
      <c r="C11763" s="451" t="s">
        <v>5889</v>
      </c>
      <c r="D11763" s="451"/>
      <c r="E11763" s="451"/>
      <c r="F11763" s="451"/>
      <c r="G11763" s="451" t="s">
        <v>22877</v>
      </c>
      <c r="H11763" s="451" t="s">
        <v>22878</v>
      </c>
      <c r="I11763" s="451" t="s">
        <v>39163</v>
      </c>
      <c r="J11763" s="451" t="s">
        <v>23185</v>
      </c>
      <c r="K11763" s="451"/>
    </row>
    <row r="11764" spans="1:11">
      <c r="A11764" s="450" t="s">
        <v>18501</v>
      </c>
      <c r="B11764" s="450"/>
      <c r="C11764" s="450" t="s">
        <v>18502</v>
      </c>
      <c r="D11764" s="450"/>
      <c r="E11764" s="450"/>
      <c r="F11764" s="450"/>
      <c r="G11764" s="450"/>
      <c r="H11764" s="450"/>
      <c r="I11764" s="450"/>
      <c r="J11764" s="450"/>
      <c r="K11764" s="450"/>
    </row>
    <row r="11765" spans="1:11">
      <c r="A11765" s="451" t="s">
        <v>39164</v>
      </c>
      <c r="B11765" s="451"/>
      <c r="C11765" s="451" t="s">
        <v>18502</v>
      </c>
      <c r="D11765" s="451"/>
      <c r="E11765" s="451"/>
      <c r="F11765" s="451"/>
      <c r="G11765" s="451" t="s">
        <v>22877</v>
      </c>
      <c r="H11765" s="451" t="s">
        <v>22878</v>
      </c>
      <c r="I11765" s="451"/>
      <c r="J11765" s="451" t="s">
        <v>22997</v>
      </c>
      <c r="K11765" s="451"/>
    </row>
    <row r="11766" spans="1:11">
      <c r="A11766" s="450" t="s">
        <v>18503</v>
      </c>
      <c r="B11766" s="450" t="s">
        <v>18504</v>
      </c>
      <c r="C11766" s="450" t="s">
        <v>18505</v>
      </c>
      <c r="D11766" s="450"/>
      <c r="E11766" s="450"/>
      <c r="F11766" s="450" t="s">
        <v>18506</v>
      </c>
      <c r="G11766" s="450" t="s">
        <v>22882</v>
      </c>
      <c r="H11766" s="450" t="s">
        <v>22883</v>
      </c>
      <c r="I11766" s="450"/>
      <c r="J11766" s="450" t="s">
        <v>39165</v>
      </c>
      <c r="K11766" s="450"/>
    </row>
    <row r="11767" spans="1:11">
      <c r="A11767" s="451" t="s">
        <v>18507</v>
      </c>
      <c r="B11767" s="451" t="s">
        <v>18508</v>
      </c>
      <c r="C11767" s="451" t="s">
        <v>18509</v>
      </c>
      <c r="D11767" s="451"/>
      <c r="E11767" s="451"/>
      <c r="F11767" s="451" t="s">
        <v>18510</v>
      </c>
      <c r="G11767" s="451"/>
      <c r="H11767" s="451"/>
      <c r="I11767" s="451"/>
      <c r="J11767" s="451"/>
      <c r="K11767" s="451"/>
    </row>
    <row r="11768" spans="1:11">
      <c r="A11768" s="450" t="s">
        <v>18511</v>
      </c>
      <c r="B11768" s="450"/>
      <c r="C11768" s="450" t="s">
        <v>5364</v>
      </c>
      <c r="D11768" s="450"/>
      <c r="E11768" s="450"/>
      <c r="F11768" s="450"/>
      <c r="G11768" s="450" t="s">
        <v>22882</v>
      </c>
      <c r="H11768" s="450" t="s">
        <v>22883</v>
      </c>
      <c r="I11768" s="450"/>
      <c r="J11768" s="450" t="s">
        <v>28403</v>
      </c>
      <c r="K11768" s="450"/>
    </row>
    <row r="11769" spans="1:11">
      <c r="A11769" s="451" t="s">
        <v>39166</v>
      </c>
      <c r="B11769" s="451"/>
      <c r="C11769" s="451" t="s">
        <v>6331</v>
      </c>
      <c r="D11769" s="451"/>
      <c r="E11769" s="451"/>
      <c r="F11769" s="451"/>
      <c r="G11769" s="451" t="s">
        <v>22882</v>
      </c>
      <c r="H11769" s="451" t="s">
        <v>22883</v>
      </c>
      <c r="I11769" s="451"/>
      <c r="J11769" s="451" t="s">
        <v>22997</v>
      </c>
      <c r="K11769" s="451"/>
    </row>
    <row r="11770" spans="1:11">
      <c r="A11770" s="450" t="s">
        <v>39167</v>
      </c>
      <c r="B11770" s="450"/>
      <c r="C11770" s="450" t="s">
        <v>18355</v>
      </c>
      <c r="D11770" s="450"/>
      <c r="E11770" s="450"/>
      <c r="F11770" s="450"/>
      <c r="G11770" s="450" t="s">
        <v>22877</v>
      </c>
      <c r="H11770" s="450" t="s">
        <v>22878</v>
      </c>
      <c r="I11770" s="450" t="s">
        <v>39168</v>
      </c>
      <c r="J11770" s="450" t="s">
        <v>23185</v>
      </c>
      <c r="K11770" s="450"/>
    </row>
    <row r="11771" spans="1:11">
      <c r="A11771" s="451" t="s">
        <v>39169</v>
      </c>
      <c r="B11771" s="451" t="s">
        <v>39170</v>
      </c>
      <c r="C11771" s="451" t="s">
        <v>39171</v>
      </c>
      <c r="D11771" s="451"/>
      <c r="E11771" s="451"/>
      <c r="F11771" s="451"/>
      <c r="G11771" s="451" t="s">
        <v>22877</v>
      </c>
      <c r="H11771" s="451" t="s">
        <v>22878</v>
      </c>
      <c r="I11771" s="451"/>
      <c r="J11771" s="451" t="s">
        <v>39172</v>
      </c>
      <c r="K11771" s="451"/>
    </row>
    <row r="11772" spans="1:11">
      <c r="A11772" s="450" t="s">
        <v>39173</v>
      </c>
      <c r="B11772" s="450" t="s">
        <v>39174</v>
      </c>
      <c r="C11772" s="450" t="s">
        <v>39175</v>
      </c>
      <c r="D11772" s="450"/>
      <c r="E11772" s="450"/>
      <c r="F11772" s="450"/>
      <c r="G11772" s="450" t="s">
        <v>22877</v>
      </c>
      <c r="H11772" s="450" t="s">
        <v>22878</v>
      </c>
      <c r="I11772" s="450"/>
      <c r="J11772" s="450" t="s">
        <v>39176</v>
      </c>
      <c r="K11772" s="450"/>
    </row>
    <row r="11773" spans="1:11">
      <c r="A11773" s="451" t="s">
        <v>29718</v>
      </c>
      <c r="B11773" s="451"/>
      <c r="C11773" s="451" t="s">
        <v>18332</v>
      </c>
      <c r="D11773" s="451"/>
      <c r="E11773" s="451"/>
      <c r="F11773" s="451"/>
      <c r="G11773" s="451" t="s">
        <v>22877</v>
      </c>
      <c r="H11773" s="451" t="s">
        <v>22878</v>
      </c>
      <c r="I11773" s="451"/>
      <c r="J11773" s="451" t="s">
        <v>22942</v>
      </c>
      <c r="K11773" s="451"/>
    </row>
    <row r="11774" spans="1:11">
      <c r="A11774" s="450" t="s">
        <v>29719</v>
      </c>
      <c r="B11774" s="450" t="s">
        <v>29720</v>
      </c>
      <c r="C11774" s="450" t="s">
        <v>29721</v>
      </c>
      <c r="D11774" s="450"/>
      <c r="E11774" s="450"/>
      <c r="F11774" s="450"/>
      <c r="G11774" s="450" t="s">
        <v>22877</v>
      </c>
      <c r="H11774" s="450" t="s">
        <v>22878</v>
      </c>
      <c r="I11774" s="450" t="s">
        <v>32114</v>
      </c>
      <c r="J11774" s="450" t="s">
        <v>32115</v>
      </c>
      <c r="K11774" s="450"/>
    </row>
    <row r="11775" spans="1:11">
      <c r="A11775" s="451" t="s">
        <v>39177</v>
      </c>
      <c r="B11775" s="451"/>
      <c r="C11775" s="451" t="s">
        <v>18357</v>
      </c>
      <c r="D11775" s="451"/>
      <c r="E11775" s="451"/>
      <c r="F11775" s="451"/>
      <c r="G11775" s="451" t="s">
        <v>22877</v>
      </c>
      <c r="H11775" s="451" t="s">
        <v>22878</v>
      </c>
      <c r="I11775" s="451" t="s">
        <v>39178</v>
      </c>
      <c r="J11775" s="451" t="s">
        <v>22997</v>
      </c>
      <c r="K11775" s="451"/>
    </row>
    <row r="11776" spans="1:11">
      <c r="A11776" s="450" t="s">
        <v>39179</v>
      </c>
      <c r="B11776" s="450"/>
      <c r="C11776" s="450" t="s">
        <v>18513</v>
      </c>
      <c r="D11776" s="450"/>
      <c r="E11776" s="450"/>
      <c r="F11776" s="450"/>
      <c r="G11776" s="450" t="s">
        <v>22882</v>
      </c>
      <c r="H11776" s="450" t="s">
        <v>22883</v>
      </c>
      <c r="I11776" s="450"/>
      <c r="J11776" s="450" t="s">
        <v>22948</v>
      </c>
      <c r="K11776" s="450"/>
    </row>
    <row r="11777" spans="1:11">
      <c r="A11777" s="451" t="s">
        <v>29722</v>
      </c>
      <c r="B11777" s="451"/>
      <c r="C11777" s="451" t="s">
        <v>18359</v>
      </c>
      <c r="D11777" s="451"/>
      <c r="E11777" s="451"/>
      <c r="F11777" s="451"/>
      <c r="G11777" s="451" t="s">
        <v>22877</v>
      </c>
      <c r="H11777" s="451" t="s">
        <v>22878</v>
      </c>
      <c r="I11777" s="451" t="s">
        <v>32116</v>
      </c>
      <c r="J11777" s="451" t="s">
        <v>22942</v>
      </c>
      <c r="K11777" s="451"/>
    </row>
    <row r="11778" spans="1:11">
      <c r="A11778" s="450" t="s">
        <v>32117</v>
      </c>
      <c r="B11778" s="450" t="s">
        <v>29723</v>
      </c>
      <c r="C11778" s="450" t="s">
        <v>29724</v>
      </c>
      <c r="D11778" s="450" t="s">
        <v>29725</v>
      </c>
      <c r="E11778" s="450"/>
      <c r="F11778" s="450"/>
      <c r="G11778" s="450" t="s">
        <v>22877</v>
      </c>
      <c r="H11778" s="450" t="s">
        <v>22878</v>
      </c>
      <c r="I11778" s="450" t="s">
        <v>32118</v>
      </c>
      <c r="J11778" s="450" t="s">
        <v>32119</v>
      </c>
      <c r="K11778" s="450"/>
    </row>
    <row r="11779" spans="1:11">
      <c r="A11779" s="451" t="s">
        <v>18512</v>
      </c>
      <c r="B11779" s="451"/>
      <c r="C11779" s="451" t="s">
        <v>18513</v>
      </c>
      <c r="D11779" s="451"/>
      <c r="E11779" s="451"/>
      <c r="F11779" s="451"/>
      <c r="G11779" s="451"/>
      <c r="H11779" s="451"/>
      <c r="I11779" s="451"/>
      <c r="J11779" s="451"/>
      <c r="K11779" s="451"/>
    </row>
    <row r="11780" spans="1:11">
      <c r="A11780" s="450" t="s">
        <v>18514</v>
      </c>
      <c r="B11780" s="450"/>
      <c r="C11780" s="450" t="s">
        <v>18359</v>
      </c>
      <c r="D11780" s="450"/>
      <c r="E11780" s="450"/>
      <c r="F11780" s="450"/>
      <c r="G11780" s="450"/>
      <c r="H11780" s="450"/>
      <c r="I11780" s="450"/>
      <c r="J11780" s="450"/>
      <c r="K11780" s="450"/>
    </row>
    <row r="11781" spans="1:11">
      <c r="A11781" s="451" t="s">
        <v>39180</v>
      </c>
      <c r="B11781" s="451"/>
      <c r="C11781" s="451" t="s">
        <v>18361</v>
      </c>
      <c r="D11781" s="451"/>
      <c r="E11781" s="451"/>
      <c r="F11781" s="451"/>
      <c r="G11781" s="451" t="s">
        <v>22877</v>
      </c>
      <c r="H11781" s="451" t="s">
        <v>22878</v>
      </c>
      <c r="I11781" s="451" t="s">
        <v>39181</v>
      </c>
      <c r="J11781" s="451" t="s">
        <v>28403</v>
      </c>
      <c r="K11781" s="451"/>
    </row>
    <row r="11782" spans="1:11">
      <c r="A11782" s="450" t="s">
        <v>22197</v>
      </c>
      <c r="B11782" s="450"/>
      <c r="C11782" s="450" t="s">
        <v>22198</v>
      </c>
      <c r="D11782" s="450" t="s">
        <v>22199</v>
      </c>
      <c r="E11782" s="450"/>
      <c r="F11782" s="450"/>
      <c r="G11782" s="450"/>
      <c r="H11782" s="450"/>
      <c r="I11782" s="450"/>
      <c r="J11782" s="450"/>
      <c r="K11782" s="450"/>
    </row>
    <row r="11783" spans="1:11">
      <c r="A11783" s="451" t="s">
        <v>29726</v>
      </c>
      <c r="B11783" s="451" t="s">
        <v>29727</v>
      </c>
      <c r="C11783" s="451" t="s">
        <v>22198</v>
      </c>
      <c r="D11783" s="451" t="s">
        <v>22199</v>
      </c>
      <c r="E11783" s="451"/>
      <c r="F11783" s="451" t="s">
        <v>29728</v>
      </c>
      <c r="G11783" s="451" t="s">
        <v>22877</v>
      </c>
      <c r="H11783" s="451" t="s">
        <v>22878</v>
      </c>
      <c r="I11783" s="451" t="s">
        <v>32120</v>
      </c>
      <c r="J11783" s="451" t="s">
        <v>32121</v>
      </c>
      <c r="K11783" s="451"/>
    </row>
    <row r="11784" spans="1:11">
      <c r="A11784" s="450" t="s">
        <v>39182</v>
      </c>
      <c r="B11784" s="450"/>
      <c r="C11784" s="450" t="s">
        <v>7840</v>
      </c>
      <c r="D11784" s="450"/>
      <c r="E11784" s="450"/>
      <c r="F11784" s="450"/>
      <c r="G11784" s="450" t="s">
        <v>22877</v>
      </c>
      <c r="H11784" s="450" t="s">
        <v>22878</v>
      </c>
      <c r="I11784" s="450" t="s">
        <v>39183</v>
      </c>
      <c r="J11784" s="450" t="s">
        <v>23370</v>
      </c>
      <c r="K11784" s="450"/>
    </row>
    <row r="11785" spans="1:11">
      <c r="A11785" s="451" t="s">
        <v>29729</v>
      </c>
      <c r="B11785" s="451"/>
      <c r="C11785" s="451" t="s">
        <v>18335</v>
      </c>
      <c r="D11785" s="451"/>
      <c r="E11785" s="451"/>
      <c r="F11785" s="451"/>
      <c r="G11785" s="451" t="s">
        <v>22877</v>
      </c>
      <c r="H11785" s="451" t="s">
        <v>22878</v>
      </c>
      <c r="I11785" s="451" t="s">
        <v>32122</v>
      </c>
      <c r="J11785" s="451" t="s">
        <v>23370</v>
      </c>
      <c r="K11785" s="451"/>
    </row>
    <row r="11786" spans="1:11">
      <c r="A11786" s="450" t="s">
        <v>39184</v>
      </c>
      <c r="B11786" s="450" t="s">
        <v>18516</v>
      </c>
      <c r="C11786" s="450" t="s">
        <v>18517</v>
      </c>
      <c r="D11786" s="450"/>
      <c r="E11786" s="450"/>
      <c r="F11786" s="450"/>
      <c r="G11786" s="450" t="s">
        <v>22877</v>
      </c>
      <c r="H11786" s="450" t="s">
        <v>22878</v>
      </c>
      <c r="I11786" s="450" t="s">
        <v>36289</v>
      </c>
      <c r="J11786" s="450" t="s">
        <v>39185</v>
      </c>
      <c r="K11786" s="450"/>
    </row>
    <row r="11787" spans="1:11">
      <c r="A11787" s="451" t="s">
        <v>18515</v>
      </c>
      <c r="B11787" s="451" t="s">
        <v>18516</v>
      </c>
      <c r="C11787" s="451" t="s">
        <v>18517</v>
      </c>
      <c r="D11787" s="451"/>
      <c r="E11787" s="451"/>
      <c r="F11787" s="451"/>
      <c r="G11787" s="451"/>
      <c r="H11787" s="451"/>
      <c r="I11787" s="451"/>
      <c r="J11787" s="451"/>
      <c r="K11787" s="451"/>
    </row>
    <row r="11788" spans="1:11">
      <c r="A11788" s="450" t="s">
        <v>39186</v>
      </c>
      <c r="B11788" s="450"/>
      <c r="C11788" s="450" t="s">
        <v>3704</v>
      </c>
      <c r="D11788" s="450"/>
      <c r="E11788" s="450"/>
      <c r="F11788" s="450"/>
      <c r="G11788" s="450" t="s">
        <v>22877</v>
      </c>
      <c r="H11788" s="450" t="s">
        <v>22878</v>
      </c>
      <c r="I11788" s="450" t="s">
        <v>39187</v>
      </c>
      <c r="J11788" s="450" t="s">
        <v>28871</v>
      </c>
      <c r="K11788" s="450"/>
    </row>
    <row r="11789" spans="1:11">
      <c r="A11789" s="451" t="s">
        <v>18518</v>
      </c>
      <c r="B11789" s="451"/>
      <c r="C11789" s="451" t="s">
        <v>8655</v>
      </c>
      <c r="D11789" s="451"/>
      <c r="E11789" s="451"/>
      <c r="F11789" s="451"/>
      <c r="G11789" s="451" t="s">
        <v>22877</v>
      </c>
      <c r="H11789" s="451" t="s">
        <v>22878</v>
      </c>
      <c r="I11789" s="451" t="s">
        <v>39188</v>
      </c>
      <c r="J11789" s="451" t="s">
        <v>22942</v>
      </c>
      <c r="K11789" s="451"/>
    </row>
    <row r="11790" spans="1:11">
      <c r="A11790" s="450" t="s">
        <v>18519</v>
      </c>
      <c r="B11790" s="450"/>
      <c r="C11790" s="450" t="s">
        <v>18520</v>
      </c>
      <c r="D11790" s="450"/>
      <c r="E11790" s="450"/>
      <c r="F11790" s="450"/>
      <c r="G11790" s="450" t="s">
        <v>22877</v>
      </c>
      <c r="H11790" s="450" t="s">
        <v>22878</v>
      </c>
      <c r="I11790" s="450" t="s">
        <v>39189</v>
      </c>
      <c r="J11790" s="450" t="s">
        <v>23185</v>
      </c>
      <c r="K11790" s="450"/>
    </row>
    <row r="11791" spans="1:11">
      <c r="A11791" s="451" t="s">
        <v>29730</v>
      </c>
      <c r="B11791" s="451"/>
      <c r="C11791" s="451" t="s">
        <v>18365</v>
      </c>
      <c r="D11791" s="451"/>
      <c r="E11791" s="451"/>
      <c r="F11791" s="451"/>
      <c r="G11791" s="451" t="s">
        <v>22877</v>
      </c>
      <c r="H11791" s="451" t="s">
        <v>22878</v>
      </c>
      <c r="I11791" s="451" t="s">
        <v>32123</v>
      </c>
      <c r="J11791" s="451" t="s">
        <v>22948</v>
      </c>
      <c r="K11791" s="451"/>
    </row>
    <row r="11792" spans="1:11">
      <c r="A11792" s="450" t="s">
        <v>18521</v>
      </c>
      <c r="B11792" s="450" t="s">
        <v>29731</v>
      </c>
      <c r="C11792" s="450" t="s">
        <v>18523</v>
      </c>
      <c r="D11792" s="450" t="s">
        <v>18524</v>
      </c>
      <c r="E11792" s="450"/>
      <c r="F11792" s="450"/>
      <c r="G11792" s="450" t="s">
        <v>22877</v>
      </c>
      <c r="H11792" s="450" t="s">
        <v>22878</v>
      </c>
      <c r="I11792" s="450" t="s">
        <v>32124</v>
      </c>
      <c r="J11792" s="450" t="s">
        <v>32125</v>
      </c>
      <c r="K11792" s="450"/>
    </row>
    <row r="11793" spans="1:11">
      <c r="A11793" s="451" t="s">
        <v>18521</v>
      </c>
      <c r="B11793" s="451" t="s">
        <v>18522</v>
      </c>
      <c r="C11793" s="451" t="s">
        <v>18523</v>
      </c>
      <c r="D11793" s="451" t="s">
        <v>18524</v>
      </c>
      <c r="E11793" s="451" t="s">
        <v>18525</v>
      </c>
      <c r="F11793" s="451"/>
      <c r="G11793" s="451"/>
      <c r="H11793" s="451"/>
      <c r="I11793" s="451"/>
      <c r="J11793" s="451"/>
      <c r="K11793" s="451"/>
    </row>
    <row r="11794" spans="1:11">
      <c r="A11794" s="450" t="s">
        <v>18526</v>
      </c>
      <c r="B11794" s="450" t="s">
        <v>18527</v>
      </c>
      <c r="C11794" s="450" t="s">
        <v>2490</v>
      </c>
      <c r="D11794" s="450" t="s">
        <v>18528</v>
      </c>
      <c r="E11794" s="450"/>
      <c r="F11794" s="450" t="s">
        <v>18530</v>
      </c>
      <c r="G11794" s="450" t="s">
        <v>22877</v>
      </c>
      <c r="H11794" s="450" t="s">
        <v>22878</v>
      </c>
      <c r="I11794" s="450" t="s">
        <v>32126</v>
      </c>
      <c r="J11794" s="450" t="s">
        <v>32127</v>
      </c>
      <c r="K11794" s="450"/>
    </row>
    <row r="11795" spans="1:11">
      <c r="A11795" s="451" t="s">
        <v>18526</v>
      </c>
      <c r="B11795" s="451" t="s">
        <v>18527</v>
      </c>
      <c r="C11795" s="451" t="s">
        <v>2490</v>
      </c>
      <c r="D11795" s="451" t="s">
        <v>18528</v>
      </c>
      <c r="E11795" s="451" t="s">
        <v>18529</v>
      </c>
      <c r="F11795" s="451" t="s">
        <v>18530</v>
      </c>
      <c r="G11795" s="451"/>
      <c r="H11795" s="451"/>
      <c r="I11795" s="451"/>
      <c r="J11795" s="451"/>
      <c r="K11795" s="451"/>
    </row>
    <row r="11796" spans="1:11">
      <c r="A11796" s="450" t="s">
        <v>18531</v>
      </c>
      <c r="B11796" s="450" t="s">
        <v>18532</v>
      </c>
      <c r="C11796" s="450" t="s">
        <v>18533</v>
      </c>
      <c r="D11796" s="450"/>
      <c r="E11796" s="450"/>
      <c r="F11796" s="450"/>
      <c r="G11796" s="450"/>
      <c r="H11796" s="450"/>
      <c r="I11796" s="450"/>
      <c r="J11796" s="450"/>
      <c r="K11796" s="450"/>
    </row>
    <row r="11797" spans="1:11">
      <c r="A11797" s="451" t="s">
        <v>29732</v>
      </c>
      <c r="B11797" s="451" t="s">
        <v>29733</v>
      </c>
      <c r="C11797" s="451" t="s">
        <v>29734</v>
      </c>
      <c r="D11797" s="451"/>
      <c r="E11797" s="451"/>
      <c r="F11797" s="451"/>
      <c r="G11797" s="451" t="s">
        <v>22877</v>
      </c>
      <c r="H11797" s="451" t="s">
        <v>22878</v>
      </c>
      <c r="I11797" s="451" t="s">
        <v>32128</v>
      </c>
      <c r="J11797" s="451" t="s">
        <v>32129</v>
      </c>
      <c r="K11797" s="451"/>
    </row>
    <row r="11798" spans="1:11">
      <c r="A11798" s="450" t="s">
        <v>18534</v>
      </c>
      <c r="B11798" s="450"/>
      <c r="C11798" s="450" t="s">
        <v>2289</v>
      </c>
      <c r="D11798" s="450"/>
      <c r="E11798" s="450"/>
      <c r="F11798" s="450"/>
      <c r="G11798" s="450" t="s">
        <v>22877</v>
      </c>
      <c r="H11798" s="450" t="s">
        <v>22878</v>
      </c>
      <c r="I11798" s="450" t="s">
        <v>39190</v>
      </c>
      <c r="J11798" s="450" t="s">
        <v>28871</v>
      </c>
      <c r="K11798" s="450"/>
    </row>
    <row r="11799" spans="1:11">
      <c r="A11799" s="451" t="s">
        <v>39191</v>
      </c>
      <c r="B11799" s="451"/>
      <c r="C11799" s="451" t="s">
        <v>18330</v>
      </c>
      <c r="D11799" s="451"/>
      <c r="E11799" s="451"/>
      <c r="F11799" s="451"/>
      <c r="G11799" s="451" t="s">
        <v>22877</v>
      </c>
      <c r="H11799" s="451" t="s">
        <v>22878</v>
      </c>
      <c r="I11799" s="451" t="s">
        <v>39192</v>
      </c>
      <c r="J11799" s="451" t="s">
        <v>28403</v>
      </c>
      <c r="K11799" s="451"/>
    </row>
    <row r="11800" spans="1:11">
      <c r="A11800" s="450" t="s">
        <v>18535</v>
      </c>
      <c r="B11800" s="450"/>
      <c r="C11800" s="450" t="s">
        <v>18536</v>
      </c>
      <c r="D11800" s="450"/>
      <c r="E11800" s="450"/>
      <c r="F11800" s="450"/>
      <c r="G11800" s="450" t="s">
        <v>22877</v>
      </c>
      <c r="H11800" s="450" t="s">
        <v>22878</v>
      </c>
      <c r="I11800" s="450" t="s">
        <v>32130</v>
      </c>
      <c r="J11800" s="450" t="s">
        <v>22942</v>
      </c>
      <c r="K11800" s="450"/>
    </row>
    <row r="11801" spans="1:11">
      <c r="A11801" s="451" t="s">
        <v>18537</v>
      </c>
      <c r="B11801" s="451" t="s">
        <v>18538</v>
      </c>
      <c r="C11801" s="451" t="s">
        <v>18539</v>
      </c>
      <c r="D11801" s="451" t="s">
        <v>18540</v>
      </c>
      <c r="E11801" s="451" t="s">
        <v>18541</v>
      </c>
      <c r="F11801" s="451"/>
      <c r="G11801" s="451"/>
      <c r="H11801" s="451"/>
      <c r="I11801" s="451"/>
      <c r="J11801" s="451"/>
      <c r="K11801" s="451"/>
    </row>
    <row r="11802" spans="1:11">
      <c r="A11802" s="450" t="s">
        <v>29735</v>
      </c>
      <c r="B11802" s="450" t="s">
        <v>29736</v>
      </c>
      <c r="C11802" s="450" t="s">
        <v>29737</v>
      </c>
      <c r="D11802" s="450"/>
      <c r="E11802" s="450"/>
      <c r="F11802" s="450"/>
      <c r="G11802" s="450" t="s">
        <v>22877</v>
      </c>
      <c r="H11802" s="450" t="s">
        <v>22878</v>
      </c>
      <c r="I11802" s="450" t="s">
        <v>29509</v>
      </c>
      <c r="J11802" s="450" t="s">
        <v>32131</v>
      </c>
      <c r="K11802" s="450"/>
    </row>
    <row r="11803" spans="1:11">
      <c r="A11803" s="451" t="s">
        <v>18542</v>
      </c>
      <c r="B11803" s="451"/>
      <c r="C11803" s="451" t="s">
        <v>14193</v>
      </c>
      <c r="D11803" s="451"/>
      <c r="E11803" s="451"/>
      <c r="F11803" s="451"/>
      <c r="G11803" s="451" t="s">
        <v>22877</v>
      </c>
      <c r="H11803" s="451" t="s">
        <v>22878</v>
      </c>
      <c r="I11803" s="451" t="s">
        <v>32132</v>
      </c>
      <c r="J11803" s="451" t="s">
        <v>23370</v>
      </c>
      <c r="K11803" s="451"/>
    </row>
    <row r="11804" spans="1:11">
      <c r="A11804" s="450" t="s">
        <v>18543</v>
      </c>
      <c r="B11804" s="450" t="s">
        <v>18544</v>
      </c>
      <c r="C11804" s="450" t="s">
        <v>3702</v>
      </c>
      <c r="D11804" s="450" t="s">
        <v>18545</v>
      </c>
      <c r="E11804" s="450"/>
      <c r="F11804" s="450"/>
      <c r="G11804" s="450" t="s">
        <v>22882</v>
      </c>
      <c r="H11804" s="450" t="s">
        <v>22883</v>
      </c>
      <c r="I11804" s="450" t="s">
        <v>18545</v>
      </c>
      <c r="J11804" s="450" t="s">
        <v>39193</v>
      </c>
      <c r="K11804" s="450"/>
    </row>
    <row r="11805" spans="1:11">
      <c r="A11805" s="451" t="s">
        <v>18543</v>
      </c>
      <c r="B11805" s="451" t="s">
        <v>18544</v>
      </c>
      <c r="C11805" s="451" t="s">
        <v>3702</v>
      </c>
      <c r="D11805" s="451" t="s">
        <v>18545</v>
      </c>
      <c r="E11805" s="451" t="s">
        <v>18546</v>
      </c>
      <c r="F11805" s="451"/>
      <c r="G11805" s="451"/>
      <c r="H11805" s="451"/>
      <c r="I11805" s="451"/>
      <c r="J11805" s="451"/>
      <c r="K11805" s="451"/>
    </row>
    <row r="11806" spans="1:11">
      <c r="A11806" s="450" t="s">
        <v>18547</v>
      </c>
      <c r="B11806" s="450" t="s">
        <v>29738</v>
      </c>
      <c r="C11806" s="450" t="s">
        <v>29739</v>
      </c>
      <c r="D11806" s="450"/>
      <c r="E11806" s="450"/>
      <c r="F11806" s="450"/>
      <c r="G11806" s="450" t="s">
        <v>22877</v>
      </c>
      <c r="H11806" s="450" t="s">
        <v>22878</v>
      </c>
      <c r="I11806" s="450" t="s">
        <v>32133</v>
      </c>
      <c r="J11806" s="450" t="s">
        <v>32134</v>
      </c>
      <c r="K11806" s="450"/>
    </row>
    <row r="11807" spans="1:11">
      <c r="A11807" s="451" t="s">
        <v>18547</v>
      </c>
      <c r="B11807" s="451" t="s">
        <v>18548</v>
      </c>
      <c r="C11807" s="451" t="s">
        <v>18549</v>
      </c>
      <c r="D11807" s="451"/>
      <c r="E11807" s="451"/>
      <c r="F11807" s="451"/>
      <c r="G11807" s="451"/>
      <c r="H11807" s="451"/>
      <c r="I11807" s="451"/>
      <c r="J11807" s="451"/>
      <c r="K11807" s="451"/>
    </row>
    <row r="11808" spans="1:11">
      <c r="A11808" s="450" t="s">
        <v>18550</v>
      </c>
      <c r="B11808" s="450"/>
      <c r="C11808" s="450" t="s">
        <v>1190</v>
      </c>
      <c r="D11808" s="450"/>
      <c r="E11808" s="450"/>
      <c r="F11808" s="450"/>
      <c r="G11808" s="450" t="s">
        <v>22882</v>
      </c>
      <c r="H11808" s="450" t="s">
        <v>22883</v>
      </c>
      <c r="I11808" s="450"/>
      <c r="J11808" s="450" t="s">
        <v>22948</v>
      </c>
      <c r="K11808" s="450"/>
    </row>
    <row r="11809" spans="1:11">
      <c r="A11809" s="451" t="s">
        <v>18551</v>
      </c>
      <c r="B11809" s="451" t="s">
        <v>29740</v>
      </c>
      <c r="C11809" s="451" t="s">
        <v>18553</v>
      </c>
      <c r="D11809" s="451"/>
      <c r="E11809" s="451"/>
      <c r="F11809" s="451" t="s">
        <v>29741</v>
      </c>
      <c r="G11809" s="451" t="s">
        <v>22877</v>
      </c>
      <c r="H11809" s="451" t="s">
        <v>22878</v>
      </c>
      <c r="I11809" s="451" t="s">
        <v>32135</v>
      </c>
      <c r="J11809" s="451" t="s">
        <v>32136</v>
      </c>
      <c r="K11809" s="451"/>
    </row>
    <row r="11810" spans="1:11">
      <c r="A11810" s="450" t="s">
        <v>18551</v>
      </c>
      <c r="B11810" s="450" t="s">
        <v>18552</v>
      </c>
      <c r="C11810" s="450" t="s">
        <v>18553</v>
      </c>
      <c r="D11810" s="450"/>
      <c r="E11810" s="450"/>
      <c r="F11810" s="450" t="s">
        <v>18554</v>
      </c>
      <c r="G11810" s="450"/>
      <c r="H11810" s="450"/>
      <c r="I11810" s="450"/>
      <c r="J11810" s="450"/>
      <c r="K11810" s="450"/>
    </row>
    <row r="11811" spans="1:11">
      <c r="A11811" s="451" t="s">
        <v>39194</v>
      </c>
      <c r="B11811" s="451" t="s">
        <v>18556</v>
      </c>
      <c r="C11811" s="451" t="s">
        <v>18557</v>
      </c>
      <c r="D11811" s="451"/>
      <c r="E11811" s="451"/>
      <c r="F11811" s="451" t="s">
        <v>18558</v>
      </c>
      <c r="G11811" s="451" t="s">
        <v>22882</v>
      </c>
      <c r="H11811" s="451" t="s">
        <v>22883</v>
      </c>
      <c r="I11811" s="451"/>
      <c r="J11811" s="451" t="s">
        <v>39195</v>
      </c>
      <c r="K11811" s="451"/>
    </row>
    <row r="11812" spans="1:11">
      <c r="A11812" s="450" t="s">
        <v>18555</v>
      </c>
      <c r="B11812" s="450" t="s">
        <v>18556</v>
      </c>
      <c r="C11812" s="450" t="s">
        <v>18557</v>
      </c>
      <c r="D11812" s="450"/>
      <c r="E11812" s="450"/>
      <c r="F11812" s="450" t="s">
        <v>18558</v>
      </c>
      <c r="G11812" s="450"/>
      <c r="H11812" s="450"/>
      <c r="I11812" s="450"/>
      <c r="J11812" s="450"/>
      <c r="K11812" s="450"/>
    </row>
    <row r="11813" spans="1:11">
      <c r="A11813" s="451" t="s">
        <v>39196</v>
      </c>
      <c r="B11813" s="451"/>
      <c r="C11813" s="451" t="s">
        <v>15004</v>
      </c>
      <c r="D11813" s="451"/>
      <c r="E11813" s="451"/>
      <c r="F11813" s="451"/>
      <c r="G11813" s="451" t="s">
        <v>22882</v>
      </c>
      <c r="H11813" s="451" t="s">
        <v>22883</v>
      </c>
      <c r="I11813" s="451"/>
      <c r="J11813" s="451" t="s">
        <v>22997</v>
      </c>
      <c r="K11813" s="451"/>
    </row>
    <row r="11814" spans="1:11">
      <c r="A11814" s="450" t="s">
        <v>22015</v>
      </c>
      <c r="B11814" s="450"/>
      <c r="C11814" s="450" t="s">
        <v>15004</v>
      </c>
      <c r="D11814" s="450"/>
      <c r="E11814" s="450"/>
      <c r="F11814" s="450"/>
      <c r="G11814" s="450"/>
      <c r="H11814" s="450"/>
      <c r="I11814" s="450"/>
      <c r="J11814" s="450"/>
      <c r="K11814" s="450"/>
    </row>
    <row r="11815" spans="1:11">
      <c r="A11815" s="451" t="s">
        <v>18559</v>
      </c>
      <c r="B11815" s="451"/>
      <c r="C11815" s="451" t="s">
        <v>3355</v>
      </c>
      <c r="D11815" s="451"/>
      <c r="E11815" s="451"/>
      <c r="F11815" s="451"/>
      <c r="G11815" s="451" t="s">
        <v>22877</v>
      </c>
      <c r="H11815" s="451" t="s">
        <v>22878</v>
      </c>
      <c r="I11815" s="451" t="s">
        <v>39197</v>
      </c>
      <c r="J11815" s="451" t="s">
        <v>23185</v>
      </c>
      <c r="K11815" s="451"/>
    </row>
    <row r="11816" spans="1:11">
      <c r="A11816" s="450" t="s">
        <v>18560</v>
      </c>
      <c r="B11816" s="450"/>
      <c r="C11816" s="450" t="s">
        <v>3355</v>
      </c>
      <c r="D11816" s="450"/>
      <c r="E11816" s="450"/>
      <c r="F11816" s="450"/>
      <c r="G11816" s="450" t="s">
        <v>22882</v>
      </c>
      <c r="H11816" s="450" t="s">
        <v>22883</v>
      </c>
      <c r="I11816" s="450" t="s">
        <v>39198</v>
      </c>
      <c r="J11816" s="450" t="s">
        <v>23185</v>
      </c>
      <c r="K11816" s="450"/>
    </row>
    <row r="11817" spans="1:11">
      <c r="A11817" s="451" t="s">
        <v>18561</v>
      </c>
      <c r="B11817" s="451"/>
      <c r="C11817" s="451" t="s">
        <v>7359</v>
      </c>
      <c r="D11817" s="451"/>
      <c r="E11817" s="451"/>
      <c r="F11817" s="451"/>
      <c r="G11817" s="451"/>
      <c r="H11817" s="451"/>
      <c r="I11817" s="451"/>
      <c r="J11817" s="451"/>
      <c r="K11817" s="451"/>
    </row>
    <row r="11818" spans="1:11">
      <c r="A11818" s="450" t="s">
        <v>39199</v>
      </c>
      <c r="B11818" s="450"/>
      <c r="C11818" s="450" t="s">
        <v>7359</v>
      </c>
      <c r="D11818" s="450"/>
      <c r="E11818" s="450"/>
      <c r="F11818" s="450"/>
      <c r="G11818" s="450" t="s">
        <v>22877</v>
      </c>
      <c r="H11818" s="450" t="s">
        <v>22878</v>
      </c>
      <c r="I11818" s="450" t="s">
        <v>39200</v>
      </c>
      <c r="J11818" s="450" t="s">
        <v>22942</v>
      </c>
      <c r="K11818" s="450"/>
    </row>
    <row r="11819" spans="1:11">
      <c r="A11819" s="451" t="s">
        <v>18564</v>
      </c>
      <c r="B11819" s="451"/>
      <c r="C11819" s="451" t="s">
        <v>18565</v>
      </c>
      <c r="D11819" s="451"/>
      <c r="E11819" s="451"/>
      <c r="F11819" s="451"/>
      <c r="G11819" s="451" t="s">
        <v>22882</v>
      </c>
      <c r="H11819" s="451" t="s">
        <v>22883</v>
      </c>
      <c r="I11819" s="451"/>
      <c r="J11819" s="451" t="s">
        <v>22942</v>
      </c>
      <c r="K11819" s="451"/>
    </row>
    <row r="11820" spans="1:11">
      <c r="A11820" s="450" t="s">
        <v>22016</v>
      </c>
      <c r="B11820" s="450" t="s">
        <v>29742</v>
      </c>
      <c r="C11820" s="450" t="s">
        <v>29743</v>
      </c>
      <c r="D11820" s="450"/>
      <c r="E11820" s="450"/>
      <c r="F11820" s="450"/>
      <c r="G11820" s="450" t="s">
        <v>22877</v>
      </c>
      <c r="H11820" s="450" t="s">
        <v>22878</v>
      </c>
      <c r="I11820" s="450" t="s">
        <v>32137</v>
      </c>
      <c r="J11820" s="450" t="s">
        <v>32138</v>
      </c>
      <c r="K11820" s="450"/>
    </row>
    <row r="11821" spans="1:11">
      <c r="A11821" s="451" t="s">
        <v>22016</v>
      </c>
      <c r="B11821" s="451" t="s">
        <v>18562</v>
      </c>
      <c r="C11821" s="451" t="s">
        <v>18563</v>
      </c>
      <c r="D11821" s="451"/>
      <c r="E11821" s="451"/>
      <c r="F11821" s="451"/>
      <c r="G11821" s="451"/>
      <c r="H11821" s="451"/>
      <c r="I11821" s="451"/>
      <c r="J11821" s="451"/>
      <c r="K11821" s="451"/>
    </row>
    <row r="11822" spans="1:11">
      <c r="A11822" s="450" t="s">
        <v>18566</v>
      </c>
      <c r="B11822" s="450"/>
      <c r="C11822" s="450" t="s">
        <v>18567</v>
      </c>
      <c r="D11822" s="450"/>
      <c r="E11822" s="450"/>
      <c r="F11822" s="450"/>
      <c r="G11822" s="450"/>
      <c r="H11822" s="450"/>
      <c r="I11822" s="450"/>
      <c r="J11822" s="450"/>
      <c r="K11822" s="450"/>
    </row>
    <row r="11823" spans="1:11">
      <c r="A11823" s="451" t="s">
        <v>18568</v>
      </c>
      <c r="B11823" s="451"/>
      <c r="C11823" s="451" t="s">
        <v>18569</v>
      </c>
      <c r="D11823" s="451"/>
      <c r="E11823" s="451"/>
      <c r="F11823" s="451"/>
      <c r="G11823" s="451"/>
      <c r="H11823" s="451"/>
      <c r="I11823" s="451"/>
      <c r="J11823" s="451"/>
      <c r="K11823" s="451"/>
    </row>
    <row r="11824" spans="1:11">
      <c r="A11824" s="450" t="s">
        <v>18570</v>
      </c>
      <c r="B11824" s="450"/>
      <c r="C11824" s="450" t="s">
        <v>18571</v>
      </c>
      <c r="D11824" s="450"/>
      <c r="E11824" s="450"/>
      <c r="F11824" s="450"/>
      <c r="G11824" s="450" t="s">
        <v>22877</v>
      </c>
      <c r="H11824" s="450" t="s">
        <v>22878</v>
      </c>
      <c r="I11824" s="450" t="s">
        <v>39201</v>
      </c>
      <c r="J11824" s="450" t="s">
        <v>23185</v>
      </c>
      <c r="K11824" s="450"/>
    </row>
    <row r="11825" spans="1:11">
      <c r="A11825" s="451" t="s">
        <v>18572</v>
      </c>
      <c r="B11825" s="451"/>
      <c r="C11825" s="451" t="s">
        <v>18573</v>
      </c>
      <c r="D11825" s="451"/>
      <c r="E11825" s="451"/>
      <c r="F11825" s="451"/>
      <c r="G11825" s="451" t="s">
        <v>22877</v>
      </c>
      <c r="H11825" s="451" t="s">
        <v>22878</v>
      </c>
      <c r="I11825" s="451" t="s">
        <v>32139</v>
      </c>
      <c r="J11825" s="451" t="s">
        <v>23185</v>
      </c>
      <c r="K11825" s="451"/>
    </row>
    <row r="11826" spans="1:11">
      <c r="A11826" s="450" t="s">
        <v>18574</v>
      </c>
      <c r="B11826" s="450" t="s">
        <v>18575</v>
      </c>
      <c r="C11826" s="450" t="s">
        <v>18576</v>
      </c>
      <c r="D11826" s="450"/>
      <c r="E11826" s="450"/>
      <c r="F11826" s="450"/>
      <c r="G11826" s="450" t="s">
        <v>22877</v>
      </c>
      <c r="H11826" s="450" t="s">
        <v>22878</v>
      </c>
      <c r="I11826" s="450" t="s">
        <v>32140</v>
      </c>
      <c r="J11826" s="450" t="s">
        <v>32141</v>
      </c>
      <c r="K11826" s="450"/>
    </row>
    <row r="11827" spans="1:11">
      <c r="A11827" s="451" t="s">
        <v>29744</v>
      </c>
      <c r="B11827" s="451" t="s">
        <v>29745</v>
      </c>
      <c r="C11827" s="451" t="s">
        <v>1765</v>
      </c>
      <c r="D11827" s="451" t="s">
        <v>18579</v>
      </c>
      <c r="E11827" s="451"/>
      <c r="F11827" s="451"/>
      <c r="G11827" s="451" t="s">
        <v>22877</v>
      </c>
      <c r="H11827" s="451" t="s">
        <v>22878</v>
      </c>
      <c r="I11827" s="451" t="s">
        <v>32142</v>
      </c>
      <c r="J11827" s="451" t="s">
        <v>32143</v>
      </c>
      <c r="K11827" s="451"/>
    </row>
    <row r="11828" spans="1:11">
      <c r="A11828" s="450" t="s">
        <v>18577</v>
      </c>
      <c r="B11828" s="450" t="s">
        <v>18578</v>
      </c>
      <c r="C11828" s="450" t="s">
        <v>1765</v>
      </c>
      <c r="D11828" s="450" t="s">
        <v>18579</v>
      </c>
      <c r="E11828" s="450" t="s">
        <v>18580</v>
      </c>
      <c r="F11828" s="450"/>
      <c r="G11828" s="450"/>
      <c r="H11828" s="450"/>
      <c r="I11828" s="450"/>
      <c r="J11828" s="450"/>
      <c r="K11828" s="450"/>
    </row>
    <row r="11829" spans="1:11">
      <c r="A11829" s="451" t="s">
        <v>18581</v>
      </c>
      <c r="B11829" s="451" t="s">
        <v>29746</v>
      </c>
      <c r="C11829" s="451" t="s">
        <v>18583</v>
      </c>
      <c r="D11829" s="451" t="s">
        <v>18584</v>
      </c>
      <c r="E11829" s="451"/>
      <c r="F11829" s="451"/>
      <c r="G11829" s="451" t="s">
        <v>22877</v>
      </c>
      <c r="H11829" s="451" t="s">
        <v>22878</v>
      </c>
      <c r="I11829" s="451" t="s">
        <v>27399</v>
      </c>
      <c r="J11829" s="451" t="s">
        <v>32144</v>
      </c>
      <c r="K11829" s="451"/>
    </row>
    <row r="11830" spans="1:11">
      <c r="A11830" s="450" t="s">
        <v>18581</v>
      </c>
      <c r="B11830" s="450" t="s">
        <v>18582</v>
      </c>
      <c r="C11830" s="450" t="s">
        <v>18583</v>
      </c>
      <c r="D11830" s="450" t="s">
        <v>18584</v>
      </c>
      <c r="E11830" s="450" t="s">
        <v>18585</v>
      </c>
      <c r="F11830" s="450"/>
      <c r="G11830" s="450"/>
      <c r="H11830" s="450"/>
      <c r="I11830" s="450"/>
      <c r="J11830" s="450"/>
      <c r="K11830" s="450"/>
    </row>
    <row r="11831" spans="1:11">
      <c r="A11831" s="451" t="s">
        <v>18586</v>
      </c>
      <c r="B11831" s="451"/>
      <c r="C11831" s="451" t="s">
        <v>18587</v>
      </c>
      <c r="D11831" s="451"/>
      <c r="E11831" s="451"/>
      <c r="F11831" s="451"/>
      <c r="G11831" s="451"/>
      <c r="H11831" s="451"/>
      <c r="I11831" s="451"/>
      <c r="J11831" s="451"/>
      <c r="K11831" s="451"/>
    </row>
    <row r="11832" spans="1:11">
      <c r="A11832" s="450" t="s">
        <v>39202</v>
      </c>
      <c r="B11832" s="450"/>
      <c r="C11832" s="450" t="s">
        <v>18587</v>
      </c>
      <c r="D11832" s="450"/>
      <c r="E11832" s="450"/>
      <c r="F11832" s="450"/>
      <c r="G11832" s="450" t="s">
        <v>22877</v>
      </c>
      <c r="H11832" s="450" t="s">
        <v>22878</v>
      </c>
      <c r="I11832" s="450" t="s">
        <v>39203</v>
      </c>
      <c r="J11832" s="450" t="s">
        <v>22948</v>
      </c>
      <c r="K11832" s="450"/>
    </row>
    <row r="11833" spans="1:11">
      <c r="A11833" s="451" t="s">
        <v>39204</v>
      </c>
      <c r="B11833" s="451"/>
      <c r="C11833" s="451" t="s">
        <v>1927</v>
      </c>
      <c r="D11833" s="451"/>
      <c r="E11833" s="451"/>
      <c r="F11833" s="451"/>
      <c r="G11833" s="451" t="s">
        <v>22877</v>
      </c>
      <c r="H11833" s="451" t="s">
        <v>22878</v>
      </c>
      <c r="I11833" s="451" t="s">
        <v>39205</v>
      </c>
      <c r="J11833" s="451" t="s">
        <v>22942</v>
      </c>
      <c r="K11833" s="451"/>
    </row>
    <row r="11834" spans="1:11">
      <c r="A11834" s="450" t="s">
        <v>18588</v>
      </c>
      <c r="B11834" s="450"/>
      <c r="C11834" s="450" t="s">
        <v>1927</v>
      </c>
      <c r="D11834" s="450"/>
      <c r="E11834" s="450"/>
      <c r="F11834" s="450"/>
      <c r="G11834" s="450"/>
      <c r="H11834" s="450"/>
      <c r="I11834" s="450"/>
      <c r="J11834" s="450"/>
      <c r="K11834" s="450"/>
    </row>
    <row r="11835" spans="1:11">
      <c r="A11835" s="451" t="s">
        <v>29747</v>
      </c>
      <c r="B11835" s="451" t="s">
        <v>29748</v>
      </c>
      <c r="C11835" s="451" t="s">
        <v>29749</v>
      </c>
      <c r="D11835" s="451" t="s">
        <v>29750</v>
      </c>
      <c r="E11835" s="451"/>
      <c r="F11835" s="451" t="s">
        <v>29751</v>
      </c>
      <c r="G11835" s="451" t="s">
        <v>22882</v>
      </c>
      <c r="H11835" s="451" t="s">
        <v>22883</v>
      </c>
      <c r="I11835" s="451" t="s">
        <v>32145</v>
      </c>
      <c r="J11835" s="451" t="s">
        <v>32146</v>
      </c>
      <c r="K11835" s="451"/>
    </row>
    <row r="11836" spans="1:11">
      <c r="A11836" s="450" t="s">
        <v>29752</v>
      </c>
      <c r="B11836" s="450" t="s">
        <v>29753</v>
      </c>
      <c r="C11836" s="450" t="s">
        <v>29754</v>
      </c>
      <c r="D11836" s="450"/>
      <c r="E11836" s="450"/>
      <c r="F11836" s="450"/>
      <c r="G11836" s="450" t="s">
        <v>22882</v>
      </c>
      <c r="H11836" s="450" t="s">
        <v>22883</v>
      </c>
      <c r="I11836" s="450" t="s">
        <v>32147</v>
      </c>
      <c r="J11836" s="450" t="s">
        <v>32148</v>
      </c>
      <c r="K11836" s="450"/>
    </row>
    <row r="11837" spans="1:11">
      <c r="A11837" s="451" t="s">
        <v>29755</v>
      </c>
      <c r="B11837" s="451"/>
      <c r="C11837" s="451" t="s">
        <v>29756</v>
      </c>
      <c r="D11837" s="451"/>
      <c r="E11837" s="451"/>
      <c r="F11837" s="451"/>
      <c r="G11837" s="451" t="s">
        <v>22877</v>
      </c>
      <c r="H11837" s="451" t="s">
        <v>22878</v>
      </c>
      <c r="I11837" s="451" t="s">
        <v>32149</v>
      </c>
      <c r="J11837" s="451" t="s">
        <v>23370</v>
      </c>
      <c r="K11837" s="451"/>
    </row>
    <row r="11838" spans="1:11">
      <c r="A11838" s="450" t="s">
        <v>30074</v>
      </c>
      <c r="B11838" s="450" t="s">
        <v>30075</v>
      </c>
      <c r="C11838" s="450" t="s">
        <v>30076</v>
      </c>
      <c r="D11838" s="450"/>
      <c r="E11838" s="450"/>
      <c r="F11838" s="450"/>
      <c r="G11838" s="450"/>
      <c r="H11838" s="450"/>
      <c r="I11838" s="450"/>
      <c r="J11838" s="450"/>
      <c r="K11838" s="450"/>
    </row>
    <row r="11839" spans="1:11">
      <c r="A11839" s="451" t="s">
        <v>29757</v>
      </c>
      <c r="B11839" s="451" t="s">
        <v>29758</v>
      </c>
      <c r="C11839" s="451" t="s">
        <v>29759</v>
      </c>
      <c r="D11839" s="451"/>
      <c r="E11839" s="451"/>
      <c r="F11839" s="451"/>
      <c r="G11839" s="451" t="s">
        <v>22877</v>
      </c>
      <c r="H11839" s="451" t="s">
        <v>22878</v>
      </c>
      <c r="I11839" s="451" t="s">
        <v>32150</v>
      </c>
      <c r="J11839" s="451" t="s">
        <v>32151</v>
      </c>
      <c r="K11839" s="451"/>
    </row>
    <row r="11840" spans="1:11">
      <c r="A11840" s="450" t="s">
        <v>29760</v>
      </c>
      <c r="B11840" s="450" t="s">
        <v>29761</v>
      </c>
      <c r="C11840" s="450" t="s">
        <v>18591</v>
      </c>
      <c r="D11840" s="450" t="s">
        <v>18592</v>
      </c>
      <c r="E11840" s="450"/>
      <c r="F11840" s="450"/>
      <c r="G11840" s="450" t="s">
        <v>22877</v>
      </c>
      <c r="H11840" s="450" t="s">
        <v>22878</v>
      </c>
      <c r="I11840" s="450" t="s">
        <v>32152</v>
      </c>
      <c r="J11840" s="450" t="s">
        <v>32153</v>
      </c>
      <c r="K11840" s="450"/>
    </row>
    <row r="11841" spans="1:11">
      <c r="A11841" s="451" t="s">
        <v>18589</v>
      </c>
      <c r="B11841" s="451" t="s">
        <v>18590</v>
      </c>
      <c r="C11841" s="451" t="s">
        <v>18591</v>
      </c>
      <c r="D11841" s="451" t="s">
        <v>18592</v>
      </c>
      <c r="E11841" s="451"/>
      <c r="F11841" s="451"/>
      <c r="G11841" s="451"/>
      <c r="H11841" s="451"/>
      <c r="I11841" s="451"/>
      <c r="J11841" s="451"/>
      <c r="K11841" s="451"/>
    </row>
    <row r="11842" spans="1:11">
      <c r="A11842" s="450" t="s">
        <v>39206</v>
      </c>
      <c r="B11842" s="450"/>
      <c r="C11842" s="450" t="s">
        <v>11371</v>
      </c>
      <c r="D11842" s="450"/>
      <c r="E11842" s="450"/>
      <c r="F11842" s="450"/>
      <c r="G11842" s="450" t="s">
        <v>22882</v>
      </c>
      <c r="H11842" s="450" t="s">
        <v>22883</v>
      </c>
      <c r="I11842" s="450" t="s">
        <v>39207</v>
      </c>
      <c r="J11842" s="450" t="s">
        <v>22942</v>
      </c>
      <c r="K11842" s="450"/>
    </row>
    <row r="11843" spans="1:11">
      <c r="A11843" s="451" t="s">
        <v>18593</v>
      </c>
      <c r="B11843" s="451"/>
      <c r="C11843" s="451" t="s">
        <v>11371</v>
      </c>
      <c r="D11843" s="451"/>
      <c r="E11843" s="451"/>
      <c r="F11843" s="451"/>
      <c r="G11843" s="451"/>
      <c r="H11843" s="451"/>
      <c r="I11843" s="451"/>
      <c r="J11843" s="451"/>
      <c r="K11843" s="451"/>
    </row>
    <row r="11844" spans="1:11">
      <c r="A11844" s="450" t="s">
        <v>29762</v>
      </c>
      <c r="B11844" s="450" t="s">
        <v>29763</v>
      </c>
      <c r="C11844" s="450" t="s">
        <v>29764</v>
      </c>
      <c r="D11844" s="450"/>
      <c r="E11844" s="450"/>
      <c r="F11844" s="450"/>
      <c r="G11844" s="450" t="s">
        <v>22877</v>
      </c>
      <c r="H11844" s="450" t="s">
        <v>22878</v>
      </c>
      <c r="I11844" s="450" t="s">
        <v>32154</v>
      </c>
      <c r="J11844" s="450" t="s">
        <v>32155</v>
      </c>
      <c r="K11844" s="450"/>
    </row>
    <row r="11845" spans="1:11">
      <c r="A11845" s="451" t="s">
        <v>18594</v>
      </c>
      <c r="B11845" s="451"/>
      <c r="C11845" s="451" t="s">
        <v>2736</v>
      </c>
      <c r="D11845" s="451"/>
      <c r="E11845" s="451"/>
      <c r="F11845" s="451"/>
      <c r="G11845" s="451"/>
      <c r="H11845" s="451"/>
      <c r="I11845" s="451"/>
      <c r="J11845" s="451"/>
      <c r="K11845" s="451"/>
    </row>
    <row r="11846" spans="1:11">
      <c r="A11846" s="450" t="s">
        <v>39208</v>
      </c>
      <c r="B11846" s="450"/>
      <c r="C11846" s="450" t="s">
        <v>2736</v>
      </c>
      <c r="D11846" s="450"/>
      <c r="E11846" s="450"/>
      <c r="F11846" s="450"/>
      <c r="G11846" s="450" t="s">
        <v>22877</v>
      </c>
      <c r="H11846" s="450" t="s">
        <v>22878</v>
      </c>
      <c r="I11846" s="450" t="s">
        <v>39209</v>
      </c>
      <c r="J11846" s="450" t="s">
        <v>22942</v>
      </c>
      <c r="K11846" s="450"/>
    </row>
    <row r="11847" spans="1:11">
      <c r="A11847" s="451" t="s">
        <v>18595</v>
      </c>
      <c r="B11847" s="451"/>
      <c r="C11847" s="451" t="s">
        <v>5108</v>
      </c>
      <c r="D11847" s="451"/>
      <c r="E11847" s="451"/>
      <c r="F11847" s="451"/>
      <c r="G11847" s="451" t="s">
        <v>22877</v>
      </c>
      <c r="H11847" s="451" t="s">
        <v>22878</v>
      </c>
      <c r="I11847" s="451" t="s">
        <v>39210</v>
      </c>
      <c r="J11847" s="451" t="s">
        <v>22942</v>
      </c>
      <c r="K11847" s="451"/>
    </row>
    <row r="11848" spans="1:11">
      <c r="A11848" s="450" t="s">
        <v>18596</v>
      </c>
      <c r="B11848" s="450"/>
      <c r="C11848" s="450" t="s">
        <v>2285</v>
      </c>
      <c r="D11848" s="450"/>
      <c r="E11848" s="450"/>
      <c r="F11848" s="450"/>
      <c r="G11848" s="450" t="s">
        <v>22877</v>
      </c>
      <c r="H11848" s="450" t="s">
        <v>22878</v>
      </c>
      <c r="I11848" s="450" t="s">
        <v>32156</v>
      </c>
      <c r="J11848" s="450" t="s">
        <v>23185</v>
      </c>
      <c r="K11848" s="450"/>
    </row>
    <row r="11849" spans="1:11">
      <c r="A11849" s="451" t="s">
        <v>39211</v>
      </c>
      <c r="B11849" s="451" t="s">
        <v>18597</v>
      </c>
      <c r="C11849" s="451" t="s">
        <v>18598</v>
      </c>
      <c r="D11849" s="451" t="s">
        <v>18599</v>
      </c>
      <c r="E11849" s="451"/>
      <c r="F11849" s="451"/>
      <c r="G11849" s="451" t="s">
        <v>22877</v>
      </c>
      <c r="H11849" s="451" t="s">
        <v>22878</v>
      </c>
      <c r="I11849" s="451" t="s">
        <v>22908</v>
      </c>
      <c r="J11849" s="451" t="s">
        <v>39212</v>
      </c>
      <c r="K11849" s="451"/>
    </row>
    <row r="11850" spans="1:11">
      <c r="A11850" s="450" t="s">
        <v>22017</v>
      </c>
      <c r="B11850" s="450" t="s">
        <v>18597</v>
      </c>
      <c r="C11850" s="450" t="s">
        <v>18598</v>
      </c>
      <c r="D11850" s="450" t="s">
        <v>18599</v>
      </c>
      <c r="E11850" s="450" t="s">
        <v>18600</v>
      </c>
      <c r="F11850" s="450"/>
      <c r="G11850" s="450"/>
      <c r="H11850" s="450"/>
      <c r="I11850" s="450"/>
      <c r="J11850" s="450"/>
      <c r="K11850" s="450"/>
    </row>
    <row r="11851" spans="1:11">
      <c r="A11851" s="451" t="s">
        <v>18601</v>
      </c>
      <c r="B11851" s="451" t="s">
        <v>29765</v>
      </c>
      <c r="C11851" s="451" t="s">
        <v>18603</v>
      </c>
      <c r="D11851" s="451" t="s">
        <v>18604</v>
      </c>
      <c r="E11851" s="451"/>
      <c r="F11851" s="451"/>
      <c r="G11851" s="451" t="s">
        <v>22877</v>
      </c>
      <c r="H11851" s="451" t="s">
        <v>22878</v>
      </c>
      <c r="I11851" s="451" t="s">
        <v>23389</v>
      </c>
      <c r="J11851" s="451" t="s">
        <v>32157</v>
      </c>
      <c r="K11851" s="451"/>
    </row>
    <row r="11852" spans="1:11">
      <c r="A11852" s="450" t="s">
        <v>18601</v>
      </c>
      <c r="B11852" s="450" t="s">
        <v>18602</v>
      </c>
      <c r="C11852" s="450" t="s">
        <v>18603</v>
      </c>
      <c r="D11852" s="450" t="s">
        <v>18604</v>
      </c>
      <c r="E11852" s="450" t="s">
        <v>18605</v>
      </c>
      <c r="F11852" s="450"/>
      <c r="G11852" s="450"/>
      <c r="H11852" s="450"/>
      <c r="I11852" s="450"/>
      <c r="J11852" s="450"/>
      <c r="K11852" s="450"/>
    </row>
    <row r="11853" spans="1:11">
      <c r="A11853" s="451" t="s">
        <v>18606</v>
      </c>
      <c r="B11853" s="451"/>
      <c r="C11853" s="451" t="s">
        <v>18607</v>
      </c>
      <c r="D11853" s="451"/>
      <c r="E11853" s="451"/>
      <c r="F11853" s="451"/>
      <c r="G11853" s="451" t="s">
        <v>22877</v>
      </c>
      <c r="H11853" s="451" t="s">
        <v>22878</v>
      </c>
      <c r="I11853" s="451" t="s">
        <v>32158</v>
      </c>
      <c r="J11853" s="451" t="s">
        <v>22939</v>
      </c>
      <c r="K11853" s="451"/>
    </row>
    <row r="11854" spans="1:11">
      <c r="A11854" s="450" t="s">
        <v>18608</v>
      </c>
      <c r="B11854" s="450" t="s">
        <v>29766</v>
      </c>
      <c r="C11854" s="450" t="s">
        <v>5920</v>
      </c>
      <c r="D11854" s="450" t="s">
        <v>18610</v>
      </c>
      <c r="E11854" s="450"/>
      <c r="F11854" s="450"/>
      <c r="G11854" s="450" t="s">
        <v>22877</v>
      </c>
      <c r="H11854" s="450" t="s">
        <v>22878</v>
      </c>
      <c r="I11854" s="450" t="s">
        <v>32159</v>
      </c>
      <c r="J11854" s="450" t="s">
        <v>32160</v>
      </c>
      <c r="K11854" s="450"/>
    </row>
    <row r="11855" spans="1:11">
      <c r="A11855" s="451" t="s">
        <v>18608</v>
      </c>
      <c r="B11855" s="451" t="s">
        <v>18609</v>
      </c>
      <c r="C11855" s="451" t="s">
        <v>5920</v>
      </c>
      <c r="D11855" s="451" t="s">
        <v>18610</v>
      </c>
      <c r="E11855" s="451" t="s">
        <v>18611</v>
      </c>
      <c r="F11855" s="451"/>
      <c r="G11855" s="451"/>
      <c r="H11855" s="451"/>
      <c r="I11855" s="451"/>
      <c r="J11855" s="451"/>
      <c r="K11855" s="451"/>
    </row>
    <row r="11856" spans="1:11">
      <c r="A11856" s="450" t="s">
        <v>29767</v>
      </c>
      <c r="B11856" s="450"/>
      <c r="C11856" s="450" t="s">
        <v>18613</v>
      </c>
      <c r="D11856" s="450"/>
      <c r="E11856" s="450"/>
      <c r="F11856" s="450"/>
      <c r="G11856" s="450" t="s">
        <v>22877</v>
      </c>
      <c r="H11856" s="450" t="s">
        <v>22878</v>
      </c>
      <c r="I11856" s="450" t="s">
        <v>32161</v>
      </c>
      <c r="J11856" s="450" t="s">
        <v>23370</v>
      </c>
      <c r="K11856" s="450"/>
    </row>
    <row r="11857" spans="1:11">
      <c r="A11857" s="451" t="s">
        <v>29768</v>
      </c>
      <c r="B11857" s="451" t="s">
        <v>29769</v>
      </c>
      <c r="C11857" s="451" t="s">
        <v>18616</v>
      </c>
      <c r="D11857" s="451"/>
      <c r="E11857" s="451"/>
      <c r="F11857" s="451"/>
      <c r="G11857" s="451" t="s">
        <v>22877</v>
      </c>
      <c r="H11857" s="451" t="s">
        <v>22878</v>
      </c>
      <c r="I11857" s="451" t="s">
        <v>32162</v>
      </c>
      <c r="J11857" s="451" t="s">
        <v>32163</v>
      </c>
      <c r="K11857" s="451"/>
    </row>
    <row r="11858" spans="1:11">
      <c r="A11858" s="450" t="s">
        <v>18612</v>
      </c>
      <c r="B11858" s="450"/>
      <c r="C11858" s="450" t="s">
        <v>18613</v>
      </c>
      <c r="D11858" s="450"/>
      <c r="E11858" s="450"/>
      <c r="F11858" s="450"/>
      <c r="G11858" s="450"/>
      <c r="H11858" s="450"/>
      <c r="I11858" s="450"/>
      <c r="J11858" s="450"/>
      <c r="K11858" s="450"/>
    </row>
    <row r="11859" spans="1:11">
      <c r="A11859" s="451" t="s">
        <v>18614</v>
      </c>
      <c r="B11859" s="451" t="s">
        <v>18615</v>
      </c>
      <c r="C11859" s="451" t="s">
        <v>18616</v>
      </c>
      <c r="D11859" s="451"/>
      <c r="E11859" s="451"/>
      <c r="F11859" s="451"/>
      <c r="G11859" s="451"/>
      <c r="H11859" s="451"/>
      <c r="I11859" s="451"/>
      <c r="J11859" s="451"/>
      <c r="K11859" s="451"/>
    </row>
    <row r="11860" spans="1:11">
      <c r="A11860" s="450" t="s">
        <v>18617</v>
      </c>
      <c r="B11860" s="450" t="s">
        <v>18618</v>
      </c>
      <c r="C11860" s="450" t="s">
        <v>18619</v>
      </c>
      <c r="D11860" s="450"/>
      <c r="E11860" s="450"/>
      <c r="F11860" s="450"/>
      <c r="G11860" s="450" t="s">
        <v>22877</v>
      </c>
      <c r="H11860" s="450" t="s">
        <v>22878</v>
      </c>
      <c r="I11860" s="450" t="s">
        <v>32164</v>
      </c>
      <c r="J11860" s="450" t="s">
        <v>32165</v>
      </c>
      <c r="K11860" s="450"/>
    </row>
    <row r="11861" spans="1:11">
      <c r="A11861" s="451" t="s">
        <v>39213</v>
      </c>
      <c r="B11861" s="451"/>
      <c r="C11861" s="451" t="s">
        <v>17838</v>
      </c>
      <c r="D11861" s="451"/>
      <c r="E11861" s="451"/>
      <c r="F11861" s="451"/>
      <c r="G11861" s="451" t="s">
        <v>22877</v>
      </c>
      <c r="H11861" s="451" t="s">
        <v>22878</v>
      </c>
      <c r="I11861" s="451" t="s">
        <v>39214</v>
      </c>
      <c r="J11861" s="451" t="s">
        <v>23185</v>
      </c>
      <c r="K11861" s="451"/>
    </row>
    <row r="11862" spans="1:11">
      <c r="A11862" s="450" t="s">
        <v>22018</v>
      </c>
      <c r="B11862" s="450"/>
      <c r="C11862" s="450" t="s">
        <v>17838</v>
      </c>
      <c r="D11862" s="450"/>
      <c r="E11862" s="450"/>
      <c r="F11862" s="450"/>
      <c r="G11862" s="450"/>
      <c r="H11862" s="450"/>
      <c r="I11862" s="450"/>
      <c r="J11862" s="450"/>
      <c r="K11862" s="450"/>
    </row>
    <row r="11863" spans="1:11">
      <c r="A11863" s="451" t="s">
        <v>39215</v>
      </c>
      <c r="B11863" s="451" t="s">
        <v>18621</v>
      </c>
      <c r="C11863" s="451" t="s">
        <v>39216</v>
      </c>
      <c r="D11863" s="451" t="s">
        <v>18623</v>
      </c>
      <c r="E11863" s="451"/>
      <c r="F11863" s="451"/>
      <c r="G11863" s="451" t="s">
        <v>22877</v>
      </c>
      <c r="H11863" s="451" t="s">
        <v>22878</v>
      </c>
      <c r="I11863" s="451" t="s">
        <v>18623</v>
      </c>
      <c r="J11863" s="451" t="s">
        <v>39217</v>
      </c>
      <c r="K11863" s="451"/>
    </row>
    <row r="11864" spans="1:11">
      <c r="A11864" s="450" t="s">
        <v>18620</v>
      </c>
      <c r="B11864" s="450" t="s">
        <v>18621</v>
      </c>
      <c r="C11864" s="450" t="s">
        <v>18622</v>
      </c>
      <c r="D11864" s="450" t="s">
        <v>18623</v>
      </c>
      <c r="E11864" s="450" t="s">
        <v>18624</v>
      </c>
      <c r="F11864" s="450"/>
      <c r="G11864" s="450"/>
      <c r="H11864" s="450"/>
      <c r="I11864" s="450"/>
      <c r="J11864" s="450"/>
      <c r="K11864" s="450"/>
    </row>
    <row r="11865" spans="1:11">
      <c r="A11865" s="451" t="s">
        <v>18626</v>
      </c>
      <c r="B11865" s="451"/>
      <c r="C11865" s="451" t="s">
        <v>3175</v>
      </c>
      <c r="D11865" s="451"/>
      <c r="E11865" s="451"/>
      <c r="F11865" s="451"/>
      <c r="G11865" s="451" t="s">
        <v>22877</v>
      </c>
      <c r="H11865" s="451" t="s">
        <v>22878</v>
      </c>
      <c r="I11865" s="451" t="s">
        <v>39218</v>
      </c>
      <c r="J11865" s="451" t="s">
        <v>22997</v>
      </c>
      <c r="K11865" s="451"/>
    </row>
    <row r="11866" spans="1:11">
      <c r="A11866" s="450" t="s">
        <v>18627</v>
      </c>
      <c r="B11866" s="450"/>
      <c r="C11866" s="450" t="s">
        <v>1226</v>
      </c>
      <c r="D11866" s="450"/>
      <c r="E11866" s="450"/>
      <c r="F11866" s="450"/>
      <c r="G11866" s="450"/>
      <c r="H11866" s="450"/>
      <c r="I11866" s="450"/>
      <c r="J11866" s="450"/>
      <c r="K11866" s="450"/>
    </row>
    <row r="11867" spans="1:11">
      <c r="A11867" s="451" t="s">
        <v>39219</v>
      </c>
      <c r="B11867" s="451"/>
      <c r="C11867" s="451" t="s">
        <v>1226</v>
      </c>
      <c r="D11867" s="451"/>
      <c r="E11867" s="451"/>
      <c r="F11867" s="451"/>
      <c r="G11867" s="451" t="s">
        <v>22877</v>
      </c>
      <c r="H11867" s="451" t="s">
        <v>22878</v>
      </c>
      <c r="I11867" s="451" t="s">
        <v>39220</v>
      </c>
      <c r="J11867" s="451" t="s">
        <v>22942</v>
      </c>
      <c r="K11867" s="451"/>
    </row>
    <row r="11868" spans="1:11">
      <c r="A11868" s="450" t="s">
        <v>39221</v>
      </c>
      <c r="B11868" s="450"/>
      <c r="C11868" s="450" t="s">
        <v>18625</v>
      </c>
      <c r="D11868" s="450"/>
      <c r="E11868" s="450"/>
      <c r="F11868" s="450"/>
      <c r="G11868" s="450" t="s">
        <v>22882</v>
      </c>
      <c r="H11868" s="450" t="s">
        <v>22883</v>
      </c>
      <c r="I11868" s="450" t="s">
        <v>39222</v>
      </c>
      <c r="J11868" s="450" t="s">
        <v>22997</v>
      </c>
      <c r="K11868" s="450"/>
    </row>
    <row r="11869" spans="1:11">
      <c r="A11869" s="451" t="s">
        <v>22019</v>
      </c>
      <c r="B11869" s="451"/>
      <c r="C11869" s="451" t="s">
        <v>18625</v>
      </c>
      <c r="D11869" s="451"/>
      <c r="E11869" s="451"/>
      <c r="F11869" s="451"/>
      <c r="G11869" s="451"/>
      <c r="H11869" s="451"/>
      <c r="I11869" s="451"/>
      <c r="J11869" s="451"/>
      <c r="K11869" s="451"/>
    </row>
    <row r="11870" spans="1:11">
      <c r="A11870" s="450" t="s">
        <v>18628</v>
      </c>
      <c r="B11870" s="450"/>
      <c r="C11870" s="450" t="s">
        <v>18629</v>
      </c>
      <c r="D11870" s="450"/>
      <c r="E11870" s="450"/>
      <c r="F11870" s="450"/>
      <c r="G11870" s="450" t="s">
        <v>22877</v>
      </c>
      <c r="H11870" s="450" t="s">
        <v>22878</v>
      </c>
      <c r="I11870" s="450" t="s">
        <v>39223</v>
      </c>
      <c r="J11870" s="450" t="s">
        <v>23185</v>
      </c>
      <c r="K11870" s="450"/>
    </row>
    <row r="11871" spans="1:11">
      <c r="A11871" s="451" t="s">
        <v>39224</v>
      </c>
      <c r="B11871" s="451"/>
      <c r="C11871" s="451" t="s">
        <v>18631</v>
      </c>
      <c r="D11871" s="451"/>
      <c r="E11871" s="451"/>
      <c r="F11871" s="451"/>
      <c r="G11871" s="451" t="s">
        <v>22877</v>
      </c>
      <c r="H11871" s="451" t="s">
        <v>22878</v>
      </c>
      <c r="I11871" s="451" t="s">
        <v>39225</v>
      </c>
      <c r="J11871" s="451" t="s">
        <v>23185</v>
      </c>
      <c r="K11871" s="451"/>
    </row>
    <row r="11872" spans="1:11">
      <c r="A11872" s="450" t="s">
        <v>18630</v>
      </c>
      <c r="B11872" s="450"/>
      <c r="C11872" s="450" t="s">
        <v>18631</v>
      </c>
      <c r="D11872" s="450"/>
      <c r="E11872" s="450"/>
      <c r="F11872" s="450"/>
      <c r="G11872" s="450"/>
      <c r="H11872" s="450"/>
      <c r="I11872" s="450"/>
      <c r="J11872" s="450"/>
      <c r="K11872" s="450"/>
    </row>
    <row r="11873" spans="1:11">
      <c r="A11873" s="451" t="s">
        <v>18632</v>
      </c>
      <c r="B11873" s="451"/>
      <c r="C11873" s="451" t="s">
        <v>5339</v>
      </c>
      <c r="D11873" s="451"/>
      <c r="E11873" s="451"/>
      <c r="F11873" s="451"/>
      <c r="G11873" s="451"/>
      <c r="H11873" s="451"/>
      <c r="I11873" s="451"/>
      <c r="J11873" s="451"/>
      <c r="K11873" s="451"/>
    </row>
    <row r="11874" spans="1:11">
      <c r="A11874" s="450" t="s">
        <v>39226</v>
      </c>
      <c r="B11874" s="450"/>
      <c r="C11874" s="450" t="s">
        <v>5339</v>
      </c>
      <c r="D11874" s="450"/>
      <c r="E11874" s="450"/>
      <c r="F11874" s="450"/>
      <c r="G11874" s="450" t="s">
        <v>22882</v>
      </c>
      <c r="H11874" s="450" t="s">
        <v>22883</v>
      </c>
      <c r="I11874" s="450" t="s">
        <v>39227</v>
      </c>
      <c r="J11874" s="450" t="s">
        <v>22997</v>
      </c>
      <c r="K11874" s="450"/>
    </row>
    <row r="11875" spans="1:11">
      <c r="A11875" s="451" t="s">
        <v>22020</v>
      </c>
      <c r="B11875" s="451"/>
      <c r="C11875" s="451" t="s">
        <v>18633</v>
      </c>
      <c r="D11875" s="451"/>
      <c r="E11875" s="451"/>
      <c r="F11875" s="451"/>
      <c r="G11875" s="451" t="s">
        <v>22882</v>
      </c>
      <c r="H11875" s="451" t="s">
        <v>22883</v>
      </c>
      <c r="I11875" s="451" t="s">
        <v>39228</v>
      </c>
      <c r="J11875" s="451" t="s">
        <v>23185</v>
      </c>
      <c r="K11875" s="451"/>
    </row>
    <row r="11876" spans="1:11">
      <c r="A11876" s="450" t="s">
        <v>18634</v>
      </c>
      <c r="B11876" s="450"/>
      <c r="C11876" s="450" t="s">
        <v>5091</v>
      </c>
      <c r="D11876" s="450"/>
      <c r="E11876" s="450"/>
      <c r="F11876" s="450"/>
      <c r="G11876" s="450" t="s">
        <v>22877</v>
      </c>
      <c r="H11876" s="450" t="s">
        <v>22878</v>
      </c>
      <c r="I11876" s="450" t="s">
        <v>39229</v>
      </c>
      <c r="J11876" s="450" t="s">
        <v>22939</v>
      </c>
      <c r="K11876" s="450"/>
    </row>
    <row r="11877" spans="1:11">
      <c r="A11877" s="451" t="s">
        <v>18635</v>
      </c>
      <c r="B11877" s="451"/>
      <c r="C11877" s="451" t="s">
        <v>11776</v>
      </c>
      <c r="D11877" s="451"/>
      <c r="E11877" s="451"/>
      <c r="F11877" s="451"/>
      <c r="G11877" s="451" t="s">
        <v>22882</v>
      </c>
      <c r="H11877" s="451" t="s">
        <v>22883</v>
      </c>
      <c r="I11877" s="451" t="s">
        <v>39230</v>
      </c>
      <c r="J11877" s="451" t="s">
        <v>22997</v>
      </c>
      <c r="K11877" s="451"/>
    </row>
    <row r="11878" spans="1:11">
      <c r="A11878" s="450" t="s">
        <v>22021</v>
      </c>
      <c r="B11878" s="450"/>
      <c r="C11878" s="450" t="s">
        <v>10789</v>
      </c>
      <c r="D11878" s="450"/>
      <c r="E11878" s="450"/>
      <c r="F11878" s="450"/>
      <c r="G11878" s="450" t="s">
        <v>22882</v>
      </c>
      <c r="H11878" s="450" t="s">
        <v>22883</v>
      </c>
      <c r="I11878" s="450" t="s">
        <v>39231</v>
      </c>
      <c r="J11878" s="450" t="s">
        <v>22939</v>
      </c>
      <c r="K11878" s="450"/>
    </row>
    <row r="11879" spans="1:11">
      <c r="A11879" s="451" t="s">
        <v>39232</v>
      </c>
      <c r="B11879" s="451"/>
      <c r="C11879" s="451" t="s">
        <v>18636</v>
      </c>
      <c r="D11879" s="451"/>
      <c r="E11879" s="451"/>
      <c r="F11879" s="451"/>
      <c r="G11879" s="451" t="s">
        <v>22882</v>
      </c>
      <c r="H11879" s="451" t="s">
        <v>22883</v>
      </c>
      <c r="I11879" s="451" t="s">
        <v>39233</v>
      </c>
      <c r="J11879" s="451" t="s">
        <v>22997</v>
      </c>
      <c r="K11879" s="451"/>
    </row>
    <row r="11880" spans="1:11">
      <c r="A11880" s="450" t="s">
        <v>22022</v>
      </c>
      <c r="B11880" s="450"/>
      <c r="C11880" s="450" t="s">
        <v>18636</v>
      </c>
      <c r="D11880" s="450"/>
      <c r="E11880" s="450"/>
      <c r="F11880" s="450"/>
      <c r="G11880" s="450"/>
      <c r="H11880" s="450"/>
      <c r="I11880" s="450"/>
      <c r="J11880" s="450"/>
      <c r="K11880" s="450"/>
    </row>
    <row r="11881" spans="1:11">
      <c r="A11881" s="451" t="s">
        <v>18637</v>
      </c>
      <c r="B11881" s="451"/>
      <c r="C11881" s="451" t="s">
        <v>4333</v>
      </c>
      <c r="D11881" s="451"/>
      <c r="E11881" s="451"/>
      <c r="F11881" s="451"/>
      <c r="G11881" s="451" t="s">
        <v>22882</v>
      </c>
      <c r="H11881" s="451" t="s">
        <v>22883</v>
      </c>
      <c r="I11881" s="451" t="s">
        <v>39234</v>
      </c>
      <c r="J11881" s="451" t="s">
        <v>23185</v>
      </c>
      <c r="K11881" s="451"/>
    </row>
    <row r="11882" spans="1:11">
      <c r="A11882" s="450" t="s">
        <v>39235</v>
      </c>
      <c r="B11882" s="450"/>
      <c r="C11882" s="450" t="s">
        <v>18639</v>
      </c>
      <c r="D11882" s="450"/>
      <c r="E11882" s="450"/>
      <c r="F11882" s="450"/>
      <c r="G11882" s="450" t="s">
        <v>22877</v>
      </c>
      <c r="H11882" s="450" t="s">
        <v>22878</v>
      </c>
      <c r="I11882" s="450" t="s">
        <v>39236</v>
      </c>
      <c r="J11882" s="450" t="s">
        <v>22942</v>
      </c>
      <c r="K11882" s="450"/>
    </row>
    <row r="11883" spans="1:11">
      <c r="A11883" s="451" t="s">
        <v>18638</v>
      </c>
      <c r="B11883" s="451"/>
      <c r="C11883" s="451" t="s">
        <v>18639</v>
      </c>
      <c r="D11883" s="451"/>
      <c r="E11883" s="451"/>
      <c r="F11883" s="451"/>
      <c r="G11883" s="451"/>
      <c r="H11883" s="451"/>
      <c r="I11883" s="451"/>
      <c r="J11883" s="451"/>
      <c r="K11883" s="451"/>
    </row>
    <row r="11884" spans="1:11">
      <c r="A11884" s="450" t="s">
        <v>18640</v>
      </c>
      <c r="B11884" s="450"/>
      <c r="C11884" s="450" t="s">
        <v>18641</v>
      </c>
      <c r="D11884" s="450"/>
      <c r="E11884" s="450"/>
      <c r="F11884" s="450"/>
      <c r="G11884" s="450" t="s">
        <v>22877</v>
      </c>
      <c r="H11884" s="450" t="s">
        <v>22878</v>
      </c>
      <c r="I11884" s="450" t="s">
        <v>39237</v>
      </c>
      <c r="J11884" s="450" t="s">
        <v>22997</v>
      </c>
      <c r="K11884" s="450"/>
    </row>
    <row r="11885" spans="1:11">
      <c r="A11885" s="451" t="s">
        <v>18642</v>
      </c>
      <c r="B11885" s="451"/>
      <c r="C11885" s="451" t="s">
        <v>18643</v>
      </c>
      <c r="D11885" s="451"/>
      <c r="E11885" s="451"/>
      <c r="F11885" s="451"/>
      <c r="G11885" s="451" t="s">
        <v>22882</v>
      </c>
      <c r="H11885" s="451" t="s">
        <v>22883</v>
      </c>
      <c r="I11885" s="451" t="s">
        <v>39238</v>
      </c>
      <c r="J11885" s="451" t="s">
        <v>22997</v>
      </c>
      <c r="K11885" s="451"/>
    </row>
    <row r="11886" spans="1:11">
      <c r="A11886" s="450" t="s">
        <v>18644</v>
      </c>
      <c r="B11886" s="450"/>
      <c r="C11886" s="450" t="s">
        <v>18645</v>
      </c>
      <c r="D11886" s="450"/>
      <c r="E11886" s="450"/>
      <c r="F11886" s="450"/>
      <c r="G11886" s="450" t="s">
        <v>39239</v>
      </c>
      <c r="H11886" s="450" t="s">
        <v>22878</v>
      </c>
      <c r="I11886" s="450" t="s">
        <v>26547</v>
      </c>
      <c r="J11886" s="450" t="s">
        <v>23183</v>
      </c>
      <c r="K11886" s="450"/>
    </row>
    <row r="11887" spans="1:11">
      <c r="A11887" s="451" t="s">
        <v>18646</v>
      </c>
      <c r="B11887" s="451"/>
      <c r="C11887" s="451" t="s">
        <v>2206</v>
      </c>
      <c r="D11887" s="451"/>
      <c r="E11887" s="451"/>
      <c r="F11887" s="451"/>
      <c r="G11887" s="451" t="s">
        <v>22882</v>
      </c>
      <c r="H11887" s="451" t="s">
        <v>22883</v>
      </c>
      <c r="I11887" s="451" t="s">
        <v>39240</v>
      </c>
      <c r="J11887" s="451" t="s">
        <v>22942</v>
      </c>
      <c r="K11887" s="451"/>
    </row>
    <row r="11888" spans="1:11">
      <c r="A11888" s="450" t="s">
        <v>18647</v>
      </c>
      <c r="B11888" s="450"/>
      <c r="C11888" s="450" t="s">
        <v>16383</v>
      </c>
      <c r="D11888" s="450"/>
      <c r="E11888" s="450"/>
      <c r="F11888" s="450"/>
      <c r="G11888" s="450"/>
      <c r="H11888" s="450"/>
      <c r="I11888" s="450"/>
      <c r="J11888" s="450"/>
      <c r="K11888" s="450"/>
    </row>
    <row r="11889" spans="1:11">
      <c r="A11889" s="451" t="s">
        <v>39241</v>
      </c>
      <c r="B11889" s="451"/>
      <c r="C11889" s="451" t="s">
        <v>16383</v>
      </c>
      <c r="D11889" s="451"/>
      <c r="E11889" s="451"/>
      <c r="F11889" s="451"/>
      <c r="G11889" s="451" t="s">
        <v>22877</v>
      </c>
      <c r="H11889" s="451" t="s">
        <v>22878</v>
      </c>
      <c r="I11889" s="451" t="s">
        <v>39242</v>
      </c>
      <c r="J11889" s="451" t="s">
        <v>28871</v>
      </c>
      <c r="K11889" s="451"/>
    </row>
    <row r="11890" spans="1:11">
      <c r="A11890" s="450" t="s">
        <v>18648</v>
      </c>
      <c r="B11890" s="450"/>
      <c r="C11890" s="450" t="s">
        <v>2206</v>
      </c>
      <c r="D11890" s="450"/>
      <c r="E11890" s="450"/>
      <c r="F11890" s="450"/>
      <c r="G11890" s="450" t="s">
        <v>22882</v>
      </c>
      <c r="H11890" s="450" t="s">
        <v>22883</v>
      </c>
      <c r="I11890" s="450" t="s">
        <v>39240</v>
      </c>
      <c r="J11890" s="450" t="s">
        <v>22997</v>
      </c>
      <c r="K11890" s="450"/>
    </row>
    <row r="11891" spans="1:11">
      <c r="A11891" s="451" t="s">
        <v>18649</v>
      </c>
      <c r="B11891" s="451"/>
      <c r="C11891" s="451" t="s">
        <v>4904</v>
      </c>
      <c r="D11891" s="451"/>
      <c r="E11891" s="451"/>
      <c r="F11891" s="451"/>
      <c r="G11891" s="451" t="s">
        <v>22882</v>
      </c>
      <c r="H11891" s="451" t="s">
        <v>22883</v>
      </c>
      <c r="I11891" s="451" t="s">
        <v>16617</v>
      </c>
      <c r="J11891" s="451" t="s">
        <v>22942</v>
      </c>
      <c r="K11891" s="451"/>
    </row>
    <row r="11892" spans="1:11">
      <c r="A11892" s="450" t="s">
        <v>29770</v>
      </c>
      <c r="B11892" s="450" t="s">
        <v>29771</v>
      </c>
      <c r="C11892" s="450" t="s">
        <v>18652</v>
      </c>
      <c r="D11892" s="450"/>
      <c r="E11892" s="450"/>
      <c r="F11892" s="450"/>
      <c r="G11892" s="450" t="s">
        <v>22877</v>
      </c>
      <c r="H11892" s="450" t="s">
        <v>22878</v>
      </c>
      <c r="I11892" s="450" t="s">
        <v>32166</v>
      </c>
      <c r="J11892" s="450" t="s">
        <v>32167</v>
      </c>
      <c r="K11892" s="450"/>
    </row>
    <row r="11893" spans="1:11">
      <c r="A11893" s="451" t="s">
        <v>18650</v>
      </c>
      <c r="B11893" s="451" t="s">
        <v>18651</v>
      </c>
      <c r="C11893" s="451" t="s">
        <v>18652</v>
      </c>
      <c r="D11893" s="451"/>
      <c r="E11893" s="451"/>
      <c r="F11893" s="451"/>
      <c r="G11893" s="451"/>
      <c r="H11893" s="451"/>
      <c r="I11893" s="451"/>
      <c r="J11893" s="451"/>
      <c r="K11893" s="451"/>
    </row>
    <row r="11894" spans="1:11">
      <c r="A11894" s="450" t="s">
        <v>39243</v>
      </c>
      <c r="B11894" s="450" t="s">
        <v>18654</v>
      </c>
      <c r="C11894" s="450" t="s">
        <v>6459</v>
      </c>
      <c r="D11894" s="450"/>
      <c r="E11894" s="450"/>
      <c r="F11894" s="450"/>
      <c r="G11894" s="450" t="s">
        <v>22882</v>
      </c>
      <c r="H11894" s="450" t="s">
        <v>22883</v>
      </c>
      <c r="I11894" s="450" t="s">
        <v>39244</v>
      </c>
      <c r="J11894" s="450" t="s">
        <v>39245</v>
      </c>
      <c r="K11894" s="450"/>
    </row>
    <row r="11895" spans="1:11">
      <c r="A11895" s="451" t="s">
        <v>18653</v>
      </c>
      <c r="B11895" s="451" t="s">
        <v>18654</v>
      </c>
      <c r="C11895" s="451" t="s">
        <v>6459</v>
      </c>
      <c r="D11895" s="451"/>
      <c r="E11895" s="451"/>
      <c r="F11895" s="451"/>
      <c r="G11895" s="451"/>
      <c r="H11895" s="451"/>
      <c r="I11895" s="451"/>
      <c r="J11895" s="451"/>
      <c r="K11895" s="451"/>
    </row>
    <row r="11896" spans="1:11">
      <c r="A11896" s="450" t="s">
        <v>29772</v>
      </c>
      <c r="B11896" s="450" t="s">
        <v>29773</v>
      </c>
      <c r="C11896" s="450" t="s">
        <v>18656</v>
      </c>
      <c r="D11896" s="450" t="s">
        <v>18657</v>
      </c>
      <c r="E11896" s="450"/>
      <c r="F11896" s="450"/>
      <c r="G11896" s="450" t="s">
        <v>22877</v>
      </c>
      <c r="H11896" s="450" t="s">
        <v>22878</v>
      </c>
      <c r="I11896" s="450" t="s">
        <v>32168</v>
      </c>
      <c r="J11896" s="450" t="s">
        <v>32169</v>
      </c>
      <c r="K11896" s="450"/>
    </row>
    <row r="11897" spans="1:11">
      <c r="A11897" s="451" t="s">
        <v>22023</v>
      </c>
      <c r="B11897" s="451" t="s">
        <v>18655</v>
      </c>
      <c r="C11897" s="451" t="s">
        <v>18656</v>
      </c>
      <c r="D11897" s="451" t="s">
        <v>18657</v>
      </c>
      <c r="E11897" s="451"/>
      <c r="F11897" s="451"/>
      <c r="G11897" s="451"/>
      <c r="H11897" s="451"/>
      <c r="I11897" s="451"/>
      <c r="J11897" s="451"/>
      <c r="K11897" s="451"/>
    </row>
    <row r="11898" spans="1:11">
      <c r="A11898" s="450" t="s">
        <v>39246</v>
      </c>
      <c r="B11898" s="450"/>
      <c r="C11898" s="450" t="s">
        <v>18569</v>
      </c>
      <c r="D11898" s="450"/>
      <c r="E11898" s="450"/>
      <c r="F11898" s="450"/>
      <c r="G11898" s="450" t="s">
        <v>22877</v>
      </c>
      <c r="H11898" s="450" t="s">
        <v>22878</v>
      </c>
      <c r="I11898" s="450" t="s">
        <v>39247</v>
      </c>
      <c r="J11898" s="450" t="s">
        <v>22997</v>
      </c>
      <c r="K11898" s="450"/>
    </row>
    <row r="11899" spans="1:11">
      <c r="A11899" s="451" t="s">
        <v>18658</v>
      </c>
      <c r="B11899" s="451"/>
      <c r="C11899" s="451" t="s">
        <v>3905</v>
      </c>
      <c r="D11899" s="451"/>
      <c r="E11899" s="451"/>
      <c r="F11899" s="451"/>
      <c r="G11899" s="451" t="s">
        <v>22877</v>
      </c>
      <c r="H11899" s="451" t="s">
        <v>22878</v>
      </c>
      <c r="I11899" s="451" t="s">
        <v>32170</v>
      </c>
      <c r="J11899" s="451" t="s">
        <v>22997</v>
      </c>
      <c r="K11899" s="451"/>
    </row>
    <row r="11900" spans="1:11">
      <c r="A11900" s="450" t="s">
        <v>18659</v>
      </c>
      <c r="B11900" s="450" t="s">
        <v>18660</v>
      </c>
      <c r="C11900" s="450" t="s">
        <v>18661</v>
      </c>
      <c r="D11900" s="450" t="s">
        <v>18662</v>
      </c>
      <c r="E11900" s="450"/>
      <c r="F11900" s="450"/>
      <c r="G11900" s="450" t="s">
        <v>22882</v>
      </c>
      <c r="H11900" s="450" t="s">
        <v>22883</v>
      </c>
      <c r="I11900" s="450" t="s">
        <v>32171</v>
      </c>
      <c r="J11900" s="450" t="s">
        <v>32172</v>
      </c>
      <c r="K11900" s="450"/>
    </row>
    <row r="11901" spans="1:11">
      <c r="A11901" s="451" t="s">
        <v>39248</v>
      </c>
      <c r="B11901" s="451"/>
      <c r="C11901" s="451" t="s">
        <v>18567</v>
      </c>
      <c r="D11901" s="451"/>
      <c r="E11901" s="451"/>
      <c r="F11901" s="451"/>
      <c r="G11901" s="451" t="s">
        <v>22882</v>
      </c>
      <c r="H11901" s="451" t="s">
        <v>22883</v>
      </c>
      <c r="I11901" s="451"/>
      <c r="J11901" s="451" t="s">
        <v>22942</v>
      </c>
      <c r="K11901" s="451"/>
    </row>
    <row r="11902" spans="1:11">
      <c r="A11902" s="450" t="s">
        <v>18663</v>
      </c>
      <c r="B11902" s="450"/>
      <c r="C11902" s="450" t="s">
        <v>7632</v>
      </c>
      <c r="D11902" s="450"/>
      <c r="E11902" s="450"/>
      <c r="F11902" s="450"/>
      <c r="G11902" s="450"/>
      <c r="H11902" s="450"/>
      <c r="I11902" s="450"/>
      <c r="J11902" s="450"/>
      <c r="K11902" s="450"/>
    </row>
    <row r="11903" spans="1:11">
      <c r="A11903" s="451" t="s">
        <v>39249</v>
      </c>
      <c r="B11903" s="451"/>
      <c r="C11903" s="451" t="s">
        <v>7632</v>
      </c>
      <c r="D11903" s="451"/>
      <c r="E11903" s="451"/>
      <c r="F11903" s="451"/>
      <c r="G11903" s="451" t="s">
        <v>22877</v>
      </c>
      <c r="H11903" s="451" t="s">
        <v>22878</v>
      </c>
      <c r="I11903" s="451" t="s">
        <v>39250</v>
      </c>
      <c r="J11903" s="451" t="s">
        <v>23370</v>
      </c>
      <c r="K11903" s="451"/>
    </row>
    <row r="11904" spans="1:11">
      <c r="A11904" s="450" t="s">
        <v>18664</v>
      </c>
      <c r="B11904" s="450"/>
      <c r="C11904" s="450" t="s">
        <v>14660</v>
      </c>
      <c r="D11904" s="450"/>
      <c r="E11904" s="450"/>
      <c r="F11904" s="450"/>
      <c r="G11904" s="450" t="s">
        <v>22877</v>
      </c>
      <c r="H11904" s="450" t="s">
        <v>22878</v>
      </c>
      <c r="I11904" s="450" t="s">
        <v>39251</v>
      </c>
      <c r="J11904" s="450" t="s">
        <v>22942</v>
      </c>
      <c r="K11904" s="450"/>
    </row>
    <row r="11905" spans="1:11">
      <c r="A11905" s="451" t="s">
        <v>22024</v>
      </c>
      <c r="B11905" s="451"/>
      <c r="C11905" s="451" t="s">
        <v>4277</v>
      </c>
      <c r="D11905" s="451"/>
      <c r="E11905" s="451"/>
      <c r="F11905" s="451"/>
      <c r="G11905" s="451" t="s">
        <v>22877</v>
      </c>
      <c r="H11905" s="451" t="s">
        <v>22878</v>
      </c>
      <c r="I11905" s="451" t="s">
        <v>32173</v>
      </c>
      <c r="J11905" s="451" t="s">
        <v>22939</v>
      </c>
      <c r="K11905" s="451"/>
    </row>
    <row r="11906" spans="1:11">
      <c r="A11906" s="450" t="s">
        <v>18665</v>
      </c>
      <c r="B11906" s="450" t="s">
        <v>18666</v>
      </c>
      <c r="C11906" s="450" t="s">
        <v>18667</v>
      </c>
      <c r="D11906" s="450" t="s">
        <v>18668</v>
      </c>
      <c r="E11906" s="450" t="s">
        <v>18669</v>
      </c>
      <c r="F11906" s="450"/>
      <c r="G11906" s="450"/>
      <c r="H11906" s="450"/>
      <c r="I11906" s="450"/>
      <c r="J11906" s="450"/>
      <c r="K11906" s="450"/>
    </row>
    <row r="11907" spans="1:11">
      <c r="A11907" s="451" t="s">
        <v>29774</v>
      </c>
      <c r="B11907" s="451" t="s">
        <v>18666</v>
      </c>
      <c r="C11907" s="451" t="s">
        <v>18667</v>
      </c>
      <c r="D11907" s="451" t="s">
        <v>18668</v>
      </c>
      <c r="E11907" s="451"/>
      <c r="F11907" s="451"/>
      <c r="G11907" s="451" t="s">
        <v>22877</v>
      </c>
      <c r="H11907" s="451" t="s">
        <v>22878</v>
      </c>
      <c r="I11907" s="451" t="s">
        <v>18668</v>
      </c>
      <c r="J11907" s="451" t="s">
        <v>32174</v>
      </c>
      <c r="K11907" s="451"/>
    </row>
    <row r="11908" spans="1:11">
      <c r="A11908" s="450" t="s">
        <v>39252</v>
      </c>
      <c r="B11908" s="450"/>
      <c r="C11908" s="450" t="s">
        <v>18671</v>
      </c>
      <c r="D11908" s="450"/>
      <c r="E11908" s="450"/>
      <c r="F11908" s="450"/>
      <c r="G11908" s="450" t="s">
        <v>22877</v>
      </c>
      <c r="H11908" s="450" t="s">
        <v>22878</v>
      </c>
      <c r="I11908" s="450" t="s">
        <v>39253</v>
      </c>
      <c r="J11908" s="450" t="s">
        <v>22942</v>
      </c>
      <c r="K11908" s="450"/>
    </row>
    <row r="11909" spans="1:11">
      <c r="A11909" s="451" t="s">
        <v>18670</v>
      </c>
      <c r="B11909" s="451"/>
      <c r="C11909" s="451" t="s">
        <v>18671</v>
      </c>
      <c r="D11909" s="451"/>
      <c r="E11909" s="451"/>
      <c r="F11909" s="451"/>
      <c r="G11909" s="451"/>
      <c r="H11909" s="451"/>
      <c r="I11909" s="451"/>
      <c r="J11909" s="451"/>
      <c r="K11909" s="451"/>
    </row>
    <row r="11910" spans="1:11">
      <c r="A11910" s="450" t="s">
        <v>18672</v>
      </c>
      <c r="B11910" s="450"/>
      <c r="C11910" s="450" t="s">
        <v>3435</v>
      </c>
      <c r="D11910" s="450"/>
      <c r="E11910" s="450"/>
      <c r="F11910" s="450"/>
      <c r="G11910" s="450" t="s">
        <v>22877</v>
      </c>
      <c r="H11910" s="450" t="s">
        <v>22878</v>
      </c>
      <c r="I11910" s="450" t="s">
        <v>32175</v>
      </c>
      <c r="J11910" s="450" t="s">
        <v>22942</v>
      </c>
      <c r="K11910" s="450"/>
    </row>
    <row r="11911" spans="1:11">
      <c r="A11911" s="451" t="s">
        <v>18673</v>
      </c>
      <c r="B11911" s="451" t="s">
        <v>18674</v>
      </c>
      <c r="C11911" s="451" t="s">
        <v>18675</v>
      </c>
      <c r="D11911" s="451"/>
      <c r="E11911" s="451"/>
      <c r="F11911" s="451" t="s">
        <v>39254</v>
      </c>
      <c r="G11911" s="451" t="s">
        <v>22877</v>
      </c>
      <c r="H11911" s="451" t="s">
        <v>22878</v>
      </c>
      <c r="I11911" s="451" t="s">
        <v>39255</v>
      </c>
      <c r="J11911" s="451" t="s">
        <v>39256</v>
      </c>
      <c r="K11911" s="451"/>
    </row>
    <row r="11912" spans="1:11">
      <c r="A11912" s="450" t="s">
        <v>18673</v>
      </c>
      <c r="B11912" s="450" t="s">
        <v>18674</v>
      </c>
      <c r="C11912" s="450" t="s">
        <v>18675</v>
      </c>
      <c r="D11912" s="450"/>
      <c r="E11912" s="450"/>
      <c r="F11912" s="450" t="s">
        <v>18676</v>
      </c>
      <c r="G11912" s="450"/>
      <c r="H11912" s="450"/>
      <c r="I11912" s="450"/>
      <c r="J11912" s="450"/>
      <c r="K11912" s="450"/>
    </row>
    <row r="11913" spans="1:11">
      <c r="A11913" s="451" t="s">
        <v>39257</v>
      </c>
      <c r="B11913" s="451"/>
      <c r="C11913" s="451" t="s">
        <v>18678</v>
      </c>
      <c r="D11913" s="451"/>
      <c r="E11913" s="451"/>
      <c r="F11913" s="451"/>
      <c r="G11913" s="451" t="s">
        <v>22877</v>
      </c>
      <c r="H11913" s="451" t="s">
        <v>22878</v>
      </c>
      <c r="I11913" s="451" t="s">
        <v>39258</v>
      </c>
      <c r="J11913" s="451" t="s">
        <v>22943</v>
      </c>
      <c r="K11913" s="451"/>
    </row>
    <row r="11914" spans="1:11">
      <c r="A11914" s="450" t="s">
        <v>18677</v>
      </c>
      <c r="B11914" s="450"/>
      <c r="C11914" s="450" t="s">
        <v>18678</v>
      </c>
      <c r="D11914" s="450"/>
      <c r="E11914" s="450"/>
      <c r="F11914" s="450"/>
      <c r="G11914" s="450"/>
      <c r="H11914" s="450"/>
      <c r="I11914" s="450"/>
      <c r="J11914" s="450"/>
      <c r="K11914" s="450"/>
    </row>
    <row r="11915" spans="1:11">
      <c r="A11915" s="451" t="s">
        <v>18679</v>
      </c>
      <c r="B11915" s="451"/>
      <c r="C11915" s="451" t="s">
        <v>3312</v>
      </c>
      <c r="D11915" s="451"/>
      <c r="E11915" s="451"/>
      <c r="F11915" s="451"/>
      <c r="G11915" s="451" t="s">
        <v>22882</v>
      </c>
      <c r="H11915" s="451" t="s">
        <v>22883</v>
      </c>
      <c r="I11915" s="451"/>
      <c r="J11915" s="451" t="s">
        <v>22939</v>
      </c>
      <c r="K11915" s="451"/>
    </row>
    <row r="11916" spans="1:11">
      <c r="A11916" s="450" t="s">
        <v>18680</v>
      </c>
      <c r="B11916" s="450"/>
      <c r="C11916" s="450" t="s">
        <v>18681</v>
      </c>
      <c r="D11916" s="450"/>
      <c r="E11916" s="450"/>
      <c r="F11916" s="450"/>
      <c r="G11916" s="450"/>
      <c r="H11916" s="450"/>
      <c r="I11916" s="450"/>
      <c r="J11916" s="450"/>
      <c r="K11916" s="450"/>
    </row>
    <row r="11917" spans="1:11">
      <c r="A11917" s="451" t="s">
        <v>29775</v>
      </c>
      <c r="B11917" s="451"/>
      <c r="C11917" s="451" t="s">
        <v>29776</v>
      </c>
      <c r="D11917" s="451"/>
      <c r="E11917" s="451"/>
      <c r="F11917" s="451"/>
      <c r="G11917" s="451" t="s">
        <v>23073</v>
      </c>
      <c r="H11917" s="451" t="s">
        <v>22878</v>
      </c>
      <c r="I11917" s="451" t="s">
        <v>32176</v>
      </c>
      <c r="J11917" s="451"/>
      <c r="K11917" s="451"/>
    </row>
    <row r="11918" spans="1:11">
      <c r="A11918" s="450" t="s">
        <v>29777</v>
      </c>
      <c r="B11918" s="450" t="s">
        <v>29778</v>
      </c>
      <c r="C11918" s="450" t="s">
        <v>17942</v>
      </c>
      <c r="D11918" s="450"/>
      <c r="E11918" s="450"/>
      <c r="F11918" s="450"/>
      <c r="G11918" s="450" t="s">
        <v>22877</v>
      </c>
      <c r="H11918" s="450" t="s">
        <v>22878</v>
      </c>
      <c r="I11918" s="450" t="s">
        <v>32177</v>
      </c>
      <c r="J11918" s="450" t="s">
        <v>32178</v>
      </c>
      <c r="K11918" s="450"/>
    </row>
    <row r="11919" spans="1:11">
      <c r="A11919" s="451" t="s">
        <v>18682</v>
      </c>
      <c r="B11919" s="451"/>
      <c r="C11919" s="451" t="s">
        <v>18683</v>
      </c>
      <c r="D11919" s="451"/>
      <c r="E11919" s="451"/>
      <c r="F11919" s="451"/>
      <c r="G11919" s="451" t="s">
        <v>22877</v>
      </c>
      <c r="H11919" s="451" t="s">
        <v>22878</v>
      </c>
      <c r="I11919" s="451" t="s">
        <v>32179</v>
      </c>
      <c r="J11919" s="451" t="s">
        <v>22997</v>
      </c>
      <c r="K11919" s="451"/>
    </row>
    <row r="11920" spans="1:11">
      <c r="A11920" s="450" t="s">
        <v>18684</v>
      </c>
      <c r="B11920" s="450"/>
      <c r="C11920" s="450" t="s">
        <v>6305</v>
      </c>
      <c r="D11920" s="450"/>
      <c r="E11920" s="450"/>
      <c r="F11920" s="450"/>
      <c r="G11920" s="450" t="s">
        <v>22882</v>
      </c>
      <c r="H11920" s="450" t="s">
        <v>22883</v>
      </c>
      <c r="I11920" s="450"/>
      <c r="J11920" s="450" t="s">
        <v>24146</v>
      </c>
      <c r="K11920" s="450"/>
    </row>
    <row r="11921" spans="1:11">
      <c r="A11921" s="451" t="s">
        <v>18685</v>
      </c>
      <c r="B11921" s="451" t="s">
        <v>18686</v>
      </c>
      <c r="C11921" s="451" t="s">
        <v>18687</v>
      </c>
      <c r="D11921" s="451" t="s">
        <v>18688</v>
      </c>
      <c r="E11921" s="451" t="s">
        <v>18689</v>
      </c>
      <c r="F11921" s="451"/>
      <c r="G11921" s="451"/>
      <c r="H11921" s="451"/>
      <c r="I11921" s="451"/>
      <c r="J11921" s="451"/>
      <c r="K11921" s="451"/>
    </row>
    <row r="11922" spans="1:11">
      <c r="A11922" s="450" t="s">
        <v>29779</v>
      </c>
      <c r="B11922" s="450" t="s">
        <v>18686</v>
      </c>
      <c r="C11922" s="450" t="s">
        <v>18687</v>
      </c>
      <c r="D11922" s="450" t="s">
        <v>18688</v>
      </c>
      <c r="E11922" s="450"/>
      <c r="F11922" s="450"/>
      <c r="G11922" s="450" t="s">
        <v>22877</v>
      </c>
      <c r="H11922" s="450" t="s">
        <v>22878</v>
      </c>
      <c r="I11922" s="450" t="s">
        <v>18688</v>
      </c>
      <c r="J11922" s="450" t="s">
        <v>32180</v>
      </c>
      <c r="K11922" s="450"/>
    </row>
    <row r="11923" spans="1:11">
      <c r="A11923" s="451" t="s">
        <v>39259</v>
      </c>
      <c r="B11923" s="451"/>
      <c r="C11923" s="451" t="s">
        <v>2228</v>
      </c>
      <c r="D11923" s="451"/>
      <c r="E11923" s="451"/>
      <c r="F11923" s="451"/>
      <c r="G11923" s="451" t="s">
        <v>22882</v>
      </c>
      <c r="H11923" s="451" t="s">
        <v>22883</v>
      </c>
      <c r="I11923" s="451"/>
      <c r="J11923" s="451" t="s">
        <v>23370</v>
      </c>
      <c r="K11923" s="451"/>
    </row>
    <row r="11924" spans="1:11">
      <c r="A11924" s="450" t="s">
        <v>18690</v>
      </c>
      <c r="B11924" s="450"/>
      <c r="C11924" s="450" t="s">
        <v>2228</v>
      </c>
      <c r="D11924" s="450"/>
      <c r="E11924" s="450"/>
      <c r="F11924" s="450"/>
      <c r="G11924" s="450"/>
      <c r="H11924" s="450"/>
      <c r="I11924" s="450"/>
      <c r="J11924" s="450"/>
      <c r="K11924" s="450"/>
    </row>
    <row r="11925" spans="1:11">
      <c r="A11925" s="451" t="s">
        <v>39260</v>
      </c>
      <c r="B11925" s="451"/>
      <c r="C11925" s="451" t="s">
        <v>18692</v>
      </c>
      <c r="D11925" s="451"/>
      <c r="E11925" s="451"/>
      <c r="F11925" s="451"/>
      <c r="G11925" s="451" t="s">
        <v>22877</v>
      </c>
      <c r="H11925" s="451" t="s">
        <v>22878</v>
      </c>
      <c r="I11925" s="451" t="s">
        <v>39261</v>
      </c>
      <c r="J11925" s="451" t="s">
        <v>28403</v>
      </c>
      <c r="K11925" s="451"/>
    </row>
    <row r="11926" spans="1:11">
      <c r="A11926" s="450" t="s">
        <v>18691</v>
      </c>
      <c r="B11926" s="450"/>
      <c r="C11926" s="450" t="s">
        <v>18692</v>
      </c>
      <c r="D11926" s="450"/>
      <c r="E11926" s="450"/>
      <c r="F11926" s="450"/>
      <c r="G11926" s="450"/>
      <c r="H11926" s="450"/>
      <c r="I11926" s="450"/>
      <c r="J11926" s="450"/>
      <c r="K11926" s="450"/>
    </row>
    <row r="11927" spans="1:11">
      <c r="A11927" s="451" t="s">
        <v>18693</v>
      </c>
      <c r="B11927" s="451"/>
      <c r="C11927" s="451" t="s">
        <v>18694</v>
      </c>
      <c r="D11927" s="451"/>
      <c r="E11927" s="451"/>
      <c r="F11927" s="451"/>
      <c r="G11927" s="451" t="s">
        <v>22882</v>
      </c>
      <c r="H11927" s="451" t="s">
        <v>22883</v>
      </c>
      <c r="I11927" s="451" t="s">
        <v>39262</v>
      </c>
      <c r="J11927" s="451" t="s">
        <v>22942</v>
      </c>
      <c r="K11927" s="451"/>
    </row>
    <row r="11928" spans="1:11">
      <c r="A11928" s="450" t="s">
        <v>39263</v>
      </c>
      <c r="B11928" s="450"/>
      <c r="C11928" s="450" t="s">
        <v>18696</v>
      </c>
      <c r="D11928" s="450"/>
      <c r="E11928" s="450"/>
      <c r="F11928" s="450"/>
      <c r="G11928" s="450" t="s">
        <v>22882</v>
      </c>
      <c r="H11928" s="450" t="s">
        <v>22883</v>
      </c>
      <c r="I11928" s="450" t="s">
        <v>39264</v>
      </c>
      <c r="J11928" s="450" t="s">
        <v>22942</v>
      </c>
      <c r="K11928" s="450"/>
    </row>
    <row r="11929" spans="1:11">
      <c r="A11929" s="451" t="s">
        <v>18695</v>
      </c>
      <c r="B11929" s="451"/>
      <c r="C11929" s="451" t="s">
        <v>18696</v>
      </c>
      <c r="D11929" s="451"/>
      <c r="E11929" s="451"/>
      <c r="F11929" s="451"/>
      <c r="G11929" s="451"/>
      <c r="H11929" s="451"/>
      <c r="I11929" s="451"/>
      <c r="J11929" s="451"/>
      <c r="K11929" s="451"/>
    </row>
    <row r="11930" spans="1:11">
      <c r="A11930" s="450" t="s">
        <v>18697</v>
      </c>
      <c r="B11930" s="450"/>
      <c r="C11930" s="450" t="s">
        <v>18698</v>
      </c>
      <c r="D11930" s="450"/>
      <c r="E11930" s="450"/>
      <c r="F11930" s="450"/>
      <c r="G11930" s="450"/>
      <c r="H11930" s="450"/>
      <c r="I11930" s="450"/>
      <c r="J11930" s="450"/>
      <c r="K11930" s="450"/>
    </row>
    <row r="11931" spans="1:11">
      <c r="A11931" s="451" t="s">
        <v>29780</v>
      </c>
      <c r="B11931" s="451"/>
      <c r="C11931" s="451" t="s">
        <v>18698</v>
      </c>
      <c r="D11931" s="451"/>
      <c r="E11931" s="451"/>
      <c r="F11931" s="451"/>
      <c r="G11931" s="451" t="s">
        <v>22882</v>
      </c>
      <c r="H11931" s="451" t="s">
        <v>22883</v>
      </c>
      <c r="I11931" s="451"/>
      <c r="J11931" s="451" t="s">
        <v>28871</v>
      </c>
      <c r="K11931" s="451"/>
    </row>
    <row r="11932" spans="1:11">
      <c r="A11932" s="450" t="s">
        <v>29781</v>
      </c>
      <c r="B11932" s="450" t="s">
        <v>29782</v>
      </c>
      <c r="C11932" s="450" t="s">
        <v>29783</v>
      </c>
      <c r="D11932" s="450"/>
      <c r="E11932" s="450"/>
      <c r="F11932" s="450"/>
      <c r="G11932" s="450" t="s">
        <v>22877</v>
      </c>
      <c r="H11932" s="450" t="s">
        <v>22878</v>
      </c>
      <c r="I11932" s="450" t="s">
        <v>32181</v>
      </c>
      <c r="J11932" s="450" t="s">
        <v>32182</v>
      </c>
      <c r="K11932" s="450"/>
    </row>
    <row r="11933" spans="1:11">
      <c r="A11933" s="451" t="s">
        <v>18699</v>
      </c>
      <c r="B11933" s="451"/>
      <c r="C11933" s="451" t="s">
        <v>18700</v>
      </c>
      <c r="D11933" s="451"/>
      <c r="E11933" s="451"/>
      <c r="F11933" s="451"/>
      <c r="G11933" s="451" t="s">
        <v>22877</v>
      </c>
      <c r="H11933" s="451" t="s">
        <v>22878</v>
      </c>
      <c r="I11933" s="451" t="s">
        <v>39265</v>
      </c>
      <c r="J11933" s="451" t="s">
        <v>23370</v>
      </c>
      <c r="K11933" s="451"/>
    </row>
    <row r="11934" spans="1:11">
      <c r="A11934" s="450" t="s">
        <v>18701</v>
      </c>
      <c r="B11934" s="450"/>
      <c r="C11934" s="450" t="s">
        <v>18702</v>
      </c>
      <c r="D11934" s="450"/>
      <c r="E11934" s="450"/>
      <c r="F11934" s="450"/>
      <c r="G11934" s="450" t="s">
        <v>22882</v>
      </c>
      <c r="H11934" s="450" t="s">
        <v>22883</v>
      </c>
      <c r="I11934" s="450" t="s">
        <v>39266</v>
      </c>
      <c r="J11934" s="450" t="s">
        <v>23370</v>
      </c>
      <c r="K11934" s="450"/>
    </row>
    <row r="11935" spans="1:11">
      <c r="A11935" s="451" t="s">
        <v>18703</v>
      </c>
      <c r="B11935" s="451"/>
      <c r="C11935" s="451" t="s">
        <v>18704</v>
      </c>
      <c r="D11935" s="451"/>
      <c r="E11935" s="451"/>
      <c r="F11935" s="451"/>
      <c r="G11935" s="451" t="s">
        <v>22877</v>
      </c>
      <c r="H11935" s="451" t="s">
        <v>22878</v>
      </c>
      <c r="I11935" s="451" t="s">
        <v>32183</v>
      </c>
      <c r="J11935" s="451" t="s">
        <v>23185</v>
      </c>
      <c r="K11935" s="451"/>
    </row>
    <row r="11936" spans="1:11">
      <c r="A11936" s="450" t="s">
        <v>29784</v>
      </c>
      <c r="B11936" s="450" t="s">
        <v>29785</v>
      </c>
      <c r="C11936" s="450" t="s">
        <v>4767</v>
      </c>
      <c r="D11936" s="450"/>
      <c r="E11936" s="450"/>
      <c r="F11936" s="450"/>
      <c r="G11936" s="450" t="s">
        <v>22877</v>
      </c>
      <c r="H11936" s="450" t="s">
        <v>22878</v>
      </c>
      <c r="I11936" s="450" t="s">
        <v>32184</v>
      </c>
      <c r="J11936" s="450" t="s">
        <v>32185</v>
      </c>
      <c r="K11936" s="450"/>
    </row>
    <row r="11937" spans="1:11">
      <c r="A11937" s="451" t="s">
        <v>18705</v>
      </c>
      <c r="B11937" s="451" t="s">
        <v>18706</v>
      </c>
      <c r="C11937" s="451" t="s">
        <v>4767</v>
      </c>
      <c r="D11937" s="451"/>
      <c r="E11937" s="451"/>
      <c r="F11937" s="451"/>
      <c r="G11937" s="451"/>
      <c r="H11937" s="451"/>
      <c r="I11937" s="451"/>
      <c r="J11937" s="451"/>
      <c r="K11937" s="451"/>
    </row>
    <row r="11938" spans="1:11">
      <c r="A11938" s="450" t="s">
        <v>22025</v>
      </c>
      <c r="B11938" s="450"/>
      <c r="C11938" s="450" t="s">
        <v>18707</v>
      </c>
      <c r="D11938" s="450"/>
      <c r="E11938" s="450"/>
      <c r="F11938" s="450"/>
      <c r="G11938" s="450" t="s">
        <v>22882</v>
      </c>
      <c r="H11938" s="450" t="s">
        <v>22883</v>
      </c>
      <c r="I11938" s="450" t="s">
        <v>39267</v>
      </c>
      <c r="J11938" s="450" t="s">
        <v>23185</v>
      </c>
      <c r="K11938" s="450"/>
    </row>
    <row r="11939" spans="1:11">
      <c r="A11939" s="451" t="s">
        <v>18708</v>
      </c>
      <c r="B11939" s="451"/>
      <c r="C11939" s="451" t="s">
        <v>6486</v>
      </c>
      <c r="D11939" s="451"/>
      <c r="E11939" s="451"/>
      <c r="F11939" s="451"/>
      <c r="G11939" s="451" t="s">
        <v>22877</v>
      </c>
      <c r="H11939" s="451" t="s">
        <v>22878</v>
      </c>
      <c r="I11939" s="451" t="s">
        <v>39268</v>
      </c>
      <c r="J11939" s="451" t="s">
        <v>23185</v>
      </c>
      <c r="K11939" s="451"/>
    </row>
    <row r="11940" spans="1:11">
      <c r="A11940" s="450" t="s">
        <v>18709</v>
      </c>
      <c r="B11940" s="450"/>
      <c r="C11940" s="450" t="s">
        <v>18710</v>
      </c>
      <c r="D11940" s="450"/>
      <c r="E11940" s="450"/>
      <c r="F11940" s="450"/>
      <c r="G11940" s="450" t="s">
        <v>22877</v>
      </c>
      <c r="H11940" s="450" t="s">
        <v>22878</v>
      </c>
      <c r="I11940" s="450" t="s">
        <v>39269</v>
      </c>
      <c r="J11940" s="450" t="s">
        <v>23185</v>
      </c>
      <c r="K11940" s="450"/>
    </row>
    <row r="11941" spans="1:11">
      <c r="A11941" s="451" t="s">
        <v>18711</v>
      </c>
      <c r="B11941" s="451"/>
      <c r="C11941" s="451" t="s">
        <v>18712</v>
      </c>
      <c r="D11941" s="451"/>
      <c r="E11941" s="451"/>
      <c r="F11941" s="451"/>
      <c r="G11941" s="451" t="s">
        <v>22877</v>
      </c>
      <c r="H11941" s="451" t="s">
        <v>22878</v>
      </c>
      <c r="I11941" s="451" t="s">
        <v>39270</v>
      </c>
      <c r="J11941" s="451" t="s">
        <v>22939</v>
      </c>
      <c r="K11941" s="451"/>
    </row>
    <row r="11942" spans="1:11">
      <c r="A11942" s="450" t="s">
        <v>18713</v>
      </c>
      <c r="B11942" s="450"/>
      <c r="C11942" s="450" t="s">
        <v>18714</v>
      </c>
      <c r="D11942" s="450"/>
      <c r="E11942" s="450"/>
      <c r="F11942" s="450"/>
      <c r="G11942" s="450" t="s">
        <v>22882</v>
      </c>
      <c r="H11942" s="450" t="s">
        <v>22883</v>
      </c>
      <c r="I11942" s="450" t="s">
        <v>32186</v>
      </c>
      <c r="J11942" s="450" t="s">
        <v>23185</v>
      </c>
      <c r="K11942" s="450"/>
    </row>
    <row r="11943" spans="1:11">
      <c r="A11943" s="451" t="s">
        <v>18715</v>
      </c>
      <c r="B11943" s="451" t="s">
        <v>18716</v>
      </c>
      <c r="C11943" s="451" t="s">
        <v>18717</v>
      </c>
      <c r="D11943" s="451" t="s">
        <v>18718</v>
      </c>
      <c r="E11943" s="451" t="s">
        <v>18719</v>
      </c>
      <c r="F11943" s="451"/>
      <c r="G11943" s="451"/>
      <c r="H11943" s="451"/>
      <c r="I11943" s="451"/>
      <c r="J11943" s="451"/>
      <c r="K11943" s="451"/>
    </row>
    <row r="11944" spans="1:11">
      <c r="A11944" s="450" t="s">
        <v>32187</v>
      </c>
      <c r="B11944" s="450" t="s">
        <v>18716</v>
      </c>
      <c r="C11944" s="450" t="s">
        <v>18717</v>
      </c>
      <c r="D11944" s="450" t="s">
        <v>18718</v>
      </c>
      <c r="E11944" s="450"/>
      <c r="F11944" s="450"/>
      <c r="G11944" s="450" t="s">
        <v>22882</v>
      </c>
      <c r="H11944" s="450" t="s">
        <v>22883</v>
      </c>
      <c r="I11944" s="450" t="s">
        <v>18718</v>
      </c>
      <c r="J11944" s="450" t="s">
        <v>32188</v>
      </c>
      <c r="K11944" s="450"/>
    </row>
    <row r="11945" spans="1:11">
      <c r="A11945" s="451" t="s">
        <v>39271</v>
      </c>
      <c r="B11945" s="451"/>
      <c r="C11945" s="451" t="s">
        <v>4329</v>
      </c>
      <c r="D11945" s="451"/>
      <c r="E11945" s="451"/>
      <c r="F11945" s="451"/>
      <c r="G11945" s="451" t="s">
        <v>22877</v>
      </c>
      <c r="H11945" s="451" t="s">
        <v>22878</v>
      </c>
      <c r="I11945" s="451" t="s">
        <v>39272</v>
      </c>
      <c r="J11945" s="451" t="s">
        <v>22997</v>
      </c>
      <c r="K11945" s="451"/>
    </row>
    <row r="11946" spans="1:11">
      <c r="A11946" s="450" t="s">
        <v>18720</v>
      </c>
      <c r="B11946" s="450"/>
      <c r="C11946" s="450" t="s">
        <v>4329</v>
      </c>
      <c r="D11946" s="450"/>
      <c r="E11946" s="450"/>
      <c r="F11946" s="450"/>
      <c r="G11946" s="450"/>
      <c r="H11946" s="450"/>
      <c r="I11946" s="450"/>
      <c r="J11946" s="450"/>
      <c r="K11946" s="450"/>
    </row>
    <row r="11947" spans="1:11">
      <c r="A11947" s="451" t="s">
        <v>39273</v>
      </c>
      <c r="B11947" s="451"/>
      <c r="C11947" s="451" t="s">
        <v>16593</v>
      </c>
      <c r="D11947" s="451"/>
      <c r="E11947" s="451"/>
      <c r="F11947" s="451"/>
      <c r="G11947" s="451" t="s">
        <v>22882</v>
      </c>
      <c r="H11947" s="451" t="s">
        <v>22883</v>
      </c>
      <c r="I11947" s="451" t="s">
        <v>39274</v>
      </c>
      <c r="J11947" s="451" t="s">
        <v>22942</v>
      </c>
      <c r="K11947" s="451"/>
    </row>
    <row r="11948" spans="1:11">
      <c r="A11948" s="450" t="s">
        <v>18721</v>
      </c>
      <c r="B11948" s="450"/>
      <c r="C11948" s="450" t="s">
        <v>16593</v>
      </c>
      <c r="D11948" s="450"/>
      <c r="E11948" s="450"/>
      <c r="F11948" s="450"/>
      <c r="G11948" s="450"/>
      <c r="H11948" s="450"/>
      <c r="I11948" s="450"/>
      <c r="J11948" s="450"/>
      <c r="K11948" s="450"/>
    </row>
    <row r="11949" spans="1:11">
      <c r="A11949" s="451" t="s">
        <v>18722</v>
      </c>
      <c r="B11949" s="451"/>
      <c r="C11949" s="451" t="s">
        <v>17849</v>
      </c>
      <c r="D11949" s="451"/>
      <c r="E11949" s="451"/>
      <c r="F11949" s="451"/>
      <c r="G11949" s="451"/>
      <c r="H11949" s="451"/>
      <c r="I11949" s="451"/>
      <c r="J11949" s="451"/>
      <c r="K11949" s="451"/>
    </row>
    <row r="11950" spans="1:11">
      <c r="A11950" s="450" t="s">
        <v>29786</v>
      </c>
      <c r="B11950" s="450"/>
      <c r="C11950" s="450" t="s">
        <v>17849</v>
      </c>
      <c r="D11950" s="450"/>
      <c r="E11950" s="450"/>
      <c r="F11950" s="450"/>
      <c r="G11950" s="450" t="s">
        <v>22877</v>
      </c>
      <c r="H11950" s="450" t="s">
        <v>22878</v>
      </c>
      <c r="I11950" s="450" t="s">
        <v>32189</v>
      </c>
      <c r="J11950" s="450" t="s">
        <v>28871</v>
      </c>
      <c r="K11950" s="450"/>
    </row>
    <row r="11951" spans="1:11">
      <c r="A11951" s="451" t="s">
        <v>18723</v>
      </c>
      <c r="B11951" s="451" t="s">
        <v>18724</v>
      </c>
      <c r="C11951" s="451" t="s">
        <v>18725</v>
      </c>
      <c r="D11951" s="451" t="s">
        <v>18726</v>
      </c>
      <c r="E11951" s="451"/>
      <c r="F11951" s="451"/>
      <c r="G11951" s="451" t="s">
        <v>22877</v>
      </c>
      <c r="H11951" s="451" t="s">
        <v>22878</v>
      </c>
      <c r="I11951" s="451" t="s">
        <v>18726</v>
      </c>
      <c r="J11951" s="451" t="s">
        <v>39275</v>
      </c>
      <c r="K11951" s="451"/>
    </row>
    <row r="11952" spans="1:11">
      <c r="A11952" s="450" t="s">
        <v>18723</v>
      </c>
      <c r="B11952" s="450" t="s">
        <v>18724</v>
      </c>
      <c r="C11952" s="450" t="s">
        <v>18725</v>
      </c>
      <c r="D11952" s="450" t="s">
        <v>18726</v>
      </c>
      <c r="E11952" s="450" t="s">
        <v>18727</v>
      </c>
      <c r="F11952" s="450"/>
      <c r="G11952" s="450"/>
      <c r="H11952" s="450"/>
      <c r="I11952" s="450"/>
      <c r="J11952" s="450"/>
      <c r="K11952" s="450"/>
    </row>
    <row r="11953" spans="1:11">
      <c r="A11953" s="451" t="s">
        <v>18728</v>
      </c>
      <c r="B11953" s="451"/>
      <c r="C11953" s="451" t="s">
        <v>18729</v>
      </c>
      <c r="D11953" s="451"/>
      <c r="E11953" s="451"/>
      <c r="F11953" s="451"/>
      <c r="G11953" s="451" t="s">
        <v>22877</v>
      </c>
      <c r="H11953" s="451" t="s">
        <v>22878</v>
      </c>
      <c r="I11953" s="451" t="s">
        <v>32190</v>
      </c>
      <c r="J11953" s="451" t="s">
        <v>22942</v>
      </c>
      <c r="K11953" s="451"/>
    </row>
    <row r="11954" spans="1:11">
      <c r="A11954" s="450" t="s">
        <v>18730</v>
      </c>
      <c r="B11954" s="450" t="s">
        <v>18731</v>
      </c>
      <c r="C11954" s="450" t="s">
        <v>3127</v>
      </c>
      <c r="D11954" s="450" t="s">
        <v>18732</v>
      </c>
      <c r="E11954" s="450"/>
      <c r="F11954" s="450"/>
      <c r="G11954" s="450" t="s">
        <v>22882</v>
      </c>
      <c r="H11954" s="450" t="s">
        <v>22883</v>
      </c>
      <c r="I11954" s="450" t="s">
        <v>18732</v>
      </c>
      <c r="J11954" s="450" t="s">
        <v>32191</v>
      </c>
      <c r="K11954" s="450"/>
    </row>
    <row r="11955" spans="1:11">
      <c r="A11955" s="451" t="s">
        <v>18733</v>
      </c>
      <c r="B11955" s="451" t="s">
        <v>18734</v>
      </c>
      <c r="C11955" s="451" t="s">
        <v>18735</v>
      </c>
      <c r="D11955" s="451" t="s">
        <v>18736</v>
      </c>
      <c r="E11955" s="451"/>
      <c r="F11955" s="451"/>
      <c r="G11955" s="451" t="s">
        <v>22882</v>
      </c>
      <c r="H11955" s="451" t="s">
        <v>22883</v>
      </c>
      <c r="I11955" s="451" t="s">
        <v>18736</v>
      </c>
      <c r="J11955" s="451" t="s">
        <v>32192</v>
      </c>
      <c r="K11955" s="451"/>
    </row>
    <row r="11956" spans="1:11">
      <c r="A11956" s="450" t="s">
        <v>18737</v>
      </c>
      <c r="B11956" s="450" t="s">
        <v>18738</v>
      </c>
      <c r="C11956" s="450" t="s">
        <v>6153</v>
      </c>
      <c r="D11956" s="450" t="s">
        <v>18739</v>
      </c>
      <c r="E11956" s="450"/>
      <c r="F11956" s="450"/>
      <c r="G11956" s="450" t="s">
        <v>22882</v>
      </c>
      <c r="H11956" s="450" t="s">
        <v>22883</v>
      </c>
      <c r="I11956" s="450" t="s">
        <v>18739</v>
      </c>
      <c r="J11956" s="450" t="s">
        <v>32193</v>
      </c>
      <c r="K11956" s="450"/>
    </row>
    <row r="11957" spans="1:11">
      <c r="A11957" s="451" t="s">
        <v>18740</v>
      </c>
      <c r="B11957" s="451" t="s">
        <v>18741</v>
      </c>
      <c r="C11957" s="451" t="s">
        <v>18742</v>
      </c>
      <c r="D11957" s="451" t="s">
        <v>18743</v>
      </c>
      <c r="E11957" s="451"/>
      <c r="F11957" s="451"/>
      <c r="G11957" s="451" t="s">
        <v>22882</v>
      </c>
      <c r="H11957" s="451" t="s">
        <v>22883</v>
      </c>
      <c r="I11957" s="451" t="s">
        <v>18743</v>
      </c>
      <c r="J11957" s="451" t="s">
        <v>32194</v>
      </c>
      <c r="K11957" s="451"/>
    </row>
    <row r="11958" spans="1:11">
      <c r="A11958" s="450" t="s">
        <v>18744</v>
      </c>
      <c r="B11958" s="450" t="s">
        <v>18745</v>
      </c>
      <c r="C11958" s="450" t="s">
        <v>18746</v>
      </c>
      <c r="D11958" s="450" t="s">
        <v>18747</v>
      </c>
      <c r="E11958" s="450"/>
      <c r="F11958" s="450"/>
      <c r="G11958" s="450" t="s">
        <v>22882</v>
      </c>
      <c r="H11958" s="450" t="s">
        <v>22883</v>
      </c>
      <c r="I11958" s="450" t="s">
        <v>18747</v>
      </c>
      <c r="J11958" s="450" t="s">
        <v>32195</v>
      </c>
      <c r="K11958" s="450"/>
    </row>
    <row r="11959" spans="1:11">
      <c r="A11959" s="451" t="s">
        <v>18748</v>
      </c>
      <c r="B11959" s="451"/>
      <c r="C11959" s="451" t="s">
        <v>18749</v>
      </c>
      <c r="D11959" s="451"/>
      <c r="E11959" s="451"/>
      <c r="F11959" s="451"/>
      <c r="G11959" s="451" t="s">
        <v>22877</v>
      </c>
      <c r="H11959" s="451" t="s">
        <v>22878</v>
      </c>
      <c r="I11959" s="451" t="s">
        <v>39276</v>
      </c>
      <c r="J11959" s="451" t="s">
        <v>28403</v>
      </c>
      <c r="K11959" s="451"/>
    </row>
    <row r="11960" spans="1:11">
      <c r="A11960" s="450" t="s">
        <v>39277</v>
      </c>
      <c r="B11960" s="450"/>
      <c r="C11960" s="450" t="s">
        <v>18751</v>
      </c>
      <c r="D11960" s="450"/>
      <c r="E11960" s="450"/>
      <c r="F11960" s="450"/>
      <c r="G11960" s="450" t="s">
        <v>22877</v>
      </c>
      <c r="H11960" s="450" t="s">
        <v>22878</v>
      </c>
      <c r="I11960" s="450" t="s">
        <v>39278</v>
      </c>
      <c r="J11960" s="450" t="s">
        <v>23185</v>
      </c>
      <c r="K11960" s="450"/>
    </row>
    <row r="11961" spans="1:11">
      <c r="A11961" s="451" t="s">
        <v>18750</v>
      </c>
      <c r="B11961" s="451"/>
      <c r="C11961" s="451" t="s">
        <v>18751</v>
      </c>
      <c r="D11961" s="451"/>
      <c r="E11961" s="451"/>
      <c r="F11961" s="451"/>
      <c r="G11961" s="451"/>
      <c r="H11961" s="451"/>
      <c r="I11961" s="451"/>
      <c r="J11961" s="451"/>
      <c r="K11961" s="451"/>
    </row>
    <row r="11962" spans="1:11">
      <c r="A11962" s="450" t="s">
        <v>18752</v>
      </c>
      <c r="B11962" s="450"/>
      <c r="C11962" s="450" t="s">
        <v>18753</v>
      </c>
      <c r="D11962" s="450"/>
      <c r="E11962" s="450"/>
      <c r="F11962" s="450"/>
      <c r="G11962" s="450" t="s">
        <v>22877</v>
      </c>
      <c r="H11962" s="450" t="s">
        <v>22878</v>
      </c>
      <c r="I11962" s="450" t="s">
        <v>39279</v>
      </c>
      <c r="J11962" s="450" t="s">
        <v>28403</v>
      </c>
      <c r="K11962" s="450"/>
    </row>
    <row r="11963" spans="1:11">
      <c r="A11963" s="451" t="s">
        <v>39280</v>
      </c>
      <c r="B11963" s="451"/>
      <c r="C11963" s="451" t="s">
        <v>18565</v>
      </c>
      <c r="D11963" s="451"/>
      <c r="E11963" s="451"/>
      <c r="F11963" s="451"/>
      <c r="G11963" s="451" t="s">
        <v>22882</v>
      </c>
      <c r="H11963" s="451" t="s">
        <v>22883</v>
      </c>
      <c r="I11963" s="451" t="s">
        <v>39281</v>
      </c>
      <c r="J11963" s="451" t="s">
        <v>23370</v>
      </c>
      <c r="K11963" s="451"/>
    </row>
    <row r="11964" spans="1:11">
      <c r="A11964" s="450" t="s">
        <v>18754</v>
      </c>
      <c r="B11964" s="450"/>
      <c r="C11964" s="450" t="s">
        <v>18565</v>
      </c>
      <c r="D11964" s="450"/>
      <c r="E11964" s="450"/>
      <c r="F11964" s="450"/>
      <c r="G11964" s="450"/>
      <c r="H11964" s="450"/>
      <c r="I11964" s="450"/>
      <c r="J11964" s="450"/>
      <c r="K11964" s="450"/>
    </row>
    <row r="11965" spans="1:11">
      <c r="A11965" s="451" t="s">
        <v>39282</v>
      </c>
      <c r="B11965" s="451"/>
      <c r="C11965" s="451" t="s">
        <v>18756</v>
      </c>
      <c r="D11965" s="451"/>
      <c r="E11965" s="451"/>
      <c r="F11965" s="451"/>
      <c r="G11965" s="451" t="s">
        <v>22882</v>
      </c>
      <c r="H11965" s="451" t="s">
        <v>22883</v>
      </c>
      <c r="I11965" s="451" t="s">
        <v>39283</v>
      </c>
      <c r="J11965" s="451" t="s">
        <v>22997</v>
      </c>
      <c r="K11965" s="451"/>
    </row>
    <row r="11966" spans="1:11">
      <c r="A11966" s="450" t="s">
        <v>18755</v>
      </c>
      <c r="B11966" s="450"/>
      <c r="C11966" s="450" t="s">
        <v>18756</v>
      </c>
      <c r="D11966" s="450"/>
      <c r="E11966" s="450"/>
      <c r="F11966" s="450"/>
      <c r="G11966" s="450"/>
      <c r="H11966" s="450"/>
      <c r="I11966" s="450"/>
      <c r="J11966" s="450"/>
      <c r="K11966" s="450"/>
    </row>
    <row r="11967" spans="1:11">
      <c r="A11967" s="451" t="s">
        <v>39284</v>
      </c>
      <c r="B11967" s="451" t="s">
        <v>18758</v>
      </c>
      <c r="C11967" s="451" t="s">
        <v>18759</v>
      </c>
      <c r="D11967" s="451" t="s">
        <v>18760</v>
      </c>
      <c r="E11967" s="451"/>
      <c r="F11967" s="451"/>
      <c r="G11967" s="451" t="s">
        <v>22882</v>
      </c>
      <c r="H11967" s="451" t="s">
        <v>22883</v>
      </c>
      <c r="I11967" s="451" t="s">
        <v>18760</v>
      </c>
      <c r="J11967" s="451" t="s">
        <v>39285</v>
      </c>
      <c r="K11967" s="451"/>
    </row>
    <row r="11968" spans="1:11">
      <c r="A11968" s="450" t="s">
        <v>18757</v>
      </c>
      <c r="B11968" s="450" t="s">
        <v>18758</v>
      </c>
      <c r="C11968" s="450" t="s">
        <v>18759</v>
      </c>
      <c r="D11968" s="450" t="s">
        <v>18760</v>
      </c>
      <c r="E11968" s="450"/>
      <c r="F11968" s="450"/>
      <c r="G11968" s="450"/>
      <c r="H11968" s="450"/>
      <c r="I11968" s="450"/>
      <c r="J11968" s="450"/>
      <c r="K11968" s="450"/>
    </row>
    <row r="11969" spans="1:11">
      <c r="A11969" s="451" t="s">
        <v>18761</v>
      </c>
      <c r="B11969" s="451"/>
      <c r="C11969" s="451" t="s">
        <v>7719</v>
      </c>
      <c r="D11969" s="451"/>
      <c r="E11969" s="451"/>
      <c r="F11969" s="451"/>
      <c r="G11969" s="451" t="s">
        <v>22877</v>
      </c>
      <c r="H11969" s="451" t="s">
        <v>22878</v>
      </c>
      <c r="I11969" s="451" t="s">
        <v>39286</v>
      </c>
      <c r="J11969" s="451" t="s">
        <v>28403</v>
      </c>
      <c r="K11969" s="451"/>
    </row>
    <row r="11970" spans="1:11">
      <c r="A11970" s="450" t="s">
        <v>39287</v>
      </c>
      <c r="B11970" s="450"/>
      <c r="C11970" s="450" t="s">
        <v>5037</v>
      </c>
      <c r="D11970" s="450"/>
      <c r="E11970" s="450"/>
      <c r="F11970" s="450"/>
      <c r="G11970" s="450" t="s">
        <v>22877</v>
      </c>
      <c r="H11970" s="450" t="s">
        <v>22878</v>
      </c>
      <c r="I11970" s="450" t="s">
        <v>39288</v>
      </c>
      <c r="J11970" s="450" t="s">
        <v>23370</v>
      </c>
      <c r="K11970" s="450"/>
    </row>
    <row r="11971" spans="1:11">
      <c r="A11971" s="451" t="s">
        <v>18762</v>
      </c>
      <c r="B11971" s="451"/>
      <c r="C11971" s="451" t="s">
        <v>5037</v>
      </c>
      <c r="D11971" s="451"/>
      <c r="E11971" s="451"/>
      <c r="F11971" s="451"/>
      <c r="G11971" s="451"/>
      <c r="H11971" s="451"/>
      <c r="I11971" s="451"/>
      <c r="J11971" s="451"/>
      <c r="K11971" s="451"/>
    </row>
    <row r="11972" spans="1:11">
      <c r="A11972" s="450" t="s">
        <v>18763</v>
      </c>
      <c r="B11972" s="450" t="s">
        <v>18764</v>
      </c>
      <c r="C11972" s="450" t="s">
        <v>18765</v>
      </c>
      <c r="D11972" s="450"/>
      <c r="E11972" s="450"/>
      <c r="F11972" s="450"/>
      <c r="G11972" s="450" t="s">
        <v>22877</v>
      </c>
      <c r="H11972" s="450" t="s">
        <v>22878</v>
      </c>
      <c r="I11972" s="450" t="s">
        <v>32196</v>
      </c>
      <c r="J11972" s="450" t="s">
        <v>32197</v>
      </c>
      <c r="K11972" s="450"/>
    </row>
    <row r="11973" spans="1:11">
      <c r="A11973" s="451" t="s">
        <v>39289</v>
      </c>
      <c r="B11973" s="451"/>
      <c r="C11973" s="451" t="s">
        <v>18767</v>
      </c>
      <c r="D11973" s="451"/>
      <c r="E11973" s="451"/>
      <c r="F11973" s="451"/>
      <c r="G11973" s="451" t="s">
        <v>22882</v>
      </c>
      <c r="H11973" s="451" t="s">
        <v>22883</v>
      </c>
      <c r="I11973" s="451" t="s">
        <v>39290</v>
      </c>
      <c r="J11973" s="451" t="s">
        <v>23370</v>
      </c>
      <c r="K11973" s="451"/>
    </row>
    <row r="11974" spans="1:11">
      <c r="A11974" s="450" t="s">
        <v>18766</v>
      </c>
      <c r="B11974" s="450"/>
      <c r="C11974" s="450" t="s">
        <v>18767</v>
      </c>
      <c r="D11974" s="450"/>
      <c r="E11974" s="450"/>
      <c r="F11974" s="450"/>
      <c r="G11974" s="450"/>
      <c r="H11974" s="450"/>
      <c r="I11974" s="450"/>
      <c r="J11974" s="450"/>
      <c r="K11974" s="450"/>
    </row>
    <row r="11975" spans="1:11">
      <c r="A11975" s="451" t="s">
        <v>18768</v>
      </c>
      <c r="B11975" s="451"/>
      <c r="C11975" s="451" t="s">
        <v>18769</v>
      </c>
      <c r="D11975" s="451"/>
      <c r="E11975" s="451"/>
      <c r="F11975" s="451"/>
      <c r="G11975" s="451" t="s">
        <v>22877</v>
      </c>
      <c r="H11975" s="451" t="s">
        <v>22878</v>
      </c>
      <c r="I11975" s="451" t="s">
        <v>32198</v>
      </c>
      <c r="J11975" s="451" t="s">
        <v>22997</v>
      </c>
      <c r="K11975" s="451"/>
    </row>
    <row r="11976" spans="1:11">
      <c r="A11976" s="450" t="s">
        <v>18770</v>
      </c>
      <c r="B11976" s="450" t="s">
        <v>18771</v>
      </c>
      <c r="C11976" s="450" t="s">
        <v>6474</v>
      </c>
      <c r="D11976" s="450" t="s">
        <v>18772</v>
      </c>
      <c r="E11976" s="450"/>
      <c r="F11976" s="450"/>
      <c r="G11976" s="450" t="s">
        <v>22882</v>
      </c>
      <c r="H11976" s="450" t="s">
        <v>22883</v>
      </c>
      <c r="I11976" s="450" t="s">
        <v>18772</v>
      </c>
      <c r="J11976" s="450" t="s">
        <v>32199</v>
      </c>
      <c r="K11976" s="450"/>
    </row>
    <row r="11977" spans="1:11">
      <c r="A11977" s="451" t="s">
        <v>18770</v>
      </c>
      <c r="B11977" s="451" t="s">
        <v>18771</v>
      </c>
      <c r="C11977" s="451" t="s">
        <v>6474</v>
      </c>
      <c r="D11977" s="451" t="s">
        <v>18772</v>
      </c>
      <c r="E11977" s="451" t="s">
        <v>18773</v>
      </c>
      <c r="F11977" s="451"/>
      <c r="G11977" s="451"/>
      <c r="H11977" s="451"/>
      <c r="I11977" s="451"/>
      <c r="J11977" s="451"/>
      <c r="K11977" s="451"/>
    </row>
    <row r="11978" spans="1:11">
      <c r="A11978" s="450" t="s">
        <v>18774</v>
      </c>
      <c r="B11978" s="450"/>
      <c r="C11978" s="450" t="s">
        <v>6582</v>
      </c>
      <c r="D11978" s="450"/>
      <c r="E11978" s="450"/>
      <c r="F11978" s="450"/>
      <c r="G11978" s="450"/>
      <c r="H11978" s="450"/>
      <c r="I11978" s="450"/>
      <c r="J11978" s="450"/>
      <c r="K11978" s="450"/>
    </row>
    <row r="11979" spans="1:11">
      <c r="A11979" s="451" t="s">
        <v>39291</v>
      </c>
      <c r="B11979" s="451"/>
      <c r="C11979" s="451" t="s">
        <v>6582</v>
      </c>
      <c r="D11979" s="451"/>
      <c r="E11979" s="451"/>
      <c r="F11979" s="451"/>
      <c r="G11979" s="451" t="s">
        <v>22877</v>
      </c>
      <c r="H11979" s="451" t="s">
        <v>22878</v>
      </c>
      <c r="I11979" s="451" t="s">
        <v>39292</v>
      </c>
      <c r="J11979" s="451" t="s">
        <v>23185</v>
      </c>
      <c r="K11979" s="451"/>
    </row>
    <row r="11980" spans="1:11">
      <c r="A11980" s="450" t="s">
        <v>39293</v>
      </c>
      <c r="B11980" s="450"/>
      <c r="C11980" s="450" t="s">
        <v>18776</v>
      </c>
      <c r="D11980" s="450"/>
      <c r="E11980" s="450"/>
      <c r="F11980" s="450"/>
      <c r="G11980" s="450" t="s">
        <v>22882</v>
      </c>
      <c r="H11980" s="450" t="s">
        <v>22883</v>
      </c>
      <c r="I11980" s="450" t="s">
        <v>39294</v>
      </c>
      <c r="J11980" s="450" t="s">
        <v>22997</v>
      </c>
      <c r="K11980" s="450"/>
    </row>
    <row r="11981" spans="1:11">
      <c r="A11981" s="451" t="s">
        <v>18775</v>
      </c>
      <c r="B11981" s="451"/>
      <c r="C11981" s="451" t="s">
        <v>18776</v>
      </c>
      <c r="D11981" s="451"/>
      <c r="E11981" s="451"/>
      <c r="F11981" s="451"/>
      <c r="G11981" s="451"/>
      <c r="H11981" s="451"/>
      <c r="I11981" s="451"/>
      <c r="J11981" s="451"/>
      <c r="K11981" s="451"/>
    </row>
    <row r="11982" spans="1:11">
      <c r="A11982" s="450" t="s">
        <v>29787</v>
      </c>
      <c r="B11982" s="450" t="s">
        <v>29788</v>
      </c>
      <c r="C11982" s="450" t="s">
        <v>29789</v>
      </c>
      <c r="D11982" s="450"/>
      <c r="E11982" s="450"/>
      <c r="F11982" s="450"/>
      <c r="G11982" s="450" t="s">
        <v>22877</v>
      </c>
      <c r="H11982" s="450" t="s">
        <v>22878</v>
      </c>
      <c r="I11982" s="450" t="s">
        <v>32200</v>
      </c>
      <c r="J11982" s="450" t="s">
        <v>32201</v>
      </c>
      <c r="K11982" s="450"/>
    </row>
    <row r="11983" spans="1:11">
      <c r="A11983" s="451" t="s">
        <v>18777</v>
      </c>
      <c r="B11983" s="451"/>
      <c r="C11983" s="451" t="s">
        <v>18778</v>
      </c>
      <c r="D11983" s="451"/>
      <c r="E11983" s="451"/>
      <c r="F11983" s="451"/>
      <c r="G11983" s="451" t="s">
        <v>22877</v>
      </c>
      <c r="H11983" s="451" t="s">
        <v>22878</v>
      </c>
      <c r="I11983" s="451" t="s">
        <v>39295</v>
      </c>
      <c r="J11983" s="451" t="s">
        <v>23185</v>
      </c>
      <c r="K11983" s="451"/>
    </row>
    <row r="11984" spans="1:11">
      <c r="A11984" s="450" t="s">
        <v>18779</v>
      </c>
      <c r="B11984" s="450"/>
      <c r="C11984" s="450" t="s">
        <v>18780</v>
      </c>
      <c r="D11984" s="450"/>
      <c r="E11984" s="450"/>
      <c r="F11984" s="450"/>
      <c r="G11984" s="450"/>
      <c r="H11984" s="450"/>
      <c r="I11984" s="450"/>
      <c r="J11984" s="450"/>
      <c r="K11984" s="450"/>
    </row>
    <row r="11985" spans="1:11">
      <c r="A11985" s="451" t="s">
        <v>29790</v>
      </c>
      <c r="B11985" s="451"/>
      <c r="C11985" s="451" t="s">
        <v>29791</v>
      </c>
      <c r="D11985" s="451"/>
      <c r="E11985" s="451"/>
      <c r="F11985" s="451"/>
      <c r="G11985" s="451" t="s">
        <v>22877</v>
      </c>
      <c r="H11985" s="451" t="s">
        <v>22878</v>
      </c>
      <c r="I11985" s="451" t="s">
        <v>32202</v>
      </c>
      <c r="J11985" s="451" t="s">
        <v>22997</v>
      </c>
      <c r="K11985" s="451"/>
    </row>
    <row r="11986" spans="1:11">
      <c r="A11986" s="450" t="s">
        <v>39296</v>
      </c>
      <c r="B11986" s="450" t="s">
        <v>18782</v>
      </c>
      <c r="C11986" s="450" t="s">
        <v>18783</v>
      </c>
      <c r="D11986" s="450"/>
      <c r="E11986" s="450"/>
      <c r="F11986" s="450" t="s">
        <v>21395</v>
      </c>
      <c r="G11986" s="450" t="s">
        <v>22877</v>
      </c>
      <c r="H11986" s="450" t="s">
        <v>22878</v>
      </c>
      <c r="I11986" s="450" t="s">
        <v>39297</v>
      </c>
      <c r="J11986" s="450" t="s">
        <v>39298</v>
      </c>
      <c r="K11986" s="450"/>
    </row>
    <row r="11987" spans="1:11">
      <c r="A11987" s="451" t="s">
        <v>18781</v>
      </c>
      <c r="B11987" s="451" t="s">
        <v>18782</v>
      </c>
      <c r="C11987" s="451" t="s">
        <v>18783</v>
      </c>
      <c r="D11987" s="451"/>
      <c r="E11987" s="451"/>
      <c r="F11987" s="451" t="s">
        <v>21395</v>
      </c>
      <c r="G11987" s="451"/>
      <c r="H11987" s="451"/>
      <c r="I11987" s="451"/>
      <c r="J11987" s="451"/>
      <c r="K11987" s="451"/>
    </row>
    <row r="11988" spans="1:11">
      <c r="A11988" s="450" t="s">
        <v>39299</v>
      </c>
      <c r="B11988" s="450"/>
      <c r="C11988" s="450" t="s">
        <v>18785</v>
      </c>
      <c r="D11988" s="450"/>
      <c r="E11988" s="450"/>
      <c r="F11988" s="450"/>
      <c r="G11988" s="450" t="s">
        <v>22877</v>
      </c>
      <c r="H11988" s="450" t="s">
        <v>22878</v>
      </c>
      <c r="I11988" s="450" t="s">
        <v>39300</v>
      </c>
      <c r="J11988" s="450" t="s">
        <v>28403</v>
      </c>
      <c r="K11988" s="450"/>
    </row>
    <row r="11989" spans="1:11">
      <c r="A11989" s="451" t="s">
        <v>18784</v>
      </c>
      <c r="B11989" s="451"/>
      <c r="C11989" s="451" t="s">
        <v>18785</v>
      </c>
      <c r="D11989" s="451"/>
      <c r="E11989" s="451"/>
      <c r="F11989" s="451"/>
      <c r="G11989" s="451"/>
      <c r="H11989" s="451"/>
      <c r="I11989" s="451"/>
      <c r="J11989" s="451"/>
      <c r="K11989" s="451"/>
    </row>
    <row r="11990" spans="1:11">
      <c r="A11990" s="450" t="s">
        <v>18786</v>
      </c>
      <c r="B11990" s="450"/>
      <c r="C11990" s="450" t="s">
        <v>18787</v>
      </c>
      <c r="D11990" s="450"/>
      <c r="E11990" s="450"/>
      <c r="F11990" s="450"/>
      <c r="G11990" s="450" t="s">
        <v>22877</v>
      </c>
      <c r="H11990" s="450" t="s">
        <v>22878</v>
      </c>
      <c r="I11990" s="450" t="s">
        <v>32203</v>
      </c>
      <c r="J11990" s="450" t="s">
        <v>22942</v>
      </c>
      <c r="K11990" s="450"/>
    </row>
    <row r="11991" spans="1:11">
      <c r="A11991" s="451" t="s">
        <v>29792</v>
      </c>
      <c r="B11991" s="451" t="s">
        <v>29793</v>
      </c>
      <c r="C11991" s="451" t="s">
        <v>29794</v>
      </c>
      <c r="D11991" s="451"/>
      <c r="E11991" s="451"/>
      <c r="F11991" s="451"/>
      <c r="G11991" s="451" t="s">
        <v>22877</v>
      </c>
      <c r="H11991" s="451" t="s">
        <v>22878</v>
      </c>
      <c r="I11991" s="451" t="s">
        <v>32204</v>
      </c>
      <c r="J11991" s="451" t="s">
        <v>32205</v>
      </c>
      <c r="K11991" s="451"/>
    </row>
    <row r="11992" spans="1:11">
      <c r="A11992" s="450" t="s">
        <v>22026</v>
      </c>
      <c r="B11992" s="450" t="s">
        <v>18788</v>
      </c>
      <c r="C11992" s="450" t="s">
        <v>2550</v>
      </c>
      <c r="D11992" s="450"/>
      <c r="E11992" s="450"/>
      <c r="F11992" s="450" t="s">
        <v>39301</v>
      </c>
      <c r="G11992" s="450" t="s">
        <v>22877</v>
      </c>
      <c r="H11992" s="450" t="s">
        <v>22878</v>
      </c>
      <c r="I11992" s="450" t="s">
        <v>39302</v>
      </c>
      <c r="J11992" s="450" t="s">
        <v>39303</v>
      </c>
      <c r="K11992" s="450"/>
    </row>
    <row r="11993" spans="1:11">
      <c r="A11993" s="451" t="s">
        <v>22026</v>
      </c>
      <c r="B11993" s="451" t="s">
        <v>18788</v>
      </c>
      <c r="C11993" s="451" t="s">
        <v>2550</v>
      </c>
      <c r="D11993" s="451"/>
      <c r="E11993" s="451"/>
      <c r="F11993" s="451" t="s">
        <v>18789</v>
      </c>
      <c r="G11993" s="451"/>
      <c r="H11993" s="451"/>
      <c r="I11993" s="451"/>
      <c r="J11993" s="451"/>
      <c r="K11993" s="451"/>
    </row>
    <row r="11994" spans="1:11">
      <c r="A11994" s="450" t="s">
        <v>39304</v>
      </c>
      <c r="B11994" s="450"/>
      <c r="C11994" s="450" t="s">
        <v>18791</v>
      </c>
      <c r="D11994" s="450"/>
      <c r="E11994" s="450"/>
      <c r="F11994" s="450"/>
      <c r="G11994" s="450" t="s">
        <v>22877</v>
      </c>
      <c r="H11994" s="450" t="s">
        <v>22878</v>
      </c>
      <c r="I11994" s="450" t="s">
        <v>39305</v>
      </c>
      <c r="J11994" s="450" t="s">
        <v>22942</v>
      </c>
      <c r="K11994" s="450"/>
    </row>
    <row r="11995" spans="1:11">
      <c r="A11995" s="451" t="s">
        <v>18790</v>
      </c>
      <c r="B11995" s="451"/>
      <c r="C11995" s="451" t="s">
        <v>18791</v>
      </c>
      <c r="D11995" s="451"/>
      <c r="E11995" s="451"/>
      <c r="F11995" s="451"/>
      <c r="G11995" s="451"/>
      <c r="H11995" s="451"/>
      <c r="I11995" s="451"/>
      <c r="J11995" s="451"/>
      <c r="K11995" s="451"/>
    </row>
    <row r="11996" spans="1:11">
      <c r="A11996" s="450" t="s">
        <v>29795</v>
      </c>
      <c r="B11996" s="450" t="s">
        <v>29793</v>
      </c>
      <c r="C11996" s="450" t="s">
        <v>29794</v>
      </c>
      <c r="D11996" s="450"/>
      <c r="E11996" s="450"/>
      <c r="F11996" s="450"/>
      <c r="G11996" s="450" t="s">
        <v>22877</v>
      </c>
      <c r="H11996" s="450" t="s">
        <v>22878</v>
      </c>
      <c r="I11996" s="450" t="s">
        <v>32204</v>
      </c>
      <c r="J11996" s="450" t="s">
        <v>32206</v>
      </c>
      <c r="K11996" s="450"/>
    </row>
    <row r="11997" spans="1:11">
      <c r="A11997" s="451" t="s">
        <v>29796</v>
      </c>
      <c r="B11997" s="451" t="s">
        <v>29797</v>
      </c>
      <c r="C11997" s="451" t="s">
        <v>29798</v>
      </c>
      <c r="D11997" s="451"/>
      <c r="E11997" s="451"/>
      <c r="F11997" s="451"/>
      <c r="G11997" s="451" t="s">
        <v>22877</v>
      </c>
      <c r="H11997" s="451" t="s">
        <v>22878</v>
      </c>
      <c r="I11997" s="451" t="s">
        <v>32207</v>
      </c>
      <c r="J11997" s="451" t="s">
        <v>32208</v>
      </c>
      <c r="K11997" s="451"/>
    </row>
    <row r="11998" spans="1:11">
      <c r="A11998" s="450" t="s">
        <v>18792</v>
      </c>
      <c r="B11998" s="450"/>
      <c r="C11998" s="450" t="s">
        <v>18793</v>
      </c>
      <c r="D11998" s="450"/>
      <c r="E11998" s="450"/>
      <c r="F11998" s="450"/>
      <c r="G11998" s="450" t="s">
        <v>22877</v>
      </c>
      <c r="H11998" s="450" t="s">
        <v>22878</v>
      </c>
      <c r="I11998" s="450" t="s">
        <v>32209</v>
      </c>
      <c r="J11998" s="450" t="s">
        <v>28871</v>
      </c>
      <c r="K11998" s="450"/>
    </row>
    <row r="11999" spans="1:11">
      <c r="A11999" s="451" t="s">
        <v>29799</v>
      </c>
      <c r="B11999" s="451" t="s">
        <v>29800</v>
      </c>
      <c r="C11999" s="451" t="s">
        <v>29801</v>
      </c>
      <c r="D11999" s="451"/>
      <c r="E11999" s="451"/>
      <c r="F11999" s="451"/>
      <c r="G11999" s="451" t="s">
        <v>22877</v>
      </c>
      <c r="H11999" s="451" t="s">
        <v>22878</v>
      </c>
      <c r="I11999" s="451" t="s">
        <v>32210</v>
      </c>
      <c r="J11999" s="451" t="s">
        <v>32211</v>
      </c>
      <c r="K11999" s="451"/>
    </row>
    <row r="12000" spans="1:11">
      <c r="A12000" s="450" t="s">
        <v>39306</v>
      </c>
      <c r="B12000" s="450"/>
      <c r="C12000" s="450" t="s">
        <v>2936</v>
      </c>
      <c r="D12000" s="450"/>
      <c r="E12000" s="450"/>
      <c r="F12000" s="450"/>
      <c r="G12000" s="450" t="s">
        <v>22877</v>
      </c>
      <c r="H12000" s="450" t="s">
        <v>22878</v>
      </c>
      <c r="I12000" s="450" t="s">
        <v>32212</v>
      </c>
      <c r="J12000" s="450" t="s">
        <v>22997</v>
      </c>
      <c r="K12000" s="450"/>
    </row>
    <row r="12001" spans="1:11">
      <c r="A12001" s="451" t="s">
        <v>18794</v>
      </c>
      <c r="B12001" s="451"/>
      <c r="C12001" s="451" t="s">
        <v>2936</v>
      </c>
      <c r="D12001" s="451"/>
      <c r="E12001" s="451"/>
      <c r="F12001" s="451"/>
      <c r="G12001" s="451"/>
      <c r="H12001" s="451"/>
      <c r="I12001" s="451"/>
      <c r="J12001" s="451"/>
      <c r="K12001" s="451"/>
    </row>
    <row r="12002" spans="1:11">
      <c r="A12002" s="450" t="s">
        <v>18795</v>
      </c>
      <c r="B12002" s="450"/>
      <c r="C12002" s="450" t="s">
        <v>10399</v>
      </c>
      <c r="D12002" s="450"/>
      <c r="E12002" s="450"/>
      <c r="F12002" s="450"/>
      <c r="G12002" s="450" t="s">
        <v>22877</v>
      </c>
      <c r="H12002" s="450" t="s">
        <v>22878</v>
      </c>
      <c r="I12002" s="450" t="s">
        <v>39307</v>
      </c>
      <c r="J12002" s="450" t="s">
        <v>22942</v>
      </c>
      <c r="K12002" s="450"/>
    </row>
    <row r="12003" spans="1:11">
      <c r="A12003" s="451" t="s">
        <v>39308</v>
      </c>
      <c r="B12003" s="451"/>
      <c r="C12003" s="451" t="s">
        <v>17306</v>
      </c>
      <c r="D12003" s="451"/>
      <c r="E12003" s="451"/>
      <c r="F12003" s="451"/>
      <c r="G12003" s="451" t="s">
        <v>22877</v>
      </c>
      <c r="H12003" s="451" t="s">
        <v>22878</v>
      </c>
      <c r="I12003" s="451" t="s">
        <v>39309</v>
      </c>
      <c r="J12003" s="451" t="s">
        <v>23370</v>
      </c>
      <c r="K12003" s="451"/>
    </row>
    <row r="12004" spans="1:11">
      <c r="A12004" s="450" t="s">
        <v>18796</v>
      </c>
      <c r="B12004" s="450"/>
      <c r="C12004" s="450" t="s">
        <v>17306</v>
      </c>
      <c r="D12004" s="450"/>
      <c r="E12004" s="450"/>
      <c r="F12004" s="450"/>
      <c r="G12004" s="450"/>
      <c r="H12004" s="450"/>
      <c r="I12004" s="450"/>
      <c r="J12004" s="450"/>
      <c r="K12004" s="450"/>
    </row>
    <row r="12005" spans="1:11">
      <c r="A12005" s="451" t="s">
        <v>39310</v>
      </c>
      <c r="B12005" s="451"/>
      <c r="C12005" s="451" t="s">
        <v>3934</v>
      </c>
      <c r="D12005" s="451"/>
      <c r="E12005" s="451"/>
      <c r="F12005" s="451"/>
      <c r="G12005" s="451" t="s">
        <v>22877</v>
      </c>
      <c r="H12005" s="451" t="s">
        <v>22878</v>
      </c>
      <c r="I12005" s="451" t="s">
        <v>39311</v>
      </c>
      <c r="J12005" s="451" t="s">
        <v>28403</v>
      </c>
      <c r="K12005" s="451"/>
    </row>
    <row r="12006" spans="1:11">
      <c r="A12006" s="450" t="s">
        <v>18797</v>
      </c>
      <c r="B12006" s="450"/>
      <c r="C12006" s="450" t="s">
        <v>3934</v>
      </c>
      <c r="D12006" s="450"/>
      <c r="E12006" s="450"/>
      <c r="F12006" s="450"/>
      <c r="G12006" s="450"/>
      <c r="H12006" s="450"/>
      <c r="I12006" s="450"/>
      <c r="J12006" s="450"/>
      <c r="K12006" s="450"/>
    </row>
    <row r="12007" spans="1:11">
      <c r="A12007" s="451" t="s">
        <v>22028</v>
      </c>
      <c r="B12007" s="451"/>
      <c r="C12007" s="451" t="s">
        <v>18798</v>
      </c>
      <c r="D12007" s="451"/>
      <c r="E12007" s="451"/>
      <c r="F12007" s="451"/>
      <c r="G12007" s="451" t="s">
        <v>22877</v>
      </c>
      <c r="H12007" s="451" t="s">
        <v>22878</v>
      </c>
      <c r="I12007" s="451" t="s">
        <v>39312</v>
      </c>
      <c r="J12007" s="451" t="s">
        <v>23185</v>
      </c>
      <c r="K12007" s="451"/>
    </row>
    <row r="12008" spans="1:11">
      <c r="A12008" s="450" t="s">
        <v>22027</v>
      </c>
      <c r="B12008" s="450"/>
      <c r="C12008" s="450" t="s">
        <v>970</v>
      </c>
      <c r="D12008" s="450"/>
      <c r="E12008" s="450"/>
      <c r="F12008" s="450"/>
      <c r="G12008" s="450" t="s">
        <v>22877</v>
      </c>
      <c r="H12008" s="450" t="s">
        <v>22878</v>
      </c>
      <c r="I12008" s="450" t="s">
        <v>39313</v>
      </c>
      <c r="J12008" s="450" t="s">
        <v>22942</v>
      </c>
      <c r="K12008" s="450"/>
    </row>
    <row r="12009" spans="1:11">
      <c r="A12009" s="451" t="s">
        <v>18799</v>
      </c>
      <c r="B12009" s="451"/>
      <c r="C12009" s="451" t="s">
        <v>18800</v>
      </c>
      <c r="D12009" s="451"/>
      <c r="E12009" s="451"/>
      <c r="F12009" s="451"/>
      <c r="G12009" s="451"/>
      <c r="H12009" s="451"/>
      <c r="I12009" s="451"/>
      <c r="J12009" s="451"/>
      <c r="K12009" s="451"/>
    </row>
    <row r="12010" spans="1:11">
      <c r="A12010" s="450" t="s">
        <v>18801</v>
      </c>
      <c r="B12010" s="450"/>
      <c r="C12010" s="450" t="s">
        <v>15006</v>
      </c>
      <c r="D12010" s="450"/>
      <c r="E12010" s="450"/>
      <c r="F12010" s="450"/>
      <c r="G12010" s="450"/>
      <c r="H12010" s="450"/>
      <c r="I12010" s="450"/>
      <c r="J12010" s="450"/>
      <c r="K12010" s="450"/>
    </row>
    <row r="12011" spans="1:11">
      <c r="A12011" s="451" t="s">
        <v>18802</v>
      </c>
      <c r="B12011" s="451"/>
      <c r="C12011" s="451" t="s">
        <v>2842</v>
      </c>
      <c r="D12011" s="451"/>
      <c r="E12011" s="451"/>
      <c r="F12011" s="451"/>
      <c r="G12011" s="451"/>
      <c r="H12011" s="451"/>
      <c r="I12011" s="451"/>
      <c r="J12011" s="451"/>
      <c r="K12011" s="451"/>
    </row>
    <row r="12012" spans="1:11">
      <c r="A12012" s="450" t="s">
        <v>18803</v>
      </c>
      <c r="B12012" s="450"/>
      <c r="C12012" s="450" t="s">
        <v>18804</v>
      </c>
      <c r="D12012" s="450"/>
      <c r="E12012" s="450"/>
      <c r="F12012" s="450"/>
      <c r="G12012" s="450"/>
      <c r="H12012" s="450"/>
      <c r="I12012" s="450"/>
      <c r="J12012" s="450"/>
      <c r="K12012" s="450"/>
    </row>
    <row r="12013" spans="1:11">
      <c r="A12013" s="451" t="s">
        <v>18805</v>
      </c>
      <c r="B12013" s="451" t="s">
        <v>18806</v>
      </c>
      <c r="C12013" s="451" t="s">
        <v>18807</v>
      </c>
      <c r="D12013" s="451"/>
      <c r="E12013" s="451"/>
      <c r="F12013" s="451"/>
      <c r="G12013" s="451"/>
      <c r="H12013" s="451"/>
      <c r="I12013" s="451"/>
      <c r="J12013" s="451"/>
      <c r="K12013" s="451"/>
    </row>
    <row r="12014" spans="1:11">
      <c r="A12014" s="450" t="s">
        <v>18808</v>
      </c>
      <c r="B12014" s="450" t="s">
        <v>5477</v>
      </c>
      <c r="C12014" s="450" t="s">
        <v>18809</v>
      </c>
      <c r="D12014" s="450" t="s">
        <v>18810</v>
      </c>
      <c r="E12014" s="450"/>
      <c r="F12014" s="450"/>
      <c r="G12014" s="450"/>
      <c r="H12014" s="450"/>
      <c r="I12014" s="450"/>
      <c r="J12014" s="450"/>
      <c r="K12014" s="450"/>
    </row>
    <row r="12015" spans="1:11">
      <c r="A12015" s="451" t="s">
        <v>18811</v>
      </c>
      <c r="B12015" s="451" t="s">
        <v>18812</v>
      </c>
      <c r="C12015" s="451" t="s">
        <v>18813</v>
      </c>
      <c r="D12015" s="451"/>
      <c r="E12015" s="451"/>
      <c r="F12015" s="451"/>
      <c r="G12015" s="451"/>
      <c r="H12015" s="451"/>
      <c r="I12015" s="451"/>
      <c r="J12015" s="451"/>
      <c r="K12015" s="451"/>
    </row>
    <row r="12016" spans="1:11">
      <c r="A12016" s="450" t="s">
        <v>18814</v>
      </c>
      <c r="B12016" s="450" t="s">
        <v>18815</v>
      </c>
      <c r="C12016" s="450" t="s">
        <v>18816</v>
      </c>
      <c r="D12016" s="450" t="s">
        <v>18817</v>
      </c>
      <c r="E12016" s="450"/>
      <c r="F12016" s="450"/>
      <c r="G12016" s="450"/>
      <c r="H12016" s="450"/>
      <c r="I12016" s="450"/>
      <c r="J12016" s="450"/>
      <c r="K12016" s="450"/>
    </row>
    <row r="12017" spans="1:11">
      <c r="A12017" s="451" t="s">
        <v>18818</v>
      </c>
      <c r="B12017" s="451" t="s">
        <v>18819</v>
      </c>
      <c r="C12017" s="451" t="s">
        <v>18820</v>
      </c>
      <c r="D12017" s="451"/>
      <c r="E12017" s="451"/>
      <c r="F12017" s="451"/>
      <c r="G12017" s="451"/>
      <c r="H12017" s="451"/>
      <c r="I12017" s="451"/>
      <c r="J12017" s="451"/>
      <c r="K12017" s="451"/>
    </row>
    <row r="12018" spans="1:11">
      <c r="A12018" s="450" t="s">
        <v>18821</v>
      </c>
      <c r="B12018" s="450" t="s">
        <v>18819</v>
      </c>
      <c r="C12018" s="450" t="s">
        <v>18822</v>
      </c>
      <c r="D12018" s="450" t="s">
        <v>18524</v>
      </c>
      <c r="E12018" s="450"/>
      <c r="F12018" s="450"/>
      <c r="G12018" s="450"/>
      <c r="H12018" s="450"/>
      <c r="I12018" s="450"/>
      <c r="J12018" s="450"/>
      <c r="K12018" s="450"/>
    </row>
    <row r="12019" spans="1:11">
      <c r="A12019" s="451" t="s">
        <v>18823</v>
      </c>
      <c r="B12019" s="451"/>
      <c r="C12019" s="451" t="s">
        <v>2936</v>
      </c>
      <c r="D12019" s="451"/>
      <c r="E12019" s="451"/>
      <c r="F12019" s="451"/>
      <c r="G12019" s="451"/>
      <c r="H12019" s="451"/>
      <c r="I12019" s="451"/>
      <c r="J12019" s="451"/>
      <c r="K12019" s="451"/>
    </row>
    <row r="12020" spans="1:11">
      <c r="A12020" s="450" t="s">
        <v>29802</v>
      </c>
      <c r="B12020" s="450"/>
      <c r="C12020" s="450" t="s">
        <v>2936</v>
      </c>
      <c r="D12020" s="450"/>
      <c r="E12020" s="450"/>
      <c r="F12020" s="450"/>
      <c r="G12020" s="450" t="s">
        <v>22877</v>
      </c>
      <c r="H12020" s="450" t="s">
        <v>22878</v>
      </c>
      <c r="I12020" s="450" t="s">
        <v>32212</v>
      </c>
      <c r="J12020" s="450" t="s">
        <v>22997</v>
      </c>
      <c r="K12020" s="450"/>
    </row>
    <row r="12021" spans="1:11">
      <c r="A12021" s="451" t="s">
        <v>18824</v>
      </c>
      <c r="B12021" s="451" t="s">
        <v>18825</v>
      </c>
      <c r="C12021" s="451" t="s">
        <v>18826</v>
      </c>
      <c r="D12021" s="451" t="s">
        <v>18827</v>
      </c>
      <c r="E12021" s="451"/>
      <c r="F12021" s="451"/>
      <c r="G12021" s="451" t="s">
        <v>22877</v>
      </c>
      <c r="H12021" s="451" t="s">
        <v>22878</v>
      </c>
      <c r="I12021" s="451" t="s">
        <v>39314</v>
      </c>
      <c r="J12021" s="451" t="s">
        <v>39315</v>
      </c>
      <c r="K12021" s="451"/>
    </row>
    <row r="12022" spans="1:11">
      <c r="A12022" s="450" t="s">
        <v>18824</v>
      </c>
      <c r="B12022" s="450" t="s">
        <v>18825</v>
      </c>
      <c r="C12022" s="450" t="s">
        <v>18826</v>
      </c>
      <c r="D12022" s="450" t="s">
        <v>18827</v>
      </c>
      <c r="E12022" s="450" t="s">
        <v>18827</v>
      </c>
      <c r="F12022" s="450"/>
      <c r="G12022" s="450"/>
      <c r="H12022" s="450"/>
      <c r="I12022" s="450"/>
      <c r="J12022" s="450"/>
      <c r="K12022" s="450"/>
    </row>
    <row r="12023" spans="1:11">
      <c r="A12023" s="451" t="s">
        <v>18828</v>
      </c>
      <c r="B12023" s="451"/>
      <c r="C12023" s="451" t="s">
        <v>18829</v>
      </c>
      <c r="D12023" s="451"/>
      <c r="E12023" s="451"/>
      <c r="F12023" s="451"/>
      <c r="G12023" s="451" t="s">
        <v>22877</v>
      </c>
      <c r="H12023" s="451" t="s">
        <v>22878</v>
      </c>
      <c r="I12023" s="451" t="s">
        <v>39316</v>
      </c>
      <c r="J12023" s="451" t="s">
        <v>28871</v>
      </c>
      <c r="K12023" s="451"/>
    </row>
    <row r="12024" spans="1:11">
      <c r="A12024" s="450" t="s">
        <v>18830</v>
      </c>
      <c r="B12024" s="450"/>
      <c r="C12024" s="450" t="s">
        <v>18831</v>
      </c>
      <c r="D12024" s="450"/>
      <c r="E12024" s="450"/>
      <c r="F12024" s="450"/>
      <c r="G12024" s="450"/>
      <c r="H12024" s="450"/>
      <c r="I12024" s="450"/>
      <c r="J12024" s="450"/>
      <c r="K12024" s="450"/>
    </row>
    <row r="12025" spans="1:11">
      <c r="A12025" s="451" t="s">
        <v>29803</v>
      </c>
      <c r="B12025" s="451" t="s">
        <v>29804</v>
      </c>
      <c r="C12025" s="451" t="s">
        <v>29805</v>
      </c>
      <c r="D12025" s="451"/>
      <c r="E12025" s="451"/>
      <c r="F12025" s="451"/>
      <c r="G12025" s="451" t="s">
        <v>22877</v>
      </c>
      <c r="H12025" s="451" t="s">
        <v>22878</v>
      </c>
      <c r="I12025" s="451" t="s">
        <v>32213</v>
      </c>
      <c r="J12025" s="451" t="s">
        <v>32214</v>
      </c>
      <c r="K12025" s="451"/>
    </row>
    <row r="12026" spans="1:11">
      <c r="A12026" s="450" t="s">
        <v>39317</v>
      </c>
      <c r="B12026" s="450" t="s">
        <v>18833</v>
      </c>
      <c r="C12026" s="450" t="s">
        <v>18834</v>
      </c>
      <c r="D12026" s="450" t="s">
        <v>18835</v>
      </c>
      <c r="E12026" s="450"/>
      <c r="F12026" s="450"/>
      <c r="G12026" s="450" t="s">
        <v>22882</v>
      </c>
      <c r="H12026" s="450" t="s">
        <v>22883</v>
      </c>
      <c r="I12026" s="450" t="s">
        <v>18835</v>
      </c>
      <c r="J12026" s="450" t="s">
        <v>39318</v>
      </c>
      <c r="K12026" s="450"/>
    </row>
    <row r="12027" spans="1:11">
      <c r="A12027" s="451" t="s">
        <v>18832</v>
      </c>
      <c r="B12027" s="451" t="s">
        <v>18833</v>
      </c>
      <c r="C12027" s="451" t="s">
        <v>18834</v>
      </c>
      <c r="D12027" s="451" t="s">
        <v>18835</v>
      </c>
      <c r="E12027" s="451" t="s">
        <v>18836</v>
      </c>
      <c r="F12027" s="451"/>
      <c r="G12027" s="451"/>
      <c r="H12027" s="451"/>
      <c r="I12027" s="451"/>
      <c r="J12027" s="451"/>
      <c r="K12027" s="451"/>
    </row>
    <row r="12028" spans="1:11">
      <c r="A12028" s="450" t="s">
        <v>18837</v>
      </c>
      <c r="B12028" s="450" t="s">
        <v>18838</v>
      </c>
      <c r="C12028" s="450" t="s">
        <v>1104</v>
      </c>
      <c r="D12028" s="450" t="s">
        <v>18839</v>
      </c>
      <c r="E12028" s="450"/>
      <c r="F12028" s="450"/>
      <c r="G12028" s="450" t="s">
        <v>22877</v>
      </c>
      <c r="H12028" s="450" t="s">
        <v>22878</v>
      </c>
      <c r="I12028" s="450" t="s">
        <v>18839</v>
      </c>
      <c r="J12028" s="450" t="s">
        <v>32215</v>
      </c>
      <c r="K12028" s="450"/>
    </row>
    <row r="12029" spans="1:11">
      <c r="A12029" s="451" t="s">
        <v>18840</v>
      </c>
      <c r="B12029" s="451"/>
      <c r="C12029" s="451" t="s">
        <v>18841</v>
      </c>
      <c r="D12029" s="451"/>
      <c r="E12029" s="451"/>
      <c r="F12029" s="451"/>
      <c r="G12029" s="451" t="s">
        <v>22877</v>
      </c>
      <c r="H12029" s="451" t="s">
        <v>22878</v>
      </c>
      <c r="I12029" s="451" t="s">
        <v>32216</v>
      </c>
      <c r="J12029" s="451" t="s">
        <v>22997</v>
      </c>
      <c r="K12029" s="451"/>
    </row>
    <row r="12030" spans="1:11">
      <c r="A12030" s="450" t="s">
        <v>18842</v>
      </c>
      <c r="B12030" s="450" t="s">
        <v>32217</v>
      </c>
      <c r="C12030" s="450" t="s">
        <v>2334</v>
      </c>
      <c r="D12030" s="450" t="s">
        <v>18844</v>
      </c>
      <c r="E12030" s="450"/>
      <c r="F12030" s="450"/>
      <c r="G12030" s="450" t="s">
        <v>22877</v>
      </c>
      <c r="H12030" s="450" t="s">
        <v>22878</v>
      </c>
      <c r="I12030" s="450" t="s">
        <v>18844</v>
      </c>
      <c r="J12030" s="450" t="s">
        <v>32218</v>
      </c>
      <c r="K12030" s="450"/>
    </row>
    <row r="12031" spans="1:11">
      <c r="A12031" s="451" t="s">
        <v>18842</v>
      </c>
      <c r="B12031" s="451" t="s">
        <v>18843</v>
      </c>
      <c r="C12031" s="451" t="s">
        <v>2334</v>
      </c>
      <c r="D12031" s="451" t="s">
        <v>18844</v>
      </c>
      <c r="E12031" s="451" t="s">
        <v>18845</v>
      </c>
      <c r="F12031" s="451"/>
      <c r="G12031" s="451"/>
      <c r="H12031" s="451"/>
      <c r="I12031" s="451"/>
      <c r="J12031" s="451"/>
      <c r="K12031" s="451"/>
    </row>
    <row r="12032" spans="1:11">
      <c r="A12032" s="450" t="s">
        <v>18846</v>
      </c>
      <c r="B12032" s="450" t="s">
        <v>18847</v>
      </c>
      <c r="C12032" s="450" t="s">
        <v>18848</v>
      </c>
      <c r="D12032" s="450"/>
      <c r="E12032" s="450"/>
      <c r="F12032" s="450"/>
      <c r="G12032" s="450" t="s">
        <v>22877</v>
      </c>
      <c r="H12032" s="450" t="s">
        <v>22878</v>
      </c>
      <c r="I12032" s="450" t="s">
        <v>32219</v>
      </c>
      <c r="J12032" s="450" t="s">
        <v>32220</v>
      </c>
      <c r="K12032" s="450"/>
    </row>
    <row r="12033" spans="1:11">
      <c r="A12033" s="451" t="s">
        <v>29806</v>
      </c>
      <c r="B12033" s="451" t="s">
        <v>29807</v>
      </c>
      <c r="C12033" s="451" t="s">
        <v>29808</v>
      </c>
      <c r="D12033" s="451" t="s">
        <v>29809</v>
      </c>
      <c r="E12033" s="451"/>
      <c r="F12033" s="451"/>
      <c r="G12033" s="451" t="s">
        <v>22877</v>
      </c>
      <c r="H12033" s="451" t="s">
        <v>22878</v>
      </c>
      <c r="I12033" s="451" t="s">
        <v>29809</v>
      </c>
      <c r="J12033" s="451" t="s">
        <v>32221</v>
      </c>
      <c r="K12033" s="451"/>
    </row>
    <row r="12034" spans="1:11">
      <c r="A12034" s="450" t="s">
        <v>22029</v>
      </c>
      <c r="B12034" s="450"/>
      <c r="C12034" s="450" t="s">
        <v>9567</v>
      </c>
      <c r="D12034" s="450"/>
      <c r="E12034" s="450"/>
      <c r="F12034" s="450"/>
      <c r="G12034" s="450"/>
      <c r="H12034" s="450"/>
      <c r="I12034" s="450"/>
      <c r="J12034" s="450"/>
      <c r="K12034" s="450"/>
    </row>
    <row r="12035" spans="1:11">
      <c r="A12035" s="451" t="s">
        <v>29810</v>
      </c>
      <c r="B12035" s="451"/>
      <c r="C12035" s="451" t="s">
        <v>18856</v>
      </c>
      <c r="D12035" s="451"/>
      <c r="E12035" s="451"/>
      <c r="F12035" s="451"/>
      <c r="G12035" s="451" t="s">
        <v>22882</v>
      </c>
      <c r="H12035" s="451" t="s">
        <v>22883</v>
      </c>
      <c r="I12035" s="451" t="s">
        <v>32222</v>
      </c>
      <c r="J12035" s="451" t="s">
        <v>23370</v>
      </c>
      <c r="K12035" s="451"/>
    </row>
    <row r="12036" spans="1:11">
      <c r="A12036" s="450" t="s">
        <v>18849</v>
      </c>
      <c r="B12036" s="450" t="s">
        <v>18850</v>
      </c>
      <c r="C12036" s="450" t="s">
        <v>18851</v>
      </c>
      <c r="D12036" s="450" t="s">
        <v>18852</v>
      </c>
      <c r="E12036" s="450"/>
      <c r="F12036" s="450"/>
      <c r="G12036" s="450" t="s">
        <v>22882</v>
      </c>
      <c r="H12036" s="450" t="s">
        <v>22883</v>
      </c>
      <c r="I12036" s="450" t="s">
        <v>18852</v>
      </c>
      <c r="J12036" s="450" t="s">
        <v>32223</v>
      </c>
      <c r="K12036" s="450"/>
    </row>
    <row r="12037" spans="1:11">
      <c r="A12037" s="451" t="s">
        <v>39319</v>
      </c>
      <c r="B12037" s="451"/>
      <c r="C12037" s="451" t="s">
        <v>18854</v>
      </c>
      <c r="D12037" s="451"/>
      <c r="E12037" s="451"/>
      <c r="F12037" s="451"/>
      <c r="G12037" s="451" t="s">
        <v>22882</v>
      </c>
      <c r="H12037" s="451" t="s">
        <v>22883</v>
      </c>
      <c r="I12037" s="451" t="s">
        <v>39320</v>
      </c>
      <c r="J12037" s="451" t="s">
        <v>28403</v>
      </c>
      <c r="K12037" s="451"/>
    </row>
    <row r="12038" spans="1:11">
      <c r="A12038" s="450" t="s">
        <v>18853</v>
      </c>
      <c r="B12038" s="450"/>
      <c r="C12038" s="450" t="s">
        <v>18854</v>
      </c>
      <c r="D12038" s="450"/>
      <c r="E12038" s="450"/>
      <c r="F12038" s="450"/>
      <c r="G12038" s="450"/>
      <c r="H12038" s="450"/>
      <c r="I12038" s="450"/>
      <c r="J12038" s="450"/>
      <c r="K12038" s="450"/>
    </row>
    <row r="12039" spans="1:11">
      <c r="A12039" s="451" t="s">
        <v>18855</v>
      </c>
      <c r="B12039" s="451"/>
      <c r="C12039" s="451" t="s">
        <v>18856</v>
      </c>
      <c r="D12039" s="451"/>
      <c r="E12039" s="451"/>
      <c r="F12039" s="451"/>
      <c r="G12039" s="451"/>
      <c r="H12039" s="451"/>
      <c r="I12039" s="451"/>
      <c r="J12039" s="451"/>
      <c r="K12039" s="451"/>
    </row>
    <row r="12040" spans="1:11">
      <c r="A12040" s="450" t="s">
        <v>18857</v>
      </c>
      <c r="B12040" s="450"/>
      <c r="C12040" s="450" t="s">
        <v>11204</v>
      </c>
      <c r="D12040" s="450"/>
      <c r="E12040" s="450"/>
      <c r="F12040" s="450"/>
      <c r="G12040" s="450" t="s">
        <v>22877</v>
      </c>
      <c r="H12040" s="450" t="s">
        <v>22878</v>
      </c>
      <c r="I12040" s="450" t="s">
        <v>39321</v>
      </c>
      <c r="J12040" s="450" t="s">
        <v>22942</v>
      </c>
      <c r="K12040" s="450"/>
    </row>
    <row r="12041" spans="1:11">
      <c r="A12041" s="451" t="s">
        <v>39322</v>
      </c>
      <c r="B12041" s="451"/>
      <c r="C12041" s="451" t="s">
        <v>18859</v>
      </c>
      <c r="D12041" s="451"/>
      <c r="E12041" s="451"/>
      <c r="F12041" s="451"/>
      <c r="G12041" s="451" t="s">
        <v>22877</v>
      </c>
      <c r="H12041" s="451" t="s">
        <v>22878</v>
      </c>
      <c r="I12041" s="451" t="s">
        <v>39323</v>
      </c>
      <c r="J12041" s="451" t="s">
        <v>23185</v>
      </c>
      <c r="K12041" s="451"/>
    </row>
    <row r="12042" spans="1:11">
      <c r="A12042" s="450" t="s">
        <v>18858</v>
      </c>
      <c r="B12042" s="450"/>
      <c r="C12042" s="450" t="s">
        <v>18859</v>
      </c>
      <c r="D12042" s="450"/>
      <c r="E12042" s="450"/>
      <c r="F12042" s="450"/>
      <c r="G12042" s="450"/>
      <c r="H12042" s="450"/>
      <c r="I12042" s="450"/>
      <c r="J12042" s="450"/>
      <c r="K12042" s="450"/>
    </row>
    <row r="12043" spans="1:11">
      <c r="A12043" s="451" t="s">
        <v>18860</v>
      </c>
      <c r="B12043" s="451" t="s">
        <v>18861</v>
      </c>
      <c r="C12043" s="451" t="s">
        <v>18862</v>
      </c>
      <c r="D12043" s="451" t="s">
        <v>18863</v>
      </c>
      <c r="E12043" s="451"/>
      <c r="F12043" s="451"/>
      <c r="G12043" s="451" t="s">
        <v>22882</v>
      </c>
      <c r="H12043" s="451" t="s">
        <v>22883</v>
      </c>
      <c r="I12043" s="451" t="s">
        <v>18863</v>
      </c>
      <c r="J12043" s="451" t="s">
        <v>39324</v>
      </c>
      <c r="K12043" s="451"/>
    </row>
    <row r="12044" spans="1:11">
      <c r="A12044" s="450" t="s">
        <v>18860</v>
      </c>
      <c r="B12044" s="450" t="s">
        <v>18861</v>
      </c>
      <c r="C12044" s="450" t="s">
        <v>18862</v>
      </c>
      <c r="D12044" s="450" t="s">
        <v>18863</v>
      </c>
      <c r="E12044" s="450" t="s">
        <v>18864</v>
      </c>
      <c r="F12044" s="450"/>
      <c r="G12044" s="450"/>
      <c r="H12044" s="450"/>
      <c r="I12044" s="450"/>
      <c r="J12044" s="450"/>
      <c r="K12044" s="450"/>
    </row>
    <row r="12045" spans="1:11">
      <c r="A12045" s="451" t="s">
        <v>18865</v>
      </c>
      <c r="B12045" s="451"/>
      <c r="C12045" s="451" t="s">
        <v>18866</v>
      </c>
      <c r="D12045" s="451"/>
      <c r="E12045" s="451"/>
      <c r="F12045" s="451"/>
      <c r="G12045" s="451" t="s">
        <v>22877</v>
      </c>
      <c r="H12045" s="451" t="s">
        <v>22878</v>
      </c>
      <c r="I12045" s="451" t="s">
        <v>39325</v>
      </c>
      <c r="J12045" s="451" t="s">
        <v>28403</v>
      </c>
      <c r="K12045" s="451"/>
    </row>
    <row r="12046" spans="1:11">
      <c r="A12046" s="450" t="s">
        <v>18867</v>
      </c>
      <c r="B12046" s="450"/>
      <c r="C12046" s="450" t="s">
        <v>18868</v>
      </c>
      <c r="D12046" s="450"/>
      <c r="E12046" s="450"/>
      <c r="F12046" s="450"/>
      <c r="G12046" s="450" t="s">
        <v>22882</v>
      </c>
      <c r="H12046" s="450" t="s">
        <v>22883</v>
      </c>
      <c r="I12046" s="450"/>
      <c r="J12046" s="450" t="s">
        <v>22939</v>
      </c>
      <c r="K12046" s="450"/>
    </row>
    <row r="12047" spans="1:11">
      <c r="A12047" s="451" t="s">
        <v>39326</v>
      </c>
      <c r="B12047" s="451"/>
      <c r="C12047" s="451" t="s">
        <v>18870</v>
      </c>
      <c r="D12047" s="451"/>
      <c r="E12047" s="451"/>
      <c r="F12047" s="451"/>
      <c r="G12047" s="451" t="s">
        <v>22877</v>
      </c>
      <c r="H12047" s="451" t="s">
        <v>22878</v>
      </c>
      <c r="I12047" s="451" t="s">
        <v>39327</v>
      </c>
      <c r="J12047" s="451" t="s">
        <v>23370</v>
      </c>
      <c r="K12047" s="451"/>
    </row>
    <row r="12048" spans="1:11">
      <c r="A12048" s="450" t="s">
        <v>18869</v>
      </c>
      <c r="B12048" s="450"/>
      <c r="C12048" s="450" t="s">
        <v>18870</v>
      </c>
      <c r="D12048" s="450"/>
      <c r="E12048" s="450"/>
      <c r="F12048" s="450"/>
      <c r="G12048" s="450"/>
      <c r="H12048" s="450"/>
      <c r="I12048" s="450"/>
      <c r="J12048" s="450"/>
      <c r="K12048" s="450"/>
    </row>
    <row r="12049" spans="1:11">
      <c r="A12049" s="451" t="s">
        <v>18871</v>
      </c>
      <c r="B12049" s="451"/>
      <c r="C12049" s="451" t="s">
        <v>2515</v>
      </c>
      <c r="D12049" s="451"/>
      <c r="E12049" s="451"/>
      <c r="F12049" s="451"/>
      <c r="G12049" s="451" t="s">
        <v>22877</v>
      </c>
      <c r="H12049" s="451" t="s">
        <v>22878</v>
      </c>
      <c r="I12049" s="451" t="s">
        <v>39328</v>
      </c>
      <c r="J12049" s="451" t="s">
        <v>22942</v>
      </c>
      <c r="K12049" s="451"/>
    </row>
    <row r="12050" spans="1:11">
      <c r="A12050" s="450" t="s">
        <v>18872</v>
      </c>
      <c r="B12050" s="450"/>
      <c r="C12050" s="450" t="s">
        <v>18873</v>
      </c>
      <c r="D12050" s="450"/>
      <c r="E12050" s="450"/>
      <c r="F12050" s="450"/>
      <c r="G12050" s="450" t="s">
        <v>22882</v>
      </c>
      <c r="H12050" s="450" t="s">
        <v>22883</v>
      </c>
      <c r="I12050" s="450"/>
      <c r="J12050" s="450" t="s">
        <v>23185</v>
      </c>
      <c r="K12050" s="450"/>
    </row>
    <row r="12051" spans="1:11">
      <c r="A12051" s="451" t="s">
        <v>29811</v>
      </c>
      <c r="B12051" s="451" t="s">
        <v>29812</v>
      </c>
      <c r="C12051" s="451" t="s">
        <v>29813</v>
      </c>
      <c r="D12051" s="451"/>
      <c r="E12051" s="451"/>
      <c r="F12051" s="451"/>
      <c r="G12051" s="451" t="s">
        <v>22877</v>
      </c>
      <c r="H12051" s="451" t="s">
        <v>22878</v>
      </c>
      <c r="I12051" s="451" t="s">
        <v>32224</v>
      </c>
      <c r="J12051" s="451" t="s">
        <v>32225</v>
      </c>
      <c r="K12051" s="451"/>
    </row>
    <row r="12052" spans="1:11">
      <c r="A12052" s="450" t="s">
        <v>18874</v>
      </c>
      <c r="B12052" s="450"/>
      <c r="C12052" s="450" t="s">
        <v>18875</v>
      </c>
      <c r="D12052" s="450"/>
      <c r="E12052" s="450"/>
      <c r="F12052" s="450"/>
      <c r="G12052" s="450" t="s">
        <v>22877</v>
      </c>
      <c r="H12052" s="450" t="s">
        <v>22878</v>
      </c>
      <c r="I12052" s="450" t="s">
        <v>39329</v>
      </c>
      <c r="J12052" s="450" t="s">
        <v>39330</v>
      </c>
      <c r="K12052" s="450"/>
    </row>
    <row r="12053" spans="1:11">
      <c r="A12053" s="451" t="s">
        <v>22030</v>
      </c>
      <c r="B12053" s="451"/>
      <c r="C12053" s="451" t="s">
        <v>18876</v>
      </c>
      <c r="D12053" s="451"/>
      <c r="E12053" s="451"/>
      <c r="F12053" s="451"/>
      <c r="G12053" s="451" t="s">
        <v>22882</v>
      </c>
      <c r="H12053" s="451" t="s">
        <v>22883</v>
      </c>
      <c r="I12053" s="451" t="s">
        <v>32226</v>
      </c>
      <c r="J12053" s="451" t="s">
        <v>23185</v>
      </c>
      <c r="K12053" s="451"/>
    </row>
    <row r="12054" spans="1:11">
      <c r="A12054" s="450" t="s">
        <v>29814</v>
      </c>
      <c r="B12054" s="450" t="s">
        <v>29815</v>
      </c>
      <c r="C12054" s="450" t="s">
        <v>29816</v>
      </c>
      <c r="D12054" s="450"/>
      <c r="E12054" s="450"/>
      <c r="F12054" s="450"/>
      <c r="G12054" s="450" t="s">
        <v>22882</v>
      </c>
      <c r="H12054" s="450" t="s">
        <v>22883</v>
      </c>
      <c r="I12054" s="450" t="s">
        <v>32227</v>
      </c>
      <c r="J12054" s="450" t="s">
        <v>32228</v>
      </c>
      <c r="K12054" s="450"/>
    </row>
    <row r="12055" spans="1:11">
      <c r="A12055" s="451" t="s">
        <v>18877</v>
      </c>
      <c r="B12055" s="451"/>
      <c r="C12055" s="451" t="s">
        <v>7055</v>
      </c>
      <c r="D12055" s="451"/>
      <c r="E12055" s="451"/>
      <c r="F12055" s="451"/>
      <c r="G12055" s="451"/>
      <c r="H12055" s="451"/>
      <c r="I12055" s="451"/>
      <c r="J12055" s="451"/>
      <c r="K12055" s="451"/>
    </row>
    <row r="12056" spans="1:11">
      <c r="A12056" s="450" t="s">
        <v>18878</v>
      </c>
      <c r="B12056" s="450"/>
      <c r="C12056" s="450" t="s">
        <v>18879</v>
      </c>
      <c r="D12056" s="450"/>
      <c r="E12056" s="450"/>
      <c r="F12056" s="450"/>
      <c r="G12056" s="450" t="s">
        <v>22882</v>
      </c>
      <c r="H12056" s="450" t="s">
        <v>22883</v>
      </c>
      <c r="I12056" s="450" t="s">
        <v>39331</v>
      </c>
      <c r="J12056" s="450" t="s">
        <v>22997</v>
      </c>
      <c r="K12056" s="450"/>
    </row>
    <row r="12057" spans="1:11">
      <c r="A12057" s="451" t="s">
        <v>18880</v>
      </c>
      <c r="B12057" s="451"/>
      <c r="C12057" s="451" t="s">
        <v>18881</v>
      </c>
      <c r="D12057" s="451" t="s">
        <v>18882</v>
      </c>
      <c r="E12057" s="451"/>
      <c r="F12057" s="451"/>
      <c r="G12057" s="451" t="s">
        <v>22882</v>
      </c>
      <c r="H12057" s="451" t="s">
        <v>22883</v>
      </c>
      <c r="I12057" s="451" t="s">
        <v>18882</v>
      </c>
      <c r="J12057" s="451" t="s">
        <v>39332</v>
      </c>
      <c r="K12057" s="451"/>
    </row>
    <row r="12058" spans="1:11">
      <c r="A12058" s="450" t="s">
        <v>18883</v>
      </c>
      <c r="B12058" s="450"/>
      <c r="C12058" s="450" t="s">
        <v>1249</v>
      </c>
      <c r="D12058" s="450"/>
      <c r="E12058" s="450"/>
      <c r="F12058" s="450"/>
      <c r="G12058" s="450" t="s">
        <v>22877</v>
      </c>
      <c r="H12058" s="450" t="s">
        <v>22878</v>
      </c>
      <c r="I12058" s="450" t="s">
        <v>39333</v>
      </c>
      <c r="J12058" s="450" t="s">
        <v>23185</v>
      </c>
      <c r="K12058" s="450"/>
    </row>
    <row r="12059" spans="1:11">
      <c r="A12059" s="451" t="s">
        <v>18884</v>
      </c>
      <c r="B12059" s="451"/>
      <c r="C12059" s="451" t="s">
        <v>18885</v>
      </c>
      <c r="D12059" s="451"/>
      <c r="E12059" s="451"/>
      <c r="F12059" s="451"/>
      <c r="G12059" s="451" t="s">
        <v>22877</v>
      </c>
      <c r="H12059" s="451" t="s">
        <v>22878</v>
      </c>
      <c r="I12059" s="451" t="s">
        <v>39334</v>
      </c>
      <c r="J12059" s="451" t="s">
        <v>23185</v>
      </c>
      <c r="K12059" s="451"/>
    </row>
    <row r="12060" spans="1:11">
      <c r="A12060" s="450" t="s">
        <v>39335</v>
      </c>
      <c r="B12060" s="450"/>
      <c r="C12060" s="450" t="s">
        <v>7055</v>
      </c>
      <c r="D12060" s="450"/>
      <c r="E12060" s="450"/>
      <c r="F12060" s="450"/>
      <c r="G12060" s="450" t="s">
        <v>22877</v>
      </c>
      <c r="H12060" s="450" t="s">
        <v>22878</v>
      </c>
      <c r="I12060" s="450" t="s">
        <v>39336</v>
      </c>
      <c r="J12060" s="450" t="s">
        <v>22939</v>
      </c>
      <c r="K12060" s="450"/>
    </row>
    <row r="12061" spans="1:11">
      <c r="A12061" s="451" t="s">
        <v>18886</v>
      </c>
      <c r="B12061" s="451"/>
      <c r="C12061" s="451" t="s">
        <v>18887</v>
      </c>
      <c r="D12061" s="451"/>
      <c r="E12061" s="451"/>
      <c r="F12061" s="451"/>
      <c r="G12061" s="451" t="s">
        <v>22877</v>
      </c>
      <c r="H12061" s="451" t="s">
        <v>22878</v>
      </c>
      <c r="I12061" s="451" t="s">
        <v>32229</v>
      </c>
      <c r="J12061" s="451" t="s">
        <v>23185</v>
      </c>
      <c r="K12061" s="451"/>
    </row>
    <row r="12062" spans="1:11">
      <c r="A12062" s="450" t="s">
        <v>29817</v>
      </c>
      <c r="B12062" s="450" t="s">
        <v>18889</v>
      </c>
      <c r="C12062" s="450" t="s">
        <v>18890</v>
      </c>
      <c r="D12062" s="450" t="s">
        <v>18891</v>
      </c>
      <c r="E12062" s="450"/>
      <c r="F12062" s="450"/>
      <c r="G12062" s="450" t="s">
        <v>22877</v>
      </c>
      <c r="H12062" s="450" t="s">
        <v>22878</v>
      </c>
      <c r="I12062" s="450" t="s">
        <v>18891</v>
      </c>
      <c r="J12062" s="450" t="s">
        <v>32230</v>
      </c>
      <c r="K12062" s="450"/>
    </row>
    <row r="12063" spans="1:11">
      <c r="A12063" s="451" t="s">
        <v>18888</v>
      </c>
      <c r="B12063" s="451" t="s">
        <v>18889</v>
      </c>
      <c r="C12063" s="451" t="s">
        <v>18890</v>
      </c>
      <c r="D12063" s="451" t="s">
        <v>18891</v>
      </c>
      <c r="E12063" s="451" t="s">
        <v>18892</v>
      </c>
      <c r="F12063" s="451"/>
      <c r="G12063" s="451"/>
      <c r="H12063" s="451"/>
      <c r="I12063" s="451"/>
      <c r="J12063" s="451"/>
      <c r="K12063" s="451"/>
    </row>
    <row r="12064" spans="1:11">
      <c r="A12064" s="450" t="s">
        <v>18893</v>
      </c>
      <c r="B12064" s="450" t="s">
        <v>18894</v>
      </c>
      <c r="C12064" s="450" t="s">
        <v>1378</v>
      </c>
      <c r="D12064" s="450" t="s">
        <v>18895</v>
      </c>
      <c r="E12064" s="450" t="s">
        <v>18896</v>
      </c>
      <c r="F12064" s="450"/>
      <c r="G12064" s="450"/>
      <c r="H12064" s="450"/>
      <c r="I12064" s="450"/>
      <c r="J12064" s="450"/>
      <c r="K12064" s="450"/>
    </row>
    <row r="12065" spans="1:11">
      <c r="A12065" s="451" t="s">
        <v>29818</v>
      </c>
      <c r="B12065" s="451" t="s">
        <v>18894</v>
      </c>
      <c r="C12065" s="451" t="s">
        <v>1378</v>
      </c>
      <c r="D12065" s="451" t="s">
        <v>18895</v>
      </c>
      <c r="E12065" s="451"/>
      <c r="F12065" s="451"/>
      <c r="G12065" s="451" t="s">
        <v>22877</v>
      </c>
      <c r="H12065" s="451" t="s">
        <v>22878</v>
      </c>
      <c r="I12065" s="451" t="s">
        <v>32231</v>
      </c>
      <c r="J12065" s="451" t="s">
        <v>32232</v>
      </c>
      <c r="K12065" s="451"/>
    </row>
    <row r="12066" spans="1:11">
      <c r="A12066" s="450" t="s">
        <v>18897</v>
      </c>
      <c r="B12066" s="450"/>
      <c r="C12066" s="450" t="s">
        <v>18898</v>
      </c>
      <c r="D12066" s="450"/>
      <c r="E12066" s="450"/>
      <c r="F12066" s="450"/>
      <c r="G12066" s="450" t="s">
        <v>22882</v>
      </c>
      <c r="H12066" s="450" t="s">
        <v>22883</v>
      </c>
      <c r="I12066" s="450"/>
      <c r="J12066" s="450" t="s">
        <v>22939</v>
      </c>
      <c r="K12066" s="450"/>
    </row>
    <row r="12067" spans="1:11">
      <c r="A12067" s="451" t="s">
        <v>39337</v>
      </c>
      <c r="B12067" s="451"/>
      <c r="C12067" s="451" t="s">
        <v>6884</v>
      </c>
      <c r="D12067" s="451"/>
      <c r="E12067" s="451"/>
      <c r="F12067" s="451"/>
      <c r="G12067" s="451" t="s">
        <v>22882</v>
      </c>
      <c r="H12067" s="451" t="s">
        <v>22883</v>
      </c>
      <c r="I12067" s="451"/>
      <c r="J12067" s="451" t="s">
        <v>22942</v>
      </c>
      <c r="K12067" s="451"/>
    </row>
    <row r="12068" spans="1:11">
      <c r="A12068" s="450" t="s">
        <v>18899</v>
      </c>
      <c r="B12068" s="450"/>
      <c r="C12068" s="450" t="s">
        <v>6884</v>
      </c>
      <c r="D12068" s="450"/>
      <c r="E12068" s="450"/>
      <c r="F12068" s="450"/>
      <c r="G12068" s="450"/>
      <c r="H12068" s="450"/>
      <c r="I12068" s="450"/>
      <c r="J12068" s="450"/>
      <c r="K12068" s="450"/>
    </row>
    <row r="12069" spans="1:11">
      <c r="A12069" s="451" t="s">
        <v>39338</v>
      </c>
      <c r="B12069" s="451"/>
      <c r="C12069" s="451" t="s">
        <v>18901</v>
      </c>
      <c r="D12069" s="451"/>
      <c r="E12069" s="451"/>
      <c r="F12069" s="451"/>
      <c r="G12069" s="451" t="s">
        <v>22877</v>
      </c>
      <c r="H12069" s="451" t="s">
        <v>22878</v>
      </c>
      <c r="I12069" s="451" t="s">
        <v>39339</v>
      </c>
      <c r="J12069" s="451" t="s">
        <v>22948</v>
      </c>
      <c r="K12069" s="451"/>
    </row>
    <row r="12070" spans="1:11">
      <c r="A12070" s="450" t="s">
        <v>18900</v>
      </c>
      <c r="B12070" s="450"/>
      <c r="C12070" s="450" t="s">
        <v>18901</v>
      </c>
      <c r="D12070" s="450"/>
      <c r="E12070" s="450"/>
      <c r="F12070" s="450"/>
      <c r="G12070" s="450"/>
      <c r="H12070" s="450"/>
      <c r="I12070" s="450"/>
      <c r="J12070" s="450"/>
      <c r="K12070" s="450"/>
    </row>
    <row r="12071" spans="1:11">
      <c r="A12071" s="451" t="s">
        <v>29819</v>
      </c>
      <c r="B12071" s="451" t="s">
        <v>29820</v>
      </c>
      <c r="C12071" s="451" t="s">
        <v>29821</v>
      </c>
      <c r="D12071" s="451" t="s">
        <v>29822</v>
      </c>
      <c r="E12071" s="451"/>
      <c r="F12071" s="451" t="s">
        <v>32233</v>
      </c>
      <c r="G12071" s="451" t="s">
        <v>22877</v>
      </c>
      <c r="H12071" s="451" t="s">
        <v>22878</v>
      </c>
      <c r="I12071" s="451" t="s">
        <v>29822</v>
      </c>
      <c r="J12071" s="451" t="s">
        <v>32234</v>
      </c>
      <c r="K12071" s="451"/>
    </row>
    <row r="12072" spans="1:11">
      <c r="A12072" s="450" t="s">
        <v>18902</v>
      </c>
      <c r="B12072" s="450" t="s">
        <v>29823</v>
      </c>
      <c r="C12072" s="450" t="s">
        <v>14988</v>
      </c>
      <c r="D12072" s="450"/>
      <c r="E12072" s="450"/>
      <c r="F12072" s="450"/>
      <c r="G12072" s="450" t="s">
        <v>22877</v>
      </c>
      <c r="H12072" s="450" t="s">
        <v>22878</v>
      </c>
      <c r="I12072" s="450" t="s">
        <v>32235</v>
      </c>
      <c r="J12072" s="450" t="s">
        <v>32236</v>
      </c>
      <c r="K12072" s="450"/>
    </row>
    <row r="12073" spans="1:11">
      <c r="A12073" s="451" t="s">
        <v>18902</v>
      </c>
      <c r="B12073" s="451" t="s">
        <v>18903</v>
      </c>
      <c r="C12073" s="451" t="s">
        <v>14988</v>
      </c>
      <c r="D12073" s="451"/>
      <c r="E12073" s="451"/>
      <c r="F12073" s="451"/>
      <c r="G12073" s="451"/>
      <c r="H12073" s="451"/>
      <c r="I12073" s="451"/>
      <c r="J12073" s="451"/>
      <c r="K12073" s="451"/>
    </row>
    <row r="12074" spans="1:11">
      <c r="A12074" s="450" t="s">
        <v>39340</v>
      </c>
      <c r="B12074" s="450"/>
      <c r="C12074" s="450" t="s">
        <v>18905</v>
      </c>
      <c r="D12074" s="450"/>
      <c r="E12074" s="450"/>
      <c r="F12074" s="450"/>
      <c r="G12074" s="450" t="s">
        <v>22877</v>
      </c>
      <c r="H12074" s="450" t="s">
        <v>22878</v>
      </c>
      <c r="I12074" s="450" t="s">
        <v>39341</v>
      </c>
      <c r="J12074" s="450" t="s">
        <v>22942</v>
      </c>
      <c r="K12074" s="450"/>
    </row>
    <row r="12075" spans="1:11">
      <c r="A12075" s="451" t="s">
        <v>18904</v>
      </c>
      <c r="B12075" s="451"/>
      <c r="C12075" s="451" t="s">
        <v>18905</v>
      </c>
      <c r="D12075" s="451"/>
      <c r="E12075" s="451"/>
      <c r="F12075" s="451"/>
      <c r="G12075" s="451"/>
      <c r="H12075" s="451"/>
      <c r="I12075" s="451"/>
      <c r="J12075" s="451"/>
      <c r="K12075" s="451"/>
    </row>
    <row r="12076" spans="1:11">
      <c r="A12076" s="450" t="s">
        <v>18906</v>
      </c>
      <c r="B12076" s="450"/>
      <c r="C12076" s="450" t="s">
        <v>18907</v>
      </c>
      <c r="D12076" s="450"/>
      <c r="E12076" s="450"/>
      <c r="F12076" s="450"/>
      <c r="G12076" s="450" t="s">
        <v>22877</v>
      </c>
      <c r="H12076" s="450" t="s">
        <v>22878</v>
      </c>
      <c r="I12076" s="450" t="s">
        <v>32237</v>
      </c>
      <c r="J12076" s="450" t="s">
        <v>32238</v>
      </c>
      <c r="K12076" s="450"/>
    </row>
    <row r="12077" spans="1:11">
      <c r="A12077" s="451" t="s">
        <v>29824</v>
      </c>
      <c r="B12077" s="451" t="s">
        <v>29825</v>
      </c>
      <c r="C12077" s="451" t="s">
        <v>29826</v>
      </c>
      <c r="D12077" s="451"/>
      <c r="E12077" s="451"/>
      <c r="F12077" s="451"/>
      <c r="G12077" s="451" t="s">
        <v>22877</v>
      </c>
      <c r="H12077" s="451" t="s">
        <v>22878</v>
      </c>
      <c r="I12077" s="451" t="s">
        <v>32239</v>
      </c>
      <c r="J12077" s="451" t="s">
        <v>32240</v>
      </c>
      <c r="K12077" s="451"/>
    </row>
    <row r="12078" spans="1:11">
      <c r="A12078" s="450" t="s">
        <v>18908</v>
      </c>
      <c r="B12078" s="450" t="s">
        <v>18909</v>
      </c>
      <c r="C12078" s="450" t="s">
        <v>3255</v>
      </c>
      <c r="D12078" s="450" t="s">
        <v>18910</v>
      </c>
      <c r="E12078" s="450"/>
      <c r="F12078" s="450"/>
      <c r="G12078" s="450" t="s">
        <v>22877</v>
      </c>
      <c r="H12078" s="450" t="s">
        <v>22878</v>
      </c>
      <c r="I12078" s="450" t="s">
        <v>32241</v>
      </c>
      <c r="J12078" s="450" t="s">
        <v>32242</v>
      </c>
      <c r="K12078" s="450"/>
    </row>
    <row r="12079" spans="1:11">
      <c r="A12079" s="451" t="s">
        <v>18911</v>
      </c>
      <c r="B12079" s="451"/>
      <c r="C12079" s="451" t="s">
        <v>6339</v>
      </c>
      <c r="D12079" s="451"/>
      <c r="E12079" s="451"/>
      <c r="F12079" s="451"/>
      <c r="G12079" s="451" t="s">
        <v>22877</v>
      </c>
      <c r="H12079" s="451" t="s">
        <v>22878</v>
      </c>
      <c r="I12079" s="451" t="s">
        <v>39342</v>
      </c>
      <c r="J12079" s="451" t="s">
        <v>22997</v>
      </c>
      <c r="K12079" s="451"/>
    </row>
    <row r="12080" spans="1:11">
      <c r="A12080" s="450" t="s">
        <v>18912</v>
      </c>
      <c r="B12080" s="450"/>
      <c r="C12080" s="450" t="s">
        <v>18913</v>
      </c>
      <c r="D12080" s="450"/>
      <c r="E12080" s="450"/>
      <c r="F12080" s="450"/>
      <c r="G12080" s="450" t="s">
        <v>22877</v>
      </c>
      <c r="H12080" s="450" t="s">
        <v>22878</v>
      </c>
      <c r="I12080" s="450" t="s">
        <v>39343</v>
      </c>
      <c r="J12080" s="450" t="s">
        <v>22997</v>
      </c>
      <c r="K12080" s="450"/>
    </row>
    <row r="12081" spans="1:11">
      <c r="A12081" s="451" t="s">
        <v>18914</v>
      </c>
      <c r="B12081" s="451"/>
      <c r="C12081" s="451" t="s">
        <v>6044</v>
      </c>
      <c r="D12081" s="451"/>
      <c r="E12081" s="451"/>
      <c r="F12081" s="451"/>
      <c r="G12081" s="451" t="s">
        <v>22877</v>
      </c>
      <c r="H12081" s="451" t="s">
        <v>22878</v>
      </c>
      <c r="I12081" s="451" t="s">
        <v>32243</v>
      </c>
      <c r="J12081" s="451" t="s">
        <v>22939</v>
      </c>
      <c r="K12081" s="451"/>
    </row>
    <row r="12082" spans="1:11">
      <c r="A12082" s="450" t="s">
        <v>29827</v>
      </c>
      <c r="B12082" s="450" t="s">
        <v>29828</v>
      </c>
      <c r="C12082" s="450" t="s">
        <v>18981</v>
      </c>
      <c r="D12082" s="450"/>
      <c r="E12082" s="450"/>
      <c r="F12082" s="450"/>
      <c r="G12082" s="450" t="s">
        <v>22877</v>
      </c>
      <c r="H12082" s="450" t="s">
        <v>22878</v>
      </c>
      <c r="I12082" s="450" t="s">
        <v>24726</v>
      </c>
      <c r="J12082" s="450" t="s">
        <v>32244</v>
      </c>
      <c r="K12082" s="450"/>
    </row>
    <row r="12083" spans="1:11">
      <c r="A12083" s="451" t="s">
        <v>39344</v>
      </c>
      <c r="B12083" s="451"/>
      <c r="C12083" s="451" t="s">
        <v>18800</v>
      </c>
      <c r="D12083" s="451"/>
      <c r="E12083" s="451"/>
      <c r="F12083" s="451"/>
      <c r="G12083" s="451" t="s">
        <v>22877</v>
      </c>
      <c r="H12083" s="451" t="s">
        <v>22878</v>
      </c>
      <c r="I12083" s="451" t="s">
        <v>39345</v>
      </c>
      <c r="J12083" s="451" t="s">
        <v>22942</v>
      </c>
      <c r="K12083" s="451"/>
    </row>
    <row r="12084" spans="1:11">
      <c r="A12084" s="450" t="s">
        <v>18915</v>
      </c>
      <c r="B12084" s="450"/>
      <c r="C12084" s="450" t="s">
        <v>4904</v>
      </c>
      <c r="D12084" s="450"/>
      <c r="E12084" s="450"/>
      <c r="F12084" s="450"/>
      <c r="G12084" s="450" t="s">
        <v>22877</v>
      </c>
      <c r="H12084" s="450" t="s">
        <v>22878</v>
      </c>
      <c r="I12084" s="450" t="s">
        <v>32245</v>
      </c>
      <c r="J12084" s="450" t="s">
        <v>23185</v>
      </c>
      <c r="K12084" s="450"/>
    </row>
    <row r="12085" spans="1:11">
      <c r="A12085" s="451" t="s">
        <v>39346</v>
      </c>
      <c r="B12085" s="451" t="s">
        <v>18917</v>
      </c>
      <c r="C12085" s="451" t="s">
        <v>9431</v>
      </c>
      <c r="D12085" s="451" t="s">
        <v>18918</v>
      </c>
      <c r="E12085" s="451"/>
      <c r="F12085" s="451"/>
      <c r="G12085" s="451" t="s">
        <v>22877</v>
      </c>
      <c r="H12085" s="451" t="s">
        <v>22878</v>
      </c>
      <c r="I12085" s="451" t="s">
        <v>18918</v>
      </c>
      <c r="J12085" s="451" t="s">
        <v>39347</v>
      </c>
      <c r="K12085" s="451"/>
    </row>
    <row r="12086" spans="1:11">
      <c r="A12086" s="450" t="s">
        <v>18916</v>
      </c>
      <c r="B12086" s="450" t="s">
        <v>18917</v>
      </c>
      <c r="C12086" s="450" t="s">
        <v>9431</v>
      </c>
      <c r="D12086" s="450" t="s">
        <v>18918</v>
      </c>
      <c r="E12086" s="450" t="s">
        <v>18919</v>
      </c>
      <c r="F12086" s="450"/>
      <c r="G12086" s="450"/>
      <c r="H12086" s="450"/>
      <c r="I12086" s="450"/>
      <c r="J12086" s="450"/>
      <c r="K12086" s="450"/>
    </row>
    <row r="12087" spans="1:11">
      <c r="A12087" s="451" t="s">
        <v>18920</v>
      </c>
      <c r="B12087" s="451" t="s">
        <v>18921</v>
      </c>
      <c r="C12087" s="451" t="s">
        <v>4073</v>
      </c>
      <c r="D12087" s="451" t="s">
        <v>18922</v>
      </c>
      <c r="E12087" s="451"/>
      <c r="F12087" s="451"/>
      <c r="G12087" s="451" t="s">
        <v>22877</v>
      </c>
      <c r="H12087" s="451" t="s">
        <v>22878</v>
      </c>
      <c r="I12087" s="451" t="s">
        <v>18922</v>
      </c>
      <c r="J12087" s="451" t="s">
        <v>39348</v>
      </c>
      <c r="K12087" s="451"/>
    </row>
    <row r="12088" spans="1:11">
      <c r="A12088" s="450" t="s">
        <v>18920</v>
      </c>
      <c r="B12088" s="450" t="s">
        <v>18921</v>
      </c>
      <c r="C12088" s="450" t="s">
        <v>4073</v>
      </c>
      <c r="D12088" s="450" t="s">
        <v>18922</v>
      </c>
      <c r="E12088" s="450" t="s">
        <v>18923</v>
      </c>
      <c r="F12088" s="450"/>
      <c r="G12088" s="450"/>
      <c r="H12088" s="450"/>
      <c r="I12088" s="450"/>
      <c r="J12088" s="450"/>
      <c r="K12088" s="450"/>
    </row>
    <row r="12089" spans="1:11">
      <c r="A12089" s="451" t="s">
        <v>39349</v>
      </c>
      <c r="B12089" s="451"/>
      <c r="C12089" s="451" t="s">
        <v>18925</v>
      </c>
      <c r="D12089" s="451"/>
      <c r="E12089" s="451"/>
      <c r="F12089" s="451"/>
      <c r="G12089" s="451" t="s">
        <v>22877</v>
      </c>
      <c r="H12089" s="451" t="s">
        <v>22878</v>
      </c>
      <c r="I12089" s="451" t="s">
        <v>39350</v>
      </c>
      <c r="J12089" s="451" t="s">
        <v>23370</v>
      </c>
      <c r="K12089" s="451"/>
    </row>
    <row r="12090" spans="1:11">
      <c r="A12090" s="450" t="s">
        <v>18924</v>
      </c>
      <c r="B12090" s="450"/>
      <c r="C12090" s="450" t="s">
        <v>18925</v>
      </c>
      <c r="D12090" s="450"/>
      <c r="E12090" s="450"/>
      <c r="F12090" s="450"/>
      <c r="G12090" s="450"/>
      <c r="H12090" s="450"/>
      <c r="I12090" s="450"/>
      <c r="J12090" s="450"/>
      <c r="K12090" s="450"/>
    </row>
    <row r="12091" spans="1:11">
      <c r="A12091" s="451" t="s">
        <v>39351</v>
      </c>
      <c r="B12091" s="451" t="s">
        <v>18927</v>
      </c>
      <c r="C12091" s="451" t="s">
        <v>18928</v>
      </c>
      <c r="D12091" s="451" t="s">
        <v>18929</v>
      </c>
      <c r="E12091" s="451"/>
      <c r="F12091" s="451"/>
      <c r="G12091" s="451" t="s">
        <v>22877</v>
      </c>
      <c r="H12091" s="451" t="s">
        <v>22878</v>
      </c>
      <c r="I12091" s="451" t="s">
        <v>18929</v>
      </c>
      <c r="J12091" s="451" t="s">
        <v>39352</v>
      </c>
      <c r="K12091" s="451"/>
    </row>
    <row r="12092" spans="1:11">
      <c r="A12092" s="450" t="s">
        <v>18926</v>
      </c>
      <c r="B12092" s="450" t="s">
        <v>18927</v>
      </c>
      <c r="C12092" s="450" t="s">
        <v>18928</v>
      </c>
      <c r="D12092" s="450" t="s">
        <v>18929</v>
      </c>
      <c r="E12092" s="450" t="s">
        <v>18930</v>
      </c>
      <c r="F12092" s="450"/>
      <c r="G12092" s="450"/>
      <c r="H12092" s="450"/>
      <c r="I12092" s="450"/>
      <c r="J12092" s="450"/>
      <c r="K12092" s="450"/>
    </row>
    <row r="12093" spans="1:11">
      <c r="A12093" s="451" t="s">
        <v>18931</v>
      </c>
      <c r="B12093" s="451"/>
      <c r="C12093" s="451" t="s">
        <v>1439</v>
      </c>
      <c r="D12093" s="451"/>
      <c r="E12093" s="451"/>
      <c r="F12093" s="451"/>
      <c r="G12093" s="451" t="s">
        <v>22877</v>
      </c>
      <c r="H12093" s="451" t="s">
        <v>22878</v>
      </c>
      <c r="I12093" s="451" t="s">
        <v>39353</v>
      </c>
      <c r="J12093" s="451" t="s">
        <v>23133</v>
      </c>
      <c r="K12093" s="451"/>
    </row>
    <row r="12094" spans="1:11">
      <c r="A12094" s="450" t="s">
        <v>18932</v>
      </c>
      <c r="B12094" s="450"/>
      <c r="C12094" s="450" t="s">
        <v>10522</v>
      </c>
      <c r="D12094" s="450"/>
      <c r="E12094" s="450"/>
      <c r="F12094" s="450"/>
      <c r="G12094" s="450" t="s">
        <v>22877</v>
      </c>
      <c r="H12094" s="450" t="s">
        <v>22878</v>
      </c>
      <c r="I12094" s="450" t="s">
        <v>32246</v>
      </c>
      <c r="J12094" s="450" t="s">
        <v>22942</v>
      </c>
      <c r="K12094" s="450"/>
    </row>
    <row r="12095" spans="1:11">
      <c r="A12095" s="451" t="s">
        <v>39354</v>
      </c>
      <c r="B12095" s="451" t="s">
        <v>8058</v>
      </c>
      <c r="C12095" s="451" t="s">
        <v>18934</v>
      </c>
      <c r="D12095" s="451"/>
      <c r="E12095" s="451"/>
      <c r="F12095" s="451"/>
      <c r="G12095" s="451" t="s">
        <v>22877</v>
      </c>
      <c r="H12095" s="451" t="s">
        <v>22878</v>
      </c>
      <c r="I12095" s="451" t="s">
        <v>31246</v>
      </c>
      <c r="J12095" s="451" t="s">
        <v>39355</v>
      </c>
      <c r="K12095" s="451"/>
    </row>
    <row r="12096" spans="1:11">
      <c r="A12096" s="450" t="s">
        <v>18933</v>
      </c>
      <c r="B12096" s="450" t="s">
        <v>8058</v>
      </c>
      <c r="C12096" s="450" t="s">
        <v>18934</v>
      </c>
      <c r="D12096" s="450"/>
      <c r="E12096" s="450"/>
      <c r="F12096" s="450"/>
      <c r="G12096" s="450"/>
      <c r="H12096" s="450"/>
      <c r="I12096" s="450"/>
      <c r="J12096" s="450"/>
      <c r="K12096" s="450"/>
    </row>
    <row r="12097" spans="1:11">
      <c r="A12097" s="451" t="s">
        <v>18935</v>
      </c>
      <c r="B12097" s="451"/>
      <c r="C12097" s="451" t="s">
        <v>18936</v>
      </c>
      <c r="D12097" s="451"/>
      <c r="E12097" s="451"/>
      <c r="F12097" s="451"/>
      <c r="G12097" s="451" t="s">
        <v>22877</v>
      </c>
      <c r="H12097" s="451" t="s">
        <v>22878</v>
      </c>
      <c r="I12097" s="451" t="s">
        <v>39356</v>
      </c>
      <c r="J12097" s="451" t="s">
        <v>23185</v>
      </c>
      <c r="K12097" s="451"/>
    </row>
    <row r="12098" spans="1:11">
      <c r="A12098" s="450" t="s">
        <v>18937</v>
      </c>
      <c r="B12098" s="450"/>
      <c r="C12098" s="450" t="s">
        <v>18938</v>
      </c>
      <c r="D12098" s="450"/>
      <c r="E12098" s="450"/>
      <c r="F12098" s="450"/>
      <c r="G12098" s="450" t="s">
        <v>22882</v>
      </c>
      <c r="H12098" s="450" t="s">
        <v>22883</v>
      </c>
      <c r="I12098" s="450" t="s">
        <v>32247</v>
      </c>
      <c r="J12098" s="450" t="s">
        <v>22942</v>
      </c>
      <c r="K12098" s="450"/>
    </row>
    <row r="12099" spans="1:11">
      <c r="A12099" s="451" t="s">
        <v>18939</v>
      </c>
      <c r="B12099" s="451" t="s">
        <v>18940</v>
      </c>
      <c r="C12099" s="451" t="s">
        <v>18941</v>
      </c>
      <c r="D12099" s="451" t="s">
        <v>18942</v>
      </c>
      <c r="E12099" s="451"/>
      <c r="F12099" s="451"/>
      <c r="G12099" s="451" t="s">
        <v>22877</v>
      </c>
      <c r="H12099" s="451" t="s">
        <v>22878</v>
      </c>
      <c r="I12099" s="451" t="s">
        <v>39357</v>
      </c>
      <c r="J12099" s="451" t="s">
        <v>39358</v>
      </c>
      <c r="K12099" s="451"/>
    </row>
    <row r="12100" spans="1:11">
      <c r="A12100" s="450" t="s">
        <v>18939</v>
      </c>
      <c r="B12100" s="450" t="s">
        <v>18940</v>
      </c>
      <c r="C12100" s="450" t="s">
        <v>18941</v>
      </c>
      <c r="D12100" s="450" t="s">
        <v>18942</v>
      </c>
      <c r="E12100" s="450" t="s">
        <v>18943</v>
      </c>
      <c r="F12100" s="450"/>
      <c r="G12100" s="450"/>
      <c r="H12100" s="450"/>
      <c r="I12100" s="450"/>
      <c r="J12100" s="450"/>
      <c r="K12100" s="450"/>
    </row>
    <row r="12101" spans="1:11">
      <c r="A12101" s="451" t="s">
        <v>18944</v>
      </c>
      <c r="B12101" s="451" t="s">
        <v>18945</v>
      </c>
      <c r="C12101" s="451" t="s">
        <v>18946</v>
      </c>
      <c r="D12101" s="451" t="s">
        <v>18947</v>
      </c>
      <c r="E12101" s="451"/>
      <c r="F12101" s="451" t="s">
        <v>18948</v>
      </c>
      <c r="G12101" s="451" t="s">
        <v>22877</v>
      </c>
      <c r="H12101" s="451" t="s">
        <v>22878</v>
      </c>
      <c r="I12101" s="451" t="s">
        <v>32248</v>
      </c>
      <c r="J12101" s="451" t="s">
        <v>32249</v>
      </c>
      <c r="K12101" s="451"/>
    </row>
    <row r="12102" spans="1:11">
      <c r="A12102" s="450" t="s">
        <v>29829</v>
      </c>
      <c r="B12102" s="450" t="s">
        <v>29830</v>
      </c>
      <c r="C12102" s="450" t="s">
        <v>29831</v>
      </c>
      <c r="D12102" s="450"/>
      <c r="E12102" s="450"/>
      <c r="F12102" s="450"/>
      <c r="G12102" s="450" t="s">
        <v>22877</v>
      </c>
      <c r="H12102" s="450" t="s">
        <v>22878</v>
      </c>
      <c r="I12102" s="450" t="s">
        <v>32250</v>
      </c>
      <c r="J12102" s="450" t="s">
        <v>32251</v>
      </c>
      <c r="K12102" s="450"/>
    </row>
    <row r="12103" spans="1:11">
      <c r="A12103" s="451" t="s">
        <v>18949</v>
      </c>
      <c r="B12103" s="451"/>
      <c r="C12103" s="451" t="s">
        <v>18950</v>
      </c>
      <c r="D12103" s="451"/>
      <c r="E12103" s="451"/>
      <c r="F12103" s="451"/>
      <c r="G12103" s="451" t="s">
        <v>22877</v>
      </c>
      <c r="H12103" s="451" t="s">
        <v>22878</v>
      </c>
      <c r="I12103" s="451" t="s">
        <v>32252</v>
      </c>
      <c r="J12103" s="451" t="s">
        <v>23185</v>
      </c>
      <c r="K12103" s="451"/>
    </row>
    <row r="12104" spans="1:11">
      <c r="A12104" s="450" t="s">
        <v>18951</v>
      </c>
      <c r="B12104" s="450"/>
      <c r="C12104" s="450" t="s">
        <v>18952</v>
      </c>
      <c r="D12104" s="450"/>
      <c r="E12104" s="450"/>
      <c r="F12104" s="450"/>
      <c r="G12104" s="450" t="s">
        <v>22877</v>
      </c>
      <c r="H12104" s="450" t="s">
        <v>22878</v>
      </c>
      <c r="I12104" s="450" t="s">
        <v>39359</v>
      </c>
      <c r="J12104" s="450" t="s">
        <v>22997</v>
      </c>
      <c r="K12104" s="450"/>
    </row>
    <row r="12105" spans="1:11">
      <c r="A12105" s="451" t="s">
        <v>18953</v>
      </c>
      <c r="B12105" s="451"/>
      <c r="C12105" s="451" t="s">
        <v>18954</v>
      </c>
      <c r="D12105" s="451"/>
      <c r="E12105" s="451"/>
      <c r="F12105" s="451"/>
      <c r="G12105" s="451" t="s">
        <v>22877</v>
      </c>
      <c r="H12105" s="451" t="s">
        <v>22878</v>
      </c>
      <c r="I12105" s="451" t="s">
        <v>32253</v>
      </c>
      <c r="J12105" s="451" t="s">
        <v>23185</v>
      </c>
      <c r="K12105" s="451"/>
    </row>
    <row r="12106" spans="1:11">
      <c r="A12106" s="450" t="s">
        <v>29832</v>
      </c>
      <c r="B12106" s="450" t="s">
        <v>29833</v>
      </c>
      <c r="C12106" s="450" t="s">
        <v>22137</v>
      </c>
      <c r="D12106" s="450"/>
      <c r="E12106" s="450"/>
      <c r="F12106" s="450"/>
      <c r="G12106" s="450" t="s">
        <v>22877</v>
      </c>
      <c r="H12106" s="450" t="s">
        <v>22878</v>
      </c>
      <c r="I12106" s="450" t="s">
        <v>32254</v>
      </c>
      <c r="J12106" s="450" t="s">
        <v>32255</v>
      </c>
      <c r="K12106" s="450"/>
    </row>
    <row r="12107" spans="1:11">
      <c r="A12107" s="451" t="s">
        <v>29834</v>
      </c>
      <c r="B12107" s="451" t="s">
        <v>29835</v>
      </c>
      <c r="C12107" s="451" t="s">
        <v>29836</v>
      </c>
      <c r="D12107" s="451"/>
      <c r="E12107" s="451"/>
      <c r="F12107" s="451"/>
      <c r="G12107" s="451" t="s">
        <v>22877</v>
      </c>
      <c r="H12107" s="451" t="s">
        <v>22878</v>
      </c>
      <c r="I12107" s="451" t="s">
        <v>32256</v>
      </c>
      <c r="J12107" s="451" t="s">
        <v>32257</v>
      </c>
      <c r="K12107" s="451"/>
    </row>
    <row r="12108" spans="1:11">
      <c r="A12108" s="450" t="s">
        <v>18955</v>
      </c>
      <c r="B12108" s="450"/>
      <c r="C12108" s="450" t="s">
        <v>11683</v>
      </c>
      <c r="D12108" s="450"/>
      <c r="E12108" s="450"/>
      <c r="F12108" s="450"/>
      <c r="G12108" s="450" t="s">
        <v>22877</v>
      </c>
      <c r="H12108" s="450" t="s">
        <v>22878</v>
      </c>
      <c r="I12108" s="450" t="s">
        <v>32258</v>
      </c>
      <c r="J12108" s="450" t="s">
        <v>23185</v>
      </c>
      <c r="K12108" s="450"/>
    </row>
    <row r="12109" spans="1:11">
      <c r="A12109" s="451" t="s">
        <v>18956</v>
      </c>
      <c r="B12109" s="451" t="s">
        <v>18957</v>
      </c>
      <c r="C12109" s="451" t="s">
        <v>18958</v>
      </c>
      <c r="D12109" s="451" t="s">
        <v>18959</v>
      </c>
      <c r="E12109" s="451"/>
      <c r="F12109" s="451"/>
      <c r="G12109" s="451" t="s">
        <v>22877</v>
      </c>
      <c r="H12109" s="451" t="s">
        <v>22878</v>
      </c>
      <c r="I12109" s="451" t="s">
        <v>39360</v>
      </c>
      <c r="J12109" s="451" t="s">
        <v>39361</v>
      </c>
      <c r="K12109" s="451"/>
    </row>
    <row r="12110" spans="1:11">
      <c r="A12110" s="450" t="s">
        <v>18956</v>
      </c>
      <c r="B12110" s="450" t="s">
        <v>18957</v>
      </c>
      <c r="C12110" s="450" t="s">
        <v>18958</v>
      </c>
      <c r="D12110" s="450" t="s">
        <v>18959</v>
      </c>
      <c r="E12110" s="450" t="s">
        <v>18960</v>
      </c>
      <c r="F12110" s="450"/>
      <c r="G12110" s="450"/>
      <c r="H12110" s="450"/>
      <c r="I12110" s="450"/>
      <c r="J12110" s="450"/>
      <c r="K12110" s="450"/>
    </row>
    <row r="12111" spans="1:11">
      <c r="A12111" s="451" t="s">
        <v>18961</v>
      </c>
      <c r="B12111" s="451" t="s">
        <v>18962</v>
      </c>
      <c r="C12111" s="451" t="s">
        <v>18963</v>
      </c>
      <c r="D12111" s="451" t="s">
        <v>18964</v>
      </c>
      <c r="E12111" s="451"/>
      <c r="F12111" s="451"/>
      <c r="G12111" s="451" t="s">
        <v>22882</v>
      </c>
      <c r="H12111" s="451" t="s">
        <v>22883</v>
      </c>
      <c r="I12111" s="451" t="s">
        <v>39362</v>
      </c>
      <c r="J12111" s="451" t="s">
        <v>39363</v>
      </c>
      <c r="K12111" s="451"/>
    </row>
    <row r="12112" spans="1:11">
      <c r="A12112" s="450" t="s">
        <v>18961</v>
      </c>
      <c r="B12112" s="450" t="s">
        <v>18962</v>
      </c>
      <c r="C12112" s="450" t="s">
        <v>18963</v>
      </c>
      <c r="D12112" s="450" t="s">
        <v>18964</v>
      </c>
      <c r="E12112" s="450" t="s">
        <v>18965</v>
      </c>
      <c r="F12112" s="450"/>
      <c r="G12112" s="450"/>
      <c r="H12112" s="450"/>
      <c r="I12112" s="450"/>
      <c r="J12112" s="450"/>
      <c r="K12112" s="450"/>
    </row>
    <row r="12113" spans="1:11">
      <c r="A12113" s="451" t="s">
        <v>18966</v>
      </c>
      <c r="B12113" s="451"/>
      <c r="C12113" s="451" t="s">
        <v>7886</v>
      </c>
      <c r="D12113" s="451"/>
      <c r="E12113" s="451"/>
      <c r="F12113" s="451"/>
      <c r="G12113" s="451" t="s">
        <v>22882</v>
      </c>
      <c r="H12113" s="451" t="s">
        <v>22883</v>
      </c>
      <c r="I12113" s="451" t="s">
        <v>39364</v>
      </c>
      <c r="J12113" s="451" t="s">
        <v>22942</v>
      </c>
      <c r="K12113" s="451"/>
    </row>
    <row r="12114" spans="1:11">
      <c r="A12114" s="450" t="s">
        <v>39365</v>
      </c>
      <c r="B12114" s="450"/>
      <c r="C12114" s="450" t="s">
        <v>18968</v>
      </c>
      <c r="D12114" s="450"/>
      <c r="E12114" s="450"/>
      <c r="F12114" s="450"/>
      <c r="G12114" s="450" t="s">
        <v>22882</v>
      </c>
      <c r="H12114" s="450" t="s">
        <v>22883</v>
      </c>
      <c r="I12114" s="450" t="s">
        <v>39366</v>
      </c>
      <c r="J12114" s="450" t="s">
        <v>22942</v>
      </c>
      <c r="K12114" s="450"/>
    </row>
    <row r="12115" spans="1:11">
      <c r="A12115" s="451" t="s">
        <v>18967</v>
      </c>
      <c r="B12115" s="451"/>
      <c r="C12115" s="451" t="s">
        <v>18968</v>
      </c>
      <c r="D12115" s="451"/>
      <c r="E12115" s="451"/>
      <c r="F12115" s="451"/>
      <c r="G12115" s="451"/>
      <c r="H12115" s="451"/>
      <c r="I12115" s="451"/>
      <c r="J12115" s="451"/>
      <c r="K12115" s="451"/>
    </row>
    <row r="12116" spans="1:11">
      <c r="A12116" s="450" t="s">
        <v>29837</v>
      </c>
      <c r="B12116" s="450" t="s">
        <v>29838</v>
      </c>
      <c r="C12116" s="450" t="s">
        <v>29839</v>
      </c>
      <c r="D12116" s="450"/>
      <c r="E12116" s="450"/>
      <c r="F12116" s="450"/>
      <c r="G12116" s="450" t="s">
        <v>22877</v>
      </c>
      <c r="H12116" s="450" t="s">
        <v>22878</v>
      </c>
      <c r="I12116" s="450" t="s">
        <v>32259</v>
      </c>
      <c r="J12116" s="450" t="s">
        <v>32260</v>
      </c>
      <c r="K12116" s="450"/>
    </row>
    <row r="12117" spans="1:11">
      <c r="A12117" s="451" t="s">
        <v>18969</v>
      </c>
      <c r="B12117" s="451"/>
      <c r="C12117" s="451" t="s">
        <v>18970</v>
      </c>
      <c r="D12117" s="451"/>
      <c r="E12117" s="451"/>
      <c r="F12117" s="451"/>
      <c r="G12117" s="451" t="s">
        <v>22877</v>
      </c>
      <c r="H12117" s="451" t="s">
        <v>22878</v>
      </c>
      <c r="I12117" s="451" t="s">
        <v>32252</v>
      </c>
      <c r="J12117" s="451" t="s">
        <v>23185</v>
      </c>
      <c r="K12117" s="451"/>
    </row>
    <row r="12118" spans="1:11">
      <c r="A12118" s="450" t="s">
        <v>29840</v>
      </c>
      <c r="B12118" s="450" t="s">
        <v>18972</v>
      </c>
      <c r="C12118" s="450" t="s">
        <v>18973</v>
      </c>
      <c r="D12118" s="450"/>
      <c r="E12118" s="450"/>
      <c r="F12118" s="450"/>
      <c r="G12118" s="450" t="s">
        <v>22882</v>
      </c>
      <c r="H12118" s="450" t="s">
        <v>22883</v>
      </c>
      <c r="I12118" s="450" t="s">
        <v>32261</v>
      </c>
      <c r="J12118" s="450" t="s">
        <v>32262</v>
      </c>
      <c r="K12118" s="450"/>
    </row>
    <row r="12119" spans="1:11">
      <c r="A12119" s="451" t="s">
        <v>18971</v>
      </c>
      <c r="B12119" s="451" t="s">
        <v>18972</v>
      </c>
      <c r="C12119" s="451" t="s">
        <v>18973</v>
      </c>
      <c r="D12119" s="451"/>
      <c r="E12119" s="451"/>
      <c r="F12119" s="451"/>
      <c r="G12119" s="451"/>
      <c r="H12119" s="451"/>
      <c r="I12119" s="451"/>
      <c r="J12119" s="451"/>
      <c r="K12119" s="451"/>
    </row>
    <row r="12120" spans="1:11">
      <c r="A12120" s="450" t="s">
        <v>18974</v>
      </c>
      <c r="B12120" s="450" t="s">
        <v>18975</v>
      </c>
      <c r="C12120" s="450" t="s">
        <v>18976</v>
      </c>
      <c r="D12120" s="450"/>
      <c r="E12120" s="450"/>
      <c r="F12120" s="450"/>
      <c r="G12120" s="450"/>
      <c r="H12120" s="450"/>
      <c r="I12120" s="450"/>
      <c r="J12120" s="450"/>
      <c r="K12120" s="450"/>
    </row>
    <row r="12121" spans="1:11">
      <c r="A12121" s="451" t="s">
        <v>29841</v>
      </c>
      <c r="B12121" s="451" t="s">
        <v>18975</v>
      </c>
      <c r="C12121" s="451" t="s">
        <v>18976</v>
      </c>
      <c r="D12121" s="451"/>
      <c r="E12121" s="451"/>
      <c r="F12121" s="451"/>
      <c r="G12121" s="451" t="s">
        <v>22877</v>
      </c>
      <c r="H12121" s="451" t="s">
        <v>22878</v>
      </c>
      <c r="I12121" s="451" t="s">
        <v>32263</v>
      </c>
      <c r="J12121" s="451" t="s">
        <v>32264</v>
      </c>
      <c r="K12121" s="451"/>
    </row>
    <row r="12122" spans="1:11">
      <c r="A12122" s="450" t="s">
        <v>18977</v>
      </c>
      <c r="B12122" s="450"/>
      <c r="C12122" s="450" t="s">
        <v>18978</v>
      </c>
      <c r="D12122" s="450"/>
      <c r="E12122" s="450"/>
      <c r="F12122" s="450"/>
      <c r="G12122" s="450"/>
      <c r="H12122" s="450"/>
      <c r="I12122" s="450"/>
      <c r="J12122" s="450"/>
      <c r="K12122" s="450"/>
    </row>
    <row r="12123" spans="1:11">
      <c r="A12123" s="451" t="s">
        <v>29842</v>
      </c>
      <c r="B12123" s="451"/>
      <c r="C12123" s="451" t="s">
        <v>18978</v>
      </c>
      <c r="D12123" s="451"/>
      <c r="E12123" s="451"/>
      <c r="F12123" s="451"/>
      <c r="G12123" s="451" t="s">
        <v>22882</v>
      </c>
      <c r="H12123" s="451" t="s">
        <v>22883</v>
      </c>
      <c r="I12123" s="451" t="s">
        <v>32265</v>
      </c>
      <c r="J12123" s="451" t="s">
        <v>28403</v>
      </c>
      <c r="K12123" s="451"/>
    </row>
    <row r="12124" spans="1:11">
      <c r="A12124" s="450" t="s">
        <v>18979</v>
      </c>
      <c r="B12124" s="450" t="s">
        <v>18980</v>
      </c>
      <c r="C12124" s="450" t="s">
        <v>18981</v>
      </c>
      <c r="D12124" s="450"/>
      <c r="E12124" s="450"/>
      <c r="F12124" s="450"/>
      <c r="G12124" s="450" t="s">
        <v>22877</v>
      </c>
      <c r="H12124" s="450" t="s">
        <v>22878</v>
      </c>
      <c r="I12124" s="450" t="s">
        <v>24726</v>
      </c>
      <c r="J12124" s="450" t="s">
        <v>32266</v>
      </c>
      <c r="K12124" s="450"/>
    </row>
    <row r="12125" spans="1:11">
      <c r="A12125" s="451" t="s">
        <v>18982</v>
      </c>
      <c r="B12125" s="451"/>
      <c r="C12125" s="451" t="s">
        <v>18983</v>
      </c>
      <c r="D12125" s="451"/>
      <c r="E12125" s="451"/>
      <c r="F12125" s="451"/>
      <c r="G12125" s="451" t="s">
        <v>22877</v>
      </c>
      <c r="H12125" s="451" t="s">
        <v>22878</v>
      </c>
      <c r="I12125" s="451" t="s">
        <v>39367</v>
      </c>
      <c r="J12125" s="451" t="s">
        <v>23185</v>
      </c>
      <c r="K12125" s="451"/>
    </row>
    <row r="12126" spans="1:11">
      <c r="A12126" s="450" t="s">
        <v>18984</v>
      </c>
      <c r="B12126" s="450"/>
      <c r="C12126" s="450" t="s">
        <v>18985</v>
      </c>
      <c r="D12126" s="450"/>
      <c r="E12126" s="450"/>
      <c r="F12126" s="450"/>
      <c r="G12126" s="450" t="s">
        <v>22877</v>
      </c>
      <c r="H12126" s="450" t="s">
        <v>22878</v>
      </c>
      <c r="I12126" s="450" t="s">
        <v>39368</v>
      </c>
      <c r="J12126" s="450" t="s">
        <v>23370</v>
      </c>
      <c r="K12126" s="450"/>
    </row>
    <row r="12127" spans="1:11">
      <c r="A12127" s="451" t="s">
        <v>18986</v>
      </c>
      <c r="B12127" s="451"/>
      <c r="C12127" s="451" t="s">
        <v>18987</v>
      </c>
      <c r="D12127" s="451"/>
      <c r="E12127" s="451"/>
      <c r="F12127" s="451"/>
      <c r="G12127" s="451" t="s">
        <v>22882</v>
      </c>
      <c r="H12127" s="451" t="s">
        <v>22883</v>
      </c>
      <c r="I12127" s="451" t="s">
        <v>39369</v>
      </c>
      <c r="J12127" s="451" t="s">
        <v>22942</v>
      </c>
      <c r="K12127" s="451"/>
    </row>
    <row r="12128" spans="1:11">
      <c r="A12128" s="450" t="s">
        <v>39370</v>
      </c>
      <c r="B12128" s="450"/>
      <c r="C12128" s="450" t="s">
        <v>18989</v>
      </c>
      <c r="D12128" s="450"/>
      <c r="E12128" s="450"/>
      <c r="F12128" s="450"/>
      <c r="G12128" s="450" t="s">
        <v>22882</v>
      </c>
      <c r="H12128" s="450" t="s">
        <v>22883</v>
      </c>
      <c r="I12128" s="450" t="s">
        <v>39371</v>
      </c>
      <c r="J12128" s="450" t="s">
        <v>22997</v>
      </c>
      <c r="K12128" s="450"/>
    </row>
    <row r="12129" spans="1:11">
      <c r="A12129" s="451" t="s">
        <v>18988</v>
      </c>
      <c r="B12129" s="451"/>
      <c r="C12129" s="451" t="s">
        <v>18989</v>
      </c>
      <c r="D12129" s="451"/>
      <c r="E12129" s="451"/>
      <c r="F12129" s="451"/>
      <c r="G12129" s="451"/>
      <c r="H12129" s="451"/>
      <c r="I12129" s="451"/>
      <c r="J12129" s="451"/>
      <c r="K12129" s="451"/>
    </row>
    <row r="12130" spans="1:11">
      <c r="A12130" s="450" t="s">
        <v>39372</v>
      </c>
      <c r="B12130" s="450" t="s">
        <v>18991</v>
      </c>
      <c r="C12130" s="450" t="s">
        <v>18992</v>
      </c>
      <c r="D12130" s="450"/>
      <c r="E12130" s="450"/>
      <c r="F12130" s="450"/>
      <c r="G12130" s="450" t="s">
        <v>22877</v>
      </c>
      <c r="H12130" s="450" t="s">
        <v>22878</v>
      </c>
      <c r="I12130" s="450" t="s">
        <v>39373</v>
      </c>
      <c r="J12130" s="450" t="s">
        <v>39374</v>
      </c>
      <c r="K12130" s="450"/>
    </row>
    <row r="12131" spans="1:11">
      <c r="A12131" s="451" t="s">
        <v>18990</v>
      </c>
      <c r="B12131" s="451" t="s">
        <v>18991</v>
      </c>
      <c r="C12131" s="451" t="s">
        <v>18992</v>
      </c>
      <c r="D12131" s="451"/>
      <c r="E12131" s="451"/>
      <c r="F12131" s="451"/>
      <c r="G12131" s="451"/>
      <c r="H12131" s="451"/>
      <c r="I12131" s="451"/>
      <c r="J12131" s="451"/>
      <c r="K12131" s="451"/>
    </row>
    <row r="12132" spans="1:11">
      <c r="A12132" s="450" t="s">
        <v>39375</v>
      </c>
      <c r="B12132" s="450"/>
      <c r="C12132" s="450" t="s">
        <v>10787</v>
      </c>
      <c r="D12132" s="450"/>
      <c r="E12132" s="450"/>
      <c r="F12132" s="450"/>
      <c r="G12132" s="450" t="s">
        <v>22882</v>
      </c>
      <c r="H12132" s="450" t="s">
        <v>22883</v>
      </c>
      <c r="I12132" s="450" t="s">
        <v>39376</v>
      </c>
      <c r="J12132" s="450" t="s">
        <v>22942</v>
      </c>
      <c r="K12132" s="450"/>
    </row>
    <row r="12133" spans="1:11">
      <c r="A12133" s="451" t="s">
        <v>18993</v>
      </c>
      <c r="B12133" s="451"/>
      <c r="C12133" s="451" t="s">
        <v>10787</v>
      </c>
      <c r="D12133" s="451"/>
      <c r="E12133" s="451"/>
      <c r="F12133" s="451"/>
      <c r="G12133" s="451"/>
      <c r="H12133" s="451"/>
      <c r="I12133" s="451"/>
      <c r="J12133" s="451"/>
      <c r="K12133" s="451"/>
    </row>
    <row r="12134" spans="1:11">
      <c r="A12134" s="450" t="s">
        <v>39377</v>
      </c>
      <c r="B12134" s="450"/>
      <c r="C12134" s="450" t="s">
        <v>3121</v>
      </c>
      <c r="D12134" s="450"/>
      <c r="E12134" s="450"/>
      <c r="F12134" s="450"/>
      <c r="G12134" s="450" t="s">
        <v>22882</v>
      </c>
      <c r="H12134" s="450" t="s">
        <v>22883</v>
      </c>
      <c r="I12134" s="450" t="s">
        <v>39378</v>
      </c>
      <c r="J12134" s="450" t="s">
        <v>28870</v>
      </c>
      <c r="K12134" s="450"/>
    </row>
    <row r="12135" spans="1:11">
      <c r="A12135" s="451" t="s">
        <v>18994</v>
      </c>
      <c r="B12135" s="451"/>
      <c r="C12135" s="451" t="s">
        <v>3121</v>
      </c>
      <c r="D12135" s="451"/>
      <c r="E12135" s="451"/>
      <c r="F12135" s="451"/>
      <c r="G12135" s="451"/>
      <c r="H12135" s="451"/>
      <c r="I12135" s="451"/>
      <c r="J12135" s="451"/>
      <c r="K12135" s="451"/>
    </row>
    <row r="12136" spans="1:11">
      <c r="A12136" s="450" t="s">
        <v>18995</v>
      </c>
      <c r="B12136" s="450" t="s">
        <v>18996</v>
      </c>
      <c r="C12136" s="450" t="s">
        <v>4489</v>
      </c>
      <c r="D12136" s="450"/>
      <c r="E12136" s="450"/>
      <c r="F12136" s="450"/>
      <c r="G12136" s="450" t="s">
        <v>22882</v>
      </c>
      <c r="H12136" s="450" t="s">
        <v>22883</v>
      </c>
      <c r="I12136" s="450" t="s">
        <v>32267</v>
      </c>
      <c r="J12136" s="450" t="s">
        <v>32268</v>
      </c>
      <c r="K12136" s="450"/>
    </row>
    <row r="12137" spans="1:11">
      <c r="A12137" s="451" t="s">
        <v>29843</v>
      </c>
      <c r="B12137" s="451" t="s">
        <v>29758</v>
      </c>
      <c r="C12137" s="451" t="s">
        <v>29759</v>
      </c>
      <c r="D12137" s="451"/>
      <c r="E12137" s="451"/>
      <c r="F12137" s="451"/>
      <c r="G12137" s="451" t="s">
        <v>22877</v>
      </c>
      <c r="H12137" s="451" t="s">
        <v>22878</v>
      </c>
      <c r="I12137" s="451" t="s">
        <v>32150</v>
      </c>
      <c r="J12137" s="451" t="s">
        <v>32151</v>
      </c>
      <c r="K12137" s="451"/>
    </row>
    <row r="12138" spans="1:11">
      <c r="A12138" s="450" t="s">
        <v>39379</v>
      </c>
      <c r="B12138" s="450"/>
      <c r="C12138" s="450" t="s">
        <v>3171</v>
      </c>
      <c r="D12138" s="450"/>
      <c r="E12138" s="450"/>
      <c r="F12138" s="450"/>
      <c r="G12138" s="450" t="s">
        <v>22877</v>
      </c>
      <c r="H12138" s="450" t="s">
        <v>22878</v>
      </c>
      <c r="I12138" s="450" t="s">
        <v>39380</v>
      </c>
      <c r="J12138" s="450" t="s">
        <v>22997</v>
      </c>
      <c r="K12138" s="450"/>
    </row>
    <row r="12139" spans="1:11">
      <c r="A12139" s="451" t="s">
        <v>18997</v>
      </c>
      <c r="B12139" s="451"/>
      <c r="C12139" s="451" t="s">
        <v>3171</v>
      </c>
      <c r="D12139" s="451"/>
      <c r="E12139" s="451"/>
      <c r="F12139" s="451"/>
      <c r="G12139" s="451"/>
      <c r="H12139" s="451"/>
      <c r="I12139" s="451"/>
      <c r="J12139" s="451"/>
      <c r="K12139" s="451"/>
    </row>
    <row r="12140" spans="1:11">
      <c r="A12140" s="450" t="s">
        <v>18998</v>
      </c>
      <c r="B12140" s="450"/>
      <c r="C12140" s="450" t="s">
        <v>18999</v>
      </c>
      <c r="D12140" s="450"/>
      <c r="E12140" s="450"/>
      <c r="F12140" s="450"/>
      <c r="G12140" s="450" t="s">
        <v>22877</v>
      </c>
      <c r="H12140" s="450" t="s">
        <v>22878</v>
      </c>
      <c r="I12140" s="450" t="s">
        <v>32269</v>
      </c>
      <c r="J12140" s="450" t="s">
        <v>22939</v>
      </c>
      <c r="K12140" s="450"/>
    </row>
    <row r="12141" spans="1:11">
      <c r="A12141" s="451" t="s">
        <v>19000</v>
      </c>
      <c r="B12141" s="451" t="s">
        <v>19001</v>
      </c>
      <c r="C12141" s="451" t="s">
        <v>19002</v>
      </c>
      <c r="D12141" s="451"/>
      <c r="E12141" s="451"/>
      <c r="F12141" s="451" t="s">
        <v>19003</v>
      </c>
      <c r="G12141" s="451" t="s">
        <v>22877</v>
      </c>
      <c r="H12141" s="451" t="s">
        <v>22878</v>
      </c>
      <c r="I12141" s="451" t="s">
        <v>32270</v>
      </c>
      <c r="J12141" s="451" t="s">
        <v>32271</v>
      </c>
      <c r="K12141" s="451"/>
    </row>
    <row r="12142" spans="1:11">
      <c r="A12142" s="450" t="s">
        <v>29844</v>
      </c>
      <c r="B12142" s="450"/>
      <c r="C12142" s="450" t="s">
        <v>10080</v>
      </c>
      <c r="D12142" s="450"/>
      <c r="E12142" s="450"/>
      <c r="F12142" s="450"/>
      <c r="G12142" s="450" t="s">
        <v>22877</v>
      </c>
      <c r="H12142" s="450" t="s">
        <v>22878</v>
      </c>
      <c r="I12142" s="450" t="s">
        <v>32272</v>
      </c>
      <c r="J12142" s="450" t="s">
        <v>23185</v>
      </c>
      <c r="K12142" s="450"/>
    </row>
    <row r="12143" spans="1:11">
      <c r="A12143" s="451" t="s">
        <v>19004</v>
      </c>
      <c r="B12143" s="451"/>
      <c r="C12143" s="451" t="s">
        <v>19005</v>
      </c>
      <c r="D12143" s="451"/>
      <c r="E12143" s="451"/>
      <c r="F12143" s="451"/>
      <c r="G12143" s="451"/>
      <c r="H12143" s="451"/>
      <c r="I12143" s="451"/>
      <c r="J12143" s="451"/>
      <c r="K12143" s="451"/>
    </row>
    <row r="12144" spans="1:11">
      <c r="A12144" s="450" t="s">
        <v>19006</v>
      </c>
      <c r="B12144" s="450"/>
      <c r="C12144" s="450" t="s">
        <v>19007</v>
      </c>
      <c r="D12144" s="450"/>
      <c r="E12144" s="450"/>
      <c r="F12144" s="450"/>
      <c r="G12144" s="450"/>
      <c r="H12144" s="450"/>
      <c r="I12144" s="450"/>
      <c r="J12144" s="450"/>
      <c r="K12144" s="450"/>
    </row>
    <row r="12145" spans="1:11">
      <c r="A12145" s="451" t="s">
        <v>29845</v>
      </c>
      <c r="B12145" s="451" t="s">
        <v>29846</v>
      </c>
      <c r="C12145" s="451" t="s">
        <v>29847</v>
      </c>
      <c r="D12145" s="451" t="s">
        <v>29848</v>
      </c>
      <c r="E12145" s="451"/>
      <c r="F12145" s="451" t="s">
        <v>29849</v>
      </c>
      <c r="G12145" s="451" t="s">
        <v>22877</v>
      </c>
      <c r="H12145" s="451" t="s">
        <v>22878</v>
      </c>
      <c r="I12145" s="451"/>
      <c r="J12145" s="451" t="s">
        <v>32273</v>
      </c>
      <c r="K12145" s="451"/>
    </row>
    <row r="12146" spans="1:11">
      <c r="A12146" s="450" t="s">
        <v>29850</v>
      </c>
      <c r="B12146" s="450" t="s">
        <v>29851</v>
      </c>
      <c r="C12146" s="450" t="s">
        <v>29852</v>
      </c>
      <c r="D12146" s="450"/>
      <c r="E12146" s="450"/>
      <c r="F12146" s="450"/>
      <c r="G12146" s="450" t="s">
        <v>22877</v>
      </c>
      <c r="H12146" s="450" t="s">
        <v>22878</v>
      </c>
      <c r="I12146" s="450" t="s">
        <v>32274</v>
      </c>
      <c r="J12146" s="450" t="s">
        <v>32275</v>
      </c>
      <c r="K12146" s="450"/>
    </row>
    <row r="12147" spans="1:11">
      <c r="A12147" s="451" t="s">
        <v>29853</v>
      </c>
      <c r="B12147" s="451" t="s">
        <v>29854</v>
      </c>
      <c r="C12147" s="451" t="s">
        <v>2349</v>
      </c>
      <c r="D12147" s="451"/>
      <c r="E12147" s="451"/>
      <c r="F12147" s="451"/>
      <c r="G12147" s="451" t="s">
        <v>22882</v>
      </c>
      <c r="H12147" s="451" t="s">
        <v>22883</v>
      </c>
      <c r="I12147" s="451" t="s">
        <v>32276</v>
      </c>
      <c r="J12147" s="451" t="s">
        <v>32277</v>
      </c>
      <c r="K12147" s="451"/>
    </row>
    <row r="12148" spans="1:11">
      <c r="A12148" s="450" t="s">
        <v>29855</v>
      </c>
      <c r="B12148" s="450" t="s">
        <v>19013</v>
      </c>
      <c r="C12148" s="450" t="s">
        <v>15201</v>
      </c>
      <c r="D12148" s="450"/>
      <c r="E12148" s="450"/>
      <c r="F12148" s="450"/>
      <c r="G12148" s="450" t="s">
        <v>22877</v>
      </c>
      <c r="H12148" s="450" t="s">
        <v>22878</v>
      </c>
      <c r="I12148" s="450" t="s">
        <v>28147</v>
      </c>
      <c r="J12148" s="450" t="s">
        <v>32278</v>
      </c>
      <c r="K12148" s="450"/>
    </row>
    <row r="12149" spans="1:11">
      <c r="A12149" s="451" t="s">
        <v>29856</v>
      </c>
      <c r="B12149" s="451" t="s">
        <v>29857</v>
      </c>
      <c r="C12149" s="451" t="s">
        <v>29858</v>
      </c>
      <c r="D12149" s="451" t="s">
        <v>29859</v>
      </c>
      <c r="E12149" s="451"/>
      <c r="F12149" s="451" t="s">
        <v>29860</v>
      </c>
      <c r="G12149" s="451" t="s">
        <v>22882</v>
      </c>
      <c r="H12149" s="451" t="s">
        <v>22883</v>
      </c>
      <c r="I12149" s="451" t="s">
        <v>29859</v>
      </c>
      <c r="J12149" s="451" t="s">
        <v>32279</v>
      </c>
      <c r="K12149" s="451"/>
    </row>
    <row r="12150" spans="1:11">
      <c r="A12150" s="450" t="s">
        <v>29861</v>
      </c>
      <c r="B12150" s="450" t="s">
        <v>29862</v>
      </c>
      <c r="C12150" s="450" t="s">
        <v>29863</v>
      </c>
      <c r="D12150" s="450"/>
      <c r="E12150" s="450"/>
      <c r="F12150" s="450"/>
      <c r="G12150" s="450" t="s">
        <v>22882</v>
      </c>
      <c r="H12150" s="450" t="s">
        <v>22883</v>
      </c>
      <c r="I12150" s="450" t="s">
        <v>32280</v>
      </c>
      <c r="J12150" s="450" t="s">
        <v>32281</v>
      </c>
      <c r="K12150" s="450"/>
    </row>
    <row r="12151" spans="1:11">
      <c r="A12151" s="451" t="s">
        <v>20492</v>
      </c>
      <c r="B12151" s="451" t="s">
        <v>20493</v>
      </c>
      <c r="C12151" s="451" t="s">
        <v>20494</v>
      </c>
      <c r="D12151" s="451" t="s">
        <v>20495</v>
      </c>
      <c r="E12151" s="451"/>
      <c r="F12151" s="451" t="s">
        <v>20496</v>
      </c>
      <c r="G12151" s="451"/>
      <c r="H12151" s="451"/>
      <c r="I12151" s="451"/>
      <c r="J12151" s="451"/>
      <c r="K12151" s="451"/>
    </row>
    <row r="12152" spans="1:11">
      <c r="A12152" s="450" t="s">
        <v>29864</v>
      </c>
      <c r="B12152" s="450" t="s">
        <v>29865</v>
      </c>
      <c r="C12152" s="450" t="s">
        <v>29866</v>
      </c>
      <c r="D12152" s="450" t="s">
        <v>29867</v>
      </c>
      <c r="E12152" s="450"/>
      <c r="F12152" s="450" t="s">
        <v>29868</v>
      </c>
      <c r="G12152" s="450" t="s">
        <v>22882</v>
      </c>
      <c r="H12152" s="450" t="s">
        <v>22883</v>
      </c>
      <c r="I12152" s="450" t="s">
        <v>29867</v>
      </c>
      <c r="J12152" s="450" t="s">
        <v>32282</v>
      </c>
      <c r="K12152" s="450"/>
    </row>
    <row r="12153" spans="1:11">
      <c r="A12153" s="451" t="s">
        <v>20483</v>
      </c>
      <c r="B12153" s="451" t="s">
        <v>20484</v>
      </c>
      <c r="C12153" s="451" t="s">
        <v>20485</v>
      </c>
      <c r="D12153" s="451" t="s">
        <v>20486</v>
      </c>
      <c r="E12153" s="451"/>
      <c r="F12153" s="451" t="s">
        <v>20487</v>
      </c>
      <c r="G12153" s="451" t="s">
        <v>22877</v>
      </c>
      <c r="H12153" s="451" t="s">
        <v>22878</v>
      </c>
      <c r="I12153" s="451" t="s">
        <v>32283</v>
      </c>
      <c r="J12153" s="451" t="s">
        <v>32284</v>
      </c>
      <c r="K12153" s="451"/>
    </row>
    <row r="12154" spans="1:11">
      <c r="A12154" s="450" t="s">
        <v>29869</v>
      </c>
      <c r="B12154" s="450" t="s">
        <v>29870</v>
      </c>
      <c r="C12154" s="450" t="s">
        <v>29871</v>
      </c>
      <c r="D12154" s="450" t="s">
        <v>29872</v>
      </c>
      <c r="E12154" s="450"/>
      <c r="F12154" s="450"/>
      <c r="G12154" s="450" t="s">
        <v>22882</v>
      </c>
      <c r="H12154" s="450" t="s">
        <v>22883</v>
      </c>
      <c r="I12154" s="450" t="s">
        <v>29872</v>
      </c>
      <c r="J12154" s="450" t="s">
        <v>32285</v>
      </c>
      <c r="K12154" s="450"/>
    </row>
    <row r="12155" spans="1:11">
      <c r="A12155" s="451" t="s">
        <v>29873</v>
      </c>
      <c r="B12155" s="451" t="s">
        <v>29874</v>
      </c>
      <c r="C12155" s="451" t="s">
        <v>29875</v>
      </c>
      <c r="D12155" s="451" t="s">
        <v>29876</v>
      </c>
      <c r="E12155" s="451"/>
      <c r="F12155" s="451"/>
      <c r="G12155" s="451" t="s">
        <v>22877</v>
      </c>
      <c r="H12155" s="451" t="s">
        <v>22878</v>
      </c>
      <c r="I12155" s="451" t="s">
        <v>32286</v>
      </c>
      <c r="J12155" s="451" t="s">
        <v>32287</v>
      </c>
      <c r="K12155" s="451"/>
    </row>
    <row r="12156" spans="1:11">
      <c r="A12156" s="450" t="s">
        <v>19008</v>
      </c>
      <c r="B12156" s="450" t="s">
        <v>9284</v>
      </c>
      <c r="C12156" s="450" t="s">
        <v>19009</v>
      </c>
      <c r="D12156" s="450" t="s">
        <v>19010</v>
      </c>
      <c r="E12156" s="450"/>
      <c r="F12156" s="450" t="s">
        <v>7372</v>
      </c>
      <c r="G12156" s="450" t="s">
        <v>22882</v>
      </c>
      <c r="H12156" s="450" t="s">
        <v>22883</v>
      </c>
      <c r="I12156" s="450" t="s">
        <v>19010</v>
      </c>
      <c r="J12156" s="450" t="s">
        <v>32288</v>
      </c>
      <c r="K12156" s="450"/>
    </row>
    <row r="12157" spans="1:11">
      <c r="A12157" s="451" t="s">
        <v>19011</v>
      </c>
      <c r="B12157" s="451"/>
      <c r="C12157" s="451" t="s">
        <v>15190</v>
      </c>
      <c r="D12157" s="451"/>
      <c r="E12157" s="451"/>
      <c r="F12157" s="451"/>
      <c r="G12157" s="451"/>
      <c r="H12157" s="451"/>
      <c r="I12157" s="451"/>
      <c r="J12157" s="451"/>
      <c r="K12157" s="451"/>
    </row>
    <row r="12158" spans="1:11">
      <c r="A12158" s="450" t="s">
        <v>19012</v>
      </c>
      <c r="B12158" s="450" t="s">
        <v>19013</v>
      </c>
      <c r="C12158" s="450" t="s">
        <v>15201</v>
      </c>
      <c r="D12158" s="450"/>
      <c r="E12158" s="450"/>
      <c r="F12158" s="450"/>
      <c r="G12158" s="450"/>
      <c r="H12158" s="450"/>
      <c r="I12158" s="450"/>
      <c r="J12158" s="450"/>
      <c r="K12158" s="450"/>
    </row>
    <row r="12159" spans="1:11">
      <c r="A12159" s="451" t="s">
        <v>19014</v>
      </c>
      <c r="B12159" s="451"/>
      <c r="C12159" s="451" t="s">
        <v>19015</v>
      </c>
      <c r="D12159" s="451"/>
      <c r="E12159" s="451"/>
      <c r="F12159" s="451"/>
      <c r="G12159" s="451" t="s">
        <v>22882</v>
      </c>
      <c r="H12159" s="451" t="s">
        <v>22883</v>
      </c>
      <c r="I12159" s="451" t="s">
        <v>39381</v>
      </c>
      <c r="J12159" s="451" t="s">
        <v>23185</v>
      </c>
      <c r="K12159" s="451"/>
    </row>
    <row r="12160" spans="1:11">
      <c r="A12160" s="450" t="s">
        <v>39382</v>
      </c>
      <c r="B12160" s="450"/>
      <c r="C12160" s="450" t="s">
        <v>19017</v>
      </c>
      <c r="D12160" s="450"/>
      <c r="E12160" s="450"/>
      <c r="F12160" s="450"/>
      <c r="G12160" s="450" t="s">
        <v>22882</v>
      </c>
      <c r="H12160" s="450" t="s">
        <v>22883</v>
      </c>
      <c r="I12160" s="450" t="s">
        <v>39383</v>
      </c>
      <c r="J12160" s="450" t="s">
        <v>22997</v>
      </c>
      <c r="K12160" s="450"/>
    </row>
    <row r="12161" spans="1:11">
      <c r="A12161" s="451" t="s">
        <v>19016</v>
      </c>
      <c r="B12161" s="451"/>
      <c r="C12161" s="451" t="s">
        <v>19017</v>
      </c>
      <c r="D12161" s="451"/>
      <c r="E12161" s="451"/>
      <c r="F12161" s="451"/>
      <c r="G12161" s="451"/>
      <c r="H12161" s="451"/>
      <c r="I12161" s="451"/>
      <c r="J12161" s="451"/>
      <c r="K12161" s="451"/>
    </row>
    <row r="12162" spans="1:11">
      <c r="A12162" s="450" t="s">
        <v>19018</v>
      </c>
      <c r="B12162" s="450"/>
      <c r="C12162" s="450" t="s">
        <v>19019</v>
      </c>
      <c r="D12162" s="450"/>
      <c r="E12162" s="450"/>
      <c r="F12162" s="450"/>
      <c r="G12162" s="450" t="s">
        <v>22877</v>
      </c>
      <c r="H12162" s="450" t="s">
        <v>22878</v>
      </c>
      <c r="I12162" s="450" t="s">
        <v>39384</v>
      </c>
      <c r="J12162" s="450" t="s">
        <v>22997</v>
      </c>
      <c r="K12162" s="450"/>
    </row>
    <row r="12163" spans="1:11">
      <c r="A12163" s="451" t="s">
        <v>19020</v>
      </c>
      <c r="B12163" s="451"/>
      <c r="C12163" s="451" t="s">
        <v>19021</v>
      </c>
      <c r="D12163" s="451"/>
      <c r="E12163" s="451"/>
      <c r="F12163" s="451"/>
      <c r="G12163" s="451" t="s">
        <v>22877</v>
      </c>
      <c r="H12163" s="451" t="s">
        <v>22878</v>
      </c>
      <c r="I12163" s="451" t="s">
        <v>32289</v>
      </c>
      <c r="J12163" s="451" t="s">
        <v>22997</v>
      </c>
      <c r="K12163" s="451"/>
    </row>
    <row r="12164" spans="1:11">
      <c r="A12164" s="450" t="s">
        <v>39142</v>
      </c>
      <c r="B12164" s="450" t="s">
        <v>19022</v>
      </c>
      <c r="C12164" s="450" t="s">
        <v>19023</v>
      </c>
      <c r="D12164" s="450" t="s">
        <v>19024</v>
      </c>
      <c r="E12164" s="450"/>
      <c r="F12164" s="450"/>
      <c r="G12164" s="450" t="s">
        <v>22877</v>
      </c>
      <c r="H12164" s="450" t="s">
        <v>22878</v>
      </c>
      <c r="I12164" s="450" t="s">
        <v>39385</v>
      </c>
      <c r="J12164" s="450" t="s">
        <v>39386</v>
      </c>
      <c r="K12164" s="450"/>
    </row>
    <row r="12165" spans="1:11">
      <c r="A12165" s="451" t="s">
        <v>18470</v>
      </c>
      <c r="B12165" s="451" t="s">
        <v>19022</v>
      </c>
      <c r="C12165" s="451" t="s">
        <v>19023</v>
      </c>
      <c r="D12165" s="451" t="s">
        <v>19024</v>
      </c>
      <c r="E12165" s="451" t="s">
        <v>19025</v>
      </c>
      <c r="F12165" s="451"/>
      <c r="G12165" s="451"/>
      <c r="H12165" s="451"/>
      <c r="I12165" s="451"/>
      <c r="J12165" s="451"/>
      <c r="K12165" s="451"/>
    </row>
    <row r="12166" spans="1:11">
      <c r="A12166" s="450" t="s">
        <v>29877</v>
      </c>
      <c r="B12166" s="450" t="s">
        <v>19031</v>
      </c>
      <c r="C12166" s="450" t="s">
        <v>19032</v>
      </c>
      <c r="D12166" s="450" t="s">
        <v>19033</v>
      </c>
      <c r="E12166" s="450"/>
      <c r="F12166" s="450" t="s">
        <v>19035</v>
      </c>
      <c r="G12166" s="450" t="s">
        <v>22877</v>
      </c>
      <c r="H12166" s="450" t="s">
        <v>22878</v>
      </c>
      <c r="I12166" s="450" t="s">
        <v>32290</v>
      </c>
      <c r="J12166" s="450" t="s">
        <v>32291</v>
      </c>
      <c r="K12166" s="450"/>
    </row>
    <row r="12167" spans="1:11">
      <c r="A12167" s="451" t="s">
        <v>19026</v>
      </c>
      <c r="B12167" s="451" t="s">
        <v>19027</v>
      </c>
      <c r="C12167" s="451" t="s">
        <v>19028</v>
      </c>
      <c r="D12167" s="451" t="s">
        <v>19029</v>
      </c>
      <c r="E12167" s="451"/>
      <c r="F12167" s="451"/>
      <c r="G12167" s="451" t="s">
        <v>22882</v>
      </c>
      <c r="H12167" s="451" t="s">
        <v>22883</v>
      </c>
      <c r="I12167" s="451" t="s">
        <v>19029</v>
      </c>
      <c r="J12167" s="451" t="s">
        <v>32292</v>
      </c>
      <c r="K12167" s="451"/>
    </row>
    <row r="12168" spans="1:11">
      <c r="A12168" s="450" t="s">
        <v>19030</v>
      </c>
      <c r="B12168" s="450" t="s">
        <v>19031</v>
      </c>
      <c r="C12168" s="450" t="s">
        <v>19032</v>
      </c>
      <c r="D12168" s="450" t="s">
        <v>19033</v>
      </c>
      <c r="E12168" s="450" t="s">
        <v>19034</v>
      </c>
      <c r="F12168" s="450" t="s">
        <v>19035</v>
      </c>
      <c r="G12168" s="450"/>
      <c r="H12168" s="450"/>
      <c r="I12168" s="450"/>
      <c r="J12168" s="450"/>
      <c r="K12168" s="450"/>
    </row>
    <row r="12169" spans="1:11">
      <c r="A12169" s="451" t="s">
        <v>19036</v>
      </c>
      <c r="B12169" s="451"/>
      <c r="C12169" s="451" t="s">
        <v>4124</v>
      </c>
      <c r="D12169" s="451"/>
      <c r="E12169" s="451"/>
      <c r="F12169" s="451"/>
      <c r="G12169" s="451" t="s">
        <v>22877</v>
      </c>
      <c r="H12169" s="451" t="s">
        <v>22878</v>
      </c>
      <c r="I12169" s="451" t="s">
        <v>39387</v>
      </c>
      <c r="J12169" s="451" t="s">
        <v>23185</v>
      </c>
      <c r="K12169" s="451"/>
    </row>
    <row r="12170" spans="1:11">
      <c r="A12170" s="450" t="s">
        <v>19037</v>
      </c>
      <c r="B12170" s="450"/>
      <c r="C12170" s="450" t="s">
        <v>8201</v>
      </c>
      <c r="D12170" s="450"/>
      <c r="E12170" s="450"/>
      <c r="F12170" s="450"/>
      <c r="G12170" s="450" t="s">
        <v>22877</v>
      </c>
      <c r="H12170" s="450" t="s">
        <v>22878</v>
      </c>
      <c r="I12170" s="450" t="s">
        <v>39388</v>
      </c>
      <c r="J12170" s="450" t="s">
        <v>22942</v>
      </c>
      <c r="K12170" s="450"/>
    </row>
    <row r="12171" spans="1:11">
      <c r="A12171" s="451" t="s">
        <v>19038</v>
      </c>
      <c r="B12171" s="451"/>
      <c r="C12171" s="451" t="s">
        <v>9316</v>
      </c>
      <c r="D12171" s="451"/>
      <c r="E12171" s="451"/>
      <c r="F12171" s="451"/>
      <c r="G12171" s="451" t="s">
        <v>22877</v>
      </c>
      <c r="H12171" s="451" t="s">
        <v>22878</v>
      </c>
      <c r="I12171" s="451" t="s">
        <v>39389</v>
      </c>
      <c r="J12171" s="451" t="s">
        <v>22997</v>
      </c>
      <c r="K12171" s="451"/>
    </row>
    <row r="12172" spans="1:11">
      <c r="A12172" s="450" t="s">
        <v>19039</v>
      </c>
      <c r="B12172" s="450"/>
      <c r="C12172" s="450" t="s">
        <v>19040</v>
      </c>
      <c r="D12172" s="450"/>
      <c r="E12172" s="450"/>
      <c r="F12172" s="450"/>
      <c r="G12172" s="450" t="s">
        <v>22877</v>
      </c>
      <c r="H12172" s="450" t="s">
        <v>22878</v>
      </c>
      <c r="I12172" s="450" t="s">
        <v>39390</v>
      </c>
      <c r="J12172" s="450" t="s">
        <v>22997</v>
      </c>
      <c r="K12172" s="450"/>
    </row>
    <row r="12173" spans="1:11">
      <c r="A12173" s="451" t="s">
        <v>19041</v>
      </c>
      <c r="B12173" s="451"/>
      <c r="C12173" s="451" t="s">
        <v>19042</v>
      </c>
      <c r="D12173" s="451"/>
      <c r="E12173" s="451"/>
      <c r="F12173" s="451"/>
      <c r="G12173" s="451" t="s">
        <v>22877</v>
      </c>
      <c r="H12173" s="451" t="s">
        <v>22878</v>
      </c>
      <c r="I12173" s="451" t="s">
        <v>39391</v>
      </c>
      <c r="J12173" s="451" t="s">
        <v>22939</v>
      </c>
      <c r="K12173" s="451"/>
    </row>
    <row r="12174" spans="1:11">
      <c r="A12174" s="450" t="s">
        <v>19043</v>
      </c>
      <c r="B12174" s="450"/>
      <c r="C12174" s="450" t="s">
        <v>3355</v>
      </c>
      <c r="D12174" s="450"/>
      <c r="E12174" s="450"/>
      <c r="F12174" s="450"/>
      <c r="G12174" s="450" t="s">
        <v>22882</v>
      </c>
      <c r="H12174" s="450" t="s">
        <v>22883</v>
      </c>
      <c r="I12174" s="450" t="s">
        <v>39392</v>
      </c>
      <c r="J12174" s="450" t="s">
        <v>23185</v>
      </c>
      <c r="K12174" s="450"/>
    </row>
    <row r="12175" spans="1:11">
      <c r="A12175" s="451" t="s">
        <v>19044</v>
      </c>
      <c r="B12175" s="451"/>
      <c r="C12175" s="451" t="s">
        <v>4565</v>
      </c>
      <c r="D12175" s="451"/>
      <c r="E12175" s="451"/>
      <c r="F12175" s="451"/>
      <c r="G12175" s="451" t="s">
        <v>22877</v>
      </c>
      <c r="H12175" s="451" t="s">
        <v>22878</v>
      </c>
      <c r="I12175" s="451" t="s">
        <v>39393</v>
      </c>
      <c r="J12175" s="451" t="s">
        <v>22939</v>
      </c>
      <c r="K12175" s="451"/>
    </row>
    <row r="12176" spans="1:11">
      <c r="A12176" s="450" t="s">
        <v>19045</v>
      </c>
      <c r="B12176" s="450"/>
      <c r="C12176" s="450" t="s">
        <v>3355</v>
      </c>
      <c r="D12176" s="450"/>
      <c r="E12176" s="450"/>
      <c r="F12176" s="450"/>
      <c r="G12176" s="450" t="s">
        <v>22877</v>
      </c>
      <c r="H12176" s="450" t="s">
        <v>22878</v>
      </c>
      <c r="I12176" s="450" t="s">
        <v>39394</v>
      </c>
      <c r="J12176" s="450" t="s">
        <v>23185</v>
      </c>
      <c r="K12176" s="450"/>
    </row>
    <row r="12177" spans="1:11">
      <c r="A12177" s="451" t="s">
        <v>39395</v>
      </c>
      <c r="B12177" s="451"/>
      <c r="C12177" s="451" t="s">
        <v>9584</v>
      </c>
      <c r="D12177" s="451"/>
      <c r="E12177" s="451"/>
      <c r="F12177" s="451"/>
      <c r="G12177" s="451" t="s">
        <v>22882</v>
      </c>
      <c r="H12177" s="451" t="s">
        <v>22883</v>
      </c>
      <c r="I12177" s="451" t="s">
        <v>39396</v>
      </c>
      <c r="J12177" s="451" t="s">
        <v>23185</v>
      </c>
      <c r="K12177" s="451"/>
    </row>
    <row r="12178" spans="1:11">
      <c r="A12178" s="450" t="s">
        <v>19046</v>
      </c>
      <c r="B12178" s="450"/>
      <c r="C12178" s="450" t="s">
        <v>9584</v>
      </c>
      <c r="D12178" s="450"/>
      <c r="E12178" s="450"/>
      <c r="F12178" s="450"/>
      <c r="G12178" s="450"/>
      <c r="H12178" s="450"/>
      <c r="I12178" s="450"/>
      <c r="J12178" s="450"/>
      <c r="K12178" s="450"/>
    </row>
    <row r="12179" spans="1:11">
      <c r="A12179" s="451" t="s">
        <v>19047</v>
      </c>
      <c r="B12179" s="451"/>
      <c r="C12179" s="451" t="s">
        <v>8201</v>
      </c>
      <c r="D12179" s="451"/>
      <c r="E12179" s="451"/>
      <c r="F12179" s="451"/>
      <c r="G12179" s="451" t="s">
        <v>22877</v>
      </c>
      <c r="H12179" s="451" t="s">
        <v>22878</v>
      </c>
      <c r="I12179" s="451" t="s">
        <v>39397</v>
      </c>
      <c r="J12179" s="451" t="s">
        <v>23185</v>
      </c>
      <c r="K12179" s="451"/>
    </row>
    <row r="12180" spans="1:11">
      <c r="A12180" s="450" t="s">
        <v>19048</v>
      </c>
      <c r="B12180" s="450"/>
      <c r="C12180" s="450" t="s">
        <v>19049</v>
      </c>
      <c r="D12180" s="450"/>
      <c r="E12180" s="450"/>
      <c r="F12180" s="450"/>
      <c r="G12180" s="450" t="s">
        <v>22882</v>
      </c>
      <c r="H12180" s="450" t="s">
        <v>22883</v>
      </c>
      <c r="I12180" s="450" t="s">
        <v>39398</v>
      </c>
      <c r="J12180" s="450" t="s">
        <v>23185</v>
      </c>
      <c r="K12180" s="450"/>
    </row>
    <row r="12181" spans="1:11">
      <c r="A12181" s="451" t="s">
        <v>19050</v>
      </c>
      <c r="B12181" s="451"/>
      <c r="C12181" s="451" t="s">
        <v>19051</v>
      </c>
      <c r="D12181" s="451"/>
      <c r="E12181" s="451"/>
      <c r="F12181" s="451"/>
      <c r="G12181" s="451" t="s">
        <v>22882</v>
      </c>
      <c r="H12181" s="451" t="s">
        <v>22883</v>
      </c>
      <c r="I12181" s="451" t="s">
        <v>39399</v>
      </c>
      <c r="J12181" s="451" t="s">
        <v>23185</v>
      </c>
      <c r="K12181" s="451"/>
    </row>
    <row r="12182" spans="1:11">
      <c r="A12182" s="450" t="s">
        <v>19052</v>
      </c>
      <c r="B12182" s="450"/>
      <c r="C12182" s="450" t="s">
        <v>19053</v>
      </c>
      <c r="D12182" s="450"/>
      <c r="E12182" s="450"/>
      <c r="F12182" s="450"/>
      <c r="G12182" s="450" t="s">
        <v>22882</v>
      </c>
      <c r="H12182" s="450" t="s">
        <v>22883</v>
      </c>
      <c r="I12182" s="450" t="s">
        <v>39400</v>
      </c>
      <c r="J12182" s="450" t="s">
        <v>22997</v>
      </c>
      <c r="K12182" s="450"/>
    </row>
    <row r="12183" spans="1:11">
      <c r="A12183" s="451" t="s">
        <v>19054</v>
      </c>
      <c r="B12183" s="451"/>
      <c r="C12183" s="451" t="s">
        <v>19055</v>
      </c>
      <c r="D12183" s="451"/>
      <c r="E12183" s="451"/>
      <c r="F12183" s="451"/>
      <c r="G12183" s="451" t="s">
        <v>22877</v>
      </c>
      <c r="H12183" s="451" t="s">
        <v>22878</v>
      </c>
      <c r="I12183" s="451" t="s">
        <v>39401</v>
      </c>
      <c r="J12183" s="451" t="s">
        <v>22939</v>
      </c>
      <c r="K12183" s="451"/>
    </row>
    <row r="12184" spans="1:11">
      <c r="A12184" s="450" t="s">
        <v>19056</v>
      </c>
      <c r="B12184" s="450"/>
      <c r="C12184" s="450" t="s">
        <v>2466</v>
      </c>
      <c r="D12184" s="450"/>
      <c r="E12184" s="450"/>
      <c r="F12184" s="450"/>
      <c r="G12184" s="450" t="s">
        <v>22882</v>
      </c>
      <c r="H12184" s="450" t="s">
        <v>22883</v>
      </c>
      <c r="I12184" s="450" t="s">
        <v>32293</v>
      </c>
      <c r="J12184" s="450" t="s">
        <v>23185</v>
      </c>
      <c r="K12184" s="450"/>
    </row>
    <row r="12185" spans="1:11">
      <c r="A12185" s="451" t="s">
        <v>19057</v>
      </c>
      <c r="B12185" s="451" t="s">
        <v>29878</v>
      </c>
      <c r="C12185" s="451" t="s">
        <v>19059</v>
      </c>
      <c r="D12185" s="451" t="s">
        <v>19060</v>
      </c>
      <c r="E12185" s="451"/>
      <c r="F12185" s="451"/>
      <c r="G12185" s="451" t="s">
        <v>22877</v>
      </c>
      <c r="H12185" s="451" t="s">
        <v>22878</v>
      </c>
      <c r="I12185" s="451" t="s">
        <v>32294</v>
      </c>
      <c r="J12185" s="451" t="s">
        <v>32295</v>
      </c>
      <c r="K12185" s="451"/>
    </row>
    <row r="12186" spans="1:11">
      <c r="A12186" s="450" t="s">
        <v>19057</v>
      </c>
      <c r="B12186" s="450" t="s">
        <v>19058</v>
      </c>
      <c r="C12186" s="450" t="s">
        <v>19059</v>
      </c>
      <c r="D12186" s="450" t="s">
        <v>19060</v>
      </c>
      <c r="E12186" s="450"/>
      <c r="F12186" s="450"/>
      <c r="G12186" s="450"/>
      <c r="H12186" s="450"/>
      <c r="I12186" s="450"/>
      <c r="J12186" s="450"/>
      <c r="K12186" s="450"/>
    </row>
    <row r="12187" spans="1:11">
      <c r="A12187" s="451" t="s">
        <v>19061</v>
      </c>
      <c r="B12187" s="451" t="s">
        <v>19062</v>
      </c>
      <c r="C12187" s="451" t="s">
        <v>19063</v>
      </c>
      <c r="D12187" s="451" t="s">
        <v>19064</v>
      </c>
      <c r="E12187" s="451"/>
      <c r="F12187" s="451"/>
      <c r="G12187" s="451"/>
      <c r="H12187" s="451"/>
      <c r="I12187" s="451"/>
      <c r="J12187" s="451"/>
      <c r="K12187" s="451"/>
    </row>
    <row r="12188" spans="1:11">
      <c r="A12188" s="450" t="s">
        <v>19065</v>
      </c>
      <c r="B12188" s="450" t="s">
        <v>39402</v>
      </c>
      <c r="C12188" s="450" t="s">
        <v>19067</v>
      </c>
      <c r="D12188" s="450"/>
      <c r="E12188" s="450"/>
      <c r="F12188" s="450"/>
      <c r="G12188" s="450" t="s">
        <v>22882</v>
      </c>
      <c r="H12188" s="450" t="s">
        <v>22883</v>
      </c>
      <c r="I12188" s="450"/>
      <c r="J12188" s="450" t="s">
        <v>39403</v>
      </c>
      <c r="K12188" s="450"/>
    </row>
    <row r="12189" spans="1:11">
      <c r="A12189" s="451" t="s">
        <v>19065</v>
      </c>
      <c r="B12189" s="451" t="s">
        <v>19066</v>
      </c>
      <c r="C12189" s="451" t="s">
        <v>19067</v>
      </c>
      <c r="D12189" s="451"/>
      <c r="E12189" s="451"/>
      <c r="F12189" s="451"/>
      <c r="G12189" s="451"/>
      <c r="H12189" s="451"/>
      <c r="I12189" s="451"/>
      <c r="J12189" s="451"/>
      <c r="K12189" s="451"/>
    </row>
    <row r="12190" spans="1:11">
      <c r="A12190" s="450" t="s">
        <v>19068</v>
      </c>
      <c r="B12190" s="450"/>
      <c r="C12190" s="450" t="s">
        <v>5116</v>
      </c>
      <c r="D12190" s="450"/>
      <c r="E12190" s="450"/>
      <c r="F12190" s="450"/>
      <c r="G12190" s="450" t="s">
        <v>22877</v>
      </c>
      <c r="H12190" s="450" t="s">
        <v>22878</v>
      </c>
      <c r="I12190" s="450" t="s">
        <v>39404</v>
      </c>
      <c r="J12190" s="450" t="s">
        <v>23185</v>
      </c>
      <c r="K12190" s="450"/>
    </row>
    <row r="12191" spans="1:11">
      <c r="A12191" s="451" t="s">
        <v>19069</v>
      </c>
      <c r="B12191" s="451"/>
      <c r="C12191" s="451" t="s">
        <v>1870</v>
      </c>
      <c r="D12191" s="451"/>
      <c r="E12191" s="451"/>
      <c r="F12191" s="451"/>
      <c r="G12191" s="451" t="s">
        <v>22882</v>
      </c>
      <c r="H12191" s="451" t="s">
        <v>22883</v>
      </c>
      <c r="I12191" s="451" t="s">
        <v>39405</v>
      </c>
      <c r="J12191" s="451" t="s">
        <v>23185</v>
      </c>
      <c r="K12191" s="451"/>
    </row>
    <row r="12192" spans="1:11">
      <c r="A12192" s="450" t="s">
        <v>19070</v>
      </c>
      <c r="B12192" s="450"/>
      <c r="C12192" s="450" t="s">
        <v>3355</v>
      </c>
      <c r="D12192" s="450"/>
      <c r="E12192" s="450"/>
      <c r="F12192" s="450"/>
      <c r="G12192" s="450" t="s">
        <v>22877</v>
      </c>
      <c r="H12192" s="450" t="s">
        <v>22878</v>
      </c>
      <c r="I12192" s="450" t="s">
        <v>39406</v>
      </c>
      <c r="J12192" s="450" t="s">
        <v>23185</v>
      </c>
      <c r="K12192" s="450"/>
    </row>
    <row r="12193" spans="1:11">
      <c r="A12193" s="451" t="s">
        <v>19071</v>
      </c>
      <c r="B12193" s="451"/>
      <c r="C12193" s="451" t="s">
        <v>7055</v>
      </c>
      <c r="D12193" s="451"/>
      <c r="E12193" s="451"/>
      <c r="F12193" s="451"/>
      <c r="G12193" s="451" t="s">
        <v>22877</v>
      </c>
      <c r="H12193" s="451" t="s">
        <v>22878</v>
      </c>
      <c r="I12193" s="451" t="s">
        <v>39407</v>
      </c>
      <c r="J12193" s="451" t="s">
        <v>22997</v>
      </c>
      <c r="K12193" s="451"/>
    </row>
    <row r="12194" spans="1:11">
      <c r="A12194" s="450" t="s">
        <v>19072</v>
      </c>
      <c r="B12194" s="450"/>
      <c r="C12194" s="450" t="s">
        <v>19073</v>
      </c>
      <c r="D12194" s="450"/>
      <c r="E12194" s="450"/>
      <c r="F12194" s="450"/>
      <c r="G12194" s="450" t="s">
        <v>22877</v>
      </c>
      <c r="H12194" s="450" t="s">
        <v>22878</v>
      </c>
      <c r="I12194" s="450" t="s">
        <v>39408</v>
      </c>
      <c r="J12194" s="450" t="s">
        <v>22997</v>
      </c>
      <c r="K12194" s="450"/>
    </row>
    <row r="12195" spans="1:11">
      <c r="A12195" s="451" t="s">
        <v>19074</v>
      </c>
      <c r="B12195" s="451"/>
      <c r="C12195" s="451" t="s">
        <v>4210</v>
      </c>
      <c r="D12195" s="451"/>
      <c r="E12195" s="451"/>
      <c r="F12195" s="451"/>
      <c r="G12195" s="451" t="s">
        <v>22877</v>
      </c>
      <c r="H12195" s="451" t="s">
        <v>22878</v>
      </c>
      <c r="I12195" s="451" t="s">
        <v>39409</v>
      </c>
      <c r="J12195" s="451" t="s">
        <v>23185</v>
      </c>
      <c r="K12195" s="451"/>
    </row>
    <row r="12196" spans="1:11">
      <c r="A12196" s="450" t="s">
        <v>39410</v>
      </c>
      <c r="B12196" s="450"/>
      <c r="C12196" s="450" t="s">
        <v>19075</v>
      </c>
      <c r="D12196" s="450"/>
      <c r="E12196" s="450"/>
      <c r="F12196" s="450"/>
      <c r="G12196" s="450" t="s">
        <v>22882</v>
      </c>
      <c r="H12196" s="450" t="s">
        <v>22883</v>
      </c>
      <c r="I12196" s="450" t="s">
        <v>39411</v>
      </c>
      <c r="J12196" s="450" t="s">
        <v>23185</v>
      </c>
      <c r="K12196" s="450"/>
    </row>
    <row r="12197" spans="1:11">
      <c r="A12197" s="451" t="s">
        <v>22031</v>
      </c>
      <c r="B12197" s="451"/>
      <c r="C12197" s="451" t="s">
        <v>19075</v>
      </c>
      <c r="D12197" s="451"/>
      <c r="E12197" s="451"/>
      <c r="F12197" s="451"/>
      <c r="G12197" s="451"/>
      <c r="H12197" s="451"/>
      <c r="I12197" s="451"/>
      <c r="J12197" s="451"/>
      <c r="K12197" s="451"/>
    </row>
    <row r="12198" spans="1:11">
      <c r="A12198" s="450" t="s">
        <v>39412</v>
      </c>
      <c r="B12198" s="450"/>
      <c r="C12198" s="450" t="s">
        <v>2102</v>
      </c>
      <c r="D12198" s="450"/>
      <c r="E12198" s="450"/>
      <c r="F12198" s="450"/>
      <c r="G12198" s="450" t="s">
        <v>22877</v>
      </c>
      <c r="H12198" s="450" t="s">
        <v>22878</v>
      </c>
      <c r="I12198" s="450" t="s">
        <v>39413</v>
      </c>
      <c r="J12198" s="450" t="s">
        <v>22997</v>
      </c>
      <c r="K12198" s="450"/>
    </row>
    <row r="12199" spans="1:11">
      <c r="A12199" s="451" t="s">
        <v>19076</v>
      </c>
      <c r="B12199" s="451"/>
      <c r="C12199" s="451" t="s">
        <v>2102</v>
      </c>
      <c r="D12199" s="451"/>
      <c r="E12199" s="451"/>
      <c r="F12199" s="451"/>
      <c r="G12199" s="451"/>
      <c r="H12199" s="451"/>
      <c r="I12199" s="451"/>
      <c r="J12199" s="451"/>
      <c r="K12199" s="451"/>
    </row>
    <row r="12200" spans="1:11">
      <c r="A12200" s="450" t="s">
        <v>29879</v>
      </c>
      <c r="B12200" s="450" t="s">
        <v>19078</v>
      </c>
      <c r="C12200" s="450" t="s">
        <v>1153</v>
      </c>
      <c r="D12200" s="450" t="s">
        <v>19079</v>
      </c>
      <c r="E12200" s="450"/>
      <c r="F12200" s="450"/>
      <c r="G12200" s="450" t="s">
        <v>22882</v>
      </c>
      <c r="H12200" s="450" t="s">
        <v>22883</v>
      </c>
      <c r="I12200" s="450" t="s">
        <v>19079</v>
      </c>
      <c r="J12200" s="450" t="s">
        <v>32296</v>
      </c>
      <c r="K12200" s="450"/>
    </row>
    <row r="12201" spans="1:11">
      <c r="A12201" s="451" t="s">
        <v>39414</v>
      </c>
      <c r="B12201" s="451" t="s">
        <v>19082</v>
      </c>
      <c r="C12201" s="451" t="s">
        <v>3524</v>
      </c>
      <c r="D12201" s="451" t="s">
        <v>19083</v>
      </c>
      <c r="E12201" s="451"/>
      <c r="F12201" s="451"/>
      <c r="G12201" s="451" t="s">
        <v>22882</v>
      </c>
      <c r="H12201" s="451" t="s">
        <v>22883</v>
      </c>
      <c r="I12201" s="451" t="s">
        <v>25414</v>
      </c>
      <c r="J12201" s="451" t="s">
        <v>39415</v>
      </c>
      <c r="K12201" s="451"/>
    </row>
    <row r="12202" spans="1:11">
      <c r="A12202" s="450" t="s">
        <v>19077</v>
      </c>
      <c r="B12202" s="450" t="s">
        <v>19078</v>
      </c>
      <c r="C12202" s="450" t="s">
        <v>1153</v>
      </c>
      <c r="D12202" s="450" t="s">
        <v>19079</v>
      </c>
      <c r="E12202" s="450" t="s">
        <v>19080</v>
      </c>
      <c r="F12202" s="450"/>
      <c r="G12202" s="450"/>
      <c r="H12202" s="450"/>
      <c r="I12202" s="450"/>
      <c r="J12202" s="450"/>
      <c r="K12202" s="450"/>
    </row>
    <row r="12203" spans="1:11">
      <c r="A12203" s="451" t="s">
        <v>19081</v>
      </c>
      <c r="B12203" s="451" t="s">
        <v>19082</v>
      </c>
      <c r="C12203" s="451" t="s">
        <v>3524</v>
      </c>
      <c r="D12203" s="451" t="s">
        <v>19083</v>
      </c>
      <c r="E12203" s="451" t="s">
        <v>19084</v>
      </c>
      <c r="F12203" s="451"/>
      <c r="G12203" s="451"/>
      <c r="H12203" s="451"/>
      <c r="I12203" s="451"/>
      <c r="J12203" s="451"/>
      <c r="K12203" s="451"/>
    </row>
    <row r="12204" spans="1:11">
      <c r="A12204" s="450" t="s">
        <v>19085</v>
      </c>
      <c r="B12204" s="450"/>
      <c r="C12204" s="450" t="s">
        <v>19086</v>
      </c>
      <c r="D12204" s="450"/>
      <c r="E12204" s="450"/>
      <c r="F12204" s="450"/>
      <c r="G12204" s="450" t="s">
        <v>22877</v>
      </c>
      <c r="H12204" s="450" t="s">
        <v>22878</v>
      </c>
      <c r="I12204" s="450" t="s">
        <v>32297</v>
      </c>
      <c r="J12204" s="450" t="s">
        <v>22939</v>
      </c>
      <c r="K12204" s="450"/>
    </row>
    <row r="12205" spans="1:11">
      <c r="A12205" s="451" t="s">
        <v>20203</v>
      </c>
      <c r="B12205" s="451" t="s">
        <v>11227</v>
      </c>
      <c r="C12205" s="451" t="s">
        <v>16855</v>
      </c>
      <c r="D12205" s="451" t="s">
        <v>16856</v>
      </c>
      <c r="E12205" s="451" t="s">
        <v>16857</v>
      </c>
      <c r="F12205" s="451" t="s">
        <v>20204</v>
      </c>
      <c r="G12205" s="451"/>
      <c r="H12205" s="451"/>
      <c r="I12205" s="451"/>
      <c r="J12205" s="451"/>
      <c r="K12205" s="451"/>
    </row>
    <row r="12206" spans="1:11">
      <c r="A12206" s="450" t="s">
        <v>29880</v>
      </c>
      <c r="B12206" s="450" t="s">
        <v>29881</v>
      </c>
      <c r="C12206" s="450" t="s">
        <v>29882</v>
      </c>
      <c r="D12206" s="450"/>
      <c r="E12206" s="450"/>
      <c r="F12206" s="450"/>
      <c r="G12206" s="450" t="s">
        <v>22877</v>
      </c>
      <c r="H12206" s="450" t="s">
        <v>22878</v>
      </c>
      <c r="I12206" s="450" t="s">
        <v>32298</v>
      </c>
      <c r="J12206" s="450" t="s">
        <v>32299</v>
      </c>
      <c r="K12206" s="450"/>
    </row>
    <row r="12207" spans="1:11">
      <c r="A12207" s="451" t="s">
        <v>29883</v>
      </c>
      <c r="B12207" s="451" t="s">
        <v>29884</v>
      </c>
      <c r="C12207" s="451" t="s">
        <v>29885</v>
      </c>
      <c r="D12207" s="451"/>
      <c r="E12207" s="451"/>
      <c r="F12207" s="451"/>
      <c r="G12207" s="451" t="s">
        <v>22882</v>
      </c>
      <c r="H12207" s="451" t="s">
        <v>22883</v>
      </c>
      <c r="I12207" s="451" t="s">
        <v>32300</v>
      </c>
      <c r="J12207" s="451" t="s">
        <v>32301</v>
      </c>
      <c r="K12207" s="451"/>
    </row>
    <row r="12208" spans="1:11">
      <c r="A12208" s="450" t="s">
        <v>29886</v>
      </c>
      <c r="B12208" s="450" t="s">
        <v>29887</v>
      </c>
      <c r="C12208" s="450" t="s">
        <v>12162</v>
      </c>
      <c r="D12208" s="450"/>
      <c r="E12208" s="450"/>
      <c r="F12208" s="450"/>
      <c r="G12208" s="450" t="s">
        <v>22882</v>
      </c>
      <c r="H12208" s="450" t="s">
        <v>22883</v>
      </c>
      <c r="I12208" s="450" t="s">
        <v>32302</v>
      </c>
      <c r="J12208" s="450" t="s">
        <v>32303</v>
      </c>
      <c r="K12208" s="450"/>
    </row>
    <row r="12209" spans="1:11">
      <c r="A12209" s="451" t="s">
        <v>29888</v>
      </c>
      <c r="B12209" s="451" t="s">
        <v>29889</v>
      </c>
      <c r="C12209" s="451" t="s">
        <v>29890</v>
      </c>
      <c r="D12209" s="451"/>
      <c r="E12209" s="451"/>
      <c r="F12209" s="451"/>
      <c r="G12209" s="451" t="s">
        <v>22882</v>
      </c>
      <c r="H12209" s="451" t="s">
        <v>22883</v>
      </c>
      <c r="I12209" s="451" t="s">
        <v>32304</v>
      </c>
      <c r="J12209" s="451" t="s">
        <v>32305</v>
      </c>
      <c r="K12209" s="451"/>
    </row>
    <row r="12210" spans="1:11">
      <c r="A12210" s="450" t="s">
        <v>29891</v>
      </c>
      <c r="B12210" s="450" t="s">
        <v>29892</v>
      </c>
      <c r="C12210" s="450" t="s">
        <v>29893</v>
      </c>
      <c r="D12210" s="450"/>
      <c r="E12210" s="450"/>
      <c r="F12210" s="450"/>
      <c r="G12210" s="450" t="s">
        <v>22877</v>
      </c>
      <c r="H12210" s="450" t="s">
        <v>22878</v>
      </c>
      <c r="I12210" s="450" t="s">
        <v>32306</v>
      </c>
      <c r="J12210" s="450" t="s">
        <v>32307</v>
      </c>
      <c r="K12210" s="450"/>
    </row>
    <row r="12211" spans="1:11">
      <c r="A12211" s="451" t="s">
        <v>29894</v>
      </c>
      <c r="B12211" s="451" t="s">
        <v>11227</v>
      </c>
      <c r="C12211" s="451" t="s">
        <v>16855</v>
      </c>
      <c r="D12211" s="451" t="s">
        <v>16856</v>
      </c>
      <c r="E12211" s="451"/>
      <c r="F12211" s="451" t="s">
        <v>20204</v>
      </c>
      <c r="G12211" s="451" t="s">
        <v>22877</v>
      </c>
      <c r="H12211" s="451" t="s">
        <v>22878</v>
      </c>
      <c r="I12211" s="451" t="s">
        <v>16124</v>
      </c>
      <c r="J12211" s="451" t="s">
        <v>32308</v>
      </c>
      <c r="K12211" s="451"/>
    </row>
    <row r="12212" spans="1:11">
      <c r="A12212" s="450" t="s">
        <v>19087</v>
      </c>
      <c r="B12212" s="450"/>
      <c r="C12212" s="450" t="s">
        <v>6155</v>
      </c>
      <c r="D12212" s="450"/>
      <c r="E12212" s="450"/>
      <c r="F12212" s="450"/>
      <c r="G12212" s="450"/>
      <c r="H12212" s="450"/>
      <c r="I12212" s="450"/>
      <c r="J12212" s="450"/>
      <c r="K12212" s="450"/>
    </row>
    <row r="12213" spans="1:11">
      <c r="A12213" s="451" t="s">
        <v>19088</v>
      </c>
      <c r="B12213" s="451"/>
      <c r="C12213" s="451" t="s">
        <v>5089</v>
      </c>
      <c r="D12213" s="451"/>
      <c r="E12213" s="451"/>
      <c r="F12213" s="451"/>
      <c r="G12213" s="451" t="s">
        <v>22877</v>
      </c>
      <c r="H12213" s="451" t="s">
        <v>22878</v>
      </c>
      <c r="I12213" s="451" t="s">
        <v>39416</v>
      </c>
      <c r="J12213" s="451" t="s">
        <v>22942</v>
      </c>
      <c r="K12213" s="451"/>
    </row>
    <row r="12214" spans="1:11">
      <c r="A12214" s="450" t="s">
        <v>19089</v>
      </c>
      <c r="B12214" s="450"/>
      <c r="C12214" s="450" t="s">
        <v>19090</v>
      </c>
      <c r="D12214" s="450"/>
      <c r="E12214" s="450"/>
      <c r="F12214" s="450"/>
      <c r="G12214" s="450" t="s">
        <v>22877</v>
      </c>
      <c r="H12214" s="450" t="s">
        <v>22878</v>
      </c>
      <c r="I12214" s="450"/>
      <c r="J12214" s="450" t="s">
        <v>22942</v>
      </c>
      <c r="K12214" s="450"/>
    </row>
    <row r="12215" spans="1:11">
      <c r="A12215" s="451" t="s">
        <v>19091</v>
      </c>
      <c r="B12215" s="451"/>
      <c r="C12215" s="451" t="s">
        <v>19092</v>
      </c>
      <c r="D12215" s="451"/>
      <c r="E12215" s="451"/>
      <c r="F12215" s="451"/>
      <c r="G12215" s="451" t="s">
        <v>22882</v>
      </c>
      <c r="H12215" s="451" t="s">
        <v>22883</v>
      </c>
      <c r="I12215" s="451"/>
      <c r="J12215" s="451" t="s">
        <v>22997</v>
      </c>
      <c r="K12215" s="451"/>
    </row>
    <row r="12216" spans="1:11">
      <c r="A12216" s="450" t="s">
        <v>19093</v>
      </c>
      <c r="B12216" s="450"/>
      <c r="C12216" s="450" t="s">
        <v>19094</v>
      </c>
      <c r="D12216" s="450"/>
      <c r="E12216" s="450"/>
      <c r="F12216" s="450"/>
      <c r="G12216" s="450" t="s">
        <v>22882</v>
      </c>
      <c r="H12216" s="450" t="s">
        <v>22883</v>
      </c>
      <c r="I12216" s="450"/>
      <c r="J12216" s="450" t="s">
        <v>28871</v>
      </c>
      <c r="K12216" s="450"/>
    </row>
    <row r="12217" spans="1:11">
      <c r="A12217" s="451" t="s">
        <v>39417</v>
      </c>
      <c r="B12217" s="451"/>
      <c r="C12217" s="451" t="s">
        <v>19098</v>
      </c>
      <c r="D12217" s="451"/>
      <c r="E12217" s="451"/>
      <c r="F12217" s="451"/>
      <c r="G12217" s="451" t="s">
        <v>22882</v>
      </c>
      <c r="H12217" s="451" t="s">
        <v>22883</v>
      </c>
      <c r="I12217" s="451"/>
      <c r="J12217" s="451" t="s">
        <v>28403</v>
      </c>
      <c r="K12217" s="451"/>
    </row>
    <row r="12218" spans="1:11">
      <c r="A12218" s="450" t="s">
        <v>19095</v>
      </c>
      <c r="B12218" s="450"/>
      <c r="C12218" s="450" t="s">
        <v>19096</v>
      </c>
      <c r="D12218" s="450"/>
      <c r="E12218" s="450"/>
      <c r="F12218" s="450"/>
      <c r="G12218" s="450" t="s">
        <v>22882</v>
      </c>
      <c r="H12218" s="450" t="s">
        <v>22883</v>
      </c>
      <c r="I12218" s="450" t="s">
        <v>39418</v>
      </c>
      <c r="J12218" s="450" t="s">
        <v>22942</v>
      </c>
      <c r="K12218" s="450"/>
    </row>
    <row r="12219" spans="1:11">
      <c r="A12219" s="451" t="s">
        <v>19097</v>
      </c>
      <c r="B12219" s="451"/>
      <c r="C12219" s="451" t="s">
        <v>19098</v>
      </c>
      <c r="D12219" s="451"/>
      <c r="E12219" s="451"/>
      <c r="F12219" s="451"/>
      <c r="G12219" s="451"/>
      <c r="H12219" s="451"/>
      <c r="I12219" s="451"/>
      <c r="J12219" s="451"/>
      <c r="K12219" s="451"/>
    </row>
    <row r="12220" spans="1:11">
      <c r="A12220" s="450" t="s">
        <v>39419</v>
      </c>
      <c r="B12220" s="450"/>
      <c r="C12220" s="450" t="s">
        <v>19100</v>
      </c>
      <c r="D12220" s="450"/>
      <c r="E12220" s="450"/>
      <c r="F12220" s="450"/>
      <c r="G12220" s="450" t="s">
        <v>22882</v>
      </c>
      <c r="H12220" s="450" t="s">
        <v>22883</v>
      </c>
      <c r="I12220" s="450"/>
      <c r="J12220" s="450" t="s">
        <v>22942</v>
      </c>
      <c r="K12220" s="450"/>
    </row>
    <row r="12221" spans="1:11">
      <c r="A12221" s="451" t="s">
        <v>19099</v>
      </c>
      <c r="B12221" s="451"/>
      <c r="C12221" s="451" t="s">
        <v>19100</v>
      </c>
      <c r="D12221" s="451"/>
      <c r="E12221" s="451"/>
      <c r="F12221" s="451"/>
      <c r="G12221" s="451"/>
      <c r="H12221" s="451"/>
      <c r="I12221" s="451"/>
      <c r="J12221" s="451"/>
      <c r="K12221" s="451"/>
    </row>
    <row r="12222" spans="1:11">
      <c r="A12222" s="450" t="s">
        <v>29895</v>
      </c>
      <c r="B12222" s="450" t="s">
        <v>29896</v>
      </c>
      <c r="C12222" s="450" t="s">
        <v>22466</v>
      </c>
      <c r="D12222" s="450"/>
      <c r="E12222" s="450"/>
      <c r="F12222" s="450"/>
      <c r="G12222" s="450" t="s">
        <v>22877</v>
      </c>
      <c r="H12222" s="450" t="s">
        <v>22878</v>
      </c>
      <c r="I12222" s="450" t="s">
        <v>32309</v>
      </c>
      <c r="J12222" s="450" t="s">
        <v>32310</v>
      </c>
      <c r="K12222" s="450"/>
    </row>
    <row r="12223" spans="1:11">
      <c r="A12223" s="451" t="s">
        <v>19101</v>
      </c>
      <c r="B12223" s="451"/>
      <c r="C12223" s="451" t="s">
        <v>19102</v>
      </c>
      <c r="D12223" s="451"/>
      <c r="E12223" s="451"/>
      <c r="F12223" s="451"/>
      <c r="G12223" s="451" t="s">
        <v>22882</v>
      </c>
      <c r="H12223" s="451" t="s">
        <v>22883</v>
      </c>
      <c r="I12223" s="451"/>
      <c r="J12223" s="451" t="s">
        <v>23185</v>
      </c>
      <c r="K12223" s="451"/>
    </row>
    <row r="12224" spans="1:11">
      <c r="A12224" s="450" t="s">
        <v>29897</v>
      </c>
      <c r="B12224" s="450" t="s">
        <v>22212</v>
      </c>
      <c r="C12224" s="450" t="s">
        <v>29898</v>
      </c>
      <c r="D12224" s="450" t="s">
        <v>29899</v>
      </c>
      <c r="E12224" s="450"/>
      <c r="F12224" s="450"/>
      <c r="G12224" s="450" t="s">
        <v>22877</v>
      </c>
      <c r="H12224" s="450" t="s">
        <v>22878</v>
      </c>
      <c r="I12224" s="450" t="s">
        <v>29899</v>
      </c>
      <c r="J12224" s="450" t="s">
        <v>32311</v>
      </c>
      <c r="K12224" s="450"/>
    </row>
    <row r="12225" spans="1:11">
      <c r="A12225" s="451" t="s">
        <v>19103</v>
      </c>
      <c r="B12225" s="451" t="s">
        <v>19104</v>
      </c>
      <c r="C12225" s="451" t="s">
        <v>19105</v>
      </c>
      <c r="D12225" s="451" t="s">
        <v>19106</v>
      </c>
      <c r="E12225" s="451" t="s">
        <v>19107</v>
      </c>
      <c r="F12225" s="451"/>
      <c r="G12225" s="451"/>
      <c r="H12225" s="451"/>
      <c r="I12225" s="451"/>
      <c r="J12225" s="451"/>
      <c r="K12225" s="451"/>
    </row>
    <row r="12226" spans="1:11">
      <c r="A12226" s="450" t="s">
        <v>22211</v>
      </c>
      <c r="B12226" s="450" t="s">
        <v>22212</v>
      </c>
      <c r="C12226" s="450" t="s">
        <v>22213</v>
      </c>
      <c r="D12226" s="450"/>
      <c r="E12226" s="450"/>
      <c r="F12226" s="450"/>
      <c r="G12226" s="450"/>
      <c r="H12226" s="450"/>
      <c r="I12226" s="450"/>
      <c r="J12226" s="450"/>
      <c r="K12226" s="450"/>
    </row>
    <row r="12227" spans="1:11">
      <c r="A12227" s="451" t="s">
        <v>39420</v>
      </c>
      <c r="B12227" s="451"/>
      <c r="C12227" s="451" t="s">
        <v>5496</v>
      </c>
      <c r="D12227" s="451"/>
      <c r="E12227" s="451"/>
      <c r="F12227" s="451"/>
      <c r="G12227" s="451" t="s">
        <v>22882</v>
      </c>
      <c r="H12227" s="451" t="s">
        <v>22883</v>
      </c>
      <c r="I12227" s="451"/>
      <c r="J12227" s="451" t="s">
        <v>22942</v>
      </c>
      <c r="K12227" s="451"/>
    </row>
    <row r="12228" spans="1:11">
      <c r="A12228" s="450" t="s">
        <v>29900</v>
      </c>
      <c r="B12228" s="450"/>
      <c r="C12228" s="450" t="s">
        <v>29901</v>
      </c>
      <c r="D12228" s="450"/>
      <c r="E12228" s="450"/>
      <c r="F12228" s="450"/>
      <c r="G12228" s="450" t="s">
        <v>22877</v>
      </c>
      <c r="H12228" s="450" t="s">
        <v>22878</v>
      </c>
      <c r="I12228" s="450" t="s">
        <v>27473</v>
      </c>
      <c r="J12228" s="450" t="s">
        <v>22942</v>
      </c>
      <c r="K12228" s="450"/>
    </row>
    <row r="12229" spans="1:11">
      <c r="A12229" s="451" t="s">
        <v>29902</v>
      </c>
      <c r="B12229" s="451" t="s">
        <v>29903</v>
      </c>
      <c r="C12229" s="451" t="s">
        <v>29904</v>
      </c>
      <c r="D12229" s="451"/>
      <c r="E12229" s="451"/>
      <c r="F12229" s="451"/>
      <c r="G12229" s="451" t="s">
        <v>22877</v>
      </c>
      <c r="H12229" s="451" t="s">
        <v>22878</v>
      </c>
      <c r="I12229" s="451" t="s">
        <v>32312</v>
      </c>
      <c r="J12229" s="451" t="s">
        <v>32313</v>
      </c>
      <c r="K12229" s="451"/>
    </row>
    <row r="12230" spans="1:11">
      <c r="A12230" s="450" t="s">
        <v>29905</v>
      </c>
      <c r="B12230" s="450" t="s">
        <v>29906</v>
      </c>
      <c r="C12230" s="450" t="s">
        <v>19121</v>
      </c>
      <c r="D12230" s="450"/>
      <c r="E12230" s="450"/>
      <c r="F12230" s="450"/>
      <c r="G12230" s="450" t="s">
        <v>22877</v>
      </c>
      <c r="H12230" s="450" t="s">
        <v>22878</v>
      </c>
      <c r="I12230" s="450"/>
      <c r="J12230" s="450" t="s">
        <v>32314</v>
      </c>
      <c r="K12230" s="450"/>
    </row>
    <row r="12231" spans="1:11">
      <c r="A12231" s="451" t="s">
        <v>29907</v>
      </c>
      <c r="B12231" s="451" t="s">
        <v>19112</v>
      </c>
      <c r="C12231" s="451" t="s">
        <v>3905</v>
      </c>
      <c r="D12231" s="451" t="s">
        <v>19113</v>
      </c>
      <c r="E12231" s="451"/>
      <c r="F12231" s="451"/>
      <c r="G12231" s="451" t="s">
        <v>22877</v>
      </c>
      <c r="H12231" s="451" t="s">
        <v>22878</v>
      </c>
      <c r="I12231" s="451" t="s">
        <v>32315</v>
      </c>
      <c r="J12231" s="451" t="s">
        <v>32316</v>
      </c>
      <c r="K12231" s="451"/>
    </row>
    <row r="12232" spans="1:11">
      <c r="A12232" s="450" t="s">
        <v>39421</v>
      </c>
      <c r="B12232" s="450" t="s">
        <v>39422</v>
      </c>
      <c r="C12232" s="450" t="s">
        <v>39423</v>
      </c>
      <c r="D12232" s="450"/>
      <c r="E12232" s="450"/>
      <c r="F12232" s="450"/>
      <c r="G12232" s="450" t="s">
        <v>22877</v>
      </c>
      <c r="H12232" s="450" t="s">
        <v>22878</v>
      </c>
      <c r="I12232" s="450"/>
      <c r="J12232" s="450" t="s">
        <v>39424</v>
      </c>
      <c r="K12232" s="450"/>
    </row>
    <row r="12233" spans="1:11">
      <c r="A12233" s="451" t="s">
        <v>39425</v>
      </c>
      <c r="B12233" s="451"/>
      <c r="C12233" s="451" t="s">
        <v>19115</v>
      </c>
      <c r="D12233" s="451"/>
      <c r="E12233" s="451"/>
      <c r="F12233" s="451"/>
      <c r="G12233" s="451" t="s">
        <v>22877</v>
      </c>
      <c r="H12233" s="451" t="s">
        <v>22878</v>
      </c>
      <c r="I12233" s="451"/>
      <c r="J12233" s="451" t="s">
        <v>28871</v>
      </c>
      <c r="K12233" s="451"/>
    </row>
    <row r="12234" spans="1:11">
      <c r="A12234" s="450" t="s">
        <v>29908</v>
      </c>
      <c r="B12234" s="450" t="s">
        <v>29909</v>
      </c>
      <c r="C12234" s="450" t="s">
        <v>29910</v>
      </c>
      <c r="D12234" s="450"/>
      <c r="E12234" s="450"/>
      <c r="F12234" s="450"/>
      <c r="G12234" s="450" t="s">
        <v>22877</v>
      </c>
      <c r="H12234" s="450" t="s">
        <v>22878</v>
      </c>
      <c r="I12234" s="450"/>
      <c r="J12234" s="450" t="s">
        <v>32317</v>
      </c>
      <c r="K12234" s="450"/>
    </row>
    <row r="12235" spans="1:11">
      <c r="A12235" s="451" t="s">
        <v>29911</v>
      </c>
      <c r="B12235" s="451"/>
      <c r="C12235" s="451" t="s">
        <v>1563</v>
      </c>
      <c r="D12235" s="451"/>
      <c r="E12235" s="451"/>
      <c r="F12235" s="451"/>
      <c r="G12235" s="451" t="s">
        <v>22877</v>
      </c>
      <c r="H12235" s="451" t="s">
        <v>22878</v>
      </c>
      <c r="I12235" s="451" t="s">
        <v>32318</v>
      </c>
      <c r="J12235" s="451" t="s">
        <v>22942</v>
      </c>
      <c r="K12235" s="451"/>
    </row>
    <row r="12236" spans="1:11">
      <c r="A12236" s="450" t="s">
        <v>29912</v>
      </c>
      <c r="B12236" s="450" t="s">
        <v>29913</v>
      </c>
      <c r="C12236" s="450" t="s">
        <v>19109</v>
      </c>
      <c r="D12236" s="450" t="s">
        <v>29914</v>
      </c>
      <c r="E12236" s="450"/>
      <c r="F12236" s="450" t="s">
        <v>29915</v>
      </c>
      <c r="G12236" s="450" t="s">
        <v>22877</v>
      </c>
      <c r="H12236" s="450" t="s">
        <v>22878</v>
      </c>
      <c r="I12236" s="450"/>
      <c r="J12236" s="450" t="s">
        <v>32319</v>
      </c>
      <c r="K12236" s="450"/>
    </row>
    <row r="12237" spans="1:11">
      <c r="A12237" s="451" t="s">
        <v>29916</v>
      </c>
      <c r="B12237" s="451" t="s">
        <v>29917</v>
      </c>
      <c r="C12237" s="451" t="s">
        <v>10806</v>
      </c>
      <c r="D12237" s="451"/>
      <c r="E12237" s="451"/>
      <c r="F12237" s="451"/>
      <c r="G12237" s="451" t="s">
        <v>22882</v>
      </c>
      <c r="H12237" s="451" t="s">
        <v>22883</v>
      </c>
      <c r="I12237" s="451" t="s">
        <v>32320</v>
      </c>
      <c r="J12237" s="451" t="s">
        <v>32321</v>
      </c>
      <c r="K12237" s="451"/>
    </row>
    <row r="12238" spans="1:11">
      <c r="A12238" s="450" t="s">
        <v>39426</v>
      </c>
      <c r="B12238" s="450"/>
      <c r="C12238" s="450" t="s">
        <v>11208</v>
      </c>
      <c r="D12238" s="450"/>
      <c r="E12238" s="450"/>
      <c r="F12238" s="450"/>
      <c r="G12238" s="450" t="s">
        <v>22882</v>
      </c>
      <c r="H12238" s="450" t="s">
        <v>22883</v>
      </c>
      <c r="I12238" s="450"/>
      <c r="J12238" s="450" t="s">
        <v>22942</v>
      </c>
      <c r="K12238" s="450"/>
    </row>
    <row r="12239" spans="1:11">
      <c r="A12239" s="451" t="s">
        <v>39427</v>
      </c>
      <c r="B12239" s="451"/>
      <c r="C12239" s="451" t="s">
        <v>19119</v>
      </c>
      <c r="D12239" s="451"/>
      <c r="E12239" s="451"/>
      <c r="F12239" s="451"/>
      <c r="G12239" s="451" t="s">
        <v>22882</v>
      </c>
      <c r="H12239" s="451" t="s">
        <v>22883</v>
      </c>
      <c r="I12239" s="451" t="s">
        <v>39428</v>
      </c>
      <c r="J12239" s="451" t="s">
        <v>22997</v>
      </c>
      <c r="K12239" s="451"/>
    </row>
    <row r="12240" spans="1:11">
      <c r="A12240" s="450" t="s">
        <v>19110</v>
      </c>
      <c r="B12240" s="450" t="s">
        <v>21202</v>
      </c>
      <c r="C12240" s="450" t="s">
        <v>21201</v>
      </c>
      <c r="D12240" s="450"/>
      <c r="E12240" s="450"/>
      <c r="F12240" s="450" t="s">
        <v>21200</v>
      </c>
      <c r="G12240" s="450"/>
      <c r="H12240" s="450"/>
      <c r="I12240" s="450"/>
      <c r="J12240" s="450"/>
      <c r="K12240" s="450"/>
    </row>
    <row r="12241" spans="1:11">
      <c r="A12241" s="451" t="s">
        <v>21332</v>
      </c>
      <c r="B12241" s="451" t="s">
        <v>21331</v>
      </c>
      <c r="C12241" s="451" t="s">
        <v>21330</v>
      </c>
      <c r="D12241" s="451" t="s">
        <v>21333</v>
      </c>
      <c r="E12241" s="451"/>
      <c r="F12241" s="451"/>
      <c r="G12241" s="451"/>
      <c r="H12241" s="451"/>
      <c r="I12241" s="451"/>
      <c r="J12241" s="451"/>
      <c r="K12241" s="451"/>
    </row>
    <row r="12242" spans="1:11">
      <c r="A12242" s="450" t="s">
        <v>21195</v>
      </c>
      <c r="B12242" s="450" t="s">
        <v>21205</v>
      </c>
      <c r="C12242" s="450" t="s">
        <v>14599</v>
      </c>
      <c r="D12242" s="450"/>
      <c r="E12242" s="450"/>
      <c r="F12242" s="450"/>
      <c r="G12242" s="450"/>
      <c r="H12242" s="450"/>
      <c r="I12242" s="450"/>
      <c r="J12242" s="450"/>
      <c r="K12242" s="450"/>
    </row>
    <row r="12243" spans="1:11">
      <c r="A12243" s="451" t="s">
        <v>21194</v>
      </c>
      <c r="B12243" s="451" t="s">
        <v>19120</v>
      </c>
      <c r="C12243" s="451" t="s">
        <v>19121</v>
      </c>
      <c r="D12243" s="451"/>
      <c r="E12243" s="451"/>
      <c r="F12243" s="451"/>
      <c r="G12243" s="451"/>
      <c r="H12243" s="451"/>
      <c r="I12243" s="451"/>
      <c r="J12243" s="451"/>
      <c r="K12243" s="451"/>
    </row>
    <row r="12244" spans="1:11">
      <c r="A12244" s="450" t="s">
        <v>19111</v>
      </c>
      <c r="B12244" s="450" t="s">
        <v>19112</v>
      </c>
      <c r="C12244" s="450" t="s">
        <v>3905</v>
      </c>
      <c r="D12244" s="450" t="s">
        <v>19113</v>
      </c>
      <c r="E12244" s="450"/>
      <c r="F12244" s="450"/>
      <c r="G12244" s="450"/>
      <c r="H12244" s="450"/>
      <c r="I12244" s="450"/>
      <c r="J12244" s="450"/>
      <c r="K12244" s="450"/>
    </row>
    <row r="12245" spans="1:11">
      <c r="A12245" s="451" t="s">
        <v>21209</v>
      </c>
      <c r="B12245" s="451" t="s">
        <v>19124</v>
      </c>
      <c r="C12245" s="451" t="s">
        <v>19125</v>
      </c>
      <c r="D12245" s="451"/>
      <c r="E12245" s="451"/>
      <c r="F12245" s="451"/>
      <c r="G12245" s="451"/>
      <c r="H12245" s="451"/>
      <c r="I12245" s="451"/>
      <c r="J12245" s="451"/>
      <c r="K12245" s="451"/>
    </row>
    <row r="12246" spans="1:11">
      <c r="A12246" s="450" t="s">
        <v>19114</v>
      </c>
      <c r="B12246" s="450"/>
      <c r="C12246" s="450" t="s">
        <v>19115</v>
      </c>
      <c r="D12246" s="450"/>
      <c r="E12246" s="450"/>
      <c r="F12246" s="450"/>
      <c r="G12246" s="450"/>
      <c r="H12246" s="450"/>
      <c r="I12246" s="450"/>
      <c r="J12246" s="450"/>
      <c r="K12246" s="450"/>
    </row>
    <row r="12247" spans="1:11">
      <c r="A12247" s="451" t="s">
        <v>19116</v>
      </c>
      <c r="B12247" s="451"/>
      <c r="C12247" s="451" t="s">
        <v>1563</v>
      </c>
      <c r="D12247" s="451"/>
      <c r="E12247" s="451"/>
      <c r="F12247" s="451"/>
      <c r="G12247" s="451"/>
      <c r="H12247" s="451"/>
      <c r="I12247" s="451"/>
      <c r="J12247" s="451"/>
      <c r="K12247" s="451"/>
    </row>
    <row r="12248" spans="1:11">
      <c r="A12248" s="450" t="s">
        <v>20205</v>
      </c>
      <c r="B12248" s="450" t="s">
        <v>19108</v>
      </c>
      <c r="C12248" s="450" t="s">
        <v>19109</v>
      </c>
      <c r="D12248" s="450"/>
      <c r="E12248" s="450"/>
      <c r="F12248" s="450"/>
      <c r="G12248" s="450"/>
      <c r="H12248" s="450"/>
      <c r="I12248" s="450"/>
      <c r="J12248" s="450"/>
      <c r="K12248" s="450"/>
    </row>
    <row r="12249" spans="1:11">
      <c r="A12249" s="451" t="s">
        <v>21196</v>
      </c>
      <c r="B12249" s="451" t="s">
        <v>21198</v>
      </c>
      <c r="C12249" s="451" t="s">
        <v>21197</v>
      </c>
      <c r="D12249" s="451" t="s">
        <v>21199</v>
      </c>
      <c r="E12249" s="451"/>
      <c r="F12249" s="451" t="s">
        <v>21200</v>
      </c>
      <c r="G12249" s="451"/>
      <c r="H12249" s="451"/>
      <c r="I12249" s="451"/>
      <c r="J12249" s="451"/>
      <c r="K12249" s="451"/>
    </row>
    <row r="12250" spans="1:11">
      <c r="A12250" s="450" t="s">
        <v>21210</v>
      </c>
      <c r="B12250" s="450"/>
      <c r="C12250" s="450" t="s">
        <v>19123</v>
      </c>
      <c r="D12250" s="450"/>
      <c r="E12250" s="450"/>
      <c r="F12250" s="450"/>
      <c r="G12250" s="450"/>
      <c r="H12250" s="450"/>
      <c r="I12250" s="450"/>
      <c r="J12250" s="450"/>
      <c r="K12250" s="450"/>
    </row>
    <row r="12251" spans="1:11">
      <c r="A12251" s="451" t="s">
        <v>21211</v>
      </c>
      <c r="B12251" s="451"/>
      <c r="C12251" s="451" t="s">
        <v>9401</v>
      </c>
      <c r="D12251" s="451"/>
      <c r="E12251" s="451"/>
      <c r="F12251" s="451"/>
      <c r="G12251" s="451"/>
      <c r="H12251" s="451"/>
      <c r="I12251" s="451"/>
      <c r="J12251" s="451"/>
      <c r="K12251" s="451"/>
    </row>
    <row r="12252" spans="1:11">
      <c r="A12252" s="450" t="s">
        <v>21207</v>
      </c>
      <c r="B12252" s="450" t="s">
        <v>21204</v>
      </c>
      <c r="C12252" s="450" t="s">
        <v>21203</v>
      </c>
      <c r="D12252" s="450"/>
      <c r="E12252" s="450"/>
      <c r="F12252" s="450" t="s">
        <v>21200</v>
      </c>
      <c r="G12252" s="450"/>
      <c r="H12252" s="450"/>
      <c r="I12252" s="450"/>
      <c r="J12252" s="450"/>
      <c r="K12252" s="450"/>
    </row>
    <row r="12253" spans="1:11">
      <c r="A12253" s="451" t="s">
        <v>21208</v>
      </c>
      <c r="B12253" s="451" t="s">
        <v>19118</v>
      </c>
      <c r="C12253" s="451" t="s">
        <v>10806</v>
      </c>
      <c r="D12253" s="451"/>
      <c r="E12253" s="451"/>
      <c r="F12253" s="451"/>
      <c r="G12253" s="451"/>
      <c r="H12253" s="451"/>
      <c r="I12253" s="451"/>
      <c r="J12253" s="451"/>
      <c r="K12253" s="451"/>
    </row>
    <row r="12254" spans="1:11">
      <c r="A12254" s="450" t="s">
        <v>19117</v>
      </c>
      <c r="B12254" s="450"/>
      <c r="C12254" s="450" t="s">
        <v>11208</v>
      </c>
      <c r="D12254" s="450"/>
      <c r="E12254" s="450"/>
      <c r="F12254" s="450"/>
      <c r="G12254" s="450"/>
      <c r="H12254" s="450"/>
      <c r="I12254" s="450"/>
      <c r="J12254" s="450"/>
      <c r="K12254" s="450"/>
    </row>
    <row r="12255" spans="1:11">
      <c r="A12255" s="451" t="s">
        <v>21212</v>
      </c>
      <c r="B12255" s="451"/>
      <c r="C12255" s="451" t="s">
        <v>19122</v>
      </c>
      <c r="D12255" s="451"/>
      <c r="E12255" s="451"/>
      <c r="F12255" s="451"/>
      <c r="G12255" s="451"/>
      <c r="H12255" s="451"/>
      <c r="I12255" s="451"/>
      <c r="J12255" s="451"/>
      <c r="K12255" s="451"/>
    </row>
    <row r="12256" spans="1:11">
      <c r="A12256" s="450" t="s">
        <v>21193</v>
      </c>
      <c r="B12256" s="450"/>
      <c r="C12256" s="450" t="s">
        <v>19119</v>
      </c>
      <c r="D12256" s="450"/>
      <c r="E12256" s="450"/>
      <c r="F12256" s="450"/>
      <c r="G12256" s="450"/>
      <c r="H12256" s="450"/>
      <c r="I12256" s="450"/>
      <c r="J12256" s="450"/>
      <c r="K12256" s="450"/>
    </row>
    <row r="12257" spans="1:11">
      <c r="A12257" s="451" t="s">
        <v>39429</v>
      </c>
      <c r="B12257" s="451"/>
      <c r="C12257" s="451" t="s">
        <v>19122</v>
      </c>
      <c r="D12257" s="451"/>
      <c r="E12257" s="451"/>
      <c r="F12257" s="451"/>
      <c r="G12257" s="451" t="s">
        <v>22882</v>
      </c>
      <c r="H12257" s="451" t="s">
        <v>22883</v>
      </c>
      <c r="I12257" s="451" t="s">
        <v>39430</v>
      </c>
      <c r="J12257" s="451" t="s">
        <v>28871</v>
      </c>
      <c r="K12257" s="451"/>
    </row>
    <row r="12258" spans="1:11">
      <c r="A12258" s="450" t="s">
        <v>39431</v>
      </c>
      <c r="B12258" s="450"/>
      <c r="C12258" s="450" t="s">
        <v>14599</v>
      </c>
      <c r="D12258" s="450"/>
      <c r="E12258" s="450"/>
      <c r="F12258" s="450"/>
      <c r="G12258" s="450" t="s">
        <v>22882</v>
      </c>
      <c r="H12258" s="450" t="s">
        <v>22883</v>
      </c>
      <c r="I12258" s="450" t="s">
        <v>39432</v>
      </c>
      <c r="J12258" s="450" t="s">
        <v>28403</v>
      </c>
      <c r="K12258" s="450"/>
    </row>
    <row r="12259" spans="1:11">
      <c r="A12259" s="451" t="s">
        <v>39433</v>
      </c>
      <c r="B12259" s="451" t="s">
        <v>19124</v>
      </c>
      <c r="C12259" s="451" t="s">
        <v>19125</v>
      </c>
      <c r="D12259" s="451"/>
      <c r="E12259" s="451"/>
      <c r="F12259" s="451"/>
      <c r="G12259" s="451" t="s">
        <v>22877</v>
      </c>
      <c r="H12259" s="451" t="s">
        <v>22878</v>
      </c>
      <c r="I12259" s="451"/>
      <c r="J12259" s="451" t="s">
        <v>39434</v>
      </c>
      <c r="K12259" s="451"/>
    </row>
    <row r="12260" spans="1:11">
      <c r="A12260" s="450" t="s">
        <v>39435</v>
      </c>
      <c r="B12260" s="450"/>
      <c r="C12260" s="450" t="s">
        <v>39436</v>
      </c>
      <c r="D12260" s="450"/>
      <c r="E12260" s="450"/>
      <c r="F12260" s="450"/>
      <c r="G12260" s="450" t="s">
        <v>22882</v>
      </c>
      <c r="H12260" s="450" t="s">
        <v>22883</v>
      </c>
      <c r="I12260" s="450"/>
      <c r="J12260" s="450" t="s">
        <v>22942</v>
      </c>
      <c r="K12260" s="450"/>
    </row>
    <row r="12261" spans="1:11">
      <c r="A12261" s="451" t="s">
        <v>29918</v>
      </c>
      <c r="B12261" s="451"/>
      <c r="C12261" s="451" t="s">
        <v>9401</v>
      </c>
      <c r="D12261" s="451"/>
      <c r="E12261" s="451"/>
      <c r="F12261" s="451"/>
      <c r="G12261" s="451" t="s">
        <v>22882</v>
      </c>
      <c r="H12261" s="451" t="s">
        <v>22883</v>
      </c>
      <c r="I12261" s="451" t="s">
        <v>32322</v>
      </c>
      <c r="J12261" s="451" t="s">
        <v>22942</v>
      </c>
      <c r="K12261" s="451"/>
    </row>
    <row r="12262" spans="1:11">
      <c r="A12262" s="450" t="s">
        <v>29919</v>
      </c>
      <c r="B12262" s="450" t="s">
        <v>29920</v>
      </c>
      <c r="C12262" s="450" t="s">
        <v>29921</v>
      </c>
      <c r="D12262" s="450"/>
      <c r="E12262" s="450"/>
      <c r="F12262" s="450"/>
      <c r="G12262" s="450" t="s">
        <v>22877</v>
      </c>
      <c r="H12262" s="450" t="s">
        <v>22878</v>
      </c>
      <c r="I12262" s="450"/>
      <c r="J12262" s="450" t="s">
        <v>32323</v>
      </c>
      <c r="K12262" s="450"/>
    </row>
    <row r="12263" spans="1:11">
      <c r="A12263" s="451" t="s">
        <v>39437</v>
      </c>
      <c r="B12263" s="451"/>
      <c r="C12263" s="451" t="s">
        <v>15006</v>
      </c>
      <c r="D12263" s="451"/>
      <c r="E12263" s="451"/>
      <c r="F12263" s="451"/>
      <c r="G12263" s="451" t="s">
        <v>22877</v>
      </c>
      <c r="H12263" s="451" t="s">
        <v>22878</v>
      </c>
      <c r="I12263" s="451" t="s">
        <v>39438</v>
      </c>
      <c r="J12263" s="451" t="s">
        <v>28871</v>
      </c>
      <c r="K12263" s="451"/>
    </row>
    <row r="12264" spans="1:11">
      <c r="A12264" s="450" t="s">
        <v>29922</v>
      </c>
      <c r="B12264" s="450"/>
      <c r="C12264" s="450" t="s">
        <v>2842</v>
      </c>
      <c r="D12264" s="450"/>
      <c r="E12264" s="450"/>
      <c r="F12264" s="450"/>
      <c r="G12264" s="450" t="s">
        <v>22877</v>
      </c>
      <c r="H12264" s="450" t="s">
        <v>22878</v>
      </c>
      <c r="I12264" s="450"/>
      <c r="J12264" s="450" t="s">
        <v>28403</v>
      </c>
      <c r="K12264" s="450"/>
    </row>
    <row r="12265" spans="1:11">
      <c r="A12265" s="451" t="s">
        <v>29923</v>
      </c>
      <c r="B12265" s="451" t="s">
        <v>29924</v>
      </c>
      <c r="C12265" s="451" t="s">
        <v>29925</v>
      </c>
      <c r="D12265" s="451"/>
      <c r="E12265" s="451"/>
      <c r="F12265" s="451"/>
      <c r="G12265" s="451" t="s">
        <v>22877</v>
      </c>
      <c r="H12265" s="451" t="s">
        <v>22878</v>
      </c>
      <c r="I12265" s="451" t="s">
        <v>32324</v>
      </c>
      <c r="J12265" s="451" t="s">
        <v>32325</v>
      </c>
      <c r="K12265" s="451"/>
    </row>
    <row r="12266" spans="1:11">
      <c r="A12266" s="450" t="s">
        <v>29926</v>
      </c>
      <c r="B12266" s="450" t="s">
        <v>29927</v>
      </c>
      <c r="C12266" s="450" t="s">
        <v>29928</v>
      </c>
      <c r="D12266" s="450" t="s">
        <v>29929</v>
      </c>
      <c r="E12266" s="450"/>
      <c r="F12266" s="450"/>
      <c r="G12266" s="450" t="s">
        <v>22877</v>
      </c>
      <c r="H12266" s="450" t="s">
        <v>22878</v>
      </c>
      <c r="I12266" s="450" t="s">
        <v>29929</v>
      </c>
      <c r="J12266" s="450" t="s">
        <v>32326</v>
      </c>
      <c r="K12266" s="450"/>
    </row>
    <row r="12267" spans="1:11">
      <c r="A12267" s="451" t="s">
        <v>19126</v>
      </c>
      <c r="B12267" s="451"/>
      <c r="C12267" s="451" t="s">
        <v>19127</v>
      </c>
      <c r="D12267" s="451"/>
      <c r="E12267" s="451"/>
      <c r="F12267" s="451"/>
      <c r="G12267" s="451" t="s">
        <v>22882</v>
      </c>
      <c r="H12267" s="451" t="s">
        <v>22883</v>
      </c>
      <c r="I12267" s="451" t="s">
        <v>39439</v>
      </c>
      <c r="J12267" s="451" t="s">
        <v>22942</v>
      </c>
      <c r="K12267" s="451"/>
    </row>
    <row r="12268" spans="1:11">
      <c r="A12268" s="450" t="s">
        <v>19128</v>
      </c>
      <c r="B12268" s="450"/>
      <c r="C12268" s="450" t="s">
        <v>10466</v>
      </c>
      <c r="D12268" s="450"/>
      <c r="E12268" s="450"/>
      <c r="F12268" s="450"/>
      <c r="G12268" s="450"/>
      <c r="H12268" s="450"/>
      <c r="I12268" s="450"/>
      <c r="J12268" s="450"/>
      <c r="K12268" s="450"/>
    </row>
    <row r="12269" spans="1:11">
      <c r="A12269" s="451" t="s">
        <v>39440</v>
      </c>
      <c r="B12269" s="451"/>
      <c r="C12269" s="451" t="s">
        <v>10466</v>
      </c>
      <c r="D12269" s="451"/>
      <c r="E12269" s="451"/>
      <c r="F12269" s="451"/>
      <c r="G12269" s="451" t="s">
        <v>22877</v>
      </c>
      <c r="H12269" s="451" t="s">
        <v>22878</v>
      </c>
      <c r="I12269" s="451" t="s">
        <v>39441</v>
      </c>
      <c r="J12269" s="451" t="s">
        <v>22942</v>
      </c>
      <c r="K12269" s="451"/>
    </row>
    <row r="12270" spans="1:11">
      <c r="A12270" s="450" t="s">
        <v>19129</v>
      </c>
      <c r="B12270" s="450"/>
      <c r="C12270" s="450" t="s">
        <v>7522</v>
      </c>
      <c r="D12270" s="450"/>
      <c r="E12270" s="450"/>
      <c r="F12270" s="450"/>
      <c r="G12270" s="450" t="s">
        <v>22882</v>
      </c>
      <c r="H12270" s="450" t="s">
        <v>22883</v>
      </c>
      <c r="I12270" s="450"/>
      <c r="J12270" s="450" t="s">
        <v>23185</v>
      </c>
      <c r="K12270" s="450"/>
    </row>
    <row r="12271" spans="1:11">
      <c r="A12271" s="451" t="s">
        <v>19130</v>
      </c>
      <c r="B12271" s="451" t="s">
        <v>19131</v>
      </c>
      <c r="C12271" s="451" t="s">
        <v>19132</v>
      </c>
      <c r="D12271" s="451" t="s">
        <v>19133</v>
      </c>
      <c r="E12271" s="451"/>
      <c r="F12271" s="451"/>
      <c r="G12271" s="451" t="s">
        <v>22877</v>
      </c>
      <c r="H12271" s="451" t="s">
        <v>22878</v>
      </c>
      <c r="I12271" s="451" t="s">
        <v>19133</v>
      </c>
      <c r="J12271" s="451" t="s">
        <v>39442</v>
      </c>
      <c r="K12271" s="451"/>
    </row>
    <row r="12272" spans="1:11">
      <c r="A12272" s="450" t="s">
        <v>19130</v>
      </c>
      <c r="B12272" s="450" t="s">
        <v>19131</v>
      </c>
      <c r="C12272" s="450" t="s">
        <v>19132</v>
      </c>
      <c r="D12272" s="450" t="s">
        <v>19133</v>
      </c>
      <c r="E12272" s="450" t="s">
        <v>19134</v>
      </c>
      <c r="F12272" s="450"/>
      <c r="G12272" s="450"/>
      <c r="H12272" s="450"/>
      <c r="I12272" s="450"/>
      <c r="J12272" s="450"/>
      <c r="K12272" s="450"/>
    </row>
    <row r="12273" spans="1:11">
      <c r="A12273" s="451" t="s">
        <v>39443</v>
      </c>
      <c r="B12273" s="451"/>
      <c r="C12273" s="451" t="s">
        <v>19136</v>
      </c>
      <c r="D12273" s="451"/>
      <c r="E12273" s="451"/>
      <c r="F12273" s="451"/>
      <c r="G12273" s="451" t="s">
        <v>22877</v>
      </c>
      <c r="H12273" s="451" t="s">
        <v>22878</v>
      </c>
      <c r="I12273" s="451" t="s">
        <v>39444</v>
      </c>
      <c r="J12273" s="451" t="s">
        <v>23370</v>
      </c>
      <c r="K12273" s="451"/>
    </row>
    <row r="12274" spans="1:11">
      <c r="A12274" s="450" t="s">
        <v>29930</v>
      </c>
      <c r="B12274" s="450"/>
      <c r="C12274" s="450" t="s">
        <v>1934</v>
      </c>
      <c r="D12274" s="450"/>
      <c r="E12274" s="450"/>
      <c r="F12274" s="450"/>
      <c r="G12274" s="450" t="s">
        <v>22882</v>
      </c>
      <c r="H12274" s="450" t="s">
        <v>22883</v>
      </c>
      <c r="I12274" s="450" t="s">
        <v>32327</v>
      </c>
      <c r="J12274" s="450" t="s">
        <v>22942</v>
      </c>
      <c r="K12274" s="450"/>
    </row>
    <row r="12275" spans="1:11">
      <c r="A12275" s="451" t="s">
        <v>19135</v>
      </c>
      <c r="B12275" s="451"/>
      <c r="C12275" s="451" t="s">
        <v>19136</v>
      </c>
      <c r="D12275" s="451"/>
      <c r="E12275" s="451"/>
      <c r="F12275" s="451"/>
      <c r="G12275" s="451"/>
      <c r="H12275" s="451"/>
      <c r="I12275" s="451"/>
      <c r="J12275" s="451"/>
      <c r="K12275" s="451"/>
    </row>
    <row r="12276" spans="1:11">
      <c r="A12276" s="450" t="s">
        <v>19137</v>
      </c>
      <c r="B12276" s="450"/>
      <c r="C12276" s="450" t="s">
        <v>1934</v>
      </c>
      <c r="D12276" s="450"/>
      <c r="E12276" s="450"/>
      <c r="F12276" s="450"/>
      <c r="G12276" s="450"/>
      <c r="H12276" s="450"/>
      <c r="I12276" s="450"/>
      <c r="J12276" s="450"/>
      <c r="K12276" s="450"/>
    </row>
    <row r="12277" spans="1:11">
      <c r="A12277" s="451" t="s">
        <v>39445</v>
      </c>
      <c r="B12277" s="451" t="s">
        <v>19139</v>
      </c>
      <c r="C12277" s="451" t="s">
        <v>6218</v>
      </c>
      <c r="D12277" s="451" t="s">
        <v>19140</v>
      </c>
      <c r="E12277" s="451"/>
      <c r="F12277" s="451"/>
      <c r="G12277" s="451" t="s">
        <v>22877</v>
      </c>
      <c r="H12277" s="451" t="s">
        <v>22878</v>
      </c>
      <c r="I12277" s="451"/>
      <c r="J12277" s="451" t="s">
        <v>39446</v>
      </c>
      <c r="K12277" s="451"/>
    </row>
    <row r="12278" spans="1:11">
      <c r="A12278" s="450" t="s">
        <v>39445</v>
      </c>
      <c r="B12278" s="450" t="s">
        <v>19142</v>
      </c>
      <c r="C12278" s="450" t="s">
        <v>9584</v>
      </c>
      <c r="D12278" s="450" t="s">
        <v>19143</v>
      </c>
      <c r="E12278" s="450"/>
      <c r="F12278" s="450"/>
      <c r="G12278" s="450" t="s">
        <v>22877</v>
      </c>
      <c r="H12278" s="450" t="s">
        <v>22878</v>
      </c>
      <c r="I12278" s="450"/>
      <c r="J12278" s="450" t="s">
        <v>39447</v>
      </c>
      <c r="K12278" s="450"/>
    </row>
    <row r="12279" spans="1:11">
      <c r="A12279" s="451" t="s">
        <v>19138</v>
      </c>
      <c r="B12279" s="451" t="s">
        <v>19139</v>
      </c>
      <c r="C12279" s="451" t="s">
        <v>6218</v>
      </c>
      <c r="D12279" s="451" t="s">
        <v>19140</v>
      </c>
      <c r="E12279" s="451"/>
      <c r="F12279" s="451"/>
      <c r="G12279" s="451"/>
      <c r="H12279" s="451"/>
      <c r="I12279" s="451"/>
      <c r="J12279" s="451"/>
      <c r="K12279" s="451"/>
    </row>
    <row r="12280" spans="1:11">
      <c r="A12280" s="450" t="s">
        <v>19141</v>
      </c>
      <c r="B12280" s="450" t="s">
        <v>19142</v>
      </c>
      <c r="C12280" s="450" t="s">
        <v>9584</v>
      </c>
      <c r="D12280" s="450" t="s">
        <v>19143</v>
      </c>
      <c r="E12280" s="450" t="s">
        <v>19144</v>
      </c>
      <c r="F12280" s="450"/>
      <c r="G12280" s="450"/>
      <c r="H12280" s="450"/>
      <c r="I12280" s="450"/>
      <c r="J12280" s="450"/>
      <c r="K12280" s="450"/>
    </row>
    <row r="12281" spans="1:11">
      <c r="A12281" s="451" t="s">
        <v>19145</v>
      </c>
      <c r="B12281" s="451"/>
      <c r="C12281" s="451" t="s">
        <v>19146</v>
      </c>
      <c r="D12281" s="451"/>
      <c r="E12281" s="451"/>
      <c r="F12281" s="451"/>
      <c r="G12281" s="451" t="s">
        <v>22877</v>
      </c>
      <c r="H12281" s="451" t="s">
        <v>22878</v>
      </c>
      <c r="I12281" s="451" t="s">
        <v>39448</v>
      </c>
      <c r="J12281" s="451" t="s">
        <v>23185</v>
      </c>
      <c r="K12281" s="451"/>
    </row>
    <row r="12282" spans="1:11">
      <c r="A12282" s="450" t="s">
        <v>19147</v>
      </c>
      <c r="B12282" s="450"/>
      <c r="C12282" s="450" t="s">
        <v>19148</v>
      </c>
      <c r="D12282" s="450"/>
      <c r="E12282" s="450"/>
      <c r="F12282" s="450"/>
      <c r="G12282" s="450" t="s">
        <v>22882</v>
      </c>
      <c r="H12282" s="450" t="s">
        <v>22883</v>
      </c>
      <c r="I12282" s="450" t="s">
        <v>39449</v>
      </c>
      <c r="J12282" s="450" t="s">
        <v>22939</v>
      </c>
      <c r="K12282" s="450"/>
    </row>
    <row r="12283" spans="1:11">
      <c r="A12283" s="451" t="s">
        <v>19149</v>
      </c>
      <c r="B12283" s="451"/>
      <c r="C12283" s="451" t="s">
        <v>15613</v>
      </c>
      <c r="D12283" s="451"/>
      <c r="E12283" s="451"/>
      <c r="F12283" s="451"/>
      <c r="G12283" s="451" t="s">
        <v>22877</v>
      </c>
      <c r="H12283" s="451" t="s">
        <v>22878</v>
      </c>
      <c r="I12283" s="451"/>
      <c r="J12283" s="451" t="s">
        <v>23185</v>
      </c>
      <c r="K12283" s="451"/>
    </row>
    <row r="12284" spans="1:11">
      <c r="A12284" s="450" t="s">
        <v>39450</v>
      </c>
      <c r="B12284" s="450"/>
      <c r="C12284" s="450" t="s">
        <v>6905</v>
      </c>
      <c r="D12284" s="450"/>
      <c r="E12284" s="450"/>
      <c r="F12284" s="450"/>
      <c r="G12284" s="450" t="s">
        <v>22882</v>
      </c>
      <c r="H12284" s="450" t="s">
        <v>22883</v>
      </c>
      <c r="I12284" s="450" t="s">
        <v>39451</v>
      </c>
      <c r="J12284" s="450" t="s">
        <v>23185</v>
      </c>
      <c r="K12284" s="450"/>
    </row>
    <row r="12285" spans="1:11">
      <c r="A12285" s="451" t="s">
        <v>19150</v>
      </c>
      <c r="B12285" s="451"/>
      <c r="C12285" s="451" t="s">
        <v>6905</v>
      </c>
      <c r="D12285" s="451"/>
      <c r="E12285" s="451"/>
      <c r="F12285" s="451"/>
      <c r="G12285" s="451"/>
      <c r="H12285" s="451"/>
      <c r="I12285" s="451"/>
      <c r="J12285" s="451"/>
      <c r="K12285" s="451"/>
    </row>
    <row r="12286" spans="1:11">
      <c r="A12286" s="450" t="s">
        <v>22032</v>
      </c>
      <c r="B12286" s="450"/>
      <c r="C12286" s="450" t="s">
        <v>19151</v>
      </c>
      <c r="D12286" s="450"/>
      <c r="E12286" s="450"/>
      <c r="F12286" s="450"/>
      <c r="G12286" s="450" t="s">
        <v>22882</v>
      </c>
      <c r="H12286" s="450" t="s">
        <v>22883</v>
      </c>
      <c r="I12286" s="450" t="s">
        <v>32328</v>
      </c>
      <c r="J12286" s="450" t="s">
        <v>23185</v>
      </c>
      <c r="K12286" s="450"/>
    </row>
    <row r="12287" spans="1:11">
      <c r="A12287" s="451" t="s">
        <v>19152</v>
      </c>
      <c r="B12287" s="451" t="s">
        <v>29931</v>
      </c>
      <c r="C12287" s="451" t="s">
        <v>13593</v>
      </c>
      <c r="D12287" s="451"/>
      <c r="E12287" s="451"/>
      <c r="F12287" s="451"/>
      <c r="G12287" s="451" t="s">
        <v>22882</v>
      </c>
      <c r="H12287" s="451" t="s">
        <v>22883</v>
      </c>
      <c r="I12287" s="451" t="s">
        <v>32329</v>
      </c>
      <c r="J12287" s="451" t="s">
        <v>32330</v>
      </c>
      <c r="K12287" s="451"/>
    </row>
    <row r="12288" spans="1:11">
      <c r="A12288" s="450" t="s">
        <v>19152</v>
      </c>
      <c r="B12288" s="450" t="s">
        <v>19153</v>
      </c>
      <c r="C12288" s="450" t="s">
        <v>13593</v>
      </c>
      <c r="D12288" s="450"/>
      <c r="E12288" s="450"/>
      <c r="F12288" s="450"/>
      <c r="G12288" s="450"/>
      <c r="H12288" s="450"/>
      <c r="I12288" s="450"/>
      <c r="J12288" s="450"/>
      <c r="K12288" s="450"/>
    </row>
    <row r="12289" spans="1:11">
      <c r="A12289" s="451" t="s">
        <v>19154</v>
      </c>
      <c r="B12289" s="451"/>
      <c r="C12289" s="451" t="s">
        <v>1213</v>
      </c>
      <c r="D12289" s="451"/>
      <c r="E12289" s="451"/>
      <c r="F12289" s="451"/>
      <c r="G12289" s="451" t="s">
        <v>22877</v>
      </c>
      <c r="H12289" s="451" t="s">
        <v>22878</v>
      </c>
      <c r="I12289" s="451"/>
      <c r="J12289" s="451" t="s">
        <v>23185</v>
      </c>
      <c r="K12289" s="451"/>
    </row>
    <row r="12290" spans="1:11">
      <c r="A12290" s="450" t="s">
        <v>19155</v>
      </c>
      <c r="B12290" s="450"/>
      <c r="C12290" s="450" t="s">
        <v>19156</v>
      </c>
      <c r="D12290" s="450"/>
      <c r="E12290" s="450"/>
      <c r="F12290" s="450"/>
      <c r="G12290" s="450" t="s">
        <v>22882</v>
      </c>
      <c r="H12290" s="450" t="s">
        <v>22883</v>
      </c>
      <c r="I12290" s="450" t="s">
        <v>39452</v>
      </c>
      <c r="J12290" s="450" t="s">
        <v>28403</v>
      </c>
      <c r="K12290" s="450"/>
    </row>
    <row r="12291" spans="1:11">
      <c r="A12291" s="451" t="s">
        <v>39453</v>
      </c>
      <c r="B12291" s="451" t="s">
        <v>19157</v>
      </c>
      <c r="C12291" s="451" t="s">
        <v>19158</v>
      </c>
      <c r="D12291" s="451"/>
      <c r="E12291" s="451"/>
      <c r="F12291" s="451" t="s">
        <v>19159</v>
      </c>
      <c r="G12291" s="451" t="s">
        <v>22877</v>
      </c>
      <c r="H12291" s="451" t="s">
        <v>22878</v>
      </c>
      <c r="I12291" s="451"/>
      <c r="J12291" s="451" t="s">
        <v>39454</v>
      </c>
      <c r="K12291" s="451"/>
    </row>
    <row r="12292" spans="1:11">
      <c r="A12292" s="450" t="s">
        <v>22033</v>
      </c>
      <c r="B12292" s="450" t="s">
        <v>19157</v>
      </c>
      <c r="C12292" s="450" t="s">
        <v>19158</v>
      </c>
      <c r="D12292" s="450"/>
      <c r="E12292" s="450"/>
      <c r="F12292" s="450" t="s">
        <v>19159</v>
      </c>
      <c r="G12292" s="450"/>
      <c r="H12292" s="450"/>
      <c r="I12292" s="450"/>
      <c r="J12292" s="450"/>
      <c r="K12292" s="450"/>
    </row>
    <row r="12293" spans="1:11">
      <c r="A12293" s="451" t="s">
        <v>39455</v>
      </c>
      <c r="B12293" s="451"/>
      <c r="C12293" s="451" t="s">
        <v>8186</v>
      </c>
      <c r="D12293" s="451"/>
      <c r="E12293" s="451"/>
      <c r="F12293" s="451"/>
      <c r="G12293" s="451" t="s">
        <v>22882</v>
      </c>
      <c r="H12293" s="451" t="s">
        <v>22883</v>
      </c>
      <c r="I12293" s="451"/>
      <c r="J12293" s="451" t="s">
        <v>22942</v>
      </c>
      <c r="K12293" s="451"/>
    </row>
    <row r="12294" spans="1:11">
      <c r="A12294" s="450" t="s">
        <v>19160</v>
      </c>
      <c r="B12294" s="450"/>
      <c r="C12294" s="450" t="s">
        <v>8186</v>
      </c>
      <c r="D12294" s="450"/>
      <c r="E12294" s="450"/>
      <c r="F12294" s="450"/>
      <c r="G12294" s="450"/>
      <c r="H12294" s="450"/>
      <c r="I12294" s="450"/>
      <c r="J12294" s="450"/>
      <c r="K12294" s="450"/>
    </row>
    <row r="12295" spans="1:11">
      <c r="A12295" s="451" t="s">
        <v>39456</v>
      </c>
      <c r="B12295" s="451"/>
      <c r="C12295" s="451" t="s">
        <v>19162</v>
      </c>
      <c r="D12295" s="451"/>
      <c r="E12295" s="451"/>
      <c r="F12295" s="451"/>
      <c r="G12295" s="451" t="s">
        <v>22877</v>
      </c>
      <c r="H12295" s="451" t="s">
        <v>22878</v>
      </c>
      <c r="I12295" s="451" t="s">
        <v>39457</v>
      </c>
      <c r="J12295" s="451" t="s">
        <v>23185</v>
      </c>
      <c r="K12295" s="451"/>
    </row>
    <row r="12296" spans="1:11">
      <c r="A12296" s="450" t="s">
        <v>19161</v>
      </c>
      <c r="B12296" s="450"/>
      <c r="C12296" s="450" t="s">
        <v>19162</v>
      </c>
      <c r="D12296" s="450"/>
      <c r="E12296" s="450"/>
      <c r="F12296" s="450"/>
      <c r="G12296" s="450"/>
      <c r="H12296" s="450"/>
      <c r="I12296" s="450"/>
      <c r="J12296" s="450"/>
      <c r="K12296" s="450"/>
    </row>
    <row r="12297" spans="1:11">
      <c r="A12297" s="451" t="s">
        <v>19163</v>
      </c>
      <c r="B12297" s="451"/>
      <c r="C12297" s="451" t="s">
        <v>6141</v>
      </c>
      <c r="D12297" s="451"/>
      <c r="E12297" s="451"/>
      <c r="F12297" s="451"/>
      <c r="G12297" s="451"/>
      <c r="H12297" s="451"/>
      <c r="I12297" s="451"/>
      <c r="J12297" s="451"/>
      <c r="K12297" s="451"/>
    </row>
    <row r="12298" spans="1:11">
      <c r="A12298" s="450" t="s">
        <v>29932</v>
      </c>
      <c r="B12298" s="450" t="s">
        <v>29933</v>
      </c>
      <c r="C12298" s="450" t="s">
        <v>19166</v>
      </c>
      <c r="D12298" s="450" t="s">
        <v>19167</v>
      </c>
      <c r="E12298" s="450"/>
      <c r="F12298" s="450"/>
      <c r="G12298" s="450" t="s">
        <v>22877</v>
      </c>
      <c r="H12298" s="450" t="s">
        <v>22878</v>
      </c>
      <c r="I12298" s="450" t="s">
        <v>19167</v>
      </c>
      <c r="J12298" s="450" t="s">
        <v>32331</v>
      </c>
      <c r="K12298" s="450"/>
    </row>
    <row r="12299" spans="1:11">
      <c r="A12299" s="451" t="s">
        <v>19164</v>
      </c>
      <c r="B12299" s="451" t="s">
        <v>19165</v>
      </c>
      <c r="C12299" s="451" t="s">
        <v>19166</v>
      </c>
      <c r="D12299" s="451" t="s">
        <v>19167</v>
      </c>
      <c r="E12299" s="451" t="s">
        <v>19168</v>
      </c>
      <c r="F12299" s="451" t="s">
        <v>19169</v>
      </c>
      <c r="G12299" s="451"/>
      <c r="H12299" s="451"/>
      <c r="I12299" s="451"/>
      <c r="J12299" s="451"/>
      <c r="K12299" s="451"/>
    </row>
    <row r="12300" spans="1:11">
      <c r="A12300" s="450" t="s">
        <v>19170</v>
      </c>
      <c r="B12300" s="450"/>
      <c r="C12300" s="450" t="s">
        <v>6332</v>
      </c>
      <c r="D12300" s="450"/>
      <c r="E12300" s="450"/>
      <c r="F12300" s="450"/>
      <c r="G12300" s="450"/>
      <c r="H12300" s="450"/>
      <c r="I12300" s="450"/>
      <c r="J12300" s="450"/>
      <c r="K12300" s="450"/>
    </row>
    <row r="12301" spans="1:11">
      <c r="A12301" s="451" t="s">
        <v>32332</v>
      </c>
      <c r="B12301" s="451"/>
      <c r="C12301" s="451" t="s">
        <v>6332</v>
      </c>
      <c r="D12301" s="451"/>
      <c r="E12301" s="451"/>
      <c r="F12301" s="451"/>
      <c r="G12301" s="451" t="s">
        <v>22877</v>
      </c>
      <c r="H12301" s="451" t="s">
        <v>22878</v>
      </c>
      <c r="I12301" s="451" t="s">
        <v>32333</v>
      </c>
      <c r="J12301" s="451" t="s">
        <v>23185</v>
      </c>
      <c r="K12301" s="451"/>
    </row>
    <row r="12302" spans="1:11">
      <c r="A12302" s="450" t="s">
        <v>29934</v>
      </c>
      <c r="B12302" s="450" t="s">
        <v>29935</v>
      </c>
      <c r="C12302" s="450" t="s">
        <v>29936</v>
      </c>
      <c r="D12302" s="450"/>
      <c r="E12302" s="450"/>
      <c r="F12302" s="450"/>
      <c r="G12302" s="450" t="s">
        <v>22877</v>
      </c>
      <c r="H12302" s="450" t="s">
        <v>22878</v>
      </c>
      <c r="I12302" s="450"/>
      <c r="J12302" s="450" t="s">
        <v>32334</v>
      </c>
      <c r="K12302" s="450"/>
    </row>
    <row r="12303" spans="1:11">
      <c r="A12303" s="451" t="s">
        <v>29937</v>
      </c>
      <c r="B12303" s="451" t="s">
        <v>19172</v>
      </c>
      <c r="C12303" s="451" t="s">
        <v>19173</v>
      </c>
      <c r="D12303" s="451"/>
      <c r="E12303" s="451"/>
      <c r="F12303" s="451"/>
      <c r="G12303" s="451" t="s">
        <v>22877</v>
      </c>
      <c r="H12303" s="451" t="s">
        <v>22878</v>
      </c>
      <c r="I12303" s="451" t="s">
        <v>32335</v>
      </c>
      <c r="J12303" s="451" t="s">
        <v>32336</v>
      </c>
      <c r="K12303" s="451"/>
    </row>
    <row r="12304" spans="1:11">
      <c r="A12304" s="450" t="s">
        <v>19171</v>
      </c>
      <c r="B12304" s="450" t="s">
        <v>19172</v>
      </c>
      <c r="C12304" s="450" t="s">
        <v>19173</v>
      </c>
      <c r="D12304" s="450"/>
      <c r="E12304" s="450"/>
      <c r="F12304" s="450"/>
      <c r="G12304" s="450"/>
      <c r="H12304" s="450"/>
      <c r="I12304" s="450"/>
      <c r="J12304" s="450"/>
      <c r="K12304" s="450"/>
    </row>
    <row r="12305" spans="1:11">
      <c r="A12305" s="451" t="s">
        <v>19174</v>
      </c>
      <c r="B12305" s="451"/>
      <c r="C12305" s="451" t="s">
        <v>2045</v>
      </c>
      <c r="D12305" s="451"/>
      <c r="E12305" s="451"/>
      <c r="F12305" s="451"/>
      <c r="G12305" s="451" t="s">
        <v>22882</v>
      </c>
      <c r="H12305" s="451" t="s">
        <v>22883</v>
      </c>
      <c r="I12305" s="451"/>
      <c r="J12305" s="451" t="s">
        <v>28403</v>
      </c>
      <c r="K12305" s="451"/>
    </row>
    <row r="12306" spans="1:11">
      <c r="A12306" s="450" t="s">
        <v>19175</v>
      </c>
      <c r="B12306" s="450"/>
      <c r="C12306" s="450" t="s">
        <v>19121</v>
      </c>
      <c r="D12306" s="450"/>
      <c r="E12306" s="450"/>
      <c r="F12306" s="450"/>
      <c r="G12306" s="450" t="s">
        <v>22882</v>
      </c>
      <c r="H12306" s="450" t="s">
        <v>22883</v>
      </c>
      <c r="I12306" s="450" t="s">
        <v>39458</v>
      </c>
      <c r="J12306" s="450" t="s">
        <v>22942</v>
      </c>
      <c r="K12306" s="450"/>
    </row>
    <row r="12307" spans="1:11">
      <c r="A12307" s="451" t="s">
        <v>19176</v>
      </c>
      <c r="B12307" s="451"/>
      <c r="C12307" s="451" t="s">
        <v>7224</v>
      </c>
      <c r="D12307" s="451"/>
      <c r="E12307" s="451"/>
      <c r="F12307" s="451"/>
      <c r="G12307" s="451" t="s">
        <v>22882</v>
      </c>
      <c r="H12307" s="451" t="s">
        <v>22883</v>
      </c>
      <c r="I12307" s="451"/>
      <c r="J12307" s="451" t="s">
        <v>28871</v>
      </c>
      <c r="K12307" s="451"/>
    </row>
    <row r="12308" spans="1:11">
      <c r="A12308" s="450" t="s">
        <v>19177</v>
      </c>
      <c r="B12308" s="450"/>
      <c r="C12308" s="450" t="s">
        <v>7043</v>
      </c>
      <c r="D12308" s="450"/>
      <c r="E12308" s="450"/>
      <c r="F12308" s="450"/>
      <c r="G12308" s="450" t="s">
        <v>22882</v>
      </c>
      <c r="H12308" s="450" t="s">
        <v>22883</v>
      </c>
      <c r="I12308" s="450" t="s">
        <v>39459</v>
      </c>
      <c r="J12308" s="450" t="s">
        <v>23370</v>
      </c>
      <c r="K12308" s="450"/>
    </row>
    <row r="12309" spans="1:11">
      <c r="A12309" s="451" t="s">
        <v>19178</v>
      </c>
      <c r="B12309" s="451"/>
      <c r="C12309" s="451" t="s">
        <v>19179</v>
      </c>
      <c r="D12309" s="451"/>
      <c r="E12309" s="451"/>
      <c r="F12309" s="451"/>
      <c r="G12309" s="451" t="s">
        <v>22877</v>
      </c>
      <c r="H12309" s="451" t="s">
        <v>22878</v>
      </c>
      <c r="I12309" s="451" t="s">
        <v>39460</v>
      </c>
      <c r="J12309" s="451" t="s">
        <v>22997</v>
      </c>
      <c r="K12309" s="451"/>
    </row>
    <row r="12310" spans="1:11">
      <c r="A12310" s="450" t="s">
        <v>19180</v>
      </c>
      <c r="B12310" s="450"/>
      <c r="C12310" s="450" t="s">
        <v>10522</v>
      </c>
      <c r="D12310" s="450"/>
      <c r="E12310" s="450"/>
      <c r="F12310" s="450"/>
      <c r="G12310" s="450" t="s">
        <v>22882</v>
      </c>
      <c r="H12310" s="450" t="s">
        <v>22883</v>
      </c>
      <c r="I12310" s="450"/>
      <c r="J12310" s="450" t="s">
        <v>23185</v>
      </c>
      <c r="K12310" s="450"/>
    </row>
    <row r="12311" spans="1:11">
      <c r="A12311" s="451" t="s">
        <v>19181</v>
      </c>
      <c r="B12311" s="451"/>
      <c r="C12311" s="451" t="s">
        <v>19182</v>
      </c>
      <c r="D12311" s="451"/>
      <c r="E12311" s="451"/>
      <c r="F12311" s="451"/>
      <c r="G12311" s="451" t="s">
        <v>22877</v>
      </c>
      <c r="H12311" s="451" t="s">
        <v>22878</v>
      </c>
      <c r="I12311" s="451" t="s">
        <v>32337</v>
      </c>
      <c r="J12311" s="451" t="s">
        <v>23185</v>
      </c>
      <c r="K12311" s="451"/>
    </row>
    <row r="12312" spans="1:11">
      <c r="A12312" s="450" t="s">
        <v>22034</v>
      </c>
      <c r="B12312" s="450" t="s">
        <v>19183</v>
      </c>
      <c r="C12312" s="450" t="s">
        <v>9072</v>
      </c>
      <c r="D12312" s="450" t="s">
        <v>19184</v>
      </c>
      <c r="E12312" s="450"/>
      <c r="F12312" s="450"/>
      <c r="G12312" s="450" t="s">
        <v>22882</v>
      </c>
      <c r="H12312" s="450" t="s">
        <v>22883</v>
      </c>
      <c r="I12312" s="450" t="s">
        <v>32338</v>
      </c>
      <c r="J12312" s="450" t="s">
        <v>32339</v>
      </c>
      <c r="K12312" s="450"/>
    </row>
    <row r="12313" spans="1:11">
      <c r="A12313" s="451" t="s">
        <v>22034</v>
      </c>
      <c r="B12313" s="451" t="s">
        <v>19183</v>
      </c>
      <c r="C12313" s="451" t="s">
        <v>9072</v>
      </c>
      <c r="D12313" s="451" t="s">
        <v>19184</v>
      </c>
      <c r="E12313" s="451" t="s">
        <v>19185</v>
      </c>
      <c r="F12313" s="451"/>
      <c r="G12313" s="451"/>
      <c r="H12313" s="451"/>
      <c r="I12313" s="451"/>
      <c r="J12313" s="451"/>
      <c r="K12313" s="451"/>
    </row>
    <row r="12314" spans="1:11">
      <c r="A12314" s="450" t="s">
        <v>29938</v>
      </c>
      <c r="B12314" s="450" t="s">
        <v>19187</v>
      </c>
      <c r="C12314" s="450" t="s">
        <v>19188</v>
      </c>
      <c r="D12314" s="450" t="s">
        <v>19189</v>
      </c>
      <c r="E12314" s="450"/>
      <c r="F12314" s="450"/>
      <c r="G12314" s="450" t="s">
        <v>22882</v>
      </c>
      <c r="H12314" s="450" t="s">
        <v>22883</v>
      </c>
      <c r="I12314" s="450"/>
      <c r="J12314" s="450" t="s">
        <v>32340</v>
      </c>
      <c r="K12314" s="450"/>
    </row>
    <row r="12315" spans="1:11">
      <c r="A12315" s="451" t="s">
        <v>29939</v>
      </c>
      <c r="B12315" s="451" t="s">
        <v>29940</v>
      </c>
      <c r="C12315" s="451" t="s">
        <v>19193</v>
      </c>
      <c r="D12315" s="451" t="s">
        <v>19194</v>
      </c>
      <c r="E12315" s="451"/>
      <c r="F12315" s="451"/>
      <c r="G12315" s="451" t="s">
        <v>22882</v>
      </c>
      <c r="H12315" s="451" t="s">
        <v>22883</v>
      </c>
      <c r="I12315" s="451" t="s">
        <v>32341</v>
      </c>
      <c r="J12315" s="451" t="s">
        <v>32342</v>
      </c>
      <c r="K12315" s="451"/>
    </row>
    <row r="12316" spans="1:11">
      <c r="A12316" s="450" t="s">
        <v>19186</v>
      </c>
      <c r="B12316" s="450" t="s">
        <v>19187</v>
      </c>
      <c r="C12316" s="450" t="s">
        <v>19188</v>
      </c>
      <c r="D12316" s="450" t="s">
        <v>19189</v>
      </c>
      <c r="E12316" s="450" t="s">
        <v>19190</v>
      </c>
      <c r="F12316" s="450"/>
      <c r="G12316" s="450"/>
      <c r="H12316" s="450"/>
      <c r="I12316" s="450"/>
      <c r="J12316" s="450"/>
      <c r="K12316" s="450"/>
    </row>
    <row r="12317" spans="1:11">
      <c r="A12317" s="451" t="s">
        <v>19191</v>
      </c>
      <c r="B12317" s="451" t="s">
        <v>19192</v>
      </c>
      <c r="C12317" s="451" t="s">
        <v>19193</v>
      </c>
      <c r="D12317" s="451" t="s">
        <v>19194</v>
      </c>
      <c r="E12317" s="451" t="s">
        <v>19195</v>
      </c>
      <c r="F12317" s="451"/>
      <c r="G12317" s="451"/>
      <c r="H12317" s="451"/>
      <c r="I12317" s="451"/>
      <c r="J12317" s="451"/>
      <c r="K12317" s="451"/>
    </row>
    <row r="12318" spans="1:11">
      <c r="A12318" s="450" t="s">
        <v>19196</v>
      </c>
      <c r="B12318" s="450"/>
      <c r="C12318" s="450" t="s">
        <v>19197</v>
      </c>
      <c r="D12318" s="450"/>
      <c r="E12318" s="450"/>
      <c r="F12318" s="450"/>
      <c r="G12318" s="450" t="s">
        <v>22877</v>
      </c>
      <c r="H12318" s="450" t="s">
        <v>22878</v>
      </c>
      <c r="I12318" s="450"/>
      <c r="J12318" s="450" t="s">
        <v>23185</v>
      </c>
      <c r="K12318" s="450"/>
    </row>
    <row r="12319" spans="1:11">
      <c r="A12319" s="451" t="s">
        <v>29941</v>
      </c>
      <c r="B12319" s="451" t="s">
        <v>29942</v>
      </c>
      <c r="C12319" s="451" t="s">
        <v>9291</v>
      </c>
      <c r="D12319" s="451"/>
      <c r="E12319" s="451"/>
      <c r="F12319" s="451"/>
      <c r="G12319" s="451" t="s">
        <v>22877</v>
      </c>
      <c r="H12319" s="451" t="s">
        <v>22878</v>
      </c>
      <c r="I12319" s="451" t="s">
        <v>32343</v>
      </c>
      <c r="J12319" s="451" t="s">
        <v>32344</v>
      </c>
      <c r="K12319" s="451"/>
    </row>
    <row r="12320" spans="1:11">
      <c r="A12320" s="450" t="s">
        <v>39461</v>
      </c>
      <c r="B12320" s="450"/>
      <c r="C12320" s="450" t="s">
        <v>19199</v>
      </c>
      <c r="D12320" s="450"/>
      <c r="E12320" s="450"/>
      <c r="F12320" s="450"/>
      <c r="G12320" s="450" t="s">
        <v>22877</v>
      </c>
      <c r="H12320" s="450" t="s">
        <v>22878</v>
      </c>
      <c r="I12320" s="450" t="s">
        <v>39462</v>
      </c>
      <c r="J12320" s="450" t="s">
        <v>22997</v>
      </c>
      <c r="K12320" s="450"/>
    </row>
    <row r="12321" spans="1:11">
      <c r="A12321" s="451" t="s">
        <v>19198</v>
      </c>
      <c r="B12321" s="451"/>
      <c r="C12321" s="451" t="s">
        <v>19199</v>
      </c>
      <c r="D12321" s="451"/>
      <c r="E12321" s="451"/>
      <c r="F12321" s="451"/>
      <c r="G12321" s="451"/>
      <c r="H12321" s="451"/>
      <c r="I12321" s="451"/>
      <c r="J12321" s="451"/>
      <c r="K12321" s="451"/>
    </row>
    <row r="12322" spans="1:11">
      <c r="A12322" s="450" t="s">
        <v>22126</v>
      </c>
      <c r="B12322" s="450"/>
      <c r="C12322" s="450" t="s">
        <v>10737</v>
      </c>
      <c r="D12322" s="450"/>
      <c r="E12322" s="450"/>
      <c r="F12322" s="450"/>
      <c r="G12322" s="450"/>
      <c r="H12322" s="450"/>
      <c r="I12322" s="450"/>
      <c r="J12322" s="450"/>
      <c r="K12322" s="450"/>
    </row>
    <row r="12323" spans="1:11">
      <c r="A12323" s="451" t="s">
        <v>19200</v>
      </c>
      <c r="B12323" s="451"/>
      <c r="C12323" s="451" t="s">
        <v>3822</v>
      </c>
      <c r="D12323" s="451"/>
      <c r="E12323" s="451"/>
      <c r="F12323" s="451"/>
      <c r="G12323" s="451" t="s">
        <v>22882</v>
      </c>
      <c r="H12323" s="451" t="s">
        <v>22883</v>
      </c>
      <c r="I12323" s="451"/>
      <c r="J12323" s="451" t="s">
        <v>23185</v>
      </c>
      <c r="K12323" s="451"/>
    </row>
    <row r="12324" spans="1:11">
      <c r="A12324" s="450" t="s">
        <v>32345</v>
      </c>
      <c r="B12324" s="450"/>
      <c r="C12324" s="450" t="s">
        <v>10737</v>
      </c>
      <c r="D12324" s="450"/>
      <c r="E12324" s="450"/>
      <c r="F12324" s="450"/>
      <c r="G12324" s="450" t="s">
        <v>22882</v>
      </c>
      <c r="H12324" s="450" t="s">
        <v>22883</v>
      </c>
      <c r="I12324" s="450" t="s">
        <v>32346</v>
      </c>
      <c r="J12324" s="450" t="s">
        <v>22942</v>
      </c>
      <c r="K12324" s="450"/>
    </row>
    <row r="12325" spans="1:11">
      <c r="A12325" s="451" t="s">
        <v>19201</v>
      </c>
      <c r="B12325" s="451" t="s">
        <v>19202</v>
      </c>
      <c r="C12325" s="451" t="s">
        <v>19203</v>
      </c>
      <c r="D12325" s="451"/>
      <c r="E12325" s="451"/>
      <c r="F12325" s="451"/>
      <c r="G12325" s="451" t="s">
        <v>22882</v>
      </c>
      <c r="H12325" s="451" t="s">
        <v>22883</v>
      </c>
      <c r="I12325" s="451" t="s">
        <v>32347</v>
      </c>
      <c r="J12325" s="451" t="s">
        <v>32348</v>
      </c>
      <c r="K12325" s="451"/>
    </row>
    <row r="12326" spans="1:11">
      <c r="A12326" s="450" t="s">
        <v>29943</v>
      </c>
      <c r="B12326" s="450" t="s">
        <v>29944</v>
      </c>
      <c r="C12326" s="450" t="s">
        <v>29945</v>
      </c>
      <c r="D12326" s="450"/>
      <c r="E12326" s="450"/>
      <c r="F12326" s="450"/>
      <c r="G12326" s="450" t="s">
        <v>22877</v>
      </c>
      <c r="H12326" s="450" t="s">
        <v>22878</v>
      </c>
      <c r="I12326" s="450" t="s">
        <v>32349</v>
      </c>
      <c r="J12326" s="450" t="s">
        <v>32350</v>
      </c>
      <c r="K12326" s="450"/>
    </row>
    <row r="12327" spans="1:11">
      <c r="A12327" s="451" t="s">
        <v>19204</v>
      </c>
      <c r="B12327" s="451" t="s">
        <v>19205</v>
      </c>
      <c r="C12327" s="451" t="s">
        <v>19206</v>
      </c>
      <c r="D12327" s="451"/>
      <c r="E12327" s="451"/>
      <c r="F12327" s="451"/>
      <c r="G12327" s="451"/>
      <c r="H12327" s="451"/>
      <c r="I12327" s="451"/>
      <c r="J12327" s="451"/>
      <c r="K12327" s="451"/>
    </row>
    <row r="12328" spans="1:11">
      <c r="A12328" s="450" t="s">
        <v>19207</v>
      </c>
      <c r="B12328" s="450" t="s">
        <v>19208</v>
      </c>
      <c r="C12328" s="450" t="s">
        <v>19209</v>
      </c>
      <c r="D12328" s="450"/>
      <c r="E12328" s="450"/>
      <c r="F12328" s="450"/>
      <c r="G12328" s="450" t="s">
        <v>22877</v>
      </c>
      <c r="H12328" s="450" t="s">
        <v>22878</v>
      </c>
      <c r="I12328" s="450"/>
      <c r="J12328" s="450" t="s">
        <v>39463</v>
      </c>
      <c r="K12328" s="450"/>
    </row>
    <row r="12329" spans="1:11">
      <c r="A12329" s="451" t="s">
        <v>19207</v>
      </c>
      <c r="B12329" s="451" t="s">
        <v>19208</v>
      </c>
      <c r="C12329" s="451" t="s">
        <v>19209</v>
      </c>
      <c r="D12329" s="451"/>
      <c r="E12329" s="451"/>
      <c r="F12329" s="451" t="s">
        <v>5778</v>
      </c>
      <c r="G12329" s="451"/>
      <c r="H12329" s="451"/>
      <c r="I12329" s="451"/>
      <c r="J12329" s="451"/>
      <c r="K12329" s="451"/>
    </row>
    <row r="12330" spans="1:11">
      <c r="A12330" s="450" t="s">
        <v>19210</v>
      </c>
      <c r="B12330" s="450" t="s">
        <v>19211</v>
      </c>
      <c r="C12330" s="450" t="s">
        <v>19212</v>
      </c>
      <c r="D12330" s="450"/>
      <c r="E12330" s="450"/>
      <c r="F12330" s="450"/>
      <c r="G12330" s="450" t="s">
        <v>22877</v>
      </c>
      <c r="H12330" s="450" t="s">
        <v>22878</v>
      </c>
      <c r="I12330" s="450"/>
      <c r="J12330" s="450" t="s">
        <v>39464</v>
      </c>
      <c r="K12330" s="450"/>
    </row>
    <row r="12331" spans="1:11">
      <c r="A12331" s="451" t="s">
        <v>19213</v>
      </c>
      <c r="B12331" s="451"/>
      <c r="C12331" s="451" t="s">
        <v>2779</v>
      </c>
      <c r="D12331" s="451"/>
      <c r="E12331" s="451"/>
      <c r="F12331" s="451"/>
      <c r="G12331" s="451"/>
      <c r="H12331" s="451"/>
      <c r="I12331" s="451"/>
      <c r="J12331" s="451"/>
      <c r="K12331" s="451"/>
    </row>
    <row r="12332" spans="1:11">
      <c r="A12332" s="450" t="s">
        <v>19214</v>
      </c>
      <c r="B12332" s="450" t="s">
        <v>19215</v>
      </c>
      <c r="C12332" s="450" t="s">
        <v>2779</v>
      </c>
      <c r="D12332" s="450" t="s">
        <v>19216</v>
      </c>
      <c r="E12332" s="450"/>
      <c r="F12332" s="450"/>
      <c r="G12332" s="450" t="s">
        <v>22877</v>
      </c>
      <c r="H12332" s="450" t="s">
        <v>22878</v>
      </c>
      <c r="I12332" s="450" t="s">
        <v>32351</v>
      </c>
      <c r="J12332" s="450" t="s">
        <v>32352</v>
      </c>
      <c r="K12332" s="450"/>
    </row>
    <row r="12333" spans="1:11">
      <c r="A12333" s="451" t="s">
        <v>19217</v>
      </c>
      <c r="B12333" s="451"/>
      <c r="C12333" s="451" t="s">
        <v>19218</v>
      </c>
      <c r="D12333" s="451"/>
      <c r="E12333" s="451"/>
      <c r="F12333" s="451"/>
      <c r="G12333" s="451" t="s">
        <v>22877</v>
      </c>
      <c r="H12333" s="451" t="s">
        <v>22878</v>
      </c>
      <c r="I12333" s="451" t="s">
        <v>39465</v>
      </c>
      <c r="J12333" s="451" t="s">
        <v>22997</v>
      </c>
      <c r="K12333" s="451"/>
    </row>
    <row r="12334" spans="1:11">
      <c r="A12334" s="450" t="s">
        <v>39466</v>
      </c>
      <c r="B12334" s="450"/>
      <c r="C12334" s="450" t="s">
        <v>19220</v>
      </c>
      <c r="D12334" s="450"/>
      <c r="E12334" s="450"/>
      <c r="F12334" s="450"/>
      <c r="G12334" s="450" t="s">
        <v>22877</v>
      </c>
      <c r="H12334" s="450" t="s">
        <v>22878</v>
      </c>
      <c r="I12334" s="450"/>
      <c r="J12334" s="450" t="s">
        <v>22942</v>
      </c>
      <c r="K12334" s="450"/>
    </row>
    <row r="12335" spans="1:11">
      <c r="A12335" s="451" t="s">
        <v>19219</v>
      </c>
      <c r="B12335" s="451"/>
      <c r="C12335" s="451" t="s">
        <v>19220</v>
      </c>
      <c r="D12335" s="451"/>
      <c r="E12335" s="451"/>
      <c r="F12335" s="451"/>
      <c r="G12335" s="451"/>
      <c r="H12335" s="451"/>
      <c r="I12335" s="451"/>
      <c r="J12335" s="451"/>
      <c r="K12335" s="451"/>
    </row>
    <row r="12336" spans="1:11">
      <c r="A12336" s="450" t="s">
        <v>19221</v>
      </c>
      <c r="B12336" s="450"/>
      <c r="C12336" s="450" t="s">
        <v>9056</v>
      </c>
      <c r="D12336" s="450"/>
      <c r="E12336" s="450"/>
      <c r="F12336" s="450"/>
      <c r="G12336" s="450" t="s">
        <v>22877</v>
      </c>
      <c r="H12336" s="450" t="s">
        <v>22878</v>
      </c>
      <c r="I12336" s="450"/>
      <c r="J12336" s="450" t="s">
        <v>22997</v>
      </c>
      <c r="K12336" s="450"/>
    </row>
    <row r="12337" spans="1:11">
      <c r="A12337" s="451" t="s">
        <v>32353</v>
      </c>
      <c r="B12337" s="451" t="s">
        <v>29946</v>
      </c>
      <c r="C12337" s="451" t="s">
        <v>29947</v>
      </c>
      <c r="D12337" s="451" t="s">
        <v>29948</v>
      </c>
      <c r="E12337" s="451"/>
      <c r="F12337" s="451"/>
      <c r="G12337" s="451" t="s">
        <v>22877</v>
      </c>
      <c r="H12337" s="451" t="s">
        <v>22878</v>
      </c>
      <c r="I12337" s="451" t="s">
        <v>29948</v>
      </c>
      <c r="J12337" s="451" t="s">
        <v>32354</v>
      </c>
      <c r="K12337" s="451"/>
    </row>
    <row r="12338" spans="1:11">
      <c r="A12338" s="450" t="s">
        <v>32355</v>
      </c>
      <c r="B12338" s="450" t="s">
        <v>19222</v>
      </c>
      <c r="C12338" s="450" t="s">
        <v>3055</v>
      </c>
      <c r="D12338" s="450" t="s">
        <v>19223</v>
      </c>
      <c r="E12338" s="450"/>
      <c r="F12338" s="450"/>
      <c r="G12338" s="450" t="s">
        <v>22877</v>
      </c>
      <c r="H12338" s="450" t="s">
        <v>22878</v>
      </c>
      <c r="I12338" s="450" t="s">
        <v>19223</v>
      </c>
      <c r="J12338" s="450" t="s">
        <v>32356</v>
      </c>
      <c r="K12338" s="450"/>
    </row>
    <row r="12339" spans="1:11">
      <c r="A12339" s="451" t="s">
        <v>22035</v>
      </c>
      <c r="B12339" s="451" t="s">
        <v>19222</v>
      </c>
      <c r="C12339" s="451" t="s">
        <v>3055</v>
      </c>
      <c r="D12339" s="451" t="s">
        <v>19223</v>
      </c>
      <c r="E12339" s="451" t="s">
        <v>19224</v>
      </c>
      <c r="F12339" s="451"/>
      <c r="G12339" s="451"/>
      <c r="H12339" s="451"/>
      <c r="I12339" s="451"/>
      <c r="J12339" s="451"/>
      <c r="K12339" s="451"/>
    </row>
    <row r="12340" spans="1:11">
      <c r="A12340" s="450" t="s">
        <v>20206</v>
      </c>
      <c r="B12340" s="450" t="s">
        <v>20207</v>
      </c>
      <c r="C12340" s="450" t="s">
        <v>20208</v>
      </c>
      <c r="D12340" s="450"/>
      <c r="E12340" s="450"/>
      <c r="F12340" s="450" t="s">
        <v>20209</v>
      </c>
      <c r="G12340" s="450"/>
      <c r="H12340" s="450"/>
      <c r="I12340" s="450"/>
      <c r="J12340" s="450"/>
      <c r="K12340" s="450"/>
    </row>
    <row r="12341" spans="1:11">
      <c r="A12341" s="451" t="s">
        <v>32357</v>
      </c>
      <c r="B12341" s="451" t="s">
        <v>20207</v>
      </c>
      <c r="C12341" s="451" t="s">
        <v>20208</v>
      </c>
      <c r="D12341" s="451"/>
      <c r="E12341" s="451"/>
      <c r="F12341" s="451"/>
      <c r="G12341" s="451" t="s">
        <v>22877</v>
      </c>
      <c r="H12341" s="451" t="s">
        <v>22878</v>
      </c>
      <c r="I12341" s="451" t="s">
        <v>32358</v>
      </c>
      <c r="J12341" s="451" t="s">
        <v>32359</v>
      </c>
      <c r="K12341" s="451"/>
    </row>
    <row r="12342" spans="1:11">
      <c r="A12342" s="450" t="s">
        <v>39467</v>
      </c>
      <c r="B12342" s="450"/>
      <c r="C12342" s="450" t="s">
        <v>18804</v>
      </c>
      <c r="D12342" s="450"/>
      <c r="E12342" s="450"/>
      <c r="F12342" s="450"/>
      <c r="G12342" s="450" t="s">
        <v>22877</v>
      </c>
      <c r="H12342" s="450" t="s">
        <v>22878</v>
      </c>
      <c r="I12342" s="450"/>
      <c r="J12342" s="450" t="s">
        <v>38535</v>
      </c>
      <c r="K12342" s="450"/>
    </row>
    <row r="12343" spans="1:11">
      <c r="A12343" s="451" t="s">
        <v>29949</v>
      </c>
      <c r="B12343" s="451" t="s">
        <v>29950</v>
      </c>
      <c r="C12343" s="451" t="s">
        <v>29951</v>
      </c>
      <c r="D12343" s="451"/>
      <c r="E12343" s="451"/>
      <c r="F12343" s="451"/>
      <c r="G12343" s="451" t="s">
        <v>22877</v>
      </c>
      <c r="H12343" s="451" t="s">
        <v>22878</v>
      </c>
      <c r="I12343" s="451"/>
      <c r="J12343" s="451" t="s">
        <v>32360</v>
      </c>
      <c r="K12343" s="451"/>
    </row>
    <row r="12344" spans="1:11">
      <c r="A12344" s="450" t="s">
        <v>29952</v>
      </c>
      <c r="B12344" s="450" t="s">
        <v>29953</v>
      </c>
      <c r="C12344" s="450" t="s">
        <v>29954</v>
      </c>
      <c r="D12344" s="450" t="s">
        <v>29955</v>
      </c>
      <c r="E12344" s="450"/>
      <c r="F12344" s="450"/>
      <c r="G12344" s="450" t="s">
        <v>22882</v>
      </c>
      <c r="H12344" s="450" t="s">
        <v>22883</v>
      </c>
      <c r="I12344" s="450" t="s">
        <v>32361</v>
      </c>
      <c r="J12344" s="450" t="s">
        <v>32362</v>
      </c>
      <c r="K12344" s="450"/>
    </row>
    <row r="12345" spans="1:11">
      <c r="A12345" s="451" t="s">
        <v>21160</v>
      </c>
      <c r="B12345" s="451" t="s">
        <v>21161</v>
      </c>
      <c r="C12345" s="451" t="s">
        <v>3055</v>
      </c>
      <c r="D12345" s="451"/>
      <c r="E12345" s="451"/>
      <c r="F12345" s="451"/>
      <c r="G12345" s="451"/>
      <c r="H12345" s="451"/>
      <c r="I12345" s="451"/>
      <c r="J12345" s="451"/>
      <c r="K12345" s="451"/>
    </row>
    <row r="12346" spans="1:11">
      <c r="A12346" s="450" t="s">
        <v>19229</v>
      </c>
      <c r="B12346" s="450" t="s">
        <v>29956</v>
      </c>
      <c r="C12346" s="450" t="s">
        <v>19231</v>
      </c>
      <c r="D12346" s="450" t="s">
        <v>6928</v>
      </c>
      <c r="E12346" s="450"/>
      <c r="F12346" s="450"/>
      <c r="G12346" s="450" t="s">
        <v>22882</v>
      </c>
      <c r="H12346" s="450" t="s">
        <v>22883</v>
      </c>
      <c r="I12346" s="450" t="s">
        <v>24393</v>
      </c>
      <c r="J12346" s="450" t="s">
        <v>32363</v>
      </c>
      <c r="K12346" s="450"/>
    </row>
    <row r="12347" spans="1:11">
      <c r="A12347" s="451" t="s">
        <v>19229</v>
      </c>
      <c r="B12347" s="451" t="s">
        <v>19230</v>
      </c>
      <c r="C12347" s="451" t="s">
        <v>19231</v>
      </c>
      <c r="D12347" s="451" t="s">
        <v>6928</v>
      </c>
      <c r="E12347" s="451" t="s">
        <v>6779</v>
      </c>
      <c r="F12347" s="451"/>
      <c r="G12347" s="451"/>
      <c r="H12347" s="451"/>
      <c r="I12347" s="451"/>
      <c r="J12347" s="451"/>
      <c r="K12347" s="451"/>
    </row>
    <row r="12348" spans="1:11">
      <c r="A12348" s="450" t="s">
        <v>29957</v>
      </c>
      <c r="B12348" s="450" t="s">
        <v>29958</v>
      </c>
      <c r="C12348" s="450" t="s">
        <v>29959</v>
      </c>
      <c r="D12348" s="450"/>
      <c r="E12348" s="450"/>
      <c r="F12348" s="450"/>
      <c r="G12348" s="450" t="s">
        <v>22877</v>
      </c>
      <c r="H12348" s="450" t="s">
        <v>22878</v>
      </c>
      <c r="I12348" s="450" t="s">
        <v>32364</v>
      </c>
      <c r="J12348" s="450" t="s">
        <v>32365</v>
      </c>
      <c r="K12348" s="450"/>
    </row>
    <row r="12349" spans="1:11">
      <c r="A12349" s="451" t="s">
        <v>29960</v>
      </c>
      <c r="B12349" s="451" t="s">
        <v>29961</v>
      </c>
      <c r="C12349" s="451" t="s">
        <v>29962</v>
      </c>
      <c r="D12349" s="451"/>
      <c r="E12349" s="451"/>
      <c r="F12349" s="451"/>
      <c r="G12349" s="451" t="s">
        <v>22877</v>
      </c>
      <c r="H12349" s="451" t="s">
        <v>22878</v>
      </c>
      <c r="I12349" s="451" t="s">
        <v>32366</v>
      </c>
      <c r="J12349" s="451" t="s">
        <v>32367</v>
      </c>
      <c r="K12349" s="451"/>
    </row>
    <row r="12350" spans="1:11">
      <c r="A12350" s="450" t="s">
        <v>19232</v>
      </c>
      <c r="B12350" s="450" t="s">
        <v>15028</v>
      </c>
      <c r="C12350" s="450" t="s">
        <v>5116</v>
      </c>
      <c r="D12350" s="450" t="s">
        <v>19233</v>
      </c>
      <c r="E12350" s="450"/>
      <c r="F12350" s="450"/>
      <c r="G12350" s="450" t="s">
        <v>22882</v>
      </c>
      <c r="H12350" s="450" t="s">
        <v>22883</v>
      </c>
      <c r="I12350" s="450" t="s">
        <v>19233</v>
      </c>
      <c r="J12350" s="450" t="s">
        <v>39468</v>
      </c>
      <c r="K12350" s="450"/>
    </row>
    <row r="12351" spans="1:11">
      <c r="A12351" s="451" t="s">
        <v>19232</v>
      </c>
      <c r="B12351" s="451" t="s">
        <v>15028</v>
      </c>
      <c r="C12351" s="451" t="s">
        <v>5116</v>
      </c>
      <c r="D12351" s="451" t="s">
        <v>19233</v>
      </c>
      <c r="E12351" s="451" t="s">
        <v>19234</v>
      </c>
      <c r="F12351" s="451"/>
      <c r="G12351" s="451"/>
      <c r="H12351" s="451"/>
      <c r="I12351" s="451"/>
      <c r="J12351" s="451"/>
      <c r="K12351" s="451"/>
    </row>
    <row r="12352" spans="1:11">
      <c r="A12352" s="450" t="s">
        <v>19235</v>
      </c>
      <c r="B12352" s="450" t="s">
        <v>29963</v>
      </c>
      <c r="C12352" s="450" t="s">
        <v>5120</v>
      </c>
      <c r="D12352" s="450"/>
      <c r="E12352" s="450"/>
      <c r="F12352" s="450"/>
      <c r="G12352" s="450" t="s">
        <v>22877</v>
      </c>
      <c r="H12352" s="450" t="s">
        <v>22878</v>
      </c>
      <c r="I12352" s="450" t="s">
        <v>32368</v>
      </c>
      <c r="J12352" s="450" t="s">
        <v>32369</v>
      </c>
      <c r="K12352" s="450"/>
    </row>
    <row r="12353" spans="1:11">
      <c r="A12353" s="451" t="s">
        <v>19235</v>
      </c>
      <c r="B12353" s="451" t="s">
        <v>19236</v>
      </c>
      <c r="C12353" s="451" t="s">
        <v>5120</v>
      </c>
      <c r="D12353" s="451"/>
      <c r="E12353" s="451"/>
      <c r="F12353" s="451"/>
      <c r="G12353" s="451"/>
      <c r="H12353" s="451"/>
      <c r="I12353" s="451"/>
      <c r="J12353" s="451"/>
      <c r="K12353" s="451"/>
    </row>
    <row r="12354" spans="1:11">
      <c r="A12354" s="450" t="s">
        <v>29964</v>
      </c>
      <c r="B12354" s="450" t="s">
        <v>29965</v>
      </c>
      <c r="C12354" s="450" t="s">
        <v>29966</v>
      </c>
      <c r="D12354" s="450"/>
      <c r="E12354" s="450"/>
      <c r="F12354" s="450"/>
      <c r="G12354" s="450" t="s">
        <v>22877</v>
      </c>
      <c r="H12354" s="450" t="s">
        <v>22878</v>
      </c>
      <c r="I12354" s="450" t="s">
        <v>32370</v>
      </c>
      <c r="J12354" s="450" t="s">
        <v>32371</v>
      </c>
      <c r="K12354" s="450"/>
    </row>
    <row r="12355" spans="1:11">
      <c r="A12355" s="451" t="s">
        <v>22135</v>
      </c>
      <c r="B12355" s="451" t="s">
        <v>22136</v>
      </c>
      <c r="C12355" s="451" t="s">
        <v>22137</v>
      </c>
      <c r="D12355" s="451"/>
      <c r="E12355" s="451"/>
      <c r="F12355" s="451"/>
      <c r="G12355" s="451" t="s">
        <v>22877</v>
      </c>
      <c r="H12355" s="451" t="s">
        <v>22878</v>
      </c>
      <c r="I12355" s="451"/>
      <c r="J12355" s="451" t="s">
        <v>39469</v>
      </c>
      <c r="K12355" s="451"/>
    </row>
    <row r="12356" spans="1:11">
      <c r="A12356" s="450" t="s">
        <v>19237</v>
      </c>
      <c r="B12356" s="450" t="s">
        <v>19238</v>
      </c>
      <c r="C12356" s="450" t="s">
        <v>19239</v>
      </c>
      <c r="D12356" s="450" t="s">
        <v>19240</v>
      </c>
      <c r="E12356" s="450"/>
      <c r="F12356" s="450"/>
      <c r="G12356" s="450"/>
      <c r="H12356" s="450"/>
      <c r="I12356" s="450"/>
      <c r="J12356" s="450"/>
      <c r="K12356" s="450"/>
    </row>
    <row r="12357" spans="1:11" ht="15.5">
      <c r="A12357" s="449" t="s">
        <v>39470</v>
      </c>
      <c r="B12357" s="449" t="s">
        <v>39471</v>
      </c>
      <c r="C12357" s="449" t="s">
        <v>39472</v>
      </c>
      <c r="D12357" s="449"/>
      <c r="E12357" s="449"/>
      <c r="F12357" s="449"/>
      <c r="G12357" s="449"/>
      <c r="H12357" s="449"/>
      <c r="I12357" s="449"/>
      <c r="J12357" s="449"/>
      <c r="K12357" s="449"/>
    </row>
    <row r="12358" spans="1:11">
      <c r="A12358" s="450" t="s">
        <v>20213</v>
      </c>
      <c r="B12358" s="450" t="s">
        <v>20214</v>
      </c>
      <c r="C12358" s="450" t="s">
        <v>20215</v>
      </c>
      <c r="D12358" s="450" t="s">
        <v>20216</v>
      </c>
      <c r="E12358" s="450"/>
      <c r="F12358" s="450"/>
      <c r="G12358" s="450" t="s">
        <v>22877</v>
      </c>
      <c r="H12358" s="450" t="s">
        <v>22878</v>
      </c>
      <c r="I12358" s="450"/>
      <c r="J12358" s="450" t="s">
        <v>39473</v>
      </c>
      <c r="K12358" s="450"/>
    </row>
    <row r="12359" spans="1:11">
      <c r="A12359" s="451" t="s">
        <v>20213</v>
      </c>
      <c r="B12359" s="451" t="s">
        <v>20214</v>
      </c>
      <c r="C12359" s="451" t="s">
        <v>20215</v>
      </c>
      <c r="D12359" s="451" t="s">
        <v>20216</v>
      </c>
      <c r="E12359" s="451"/>
      <c r="F12359" s="451" t="s">
        <v>20217</v>
      </c>
      <c r="G12359" s="451"/>
      <c r="H12359" s="451"/>
      <c r="I12359" s="451"/>
      <c r="J12359" s="451"/>
      <c r="K12359" s="451"/>
    </row>
    <row r="12360" spans="1:11">
      <c r="A12360" s="450" t="s">
        <v>39474</v>
      </c>
      <c r="B12360" s="450" t="s">
        <v>39475</v>
      </c>
      <c r="C12360" s="450" t="s">
        <v>39476</v>
      </c>
      <c r="D12360" s="450"/>
      <c r="E12360" s="450"/>
      <c r="F12360" s="450"/>
      <c r="G12360" s="450"/>
      <c r="H12360" s="450"/>
      <c r="I12360" s="450"/>
      <c r="J12360" s="450"/>
      <c r="K12360" s="450"/>
    </row>
    <row r="12361" spans="1:11">
      <c r="A12361" s="451" t="s">
        <v>19241</v>
      </c>
      <c r="B12361" s="451" t="s">
        <v>19242</v>
      </c>
      <c r="C12361" s="451" t="s">
        <v>19243</v>
      </c>
      <c r="D12361" s="451" t="s">
        <v>19244</v>
      </c>
      <c r="E12361" s="451"/>
      <c r="F12361" s="451"/>
      <c r="G12361" s="451" t="s">
        <v>22877</v>
      </c>
      <c r="H12361" s="451" t="s">
        <v>22878</v>
      </c>
      <c r="I12361" s="451"/>
      <c r="J12361" s="451" t="s">
        <v>39477</v>
      </c>
      <c r="K12361" s="451"/>
    </row>
    <row r="12362" spans="1:11">
      <c r="A12362" s="450" t="s">
        <v>19241</v>
      </c>
      <c r="B12362" s="450" t="s">
        <v>19242</v>
      </c>
      <c r="C12362" s="450" t="s">
        <v>19243</v>
      </c>
      <c r="D12362" s="450" t="s">
        <v>19244</v>
      </c>
      <c r="E12362" s="450" t="s">
        <v>19245</v>
      </c>
      <c r="F12362" s="450"/>
      <c r="G12362" s="450"/>
      <c r="H12362" s="450"/>
      <c r="I12362" s="450"/>
      <c r="J12362" s="450"/>
      <c r="K12362" s="450"/>
    </row>
    <row r="12363" spans="1:11">
      <c r="A12363" s="451" t="s">
        <v>32372</v>
      </c>
      <c r="B12363" s="451" t="s">
        <v>20535</v>
      </c>
      <c r="C12363" s="451" t="s">
        <v>20536</v>
      </c>
      <c r="D12363" s="451" t="s">
        <v>20537</v>
      </c>
      <c r="E12363" s="451"/>
      <c r="F12363" s="451"/>
      <c r="G12363" s="451" t="s">
        <v>22877</v>
      </c>
      <c r="H12363" s="451" t="s">
        <v>22878</v>
      </c>
      <c r="I12363" s="451" t="s">
        <v>32373</v>
      </c>
      <c r="J12363" s="451" t="s">
        <v>30807</v>
      </c>
      <c r="K12363" s="451"/>
    </row>
    <row r="12364" spans="1:11">
      <c r="A12364" s="450"/>
      <c r="B12364" s="450"/>
      <c r="C12364" s="450"/>
      <c r="D12364" s="450"/>
      <c r="E12364" s="450"/>
      <c r="F12364" s="450"/>
      <c r="G12364" s="450" t="s">
        <v>22882</v>
      </c>
      <c r="H12364" s="450" t="s">
        <v>22883</v>
      </c>
      <c r="I12364" s="450"/>
      <c r="J12364" s="450" t="s">
        <v>39478</v>
      </c>
      <c r="K12364" s="450"/>
    </row>
    <row r="12365" spans="1:11">
      <c r="A12365" s="451"/>
      <c r="B12365" s="451"/>
      <c r="C12365" s="451"/>
      <c r="D12365" s="451"/>
      <c r="E12365" s="451"/>
      <c r="F12365" s="451"/>
      <c r="G12365" s="451"/>
      <c r="H12365" s="451"/>
      <c r="I12365" s="451"/>
      <c r="J12365" s="451"/>
      <c r="K12365" s="451"/>
    </row>
    <row r="12366" spans="1:11">
      <c r="A12366" s="450"/>
      <c r="B12366" s="450"/>
      <c r="C12366" s="450"/>
      <c r="D12366" s="450"/>
      <c r="E12366" s="450"/>
      <c r="F12366" s="450"/>
      <c r="G12366" s="450"/>
      <c r="H12366" s="450"/>
      <c r="I12366" s="450"/>
      <c r="J12366" s="450"/>
      <c r="K12366" s="450"/>
    </row>
    <row r="12367" spans="1:11">
      <c r="A12367" s="451"/>
      <c r="B12367" s="451"/>
      <c r="C12367" s="451"/>
      <c r="D12367" s="451"/>
      <c r="E12367" s="451"/>
      <c r="F12367" s="451"/>
      <c r="G12367" s="451"/>
      <c r="H12367" s="451"/>
      <c r="I12367" s="451"/>
      <c r="J12367" s="451"/>
      <c r="K12367" s="451"/>
    </row>
    <row r="12368" spans="1:11">
      <c r="A12368" s="450"/>
      <c r="B12368" s="450"/>
      <c r="C12368" s="450"/>
      <c r="D12368" s="450"/>
      <c r="E12368" s="450"/>
      <c r="F12368" s="450"/>
      <c r="G12368" s="450"/>
      <c r="H12368" s="450"/>
      <c r="I12368" s="450"/>
      <c r="J12368" s="450"/>
      <c r="K12368" s="450"/>
    </row>
    <row r="12369" spans="1:11">
      <c r="A12369" s="451"/>
      <c r="B12369" s="451"/>
      <c r="C12369" s="451"/>
      <c r="D12369" s="451"/>
      <c r="E12369" s="451"/>
      <c r="F12369" s="451"/>
      <c r="G12369" s="451"/>
      <c r="H12369" s="451"/>
      <c r="I12369" s="451"/>
      <c r="J12369" s="451"/>
      <c r="K12369" s="451"/>
    </row>
    <row r="12370" spans="1:11">
      <c r="A12370" s="450"/>
      <c r="B12370" s="450"/>
      <c r="C12370" s="450"/>
      <c r="D12370" s="450"/>
      <c r="E12370" s="450"/>
      <c r="F12370" s="450"/>
      <c r="G12370" s="450"/>
      <c r="H12370" s="450"/>
      <c r="I12370" s="450"/>
      <c r="J12370" s="450"/>
      <c r="K12370" s="450"/>
    </row>
    <row r="12371" spans="1:11">
      <c r="A12371" s="451"/>
      <c r="B12371" s="451"/>
      <c r="C12371" s="451"/>
      <c r="D12371" s="451"/>
      <c r="E12371" s="451"/>
      <c r="F12371" s="451"/>
      <c r="G12371" s="451"/>
      <c r="H12371" s="451"/>
      <c r="I12371" s="451"/>
      <c r="J12371" s="451"/>
      <c r="K12371" s="451"/>
    </row>
    <row r="12372" spans="1:11">
      <c r="A12372" s="450"/>
      <c r="B12372" s="450"/>
      <c r="C12372" s="450"/>
      <c r="D12372" s="450"/>
      <c r="E12372" s="450"/>
      <c r="F12372" s="450"/>
      <c r="G12372" s="450"/>
      <c r="H12372" s="450"/>
      <c r="I12372" s="450"/>
      <c r="J12372" s="450"/>
      <c r="K12372" s="450"/>
    </row>
    <row r="12373" spans="1:11">
      <c r="A12373" s="451"/>
      <c r="B12373" s="451"/>
      <c r="C12373" s="451"/>
      <c r="D12373" s="451"/>
      <c r="E12373" s="451"/>
      <c r="F12373" s="451"/>
      <c r="G12373" s="451"/>
      <c r="H12373" s="451"/>
      <c r="I12373" s="451"/>
      <c r="J12373" s="451"/>
      <c r="K12373" s="451"/>
    </row>
    <row r="12374" spans="1:11">
      <c r="A12374" s="450"/>
      <c r="B12374" s="450"/>
      <c r="C12374" s="450"/>
      <c r="D12374" s="450"/>
      <c r="E12374" s="450"/>
      <c r="F12374" s="450"/>
      <c r="G12374" s="450"/>
      <c r="H12374" s="450"/>
      <c r="I12374" s="450"/>
      <c r="J12374" s="450"/>
      <c r="K12374" s="450"/>
    </row>
    <row r="12375" spans="1:11">
      <c r="A12375" s="451"/>
      <c r="B12375" s="451"/>
      <c r="C12375" s="451"/>
      <c r="D12375" s="451"/>
      <c r="E12375" s="451"/>
      <c r="F12375" s="451"/>
      <c r="G12375" s="451"/>
      <c r="H12375" s="451"/>
      <c r="I12375" s="451"/>
      <c r="J12375" s="451"/>
      <c r="K12375" s="451"/>
    </row>
    <row r="12376" spans="1:11">
      <c r="A12376" s="450"/>
      <c r="B12376" s="450"/>
      <c r="C12376" s="450"/>
      <c r="D12376" s="450"/>
      <c r="E12376" s="450"/>
      <c r="F12376" s="450"/>
      <c r="G12376" s="450"/>
      <c r="H12376" s="450"/>
      <c r="I12376" s="450"/>
      <c r="J12376" s="450"/>
      <c r="K12376" s="450"/>
    </row>
    <row r="12377" spans="1:11">
      <c r="A12377" s="451"/>
      <c r="B12377" s="451"/>
      <c r="C12377" s="451"/>
      <c r="D12377" s="451"/>
      <c r="E12377" s="451"/>
      <c r="F12377" s="451"/>
      <c r="G12377" s="451"/>
      <c r="H12377" s="451"/>
      <c r="I12377" s="451"/>
      <c r="J12377" s="451"/>
      <c r="K12377" s="451"/>
    </row>
    <row r="12378" spans="1:11">
      <c r="A12378" s="450"/>
      <c r="B12378" s="450"/>
      <c r="C12378" s="450"/>
      <c r="D12378" s="450"/>
      <c r="E12378" s="450"/>
      <c r="F12378" s="450"/>
      <c r="G12378" s="450"/>
      <c r="H12378" s="450"/>
      <c r="I12378" s="450"/>
      <c r="J12378" s="450"/>
      <c r="K12378" s="450"/>
    </row>
    <row r="12379" spans="1:11">
      <c r="A12379" s="451"/>
      <c r="B12379" s="451"/>
      <c r="C12379" s="451"/>
      <c r="D12379" s="451"/>
      <c r="E12379" s="451"/>
      <c r="F12379" s="451"/>
      <c r="G12379" s="451"/>
      <c r="H12379" s="451"/>
      <c r="I12379" s="451"/>
      <c r="J12379" s="451"/>
      <c r="K12379" s="451"/>
    </row>
    <row r="12380" spans="1:11">
      <c r="A12380" s="450"/>
      <c r="B12380" s="450"/>
      <c r="C12380" s="450"/>
      <c r="D12380" s="450"/>
      <c r="E12380" s="450"/>
      <c r="F12380" s="450"/>
      <c r="G12380" s="450"/>
      <c r="H12380" s="450"/>
      <c r="I12380" s="450"/>
      <c r="J12380" s="450"/>
      <c r="K12380" s="450"/>
    </row>
    <row r="12381" spans="1:11">
      <c r="A12381" s="451"/>
      <c r="B12381" s="451"/>
      <c r="C12381" s="451"/>
      <c r="D12381" s="451"/>
      <c r="E12381" s="451"/>
      <c r="F12381" s="451"/>
      <c r="G12381" s="451"/>
      <c r="H12381" s="451"/>
      <c r="I12381" s="451"/>
      <c r="J12381" s="451"/>
      <c r="K12381" s="451"/>
    </row>
    <row r="12382" spans="1:11">
      <c r="A12382" s="450"/>
      <c r="B12382" s="450"/>
      <c r="C12382" s="450"/>
      <c r="D12382" s="450"/>
      <c r="E12382" s="450"/>
      <c r="F12382" s="450"/>
      <c r="G12382" s="450"/>
      <c r="H12382" s="450"/>
      <c r="I12382" s="450"/>
      <c r="J12382" s="450"/>
      <c r="K12382" s="450"/>
    </row>
    <row r="12383" spans="1:11">
      <c r="A12383" s="451"/>
      <c r="B12383" s="451"/>
      <c r="C12383" s="451"/>
      <c r="D12383" s="451"/>
      <c r="E12383" s="451"/>
      <c r="F12383" s="451"/>
      <c r="G12383" s="451"/>
      <c r="H12383" s="451"/>
      <c r="I12383" s="451"/>
      <c r="J12383" s="451"/>
      <c r="K12383" s="451"/>
    </row>
    <row r="12384" spans="1:11">
      <c r="A12384" s="450"/>
      <c r="B12384" s="450"/>
      <c r="C12384" s="450"/>
      <c r="D12384" s="450"/>
      <c r="E12384" s="450"/>
      <c r="F12384" s="450"/>
      <c r="G12384" s="450"/>
      <c r="H12384" s="450"/>
      <c r="I12384" s="450"/>
      <c r="J12384" s="450"/>
      <c r="K12384" s="450"/>
    </row>
    <row r="12385" spans="1:11">
      <c r="A12385" s="451"/>
      <c r="B12385" s="451"/>
      <c r="C12385" s="451"/>
      <c r="D12385" s="451"/>
      <c r="E12385" s="451"/>
      <c r="F12385" s="451"/>
      <c r="G12385" s="451"/>
      <c r="H12385" s="451"/>
      <c r="I12385" s="451"/>
      <c r="J12385" s="451"/>
      <c r="K12385" s="451"/>
    </row>
    <row r="12386" spans="1:11">
      <c r="A12386" s="450"/>
      <c r="B12386" s="450"/>
      <c r="C12386" s="450"/>
      <c r="D12386" s="450"/>
      <c r="E12386" s="450"/>
      <c r="F12386" s="450"/>
      <c r="G12386" s="450"/>
      <c r="H12386" s="450"/>
      <c r="I12386" s="450"/>
      <c r="J12386" s="450"/>
      <c r="K12386" s="450"/>
    </row>
    <row r="12387" spans="1:11">
      <c r="A12387" s="451"/>
      <c r="B12387" s="451"/>
      <c r="C12387" s="451"/>
      <c r="D12387" s="451"/>
      <c r="E12387" s="451"/>
      <c r="F12387" s="451"/>
      <c r="G12387" s="451"/>
      <c r="H12387" s="451"/>
      <c r="I12387" s="451"/>
      <c r="J12387" s="451"/>
      <c r="K12387" s="451"/>
    </row>
    <row r="12388" spans="1:11">
      <c r="A12388" s="450"/>
      <c r="B12388" s="450"/>
      <c r="C12388" s="450"/>
      <c r="D12388" s="450"/>
      <c r="E12388" s="450"/>
      <c r="F12388" s="450"/>
      <c r="G12388" s="450"/>
      <c r="H12388" s="450"/>
      <c r="I12388" s="450"/>
      <c r="J12388" s="450"/>
      <c r="K12388" s="450"/>
    </row>
    <row r="12389" spans="1:11">
      <c r="A12389" s="451"/>
      <c r="B12389" s="451"/>
      <c r="C12389" s="451"/>
      <c r="D12389" s="451"/>
      <c r="E12389" s="451"/>
      <c r="F12389" s="451"/>
      <c r="G12389" s="451"/>
      <c r="H12389" s="451"/>
      <c r="I12389" s="451"/>
      <c r="J12389" s="451"/>
      <c r="K12389" s="451"/>
    </row>
    <row r="12390" spans="1:11">
      <c r="A12390" s="450"/>
      <c r="B12390" s="450"/>
      <c r="C12390" s="450"/>
      <c r="D12390" s="450"/>
      <c r="E12390" s="450"/>
      <c r="F12390" s="450"/>
      <c r="G12390" s="450"/>
      <c r="H12390" s="450"/>
      <c r="I12390" s="450"/>
      <c r="J12390" s="450"/>
      <c r="K12390" s="450"/>
    </row>
    <row r="12391" spans="1:11">
      <c r="A12391" s="451"/>
      <c r="B12391" s="451"/>
      <c r="C12391" s="451"/>
      <c r="D12391" s="451"/>
      <c r="E12391" s="451"/>
      <c r="F12391" s="451"/>
      <c r="G12391" s="451"/>
      <c r="H12391" s="451"/>
      <c r="I12391" s="451"/>
      <c r="J12391" s="451"/>
      <c r="K12391" s="451"/>
    </row>
    <row r="12392" spans="1:11">
      <c r="A12392" s="450"/>
      <c r="B12392" s="450"/>
      <c r="C12392" s="450"/>
      <c r="D12392" s="450"/>
      <c r="E12392" s="450"/>
      <c r="F12392" s="450"/>
      <c r="G12392" s="450"/>
      <c r="H12392" s="450"/>
      <c r="I12392" s="450"/>
      <c r="J12392" s="450"/>
      <c r="K12392" s="450"/>
    </row>
    <row r="12393" spans="1:11">
      <c r="A12393" s="451"/>
      <c r="B12393" s="451"/>
      <c r="C12393" s="451"/>
      <c r="D12393" s="451"/>
      <c r="E12393" s="451"/>
      <c r="F12393" s="451"/>
      <c r="G12393" s="451"/>
      <c r="H12393" s="451"/>
      <c r="I12393" s="451"/>
      <c r="J12393" s="451"/>
      <c r="K12393" s="451"/>
    </row>
    <row r="12394" spans="1:11">
      <c r="A12394" s="450"/>
      <c r="B12394" s="450"/>
      <c r="C12394" s="450"/>
      <c r="D12394" s="450"/>
      <c r="E12394" s="450"/>
      <c r="F12394" s="450"/>
      <c r="G12394" s="450"/>
      <c r="H12394" s="450"/>
      <c r="I12394" s="450"/>
      <c r="J12394" s="450"/>
      <c r="K12394" s="450"/>
    </row>
    <row r="12395" spans="1:11">
      <c r="A12395" s="451"/>
      <c r="B12395" s="451"/>
      <c r="C12395" s="451"/>
      <c r="D12395" s="451"/>
      <c r="E12395" s="451"/>
      <c r="F12395" s="451"/>
      <c r="G12395" s="451"/>
      <c r="H12395" s="451"/>
      <c r="I12395" s="451"/>
      <c r="J12395" s="451"/>
      <c r="K12395" s="451"/>
    </row>
    <row r="12396" spans="1:11">
      <c r="A12396" s="450"/>
      <c r="B12396" s="450"/>
      <c r="C12396" s="450"/>
      <c r="D12396" s="450"/>
      <c r="E12396" s="450"/>
      <c r="F12396" s="450"/>
      <c r="G12396" s="450"/>
      <c r="H12396" s="450"/>
      <c r="I12396" s="450"/>
      <c r="J12396" s="450"/>
      <c r="K12396" s="450"/>
    </row>
    <row r="12397" spans="1:11">
      <c r="A12397" s="451"/>
      <c r="B12397" s="451"/>
      <c r="C12397" s="451"/>
      <c r="D12397" s="451"/>
      <c r="E12397" s="451"/>
      <c r="F12397" s="451"/>
      <c r="G12397" s="451"/>
      <c r="H12397" s="451"/>
      <c r="I12397" s="451"/>
      <c r="J12397" s="451"/>
      <c r="K12397" s="451"/>
    </row>
    <row r="12398" spans="1:11">
      <c r="A12398" s="450"/>
      <c r="B12398" s="450"/>
      <c r="C12398" s="450"/>
      <c r="D12398" s="450"/>
      <c r="E12398" s="450"/>
      <c r="F12398" s="450"/>
      <c r="G12398" s="450"/>
      <c r="H12398" s="450"/>
      <c r="I12398" s="450"/>
      <c r="J12398" s="450"/>
      <c r="K12398" s="450"/>
    </row>
    <row r="12399" spans="1:11">
      <c r="A12399" s="451"/>
      <c r="B12399" s="451"/>
      <c r="C12399" s="451"/>
      <c r="D12399" s="451"/>
      <c r="E12399" s="451"/>
      <c r="F12399" s="451"/>
      <c r="G12399" s="451"/>
      <c r="H12399" s="451"/>
      <c r="I12399" s="451"/>
      <c r="J12399" s="451"/>
      <c r="K12399" s="451"/>
    </row>
    <row r="12400" spans="1:11">
      <c r="A12400" s="450"/>
      <c r="B12400" s="450"/>
      <c r="C12400" s="450"/>
      <c r="D12400" s="450"/>
      <c r="E12400" s="450"/>
      <c r="F12400" s="450"/>
      <c r="G12400" s="450"/>
      <c r="H12400" s="450"/>
      <c r="I12400" s="450"/>
      <c r="J12400" s="450"/>
      <c r="K12400" s="450"/>
    </row>
    <row r="12401" spans="1:11">
      <c r="A12401" s="451"/>
      <c r="B12401" s="451"/>
      <c r="C12401" s="451"/>
      <c r="D12401" s="451"/>
      <c r="E12401" s="451"/>
      <c r="F12401" s="451"/>
      <c r="G12401" s="451"/>
      <c r="H12401" s="451"/>
      <c r="I12401" s="451"/>
      <c r="J12401" s="451"/>
      <c r="K12401" s="451"/>
    </row>
    <row r="12402" spans="1:11">
      <c r="A12402" s="450"/>
      <c r="B12402" s="450"/>
      <c r="C12402" s="450"/>
      <c r="D12402" s="450"/>
      <c r="E12402" s="450"/>
      <c r="F12402" s="450"/>
      <c r="G12402" s="450"/>
      <c r="H12402" s="450"/>
      <c r="I12402" s="450"/>
      <c r="J12402" s="450"/>
      <c r="K12402" s="450"/>
    </row>
    <row r="12403" spans="1:11">
      <c r="A12403" s="451"/>
      <c r="B12403" s="451"/>
      <c r="C12403" s="451"/>
      <c r="D12403" s="451"/>
      <c r="E12403" s="451"/>
      <c r="F12403" s="451"/>
      <c r="G12403" s="451"/>
      <c r="H12403" s="451"/>
      <c r="I12403" s="451"/>
      <c r="J12403" s="451"/>
      <c r="K12403" s="451"/>
    </row>
    <row r="12404" spans="1:11">
      <c r="A12404" s="450"/>
      <c r="B12404" s="450"/>
      <c r="C12404" s="450"/>
      <c r="D12404" s="450"/>
      <c r="E12404" s="450"/>
      <c r="F12404" s="450"/>
      <c r="G12404" s="450"/>
      <c r="H12404" s="450"/>
      <c r="I12404" s="450"/>
      <c r="J12404" s="450"/>
      <c r="K12404" s="450"/>
    </row>
    <row r="12405" spans="1:11">
      <c r="A12405" s="451"/>
      <c r="B12405" s="451"/>
      <c r="C12405" s="451"/>
      <c r="D12405" s="451"/>
      <c r="E12405" s="451"/>
      <c r="F12405" s="451"/>
      <c r="G12405" s="451"/>
      <c r="H12405" s="451"/>
      <c r="I12405" s="451"/>
      <c r="J12405" s="451"/>
      <c r="K12405" s="451"/>
    </row>
    <row r="12406" spans="1:11">
      <c r="A12406" s="450"/>
      <c r="B12406" s="450"/>
      <c r="C12406" s="450"/>
      <c r="D12406" s="450"/>
      <c r="E12406" s="450"/>
      <c r="F12406" s="450"/>
      <c r="G12406" s="450"/>
      <c r="H12406" s="450"/>
      <c r="I12406" s="450"/>
      <c r="J12406" s="450"/>
      <c r="K12406" s="450"/>
    </row>
    <row r="12407" spans="1:11">
      <c r="A12407" s="451"/>
      <c r="B12407" s="451"/>
      <c r="C12407" s="451"/>
      <c r="D12407" s="451"/>
      <c r="E12407" s="451"/>
      <c r="F12407" s="451"/>
      <c r="G12407" s="451"/>
      <c r="H12407" s="451"/>
      <c r="I12407" s="451"/>
      <c r="J12407" s="451"/>
      <c r="K12407" s="451"/>
    </row>
    <row r="12408" spans="1:11">
      <c r="A12408" s="450"/>
      <c r="B12408" s="450"/>
      <c r="C12408" s="450"/>
      <c r="D12408" s="450"/>
      <c r="E12408" s="450"/>
      <c r="F12408" s="450"/>
      <c r="G12408" s="450"/>
      <c r="H12408" s="450"/>
      <c r="I12408" s="450"/>
      <c r="J12408" s="450"/>
      <c r="K12408" s="450"/>
    </row>
    <row r="12409" spans="1:11">
      <c r="A12409" s="451"/>
      <c r="B12409" s="451"/>
      <c r="C12409" s="451"/>
      <c r="D12409" s="451"/>
      <c r="E12409" s="451"/>
      <c r="F12409" s="451"/>
      <c r="G12409" s="451"/>
      <c r="H12409" s="451"/>
      <c r="I12409" s="451"/>
      <c r="J12409" s="451"/>
      <c r="K12409" s="451"/>
    </row>
    <row r="12410" spans="1:11">
      <c r="A12410" s="450"/>
      <c r="B12410" s="450"/>
      <c r="C12410" s="450"/>
      <c r="D12410" s="450"/>
      <c r="E12410" s="450"/>
      <c r="F12410" s="450"/>
      <c r="G12410" s="450"/>
      <c r="H12410" s="450"/>
      <c r="I12410" s="450"/>
      <c r="J12410" s="450"/>
      <c r="K12410" s="450"/>
    </row>
    <row r="12411" spans="1:11">
      <c r="A12411" s="451"/>
      <c r="B12411" s="451"/>
      <c r="C12411" s="451"/>
      <c r="D12411" s="451"/>
      <c r="E12411" s="451"/>
      <c r="F12411" s="451"/>
      <c r="G12411" s="451"/>
      <c r="H12411" s="451"/>
      <c r="I12411" s="451"/>
      <c r="J12411" s="451"/>
      <c r="K12411" s="451"/>
    </row>
    <row r="12412" spans="1:11">
      <c r="A12412" s="450"/>
      <c r="B12412" s="450"/>
      <c r="C12412" s="450"/>
      <c r="D12412" s="450"/>
      <c r="E12412" s="450"/>
      <c r="F12412" s="450"/>
      <c r="G12412" s="450"/>
      <c r="H12412" s="450"/>
      <c r="I12412" s="450"/>
      <c r="J12412" s="450"/>
      <c r="K12412" s="450"/>
    </row>
    <row r="12413" spans="1:11">
      <c r="A12413" s="451"/>
      <c r="B12413" s="451"/>
      <c r="C12413" s="451"/>
      <c r="D12413" s="451"/>
      <c r="E12413" s="451"/>
      <c r="F12413" s="451"/>
      <c r="G12413" s="451"/>
      <c r="H12413" s="451"/>
      <c r="I12413" s="451"/>
      <c r="J12413" s="451"/>
      <c r="K12413" s="451"/>
    </row>
    <row r="12414" spans="1:11">
      <c r="A12414" s="450"/>
      <c r="B12414" s="450"/>
      <c r="C12414" s="450"/>
      <c r="D12414" s="450"/>
      <c r="E12414" s="450"/>
      <c r="F12414" s="450"/>
      <c r="G12414" s="450"/>
      <c r="H12414" s="450"/>
      <c r="I12414" s="450"/>
      <c r="J12414" s="450"/>
      <c r="K12414" s="450"/>
    </row>
    <row r="12415" spans="1:11">
      <c r="A12415" s="451"/>
      <c r="B12415" s="451"/>
      <c r="C12415" s="451"/>
      <c r="D12415" s="451"/>
      <c r="E12415" s="451"/>
      <c r="F12415" s="451"/>
      <c r="G12415" s="451"/>
      <c r="H12415" s="451"/>
      <c r="I12415" s="451"/>
      <c r="J12415" s="451"/>
      <c r="K12415" s="451"/>
    </row>
    <row r="12416" spans="1:11">
      <c r="A12416" s="450"/>
      <c r="B12416" s="450"/>
      <c r="C12416" s="450"/>
      <c r="D12416" s="450"/>
      <c r="E12416" s="450"/>
      <c r="F12416" s="450"/>
      <c r="G12416" s="450"/>
      <c r="H12416" s="450"/>
      <c r="I12416" s="450"/>
      <c r="J12416" s="450"/>
      <c r="K12416" s="450"/>
    </row>
    <row r="12417" spans="1:11">
      <c r="A12417" s="451"/>
      <c r="B12417" s="451"/>
      <c r="C12417" s="451"/>
      <c r="D12417" s="451"/>
      <c r="E12417" s="451"/>
      <c r="F12417" s="451"/>
      <c r="G12417" s="451"/>
      <c r="H12417" s="451"/>
      <c r="I12417" s="451"/>
      <c r="J12417" s="451"/>
      <c r="K12417" s="451"/>
    </row>
    <row r="12418" spans="1:11">
      <c r="A12418" s="450"/>
      <c r="B12418" s="450"/>
      <c r="C12418" s="450"/>
      <c r="D12418" s="450"/>
      <c r="E12418" s="450"/>
      <c r="F12418" s="450"/>
      <c r="G12418" s="450"/>
      <c r="H12418" s="450"/>
      <c r="I12418" s="450"/>
      <c r="J12418" s="450"/>
      <c r="K12418" s="450"/>
    </row>
    <row r="12419" spans="1:11">
      <c r="A12419" s="451"/>
      <c r="B12419" s="451"/>
      <c r="C12419" s="451"/>
      <c r="D12419" s="451"/>
      <c r="E12419" s="451"/>
      <c r="F12419" s="451"/>
      <c r="G12419" s="451"/>
      <c r="H12419" s="451"/>
      <c r="I12419" s="451"/>
      <c r="J12419" s="451"/>
      <c r="K12419" s="451"/>
    </row>
    <row r="12420" spans="1:11">
      <c r="A12420" s="450"/>
      <c r="B12420" s="450"/>
      <c r="C12420" s="450"/>
      <c r="D12420" s="450"/>
      <c r="E12420" s="450"/>
      <c r="F12420" s="450"/>
      <c r="G12420" s="450"/>
      <c r="H12420" s="450"/>
      <c r="I12420" s="450"/>
      <c r="J12420" s="450"/>
      <c r="K12420" s="450"/>
    </row>
    <row r="12421" spans="1:11">
      <c r="A12421" s="451"/>
      <c r="B12421" s="451"/>
      <c r="C12421" s="451"/>
      <c r="D12421" s="451"/>
      <c r="E12421" s="451"/>
      <c r="F12421" s="451"/>
      <c r="G12421" s="451"/>
      <c r="H12421" s="451"/>
      <c r="I12421" s="451"/>
      <c r="J12421" s="451"/>
      <c r="K12421" s="451"/>
    </row>
    <row r="12422" spans="1:11">
      <c r="A12422" s="450"/>
      <c r="B12422" s="450"/>
      <c r="C12422" s="450"/>
      <c r="D12422" s="450"/>
      <c r="E12422" s="450"/>
      <c r="F12422" s="450"/>
      <c r="G12422" s="450"/>
      <c r="H12422" s="450"/>
      <c r="I12422" s="450"/>
      <c r="J12422" s="450"/>
      <c r="K12422" s="450"/>
    </row>
    <row r="12423" spans="1:11">
      <c r="A12423" s="451"/>
      <c r="B12423" s="451"/>
      <c r="C12423" s="451"/>
      <c r="D12423" s="451"/>
      <c r="E12423" s="451"/>
      <c r="F12423" s="451"/>
      <c r="G12423" s="451"/>
      <c r="H12423" s="451"/>
      <c r="I12423" s="451"/>
      <c r="J12423" s="451"/>
      <c r="K12423" s="451"/>
    </row>
    <row r="12424" spans="1:11">
      <c r="A12424" s="450"/>
      <c r="B12424" s="450"/>
      <c r="C12424" s="450"/>
      <c r="D12424" s="450"/>
      <c r="E12424" s="450"/>
      <c r="F12424" s="450"/>
      <c r="G12424" s="450"/>
      <c r="H12424" s="450"/>
      <c r="I12424" s="450"/>
      <c r="J12424" s="450"/>
      <c r="K12424" s="450"/>
    </row>
    <row r="12425" spans="1:11">
      <c r="A12425" s="451"/>
      <c r="B12425" s="451"/>
      <c r="C12425" s="451"/>
      <c r="D12425" s="451"/>
      <c r="E12425" s="451"/>
      <c r="F12425" s="451"/>
      <c r="G12425" s="451"/>
      <c r="H12425" s="451"/>
      <c r="I12425" s="451"/>
      <c r="J12425" s="451"/>
      <c r="K12425" s="451"/>
    </row>
    <row r="12426" spans="1:11">
      <c r="A12426" s="450"/>
      <c r="B12426" s="450"/>
      <c r="C12426" s="450"/>
      <c r="D12426" s="450"/>
      <c r="E12426" s="450"/>
      <c r="F12426" s="450"/>
      <c r="G12426" s="450"/>
      <c r="H12426" s="450"/>
      <c r="I12426" s="450"/>
      <c r="J12426" s="450"/>
      <c r="K12426" s="450"/>
    </row>
    <row r="12427" spans="1:11">
      <c r="A12427" s="451"/>
      <c r="B12427" s="451"/>
      <c r="C12427" s="451"/>
      <c r="D12427" s="451"/>
      <c r="E12427" s="451"/>
      <c r="F12427" s="451"/>
      <c r="G12427" s="451"/>
      <c r="H12427" s="451"/>
      <c r="I12427" s="451"/>
      <c r="J12427" s="451"/>
      <c r="K12427" s="451"/>
    </row>
    <row r="12428" spans="1:11">
      <c r="A12428" s="450"/>
      <c r="B12428" s="450"/>
      <c r="C12428" s="450"/>
      <c r="D12428" s="450"/>
      <c r="E12428" s="450"/>
      <c r="F12428" s="450"/>
      <c r="G12428" s="450"/>
      <c r="H12428" s="450"/>
      <c r="I12428" s="450"/>
      <c r="J12428" s="450"/>
      <c r="K12428" s="450"/>
    </row>
    <row r="12429" spans="1:11">
      <c r="A12429" s="451"/>
      <c r="B12429" s="451"/>
      <c r="C12429" s="451"/>
      <c r="D12429" s="451"/>
      <c r="E12429" s="451"/>
      <c r="F12429" s="451"/>
      <c r="G12429" s="451"/>
      <c r="H12429" s="451"/>
      <c r="I12429" s="451"/>
      <c r="J12429" s="451"/>
      <c r="K12429" s="451"/>
    </row>
    <row r="12430" spans="1:11">
      <c r="A12430" s="450"/>
      <c r="B12430" s="450"/>
      <c r="C12430" s="450"/>
      <c r="D12430" s="450"/>
      <c r="E12430" s="450"/>
      <c r="F12430" s="450"/>
      <c r="G12430" s="450"/>
      <c r="H12430" s="450"/>
      <c r="I12430" s="450"/>
      <c r="J12430" s="450"/>
      <c r="K12430" s="450"/>
    </row>
    <row r="12431" spans="1:11">
      <c r="A12431" s="451"/>
      <c r="B12431" s="451"/>
      <c r="C12431" s="451"/>
      <c r="D12431" s="451"/>
      <c r="E12431" s="451"/>
      <c r="F12431" s="451"/>
      <c r="G12431" s="451"/>
      <c r="H12431" s="451"/>
      <c r="I12431" s="451"/>
      <c r="J12431" s="451"/>
      <c r="K12431" s="451"/>
    </row>
    <row r="12432" spans="1:11">
      <c r="A12432" s="450"/>
      <c r="B12432" s="450"/>
      <c r="C12432" s="450"/>
      <c r="D12432" s="450"/>
      <c r="E12432" s="450"/>
      <c r="F12432" s="450"/>
      <c r="G12432" s="450"/>
      <c r="H12432" s="450"/>
      <c r="I12432" s="450"/>
      <c r="J12432" s="450"/>
      <c r="K12432" s="450"/>
    </row>
    <row r="12433" spans="1:11">
      <c r="A12433" s="451"/>
      <c r="B12433" s="451"/>
      <c r="C12433" s="451"/>
      <c r="D12433" s="451"/>
      <c r="E12433" s="451"/>
      <c r="F12433" s="451"/>
      <c r="G12433" s="451"/>
      <c r="H12433" s="451"/>
      <c r="I12433" s="451"/>
      <c r="J12433" s="451"/>
      <c r="K12433" s="451"/>
    </row>
    <row r="12434" spans="1:11">
      <c r="A12434" s="450"/>
      <c r="B12434" s="450"/>
      <c r="C12434" s="450"/>
      <c r="D12434" s="450"/>
      <c r="E12434" s="450"/>
      <c r="F12434" s="450"/>
      <c r="G12434" s="450"/>
      <c r="H12434" s="450"/>
      <c r="I12434" s="450"/>
      <c r="J12434" s="450"/>
      <c r="K12434" s="450"/>
    </row>
    <row r="12435" spans="1:11">
      <c r="A12435" s="451"/>
      <c r="B12435" s="451"/>
      <c r="C12435" s="451"/>
      <c r="D12435" s="451"/>
      <c r="E12435" s="451"/>
      <c r="F12435" s="451"/>
      <c r="G12435" s="451"/>
      <c r="H12435" s="451"/>
      <c r="I12435" s="451"/>
      <c r="J12435" s="451"/>
      <c r="K12435" s="451"/>
    </row>
    <row r="12436" spans="1:11">
      <c r="A12436" s="450"/>
      <c r="B12436" s="450"/>
      <c r="C12436" s="450"/>
      <c r="D12436" s="450"/>
      <c r="E12436" s="450"/>
      <c r="F12436" s="450"/>
      <c r="G12436" s="450"/>
      <c r="H12436" s="450"/>
      <c r="I12436" s="450"/>
      <c r="J12436" s="450"/>
      <c r="K12436" s="450"/>
    </row>
    <row r="12437" spans="1:11">
      <c r="A12437" s="451"/>
      <c r="B12437" s="451"/>
      <c r="C12437" s="451"/>
      <c r="D12437" s="451"/>
      <c r="E12437" s="451"/>
      <c r="F12437" s="451"/>
      <c r="G12437" s="451"/>
      <c r="H12437" s="451"/>
      <c r="I12437" s="451"/>
      <c r="J12437" s="451"/>
      <c r="K12437" s="451"/>
    </row>
    <row r="12438" spans="1:11">
      <c r="A12438" s="450"/>
      <c r="B12438" s="450"/>
      <c r="C12438" s="450"/>
      <c r="D12438" s="450"/>
      <c r="E12438" s="450"/>
      <c r="F12438" s="450"/>
      <c r="G12438" s="450"/>
      <c r="H12438" s="450"/>
      <c r="I12438" s="450"/>
      <c r="J12438" s="450"/>
      <c r="K12438" s="450"/>
    </row>
    <row r="12439" spans="1:11">
      <c r="A12439" s="451"/>
      <c r="B12439" s="451"/>
      <c r="C12439" s="451"/>
      <c r="D12439" s="451"/>
      <c r="E12439" s="451"/>
      <c r="F12439" s="451"/>
      <c r="G12439" s="451"/>
      <c r="H12439" s="451"/>
      <c r="I12439" s="451"/>
      <c r="J12439" s="451"/>
      <c r="K12439" s="451"/>
    </row>
    <row r="12440" spans="1:11">
      <c r="A12440" s="450"/>
      <c r="B12440" s="450"/>
      <c r="C12440" s="450"/>
      <c r="D12440" s="450"/>
      <c r="E12440" s="450"/>
      <c r="F12440" s="450"/>
      <c r="G12440" s="450"/>
      <c r="H12440" s="450"/>
      <c r="I12440" s="450"/>
      <c r="J12440" s="450"/>
      <c r="K12440" s="450"/>
    </row>
    <row r="12441" spans="1:11">
      <c r="A12441" s="451"/>
      <c r="B12441" s="451"/>
      <c r="C12441" s="451"/>
      <c r="D12441" s="451"/>
      <c r="E12441" s="451"/>
      <c r="F12441" s="451"/>
      <c r="G12441" s="451"/>
      <c r="H12441" s="451"/>
      <c r="I12441" s="451"/>
      <c r="J12441" s="451"/>
      <c r="K12441" s="451"/>
    </row>
    <row r="12442" spans="1:11">
      <c r="A12442" s="450"/>
      <c r="B12442" s="450"/>
      <c r="C12442" s="450"/>
      <c r="D12442" s="450"/>
      <c r="E12442" s="450"/>
      <c r="F12442" s="450"/>
      <c r="G12442" s="450"/>
      <c r="H12442" s="450"/>
      <c r="I12442" s="450"/>
      <c r="J12442" s="450"/>
      <c r="K12442" s="450"/>
    </row>
    <row r="12443" spans="1:11">
      <c r="A12443" s="451"/>
      <c r="B12443" s="451"/>
      <c r="C12443" s="451"/>
      <c r="D12443" s="451"/>
      <c r="E12443" s="451"/>
      <c r="F12443" s="451"/>
      <c r="G12443" s="451"/>
      <c r="H12443" s="451"/>
      <c r="I12443" s="451"/>
      <c r="J12443" s="451"/>
      <c r="K12443" s="451"/>
    </row>
    <row r="12444" spans="1:11">
      <c r="A12444" s="450"/>
      <c r="B12444" s="450"/>
      <c r="C12444" s="450"/>
      <c r="D12444" s="450"/>
      <c r="E12444" s="450"/>
      <c r="F12444" s="450"/>
      <c r="G12444" s="450"/>
      <c r="H12444" s="450"/>
      <c r="I12444" s="450"/>
      <c r="J12444" s="450"/>
      <c r="K12444" s="450"/>
    </row>
    <row r="12445" spans="1:11">
      <c r="A12445" s="451"/>
      <c r="B12445" s="451"/>
      <c r="C12445" s="451"/>
      <c r="D12445" s="451"/>
      <c r="E12445" s="451"/>
      <c r="F12445" s="451"/>
      <c r="G12445" s="451"/>
      <c r="H12445" s="451"/>
      <c r="I12445" s="451"/>
      <c r="J12445" s="451"/>
      <c r="K12445" s="451"/>
    </row>
    <row r="12446" spans="1:11">
      <c r="A12446" s="450"/>
      <c r="B12446" s="450"/>
      <c r="C12446" s="450"/>
      <c r="D12446" s="450"/>
      <c r="E12446" s="450"/>
      <c r="F12446" s="450"/>
      <c r="G12446" s="450"/>
      <c r="H12446" s="450"/>
      <c r="I12446" s="450"/>
      <c r="J12446" s="450"/>
      <c r="K12446" s="450"/>
    </row>
    <row r="12447" spans="1:11">
      <c r="A12447" s="451"/>
      <c r="B12447" s="451"/>
      <c r="C12447" s="451"/>
      <c r="D12447" s="451"/>
      <c r="E12447" s="451"/>
      <c r="F12447" s="451"/>
      <c r="G12447" s="451"/>
      <c r="H12447" s="451"/>
      <c r="I12447" s="451"/>
      <c r="J12447" s="451"/>
      <c r="K12447" s="451"/>
    </row>
    <row r="12448" spans="1:11">
      <c r="A12448" s="450"/>
      <c r="B12448" s="450"/>
      <c r="C12448" s="450"/>
      <c r="D12448" s="450"/>
      <c r="E12448" s="450"/>
      <c r="F12448" s="450"/>
      <c r="G12448" s="450"/>
      <c r="H12448" s="450"/>
      <c r="I12448" s="450"/>
      <c r="J12448" s="450"/>
      <c r="K12448" s="450"/>
    </row>
    <row r="12449" spans="1:11">
      <c r="A12449" s="451"/>
      <c r="B12449" s="451"/>
      <c r="C12449" s="451"/>
      <c r="D12449" s="451"/>
      <c r="E12449" s="451"/>
      <c r="F12449" s="451"/>
      <c r="G12449" s="451"/>
      <c r="H12449" s="451"/>
      <c r="I12449" s="451"/>
      <c r="J12449" s="451"/>
      <c r="K12449" s="451"/>
    </row>
    <row r="12450" spans="1:11">
      <c r="A12450" s="450"/>
      <c r="B12450" s="450"/>
      <c r="C12450" s="450"/>
      <c r="D12450" s="450"/>
      <c r="E12450" s="450"/>
      <c r="F12450" s="450"/>
      <c r="G12450" s="450"/>
      <c r="H12450" s="450"/>
      <c r="I12450" s="450"/>
      <c r="J12450" s="450"/>
      <c r="K12450" s="450"/>
    </row>
    <row r="12451" spans="1:11">
      <c r="A12451" s="451"/>
      <c r="B12451" s="451"/>
      <c r="C12451" s="451"/>
      <c r="D12451" s="451"/>
      <c r="E12451" s="451"/>
      <c r="F12451" s="451"/>
      <c r="G12451" s="451"/>
      <c r="H12451" s="451"/>
      <c r="I12451" s="451"/>
      <c r="J12451" s="451"/>
      <c r="K12451" s="451"/>
    </row>
    <row r="12452" spans="1:11">
      <c r="A12452" s="450"/>
      <c r="B12452" s="450"/>
      <c r="C12452" s="450"/>
      <c r="D12452" s="450"/>
      <c r="E12452" s="450"/>
      <c r="F12452" s="450"/>
      <c r="G12452" s="450"/>
      <c r="H12452" s="450"/>
      <c r="I12452" s="450"/>
      <c r="J12452" s="450"/>
      <c r="K12452" s="450"/>
    </row>
    <row r="12453" spans="1:11">
      <c r="A12453" s="451"/>
      <c r="B12453" s="451"/>
      <c r="C12453" s="451"/>
      <c r="D12453" s="451"/>
      <c r="E12453" s="451"/>
      <c r="F12453" s="451"/>
      <c r="G12453" s="451"/>
      <c r="H12453" s="451"/>
      <c r="I12453" s="451"/>
      <c r="J12453" s="451"/>
      <c r="K12453" s="451"/>
    </row>
    <row r="12454" spans="1:11">
      <c r="A12454" s="450"/>
      <c r="B12454" s="450"/>
      <c r="C12454" s="450"/>
      <c r="D12454" s="450"/>
      <c r="E12454" s="450"/>
      <c r="F12454" s="450"/>
      <c r="G12454" s="450"/>
      <c r="H12454" s="450"/>
      <c r="I12454" s="450"/>
      <c r="J12454" s="450"/>
      <c r="K12454" s="450"/>
    </row>
    <row r="12455" spans="1:11">
      <c r="A12455" s="451"/>
      <c r="B12455" s="451"/>
      <c r="C12455" s="451"/>
      <c r="D12455" s="451"/>
      <c r="E12455" s="451"/>
      <c r="F12455" s="451"/>
      <c r="G12455" s="451"/>
      <c r="H12455" s="451"/>
      <c r="I12455" s="451"/>
      <c r="J12455" s="451"/>
      <c r="K12455" s="451"/>
    </row>
    <row r="12456" spans="1:11">
      <c r="A12456" s="450"/>
      <c r="B12456" s="450"/>
      <c r="C12456" s="450"/>
      <c r="D12456" s="450"/>
      <c r="E12456" s="450"/>
      <c r="F12456" s="450"/>
      <c r="G12456" s="450"/>
      <c r="H12456" s="450"/>
      <c r="I12456" s="450"/>
      <c r="J12456" s="450"/>
      <c r="K12456" s="450"/>
    </row>
    <row r="12457" spans="1:11">
      <c r="A12457" s="451"/>
      <c r="B12457" s="451"/>
      <c r="C12457" s="451"/>
      <c r="D12457" s="451"/>
      <c r="E12457" s="451"/>
      <c r="F12457" s="451"/>
      <c r="G12457" s="451"/>
      <c r="H12457" s="451"/>
      <c r="I12457" s="451"/>
      <c r="J12457" s="451"/>
      <c r="K12457" s="451"/>
    </row>
    <row r="12458" spans="1:11">
      <c r="A12458" s="450"/>
      <c r="B12458" s="450"/>
      <c r="C12458" s="450"/>
      <c r="D12458" s="450"/>
      <c r="E12458" s="450"/>
      <c r="F12458" s="450"/>
      <c r="G12458" s="450"/>
      <c r="H12458" s="450"/>
      <c r="I12458" s="450"/>
      <c r="J12458" s="450"/>
      <c r="K12458" s="450"/>
    </row>
    <row r="12459" spans="1:11">
      <c r="A12459" s="451"/>
      <c r="B12459" s="451"/>
      <c r="C12459" s="451"/>
      <c r="D12459" s="451"/>
      <c r="E12459" s="451"/>
      <c r="F12459" s="451"/>
      <c r="G12459" s="451"/>
      <c r="H12459" s="451"/>
      <c r="I12459" s="451"/>
      <c r="J12459" s="451"/>
      <c r="K12459" s="451"/>
    </row>
    <row r="12460" spans="1:11">
      <c r="A12460" s="450"/>
      <c r="B12460" s="450"/>
      <c r="C12460" s="450"/>
      <c r="D12460" s="450"/>
      <c r="E12460" s="450"/>
      <c r="F12460" s="450"/>
      <c r="G12460" s="450"/>
      <c r="H12460" s="450"/>
      <c r="I12460" s="450"/>
      <c r="J12460" s="450"/>
      <c r="K12460" s="450"/>
    </row>
    <row r="12461" spans="1:11">
      <c r="A12461" s="451"/>
      <c r="B12461" s="451"/>
      <c r="C12461" s="451"/>
      <c r="D12461" s="451"/>
      <c r="E12461" s="451"/>
      <c r="F12461" s="451"/>
      <c r="G12461" s="451"/>
      <c r="H12461" s="451"/>
      <c r="I12461" s="451"/>
      <c r="J12461" s="451"/>
      <c r="K12461" s="451"/>
    </row>
    <row r="12462" spans="1:11">
      <c r="A12462" s="450"/>
      <c r="B12462" s="450"/>
      <c r="C12462" s="450"/>
      <c r="D12462" s="450"/>
      <c r="E12462" s="450"/>
      <c r="F12462" s="450"/>
      <c r="G12462" s="450"/>
      <c r="H12462" s="450"/>
      <c r="I12462" s="450"/>
      <c r="J12462" s="450"/>
      <c r="K12462" s="450"/>
    </row>
    <row r="12463" spans="1:11">
      <c r="A12463" s="451"/>
      <c r="B12463" s="451"/>
      <c r="C12463" s="451"/>
      <c r="D12463" s="451"/>
      <c r="E12463" s="451"/>
      <c r="F12463" s="451"/>
      <c r="G12463" s="451"/>
      <c r="H12463" s="451"/>
      <c r="I12463" s="451"/>
      <c r="J12463" s="451"/>
      <c r="K12463" s="451"/>
    </row>
    <row r="12464" spans="1:11">
      <c r="A12464" s="450"/>
      <c r="B12464" s="450"/>
      <c r="C12464" s="450"/>
      <c r="D12464" s="450"/>
      <c r="E12464" s="450"/>
      <c r="F12464" s="450"/>
      <c r="G12464" s="450"/>
      <c r="H12464" s="450"/>
      <c r="I12464" s="450"/>
      <c r="J12464" s="450"/>
      <c r="K12464" s="450"/>
    </row>
    <row r="12465" spans="1:11">
      <c r="A12465" s="451"/>
      <c r="B12465" s="451"/>
      <c r="C12465" s="451"/>
      <c r="D12465" s="451"/>
      <c r="E12465" s="451"/>
      <c r="F12465" s="451"/>
      <c r="G12465" s="451"/>
      <c r="H12465" s="451"/>
      <c r="I12465" s="451"/>
      <c r="J12465" s="451"/>
      <c r="K12465" s="451"/>
    </row>
    <row r="12466" spans="1:11">
      <c r="A12466" s="450"/>
      <c r="B12466" s="450"/>
      <c r="C12466" s="450"/>
      <c r="D12466" s="450"/>
      <c r="E12466" s="450"/>
      <c r="F12466" s="450"/>
      <c r="G12466" s="450"/>
      <c r="H12466" s="450"/>
      <c r="I12466" s="450"/>
      <c r="J12466" s="450"/>
      <c r="K12466" s="450"/>
    </row>
    <row r="12467" spans="1:11">
      <c r="A12467" s="451"/>
      <c r="B12467" s="451"/>
      <c r="C12467" s="451"/>
      <c r="D12467" s="451"/>
      <c r="E12467" s="451"/>
      <c r="F12467" s="451"/>
      <c r="G12467" s="451"/>
      <c r="H12467" s="451"/>
      <c r="I12467" s="451"/>
      <c r="J12467" s="451"/>
      <c r="K12467" s="451"/>
    </row>
    <row r="12468" spans="1:11">
      <c r="A12468" s="450"/>
      <c r="B12468" s="450"/>
      <c r="C12468" s="450"/>
      <c r="D12468" s="450"/>
      <c r="E12468" s="450"/>
      <c r="F12468" s="450"/>
      <c r="G12468" s="450"/>
      <c r="H12468" s="450"/>
      <c r="I12468" s="450"/>
      <c r="J12468" s="450"/>
      <c r="K12468" s="450"/>
    </row>
    <row r="12469" spans="1:11">
      <c r="A12469" s="451"/>
      <c r="B12469" s="451"/>
      <c r="C12469" s="451"/>
      <c r="D12469" s="451"/>
      <c r="E12469" s="451"/>
      <c r="F12469" s="451"/>
      <c r="G12469" s="451"/>
      <c r="H12469" s="451"/>
      <c r="I12469" s="451"/>
      <c r="J12469" s="451"/>
      <c r="K12469" s="451"/>
    </row>
    <row r="12470" spans="1:11">
      <c r="A12470" s="450"/>
      <c r="B12470" s="450"/>
      <c r="C12470" s="450"/>
      <c r="D12470" s="450"/>
      <c r="E12470" s="450"/>
      <c r="F12470" s="450"/>
      <c r="G12470" s="450"/>
      <c r="H12470" s="450"/>
      <c r="I12470" s="450"/>
      <c r="J12470" s="450"/>
      <c r="K12470" s="450"/>
    </row>
    <row r="12471" spans="1:11">
      <c r="A12471" s="451"/>
      <c r="B12471" s="451"/>
      <c r="C12471" s="451"/>
      <c r="D12471" s="451"/>
      <c r="E12471" s="451"/>
      <c r="F12471" s="451"/>
      <c r="G12471" s="451"/>
      <c r="H12471" s="451"/>
      <c r="I12471" s="451"/>
      <c r="J12471" s="451"/>
      <c r="K12471" s="451"/>
    </row>
    <row r="12472" spans="1:11">
      <c r="A12472" s="450"/>
      <c r="B12472" s="450"/>
      <c r="C12472" s="450"/>
      <c r="D12472" s="450"/>
      <c r="E12472" s="450"/>
      <c r="F12472" s="450"/>
      <c r="G12472" s="450"/>
      <c r="H12472" s="450"/>
      <c r="I12472" s="450"/>
      <c r="J12472" s="450"/>
      <c r="K12472" s="450"/>
    </row>
    <row r="12473" spans="1:11">
      <c r="A12473" s="451"/>
      <c r="B12473" s="451"/>
      <c r="C12473" s="451"/>
      <c r="D12473" s="451"/>
      <c r="E12473" s="451"/>
      <c r="F12473" s="451"/>
      <c r="G12473" s="451"/>
      <c r="H12473" s="451"/>
      <c r="I12473" s="451"/>
      <c r="J12473" s="451"/>
      <c r="K12473" s="451"/>
    </row>
    <row r="12474" spans="1:11">
      <c r="A12474" s="450"/>
      <c r="B12474" s="450"/>
      <c r="C12474" s="450"/>
      <c r="D12474" s="450"/>
      <c r="E12474" s="450"/>
      <c r="F12474" s="450"/>
      <c r="G12474" s="450"/>
      <c r="H12474" s="450"/>
      <c r="I12474" s="450"/>
      <c r="J12474" s="450"/>
      <c r="K12474" s="450"/>
    </row>
    <row r="12475" spans="1:11">
      <c r="A12475" s="451"/>
      <c r="B12475" s="451"/>
      <c r="C12475" s="451"/>
      <c r="D12475" s="451"/>
      <c r="E12475" s="451"/>
      <c r="F12475" s="451"/>
      <c r="G12475" s="451"/>
      <c r="H12475" s="451"/>
      <c r="I12475" s="451"/>
      <c r="J12475" s="451"/>
      <c r="K12475" s="451"/>
    </row>
    <row r="12476" spans="1:11">
      <c r="A12476" s="450"/>
      <c r="B12476" s="450"/>
      <c r="C12476" s="450"/>
      <c r="D12476" s="450"/>
      <c r="E12476" s="450"/>
      <c r="F12476" s="450"/>
      <c r="G12476" s="450"/>
      <c r="H12476" s="450"/>
      <c r="I12476" s="450"/>
      <c r="J12476" s="450"/>
      <c r="K12476" s="450"/>
    </row>
    <row r="12477" spans="1:11">
      <c r="A12477" s="451"/>
      <c r="B12477" s="451"/>
      <c r="C12477" s="451"/>
      <c r="D12477" s="451"/>
      <c r="E12477" s="451"/>
      <c r="F12477" s="451"/>
      <c r="G12477" s="451"/>
      <c r="H12477" s="451"/>
      <c r="I12477" s="451"/>
      <c r="J12477" s="451"/>
      <c r="K12477" s="451"/>
    </row>
    <row r="12478" spans="1:11">
      <c r="A12478" s="450"/>
      <c r="B12478" s="450"/>
      <c r="C12478" s="450"/>
      <c r="D12478" s="450"/>
      <c r="E12478" s="450"/>
      <c r="F12478" s="450"/>
      <c r="G12478" s="450"/>
      <c r="H12478" s="450"/>
      <c r="I12478" s="450"/>
      <c r="J12478" s="450"/>
      <c r="K12478" s="450"/>
    </row>
    <row r="12479" spans="1:11">
      <c r="A12479" s="451"/>
      <c r="B12479" s="451"/>
      <c r="C12479" s="451"/>
      <c r="D12479" s="451"/>
      <c r="E12479" s="451"/>
      <c r="F12479" s="451"/>
      <c r="G12479" s="451"/>
      <c r="H12479" s="451"/>
      <c r="I12479" s="451"/>
      <c r="J12479" s="451"/>
      <c r="K12479" s="451"/>
    </row>
    <row r="12480" spans="1:11">
      <c r="A12480" s="450"/>
      <c r="B12480" s="450"/>
      <c r="C12480" s="450"/>
      <c r="D12480" s="450"/>
      <c r="E12480" s="450"/>
      <c r="F12480" s="450"/>
      <c r="G12480" s="450"/>
      <c r="H12480" s="450"/>
      <c r="I12480" s="450"/>
      <c r="J12480" s="450"/>
      <c r="K12480" s="450"/>
    </row>
    <row r="12481" spans="1:11">
      <c r="A12481" s="451"/>
      <c r="B12481" s="451"/>
      <c r="C12481" s="451"/>
      <c r="D12481" s="451"/>
      <c r="E12481" s="451"/>
      <c r="F12481" s="451"/>
      <c r="G12481" s="451"/>
      <c r="H12481" s="451"/>
      <c r="I12481" s="451"/>
      <c r="J12481" s="451"/>
      <c r="K12481" s="451"/>
    </row>
    <row r="12482" spans="1:11">
      <c r="A12482" s="450"/>
      <c r="B12482" s="450"/>
      <c r="C12482" s="450"/>
      <c r="D12482" s="450"/>
      <c r="E12482" s="450"/>
      <c r="F12482" s="450"/>
      <c r="G12482" s="450"/>
      <c r="H12482" s="450"/>
      <c r="I12482" s="450"/>
      <c r="J12482" s="450"/>
      <c r="K12482" s="450"/>
    </row>
    <row r="12483" spans="1:11">
      <c r="A12483" s="451"/>
      <c r="B12483" s="451"/>
      <c r="C12483" s="451"/>
      <c r="D12483" s="451"/>
      <c r="E12483" s="451"/>
      <c r="F12483" s="451"/>
      <c r="G12483" s="451"/>
      <c r="H12483" s="451"/>
      <c r="I12483" s="451"/>
      <c r="J12483" s="451"/>
      <c r="K12483" s="451"/>
    </row>
    <row r="12484" spans="1:11">
      <c r="A12484" s="450"/>
      <c r="B12484" s="450"/>
      <c r="C12484" s="450"/>
      <c r="D12484" s="450"/>
      <c r="E12484" s="450"/>
      <c r="F12484" s="450"/>
      <c r="G12484" s="450"/>
      <c r="H12484" s="450"/>
      <c r="I12484" s="450"/>
      <c r="J12484" s="450"/>
      <c r="K12484" s="450"/>
    </row>
    <row r="12485" spans="1:11">
      <c r="A12485" s="451"/>
      <c r="B12485" s="451"/>
      <c r="C12485" s="451"/>
      <c r="D12485" s="451"/>
      <c r="E12485" s="451"/>
      <c r="F12485" s="451"/>
      <c r="G12485" s="451"/>
      <c r="H12485" s="451"/>
      <c r="I12485" s="451"/>
      <c r="J12485" s="451"/>
      <c r="K12485" s="451"/>
    </row>
    <row r="12486" spans="1:11">
      <c r="A12486" s="450"/>
      <c r="B12486" s="450"/>
      <c r="C12486" s="450"/>
      <c r="D12486" s="450"/>
      <c r="E12486" s="450"/>
      <c r="F12486" s="450"/>
      <c r="G12486" s="450"/>
      <c r="H12486" s="450"/>
      <c r="I12486" s="450"/>
      <c r="J12486" s="450"/>
      <c r="K12486" s="450"/>
    </row>
    <row r="12487" spans="1:11">
      <c r="A12487" s="451"/>
      <c r="B12487" s="451"/>
      <c r="C12487" s="451"/>
      <c r="D12487" s="451"/>
      <c r="E12487" s="451"/>
      <c r="F12487" s="451"/>
      <c r="G12487" s="451"/>
      <c r="H12487" s="451"/>
      <c r="I12487" s="451"/>
      <c r="J12487" s="451"/>
      <c r="K12487" s="451"/>
    </row>
    <row r="12488" spans="1:11">
      <c r="A12488" s="450"/>
      <c r="B12488" s="450"/>
      <c r="C12488" s="450"/>
      <c r="D12488" s="450"/>
      <c r="E12488" s="450"/>
      <c r="F12488" s="450"/>
      <c r="G12488" s="450"/>
      <c r="H12488" s="450"/>
      <c r="I12488" s="450"/>
      <c r="J12488" s="450"/>
      <c r="K12488" s="450"/>
    </row>
    <row r="12489" spans="1:11">
      <c r="A12489" s="451"/>
      <c r="B12489" s="451"/>
      <c r="C12489" s="451"/>
      <c r="D12489" s="451"/>
      <c r="E12489" s="451"/>
      <c r="F12489" s="451"/>
      <c r="G12489" s="451"/>
      <c r="H12489" s="451"/>
      <c r="I12489" s="451"/>
      <c r="J12489" s="451"/>
      <c r="K12489" s="451"/>
    </row>
    <row r="12490" spans="1:11">
      <c r="A12490" s="450"/>
      <c r="B12490" s="450"/>
      <c r="C12490" s="450"/>
      <c r="D12490" s="450"/>
      <c r="E12490" s="450"/>
      <c r="F12490" s="450"/>
      <c r="G12490" s="450"/>
      <c r="H12490" s="450"/>
      <c r="I12490" s="450"/>
      <c r="J12490" s="450"/>
      <c r="K12490" s="450"/>
    </row>
    <row r="12491" spans="1:11">
      <c r="A12491" s="451"/>
      <c r="B12491" s="451"/>
      <c r="C12491" s="451"/>
      <c r="D12491" s="451"/>
      <c r="E12491" s="451"/>
      <c r="F12491" s="451"/>
      <c r="G12491" s="451"/>
      <c r="H12491" s="451"/>
      <c r="I12491" s="451"/>
      <c r="J12491" s="451"/>
      <c r="K12491" s="451"/>
    </row>
    <row r="12492" spans="1:11">
      <c r="A12492" s="450"/>
      <c r="B12492" s="450"/>
      <c r="C12492" s="450"/>
      <c r="D12492" s="450"/>
      <c r="E12492" s="450"/>
      <c r="F12492" s="450"/>
      <c r="G12492" s="450"/>
      <c r="H12492" s="450"/>
      <c r="I12492" s="450"/>
      <c r="J12492" s="450"/>
      <c r="K12492" s="450"/>
    </row>
    <row r="12493" spans="1:11">
      <c r="A12493" s="451"/>
      <c r="B12493" s="451"/>
      <c r="C12493" s="451"/>
      <c r="D12493" s="451"/>
      <c r="E12493" s="451"/>
      <c r="F12493" s="451"/>
      <c r="G12493" s="451"/>
      <c r="H12493" s="451"/>
      <c r="I12493" s="451"/>
      <c r="J12493" s="451"/>
      <c r="K12493" s="451"/>
    </row>
    <row r="12494" spans="1:11">
      <c r="A12494" s="450"/>
      <c r="B12494" s="450"/>
      <c r="C12494" s="450"/>
      <c r="D12494" s="450"/>
      <c r="E12494" s="450"/>
      <c r="F12494" s="450"/>
      <c r="G12494" s="450"/>
      <c r="H12494" s="450"/>
      <c r="I12494" s="450"/>
      <c r="J12494" s="450"/>
      <c r="K12494" s="450"/>
    </row>
    <row r="12495" spans="1:11">
      <c r="A12495" s="451"/>
      <c r="B12495" s="451"/>
      <c r="C12495" s="451"/>
      <c r="D12495" s="451"/>
      <c r="E12495" s="451"/>
      <c r="F12495" s="451"/>
      <c r="G12495" s="451"/>
      <c r="H12495" s="451"/>
      <c r="I12495" s="451"/>
      <c r="J12495" s="451"/>
      <c r="K12495" s="451"/>
    </row>
    <row r="12496" spans="1:11">
      <c r="A12496" s="450"/>
      <c r="B12496" s="450"/>
      <c r="C12496" s="450"/>
      <c r="D12496" s="450"/>
      <c r="E12496" s="450"/>
      <c r="F12496" s="450"/>
      <c r="G12496" s="450"/>
      <c r="H12496" s="450"/>
      <c r="I12496" s="450"/>
      <c r="J12496" s="450"/>
      <c r="K12496" s="450"/>
    </row>
    <row r="12497" spans="1:11">
      <c r="A12497" s="451"/>
      <c r="B12497" s="451"/>
      <c r="C12497" s="451"/>
      <c r="D12497" s="451"/>
      <c r="E12497" s="451"/>
      <c r="F12497" s="451"/>
      <c r="G12497" s="451"/>
      <c r="H12497" s="451"/>
      <c r="I12497" s="451"/>
      <c r="J12497" s="451"/>
      <c r="K12497" s="451"/>
    </row>
    <row r="12498" spans="1:11">
      <c r="A12498" s="450"/>
      <c r="B12498" s="450"/>
      <c r="C12498" s="450"/>
      <c r="D12498" s="450"/>
      <c r="E12498" s="450"/>
      <c r="F12498" s="450"/>
      <c r="G12498" s="450"/>
      <c r="H12498" s="450"/>
      <c r="I12498" s="450"/>
      <c r="J12498" s="450"/>
      <c r="K12498" s="450"/>
    </row>
    <row r="12499" spans="1:11">
      <c r="A12499" s="451"/>
      <c r="B12499" s="451"/>
      <c r="C12499" s="451"/>
      <c r="D12499" s="451"/>
      <c r="E12499" s="451"/>
      <c r="F12499" s="451"/>
      <c r="G12499" s="451"/>
      <c r="H12499" s="451"/>
      <c r="I12499" s="451"/>
      <c r="J12499" s="451"/>
      <c r="K12499" s="451"/>
    </row>
    <row r="12500" spans="1:11">
      <c r="A12500" s="450"/>
      <c r="B12500" s="450"/>
      <c r="C12500" s="450"/>
      <c r="D12500" s="450"/>
      <c r="E12500" s="450"/>
      <c r="F12500" s="450"/>
      <c r="G12500" s="450"/>
      <c r="H12500" s="450"/>
      <c r="I12500" s="450"/>
      <c r="J12500" s="450"/>
      <c r="K12500" s="450"/>
    </row>
    <row r="12501" spans="1:11">
      <c r="A12501" s="451"/>
      <c r="B12501" s="451"/>
      <c r="C12501" s="451"/>
      <c r="D12501" s="451"/>
      <c r="E12501" s="451"/>
      <c r="F12501" s="451"/>
      <c r="G12501" s="451"/>
      <c r="H12501" s="451"/>
      <c r="I12501" s="451"/>
      <c r="J12501" s="451"/>
      <c r="K12501" s="451"/>
    </row>
    <row r="12502" spans="1:11">
      <c r="A12502" s="450"/>
      <c r="B12502" s="450"/>
      <c r="C12502" s="450"/>
      <c r="D12502" s="450"/>
      <c r="E12502" s="450"/>
      <c r="F12502" s="450"/>
      <c r="G12502" s="450"/>
      <c r="H12502" s="450"/>
      <c r="I12502" s="450"/>
      <c r="J12502" s="450"/>
      <c r="K12502" s="450"/>
    </row>
    <row r="12503" spans="1:11">
      <c r="A12503" s="451"/>
      <c r="B12503" s="451"/>
      <c r="C12503" s="451"/>
      <c r="D12503" s="451"/>
      <c r="E12503" s="451"/>
      <c r="F12503" s="451"/>
      <c r="G12503" s="451"/>
      <c r="H12503" s="451"/>
      <c r="I12503" s="451"/>
      <c r="J12503" s="451"/>
      <c r="K12503" s="451"/>
    </row>
    <row r="12504" spans="1:11">
      <c r="A12504" s="450"/>
      <c r="B12504" s="450"/>
      <c r="C12504" s="450"/>
      <c r="D12504" s="450"/>
      <c r="E12504" s="450"/>
      <c r="F12504" s="450"/>
      <c r="G12504" s="450"/>
      <c r="H12504" s="450"/>
      <c r="I12504" s="450"/>
      <c r="J12504" s="450"/>
      <c r="K12504" s="450"/>
    </row>
    <row r="12505" spans="1:11">
      <c r="A12505" s="451"/>
      <c r="B12505" s="451"/>
      <c r="C12505" s="451"/>
      <c r="D12505" s="451"/>
      <c r="E12505" s="451"/>
      <c r="F12505" s="451"/>
      <c r="G12505" s="451"/>
      <c r="H12505" s="451"/>
      <c r="I12505" s="451"/>
      <c r="J12505" s="451"/>
      <c r="K12505" s="451"/>
    </row>
    <row r="12506" spans="1:11">
      <c r="A12506" s="450"/>
      <c r="B12506" s="450"/>
      <c r="C12506" s="450"/>
      <c r="D12506" s="450"/>
      <c r="E12506" s="450"/>
      <c r="F12506" s="450"/>
      <c r="G12506" s="450"/>
      <c r="H12506" s="450"/>
      <c r="I12506" s="450"/>
      <c r="J12506" s="450"/>
      <c r="K12506" s="450"/>
    </row>
    <row r="12507" spans="1:11">
      <c r="A12507" s="451"/>
      <c r="B12507" s="451"/>
      <c r="C12507" s="451"/>
      <c r="D12507" s="451"/>
      <c r="E12507" s="451"/>
      <c r="F12507" s="451"/>
      <c r="G12507" s="451"/>
      <c r="H12507" s="451"/>
      <c r="I12507" s="451"/>
      <c r="J12507" s="451"/>
      <c r="K12507" s="451"/>
    </row>
    <row r="12508" spans="1:11">
      <c r="A12508" s="450"/>
      <c r="B12508" s="450"/>
      <c r="C12508" s="450"/>
      <c r="D12508" s="450"/>
      <c r="E12508" s="450"/>
      <c r="F12508" s="450"/>
      <c r="G12508" s="450"/>
      <c r="H12508" s="450"/>
      <c r="I12508" s="450"/>
      <c r="J12508" s="450"/>
      <c r="K12508" s="450"/>
    </row>
    <row r="12509" spans="1:11">
      <c r="A12509" s="451"/>
      <c r="B12509" s="451"/>
      <c r="C12509" s="451"/>
      <c r="D12509" s="451"/>
      <c r="E12509" s="451"/>
      <c r="F12509" s="451"/>
      <c r="G12509" s="451"/>
      <c r="H12509" s="451"/>
      <c r="I12509" s="451"/>
      <c r="J12509" s="451"/>
      <c r="K12509" s="451"/>
    </row>
    <row r="12510" spans="1:11">
      <c r="A12510" s="450"/>
      <c r="B12510" s="450"/>
      <c r="C12510" s="450"/>
      <c r="D12510" s="450"/>
      <c r="E12510" s="450"/>
      <c r="F12510" s="450"/>
      <c r="G12510" s="450"/>
      <c r="H12510" s="450"/>
      <c r="I12510" s="450"/>
      <c r="J12510" s="450"/>
      <c r="K12510" s="450"/>
    </row>
    <row r="12511" spans="1:11">
      <c r="A12511" s="451"/>
      <c r="B12511" s="451"/>
      <c r="C12511" s="451"/>
      <c r="D12511" s="451"/>
      <c r="E12511" s="451"/>
      <c r="F12511" s="451"/>
      <c r="G12511" s="451"/>
      <c r="H12511" s="451"/>
      <c r="I12511" s="451"/>
      <c r="J12511" s="451"/>
      <c r="K12511" s="451"/>
    </row>
    <row r="12512" spans="1:11">
      <c r="A12512" s="450"/>
      <c r="B12512" s="450"/>
      <c r="C12512" s="450"/>
      <c r="D12512" s="450"/>
      <c r="E12512" s="450"/>
      <c r="F12512" s="450"/>
      <c r="G12512" s="450"/>
      <c r="H12512" s="450"/>
      <c r="I12512" s="450"/>
      <c r="J12512" s="450"/>
      <c r="K12512" s="450"/>
    </row>
    <row r="12513" spans="1:11">
      <c r="A12513" s="451"/>
      <c r="B12513" s="451"/>
      <c r="C12513" s="451"/>
      <c r="D12513" s="451"/>
      <c r="E12513" s="451"/>
      <c r="F12513" s="451"/>
      <c r="G12513" s="451"/>
      <c r="H12513" s="451"/>
      <c r="I12513" s="451"/>
      <c r="J12513" s="451"/>
      <c r="K12513" s="451"/>
    </row>
    <row r="12514" spans="1:11">
      <c r="A12514" s="450"/>
      <c r="B12514" s="450"/>
      <c r="C12514" s="450"/>
      <c r="D12514" s="450"/>
      <c r="E12514" s="450"/>
      <c r="F12514" s="450"/>
      <c r="G12514" s="450"/>
      <c r="H12514" s="450"/>
      <c r="I12514" s="450"/>
      <c r="J12514" s="450"/>
      <c r="K12514" s="450"/>
    </row>
    <row r="12515" spans="1:11">
      <c r="A12515" s="451"/>
      <c r="B12515" s="451"/>
      <c r="C12515" s="451"/>
      <c r="D12515" s="451"/>
      <c r="E12515" s="451"/>
      <c r="F12515" s="451"/>
      <c r="G12515" s="451"/>
      <c r="H12515" s="451"/>
      <c r="I12515" s="451"/>
      <c r="J12515" s="451"/>
      <c r="K12515" s="451"/>
    </row>
    <row r="12516" spans="1:11">
      <c r="A12516" s="450"/>
      <c r="B12516" s="450"/>
      <c r="C12516" s="450"/>
      <c r="D12516" s="450"/>
      <c r="E12516" s="450"/>
      <c r="F12516" s="450"/>
      <c r="G12516" s="450"/>
      <c r="H12516" s="450"/>
      <c r="I12516" s="450"/>
      <c r="J12516" s="450"/>
      <c r="K12516" s="450"/>
    </row>
    <row r="12517" spans="1:11">
      <c r="A12517" s="451"/>
      <c r="B12517" s="451"/>
      <c r="C12517" s="451"/>
      <c r="D12517" s="451"/>
      <c r="E12517" s="451"/>
      <c r="F12517" s="451"/>
      <c r="G12517" s="451"/>
      <c r="H12517" s="451"/>
      <c r="I12517" s="451"/>
      <c r="J12517" s="451"/>
      <c r="K12517" s="451"/>
    </row>
    <row r="12518" spans="1:11">
      <c r="A12518" s="450"/>
      <c r="B12518" s="450"/>
      <c r="C12518" s="450"/>
      <c r="D12518" s="450"/>
      <c r="E12518" s="450"/>
      <c r="F12518" s="450"/>
      <c r="G12518" s="450"/>
      <c r="H12518" s="450"/>
      <c r="I12518" s="450"/>
      <c r="J12518" s="450"/>
      <c r="K12518" s="450"/>
    </row>
    <row r="12519" spans="1:11">
      <c r="A12519" s="451"/>
      <c r="B12519" s="451"/>
      <c r="C12519" s="451"/>
      <c r="D12519" s="451"/>
      <c r="E12519" s="451"/>
      <c r="F12519" s="451"/>
      <c r="G12519" s="451"/>
      <c r="H12519" s="451"/>
      <c r="I12519" s="451"/>
      <c r="J12519" s="451"/>
      <c r="K12519" s="451"/>
    </row>
    <row r="12520" spans="1:11">
      <c r="A12520" s="450"/>
      <c r="B12520" s="450"/>
      <c r="C12520" s="450"/>
      <c r="D12520" s="450"/>
      <c r="E12520" s="450"/>
      <c r="F12520" s="450"/>
      <c r="G12520" s="450"/>
      <c r="H12520" s="450"/>
      <c r="I12520" s="450"/>
      <c r="J12520" s="450"/>
      <c r="K12520" s="450"/>
    </row>
    <row r="12521" spans="1:11">
      <c r="A12521" s="451"/>
      <c r="B12521" s="451"/>
      <c r="C12521" s="451"/>
      <c r="D12521" s="451"/>
      <c r="E12521" s="451"/>
      <c r="F12521" s="451"/>
      <c r="G12521" s="451"/>
      <c r="H12521" s="451"/>
      <c r="I12521" s="451"/>
      <c r="J12521" s="451"/>
      <c r="K12521" s="451"/>
    </row>
    <row r="12522" spans="1:11">
      <c r="A12522" s="450"/>
      <c r="B12522" s="450"/>
      <c r="C12522" s="450"/>
      <c r="D12522" s="450"/>
      <c r="E12522" s="450"/>
      <c r="F12522" s="450"/>
      <c r="G12522" s="450"/>
      <c r="H12522" s="450"/>
      <c r="I12522" s="450"/>
      <c r="J12522" s="450"/>
      <c r="K12522" s="450"/>
    </row>
    <row r="12523" spans="1:11">
      <c r="A12523" s="451"/>
      <c r="B12523" s="451"/>
      <c r="C12523" s="451"/>
      <c r="D12523" s="451"/>
      <c r="E12523" s="451"/>
      <c r="F12523" s="451"/>
      <c r="G12523" s="451"/>
      <c r="H12523" s="451"/>
      <c r="I12523" s="451"/>
      <c r="J12523" s="451"/>
      <c r="K12523" s="451"/>
    </row>
    <row r="12524" spans="1:11">
      <c r="A12524" s="450"/>
      <c r="B12524" s="450"/>
      <c r="C12524" s="450"/>
      <c r="D12524" s="450"/>
      <c r="E12524" s="450"/>
      <c r="F12524" s="450"/>
      <c r="G12524" s="450"/>
      <c r="H12524" s="450"/>
      <c r="I12524" s="450"/>
      <c r="J12524" s="450"/>
      <c r="K12524" s="450"/>
    </row>
    <row r="12525" spans="1:11">
      <c r="A12525" s="451"/>
      <c r="B12525" s="451"/>
      <c r="C12525" s="451"/>
      <c r="D12525" s="451"/>
      <c r="E12525" s="451"/>
      <c r="F12525" s="451"/>
      <c r="G12525" s="451"/>
      <c r="H12525" s="451"/>
      <c r="I12525" s="451"/>
      <c r="J12525" s="451"/>
      <c r="K12525" s="451"/>
    </row>
    <row r="12526" spans="1:11">
      <c r="A12526" s="450"/>
      <c r="B12526" s="450"/>
      <c r="C12526" s="450"/>
      <c r="D12526" s="450"/>
      <c r="E12526" s="450"/>
      <c r="F12526" s="450"/>
      <c r="G12526" s="450"/>
      <c r="H12526" s="450"/>
      <c r="I12526" s="450"/>
      <c r="J12526" s="450"/>
      <c r="K12526" s="450"/>
    </row>
    <row r="12527" spans="1:11">
      <c r="A12527" s="451"/>
      <c r="B12527" s="451"/>
      <c r="C12527" s="451"/>
      <c r="D12527" s="451"/>
      <c r="E12527" s="451"/>
      <c r="F12527" s="451"/>
      <c r="G12527" s="451"/>
      <c r="H12527" s="451"/>
      <c r="I12527" s="451"/>
      <c r="J12527" s="451"/>
      <c r="K12527" s="451"/>
    </row>
    <row r="12528" spans="1:11">
      <c r="A12528" s="450"/>
      <c r="B12528" s="450"/>
      <c r="C12528" s="450"/>
      <c r="D12528" s="450"/>
      <c r="E12528" s="450"/>
      <c r="F12528" s="450"/>
      <c r="G12528" s="450"/>
      <c r="H12528" s="450"/>
      <c r="I12528" s="450"/>
      <c r="J12528" s="450"/>
      <c r="K12528" s="450"/>
    </row>
    <row r="12529" spans="1:11">
      <c r="A12529" s="451"/>
      <c r="B12529" s="451"/>
      <c r="C12529" s="451"/>
      <c r="D12529" s="451"/>
      <c r="E12529" s="451"/>
      <c r="F12529" s="451"/>
      <c r="G12529" s="451"/>
      <c r="H12529" s="451"/>
      <c r="I12529" s="451"/>
      <c r="J12529" s="451"/>
      <c r="K12529" s="451"/>
    </row>
    <row r="12530" spans="1:11">
      <c r="A12530" s="450"/>
      <c r="B12530" s="450"/>
      <c r="C12530" s="450"/>
      <c r="D12530" s="450"/>
      <c r="E12530" s="450"/>
      <c r="F12530" s="450"/>
      <c r="G12530" s="450"/>
      <c r="H12530" s="450"/>
      <c r="I12530" s="450"/>
      <c r="J12530" s="450"/>
      <c r="K12530" s="450"/>
    </row>
    <row r="12531" spans="1:11">
      <c r="A12531" s="451"/>
      <c r="B12531" s="451"/>
      <c r="C12531" s="451"/>
      <c r="D12531" s="451"/>
      <c r="E12531" s="451"/>
      <c r="F12531" s="451"/>
      <c r="G12531" s="451"/>
      <c r="H12531" s="451"/>
      <c r="I12531" s="451"/>
      <c r="J12531" s="451"/>
      <c r="K12531" s="451"/>
    </row>
    <row r="12532" spans="1:11">
      <c r="A12532" s="450"/>
      <c r="B12532" s="450"/>
      <c r="C12532" s="450"/>
      <c r="D12532" s="450"/>
      <c r="E12532" s="450"/>
      <c r="F12532" s="450"/>
      <c r="G12532" s="450"/>
      <c r="H12532" s="450"/>
      <c r="I12532" s="450"/>
      <c r="J12532" s="450"/>
      <c r="K12532" s="450"/>
    </row>
    <row r="12533" spans="1:11">
      <c r="A12533" s="451"/>
      <c r="B12533" s="451"/>
      <c r="C12533" s="451"/>
      <c r="D12533" s="451"/>
      <c r="E12533" s="451"/>
      <c r="F12533" s="451"/>
      <c r="G12533" s="451"/>
      <c r="H12533" s="451"/>
      <c r="I12533" s="451"/>
      <c r="J12533" s="451"/>
      <c r="K12533" s="451"/>
    </row>
    <row r="12534" spans="1:11">
      <c r="A12534" s="450"/>
      <c r="B12534" s="450"/>
      <c r="C12534" s="450"/>
      <c r="D12534" s="450"/>
      <c r="E12534" s="450"/>
      <c r="F12534" s="450"/>
      <c r="G12534" s="450"/>
      <c r="H12534" s="450"/>
      <c r="I12534" s="450"/>
      <c r="J12534" s="450"/>
      <c r="K12534" s="450"/>
    </row>
    <row r="12535" spans="1:11">
      <c r="A12535" s="451"/>
      <c r="B12535" s="451"/>
      <c r="C12535" s="451"/>
      <c r="D12535" s="451"/>
      <c r="E12535" s="451"/>
      <c r="F12535" s="451"/>
      <c r="G12535" s="451"/>
      <c r="H12535" s="451"/>
      <c r="I12535" s="451"/>
      <c r="J12535" s="451"/>
      <c r="K12535" s="451"/>
    </row>
    <row r="12536" spans="1:11">
      <c r="A12536" s="450"/>
      <c r="B12536" s="450"/>
      <c r="C12536" s="450"/>
      <c r="D12536" s="450"/>
      <c r="E12536" s="450"/>
      <c r="F12536" s="450"/>
      <c r="G12536" s="450"/>
      <c r="H12536" s="450"/>
      <c r="I12536" s="450"/>
      <c r="J12536" s="450"/>
      <c r="K12536" s="450"/>
    </row>
    <row r="12537" spans="1:11">
      <c r="A12537" s="451"/>
      <c r="B12537" s="451"/>
      <c r="C12537" s="451"/>
      <c r="D12537" s="451"/>
      <c r="E12537" s="451"/>
      <c r="F12537" s="451"/>
      <c r="G12537" s="451"/>
      <c r="H12537" s="451"/>
      <c r="I12537" s="451"/>
      <c r="J12537" s="451"/>
      <c r="K12537" s="451"/>
    </row>
    <row r="12538" spans="1:11">
      <c r="A12538" s="450"/>
      <c r="B12538" s="450"/>
      <c r="C12538" s="450"/>
      <c r="D12538" s="450"/>
      <c r="E12538" s="450"/>
      <c r="F12538" s="450"/>
      <c r="G12538" s="450"/>
      <c r="H12538" s="450"/>
      <c r="I12538" s="450"/>
      <c r="J12538" s="450"/>
      <c r="K12538" s="450"/>
    </row>
    <row r="12539" spans="1:11">
      <c r="A12539" s="451"/>
      <c r="B12539" s="451"/>
      <c r="C12539" s="451"/>
      <c r="D12539" s="451"/>
      <c r="E12539" s="451"/>
      <c r="F12539" s="451"/>
      <c r="G12539" s="451"/>
      <c r="H12539" s="451"/>
      <c r="I12539" s="451"/>
      <c r="J12539" s="451"/>
      <c r="K12539" s="451"/>
    </row>
    <row r="12540" spans="1:11">
      <c r="A12540" s="450"/>
      <c r="B12540" s="450"/>
      <c r="C12540" s="450"/>
      <c r="D12540" s="450"/>
      <c r="E12540" s="450"/>
      <c r="F12540" s="450"/>
      <c r="G12540" s="450"/>
      <c r="H12540" s="450"/>
      <c r="I12540" s="450"/>
      <c r="J12540" s="450"/>
      <c r="K12540" s="450"/>
    </row>
    <row r="12541" spans="1:11">
      <c r="A12541" s="451"/>
      <c r="B12541" s="451"/>
      <c r="C12541" s="451"/>
      <c r="D12541" s="451"/>
      <c r="E12541" s="451"/>
      <c r="F12541" s="451"/>
      <c r="G12541" s="451"/>
      <c r="H12541" s="451"/>
      <c r="I12541" s="451"/>
      <c r="J12541" s="451"/>
      <c r="K12541" s="451"/>
    </row>
    <row r="12542" spans="1:11">
      <c r="A12542" s="450"/>
      <c r="B12542" s="450"/>
      <c r="C12542" s="450"/>
      <c r="D12542" s="450"/>
      <c r="E12542" s="450"/>
      <c r="F12542" s="450"/>
      <c r="G12542" s="450"/>
      <c r="H12542" s="450"/>
      <c r="I12542" s="450"/>
      <c r="J12542" s="450"/>
      <c r="K12542" s="450"/>
    </row>
    <row r="12543" spans="1:11">
      <c r="A12543" s="451"/>
      <c r="B12543" s="451"/>
      <c r="C12543" s="451"/>
      <c r="D12543" s="451"/>
      <c r="E12543" s="451"/>
      <c r="F12543" s="451"/>
      <c r="G12543" s="451"/>
      <c r="H12543" s="451"/>
      <c r="I12543" s="451"/>
      <c r="J12543" s="451"/>
      <c r="K12543" s="451"/>
    </row>
    <row r="12544" spans="1:11">
      <c r="A12544" s="450"/>
      <c r="B12544" s="450"/>
      <c r="C12544" s="450"/>
      <c r="D12544" s="450"/>
      <c r="E12544" s="450"/>
      <c r="F12544" s="450"/>
      <c r="G12544" s="450"/>
      <c r="H12544" s="450"/>
      <c r="I12544" s="450"/>
      <c r="J12544" s="450"/>
      <c r="K12544" s="450"/>
    </row>
    <row r="12545" spans="1:11">
      <c r="A12545" s="451"/>
      <c r="B12545" s="451"/>
      <c r="C12545" s="451"/>
      <c r="D12545" s="451"/>
      <c r="E12545" s="451"/>
      <c r="F12545" s="451"/>
      <c r="G12545" s="451"/>
      <c r="H12545" s="451"/>
      <c r="I12545" s="451"/>
      <c r="J12545" s="451"/>
      <c r="K12545" s="451"/>
    </row>
    <row r="12546" spans="1:11">
      <c r="A12546" s="450"/>
      <c r="B12546" s="450"/>
      <c r="C12546" s="450"/>
      <c r="D12546" s="450"/>
      <c r="E12546" s="450"/>
      <c r="F12546" s="450"/>
      <c r="G12546" s="450"/>
      <c r="H12546" s="450"/>
      <c r="I12546" s="450"/>
      <c r="J12546" s="450"/>
      <c r="K12546" s="450"/>
    </row>
    <row r="12547" spans="1:11">
      <c r="A12547" s="451"/>
      <c r="B12547" s="451"/>
      <c r="C12547" s="451"/>
      <c r="D12547" s="451"/>
      <c r="E12547" s="451"/>
      <c r="F12547" s="451"/>
      <c r="G12547" s="451"/>
      <c r="H12547" s="451"/>
      <c r="I12547" s="451"/>
      <c r="J12547" s="451"/>
      <c r="K12547" s="451"/>
    </row>
    <row r="12548" spans="1:11">
      <c r="A12548" s="450"/>
      <c r="B12548" s="450"/>
      <c r="C12548" s="450"/>
      <c r="D12548" s="450"/>
      <c r="E12548" s="450"/>
      <c r="F12548" s="450"/>
      <c r="G12548" s="450"/>
      <c r="H12548" s="450"/>
      <c r="I12548" s="450"/>
      <c r="J12548" s="450"/>
      <c r="K12548" s="450"/>
    </row>
    <row r="12549" spans="1:11">
      <c r="A12549" s="451"/>
      <c r="B12549" s="451"/>
      <c r="C12549" s="451"/>
      <c r="D12549" s="451"/>
      <c r="E12549" s="451"/>
      <c r="F12549" s="451"/>
      <c r="G12549" s="451"/>
      <c r="H12549" s="451"/>
      <c r="I12549" s="451"/>
      <c r="J12549" s="451"/>
      <c r="K12549" s="451"/>
    </row>
    <row r="12550" spans="1:11">
      <c r="A12550" s="450"/>
      <c r="B12550" s="450"/>
      <c r="C12550" s="450"/>
      <c r="D12550" s="450"/>
      <c r="E12550" s="450"/>
      <c r="F12550" s="450"/>
      <c r="G12550" s="450"/>
      <c r="H12550" s="450"/>
      <c r="I12550" s="450"/>
      <c r="J12550" s="450"/>
      <c r="K12550" s="450"/>
    </row>
    <row r="12551" spans="1:11">
      <c r="A12551" s="451"/>
      <c r="B12551" s="451"/>
      <c r="C12551" s="451"/>
      <c r="D12551" s="451"/>
      <c r="E12551" s="451"/>
      <c r="F12551" s="451"/>
      <c r="G12551" s="451"/>
      <c r="H12551" s="451"/>
      <c r="I12551" s="451"/>
      <c r="J12551" s="451"/>
      <c r="K12551" s="451"/>
    </row>
    <row r="12552" spans="1:11">
      <c r="A12552" s="450"/>
      <c r="B12552" s="450"/>
      <c r="C12552" s="450"/>
      <c r="D12552" s="450"/>
      <c r="E12552" s="450"/>
      <c r="F12552" s="450"/>
      <c r="G12552" s="450"/>
      <c r="H12552" s="450"/>
      <c r="I12552" s="450"/>
      <c r="J12552" s="450"/>
      <c r="K12552" s="450"/>
    </row>
    <row r="12553" spans="1:11">
      <c r="A12553" s="451"/>
      <c r="B12553" s="451"/>
      <c r="C12553" s="451"/>
      <c r="D12553" s="451"/>
      <c r="E12553" s="451"/>
      <c r="F12553" s="451"/>
      <c r="G12553" s="451"/>
      <c r="H12553" s="451"/>
      <c r="I12553" s="451"/>
      <c r="J12553" s="451"/>
      <c r="K12553" s="451"/>
    </row>
    <row r="12554" spans="1:11">
      <c r="A12554" s="450"/>
      <c r="B12554" s="450"/>
      <c r="C12554" s="450"/>
      <c r="D12554" s="450"/>
      <c r="E12554" s="450"/>
      <c r="F12554" s="450"/>
      <c r="G12554" s="450"/>
      <c r="H12554" s="450"/>
      <c r="I12554" s="450"/>
      <c r="J12554" s="450"/>
      <c r="K12554" s="450"/>
    </row>
    <row r="12555" spans="1:11">
      <c r="A12555" s="451"/>
      <c r="B12555" s="451"/>
      <c r="C12555" s="451"/>
      <c r="D12555" s="451"/>
      <c r="E12555" s="451"/>
      <c r="F12555" s="451"/>
      <c r="G12555" s="451"/>
      <c r="H12555" s="451"/>
      <c r="I12555" s="451"/>
      <c r="J12555" s="451"/>
      <c r="K12555" s="451"/>
    </row>
    <row r="12556" spans="1:11">
      <c r="A12556" s="450"/>
      <c r="B12556" s="450"/>
      <c r="C12556" s="450"/>
      <c r="D12556" s="450"/>
      <c r="E12556" s="450"/>
      <c r="F12556" s="450"/>
      <c r="G12556" s="450"/>
      <c r="H12556" s="450"/>
      <c r="I12556" s="450"/>
      <c r="J12556" s="450"/>
      <c r="K12556" s="450"/>
    </row>
    <row r="12557" spans="1:11">
      <c r="A12557" s="451"/>
      <c r="B12557" s="451"/>
      <c r="C12557" s="451"/>
      <c r="D12557" s="451"/>
      <c r="E12557" s="451"/>
      <c r="F12557" s="451"/>
      <c r="G12557" s="451"/>
      <c r="H12557" s="451"/>
      <c r="I12557" s="451"/>
      <c r="J12557" s="451"/>
      <c r="K12557" s="451"/>
    </row>
    <row r="12558" spans="1:11">
      <c r="A12558" s="450"/>
      <c r="B12558" s="450"/>
      <c r="C12558" s="450"/>
      <c r="D12558" s="450"/>
      <c r="E12558" s="450"/>
      <c r="F12558" s="450"/>
      <c r="G12558" s="450"/>
      <c r="H12558" s="450"/>
      <c r="I12558" s="450"/>
      <c r="J12558" s="450"/>
      <c r="K12558" s="450"/>
    </row>
    <row r="12559" spans="1:11">
      <c r="A12559" s="451"/>
      <c r="B12559" s="451"/>
      <c r="C12559" s="451"/>
      <c r="D12559" s="451"/>
      <c r="E12559" s="451"/>
      <c r="F12559" s="451"/>
      <c r="G12559" s="451"/>
      <c r="H12559" s="451"/>
      <c r="I12559" s="451"/>
      <c r="J12559" s="451"/>
      <c r="K12559" s="451"/>
    </row>
    <row r="12560" spans="1:11">
      <c r="A12560" s="450"/>
      <c r="B12560" s="450"/>
      <c r="C12560" s="450"/>
      <c r="D12560" s="450"/>
      <c r="E12560" s="450"/>
      <c r="F12560" s="450"/>
      <c r="G12560" s="450"/>
      <c r="H12560" s="450"/>
      <c r="I12560" s="450"/>
      <c r="J12560" s="450"/>
      <c r="K12560" s="450"/>
    </row>
    <row r="12561" spans="1:11">
      <c r="A12561" s="451"/>
      <c r="B12561" s="451"/>
      <c r="C12561" s="451"/>
      <c r="D12561" s="451"/>
      <c r="E12561" s="451"/>
      <c r="F12561" s="451"/>
      <c r="G12561" s="451"/>
      <c r="H12561" s="451"/>
      <c r="I12561" s="451"/>
      <c r="J12561" s="451"/>
      <c r="K12561" s="451"/>
    </row>
    <row r="12562" spans="1:11">
      <c r="A12562" s="450"/>
      <c r="B12562" s="450"/>
      <c r="C12562" s="450"/>
      <c r="D12562" s="450"/>
      <c r="E12562" s="450"/>
      <c r="F12562" s="450"/>
      <c r="G12562" s="450"/>
      <c r="H12562" s="450"/>
      <c r="I12562" s="450"/>
      <c r="J12562" s="450"/>
      <c r="K12562" s="450"/>
    </row>
    <row r="12563" spans="1:11">
      <c r="A12563" s="451"/>
      <c r="B12563" s="451"/>
      <c r="C12563" s="451"/>
      <c r="D12563" s="451"/>
      <c r="E12563" s="451"/>
      <c r="F12563" s="451"/>
      <c r="G12563" s="451"/>
      <c r="H12563" s="451"/>
      <c r="I12563" s="451"/>
      <c r="J12563" s="451"/>
      <c r="K12563" s="451"/>
    </row>
    <row r="12564" spans="1:11">
      <c r="A12564" s="450"/>
      <c r="B12564" s="450"/>
      <c r="C12564" s="450"/>
      <c r="D12564" s="450"/>
      <c r="E12564" s="450"/>
      <c r="F12564" s="450"/>
      <c r="G12564" s="450"/>
      <c r="H12564" s="450"/>
      <c r="I12564" s="450"/>
      <c r="J12564" s="450"/>
      <c r="K12564" s="450"/>
    </row>
    <row r="12565" spans="1:11">
      <c r="A12565" s="451"/>
      <c r="B12565" s="451"/>
      <c r="C12565" s="451"/>
      <c r="D12565" s="451"/>
      <c r="E12565" s="451"/>
      <c r="F12565" s="451"/>
      <c r="G12565" s="451"/>
      <c r="H12565" s="451"/>
      <c r="I12565" s="451"/>
      <c r="J12565" s="451"/>
      <c r="K12565" s="451"/>
    </row>
    <row r="12566" spans="1:11">
      <c r="A12566" s="450"/>
      <c r="B12566" s="450"/>
      <c r="C12566" s="450"/>
      <c r="D12566" s="450"/>
      <c r="E12566" s="450"/>
      <c r="F12566" s="450"/>
      <c r="G12566" s="450"/>
      <c r="H12566" s="450"/>
      <c r="I12566" s="450"/>
      <c r="J12566" s="450"/>
      <c r="K12566" s="450"/>
    </row>
    <row r="12567" spans="1:11">
      <c r="A12567" s="451"/>
      <c r="B12567" s="451"/>
      <c r="C12567" s="451"/>
      <c r="D12567" s="451"/>
      <c r="E12567" s="451"/>
      <c r="F12567" s="451"/>
      <c r="G12567" s="451"/>
      <c r="H12567" s="451"/>
      <c r="I12567" s="451"/>
      <c r="J12567" s="451"/>
      <c r="K12567" s="451"/>
    </row>
    <row r="12568" spans="1:11">
      <c r="A12568" s="450"/>
      <c r="B12568" s="450"/>
      <c r="C12568" s="450"/>
      <c r="D12568" s="450"/>
      <c r="E12568" s="450"/>
      <c r="F12568" s="450"/>
      <c r="G12568" s="450"/>
      <c r="H12568" s="450"/>
      <c r="I12568" s="450"/>
      <c r="J12568" s="450"/>
      <c r="K12568" s="450"/>
    </row>
    <row r="12569" spans="1:11">
      <c r="A12569" s="451"/>
      <c r="B12569" s="451"/>
      <c r="C12569" s="451"/>
      <c r="D12569" s="451"/>
      <c r="E12569" s="451"/>
      <c r="F12569" s="451"/>
      <c r="G12569" s="451"/>
      <c r="H12569" s="451"/>
      <c r="I12569" s="451"/>
      <c r="J12569" s="451"/>
      <c r="K12569" s="451"/>
    </row>
    <row r="12570" spans="1:11">
      <c r="A12570" s="450"/>
      <c r="B12570" s="450"/>
      <c r="C12570" s="450"/>
      <c r="D12570" s="450"/>
      <c r="E12570" s="450"/>
      <c r="F12570" s="450"/>
      <c r="G12570" s="450"/>
      <c r="H12570" s="450"/>
      <c r="I12570" s="450"/>
      <c r="J12570" s="450"/>
      <c r="K12570" s="450"/>
    </row>
    <row r="12571" spans="1:11">
      <c r="A12571" s="451"/>
      <c r="B12571" s="451"/>
      <c r="C12571" s="451"/>
      <c r="D12571" s="451"/>
      <c r="E12571" s="451"/>
      <c r="F12571" s="451"/>
      <c r="G12571" s="451"/>
      <c r="H12571" s="451"/>
      <c r="I12571" s="451"/>
      <c r="J12571" s="451"/>
      <c r="K12571" s="451"/>
    </row>
    <row r="12572" spans="1:11">
      <c r="A12572" s="450"/>
      <c r="B12572" s="450"/>
      <c r="C12572" s="450"/>
      <c r="D12572" s="450"/>
      <c r="E12572" s="450"/>
      <c r="F12572" s="450"/>
      <c r="G12572" s="450"/>
      <c r="H12572" s="450"/>
      <c r="I12572" s="450"/>
      <c r="J12572" s="450"/>
      <c r="K12572" s="450"/>
    </row>
    <row r="12573" spans="1:11">
      <c r="A12573" s="451"/>
      <c r="B12573" s="451"/>
      <c r="C12573" s="451"/>
      <c r="D12573" s="451"/>
      <c r="E12573" s="451"/>
      <c r="F12573" s="451"/>
      <c r="G12573" s="451"/>
      <c r="H12573" s="451"/>
      <c r="I12573" s="451"/>
      <c r="J12573" s="451"/>
      <c r="K12573" s="451"/>
    </row>
    <row r="12574" spans="1:11">
      <c r="A12574" s="450"/>
      <c r="B12574" s="450"/>
      <c r="C12574" s="450"/>
      <c r="D12574" s="450"/>
      <c r="E12574" s="450"/>
      <c r="F12574" s="450"/>
      <c r="G12574" s="450"/>
      <c r="H12574" s="450"/>
      <c r="I12574" s="450"/>
      <c r="J12574" s="450"/>
      <c r="K12574" s="450"/>
    </row>
    <row r="12575" spans="1:11">
      <c r="A12575" s="451"/>
      <c r="B12575" s="451"/>
      <c r="C12575" s="451"/>
      <c r="D12575" s="451"/>
      <c r="E12575" s="451"/>
      <c r="F12575" s="451"/>
      <c r="G12575" s="451"/>
      <c r="H12575" s="451"/>
      <c r="I12575" s="451"/>
      <c r="J12575" s="451"/>
      <c r="K12575" s="451"/>
    </row>
    <row r="12576" spans="1:11">
      <c r="A12576" s="450"/>
      <c r="B12576" s="450"/>
      <c r="C12576" s="450"/>
      <c r="D12576" s="450"/>
      <c r="E12576" s="450"/>
      <c r="F12576" s="450"/>
      <c r="G12576" s="450"/>
      <c r="H12576" s="450"/>
      <c r="I12576" s="450"/>
      <c r="J12576" s="450"/>
      <c r="K12576" s="450"/>
    </row>
    <row r="12577" spans="1:11">
      <c r="A12577" s="451"/>
      <c r="B12577" s="451"/>
      <c r="C12577" s="451"/>
      <c r="D12577" s="451"/>
      <c r="E12577" s="451"/>
      <c r="F12577" s="451"/>
      <c r="G12577" s="451"/>
      <c r="H12577" s="451"/>
      <c r="I12577" s="451"/>
      <c r="J12577" s="451"/>
      <c r="K12577" s="451"/>
    </row>
    <row r="12578" spans="1:11">
      <c r="A12578" s="450"/>
      <c r="B12578" s="450"/>
      <c r="C12578" s="450"/>
      <c r="D12578" s="450"/>
      <c r="E12578" s="450"/>
      <c r="F12578" s="450"/>
      <c r="G12578" s="450"/>
      <c r="H12578" s="450"/>
      <c r="I12578" s="450"/>
      <c r="J12578" s="450"/>
      <c r="K12578" s="450"/>
    </row>
    <row r="12579" spans="1:11">
      <c r="A12579" s="451"/>
      <c r="B12579" s="451"/>
      <c r="C12579" s="451"/>
      <c r="D12579" s="451"/>
      <c r="E12579" s="451"/>
      <c r="F12579" s="451"/>
      <c r="G12579" s="451"/>
      <c r="H12579" s="451"/>
      <c r="I12579" s="451"/>
      <c r="J12579" s="451"/>
      <c r="K12579" s="451"/>
    </row>
    <row r="12580" spans="1:11">
      <c r="A12580" s="450"/>
      <c r="B12580" s="450"/>
      <c r="C12580" s="450"/>
      <c r="D12580" s="450"/>
      <c r="E12580" s="450"/>
      <c r="F12580" s="450"/>
      <c r="G12580" s="450"/>
      <c r="H12580" s="450"/>
      <c r="I12580" s="450"/>
      <c r="J12580" s="450"/>
      <c r="K12580" s="450"/>
    </row>
    <row r="12581" spans="1:11">
      <c r="A12581" s="451"/>
      <c r="B12581" s="451"/>
      <c r="C12581" s="451"/>
      <c r="D12581" s="451"/>
      <c r="E12581" s="451"/>
      <c r="F12581" s="451"/>
      <c r="G12581" s="451"/>
      <c r="H12581" s="451"/>
      <c r="I12581" s="451"/>
      <c r="J12581" s="451"/>
      <c r="K12581" s="451"/>
    </row>
    <row r="12582" spans="1:11">
      <c r="A12582" s="450"/>
      <c r="B12582" s="450"/>
      <c r="C12582" s="450"/>
      <c r="D12582" s="450"/>
      <c r="E12582" s="450"/>
      <c r="F12582" s="450"/>
      <c r="G12582" s="450"/>
      <c r="H12582" s="450"/>
      <c r="I12582" s="450"/>
      <c r="J12582" s="450"/>
      <c r="K12582" s="450"/>
    </row>
    <row r="12583" spans="1:11">
      <c r="A12583" s="451"/>
      <c r="B12583" s="451"/>
      <c r="C12583" s="451"/>
      <c r="D12583" s="451"/>
      <c r="E12583" s="451"/>
      <c r="F12583" s="451"/>
      <c r="G12583" s="451"/>
      <c r="H12583" s="451"/>
      <c r="I12583" s="451"/>
      <c r="J12583" s="451"/>
      <c r="K12583" s="451"/>
    </row>
    <row r="12584" spans="1:11">
      <c r="A12584" s="450"/>
      <c r="B12584" s="450"/>
      <c r="C12584" s="450"/>
      <c r="D12584" s="450"/>
      <c r="E12584" s="450"/>
      <c r="F12584" s="450"/>
      <c r="G12584" s="450"/>
      <c r="H12584" s="450"/>
      <c r="I12584" s="450"/>
      <c r="J12584" s="450"/>
      <c r="K12584" s="450"/>
    </row>
    <row r="12585" spans="1:11">
      <c r="A12585" s="451"/>
      <c r="B12585" s="451"/>
      <c r="C12585" s="451"/>
      <c r="D12585" s="451"/>
      <c r="E12585" s="451"/>
      <c r="F12585" s="451"/>
      <c r="G12585" s="451"/>
      <c r="H12585" s="451"/>
      <c r="I12585" s="451"/>
      <c r="J12585" s="451"/>
      <c r="K12585" s="451"/>
    </row>
    <row r="12586" spans="1:11">
      <c r="A12586" s="450"/>
      <c r="B12586" s="450"/>
      <c r="C12586" s="450"/>
      <c r="D12586" s="450"/>
      <c r="E12586" s="450"/>
      <c r="F12586" s="450"/>
      <c r="G12586" s="450"/>
      <c r="H12586" s="450"/>
      <c r="I12586" s="450"/>
      <c r="J12586" s="450"/>
      <c r="K12586" s="450"/>
    </row>
    <row r="12587" spans="1:11">
      <c r="A12587" s="451"/>
      <c r="B12587" s="451"/>
      <c r="C12587" s="451"/>
      <c r="D12587" s="451"/>
      <c r="E12587" s="451"/>
      <c r="F12587" s="451"/>
      <c r="G12587" s="451"/>
      <c r="H12587" s="451"/>
      <c r="I12587" s="451"/>
      <c r="J12587" s="451"/>
      <c r="K12587" s="451"/>
    </row>
    <row r="12588" spans="1:11">
      <c r="A12588" s="450"/>
      <c r="B12588" s="450"/>
      <c r="C12588" s="450"/>
      <c r="D12588" s="450"/>
      <c r="E12588" s="450"/>
      <c r="F12588" s="450"/>
      <c r="G12588" s="450"/>
      <c r="H12588" s="450"/>
      <c r="I12588" s="450"/>
      <c r="J12588" s="450"/>
      <c r="K12588" s="450"/>
    </row>
    <row r="12589" spans="1:11">
      <c r="A12589" s="451"/>
      <c r="B12589" s="451"/>
      <c r="C12589" s="451"/>
      <c r="D12589" s="451"/>
      <c r="E12589" s="451"/>
      <c r="F12589" s="451"/>
      <c r="G12589" s="451"/>
      <c r="H12589" s="451"/>
      <c r="I12589" s="451"/>
      <c r="J12589" s="451"/>
      <c r="K12589" s="451"/>
    </row>
    <row r="12590" spans="1:11">
      <c r="A12590" s="450"/>
      <c r="B12590" s="450"/>
      <c r="C12590" s="450"/>
      <c r="D12590" s="450"/>
      <c r="E12590" s="450"/>
      <c r="F12590" s="450"/>
      <c r="G12590" s="450"/>
      <c r="H12590" s="450"/>
      <c r="I12590" s="450"/>
      <c r="J12590" s="450"/>
      <c r="K12590" s="450"/>
    </row>
    <row r="12591" spans="1:11">
      <c r="A12591" s="451"/>
      <c r="B12591" s="451"/>
      <c r="C12591" s="451"/>
      <c r="D12591" s="451"/>
      <c r="E12591" s="451"/>
      <c r="F12591" s="451"/>
      <c r="G12591" s="451"/>
      <c r="H12591" s="451"/>
      <c r="I12591" s="451"/>
      <c r="J12591" s="451"/>
      <c r="K12591" s="451"/>
    </row>
    <row r="12592" spans="1:11">
      <c r="A12592" s="450"/>
      <c r="B12592" s="450"/>
      <c r="C12592" s="450"/>
      <c r="D12592" s="450"/>
      <c r="E12592" s="450"/>
      <c r="F12592" s="450"/>
      <c r="G12592" s="450"/>
      <c r="H12592" s="450"/>
      <c r="I12592" s="450"/>
      <c r="J12592" s="450"/>
      <c r="K12592" s="450"/>
    </row>
    <row r="12593" spans="1:11">
      <c r="A12593" s="451"/>
      <c r="B12593" s="451"/>
      <c r="C12593" s="451"/>
      <c r="D12593" s="451"/>
      <c r="E12593" s="451"/>
      <c r="F12593" s="451"/>
      <c r="G12593" s="451"/>
      <c r="H12593" s="451"/>
      <c r="I12593" s="451"/>
      <c r="J12593" s="451"/>
      <c r="K12593" s="451"/>
    </row>
    <row r="12594" spans="1:11">
      <c r="A12594" s="450"/>
      <c r="B12594" s="450"/>
      <c r="C12594" s="450"/>
      <c r="D12594" s="450"/>
      <c r="E12594" s="450"/>
      <c r="F12594" s="450"/>
      <c r="G12594" s="450"/>
      <c r="H12594" s="450"/>
      <c r="I12594" s="450"/>
      <c r="J12594" s="450"/>
      <c r="K12594" s="450"/>
    </row>
    <row r="12595" spans="1:11">
      <c r="A12595" s="451"/>
      <c r="B12595" s="451"/>
      <c r="C12595" s="451"/>
      <c r="D12595" s="451"/>
      <c r="E12595" s="451"/>
      <c r="F12595" s="451"/>
      <c r="G12595" s="451"/>
      <c r="H12595" s="451"/>
      <c r="I12595" s="451"/>
      <c r="J12595" s="451"/>
      <c r="K12595" s="451"/>
    </row>
    <row r="12596" spans="1:11">
      <c r="A12596" s="450"/>
      <c r="B12596" s="450"/>
      <c r="C12596" s="450"/>
      <c r="D12596" s="450"/>
      <c r="E12596" s="450"/>
      <c r="F12596" s="450"/>
      <c r="G12596" s="450"/>
      <c r="H12596" s="450"/>
      <c r="I12596" s="450"/>
      <c r="J12596" s="450"/>
      <c r="K12596" s="450"/>
    </row>
    <row r="12597" spans="1:11">
      <c r="A12597" s="451"/>
      <c r="B12597" s="451"/>
      <c r="C12597" s="451"/>
      <c r="D12597" s="451"/>
      <c r="E12597" s="451"/>
      <c r="F12597" s="451"/>
      <c r="G12597" s="451"/>
      <c r="H12597" s="451"/>
      <c r="I12597" s="451"/>
      <c r="J12597" s="451"/>
      <c r="K12597" s="451"/>
    </row>
    <row r="12598" spans="1:11">
      <c r="A12598" s="450"/>
      <c r="B12598" s="450"/>
      <c r="C12598" s="450"/>
      <c r="D12598" s="450"/>
      <c r="E12598" s="450"/>
      <c r="F12598" s="450"/>
      <c r="G12598" s="450"/>
      <c r="H12598" s="450"/>
      <c r="I12598" s="450"/>
      <c r="J12598" s="450"/>
      <c r="K12598" s="450"/>
    </row>
    <row r="12599" spans="1:11">
      <c r="A12599" s="451"/>
      <c r="B12599" s="451"/>
      <c r="C12599" s="451"/>
      <c r="D12599" s="451"/>
      <c r="E12599" s="451"/>
      <c r="F12599" s="451"/>
      <c r="G12599" s="451"/>
      <c r="H12599" s="451"/>
      <c r="I12599" s="451"/>
      <c r="J12599" s="451"/>
      <c r="K12599" s="451"/>
    </row>
    <row r="12600" spans="1:11">
      <c r="A12600" s="450"/>
      <c r="B12600" s="450"/>
      <c r="C12600" s="450"/>
      <c r="D12600" s="450"/>
      <c r="E12600" s="450"/>
      <c r="F12600" s="450"/>
      <c r="G12600" s="450"/>
      <c r="H12600" s="450"/>
      <c r="I12600" s="450"/>
      <c r="J12600" s="450"/>
      <c r="K12600" s="450"/>
    </row>
    <row r="12601" spans="1:11">
      <c r="A12601" s="451"/>
      <c r="B12601" s="451"/>
      <c r="C12601" s="451"/>
      <c r="D12601" s="451"/>
      <c r="E12601" s="451"/>
      <c r="F12601" s="451"/>
      <c r="G12601" s="451"/>
      <c r="H12601" s="451"/>
      <c r="I12601" s="451"/>
      <c r="J12601" s="451"/>
      <c r="K12601" s="451"/>
    </row>
    <row r="12602" spans="1:11">
      <c r="A12602" s="450"/>
      <c r="B12602" s="450"/>
      <c r="C12602" s="450"/>
      <c r="D12602" s="450"/>
      <c r="E12602" s="450"/>
      <c r="F12602" s="450"/>
      <c r="G12602" s="450"/>
      <c r="H12602" s="450"/>
      <c r="I12602" s="450"/>
      <c r="J12602" s="450"/>
      <c r="K12602" s="450"/>
    </row>
    <row r="12603" spans="1:11">
      <c r="A12603" s="451"/>
      <c r="B12603" s="451"/>
      <c r="C12603" s="451"/>
      <c r="D12603" s="451"/>
      <c r="E12603" s="451"/>
      <c r="F12603" s="451"/>
      <c r="G12603" s="451"/>
      <c r="H12603" s="451"/>
      <c r="I12603" s="451"/>
      <c r="J12603" s="451"/>
      <c r="K12603" s="451"/>
    </row>
    <row r="12604" spans="1:11">
      <c r="A12604" s="450"/>
      <c r="B12604" s="450"/>
      <c r="C12604" s="450"/>
      <c r="D12604" s="450"/>
      <c r="E12604" s="450"/>
      <c r="F12604" s="450"/>
      <c r="G12604" s="450"/>
      <c r="H12604" s="450"/>
      <c r="I12604" s="450"/>
      <c r="J12604" s="450"/>
      <c r="K12604" s="450"/>
    </row>
    <row r="12605" spans="1:11">
      <c r="A12605" s="451"/>
      <c r="B12605" s="451"/>
      <c r="C12605" s="451"/>
      <c r="D12605" s="451"/>
      <c r="E12605" s="451"/>
      <c r="F12605" s="451"/>
      <c r="G12605" s="451"/>
      <c r="H12605" s="451"/>
      <c r="I12605" s="451"/>
      <c r="J12605" s="451"/>
      <c r="K12605" s="451"/>
    </row>
    <row r="12606" spans="1:11">
      <c r="A12606" s="450"/>
      <c r="B12606" s="450"/>
      <c r="C12606" s="450"/>
      <c r="D12606" s="450"/>
      <c r="E12606" s="450"/>
      <c r="F12606" s="450"/>
      <c r="G12606" s="450"/>
      <c r="H12606" s="450"/>
      <c r="I12606" s="450"/>
      <c r="J12606" s="450"/>
      <c r="K12606" s="450"/>
    </row>
    <row r="12607" spans="1:11">
      <c r="A12607" s="451"/>
      <c r="B12607" s="451"/>
      <c r="C12607" s="451"/>
      <c r="D12607" s="451"/>
      <c r="E12607" s="451"/>
      <c r="F12607" s="451"/>
      <c r="G12607" s="451"/>
      <c r="H12607" s="451"/>
      <c r="I12607" s="451"/>
      <c r="J12607" s="451"/>
      <c r="K12607" s="451"/>
    </row>
    <row r="12608" spans="1:11">
      <c r="A12608" s="450"/>
      <c r="B12608" s="450"/>
      <c r="C12608" s="450"/>
      <c r="D12608" s="450"/>
      <c r="E12608" s="450"/>
      <c r="F12608" s="450"/>
      <c r="G12608" s="450"/>
      <c r="H12608" s="450"/>
      <c r="I12608" s="450"/>
      <c r="J12608" s="450"/>
      <c r="K12608" s="450"/>
    </row>
    <row r="12609" spans="1:11">
      <c r="A12609" s="451"/>
      <c r="B12609" s="451"/>
      <c r="C12609" s="451"/>
      <c r="D12609" s="451"/>
      <c r="E12609" s="451"/>
      <c r="F12609" s="451"/>
      <c r="G12609" s="451"/>
      <c r="H12609" s="451"/>
      <c r="I12609" s="451"/>
      <c r="J12609" s="451"/>
      <c r="K12609" s="451"/>
    </row>
    <row r="12610" spans="1:11">
      <c r="A12610" s="450"/>
      <c r="B12610" s="450"/>
      <c r="C12610" s="450"/>
      <c r="D12610" s="450"/>
      <c r="E12610" s="450"/>
      <c r="F12610" s="450"/>
      <c r="G12610" s="450"/>
      <c r="H12610" s="450"/>
      <c r="I12610" s="450"/>
      <c r="J12610" s="450"/>
      <c r="K12610" s="450"/>
    </row>
    <row r="12611" spans="1:11">
      <c r="A12611" s="451"/>
      <c r="B12611" s="451"/>
      <c r="C12611" s="451"/>
      <c r="D12611" s="451"/>
      <c r="E12611" s="451"/>
      <c r="F12611" s="451"/>
      <c r="G12611" s="451"/>
      <c r="H12611" s="451"/>
      <c r="I12611" s="451"/>
      <c r="J12611" s="451"/>
      <c r="K12611" s="451"/>
    </row>
    <row r="12612" spans="1:11">
      <c r="A12612" s="450"/>
      <c r="B12612" s="450"/>
      <c r="C12612" s="450"/>
      <c r="D12612" s="450"/>
      <c r="E12612" s="450"/>
      <c r="F12612" s="450"/>
      <c r="G12612" s="450"/>
      <c r="H12612" s="450"/>
      <c r="I12612" s="450"/>
      <c r="J12612" s="450"/>
      <c r="K12612" s="450"/>
    </row>
    <row r="12613" spans="1:11">
      <c r="A12613" s="451"/>
      <c r="B12613" s="451"/>
      <c r="C12613" s="451"/>
      <c r="D12613" s="451"/>
      <c r="E12613" s="451"/>
      <c r="F12613" s="451"/>
      <c r="G12613" s="451"/>
      <c r="H12613" s="451"/>
      <c r="I12613" s="451"/>
      <c r="J12613" s="451"/>
      <c r="K12613" s="451"/>
    </row>
    <row r="12614" spans="1:11">
      <c r="A12614" s="450"/>
      <c r="B12614" s="450"/>
      <c r="C12614" s="450"/>
      <c r="D12614" s="450"/>
      <c r="E12614" s="450"/>
      <c r="F12614" s="450"/>
      <c r="G12614" s="450"/>
      <c r="H12614" s="450"/>
      <c r="I12614" s="450"/>
      <c r="J12614" s="450"/>
      <c r="K12614" s="450"/>
    </row>
    <row r="12615" spans="1:11">
      <c r="A12615" s="451"/>
      <c r="B12615" s="451"/>
      <c r="C12615" s="451"/>
      <c r="D12615" s="451"/>
      <c r="E12615" s="451"/>
      <c r="F12615" s="451"/>
      <c r="G12615" s="451"/>
      <c r="H12615" s="451"/>
      <c r="I12615" s="451"/>
      <c r="J12615" s="451"/>
      <c r="K12615" s="451"/>
    </row>
    <row r="12616" spans="1:11">
      <c r="A12616" s="450"/>
      <c r="B12616" s="450"/>
      <c r="C12616" s="450"/>
      <c r="D12616" s="450"/>
      <c r="E12616" s="450"/>
      <c r="F12616" s="450"/>
      <c r="G12616" s="450"/>
      <c r="H12616" s="450"/>
      <c r="I12616" s="450"/>
      <c r="J12616" s="450"/>
      <c r="K12616" s="450"/>
    </row>
    <row r="12617" spans="1:11">
      <c r="A12617" s="451"/>
      <c r="B12617" s="451"/>
      <c r="C12617" s="451"/>
      <c r="D12617" s="451"/>
      <c r="E12617" s="451"/>
      <c r="F12617" s="451"/>
      <c r="G12617" s="451"/>
      <c r="H12617" s="451"/>
      <c r="I12617" s="451"/>
      <c r="J12617" s="451"/>
      <c r="K12617" s="451"/>
    </row>
    <row r="12618" spans="1:11">
      <c r="A12618" s="450"/>
      <c r="B12618" s="450"/>
      <c r="C12618" s="450"/>
      <c r="D12618" s="450"/>
      <c r="E12618" s="450"/>
      <c r="F12618" s="450"/>
      <c r="G12618" s="450"/>
      <c r="H12618" s="450"/>
      <c r="I12618" s="450"/>
      <c r="J12618" s="450"/>
      <c r="K12618" s="450"/>
    </row>
    <row r="12619" spans="1:11">
      <c r="A12619" s="451"/>
      <c r="B12619" s="451"/>
      <c r="C12619" s="451"/>
      <c r="D12619" s="451"/>
      <c r="E12619" s="451"/>
      <c r="F12619" s="451"/>
      <c r="G12619" s="451"/>
      <c r="H12619" s="451"/>
      <c r="I12619" s="451"/>
      <c r="J12619" s="451"/>
      <c r="K12619" s="451"/>
    </row>
    <row r="12620" spans="1:11">
      <c r="A12620" s="450"/>
      <c r="B12620" s="450"/>
      <c r="C12620" s="450"/>
      <c r="D12620" s="450"/>
      <c r="E12620" s="450"/>
      <c r="F12620" s="450"/>
      <c r="G12620" s="450"/>
      <c r="H12620" s="450"/>
      <c r="I12620" s="450"/>
      <c r="J12620" s="450"/>
      <c r="K12620" s="450"/>
    </row>
    <row r="12621" spans="1:11">
      <c r="A12621" s="451"/>
      <c r="B12621" s="451"/>
      <c r="C12621" s="451"/>
      <c r="D12621" s="451"/>
      <c r="E12621" s="451"/>
      <c r="F12621" s="451"/>
      <c r="G12621" s="451"/>
      <c r="H12621" s="451"/>
      <c r="I12621" s="451"/>
      <c r="J12621" s="451"/>
      <c r="K12621" s="451"/>
    </row>
    <row r="12622" spans="1:11">
      <c r="A12622" s="450"/>
      <c r="B12622" s="450"/>
      <c r="C12622" s="450"/>
      <c r="D12622" s="450"/>
      <c r="E12622" s="450"/>
      <c r="F12622" s="450"/>
      <c r="G12622" s="450"/>
      <c r="H12622" s="450"/>
      <c r="I12622" s="450"/>
      <c r="J12622" s="450"/>
      <c r="K12622" s="450"/>
    </row>
    <row r="12623" spans="1:11">
      <c r="A12623" s="451"/>
      <c r="B12623" s="451"/>
      <c r="C12623" s="451"/>
      <c r="D12623" s="451"/>
      <c r="E12623" s="451"/>
      <c r="F12623" s="451"/>
      <c r="G12623" s="451"/>
      <c r="H12623" s="451"/>
      <c r="I12623" s="451"/>
      <c r="J12623" s="451"/>
      <c r="K12623" s="451"/>
    </row>
    <row r="12624" spans="1:11">
      <c r="A12624" s="450"/>
      <c r="B12624" s="450"/>
      <c r="C12624" s="450"/>
      <c r="D12624" s="450"/>
      <c r="E12624" s="450"/>
      <c r="F12624" s="450"/>
      <c r="G12624" s="450"/>
      <c r="H12624" s="450"/>
      <c r="I12624" s="450"/>
      <c r="J12624" s="450"/>
      <c r="K12624" s="450"/>
    </row>
    <row r="12625" spans="1:11">
      <c r="A12625" s="451"/>
      <c r="B12625" s="451"/>
      <c r="C12625" s="451"/>
      <c r="D12625" s="451"/>
      <c r="E12625" s="451"/>
      <c r="F12625" s="451"/>
      <c r="G12625" s="451"/>
      <c r="H12625" s="451"/>
      <c r="I12625" s="451"/>
      <c r="J12625" s="451"/>
      <c r="K12625" s="451"/>
    </row>
    <row r="12626" spans="1:11">
      <c r="A12626" s="450"/>
      <c r="B12626" s="450"/>
      <c r="C12626" s="450"/>
      <c r="D12626" s="450"/>
      <c r="E12626" s="450"/>
      <c r="F12626" s="450"/>
      <c r="G12626" s="450"/>
      <c r="H12626" s="450"/>
      <c r="I12626" s="450"/>
      <c r="J12626" s="450"/>
      <c r="K12626" s="450"/>
    </row>
    <row r="12627" spans="1:11">
      <c r="A12627" s="451"/>
      <c r="B12627" s="451"/>
      <c r="C12627" s="451"/>
      <c r="D12627" s="451"/>
      <c r="E12627" s="451"/>
      <c r="F12627" s="451"/>
      <c r="G12627" s="451"/>
      <c r="H12627" s="451"/>
      <c r="I12627" s="451"/>
      <c r="J12627" s="451"/>
      <c r="K12627" s="451"/>
    </row>
    <row r="12628" spans="1:11">
      <c r="A12628" s="450"/>
      <c r="B12628" s="450"/>
      <c r="C12628" s="450"/>
      <c r="D12628" s="450"/>
      <c r="E12628" s="450"/>
      <c r="F12628" s="450"/>
      <c r="G12628" s="450"/>
      <c r="H12628" s="450"/>
      <c r="I12628" s="450"/>
      <c r="J12628" s="450"/>
      <c r="K12628" s="450"/>
    </row>
    <row r="12629" spans="1:11">
      <c r="A12629" s="451"/>
      <c r="B12629" s="451"/>
      <c r="C12629" s="451"/>
      <c r="D12629" s="451"/>
      <c r="E12629" s="451"/>
      <c r="F12629" s="451"/>
      <c r="G12629" s="451"/>
      <c r="H12629" s="451"/>
      <c r="I12629" s="451"/>
      <c r="J12629" s="451"/>
      <c r="K12629" s="451"/>
    </row>
    <row r="12630" spans="1:11">
      <c r="A12630" s="450"/>
      <c r="B12630" s="450"/>
      <c r="C12630" s="450"/>
      <c r="D12630" s="450"/>
      <c r="E12630" s="450"/>
      <c r="F12630" s="450"/>
      <c r="G12630" s="450"/>
      <c r="H12630" s="450"/>
      <c r="I12630" s="450"/>
      <c r="J12630" s="450"/>
      <c r="K12630" s="450"/>
    </row>
    <row r="12631" spans="1:11">
      <c r="A12631" s="451"/>
      <c r="B12631" s="451"/>
      <c r="C12631" s="451"/>
      <c r="D12631" s="451"/>
      <c r="E12631" s="451"/>
      <c r="F12631" s="451"/>
      <c r="G12631" s="451"/>
      <c r="H12631" s="451"/>
      <c r="I12631" s="451"/>
      <c r="J12631" s="451"/>
      <c r="K12631" s="451"/>
    </row>
    <row r="12632" spans="1:11">
      <c r="A12632" s="450"/>
      <c r="B12632" s="450"/>
      <c r="C12632" s="450"/>
      <c r="D12632" s="450"/>
      <c r="E12632" s="450"/>
      <c r="F12632" s="450"/>
      <c r="G12632" s="450"/>
      <c r="H12632" s="450"/>
      <c r="I12632" s="450"/>
      <c r="J12632" s="450"/>
      <c r="K12632" s="450"/>
    </row>
    <row r="12633" spans="1:11">
      <c r="A12633" s="451"/>
      <c r="B12633" s="451"/>
      <c r="C12633" s="451"/>
      <c r="D12633" s="451"/>
      <c r="E12633" s="451"/>
      <c r="F12633" s="451"/>
      <c r="G12633" s="451"/>
      <c r="H12633" s="451"/>
      <c r="I12633" s="451"/>
      <c r="J12633" s="451"/>
      <c r="K12633" s="451"/>
    </row>
    <row r="12634" spans="1:11">
      <c r="A12634" s="450"/>
      <c r="B12634" s="450"/>
      <c r="C12634" s="450"/>
      <c r="D12634" s="450"/>
      <c r="E12634" s="450"/>
      <c r="F12634" s="450"/>
      <c r="G12634" s="450"/>
      <c r="H12634" s="450"/>
      <c r="I12634" s="450"/>
      <c r="J12634" s="450"/>
      <c r="K12634" s="450"/>
    </row>
    <row r="12635" spans="1:11">
      <c r="A12635" s="451"/>
      <c r="B12635" s="451"/>
      <c r="C12635" s="451"/>
      <c r="D12635" s="451"/>
      <c r="E12635" s="451"/>
      <c r="F12635" s="451"/>
      <c r="G12635" s="451"/>
      <c r="H12635" s="451"/>
      <c r="I12635" s="451"/>
      <c r="J12635" s="451"/>
      <c r="K12635" s="451"/>
    </row>
    <row r="12636" spans="1:11">
      <c r="A12636" s="450"/>
      <c r="B12636" s="450"/>
      <c r="C12636" s="450"/>
      <c r="D12636" s="450"/>
      <c r="E12636" s="450"/>
      <c r="F12636" s="450"/>
      <c r="G12636" s="450"/>
      <c r="H12636" s="450"/>
      <c r="I12636" s="450"/>
      <c r="J12636" s="450"/>
      <c r="K12636" s="450"/>
    </row>
    <row r="12637" spans="1:11">
      <c r="A12637" s="451"/>
      <c r="B12637" s="451"/>
      <c r="C12637" s="451"/>
      <c r="D12637" s="451"/>
      <c r="E12637" s="451"/>
      <c r="F12637" s="451"/>
      <c r="G12637" s="451"/>
      <c r="H12637" s="451"/>
      <c r="I12637" s="451"/>
      <c r="J12637" s="451"/>
      <c r="K12637" s="451"/>
    </row>
    <row r="12638" spans="1:11">
      <c r="A12638" s="450"/>
      <c r="B12638" s="450"/>
      <c r="C12638" s="450"/>
      <c r="D12638" s="450"/>
      <c r="E12638" s="450"/>
      <c r="F12638" s="450"/>
      <c r="G12638" s="450"/>
      <c r="H12638" s="450"/>
      <c r="I12638" s="450"/>
      <c r="J12638" s="450"/>
      <c r="K12638" s="450"/>
    </row>
    <row r="12639" spans="1:11">
      <c r="A12639" s="451"/>
      <c r="B12639" s="451"/>
      <c r="C12639" s="451"/>
      <c r="D12639" s="451"/>
      <c r="E12639" s="451"/>
      <c r="F12639" s="451"/>
      <c r="G12639" s="451"/>
      <c r="H12639" s="451"/>
      <c r="I12639" s="451"/>
      <c r="J12639" s="451"/>
      <c r="K12639" s="451"/>
    </row>
    <row r="12640" spans="1:11">
      <c r="A12640" s="450"/>
      <c r="B12640" s="450"/>
      <c r="C12640" s="450"/>
      <c r="D12640" s="450"/>
      <c r="E12640" s="450"/>
      <c r="F12640" s="450"/>
      <c r="G12640" s="450"/>
      <c r="H12640" s="450"/>
      <c r="I12640" s="450"/>
      <c r="J12640" s="450"/>
      <c r="K12640" s="450"/>
    </row>
    <row r="12641" spans="1:11">
      <c r="A12641" s="451"/>
      <c r="B12641" s="451"/>
      <c r="C12641" s="451"/>
      <c r="D12641" s="451"/>
      <c r="E12641" s="451"/>
      <c r="F12641" s="451"/>
      <c r="G12641" s="451"/>
      <c r="H12641" s="451"/>
      <c r="I12641" s="451"/>
      <c r="J12641" s="451"/>
      <c r="K12641" s="451"/>
    </row>
    <row r="12642" spans="1:11">
      <c r="A12642" s="450"/>
      <c r="B12642" s="450"/>
      <c r="C12642" s="450"/>
      <c r="D12642" s="450"/>
      <c r="E12642" s="450"/>
      <c r="F12642" s="450"/>
      <c r="G12642" s="450"/>
      <c r="H12642" s="450"/>
      <c r="I12642" s="450"/>
      <c r="J12642" s="450"/>
      <c r="K12642" s="450"/>
    </row>
    <row r="12643" spans="1:11">
      <c r="A12643" s="451"/>
      <c r="B12643" s="451"/>
      <c r="C12643" s="451"/>
      <c r="D12643" s="451"/>
      <c r="E12643" s="451"/>
      <c r="F12643" s="451"/>
      <c r="G12643" s="451"/>
      <c r="H12643" s="451"/>
      <c r="I12643" s="451"/>
      <c r="J12643" s="451"/>
      <c r="K12643" s="451"/>
    </row>
    <row r="12644" spans="1:11">
      <c r="A12644" s="450"/>
      <c r="B12644" s="450"/>
      <c r="C12644" s="450"/>
      <c r="D12644" s="450"/>
      <c r="E12644" s="450"/>
      <c r="F12644" s="450"/>
      <c r="G12644" s="450"/>
      <c r="H12644" s="450"/>
      <c r="I12644" s="450"/>
      <c r="J12644" s="450"/>
      <c r="K12644" s="450"/>
    </row>
    <row r="12645" spans="1:11">
      <c r="A12645" s="451"/>
      <c r="B12645" s="451"/>
      <c r="C12645" s="451"/>
      <c r="D12645" s="451"/>
      <c r="E12645" s="451"/>
      <c r="F12645" s="451"/>
      <c r="G12645" s="451"/>
      <c r="H12645" s="451"/>
      <c r="I12645" s="451"/>
      <c r="J12645" s="451"/>
      <c r="K12645" s="451"/>
    </row>
    <row r="12646" spans="1:11">
      <c r="A12646" s="450"/>
      <c r="B12646" s="450"/>
      <c r="C12646" s="450"/>
      <c r="D12646" s="450"/>
      <c r="E12646" s="450"/>
      <c r="F12646" s="450"/>
      <c r="G12646" s="450"/>
      <c r="H12646" s="450"/>
      <c r="I12646" s="450"/>
      <c r="J12646" s="450"/>
      <c r="K12646" s="450"/>
    </row>
    <row r="12647" spans="1:11">
      <c r="A12647" s="451"/>
      <c r="B12647" s="451"/>
      <c r="C12647" s="451"/>
      <c r="D12647" s="451"/>
      <c r="E12647" s="451"/>
      <c r="F12647" s="451"/>
      <c r="G12647" s="451"/>
      <c r="H12647" s="451"/>
      <c r="I12647" s="451"/>
      <c r="J12647" s="451"/>
      <c r="K12647" s="451"/>
    </row>
    <row r="12648" spans="1:11">
      <c r="A12648" s="450"/>
      <c r="B12648" s="450"/>
      <c r="C12648" s="450"/>
      <c r="D12648" s="450"/>
      <c r="E12648" s="450"/>
      <c r="F12648" s="450"/>
      <c r="G12648" s="450"/>
      <c r="H12648" s="450"/>
      <c r="I12648" s="450"/>
      <c r="J12648" s="450"/>
      <c r="K12648" s="450"/>
    </row>
    <row r="12649" spans="1:11">
      <c r="A12649" s="451"/>
      <c r="B12649" s="451"/>
      <c r="C12649" s="451"/>
      <c r="D12649" s="451"/>
      <c r="E12649" s="451"/>
      <c r="F12649" s="451"/>
      <c r="G12649" s="451"/>
      <c r="H12649" s="451"/>
      <c r="I12649" s="451"/>
      <c r="J12649" s="451"/>
      <c r="K12649" s="451"/>
    </row>
    <row r="12650" spans="1:11">
      <c r="A12650" s="450"/>
      <c r="B12650" s="450"/>
      <c r="C12650" s="450"/>
      <c r="D12650" s="450"/>
      <c r="E12650" s="450"/>
      <c r="F12650" s="450"/>
      <c r="G12650" s="450"/>
      <c r="H12650" s="450"/>
      <c r="I12650" s="450"/>
      <c r="J12650" s="450"/>
      <c r="K12650" s="450"/>
    </row>
    <row r="12651" spans="1:11">
      <c r="A12651" s="451"/>
      <c r="B12651" s="451"/>
      <c r="C12651" s="451"/>
      <c r="D12651" s="451"/>
      <c r="E12651" s="451"/>
      <c r="F12651" s="451"/>
      <c r="G12651" s="451"/>
      <c r="H12651" s="451"/>
      <c r="I12651" s="451"/>
      <c r="J12651" s="451"/>
      <c r="K12651" s="451"/>
    </row>
    <row r="12652" spans="1:11">
      <c r="A12652" s="450"/>
      <c r="B12652" s="450"/>
      <c r="C12652" s="450"/>
      <c r="D12652" s="450"/>
      <c r="E12652" s="450"/>
      <c r="F12652" s="450"/>
      <c r="G12652" s="450"/>
      <c r="H12652" s="450"/>
      <c r="I12652" s="450"/>
      <c r="J12652" s="450"/>
      <c r="K12652" s="450"/>
    </row>
    <row r="12653" spans="1:11">
      <c r="A12653" s="451"/>
      <c r="B12653" s="451"/>
      <c r="C12653" s="451"/>
      <c r="D12653" s="451"/>
      <c r="E12653" s="451"/>
      <c r="F12653" s="451"/>
      <c r="G12653" s="451"/>
      <c r="H12653" s="451"/>
      <c r="I12653" s="451"/>
      <c r="J12653" s="451"/>
      <c r="K12653" s="451"/>
    </row>
    <row r="12654" spans="1:11">
      <c r="A12654" s="450"/>
      <c r="B12654" s="450"/>
      <c r="C12654" s="450"/>
      <c r="D12654" s="450"/>
      <c r="E12654" s="450"/>
      <c r="F12654" s="450"/>
      <c r="G12654" s="450"/>
      <c r="H12654" s="450"/>
      <c r="I12654" s="450"/>
      <c r="J12654" s="450"/>
      <c r="K12654" s="450"/>
    </row>
    <row r="12655" spans="1:11">
      <c r="A12655" s="451"/>
      <c r="B12655" s="451"/>
      <c r="C12655" s="451"/>
      <c r="D12655" s="451"/>
      <c r="E12655" s="451"/>
      <c r="F12655" s="451"/>
      <c r="G12655" s="451"/>
      <c r="H12655" s="451"/>
      <c r="I12655" s="451"/>
      <c r="J12655" s="451"/>
      <c r="K12655" s="451"/>
    </row>
    <row r="12656" spans="1:11">
      <c r="A12656" s="450"/>
      <c r="B12656" s="450"/>
      <c r="C12656" s="450"/>
      <c r="D12656" s="450"/>
      <c r="E12656" s="450"/>
      <c r="F12656" s="450"/>
      <c r="G12656" s="450"/>
      <c r="H12656" s="450"/>
      <c r="I12656" s="450"/>
      <c r="J12656" s="450"/>
      <c r="K12656" s="450"/>
    </row>
    <row r="12657" spans="1:11">
      <c r="A12657" s="451"/>
      <c r="B12657" s="451"/>
      <c r="C12657" s="451"/>
      <c r="D12657" s="451"/>
      <c r="E12657" s="451"/>
      <c r="F12657" s="451"/>
      <c r="G12657" s="451"/>
      <c r="H12657" s="451"/>
      <c r="I12657" s="451"/>
      <c r="J12657" s="451"/>
      <c r="K12657" s="451"/>
    </row>
    <row r="12658" spans="1:11">
      <c r="A12658" s="450"/>
      <c r="B12658" s="450"/>
      <c r="C12658" s="450"/>
      <c r="D12658" s="450"/>
      <c r="E12658" s="450"/>
      <c r="F12658" s="450"/>
      <c r="G12658" s="450"/>
      <c r="H12658" s="450"/>
      <c r="I12658" s="450"/>
      <c r="J12658" s="450"/>
      <c r="K12658" s="450"/>
    </row>
    <row r="12659" spans="1:11">
      <c r="A12659" s="451"/>
      <c r="B12659" s="451"/>
      <c r="C12659" s="451"/>
      <c r="D12659" s="451"/>
      <c r="E12659" s="451"/>
      <c r="F12659" s="451"/>
      <c r="G12659" s="451"/>
      <c r="H12659" s="451"/>
      <c r="I12659" s="451"/>
      <c r="J12659" s="451"/>
      <c r="K12659" s="451"/>
    </row>
    <row r="12660" spans="1:11">
      <c r="A12660" s="450"/>
      <c r="B12660" s="450"/>
      <c r="C12660" s="450"/>
      <c r="D12660" s="450"/>
      <c r="E12660" s="450"/>
      <c r="F12660" s="450"/>
      <c r="G12660" s="450"/>
      <c r="H12660" s="450"/>
      <c r="I12660" s="450"/>
      <c r="J12660" s="450"/>
      <c r="K12660" s="450"/>
    </row>
    <row r="12661" spans="1:11">
      <c r="A12661" s="451"/>
      <c r="B12661" s="451"/>
      <c r="C12661" s="451"/>
      <c r="D12661" s="451"/>
      <c r="E12661" s="451"/>
      <c r="F12661" s="451"/>
      <c r="G12661" s="451"/>
      <c r="H12661" s="451"/>
      <c r="I12661" s="451"/>
      <c r="J12661" s="451"/>
      <c r="K12661" s="451"/>
    </row>
    <row r="12662" spans="1:11">
      <c r="A12662" s="450"/>
      <c r="B12662" s="450"/>
      <c r="C12662" s="450"/>
      <c r="D12662" s="450"/>
      <c r="E12662" s="450"/>
      <c r="F12662" s="450"/>
      <c r="G12662" s="450"/>
      <c r="H12662" s="450"/>
      <c r="I12662" s="450"/>
      <c r="J12662" s="450"/>
      <c r="K12662" s="450"/>
    </row>
    <row r="12663" spans="1:11">
      <c r="A12663" s="451"/>
      <c r="B12663" s="451"/>
      <c r="C12663" s="451"/>
      <c r="D12663" s="451"/>
      <c r="E12663" s="451"/>
      <c r="F12663" s="451"/>
      <c r="G12663" s="451"/>
      <c r="H12663" s="451"/>
      <c r="I12663" s="451"/>
      <c r="J12663" s="451"/>
      <c r="K12663" s="451"/>
    </row>
    <row r="12664" spans="1:11">
      <c r="A12664" s="450"/>
      <c r="B12664" s="450"/>
      <c r="C12664" s="450"/>
      <c r="D12664" s="450"/>
      <c r="E12664" s="450"/>
      <c r="F12664" s="450"/>
      <c r="G12664" s="450"/>
      <c r="H12664" s="450"/>
      <c r="I12664" s="450"/>
      <c r="J12664" s="450"/>
      <c r="K12664" s="450"/>
    </row>
    <row r="12665" spans="1:11">
      <c r="A12665" s="451"/>
      <c r="B12665" s="451"/>
      <c r="C12665" s="451"/>
      <c r="D12665" s="451"/>
      <c r="E12665" s="451"/>
      <c r="F12665" s="451"/>
      <c r="G12665" s="451"/>
      <c r="H12665" s="451"/>
      <c r="I12665" s="451"/>
      <c r="J12665" s="451"/>
      <c r="K12665" s="451"/>
    </row>
    <row r="12666" spans="1:11">
      <c r="A12666" s="450"/>
      <c r="B12666" s="450"/>
      <c r="C12666" s="450"/>
      <c r="D12666" s="450"/>
      <c r="E12666" s="450"/>
      <c r="F12666" s="450"/>
      <c r="G12666" s="450"/>
      <c r="H12666" s="450"/>
      <c r="I12666" s="450"/>
      <c r="J12666" s="450"/>
      <c r="K12666" s="450"/>
    </row>
    <row r="12667" spans="1:11">
      <c r="A12667" s="451"/>
      <c r="B12667" s="451"/>
      <c r="C12667" s="451"/>
      <c r="D12667" s="451"/>
      <c r="E12667" s="451"/>
      <c r="F12667" s="451"/>
      <c r="G12667" s="451"/>
      <c r="H12667" s="451"/>
      <c r="I12667" s="451"/>
      <c r="J12667" s="451"/>
      <c r="K12667" s="451"/>
    </row>
    <row r="12668" spans="1:11">
      <c r="A12668" s="450"/>
      <c r="B12668" s="450"/>
      <c r="C12668" s="450"/>
      <c r="D12668" s="450"/>
      <c r="E12668" s="450"/>
      <c r="F12668" s="450"/>
      <c r="G12668" s="450"/>
      <c r="H12668" s="450"/>
      <c r="I12668" s="450"/>
      <c r="J12668" s="450"/>
      <c r="K12668" s="450"/>
    </row>
    <row r="12669" spans="1:11">
      <c r="A12669" s="451"/>
      <c r="B12669" s="451"/>
      <c r="C12669" s="451"/>
      <c r="D12669" s="451"/>
      <c r="E12669" s="451"/>
      <c r="F12669" s="451"/>
      <c r="G12669" s="451"/>
      <c r="H12669" s="451"/>
      <c r="I12669" s="451"/>
      <c r="J12669" s="451"/>
      <c r="K12669" s="451"/>
    </row>
    <row r="12670" spans="1:11">
      <c r="A12670" s="450"/>
      <c r="B12670" s="450"/>
      <c r="C12670" s="450"/>
      <c r="D12670" s="450"/>
      <c r="E12670" s="450"/>
      <c r="F12670" s="450"/>
      <c r="G12670" s="450"/>
      <c r="H12670" s="450"/>
      <c r="I12670" s="450"/>
      <c r="J12670" s="450"/>
      <c r="K12670" s="450"/>
    </row>
    <row r="12671" spans="1:11">
      <c r="A12671" s="451"/>
      <c r="B12671" s="451"/>
      <c r="C12671" s="451"/>
      <c r="D12671" s="451"/>
      <c r="E12671" s="451"/>
      <c r="F12671" s="451"/>
      <c r="G12671" s="451"/>
      <c r="H12671" s="451"/>
      <c r="I12671" s="451"/>
      <c r="J12671" s="451"/>
      <c r="K12671" s="451"/>
    </row>
    <row r="12672" spans="1:11">
      <c r="A12672" s="450"/>
      <c r="B12672" s="450"/>
      <c r="C12672" s="450"/>
      <c r="D12672" s="450"/>
      <c r="E12672" s="450"/>
      <c r="F12672" s="450"/>
      <c r="G12672" s="450"/>
      <c r="H12672" s="450"/>
      <c r="I12672" s="450"/>
      <c r="J12672" s="450"/>
      <c r="K12672" s="450"/>
    </row>
    <row r="12673" spans="1:11">
      <c r="A12673" s="451"/>
      <c r="B12673" s="451"/>
      <c r="C12673" s="451"/>
      <c r="D12673" s="451"/>
      <c r="E12673" s="451"/>
      <c r="F12673" s="451"/>
      <c r="G12673" s="451"/>
      <c r="H12673" s="451"/>
      <c r="I12673" s="451"/>
      <c r="J12673" s="451"/>
      <c r="K12673" s="451"/>
    </row>
    <row r="12674" spans="1:11">
      <c r="A12674" s="450"/>
      <c r="B12674" s="450"/>
      <c r="C12674" s="450"/>
      <c r="D12674" s="450"/>
      <c r="E12674" s="450"/>
      <c r="F12674" s="450"/>
      <c r="G12674" s="450"/>
      <c r="H12674" s="450"/>
      <c r="I12674" s="450"/>
      <c r="J12674" s="450"/>
      <c r="K12674" s="450"/>
    </row>
    <row r="12675" spans="1:11">
      <c r="A12675" s="451"/>
      <c r="B12675" s="451"/>
      <c r="C12675" s="451"/>
      <c r="D12675" s="451"/>
      <c r="E12675" s="451"/>
      <c r="F12675" s="451"/>
      <c r="G12675" s="451"/>
      <c r="H12675" s="451"/>
      <c r="I12675" s="451"/>
      <c r="J12675" s="451"/>
      <c r="K12675" s="451"/>
    </row>
    <row r="12676" spans="1:11">
      <c r="A12676" s="450"/>
      <c r="B12676" s="450"/>
      <c r="C12676" s="450"/>
      <c r="D12676" s="450"/>
      <c r="E12676" s="450"/>
      <c r="F12676" s="450"/>
      <c r="G12676" s="450"/>
      <c r="H12676" s="450"/>
      <c r="I12676" s="450"/>
      <c r="J12676" s="450"/>
      <c r="K12676" s="450"/>
    </row>
    <row r="12677" spans="1:11">
      <c r="A12677" s="451"/>
      <c r="B12677" s="451"/>
      <c r="C12677" s="451"/>
      <c r="D12677" s="451"/>
      <c r="E12677" s="451"/>
      <c r="F12677" s="451"/>
      <c r="G12677" s="451"/>
      <c r="H12677" s="451"/>
      <c r="I12677" s="451"/>
      <c r="J12677" s="451"/>
      <c r="K12677" s="451"/>
    </row>
    <row r="12678" spans="1:11">
      <c r="A12678" s="450"/>
      <c r="B12678" s="450"/>
      <c r="C12678" s="450"/>
      <c r="D12678" s="450"/>
      <c r="E12678" s="450"/>
      <c r="F12678" s="450"/>
      <c r="G12678" s="450"/>
      <c r="H12678" s="450"/>
      <c r="I12678" s="450"/>
      <c r="J12678" s="450"/>
      <c r="K12678" s="450"/>
    </row>
    <row r="12679" spans="1:11">
      <c r="A12679" s="451"/>
      <c r="B12679" s="451"/>
      <c r="C12679" s="451"/>
      <c r="D12679" s="451"/>
      <c r="E12679" s="451"/>
      <c r="F12679" s="451"/>
      <c r="G12679" s="451"/>
      <c r="H12679" s="451"/>
      <c r="I12679" s="451"/>
      <c r="J12679" s="451"/>
      <c r="K12679" s="451"/>
    </row>
    <row r="12680" spans="1:11">
      <c r="A12680" s="450"/>
      <c r="B12680" s="450"/>
      <c r="C12680" s="450"/>
      <c r="D12680" s="450"/>
      <c r="E12680" s="450"/>
      <c r="F12680" s="450"/>
      <c r="G12680" s="450"/>
      <c r="H12680" s="450"/>
      <c r="I12680" s="450"/>
      <c r="J12680" s="450"/>
      <c r="K12680" s="450"/>
    </row>
    <row r="12681" spans="1:11">
      <c r="A12681" s="451"/>
      <c r="B12681" s="451"/>
      <c r="C12681" s="451"/>
      <c r="D12681" s="451"/>
      <c r="E12681" s="451"/>
      <c r="F12681" s="451"/>
      <c r="G12681" s="451"/>
      <c r="H12681" s="451"/>
      <c r="I12681" s="451"/>
      <c r="J12681" s="451"/>
      <c r="K12681" s="451"/>
    </row>
    <row r="12682" spans="1:11">
      <c r="A12682" s="450"/>
      <c r="B12682" s="450"/>
      <c r="C12682" s="450"/>
      <c r="D12682" s="450"/>
      <c r="E12682" s="450"/>
      <c r="F12682" s="450"/>
      <c r="G12682" s="450"/>
      <c r="H12682" s="450"/>
      <c r="I12682" s="450"/>
      <c r="J12682" s="450"/>
      <c r="K12682" s="450"/>
    </row>
    <row r="12683" spans="1:11">
      <c r="A12683" s="451"/>
      <c r="B12683" s="451"/>
      <c r="C12683" s="451"/>
      <c r="D12683" s="451"/>
      <c r="E12683" s="451"/>
      <c r="F12683" s="451"/>
      <c r="G12683" s="451"/>
      <c r="H12683" s="451"/>
      <c r="I12683" s="451"/>
      <c r="J12683" s="451"/>
      <c r="K12683" s="451"/>
    </row>
    <row r="12684" spans="1:11">
      <c r="A12684" s="450"/>
      <c r="B12684" s="450"/>
      <c r="C12684" s="450"/>
      <c r="D12684" s="450"/>
      <c r="E12684" s="450"/>
      <c r="F12684" s="450"/>
      <c r="G12684" s="450"/>
      <c r="H12684" s="450"/>
      <c r="I12684" s="450"/>
      <c r="J12684" s="450"/>
      <c r="K12684" s="450"/>
    </row>
    <row r="12685" spans="1:11">
      <c r="A12685" s="451"/>
      <c r="B12685" s="451"/>
      <c r="C12685" s="451"/>
      <c r="D12685" s="451"/>
      <c r="E12685" s="451"/>
      <c r="F12685" s="451"/>
      <c r="G12685" s="451"/>
      <c r="H12685" s="451"/>
      <c r="I12685" s="451"/>
      <c r="J12685" s="451"/>
      <c r="K12685" s="451"/>
    </row>
    <row r="12686" spans="1:11">
      <c r="A12686" s="450"/>
      <c r="B12686" s="450"/>
      <c r="C12686" s="450"/>
      <c r="D12686" s="450"/>
      <c r="E12686" s="450"/>
      <c r="F12686" s="450"/>
      <c r="G12686" s="450"/>
      <c r="H12686" s="450"/>
      <c r="I12686" s="450"/>
      <c r="J12686" s="450"/>
      <c r="K12686" s="450"/>
    </row>
    <row r="12687" spans="1:11">
      <c r="A12687" s="451"/>
      <c r="B12687" s="451"/>
      <c r="C12687" s="451"/>
      <c r="D12687" s="451"/>
      <c r="E12687" s="451"/>
      <c r="F12687" s="451"/>
      <c r="G12687" s="451"/>
      <c r="H12687" s="451"/>
      <c r="I12687" s="451"/>
      <c r="J12687" s="451"/>
      <c r="K12687" s="451"/>
    </row>
    <row r="12688" spans="1:11">
      <c r="A12688" s="450"/>
      <c r="B12688" s="450"/>
      <c r="C12688" s="450"/>
      <c r="D12688" s="450"/>
      <c r="E12688" s="450"/>
      <c r="F12688" s="450"/>
      <c r="G12688" s="450"/>
      <c r="H12688" s="450"/>
      <c r="I12688" s="450"/>
      <c r="J12688" s="450"/>
      <c r="K12688" s="450"/>
    </row>
    <row r="12689" spans="1:11">
      <c r="A12689" s="451"/>
      <c r="B12689" s="451"/>
      <c r="C12689" s="451"/>
      <c r="D12689" s="451"/>
      <c r="E12689" s="451"/>
      <c r="F12689" s="451"/>
      <c r="G12689" s="451"/>
      <c r="H12689" s="451"/>
      <c r="I12689" s="451"/>
      <c r="J12689" s="451"/>
      <c r="K12689" s="451"/>
    </row>
    <row r="12690" spans="1:11">
      <c r="A12690" s="450"/>
      <c r="B12690" s="450"/>
      <c r="C12690" s="450"/>
      <c r="D12690" s="450"/>
      <c r="E12690" s="450"/>
      <c r="F12690" s="450"/>
      <c r="G12690" s="450"/>
      <c r="H12690" s="450"/>
      <c r="I12690" s="450"/>
      <c r="J12690" s="450"/>
      <c r="K12690" s="450"/>
    </row>
    <row r="12691" spans="1:11">
      <c r="A12691" s="451"/>
      <c r="B12691" s="451"/>
      <c r="C12691" s="451"/>
      <c r="D12691" s="451"/>
      <c r="E12691" s="451"/>
      <c r="F12691" s="451"/>
      <c r="G12691" s="451"/>
      <c r="H12691" s="451"/>
      <c r="I12691" s="451"/>
      <c r="J12691" s="451"/>
      <c r="K12691" s="451"/>
    </row>
    <row r="12692" spans="1:11">
      <c r="A12692" s="450"/>
      <c r="B12692" s="450"/>
      <c r="C12692" s="450"/>
      <c r="D12692" s="450"/>
      <c r="E12692" s="450"/>
      <c r="F12692" s="450"/>
      <c r="G12692" s="450"/>
      <c r="H12692" s="450"/>
      <c r="I12692" s="450"/>
      <c r="J12692" s="450"/>
      <c r="K12692" s="450"/>
    </row>
    <row r="12693" spans="1:11">
      <c r="A12693" s="451"/>
      <c r="B12693" s="451"/>
      <c r="C12693" s="451"/>
      <c r="D12693" s="451"/>
      <c r="E12693" s="451"/>
      <c r="F12693" s="451"/>
      <c r="G12693" s="451"/>
      <c r="H12693" s="451"/>
      <c r="I12693" s="451"/>
      <c r="J12693" s="451"/>
      <c r="K12693" s="451"/>
    </row>
    <row r="12694" spans="1:11">
      <c r="A12694" s="450"/>
      <c r="B12694" s="450"/>
      <c r="C12694" s="450"/>
      <c r="D12694" s="450"/>
      <c r="E12694" s="450"/>
      <c r="F12694" s="450"/>
      <c r="G12694" s="450"/>
      <c r="H12694" s="450"/>
      <c r="I12694" s="450"/>
      <c r="J12694" s="450"/>
      <c r="K12694" s="450"/>
    </row>
    <row r="12695" spans="1:11">
      <c r="A12695" s="451"/>
      <c r="B12695" s="451"/>
      <c r="C12695" s="451"/>
      <c r="D12695" s="451"/>
      <c r="E12695" s="451"/>
      <c r="F12695" s="451"/>
      <c r="G12695" s="451"/>
      <c r="H12695" s="451"/>
      <c r="I12695" s="451"/>
      <c r="J12695" s="451"/>
      <c r="K12695" s="451"/>
    </row>
    <row r="12696" spans="1:11">
      <c r="A12696" s="450"/>
      <c r="B12696" s="450"/>
      <c r="C12696" s="450"/>
      <c r="D12696" s="450"/>
      <c r="E12696" s="450"/>
      <c r="F12696" s="450"/>
      <c r="G12696" s="450"/>
      <c r="H12696" s="450"/>
      <c r="I12696" s="450"/>
      <c r="J12696" s="450"/>
      <c r="K12696" s="450"/>
    </row>
    <row r="12697" spans="1:11">
      <c r="A12697" s="451"/>
      <c r="B12697" s="451"/>
      <c r="C12697" s="451"/>
      <c r="D12697" s="451"/>
      <c r="E12697" s="451"/>
      <c r="F12697" s="451"/>
      <c r="G12697" s="451"/>
      <c r="H12697" s="451"/>
      <c r="I12697" s="451"/>
      <c r="J12697" s="451"/>
      <c r="K12697" s="451"/>
    </row>
    <row r="12698" spans="1:11">
      <c r="A12698" s="450"/>
      <c r="B12698" s="450"/>
      <c r="C12698" s="450"/>
      <c r="D12698" s="450"/>
      <c r="E12698" s="450"/>
      <c r="F12698" s="450"/>
      <c r="G12698" s="450"/>
      <c r="H12698" s="450"/>
      <c r="I12698" s="450"/>
      <c r="J12698" s="450"/>
      <c r="K12698" s="450"/>
    </row>
    <row r="12699" spans="1:11">
      <c r="A12699" s="451"/>
      <c r="B12699" s="451"/>
      <c r="C12699" s="451"/>
      <c r="D12699" s="451"/>
      <c r="E12699" s="451"/>
      <c r="F12699" s="451"/>
      <c r="G12699" s="451"/>
      <c r="H12699" s="451"/>
      <c r="I12699" s="451"/>
      <c r="J12699" s="451"/>
      <c r="K12699" s="451"/>
    </row>
    <row r="12700" spans="1:11">
      <c r="A12700" s="450"/>
      <c r="B12700" s="450"/>
      <c r="C12700" s="450"/>
      <c r="D12700" s="450"/>
      <c r="E12700" s="450"/>
      <c r="F12700" s="450"/>
      <c r="G12700" s="450"/>
      <c r="H12700" s="450"/>
      <c r="I12700" s="450"/>
      <c r="J12700" s="450"/>
      <c r="K12700" s="450"/>
    </row>
    <row r="12701" spans="1:11">
      <c r="A12701" s="451"/>
      <c r="B12701" s="451"/>
      <c r="C12701" s="451"/>
      <c r="D12701" s="451"/>
      <c r="E12701" s="451"/>
      <c r="F12701" s="451"/>
      <c r="G12701" s="451"/>
      <c r="H12701" s="451"/>
      <c r="I12701" s="451"/>
      <c r="J12701" s="451"/>
      <c r="K12701" s="451"/>
    </row>
    <row r="12702" spans="1:11">
      <c r="A12702" s="450"/>
      <c r="B12702" s="450"/>
      <c r="C12702" s="450"/>
      <c r="D12702" s="450"/>
      <c r="E12702" s="450"/>
      <c r="F12702" s="450"/>
      <c r="G12702" s="450"/>
      <c r="H12702" s="450"/>
      <c r="I12702" s="450"/>
      <c r="J12702" s="450"/>
      <c r="K12702" s="450"/>
    </row>
    <row r="12703" spans="1:11">
      <c r="A12703" s="451"/>
      <c r="B12703" s="451"/>
      <c r="C12703" s="451"/>
      <c r="D12703" s="451"/>
      <c r="E12703" s="451"/>
      <c r="F12703" s="451"/>
      <c r="G12703" s="451"/>
      <c r="H12703" s="451"/>
      <c r="I12703" s="451"/>
      <c r="J12703" s="451"/>
      <c r="K12703" s="451"/>
    </row>
    <row r="12704" spans="1:11">
      <c r="A12704" s="450"/>
      <c r="B12704" s="450"/>
      <c r="C12704" s="450"/>
      <c r="D12704" s="450"/>
      <c r="E12704" s="450"/>
      <c r="F12704" s="450"/>
      <c r="G12704" s="450"/>
      <c r="H12704" s="450"/>
      <c r="I12704" s="450"/>
      <c r="J12704" s="450"/>
      <c r="K12704" s="450"/>
    </row>
    <row r="12705" spans="1:11">
      <c r="A12705" s="451"/>
      <c r="B12705" s="451"/>
      <c r="C12705" s="451"/>
      <c r="D12705" s="451"/>
      <c r="E12705" s="451"/>
      <c r="F12705" s="451"/>
      <c r="G12705" s="451"/>
      <c r="H12705" s="451"/>
      <c r="I12705" s="451"/>
      <c r="J12705" s="451"/>
      <c r="K12705" s="451"/>
    </row>
    <row r="12706" spans="1:11">
      <c r="A12706" s="450"/>
      <c r="B12706" s="450"/>
      <c r="C12706" s="450"/>
      <c r="D12706" s="450"/>
      <c r="E12706" s="450"/>
      <c r="F12706" s="450"/>
      <c r="G12706" s="450"/>
      <c r="H12706" s="450"/>
      <c r="I12706" s="450"/>
      <c r="J12706" s="450"/>
      <c r="K12706" s="450"/>
    </row>
    <row r="12707" spans="1:11">
      <c r="A12707" s="451"/>
      <c r="B12707" s="451"/>
      <c r="C12707" s="451"/>
      <c r="D12707" s="451"/>
      <c r="E12707" s="451"/>
      <c r="F12707" s="451"/>
      <c r="G12707" s="451"/>
      <c r="H12707" s="451"/>
      <c r="I12707" s="451"/>
      <c r="J12707" s="451"/>
      <c r="K12707" s="451"/>
    </row>
    <row r="12708" spans="1:11">
      <c r="A12708" s="450"/>
      <c r="B12708" s="450"/>
      <c r="C12708" s="450"/>
      <c r="D12708" s="450"/>
      <c r="E12708" s="450"/>
      <c r="F12708" s="450"/>
      <c r="G12708" s="450"/>
      <c r="H12708" s="450"/>
      <c r="I12708" s="450"/>
      <c r="J12708" s="450"/>
      <c r="K12708" s="450"/>
    </row>
    <row r="12709" spans="1:11">
      <c r="A12709" s="451"/>
      <c r="B12709" s="451"/>
      <c r="C12709" s="451"/>
      <c r="D12709" s="451"/>
      <c r="E12709" s="451"/>
      <c r="F12709" s="451"/>
      <c r="G12709" s="451"/>
      <c r="H12709" s="451"/>
      <c r="I12709" s="451"/>
      <c r="J12709" s="451"/>
      <c r="K12709" s="451"/>
    </row>
    <row r="12710" spans="1:11">
      <c r="A12710" s="450"/>
      <c r="B12710" s="450"/>
      <c r="C12710" s="450"/>
      <c r="D12710" s="450"/>
      <c r="E12710" s="450"/>
      <c r="F12710" s="450"/>
      <c r="G12710" s="450"/>
      <c r="H12710" s="450"/>
      <c r="I12710" s="450"/>
      <c r="J12710" s="450"/>
      <c r="K12710" s="450"/>
    </row>
    <row r="12711" spans="1:11">
      <c r="A12711" s="451"/>
      <c r="B12711" s="451"/>
      <c r="C12711" s="451"/>
      <c r="D12711" s="451"/>
      <c r="E12711" s="451"/>
      <c r="F12711" s="451"/>
      <c r="G12711" s="451"/>
      <c r="H12711" s="451"/>
      <c r="I12711" s="451"/>
      <c r="J12711" s="451"/>
      <c r="K12711" s="451"/>
    </row>
    <row r="12712" spans="1:11">
      <c r="A12712" s="450"/>
      <c r="B12712" s="450"/>
      <c r="C12712" s="450"/>
      <c r="D12712" s="450"/>
      <c r="E12712" s="450"/>
      <c r="F12712" s="450"/>
      <c r="G12712" s="450"/>
      <c r="H12712" s="450"/>
      <c r="I12712" s="450"/>
      <c r="J12712" s="450"/>
      <c r="K12712" s="450"/>
    </row>
    <row r="12713" spans="1:11">
      <c r="A12713" s="451"/>
      <c r="B12713" s="451"/>
      <c r="C12713" s="451"/>
      <c r="D12713" s="451"/>
      <c r="E12713" s="451"/>
      <c r="F12713" s="451"/>
      <c r="G12713" s="451"/>
      <c r="H12713" s="451"/>
      <c r="I12713" s="451"/>
      <c r="J12713" s="451"/>
      <c r="K12713" s="451"/>
    </row>
    <row r="12714" spans="1:11">
      <c r="A12714" s="450"/>
      <c r="B12714" s="450"/>
      <c r="C12714" s="450"/>
      <c r="D12714" s="450"/>
      <c r="E12714" s="450"/>
      <c r="F12714" s="450"/>
      <c r="G12714" s="450"/>
      <c r="H12714" s="450"/>
      <c r="I12714" s="450"/>
      <c r="J12714" s="450"/>
      <c r="K12714" s="450"/>
    </row>
    <row r="12715" spans="1:11">
      <c r="A12715" s="451"/>
      <c r="B12715" s="451"/>
      <c r="C12715" s="451"/>
      <c r="D12715" s="451"/>
      <c r="E12715" s="451"/>
      <c r="F12715" s="451"/>
      <c r="G12715" s="451"/>
      <c r="H12715" s="451"/>
      <c r="I12715" s="451"/>
      <c r="J12715" s="451"/>
      <c r="K12715" s="451"/>
    </row>
    <row r="12716" spans="1:11">
      <c r="A12716" s="450"/>
      <c r="B12716" s="450"/>
      <c r="C12716" s="450"/>
      <c r="D12716" s="450"/>
      <c r="E12716" s="450"/>
      <c r="F12716" s="450"/>
      <c r="G12716" s="450"/>
      <c r="H12716" s="450"/>
      <c r="I12716" s="450"/>
      <c r="J12716" s="450"/>
      <c r="K12716" s="450"/>
    </row>
    <row r="12717" spans="1:11">
      <c r="A12717" s="451"/>
      <c r="B12717" s="451"/>
      <c r="C12717" s="451"/>
      <c r="D12717" s="451"/>
      <c r="E12717" s="451"/>
      <c r="F12717" s="451"/>
      <c r="G12717" s="451"/>
      <c r="H12717" s="451"/>
      <c r="I12717" s="451"/>
      <c r="J12717" s="451"/>
      <c r="K12717" s="451"/>
    </row>
    <row r="12718" spans="1:11">
      <c r="A12718" s="450"/>
      <c r="B12718" s="450"/>
      <c r="C12718" s="450"/>
      <c r="D12718" s="450"/>
      <c r="E12718" s="450"/>
      <c r="F12718" s="450"/>
      <c r="G12718" s="450"/>
      <c r="H12718" s="450"/>
      <c r="I12718" s="450"/>
      <c r="J12718" s="450"/>
      <c r="K12718" s="450"/>
    </row>
    <row r="12719" spans="1:11">
      <c r="A12719" s="451"/>
      <c r="B12719" s="451"/>
      <c r="C12719" s="451"/>
      <c r="D12719" s="451"/>
      <c r="E12719" s="451"/>
      <c r="F12719" s="451"/>
      <c r="G12719" s="451"/>
      <c r="H12719" s="451"/>
      <c r="I12719" s="451"/>
      <c r="J12719" s="451"/>
      <c r="K12719" s="451"/>
    </row>
    <row r="12720" spans="1:11">
      <c r="A12720" s="450"/>
      <c r="B12720" s="450"/>
      <c r="C12720" s="450"/>
      <c r="D12720" s="450"/>
      <c r="E12720" s="450"/>
      <c r="F12720" s="450"/>
      <c r="G12720" s="450"/>
      <c r="H12720" s="450"/>
      <c r="I12720" s="450"/>
      <c r="J12720" s="450"/>
      <c r="K12720" s="450"/>
    </row>
    <row r="12721" spans="1:11">
      <c r="A12721" s="451"/>
      <c r="B12721" s="451"/>
      <c r="C12721" s="451"/>
      <c r="D12721" s="451"/>
      <c r="E12721" s="451"/>
      <c r="F12721" s="451"/>
      <c r="G12721" s="451"/>
      <c r="H12721" s="451"/>
      <c r="I12721" s="451"/>
      <c r="J12721" s="451"/>
      <c r="K12721" s="451"/>
    </row>
    <row r="12722" spans="1:11">
      <c r="A12722" s="450"/>
      <c r="B12722" s="450"/>
      <c r="C12722" s="450"/>
      <c r="D12722" s="450"/>
      <c r="E12722" s="450"/>
      <c r="F12722" s="450"/>
      <c r="G12722" s="450"/>
      <c r="H12722" s="450"/>
      <c r="I12722" s="450"/>
      <c r="J12722" s="450"/>
      <c r="K12722" s="450"/>
    </row>
    <row r="12723" spans="1:11">
      <c r="A12723" s="451"/>
      <c r="B12723" s="451"/>
      <c r="C12723" s="451"/>
      <c r="D12723" s="451"/>
      <c r="E12723" s="451"/>
      <c r="F12723" s="451"/>
      <c r="G12723" s="451"/>
      <c r="H12723" s="451"/>
      <c r="I12723" s="451"/>
      <c r="J12723" s="451"/>
      <c r="K12723" s="451"/>
    </row>
    <row r="12724" spans="1:11">
      <c r="A12724" s="450"/>
      <c r="B12724" s="450"/>
      <c r="C12724" s="450"/>
      <c r="D12724" s="450"/>
      <c r="E12724" s="450"/>
      <c r="F12724" s="450"/>
      <c r="G12724" s="450"/>
      <c r="H12724" s="450"/>
      <c r="I12724" s="450"/>
      <c r="J12724" s="450"/>
      <c r="K12724" s="450"/>
    </row>
    <row r="12725" spans="1:11">
      <c r="A12725" s="451"/>
      <c r="B12725" s="451"/>
      <c r="C12725" s="451"/>
      <c r="D12725" s="451"/>
      <c r="E12725" s="451"/>
      <c r="F12725" s="451"/>
      <c r="G12725" s="451"/>
      <c r="H12725" s="451"/>
      <c r="I12725" s="451"/>
      <c r="J12725" s="451"/>
      <c r="K12725" s="451"/>
    </row>
    <row r="12726" spans="1:11">
      <c r="A12726" s="450"/>
      <c r="B12726" s="450"/>
      <c r="C12726" s="450"/>
      <c r="D12726" s="450"/>
      <c r="E12726" s="450"/>
      <c r="F12726" s="450"/>
      <c r="G12726" s="450"/>
      <c r="H12726" s="450"/>
      <c r="I12726" s="450"/>
      <c r="J12726" s="450"/>
      <c r="K12726" s="450"/>
    </row>
    <row r="12727" spans="1:11">
      <c r="A12727" s="451"/>
      <c r="B12727" s="451"/>
      <c r="C12727" s="451"/>
      <c r="D12727" s="451"/>
      <c r="E12727" s="451"/>
      <c r="F12727" s="451"/>
      <c r="G12727" s="451"/>
      <c r="H12727" s="451"/>
      <c r="I12727" s="451"/>
      <c r="J12727" s="451"/>
      <c r="K12727" s="451"/>
    </row>
    <row r="12728" spans="1:11">
      <c r="A12728" s="450"/>
      <c r="B12728" s="450"/>
      <c r="C12728" s="450"/>
      <c r="D12728" s="450"/>
      <c r="E12728" s="450"/>
      <c r="F12728" s="450"/>
      <c r="G12728" s="450"/>
      <c r="H12728" s="450"/>
      <c r="I12728" s="450"/>
      <c r="J12728" s="450"/>
      <c r="K12728" s="450"/>
    </row>
    <row r="12729" spans="1:11">
      <c r="A12729" s="451"/>
      <c r="B12729" s="451"/>
      <c r="C12729" s="451"/>
      <c r="D12729" s="451"/>
      <c r="E12729" s="451"/>
      <c r="F12729" s="451"/>
      <c r="G12729" s="451"/>
      <c r="H12729" s="451"/>
      <c r="I12729" s="451"/>
      <c r="J12729" s="451"/>
      <c r="K12729" s="451"/>
    </row>
    <row r="12730" spans="1:11">
      <c r="A12730" s="450"/>
      <c r="B12730" s="450"/>
      <c r="C12730" s="450"/>
      <c r="D12730" s="450"/>
      <c r="E12730" s="450"/>
      <c r="F12730" s="450"/>
      <c r="G12730" s="450"/>
      <c r="H12730" s="450"/>
      <c r="I12730" s="450"/>
      <c r="J12730" s="450"/>
      <c r="K12730" s="450"/>
    </row>
    <row r="12731" spans="1:11">
      <c r="A12731" s="451"/>
      <c r="B12731" s="451"/>
      <c r="C12731" s="451"/>
      <c r="D12731" s="451"/>
      <c r="E12731" s="451"/>
      <c r="F12731" s="451"/>
      <c r="G12731" s="451"/>
      <c r="H12731" s="451"/>
      <c r="I12731" s="451"/>
      <c r="J12731" s="451"/>
      <c r="K12731" s="451"/>
    </row>
    <row r="12732" spans="1:11">
      <c r="A12732" s="450"/>
      <c r="B12732" s="450"/>
      <c r="C12732" s="450"/>
      <c r="D12732" s="450"/>
      <c r="E12732" s="450"/>
      <c r="F12732" s="450"/>
      <c r="G12732" s="450"/>
      <c r="H12732" s="450"/>
      <c r="I12732" s="450"/>
      <c r="J12732" s="450"/>
      <c r="K12732" s="450"/>
    </row>
    <row r="12733" spans="1:11">
      <c r="A12733" s="451"/>
      <c r="B12733" s="451"/>
      <c r="C12733" s="451"/>
      <c r="D12733" s="451"/>
      <c r="E12733" s="451"/>
      <c r="F12733" s="451"/>
      <c r="G12733" s="451"/>
      <c r="H12733" s="451"/>
      <c r="I12733" s="451"/>
      <c r="J12733" s="451"/>
      <c r="K12733" s="451"/>
    </row>
    <row r="12734" spans="1:11">
      <c r="A12734" s="450"/>
      <c r="B12734" s="450"/>
      <c r="C12734" s="450"/>
      <c r="D12734" s="450"/>
      <c r="E12734" s="450"/>
      <c r="F12734" s="450"/>
      <c r="G12734" s="450"/>
      <c r="H12734" s="450"/>
      <c r="I12734" s="450"/>
      <c r="J12734" s="450"/>
      <c r="K12734" s="450"/>
    </row>
    <row r="12735" spans="1:11">
      <c r="A12735" s="451"/>
      <c r="B12735" s="451"/>
      <c r="C12735" s="451"/>
      <c r="D12735" s="451"/>
      <c r="E12735" s="451"/>
      <c r="F12735" s="451"/>
      <c r="G12735" s="451"/>
      <c r="H12735" s="451"/>
      <c r="I12735" s="451"/>
      <c r="J12735" s="451"/>
      <c r="K12735" s="451"/>
    </row>
    <row r="12736" spans="1:11">
      <c r="A12736" s="450"/>
      <c r="B12736" s="450"/>
      <c r="C12736" s="450"/>
      <c r="D12736" s="450"/>
      <c r="E12736" s="450"/>
      <c r="F12736" s="450"/>
      <c r="G12736" s="450"/>
      <c r="H12736" s="450"/>
      <c r="I12736" s="450"/>
      <c r="J12736" s="450"/>
      <c r="K12736" s="450"/>
    </row>
    <row r="12737" spans="1:11">
      <c r="A12737" s="451"/>
      <c r="B12737" s="451"/>
      <c r="C12737" s="451"/>
      <c r="D12737" s="451"/>
      <c r="E12737" s="451"/>
      <c r="F12737" s="451"/>
      <c r="G12737" s="451"/>
      <c r="H12737" s="451"/>
      <c r="I12737" s="451"/>
      <c r="J12737" s="451"/>
      <c r="K12737" s="451"/>
    </row>
    <row r="12738" spans="1:11">
      <c r="A12738" s="450"/>
      <c r="B12738" s="450"/>
      <c r="C12738" s="450"/>
      <c r="D12738" s="450"/>
      <c r="E12738" s="450"/>
      <c r="F12738" s="450"/>
      <c r="G12738" s="450"/>
      <c r="H12738" s="450"/>
      <c r="I12738" s="450"/>
      <c r="J12738" s="450"/>
      <c r="K12738" s="450"/>
    </row>
    <row r="12739" spans="1:11">
      <c r="A12739" s="451"/>
      <c r="B12739" s="451"/>
      <c r="C12739" s="451"/>
      <c r="D12739" s="451"/>
      <c r="E12739" s="451"/>
      <c r="F12739" s="451"/>
      <c r="G12739" s="451"/>
      <c r="H12739" s="451"/>
      <c r="I12739" s="451"/>
      <c r="J12739" s="451"/>
      <c r="K12739" s="451"/>
    </row>
    <row r="12740" spans="1:11">
      <c r="A12740" s="450"/>
      <c r="B12740" s="450"/>
      <c r="C12740" s="450"/>
      <c r="D12740" s="450"/>
      <c r="E12740" s="450"/>
      <c r="F12740" s="450"/>
      <c r="G12740" s="450"/>
      <c r="H12740" s="450"/>
      <c r="I12740" s="450"/>
      <c r="J12740" s="450"/>
      <c r="K12740" s="450"/>
    </row>
    <row r="12741" spans="1:11">
      <c r="A12741" s="451"/>
      <c r="B12741" s="451"/>
      <c r="C12741" s="451"/>
      <c r="D12741" s="451"/>
      <c r="E12741" s="451"/>
      <c r="F12741" s="451"/>
      <c r="G12741" s="451"/>
      <c r="H12741" s="451"/>
      <c r="I12741" s="451"/>
      <c r="J12741" s="451"/>
      <c r="K12741" s="451"/>
    </row>
    <row r="12742" spans="1:11">
      <c r="A12742" s="450"/>
      <c r="B12742" s="450"/>
      <c r="C12742" s="450"/>
      <c r="D12742" s="450"/>
      <c r="E12742" s="450"/>
      <c r="F12742" s="450"/>
      <c r="G12742" s="450"/>
      <c r="H12742" s="450"/>
      <c r="I12742" s="450"/>
      <c r="J12742" s="450"/>
      <c r="K12742" s="450"/>
    </row>
    <row r="12743" spans="1:11">
      <c r="A12743" s="451"/>
      <c r="B12743" s="451"/>
      <c r="C12743" s="451"/>
      <c r="D12743" s="451"/>
      <c r="E12743" s="451"/>
      <c r="F12743" s="451"/>
      <c r="G12743" s="451"/>
      <c r="H12743" s="451"/>
      <c r="I12743" s="451"/>
      <c r="J12743" s="451"/>
      <c r="K12743" s="451"/>
    </row>
    <row r="12744" spans="1:11">
      <c r="A12744" s="450"/>
      <c r="B12744" s="450"/>
      <c r="C12744" s="450"/>
      <c r="D12744" s="450"/>
      <c r="E12744" s="450"/>
      <c r="F12744" s="450"/>
      <c r="G12744" s="450"/>
      <c r="H12744" s="450"/>
      <c r="I12744" s="450"/>
      <c r="J12744" s="450"/>
      <c r="K12744" s="450"/>
    </row>
    <row r="12745" spans="1:11">
      <c r="A12745" s="451"/>
      <c r="B12745" s="451"/>
      <c r="C12745" s="451"/>
      <c r="D12745" s="451"/>
      <c r="E12745" s="451"/>
      <c r="F12745" s="451"/>
      <c r="G12745" s="451"/>
      <c r="H12745" s="451"/>
      <c r="I12745" s="451"/>
      <c r="J12745" s="451"/>
      <c r="K12745" s="451"/>
    </row>
    <row r="12746" spans="1:11">
      <c r="A12746" s="450"/>
      <c r="B12746" s="450"/>
      <c r="C12746" s="450"/>
      <c r="D12746" s="450"/>
      <c r="E12746" s="450"/>
      <c r="F12746" s="450"/>
      <c r="G12746" s="450"/>
      <c r="H12746" s="450"/>
      <c r="I12746" s="450"/>
      <c r="J12746" s="450"/>
      <c r="K12746" s="450"/>
    </row>
    <row r="12747" spans="1:11">
      <c r="A12747" s="451"/>
      <c r="B12747" s="451"/>
      <c r="C12747" s="451"/>
      <c r="D12747" s="451"/>
      <c r="E12747" s="451"/>
      <c r="F12747" s="451"/>
      <c r="G12747" s="451"/>
      <c r="H12747" s="451"/>
      <c r="I12747" s="451"/>
      <c r="J12747" s="451"/>
      <c r="K12747" s="451"/>
    </row>
    <row r="12748" spans="1:11">
      <c r="A12748" s="450"/>
      <c r="B12748" s="450"/>
      <c r="C12748" s="450"/>
      <c r="D12748" s="450"/>
      <c r="E12748" s="450"/>
      <c r="F12748" s="450"/>
      <c r="G12748" s="450"/>
      <c r="H12748" s="450"/>
      <c r="I12748" s="450"/>
      <c r="J12748" s="450"/>
      <c r="K12748" s="450"/>
    </row>
    <row r="12749" spans="1:11">
      <c r="A12749" s="451"/>
      <c r="B12749" s="451"/>
      <c r="C12749" s="451"/>
      <c r="D12749" s="451"/>
      <c r="E12749" s="451"/>
      <c r="F12749" s="451"/>
      <c r="G12749" s="451"/>
      <c r="H12749" s="451"/>
      <c r="I12749" s="451"/>
      <c r="J12749" s="451"/>
      <c r="K12749" s="451"/>
    </row>
    <row r="12750" spans="1:11">
      <c r="A12750" s="450"/>
      <c r="B12750" s="450"/>
      <c r="C12750" s="450"/>
      <c r="D12750" s="450"/>
      <c r="E12750" s="450"/>
      <c r="F12750" s="450"/>
      <c r="G12750" s="450"/>
      <c r="H12750" s="450"/>
      <c r="I12750" s="450"/>
      <c r="J12750" s="450"/>
      <c r="K12750" s="450"/>
    </row>
    <row r="12751" spans="1:11">
      <c r="A12751" s="451"/>
      <c r="B12751" s="451"/>
      <c r="C12751" s="451"/>
      <c r="D12751" s="451"/>
      <c r="E12751" s="451"/>
      <c r="F12751" s="451"/>
      <c r="G12751" s="451"/>
      <c r="H12751" s="451"/>
      <c r="I12751" s="451"/>
      <c r="J12751" s="451"/>
      <c r="K12751" s="451"/>
    </row>
    <row r="12752" spans="1:11">
      <c r="A12752" s="450"/>
      <c r="B12752" s="450"/>
      <c r="C12752" s="450"/>
      <c r="D12752" s="450"/>
      <c r="E12752" s="450"/>
      <c r="F12752" s="450"/>
      <c r="G12752" s="450"/>
      <c r="H12752" s="450"/>
      <c r="I12752" s="450"/>
      <c r="J12752" s="450"/>
      <c r="K12752" s="450"/>
    </row>
    <row r="12753" spans="1:11">
      <c r="A12753" s="451"/>
      <c r="B12753" s="451"/>
      <c r="C12753" s="451"/>
      <c r="D12753" s="451"/>
      <c r="E12753" s="451"/>
      <c r="F12753" s="451"/>
      <c r="G12753" s="451"/>
      <c r="H12753" s="451"/>
      <c r="I12753" s="451"/>
      <c r="J12753" s="451"/>
      <c r="K12753" s="451"/>
    </row>
    <row r="12754" spans="1:11">
      <c r="A12754" s="450"/>
      <c r="B12754" s="450"/>
      <c r="C12754" s="450"/>
      <c r="D12754" s="450"/>
      <c r="E12754" s="450"/>
      <c r="F12754" s="450"/>
      <c r="G12754" s="450"/>
      <c r="H12754" s="450"/>
      <c r="I12754" s="450"/>
      <c r="J12754" s="450"/>
      <c r="K12754" s="450"/>
    </row>
    <row r="12755" spans="1:11">
      <c r="A12755" s="451"/>
      <c r="B12755" s="451"/>
      <c r="C12755" s="451"/>
      <c r="D12755" s="451"/>
      <c r="E12755" s="451"/>
      <c r="F12755" s="451"/>
      <c r="G12755" s="451"/>
      <c r="H12755" s="451"/>
      <c r="I12755" s="451"/>
      <c r="J12755" s="451"/>
      <c r="K12755" s="451"/>
    </row>
    <row r="12756" spans="1:11">
      <c r="A12756" s="450"/>
      <c r="B12756" s="450"/>
      <c r="C12756" s="450"/>
      <c r="D12756" s="450"/>
      <c r="E12756" s="450"/>
      <c r="F12756" s="450"/>
      <c r="G12756" s="450"/>
      <c r="H12756" s="450"/>
      <c r="I12756" s="450"/>
      <c r="J12756" s="450"/>
      <c r="K12756" s="450"/>
    </row>
    <row r="12757" spans="1:11">
      <c r="A12757" s="451"/>
      <c r="B12757" s="451"/>
      <c r="C12757" s="451"/>
      <c r="D12757" s="451"/>
      <c r="E12757" s="451"/>
      <c r="F12757" s="451"/>
      <c r="G12757" s="451"/>
      <c r="H12757" s="451"/>
      <c r="I12757" s="451"/>
      <c r="J12757" s="451"/>
      <c r="K12757" s="451"/>
    </row>
    <row r="12758" spans="1:11">
      <c r="A12758" s="450"/>
      <c r="B12758" s="450"/>
      <c r="C12758" s="450"/>
      <c r="D12758" s="450"/>
      <c r="E12758" s="450"/>
      <c r="F12758" s="450"/>
      <c r="G12758" s="450"/>
      <c r="H12758" s="450"/>
      <c r="I12758" s="450"/>
      <c r="J12758" s="450"/>
      <c r="K12758" s="450"/>
    </row>
    <row r="12759" spans="1:11">
      <c r="A12759" s="451"/>
      <c r="B12759" s="451"/>
      <c r="C12759" s="451"/>
      <c r="D12759" s="451"/>
      <c r="E12759" s="451"/>
      <c r="F12759" s="451"/>
      <c r="G12759" s="451"/>
      <c r="H12759" s="451"/>
      <c r="I12759" s="451"/>
      <c r="J12759" s="451"/>
      <c r="K12759" s="451"/>
    </row>
    <row r="12760" spans="1:11">
      <c r="A12760" s="450"/>
      <c r="B12760" s="450"/>
      <c r="C12760" s="450"/>
      <c r="D12760" s="450"/>
      <c r="E12760" s="450"/>
      <c r="F12760" s="450"/>
      <c r="G12760" s="450"/>
      <c r="H12760" s="450"/>
      <c r="I12760" s="450"/>
      <c r="J12760" s="450"/>
      <c r="K12760" s="450"/>
    </row>
    <row r="12761" spans="1:11">
      <c r="A12761" s="451"/>
      <c r="B12761" s="451"/>
      <c r="C12761" s="451"/>
      <c r="D12761" s="451"/>
      <c r="E12761" s="451"/>
      <c r="F12761" s="451"/>
      <c r="G12761" s="451"/>
      <c r="H12761" s="451"/>
      <c r="I12761" s="451"/>
      <c r="J12761" s="451"/>
      <c r="K12761" s="451"/>
    </row>
    <row r="12762" spans="1:11">
      <c r="A12762" s="450"/>
      <c r="B12762" s="450"/>
      <c r="C12762" s="450"/>
      <c r="D12762" s="450"/>
      <c r="E12762" s="450"/>
      <c r="F12762" s="450"/>
      <c r="G12762" s="450"/>
      <c r="H12762" s="450"/>
      <c r="I12762" s="450"/>
      <c r="J12762" s="450"/>
      <c r="K12762" s="450"/>
    </row>
    <row r="12763" spans="1:11">
      <c r="A12763" s="451"/>
      <c r="B12763" s="451"/>
      <c r="C12763" s="451"/>
      <c r="D12763" s="451"/>
      <c r="E12763" s="451"/>
      <c r="F12763" s="451"/>
      <c r="G12763" s="451"/>
      <c r="H12763" s="451"/>
      <c r="I12763" s="451"/>
      <c r="J12763" s="451"/>
      <c r="K12763" s="451"/>
    </row>
    <row r="12764" spans="1:11">
      <c r="A12764" s="450"/>
      <c r="B12764" s="450"/>
      <c r="C12764" s="450"/>
      <c r="D12764" s="450"/>
      <c r="E12764" s="450"/>
      <c r="F12764" s="450"/>
      <c r="G12764" s="450"/>
      <c r="H12764" s="450"/>
      <c r="I12764" s="450"/>
      <c r="J12764" s="450"/>
      <c r="K12764" s="450"/>
    </row>
    <row r="12765" spans="1:11">
      <c r="A12765" s="451"/>
      <c r="B12765" s="451"/>
      <c r="C12765" s="451"/>
      <c r="D12765" s="451"/>
      <c r="E12765" s="451"/>
      <c r="F12765" s="451"/>
      <c r="G12765" s="451"/>
      <c r="H12765" s="451"/>
      <c r="I12765" s="451"/>
      <c r="J12765" s="451"/>
      <c r="K12765" s="451"/>
    </row>
    <row r="12766" spans="1:11">
      <c r="A12766" s="450"/>
      <c r="B12766" s="450"/>
      <c r="C12766" s="450"/>
      <c r="D12766" s="450"/>
      <c r="E12766" s="450"/>
      <c r="F12766" s="450"/>
      <c r="G12766" s="450"/>
      <c r="H12766" s="450"/>
      <c r="I12766" s="450"/>
      <c r="J12766" s="450"/>
      <c r="K12766" s="450"/>
    </row>
    <row r="12767" spans="1:11">
      <c r="A12767" s="451"/>
      <c r="B12767" s="451"/>
      <c r="C12767" s="451"/>
      <c r="D12767" s="451"/>
      <c r="E12767" s="451"/>
      <c r="F12767" s="451"/>
      <c r="G12767" s="451"/>
      <c r="H12767" s="451"/>
      <c r="I12767" s="451"/>
      <c r="J12767" s="451"/>
      <c r="K12767" s="451"/>
    </row>
    <row r="12768" spans="1:11">
      <c r="A12768" s="450"/>
      <c r="B12768" s="450"/>
      <c r="C12768" s="450"/>
      <c r="D12768" s="450"/>
      <c r="E12768" s="450"/>
      <c r="F12768" s="450"/>
      <c r="G12768" s="450"/>
      <c r="H12768" s="450"/>
      <c r="I12768" s="450"/>
      <c r="J12768" s="450"/>
      <c r="K12768" s="450"/>
    </row>
    <row r="12769" spans="1:11">
      <c r="A12769" s="451"/>
      <c r="B12769" s="451"/>
      <c r="C12769" s="451"/>
      <c r="D12769" s="451"/>
      <c r="E12769" s="451"/>
      <c r="F12769" s="451"/>
      <c r="G12769" s="451"/>
      <c r="H12769" s="451"/>
      <c r="I12769" s="451"/>
      <c r="J12769" s="451"/>
      <c r="K12769" s="451"/>
    </row>
    <row r="12770" spans="1:11">
      <c r="A12770" s="450"/>
      <c r="B12770" s="450"/>
      <c r="C12770" s="450"/>
      <c r="D12770" s="450"/>
      <c r="E12770" s="450"/>
      <c r="F12770" s="450"/>
      <c r="G12770" s="450"/>
      <c r="H12770" s="450"/>
      <c r="I12770" s="450"/>
      <c r="J12770" s="450"/>
      <c r="K12770" s="450"/>
    </row>
    <row r="12771" spans="1:11">
      <c r="A12771" s="451"/>
      <c r="B12771" s="451"/>
      <c r="C12771" s="451"/>
      <c r="D12771" s="451"/>
      <c r="E12771" s="451"/>
      <c r="F12771" s="451"/>
      <c r="G12771" s="451"/>
      <c r="H12771" s="451"/>
      <c r="I12771" s="451"/>
      <c r="J12771" s="451"/>
      <c r="K12771" s="451"/>
    </row>
    <row r="12772" spans="1:11">
      <c r="A12772" s="450"/>
      <c r="B12772" s="450"/>
      <c r="C12772" s="450"/>
      <c r="D12772" s="450"/>
      <c r="E12772" s="450"/>
      <c r="F12772" s="450"/>
      <c r="G12772" s="450"/>
      <c r="H12772" s="450"/>
      <c r="I12772" s="450"/>
      <c r="J12772" s="450"/>
      <c r="K12772" s="450"/>
    </row>
    <row r="12773" spans="1:11">
      <c r="A12773" s="451"/>
      <c r="B12773" s="451"/>
      <c r="C12773" s="451"/>
      <c r="D12773" s="451"/>
      <c r="E12773" s="451"/>
      <c r="F12773" s="451"/>
      <c r="G12773" s="451"/>
      <c r="H12773" s="451"/>
      <c r="I12773" s="451"/>
      <c r="J12773" s="451"/>
      <c r="K12773" s="451"/>
    </row>
    <row r="12774" spans="1:11">
      <c r="A12774" s="450"/>
      <c r="B12774" s="450"/>
      <c r="C12774" s="450"/>
      <c r="D12774" s="450"/>
      <c r="E12774" s="450"/>
      <c r="F12774" s="450"/>
      <c r="G12774" s="450"/>
      <c r="H12774" s="450"/>
      <c r="I12774" s="450"/>
      <c r="J12774" s="450"/>
      <c r="K12774" s="450"/>
    </row>
    <row r="12775" spans="1:11">
      <c r="A12775" s="451"/>
      <c r="B12775" s="451"/>
      <c r="C12775" s="451"/>
      <c r="D12775" s="451"/>
      <c r="E12775" s="451"/>
      <c r="F12775" s="451"/>
      <c r="G12775" s="451"/>
      <c r="H12775" s="451"/>
      <c r="I12775" s="451"/>
      <c r="J12775" s="451"/>
      <c r="K12775" s="451"/>
    </row>
    <row r="12776" spans="1:11">
      <c r="A12776" s="450"/>
      <c r="B12776" s="450"/>
      <c r="C12776" s="450"/>
      <c r="D12776" s="450"/>
      <c r="E12776" s="450"/>
      <c r="F12776" s="450"/>
      <c r="G12776" s="450"/>
      <c r="H12776" s="450"/>
      <c r="I12776" s="450"/>
      <c r="J12776" s="450"/>
      <c r="K12776" s="450"/>
    </row>
    <row r="12777" spans="1:11">
      <c r="A12777" s="451"/>
      <c r="B12777" s="451"/>
      <c r="C12777" s="451"/>
      <c r="D12777" s="451"/>
      <c r="E12777" s="451"/>
      <c r="F12777" s="451"/>
      <c r="G12777" s="451"/>
      <c r="H12777" s="451"/>
      <c r="I12777" s="451"/>
      <c r="J12777" s="451"/>
      <c r="K12777" s="451"/>
    </row>
    <row r="12778" spans="1:11">
      <c r="A12778" s="450"/>
      <c r="B12778" s="450"/>
      <c r="C12778" s="450"/>
      <c r="D12778" s="450"/>
      <c r="E12778" s="450"/>
      <c r="F12778" s="450"/>
      <c r="G12778" s="450"/>
      <c r="H12778" s="450"/>
      <c r="I12778" s="450"/>
      <c r="J12778" s="450"/>
      <c r="K12778" s="450"/>
    </row>
    <row r="12779" spans="1:11">
      <c r="A12779" s="451"/>
      <c r="B12779" s="451"/>
      <c r="C12779" s="451"/>
      <c r="D12779" s="451"/>
      <c r="E12779" s="451"/>
      <c r="F12779" s="451"/>
      <c r="G12779" s="451"/>
      <c r="H12779" s="451"/>
      <c r="I12779" s="451"/>
      <c r="J12779" s="451"/>
      <c r="K12779" s="451"/>
    </row>
    <row r="12780" spans="1:11">
      <c r="A12780" s="450"/>
      <c r="B12780" s="450"/>
      <c r="C12780" s="450"/>
      <c r="D12780" s="450"/>
      <c r="E12780" s="450"/>
      <c r="F12780" s="450"/>
      <c r="G12780" s="450"/>
      <c r="H12780" s="450"/>
      <c r="I12780" s="450"/>
      <c r="J12780" s="450"/>
      <c r="K12780" s="450"/>
    </row>
    <row r="12781" spans="1:11">
      <c r="A12781" s="451"/>
      <c r="B12781" s="451"/>
      <c r="C12781" s="451"/>
      <c r="D12781" s="451"/>
      <c r="E12781" s="451"/>
      <c r="F12781" s="451"/>
      <c r="G12781" s="451"/>
      <c r="H12781" s="451"/>
      <c r="I12781" s="451"/>
      <c r="J12781" s="451"/>
      <c r="K12781" s="451"/>
    </row>
    <row r="12782" spans="1:11">
      <c r="A12782" s="450"/>
      <c r="B12782" s="450"/>
      <c r="C12782" s="450"/>
      <c r="D12782" s="450"/>
      <c r="E12782" s="450"/>
      <c r="F12782" s="450"/>
      <c r="G12782" s="450"/>
      <c r="H12782" s="450"/>
      <c r="I12782" s="450"/>
      <c r="J12782" s="450"/>
      <c r="K12782" s="450"/>
    </row>
    <row r="12783" spans="1:11">
      <c r="A12783" s="451"/>
      <c r="B12783" s="451"/>
      <c r="C12783" s="451"/>
      <c r="D12783" s="451"/>
      <c r="E12783" s="451"/>
      <c r="F12783" s="451"/>
      <c r="G12783" s="451"/>
      <c r="H12783" s="451"/>
      <c r="I12783" s="451"/>
      <c r="J12783" s="451"/>
      <c r="K12783" s="451"/>
    </row>
    <row r="12784" spans="1:11">
      <c r="A12784" s="450"/>
      <c r="B12784" s="450"/>
      <c r="C12784" s="450"/>
      <c r="D12784" s="450"/>
      <c r="E12784" s="450"/>
      <c r="F12784" s="450"/>
      <c r="G12784" s="450"/>
      <c r="H12784" s="450"/>
      <c r="I12784" s="450"/>
      <c r="J12784" s="450"/>
      <c r="K12784" s="450"/>
    </row>
    <row r="12785" spans="1:11">
      <c r="A12785" s="451"/>
      <c r="B12785" s="451"/>
      <c r="C12785" s="451"/>
      <c r="D12785" s="451"/>
      <c r="E12785" s="451"/>
      <c r="F12785" s="451"/>
      <c r="G12785" s="451"/>
      <c r="H12785" s="451"/>
      <c r="I12785" s="451"/>
      <c r="J12785" s="451"/>
      <c r="K12785" s="451"/>
    </row>
    <row r="12786" spans="1:11">
      <c r="A12786" s="450"/>
      <c r="B12786" s="450"/>
      <c r="C12786" s="450"/>
      <c r="D12786" s="450"/>
      <c r="E12786" s="450"/>
      <c r="F12786" s="450"/>
      <c r="G12786" s="450"/>
      <c r="H12786" s="450"/>
      <c r="I12786" s="450"/>
      <c r="J12786" s="450"/>
      <c r="K12786" s="450"/>
    </row>
    <row r="12787" spans="1:11">
      <c r="A12787" s="451"/>
      <c r="B12787" s="451"/>
      <c r="C12787" s="451"/>
      <c r="D12787" s="451"/>
      <c r="E12787" s="451"/>
      <c r="F12787" s="451"/>
      <c r="G12787" s="451"/>
      <c r="H12787" s="451"/>
      <c r="I12787" s="451"/>
      <c r="J12787" s="451"/>
      <c r="K12787" s="451"/>
    </row>
    <row r="12788" spans="1:11">
      <c r="A12788" s="450"/>
      <c r="B12788" s="450"/>
      <c r="C12788" s="450"/>
      <c r="D12788" s="450"/>
      <c r="E12788" s="450"/>
      <c r="F12788" s="450"/>
      <c r="G12788" s="450"/>
      <c r="H12788" s="450"/>
      <c r="I12788" s="450"/>
      <c r="J12788" s="450"/>
      <c r="K12788" s="450"/>
    </row>
    <row r="12789" spans="1:11">
      <c r="A12789" s="451"/>
      <c r="B12789" s="451"/>
      <c r="C12789" s="451"/>
      <c r="D12789" s="451"/>
      <c r="E12789" s="451"/>
      <c r="F12789" s="451"/>
      <c r="G12789" s="451"/>
      <c r="H12789" s="451"/>
      <c r="I12789" s="451"/>
      <c r="J12789" s="451"/>
      <c r="K12789" s="451"/>
    </row>
    <row r="12790" spans="1:11">
      <c r="A12790" s="450"/>
      <c r="B12790" s="450"/>
      <c r="C12790" s="450"/>
      <c r="D12790" s="450"/>
      <c r="E12790" s="450"/>
      <c r="F12790" s="450"/>
      <c r="G12790" s="450"/>
      <c r="H12790" s="450"/>
      <c r="I12790" s="450"/>
      <c r="J12790" s="450"/>
      <c r="K12790" s="450"/>
    </row>
    <row r="12791" spans="1:11">
      <c r="A12791" s="451"/>
      <c r="B12791" s="451"/>
      <c r="C12791" s="451"/>
      <c r="D12791" s="451"/>
      <c r="E12791" s="451"/>
      <c r="F12791" s="451"/>
      <c r="G12791" s="451"/>
      <c r="H12791" s="451"/>
      <c r="I12791" s="451"/>
      <c r="J12791" s="451"/>
      <c r="K12791" s="451"/>
    </row>
    <row r="12792" spans="1:11">
      <c r="A12792" s="450"/>
      <c r="B12792" s="450"/>
      <c r="C12792" s="450"/>
      <c r="D12792" s="450"/>
      <c r="E12792" s="450"/>
      <c r="F12792" s="450"/>
      <c r="G12792" s="450"/>
      <c r="H12792" s="450"/>
      <c r="I12792" s="450"/>
      <c r="J12792" s="450"/>
      <c r="K12792" s="450"/>
    </row>
    <row r="12793" spans="1:11">
      <c r="A12793" s="451"/>
      <c r="B12793" s="451"/>
      <c r="C12793" s="451"/>
      <c r="D12793" s="451"/>
      <c r="E12793" s="451"/>
      <c r="F12793" s="451"/>
      <c r="G12793" s="451"/>
      <c r="H12793" s="451"/>
      <c r="I12793" s="451"/>
      <c r="J12793" s="451"/>
      <c r="K12793" s="451"/>
    </row>
    <row r="12794" spans="1:11">
      <c r="A12794" s="450"/>
      <c r="B12794" s="450"/>
      <c r="C12794" s="450"/>
      <c r="D12794" s="450"/>
      <c r="E12794" s="450"/>
      <c r="F12794" s="450"/>
      <c r="G12794" s="450"/>
      <c r="H12794" s="450"/>
      <c r="I12794" s="450"/>
      <c r="J12794" s="450"/>
      <c r="K12794" s="450"/>
    </row>
    <row r="12795" spans="1:11">
      <c r="A12795" s="451"/>
      <c r="B12795" s="451"/>
      <c r="C12795" s="451"/>
      <c r="D12795" s="451"/>
      <c r="E12795" s="451"/>
      <c r="F12795" s="451"/>
      <c r="G12795" s="451"/>
      <c r="H12795" s="451"/>
      <c r="I12795" s="451"/>
      <c r="J12795" s="451"/>
      <c r="K12795" s="451"/>
    </row>
    <row r="12796" spans="1:11">
      <c r="A12796" s="450"/>
      <c r="B12796" s="450"/>
      <c r="C12796" s="450"/>
      <c r="D12796" s="450"/>
      <c r="E12796" s="450"/>
      <c r="F12796" s="450"/>
      <c r="G12796" s="450"/>
      <c r="H12796" s="450"/>
      <c r="I12796" s="450"/>
      <c r="J12796" s="450"/>
      <c r="K12796" s="450"/>
    </row>
    <row r="12797" spans="1:11">
      <c r="A12797" s="451"/>
      <c r="B12797" s="451"/>
      <c r="C12797" s="451"/>
      <c r="D12797" s="451"/>
      <c r="E12797" s="451"/>
      <c r="F12797" s="451"/>
      <c r="G12797" s="451"/>
      <c r="H12797" s="451"/>
      <c r="I12797" s="451"/>
      <c r="J12797" s="451"/>
      <c r="K12797" s="451"/>
    </row>
    <row r="12798" spans="1:11">
      <c r="A12798" s="450"/>
      <c r="B12798" s="450"/>
      <c r="C12798" s="450"/>
      <c r="D12798" s="450"/>
      <c r="E12798" s="450"/>
      <c r="F12798" s="450"/>
      <c r="G12798" s="450"/>
      <c r="H12798" s="450"/>
      <c r="I12798" s="450"/>
      <c r="J12798" s="450"/>
      <c r="K12798" s="450"/>
    </row>
    <row r="12799" spans="1:11">
      <c r="A12799" s="451"/>
      <c r="B12799" s="451"/>
      <c r="C12799" s="451"/>
      <c r="D12799" s="451"/>
      <c r="E12799" s="451"/>
      <c r="F12799" s="451"/>
      <c r="G12799" s="451"/>
      <c r="H12799" s="451"/>
      <c r="I12799" s="451"/>
      <c r="J12799" s="451"/>
      <c r="K12799" s="451"/>
    </row>
    <row r="12800" spans="1:11">
      <c r="A12800" s="450"/>
      <c r="B12800" s="450"/>
      <c r="C12800" s="450"/>
      <c r="D12800" s="450"/>
      <c r="E12800" s="450"/>
      <c r="F12800" s="450"/>
      <c r="G12800" s="450"/>
      <c r="H12800" s="450"/>
      <c r="I12800" s="450"/>
      <c r="J12800" s="450"/>
      <c r="K12800" s="450"/>
    </row>
    <row r="12801" spans="1:11">
      <c r="A12801" s="451"/>
      <c r="B12801" s="451"/>
      <c r="C12801" s="451"/>
      <c r="D12801" s="451"/>
      <c r="E12801" s="451"/>
      <c r="F12801" s="451"/>
      <c r="G12801" s="451"/>
      <c r="H12801" s="451"/>
      <c r="I12801" s="451"/>
      <c r="J12801" s="451"/>
      <c r="K12801" s="451"/>
    </row>
    <row r="12802" spans="1:11">
      <c r="A12802" s="450"/>
      <c r="B12802" s="450"/>
      <c r="C12802" s="450"/>
      <c r="D12802" s="450"/>
      <c r="E12802" s="450"/>
      <c r="F12802" s="450"/>
      <c r="G12802" s="450"/>
      <c r="H12802" s="450"/>
      <c r="I12802" s="450"/>
      <c r="J12802" s="450"/>
      <c r="K12802" s="450"/>
    </row>
    <row r="12803" spans="1:11">
      <c r="A12803" s="451"/>
      <c r="B12803" s="451"/>
      <c r="C12803" s="451"/>
      <c r="D12803" s="451"/>
      <c r="E12803" s="451"/>
      <c r="F12803" s="451"/>
      <c r="G12803" s="451"/>
      <c r="H12803" s="451"/>
      <c r="I12803" s="451"/>
      <c r="J12803" s="451"/>
      <c r="K12803" s="451"/>
    </row>
    <row r="12804" spans="1:11">
      <c r="A12804" s="450"/>
      <c r="B12804" s="450"/>
      <c r="C12804" s="450"/>
      <c r="D12804" s="450"/>
      <c r="E12804" s="450"/>
      <c r="F12804" s="450"/>
      <c r="G12804" s="450"/>
      <c r="H12804" s="450"/>
      <c r="I12804" s="450"/>
      <c r="J12804" s="450"/>
      <c r="K12804" s="450"/>
    </row>
    <row r="12805" spans="1:11">
      <c r="A12805" s="451"/>
      <c r="B12805" s="451"/>
      <c r="C12805" s="451"/>
      <c r="D12805" s="451"/>
      <c r="E12805" s="451"/>
      <c r="F12805" s="451"/>
      <c r="G12805" s="451"/>
      <c r="H12805" s="451"/>
      <c r="I12805" s="451"/>
      <c r="J12805" s="451"/>
      <c r="K12805" s="451"/>
    </row>
    <row r="12806" spans="1:11">
      <c r="A12806" s="450"/>
      <c r="B12806" s="450"/>
      <c r="C12806" s="450"/>
      <c r="D12806" s="450"/>
      <c r="E12806" s="450"/>
      <c r="F12806" s="450"/>
      <c r="G12806" s="450"/>
      <c r="H12806" s="450"/>
      <c r="I12806" s="450"/>
      <c r="J12806" s="450"/>
      <c r="K12806" s="450"/>
    </row>
    <row r="12807" spans="1:11">
      <c r="A12807" s="451"/>
      <c r="B12807" s="451"/>
      <c r="C12807" s="451"/>
      <c r="D12807" s="451"/>
      <c r="E12807" s="451"/>
      <c r="F12807" s="451"/>
      <c r="G12807" s="451"/>
      <c r="H12807" s="451"/>
      <c r="I12807" s="451"/>
      <c r="J12807" s="451"/>
      <c r="K12807" s="451"/>
    </row>
    <row r="12808" spans="1:11">
      <c r="A12808" s="450"/>
      <c r="B12808" s="450"/>
      <c r="C12808" s="450"/>
      <c r="D12808" s="450"/>
      <c r="E12808" s="450"/>
      <c r="F12808" s="450"/>
      <c r="G12808" s="450"/>
      <c r="H12808" s="450"/>
      <c r="I12808" s="450"/>
      <c r="J12808" s="450"/>
      <c r="K12808" s="450"/>
    </row>
    <row r="12809" spans="1:11">
      <c r="A12809" s="451"/>
      <c r="B12809" s="451"/>
      <c r="C12809" s="451"/>
      <c r="D12809" s="451"/>
      <c r="E12809" s="451"/>
      <c r="F12809" s="451"/>
      <c r="G12809" s="451"/>
      <c r="H12809" s="451"/>
      <c r="I12809" s="451"/>
      <c r="J12809" s="451"/>
      <c r="K12809" s="451"/>
    </row>
    <row r="12810" spans="1:11">
      <c r="A12810" s="450"/>
      <c r="B12810" s="450"/>
      <c r="C12810" s="450"/>
      <c r="D12810" s="450"/>
      <c r="E12810" s="450"/>
      <c r="F12810" s="450"/>
      <c r="G12810" s="450"/>
      <c r="H12810" s="450"/>
      <c r="I12810" s="450"/>
      <c r="J12810" s="450"/>
      <c r="K12810" s="450"/>
    </row>
    <row r="12811" spans="1:11">
      <c r="A12811" s="451"/>
      <c r="B12811" s="451"/>
      <c r="C12811" s="451"/>
      <c r="D12811" s="451"/>
      <c r="E12811" s="451"/>
      <c r="F12811" s="451"/>
      <c r="G12811" s="451"/>
      <c r="H12811" s="451"/>
      <c r="I12811" s="451"/>
      <c r="J12811" s="451"/>
      <c r="K12811" s="451"/>
    </row>
    <row r="12812" spans="1:11">
      <c r="A12812" s="450"/>
      <c r="B12812" s="450"/>
      <c r="C12812" s="450"/>
      <c r="D12812" s="450"/>
      <c r="E12812" s="450"/>
      <c r="F12812" s="450"/>
      <c r="G12812" s="450"/>
      <c r="H12812" s="450"/>
      <c r="I12812" s="450"/>
      <c r="J12812" s="450"/>
      <c r="K12812" s="450"/>
    </row>
    <row r="12813" spans="1:11">
      <c r="A12813" s="451"/>
      <c r="B12813" s="451"/>
      <c r="C12813" s="451"/>
      <c r="D12813" s="451"/>
      <c r="E12813" s="451"/>
      <c r="F12813" s="451"/>
      <c r="G12813" s="451"/>
      <c r="H12813" s="451"/>
      <c r="I12813" s="451"/>
      <c r="J12813" s="451"/>
      <c r="K12813" s="451"/>
    </row>
    <row r="12814" spans="1:11">
      <c r="A12814" s="450"/>
      <c r="B12814" s="450"/>
      <c r="C12814" s="450"/>
      <c r="D12814" s="450"/>
      <c r="E12814" s="450"/>
      <c r="F12814" s="450"/>
      <c r="G12814" s="450"/>
      <c r="H12814" s="450"/>
      <c r="I12814" s="450"/>
      <c r="J12814" s="450"/>
      <c r="K12814" s="450"/>
    </row>
    <row r="12815" spans="1:11">
      <c r="A12815" s="451"/>
      <c r="B12815" s="451"/>
      <c r="C12815" s="451"/>
      <c r="D12815" s="451"/>
      <c r="E12815" s="451"/>
      <c r="F12815" s="451"/>
      <c r="G12815" s="451"/>
      <c r="H12815" s="451"/>
      <c r="I12815" s="451"/>
      <c r="J12815" s="451"/>
      <c r="K12815" s="451"/>
    </row>
    <row r="12816" spans="1:11">
      <c r="A12816" s="450"/>
      <c r="B12816" s="450"/>
      <c r="C12816" s="450"/>
      <c r="D12816" s="450"/>
      <c r="E12816" s="450"/>
      <c r="F12816" s="450"/>
      <c r="G12816" s="450"/>
      <c r="H12816" s="450"/>
      <c r="I12816" s="450"/>
      <c r="J12816" s="450"/>
      <c r="K12816" s="450"/>
    </row>
    <row r="12817" spans="1:11">
      <c r="A12817" s="451"/>
      <c r="B12817" s="451"/>
      <c r="C12817" s="451"/>
      <c r="D12817" s="451"/>
      <c r="E12817" s="451"/>
      <c r="F12817" s="451"/>
      <c r="G12817" s="451"/>
      <c r="H12817" s="451"/>
      <c r="I12817" s="451"/>
      <c r="J12817" s="451"/>
      <c r="K12817" s="451"/>
    </row>
    <row r="12818" spans="1:11">
      <c r="A12818" s="450"/>
      <c r="B12818" s="450"/>
      <c r="C12818" s="450"/>
      <c r="D12818" s="450"/>
      <c r="E12818" s="450"/>
      <c r="F12818" s="450"/>
      <c r="G12818" s="450"/>
      <c r="H12818" s="450"/>
      <c r="I12818" s="450"/>
      <c r="J12818" s="450"/>
      <c r="K12818" s="450"/>
    </row>
    <row r="12819" spans="1:11">
      <c r="A12819" s="451"/>
      <c r="B12819" s="451"/>
      <c r="C12819" s="451"/>
      <c r="D12819" s="451"/>
      <c r="E12819" s="451"/>
      <c r="F12819" s="451"/>
      <c r="G12819" s="451"/>
      <c r="H12819" s="451"/>
      <c r="I12819" s="451"/>
      <c r="J12819" s="451"/>
      <c r="K12819" s="451"/>
    </row>
    <row r="12820" spans="1:11">
      <c r="A12820" s="450"/>
      <c r="B12820" s="450"/>
      <c r="C12820" s="450"/>
      <c r="D12820" s="450"/>
      <c r="E12820" s="450"/>
      <c r="F12820" s="450"/>
      <c r="G12820" s="450"/>
      <c r="H12820" s="450"/>
      <c r="I12820" s="450"/>
      <c r="J12820" s="450"/>
      <c r="K12820" s="450"/>
    </row>
    <row r="12821" spans="1:11">
      <c r="A12821" s="451"/>
      <c r="B12821" s="451"/>
      <c r="C12821" s="451"/>
      <c r="D12821" s="451"/>
      <c r="E12821" s="451"/>
      <c r="F12821" s="451"/>
      <c r="G12821" s="451"/>
      <c r="H12821" s="451"/>
      <c r="I12821" s="451"/>
      <c r="J12821" s="451"/>
      <c r="K12821" s="451"/>
    </row>
    <row r="12822" spans="1:11">
      <c r="A12822" s="450"/>
      <c r="B12822" s="450"/>
      <c r="C12822" s="450"/>
      <c r="D12822" s="450"/>
      <c r="E12822" s="450"/>
      <c r="F12822" s="450"/>
      <c r="G12822" s="450"/>
      <c r="H12822" s="450"/>
      <c r="I12822" s="450"/>
      <c r="J12822" s="450"/>
      <c r="K12822" s="450"/>
    </row>
    <row r="12823" spans="1:11">
      <c r="A12823" s="451"/>
      <c r="B12823" s="451"/>
      <c r="C12823" s="451"/>
      <c r="D12823" s="451"/>
      <c r="E12823" s="451"/>
      <c r="F12823" s="451"/>
      <c r="G12823" s="451"/>
      <c r="H12823" s="451"/>
      <c r="I12823" s="451"/>
      <c r="J12823" s="451"/>
      <c r="K12823" s="451"/>
    </row>
    <row r="12824" spans="1:11">
      <c r="A12824" s="450"/>
      <c r="B12824" s="450"/>
      <c r="C12824" s="450"/>
      <c r="D12824" s="450"/>
      <c r="E12824" s="450"/>
      <c r="F12824" s="450"/>
      <c r="G12824" s="450"/>
      <c r="H12824" s="450"/>
      <c r="I12824" s="450"/>
      <c r="J12824" s="450"/>
      <c r="K12824" s="450"/>
    </row>
    <row r="12825" spans="1:11">
      <c r="A12825" s="451"/>
      <c r="B12825" s="451"/>
      <c r="C12825" s="451"/>
      <c r="D12825" s="451"/>
      <c r="E12825" s="451"/>
      <c r="F12825" s="451"/>
      <c r="G12825" s="451"/>
      <c r="H12825" s="451"/>
      <c r="I12825" s="451"/>
      <c r="J12825" s="451"/>
      <c r="K12825" s="451"/>
    </row>
    <row r="12826" spans="1:11">
      <c r="A12826" s="450"/>
      <c r="B12826" s="450"/>
      <c r="C12826" s="450"/>
      <c r="D12826" s="450"/>
      <c r="E12826" s="450"/>
      <c r="F12826" s="450"/>
      <c r="G12826" s="450"/>
      <c r="H12826" s="450"/>
      <c r="I12826" s="450"/>
      <c r="J12826" s="450"/>
      <c r="K12826" s="450"/>
    </row>
    <row r="12827" spans="1:11">
      <c r="A12827" s="451"/>
      <c r="B12827" s="451"/>
      <c r="C12827" s="451"/>
      <c r="D12827" s="451"/>
      <c r="E12827" s="451"/>
      <c r="F12827" s="451"/>
      <c r="G12827" s="451"/>
      <c r="H12827" s="451"/>
      <c r="I12827" s="451"/>
      <c r="J12827" s="451"/>
      <c r="K12827" s="451"/>
    </row>
    <row r="12828" spans="1:11">
      <c r="A12828" s="450"/>
      <c r="B12828" s="450"/>
      <c r="C12828" s="450"/>
      <c r="D12828" s="450"/>
      <c r="E12828" s="450"/>
      <c r="F12828" s="450"/>
      <c r="G12828" s="450"/>
      <c r="H12828" s="450"/>
      <c r="I12828" s="450"/>
      <c r="J12828" s="450"/>
      <c r="K12828" s="450"/>
    </row>
    <row r="12829" spans="1:11">
      <c r="A12829" s="451"/>
      <c r="B12829" s="451"/>
      <c r="C12829" s="451"/>
      <c r="D12829" s="451"/>
      <c r="E12829" s="451"/>
      <c r="F12829" s="451"/>
      <c r="G12829" s="451"/>
      <c r="H12829" s="451"/>
      <c r="I12829" s="451"/>
      <c r="J12829" s="451"/>
      <c r="K12829" s="451"/>
    </row>
    <row r="12830" spans="1:11">
      <c r="A12830" s="450"/>
      <c r="B12830" s="450"/>
      <c r="C12830" s="450"/>
      <c r="D12830" s="450"/>
      <c r="E12830" s="450"/>
      <c r="F12830" s="450"/>
      <c r="G12830" s="450"/>
      <c r="H12830" s="450"/>
      <c r="I12830" s="450"/>
      <c r="J12830" s="450"/>
      <c r="K12830" s="450"/>
    </row>
    <row r="12831" spans="1:11">
      <c r="A12831" s="451"/>
      <c r="B12831" s="451"/>
      <c r="C12831" s="451"/>
      <c r="D12831" s="451"/>
      <c r="E12831" s="451"/>
      <c r="F12831" s="451"/>
      <c r="G12831" s="451"/>
      <c r="H12831" s="451"/>
      <c r="I12831" s="451"/>
      <c r="J12831" s="451"/>
      <c r="K12831" s="451"/>
    </row>
    <row r="12832" spans="1:11">
      <c r="A12832" s="450"/>
      <c r="B12832" s="450"/>
      <c r="C12832" s="450"/>
      <c r="D12832" s="450"/>
      <c r="E12832" s="450"/>
      <c r="F12832" s="450"/>
      <c r="G12832" s="450"/>
      <c r="H12832" s="450"/>
      <c r="I12832" s="450"/>
      <c r="J12832" s="450"/>
      <c r="K12832" s="450"/>
    </row>
    <row r="12833" spans="1:11">
      <c r="A12833" s="451"/>
      <c r="B12833" s="451"/>
      <c r="C12833" s="451"/>
      <c r="D12833" s="451"/>
      <c r="E12833" s="451"/>
      <c r="F12833" s="451"/>
      <c r="G12833" s="451"/>
      <c r="H12833" s="451"/>
      <c r="I12833" s="451"/>
      <c r="J12833" s="451"/>
      <c r="K12833" s="451"/>
    </row>
    <row r="12834" spans="1:11">
      <c r="A12834" s="450"/>
      <c r="B12834" s="450"/>
      <c r="C12834" s="450"/>
      <c r="D12834" s="450"/>
      <c r="E12834" s="450"/>
      <c r="F12834" s="450"/>
      <c r="G12834" s="450"/>
      <c r="H12834" s="450"/>
      <c r="I12834" s="450"/>
      <c r="J12834" s="450"/>
      <c r="K12834" s="450"/>
    </row>
    <row r="12835" spans="1:11">
      <c r="A12835" s="451"/>
      <c r="B12835" s="451"/>
      <c r="C12835" s="451"/>
      <c r="D12835" s="451"/>
      <c r="E12835" s="451"/>
      <c r="F12835" s="451"/>
      <c r="G12835" s="451"/>
      <c r="H12835" s="451"/>
      <c r="I12835" s="451"/>
      <c r="J12835" s="451"/>
      <c r="K12835" s="451"/>
    </row>
    <row r="12836" spans="1:11">
      <c r="A12836" s="450"/>
      <c r="B12836" s="450"/>
      <c r="C12836" s="450"/>
      <c r="D12836" s="450"/>
      <c r="E12836" s="450"/>
      <c r="F12836" s="450"/>
      <c r="G12836" s="450"/>
      <c r="H12836" s="450"/>
      <c r="I12836" s="450"/>
      <c r="J12836" s="450"/>
      <c r="K12836" s="450"/>
    </row>
    <row r="12837" spans="1:11">
      <c r="A12837" s="451"/>
      <c r="B12837" s="451"/>
      <c r="C12837" s="451"/>
      <c r="D12837" s="451"/>
      <c r="E12837" s="451"/>
      <c r="F12837" s="451"/>
      <c r="G12837" s="451"/>
      <c r="H12837" s="451"/>
      <c r="I12837" s="451"/>
      <c r="J12837" s="451"/>
      <c r="K12837" s="451"/>
    </row>
    <row r="12838" spans="1:11">
      <c r="A12838" s="450"/>
      <c r="B12838" s="450"/>
      <c r="C12838" s="450"/>
      <c r="D12838" s="450"/>
      <c r="E12838" s="450"/>
      <c r="F12838" s="450"/>
      <c r="G12838" s="450"/>
      <c r="H12838" s="450"/>
      <c r="I12838" s="450"/>
      <c r="J12838" s="450"/>
      <c r="K12838" s="450"/>
    </row>
    <row r="12839" spans="1:11">
      <c r="A12839" s="451"/>
      <c r="B12839" s="451"/>
      <c r="C12839" s="451"/>
      <c r="D12839" s="451"/>
      <c r="E12839" s="451"/>
      <c r="F12839" s="451"/>
      <c r="G12839" s="451"/>
      <c r="H12839" s="451"/>
      <c r="I12839" s="451"/>
      <c r="J12839" s="451"/>
      <c r="K12839" s="451"/>
    </row>
    <row r="12840" spans="1:11">
      <c r="A12840" s="450"/>
      <c r="B12840" s="450"/>
      <c r="C12840" s="450"/>
      <c r="D12840" s="450"/>
      <c r="E12840" s="450"/>
      <c r="F12840" s="450"/>
      <c r="G12840" s="450"/>
      <c r="H12840" s="450"/>
      <c r="I12840" s="450"/>
      <c r="J12840" s="450"/>
      <c r="K12840" s="450"/>
    </row>
    <row r="12841" spans="1:11">
      <c r="A12841" s="451"/>
      <c r="B12841" s="451"/>
      <c r="C12841" s="451"/>
      <c r="D12841" s="451"/>
      <c r="E12841" s="451"/>
      <c r="F12841" s="451"/>
      <c r="G12841" s="451"/>
      <c r="H12841" s="451"/>
      <c r="I12841" s="451"/>
      <c r="J12841" s="451"/>
      <c r="K12841" s="451"/>
    </row>
    <row r="12842" spans="1:11">
      <c r="A12842" s="450"/>
      <c r="B12842" s="450"/>
      <c r="C12842" s="450"/>
      <c r="D12842" s="450"/>
      <c r="E12842" s="450"/>
      <c r="F12842" s="450"/>
      <c r="G12842" s="450"/>
      <c r="H12842" s="450"/>
      <c r="I12842" s="450"/>
      <c r="J12842" s="450"/>
      <c r="K12842" s="450"/>
    </row>
    <row r="12843" spans="1:11">
      <c r="A12843" s="451"/>
      <c r="B12843" s="451"/>
      <c r="C12843" s="451"/>
      <c r="D12843" s="451"/>
      <c r="E12843" s="451"/>
      <c r="F12843" s="451"/>
      <c r="G12843" s="451"/>
      <c r="H12843" s="451"/>
      <c r="I12843" s="451"/>
      <c r="J12843" s="451"/>
      <c r="K12843" s="451"/>
    </row>
    <row r="12844" spans="1:11">
      <c r="A12844" s="450"/>
      <c r="B12844" s="450"/>
      <c r="C12844" s="450"/>
      <c r="D12844" s="450"/>
      <c r="E12844" s="450"/>
      <c r="F12844" s="450"/>
      <c r="G12844" s="450"/>
      <c r="H12844" s="450"/>
      <c r="I12844" s="450"/>
      <c r="J12844" s="450"/>
      <c r="K12844" s="450"/>
    </row>
    <row r="12845" spans="1:11">
      <c r="A12845" s="451"/>
      <c r="B12845" s="451"/>
      <c r="C12845" s="451"/>
      <c r="D12845" s="451"/>
      <c r="E12845" s="451"/>
      <c r="F12845" s="451"/>
      <c r="G12845" s="451"/>
      <c r="H12845" s="451"/>
      <c r="I12845" s="451"/>
      <c r="J12845" s="451"/>
      <c r="K12845" s="451"/>
    </row>
    <row r="12846" spans="1:11">
      <c r="A12846" s="450"/>
      <c r="B12846" s="450"/>
      <c r="C12846" s="450"/>
      <c r="D12846" s="450"/>
      <c r="E12846" s="450"/>
      <c r="F12846" s="450"/>
      <c r="G12846" s="450"/>
      <c r="H12846" s="450"/>
      <c r="I12846" s="450"/>
      <c r="J12846" s="450"/>
      <c r="K12846" s="450"/>
    </row>
    <row r="12847" spans="1:11">
      <c r="A12847" s="451"/>
      <c r="B12847" s="451"/>
      <c r="C12847" s="451"/>
      <c r="D12847" s="451"/>
      <c r="E12847" s="451"/>
      <c r="F12847" s="451"/>
      <c r="G12847" s="451"/>
      <c r="H12847" s="451"/>
      <c r="I12847" s="451"/>
      <c r="J12847" s="451"/>
      <c r="K12847" s="451"/>
    </row>
    <row r="12848" spans="1:11">
      <c r="A12848" s="450"/>
      <c r="B12848" s="450"/>
      <c r="C12848" s="450"/>
      <c r="D12848" s="450"/>
      <c r="E12848" s="450"/>
      <c r="F12848" s="450"/>
      <c r="G12848" s="450"/>
      <c r="H12848" s="450"/>
      <c r="I12848" s="450"/>
      <c r="J12848" s="450"/>
      <c r="K12848" s="450"/>
    </row>
    <row r="12849" spans="1:11">
      <c r="A12849" s="451"/>
      <c r="B12849" s="451"/>
      <c r="C12849" s="451"/>
      <c r="D12849" s="451"/>
      <c r="E12849" s="451"/>
      <c r="F12849" s="451"/>
      <c r="G12849" s="451"/>
      <c r="H12849" s="451"/>
      <c r="I12849" s="451"/>
      <c r="J12849" s="451"/>
      <c r="K12849" s="451"/>
    </row>
    <row r="12850" spans="1:11">
      <c r="A12850" s="450"/>
      <c r="B12850" s="450"/>
      <c r="C12850" s="450"/>
      <c r="D12850" s="450"/>
      <c r="E12850" s="450"/>
      <c r="F12850" s="450"/>
      <c r="G12850" s="450"/>
      <c r="H12850" s="450"/>
      <c r="I12850" s="450"/>
      <c r="J12850" s="450"/>
      <c r="K12850" s="450"/>
    </row>
    <row r="12851" spans="1:11">
      <c r="A12851" s="451"/>
      <c r="B12851" s="451"/>
      <c r="C12851" s="451"/>
      <c r="D12851" s="451"/>
      <c r="E12851" s="451"/>
      <c r="F12851" s="451"/>
      <c r="G12851" s="451"/>
      <c r="H12851" s="451"/>
      <c r="I12851" s="451"/>
      <c r="J12851" s="451"/>
      <c r="K12851" s="451"/>
    </row>
    <row r="12852" spans="1:11">
      <c r="A12852" s="450"/>
      <c r="B12852" s="450"/>
      <c r="C12852" s="450"/>
      <c r="D12852" s="450"/>
      <c r="E12852" s="450"/>
      <c r="F12852" s="450"/>
      <c r="G12852" s="450"/>
      <c r="H12852" s="450"/>
      <c r="I12852" s="450"/>
      <c r="J12852" s="450"/>
      <c r="K12852" s="450"/>
    </row>
    <row r="12853" spans="1:11">
      <c r="A12853" s="451"/>
      <c r="B12853" s="451"/>
      <c r="C12853" s="451"/>
      <c r="D12853" s="451"/>
      <c r="E12853" s="451"/>
      <c r="F12853" s="451"/>
      <c r="G12853" s="451"/>
      <c r="H12853" s="451"/>
      <c r="I12853" s="451"/>
      <c r="J12853" s="451"/>
      <c r="K12853" s="451"/>
    </row>
    <row r="12854" spans="1:11">
      <c r="A12854" s="450"/>
      <c r="B12854" s="450"/>
      <c r="C12854" s="450"/>
      <c r="D12854" s="450"/>
      <c r="E12854" s="450"/>
      <c r="F12854" s="450"/>
      <c r="G12854" s="450"/>
      <c r="H12854" s="450"/>
      <c r="I12854" s="450"/>
      <c r="J12854" s="450"/>
      <c r="K12854" s="450"/>
    </row>
    <row r="12855" spans="1:11">
      <c r="A12855" s="451"/>
      <c r="B12855" s="451"/>
      <c r="C12855" s="451"/>
      <c r="D12855" s="451"/>
      <c r="E12855" s="451"/>
      <c r="F12855" s="451"/>
      <c r="G12855" s="451"/>
      <c r="H12855" s="451"/>
      <c r="I12855" s="451"/>
      <c r="J12855" s="451"/>
      <c r="K12855" s="451"/>
    </row>
    <row r="12856" spans="1:11">
      <c r="A12856" s="450"/>
      <c r="B12856" s="450"/>
      <c r="C12856" s="450"/>
      <c r="D12856" s="450"/>
      <c r="E12856" s="450"/>
      <c r="F12856" s="450"/>
      <c r="G12856" s="450"/>
      <c r="H12856" s="450"/>
      <c r="I12856" s="450"/>
      <c r="J12856" s="450"/>
      <c r="K12856" s="450"/>
    </row>
    <row r="12857" spans="1:11">
      <c r="A12857" s="451"/>
      <c r="B12857" s="451"/>
      <c r="C12857" s="451"/>
      <c r="D12857" s="451"/>
      <c r="E12857" s="451"/>
      <c r="F12857" s="451"/>
      <c r="G12857" s="451"/>
      <c r="H12857" s="451"/>
      <c r="I12857" s="451"/>
      <c r="J12857" s="451"/>
      <c r="K12857" s="451"/>
    </row>
    <row r="12858" spans="1:11">
      <c r="A12858" s="450"/>
      <c r="B12858" s="450"/>
      <c r="C12858" s="450"/>
      <c r="D12858" s="450"/>
      <c r="E12858" s="450"/>
      <c r="F12858" s="450"/>
      <c r="G12858" s="450"/>
      <c r="H12858" s="450"/>
      <c r="I12858" s="450"/>
      <c r="J12858" s="450"/>
      <c r="K12858" s="450"/>
    </row>
    <row r="12859" spans="1:11">
      <c r="A12859" s="451"/>
      <c r="B12859" s="451"/>
      <c r="C12859" s="451"/>
      <c r="D12859" s="451"/>
      <c r="E12859" s="451"/>
      <c r="F12859" s="451"/>
      <c r="G12859" s="451"/>
      <c r="H12859" s="451"/>
      <c r="I12859" s="451"/>
      <c r="J12859" s="451"/>
      <c r="K12859" s="451"/>
    </row>
    <row r="12860" spans="1:11">
      <c r="A12860" s="450"/>
      <c r="B12860" s="450"/>
      <c r="C12860" s="450"/>
      <c r="D12860" s="450"/>
      <c r="E12860" s="450"/>
      <c r="F12860" s="450"/>
      <c r="G12860" s="450"/>
      <c r="H12860" s="450"/>
      <c r="I12860" s="450"/>
      <c r="J12860" s="450"/>
      <c r="K12860" s="450"/>
    </row>
    <row r="12861" spans="1:11">
      <c r="A12861" s="451"/>
      <c r="B12861" s="451"/>
      <c r="C12861" s="451"/>
      <c r="D12861" s="451"/>
      <c r="E12861" s="451"/>
      <c r="F12861" s="451"/>
      <c r="G12861" s="451"/>
      <c r="H12861" s="451"/>
      <c r="I12861" s="451"/>
      <c r="J12861" s="451"/>
      <c r="K12861" s="451"/>
    </row>
    <row r="12862" spans="1:11">
      <c r="A12862" s="450"/>
      <c r="B12862" s="450"/>
      <c r="C12862" s="450"/>
      <c r="D12862" s="450"/>
      <c r="E12862" s="450"/>
      <c r="F12862" s="450"/>
      <c r="G12862" s="450"/>
      <c r="H12862" s="450"/>
      <c r="I12862" s="450"/>
      <c r="J12862" s="450"/>
      <c r="K12862" s="450"/>
    </row>
    <row r="12863" spans="1:11">
      <c r="A12863" s="451"/>
      <c r="B12863" s="451"/>
      <c r="C12863" s="451"/>
      <c r="D12863" s="451"/>
      <c r="E12863" s="451"/>
      <c r="F12863" s="451"/>
      <c r="G12863" s="451"/>
      <c r="H12863" s="451"/>
      <c r="I12863" s="451"/>
      <c r="J12863" s="451"/>
      <c r="K12863" s="451"/>
    </row>
    <row r="12864" spans="1:11">
      <c r="A12864" s="450"/>
      <c r="B12864" s="450"/>
      <c r="C12864" s="450"/>
      <c r="D12864" s="450"/>
      <c r="E12864" s="450"/>
      <c r="F12864" s="450"/>
      <c r="G12864" s="450"/>
      <c r="H12864" s="450"/>
      <c r="I12864" s="450"/>
      <c r="J12864" s="450"/>
      <c r="K12864" s="450"/>
    </row>
    <row r="12865" spans="1:11">
      <c r="A12865" s="451"/>
      <c r="B12865" s="451"/>
      <c r="C12865" s="451"/>
      <c r="D12865" s="451"/>
      <c r="E12865" s="451"/>
      <c r="F12865" s="451"/>
      <c r="G12865" s="451"/>
      <c r="H12865" s="451"/>
      <c r="I12865" s="451"/>
      <c r="J12865" s="451"/>
      <c r="K12865" s="451"/>
    </row>
    <row r="12866" spans="1:11">
      <c r="A12866" s="450"/>
      <c r="B12866" s="450"/>
      <c r="C12866" s="450"/>
      <c r="D12866" s="450"/>
      <c r="E12866" s="450"/>
      <c r="F12866" s="450"/>
      <c r="G12866" s="450"/>
      <c r="H12866" s="450"/>
      <c r="I12866" s="450"/>
      <c r="J12866" s="450"/>
      <c r="K12866" s="450"/>
    </row>
    <row r="12867" spans="1:11">
      <c r="A12867" s="451"/>
      <c r="B12867" s="451"/>
      <c r="C12867" s="451"/>
      <c r="D12867" s="451"/>
      <c r="E12867" s="451"/>
      <c r="F12867" s="451"/>
      <c r="G12867" s="451"/>
      <c r="H12867" s="451"/>
      <c r="I12867" s="451"/>
      <c r="J12867" s="451"/>
      <c r="K12867" s="451"/>
    </row>
    <row r="12868" spans="1:11">
      <c r="A12868" s="450"/>
      <c r="B12868" s="450"/>
      <c r="C12868" s="450"/>
      <c r="D12868" s="450"/>
      <c r="E12868" s="450"/>
      <c r="F12868" s="450"/>
      <c r="G12868" s="450"/>
      <c r="H12868" s="450"/>
      <c r="I12868" s="450"/>
      <c r="J12868" s="450"/>
      <c r="K12868" s="450"/>
    </row>
    <row r="12869" spans="1:11">
      <c r="A12869" s="451"/>
      <c r="B12869" s="451"/>
      <c r="C12869" s="451"/>
      <c r="D12869" s="451"/>
      <c r="E12869" s="451"/>
      <c r="F12869" s="451"/>
      <c r="G12869" s="451"/>
      <c r="H12869" s="451"/>
      <c r="I12869" s="451"/>
      <c r="J12869" s="451"/>
      <c r="K12869" s="451"/>
    </row>
    <row r="12870" spans="1:11">
      <c r="A12870" s="450"/>
      <c r="B12870" s="450"/>
      <c r="C12870" s="450"/>
      <c r="D12870" s="450"/>
      <c r="E12870" s="450"/>
      <c r="F12870" s="450"/>
      <c r="G12870" s="450"/>
      <c r="H12870" s="450"/>
      <c r="I12870" s="450"/>
      <c r="J12870" s="450"/>
      <c r="K12870" s="450"/>
    </row>
    <row r="12871" spans="1:11">
      <c r="A12871" s="451"/>
      <c r="B12871" s="451"/>
      <c r="C12871" s="451"/>
      <c r="D12871" s="451"/>
      <c r="E12871" s="451"/>
      <c r="F12871" s="451"/>
      <c r="G12871" s="451"/>
      <c r="H12871" s="451"/>
      <c r="I12871" s="451"/>
      <c r="J12871" s="451"/>
      <c r="K12871" s="451"/>
    </row>
    <row r="12872" spans="1:11">
      <c r="A12872" s="450"/>
      <c r="B12872" s="450"/>
      <c r="C12872" s="450"/>
      <c r="D12872" s="450"/>
      <c r="E12872" s="450"/>
      <c r="F12872" s="450"/>
      <c r="G12872" s="450"/>
      <c r="H12872" s="450"/>
      <c r="I12872" s="450"/>
      <c r="J12872" s="450"/>
      <c r="K12872" s="450"/>
    </row>
    <row r="12873" spans="1:11">
      <c r="A12873" s="451"/>
      <c r="B12873" s="451"/>
      <c r="C12873" s="451"/>
      <c r="D12873" s="451"/>
      <c r="E12873" s="451"/>
      <c r="F12873" s="451"/>
      <c r="G12873" s="451"/>
      <c r="H12873" s="451"/>
      <c r="I12873" s="451"/>
      <c r="J12873" s="451"/>
      <c r="K12873" s="451"/>
    </row>
    <row r="12874" spans="1:11">
      <c r="A12874" s="450"/>
      <c r="B12874" s="450"/>
      <c r="C12874" s="450"/>
      <c r="D12874" s="450"/>
      <c r="E12874" s="450"/>
      <c r="F12874" s="450"/>
      <c r="G12874" s="450"/>
      <c r="H12874" s="450"/>
      <c r="I12874" s="450"/>
      <c r="J12874" s="450"/>
      <c r="K12874" s="450"/>
    </row>
    <row r="12875" spans="1:11">
      <c r="A12875" s="451"/>
      <c r="B12875" s="451"/>
      <c r="C12875" s="451"/>
      <c r="D12875" s="451"/>
      <c r="E12875" s="451"/>
      <c r="F12875" s="451"/>
      <c r="G12875" s="451"/>
      <c r="H12875" s="451"/>
      <c r="I12875" s="451"/>
      <c r="J12875" s="451"/>
      <c r="K12875" s="451"/>
    </row>
    <row r="12876" spans="1:11">
      <c r="A12876" s="450"/>
      <c r="B12876" s="450"/>
      <c r="C12876" s="450"/>
      <c r="D12876" s="450"/>
      <c r="E12876" s="450"/>
      <c r="F12876" s="450"/>
      <c r="G12876" s="450"/>
      <c r="H12876" s="450"/>
      <c r="I12876" s="450"/>
      <c r="J12876" s="450"/>
      <c r="K12876" s="450"/>
    </row>
    <row r="12877" spans="1:11">
      <c r="A12877" s="451"/>
      <c r="B12877" s="451"/>
      <c r="C12877" s="451"/>
      <c r="D12877" s="451"/>
      <c r="E12877" s="451"/>
      <c r="F12877" s="451"/>
      <c r="G12877" s="451"/>
      <c r="H12877" s="451"/>
      <c r="I12877" s="451"/>
      <c r="J12877" s="451"/>
      <c r="K12877" s="451"/>
    </row>
    <row r="12878" spans="1:11">
      <c r="A12878" s="450"/>
      <c r="B12878" s="450"/>
      <c r="C12878" s="450"/>
      <c r="D12878" s="450"/>
      <c r="E12878" s="450"/>
      <c r="F12878" s="450"/>
      <c r="G12878" s="450"/>
      <c r="H12878" s="450"/>
      <c r="I12878" s="450"/>
      <c r="J12878" s="450"/>
      <c r="K12878" s="450"/>
    </row>
    <row r="12879" spans="1:11">
      <c r="A12879" s="451"/>
      <c r="B12879" s="451"/>
      <c r="C12879" s="451"/>
      <c r="D12879" s="451"/>
      <c r="E12879" s="451"/>
      <c r="F12879" s="451"/>
      <c r="G12879" s="451"/>
      <c r="H12879" s="451"/>
      <c r="I12879" s="451"/>
      <c r="J12879" s="451"/>
      <c r="K12879" s="451"/>
    </row>
    <row r="12880" spans="1:11">
      <c r="A12880" s="450"/>
      <c r="B12880" s="450"/>
      <c r="C12880" s="450"/>
      <c r="D12880" s="450"/>
      <c r="E12880" s="450"/>
      <c r="F12880" s="450"/>
      <c r="G12880" s="450"/>
      <c r="H12880" s="450"/>
      <c r="I12880" s="450"/>
      <c r="J12880" s="450"/>
      <c r="K12880" s="450"/>
    </row>
    <row r="12881" spans="1:11">
      <c r="A12881" s="451"/>
      <c r="B12881" s="451"/>
      <c r="C12881" s="451"/>
      <c r="D12881" s="451"/>
      <c r="E12881" s="451"/>
      <c r="F12881" s="451"/>
      <c r="G12881" s="451"/>
      <c r="H12881" s="451"/>
      <c r="I12881" s="451"/>
      <c r="J12881" s="451"/>
      <c r="K12881" s="451"/>
    </row>
    <row r="12882" spans="1:11">
      <c r="A12882" s="450"/>
      <c r="B12882" s="450"/>
      <c r="C12882" s="450"/>
      <c r="D12882" s="450"/>
      <c r="E12882" s="450"/>
      <c r="F12882" s="450"/>
      <c r="G12882" s="450"/>
      <c r="H12882" s="450"/>
      <c r="I12882" s="450"/>
      <c r="J12882" s="450"/>
      <c r="K12882" s="450"/>
    </row>
    <row r="12883" spans="1:11">
      <c r="A12883" s="451"/>
      <c r="B12883" s="451"/>
      <c r="C12883" s="451"/>
      <c r="D12883" s="451"/>
      <c r="E12883" s="451"/>
      <c r="F12883" s="451"/>
      <c r="G12883" s="451"/>
      <c r="H12883" s="451"/>
      <c r="I12883" s="451"/>
      <c r="J12883" s="451"/>
      <c r="K12883" s="451"/>
    </row>
    <row r="12884" spans="1:11">
      <c r="A12884" s="450"/>
      <c r="B12884" s="450"/>
      <c r="C12884" s="450"/>
      <c r="D12884" s="450"/>
      <c r="E12884" s="450"/>
      <c r="F12884" s="450"/>
      <c r="G12884" s="450"/>
      <c r="H12884" s="450"/>
      <c r="I12884" s="450"/>
      <c r="J12884" s="450"/>
      <c r="K12884" s="450"/>
    </row>
    <row r="12885" spans="1:11">
      <c r="A12885" s="451"/>
      <c r="B12885" s="451"/>
      <c r="C12885" s="451"/>
      <c r="D12885" s="451"/>
      <c r="E12885" s="451"/>
      <c r="F12885" s="451"/>
      <c r="G12885" s="451"/>
      <c r="H12885" s="451"/>
      <c r="I12885" s="451"/>
      <c r="J12885" s="451"/>
      <c r="K12885" s="451"/>
    </row>
    <row r="12886" spans="1:11">
      <c r="A12886" s="450"/>
      <c r="B12886" s="450"/>
      <c r="C12886" s="450"/>
      <c r="D12886" s="450"/>
      <c r="E12886" s="450"/>
      <c r="F12886" s="450"/>
      <c r="G12886" s="450"/>
      <c r="H12886" s="450"/>
      <c r="I12886" s="450"/>
      <c r="J12886" s="450"/>
      <c r="K12886" s="450"/>
    </row>
    <row r="12887" spans="1:11">
      <c r="A12887" s="451"/>
      <c r="B12887" s="451"/>
      <c r="C12887" s="451"/>
      <c r="D12887" s="451"/>
      <c r="E12887" s="451"/>
      <c r="F12887" s="451"/>
      <c r="G12887" s="451"/>
      <c r="H12887" s="451"/>
      <c r="I12887" s="451"/>
      <c r="J12887" s="451"/>
      <c r="K12887" s="451"/>
    </row>
    <row r="12888" spans="1:11">
      <c r="A12888" s="450"/>
      <c r="B12888" s="450"/>
      <c r="C12888" s="450"/>
      <c r="D12888" s="450"/>
      <c r="E12888" s="450"/>
      <c r="F12888" s="450"/>
      <c r="G12888" s="450"/>
      <c r="H12888" s="450"/>
      <c r="I12888" s="450"/>
      <c r="J12888" s="450"/>
      <c r="K12888" s="450"/>
    </row>
    <row r="12889" spans="1:11">
      <c r="A12889" s="451"/>
      <c r="B12889" s="451"/>
      <c r="C12889" s="451"/>
      <c r="D12889" s="451"/>
      <c r="E12889" s="451"/>
      <c r="F12889" s="451"/>
      <c r="G12889" s="451"/>
      <c r="H12889" s="451"/>
      <c r="I12889" s="451"/>
      <c r="J12889" s="451"/>
      <c r="K12889" s="451"/>
    </row>
    <row r="12890" spans="1:11">
      <c r="A12890" s="450"/>
      <c r="B12890" s="450"/>
      <c r="C12890" s="450"/>
      <c r="D12890" s="450"/>
      <c r="E12890" s="450"/>
      <c r="F12890" s="450"/>
      <c r="G12890" s="450"/>
      <c r="H12890" s="450"/>
      <c r="I12890" s="450"/>
      <c r="J12890" s="450"/>
      <c r="K12890" s="450"/>
    </row>
    <row r="12891" spans="1:11">
      <c r="A12891" s="451"/>
      <c r="B12891" s="451"/>
      <c r="C12891" s="451"/>
      <c r="D12891" s="451"/>
      <c r="E12891" s="451"/>
      <c r="F12891" s="451"/>
      <c r="G12891" s="451"/>
      <c r="H12891" s="451"/>
      <c r="I12891" s="451"/>
      <c r="J12891" s="451"/>
      <c r="K12891" s="451"/>
    </row>
    <row r="12892" spans="1:11">
      <c r="A12892" s="450"/>
      <c r="B12892" s="450"/>
      <c r="C12892" s="450"/>
      <c r="D12892" s="450"/>
      <c r="E12892" s="450"/>
      <c r="F12892" s="450"/>
      <c r="G12892" s="450"/>
      <c r="H12892" s="450"/>
      <c r="I12892" s="450"/>
      <c r="J12892" s="450"/>
      <c r="K12892" s="450"/>
    </row>
    <row r="12893" spans="1:11">
      <c r="A12893" s="451"/>
      <c r="B12893" s="451"/>
      <c r="C12893" s="451"/>
      <c r="D12893" s="451"/>
      <c r="E12893" s="451"/>
      <c r="F12893" s="451"/>
      <c r="G12893" s="451"/>
      <c r="H12893" s="451"/>
      <c r="I12893" s="451"/>
      <c r="J12893" s="451"/>
      <c r="K12893" s="451"/>
    </row>
    <row r="12894" spans="1:11">
      <c r="A12894" s="450"/>
      <c r="B12894" s="450"/>
      <c r="C12894" s="450"/>
      <c r="D12894" s="450"/>
      <c r="E12894" s="450"/>
      <c r="F12894" s="450"/>
      <c r="G12894" s="450"/>
      <c r="H12894" s="450"/>
      <c r="I12894" s="450"/>
      <c r="J12894" s="450"/>
      <c r="K12894" s="450"/>
    </row>
    <row r="12895" spans="1:11">
      <c r="A12895" s="451"/>
      <c r="B12895" s="451"/>
      <c r="C12895" s="451"/>
      <c r="D12895" s="451"/>
      <c r="E12895" s="451"/>
      <c r="F12895" s="451"/>
      <c r="G12895" s="451"/>
      <c r="H12895" s="451"/>
      <c r="I12895" s="451"/>
      <c r="J12895" s="451"/>
      <c r="K12895" s="451"/>
    </row>
    <row r="12896" spans="1:11">
      <c r="A12896" s="450"/>
      <c r="B12896" s="450"/>
      <c r="C12896" s="450"/>
      <c r="D12896" s="450"/>
      <c r="E12896" s="450"/>
      <c r="F12896" s="450"/>
      <c r="G12896" s="450"/>
      <c r="H12896" s="450"/>
      <c r="I12896" s="450"/>
      <c r="J12896" s="450"/>
      <c r="K12896" s="450"/>
    </row>
    <row r="12897" spans="1:11">
      <c r="A12897" s="451"/>
      <c r="B12897" s="451"/>
      <c r="C12897" s="451"/>
      <c r="D12897" s="451"/>
      <c r="E12897" s="451"/>
      <c r="F12897" s="451"/>
      <c r="G12897" s="451"/>
      <c r="H12897" s="451"/>
      <c r="I12897" s="451"/>
      <c r="J12897" s="451"/>
      <c r="K12897" s="451"/>
    </row>
    <row r="12898" spans="1:11">
      <c r="A12898" s="450"/>
      <c r="B12898" s="450"/>
      <c r="C12898" s="450"/>
      <c r="D12898" s="450"/>
      <c r="E12898" s="450"/>
      <c r="F12898" s="450"/>
      <c r="G12898" s="450"/>
      <c r="H12898" s="450"/>
      <c r="I12898" s="450"/>
      <c r="J12898" s="450"/>
      <c r="K12898" s="450"/>
    </row>
    <row r="12899" spans="1:11">
      <c r="A12899" s="451"/>
      <c r="B12899" s="451"/>
      <c r="C12899" s="451"/>
      <c r="D12899" s="451"/>
      <c r="E12899" s="451"/>
      <c r="F12899" s="451"/>
      <c r="G12899" s="451"/>
      <c r="H12899" s="451"/>
      <c r="I12899" s="451"/>
      <c r="J12899" s="451"/>
      <c r="K12899" s="451"/>
    </row>
    <row r="12900" spans="1:11">
      <c r="A12900" s="450"/>
      <c r="B12900" s="450"/>
      <c r="C12900" s="450"/>
      <c r="D12900" s="450"/>
      <c r="E12900" s="450"/>
      <c r="F12900" s="450"/>
      <c r="G12900" s="450"/>
      <c r="H12900" s="450"/>
      <c r="I12900" s="450"/>
      <c r="J12900" s="450"/>
      <c r="K12900" s="450"/>
    </row>
    <row r="12901" spans="1:11">
      <c r="A12901" s="451"/>
      <c r="B12901" s="451"/>
      <c r="C12901" s="451"/>
      <c r="D12901" s="451"/>
      <c r="E12901" s="451"/>
      <c r="F12901" s="451"/>
      <c r="G12901" s="451"/>
      <c r="H12901" s="451"/>
      <c r="I12901" s="451"/>
      <c r="J12901" s="451"/>
      <c r="K12901" s="451"/>
    </row>
    <row r="12902" spans="1:11">
      <c r="A12902" s="450"/>
      <c r="B12902" s="450"/>
      <c r="C12902" s="450"/>
      <c r="D12902" s="450"/>
      <c r="E12902" s="450"/>
      <c r="F12902" s="450"/>
      <c r="G12902" s="450"/>
      <c r="H12902" s="450"/>
      <c r="I12902" s="450"/>
      <c r="J12902" s="450"/>
      <c r="K12902" s="450"/>
    </row>
    <row r="12903" spans="1:11">
      <c r="A12903" s="451"/>
      <c r="B12903" s="451"/>
      <c r="C12903" s="451"/>
      <c r="D12903" s="451"/>
      <c r="E12903" s="451"/>
      <c r="F12903" s="451"/>
      <c r="G12903" s="451"/>
      <c r="H12903" s="451"/>
      <c r="I12903" s="451"/>
      <c r="J12903" s="451"/>
      <c r="K12903" s="451"/>
    </row>
    <row r="12904" spans="1:11">
      <c r="A12904" s="450"/>
      <c r="B12904" s="450"/>
      <c r="C12904" s="450"/>
      <c r="D12904" s="450"/>
      <c r="E12904" s="450"/>
      <c r="F12904" s="450"/>
      <c r="G12904" s="450"/>
      <c r="H12904" s="450"/>
      <c r="I12904" s="450"/>
      <c r="J12904" s="450"/>
      <c r="K12904" s="450"/>
    </row>
    <row r="12905" spans="1:11">
      <c r="A12905" s="451"/>
      <c r="B12905" s="451"/>
      <c r="C12905" s="451"/>
      <c r="D12905" s="451"/>
      <c r="E12905" s="451"/>
      <c r="F12905" s="451"/>
      <c r="G12905" s="451"/>
      <c r="H12905" s="451"/>
      <c r="I12905" s="451"/>
      <c r="J12905" s="451"/>
      <c r="K12905" s="451"/>
    </row>
    <row r="12906" spans="1:11">
      <c r="A12906" s="450"/>
      <c r="B12906" s="450"/>
      <c r="C12906" s="450"/>
      <c r="D12906" s="450"/>
      <c r="E12906" s="450"/>
      <c r="F12906" s="450"/>
      <c r="G12906" s="450"/>
      <c r="H12906" s="450"/>
      <c r="I12906" s="450"/>
      <c r="J12906" s="450"/>
      <c r="K12906" s="450"/>
    </row>
    <row r="12907" spans="1:11">
      <c r="A12907" s="451"/>
      <c r="B12907" s="451"/>
      <c r="C12907" s="451"/>
      <c r="D12907" s="451"/>
      <c r="E12907" s="451"/>
      <c r="F12907" s="451"/>
      <c r="G12907" s="451"/>
      <c r="H12907" s="451"/>
      <c r="I12907" s="451"/>
      <c r="J12907" s="451"/>
      <c r="K12907" s="451"/>
    </row>
    <row r="12908" spans="1:11">
      <c r="A12908" s="450"/>
      <c r="B12908" s="450"/>
      <c r="C12908" s="450"/>
      <c r="D12908" s="450"/>
      <c r="E12908" s="450"/>
      <c r="F12908" s="450"/>
      <c r="G12908" s="450"/>
      <c r="H12908" s="450"/>
      <c r="I12908" s="450"/>
      <c r="J12908" s="450"/>
      <c r="K12908" s="450"/>
    </row>
    <row r="12909" spans="1:11">
      <c r="A12909" s="451"/>
      <c r="B12909" s="451"/>
      <c r="C12909" s="451"/>
      <c r="D12909" s="451"/>
      <c r="E12909" s="451"/>
      <c r="F12909" s="451"/>
      <c r="G12909" s="451"/>
      <c r="H12909" s="451"/>
      <c r="I12909" s="451"/>
      <c r="J12909" s="451"/>
      <c r="K12909" s="451"/>
    </row>
    <row r="12910" spans="1:11">
      <c r="A12910" s="450"/>
      <c r="B12910" s="450"/>
      <c r="C12910" s="450"/>
      <c r="D12910" s="450"/>
      <c r="E12910" s="450"/>
      <c r="F12910" s="450"/>
      <c r="G12910" s="450"/>
      <c r="H12910" s="450"/>
      <c r="I12910" s="450"/>
      <c r="J12910" s="450"/>
      <c r="K12910" s="450"/>
    </row>
    <row r="12911" spans="1:11">
      <c r="A12911" s="451"/>
      <c r="B12911" s="451"/>
      <c r="C12911" s="451"/>
      <c r="D12911" s="451"/>
      <c r="E12911" s="451"/>
      <c r="F12911" s="451"/>
      <c r="G12911" s="451"/>
      <c r="H12911" s="451"/>
      <c r="I12911" s="451"/>
      <c r="J12911" s="451"/>
      <c r="K12911" s="451"/>
    </row>
    <row r="12912" spans="1:11">
      <c r="A12912" s="450"/>
      <c r="B12912" s="450"/>
      <c r="C12912" s="450"/>
      <c r="D12912" s="450"/>
      <c r="E12912" s="450"/>
      <c r="F12912" s="450"/>
      <c r="G12912" s="450"/>
      <c r="H12912" s="450"/>
      <c r="I12912" s="450"/>
      <c r="J12912" s="450"/>
      <c r="K12912" s="450"/>
    </row>
    <row r="12913" spans="1:11">
      <c r="A12913" s="451"/>
      <c r="B12913" s="451"/>
      <c r="C12913" s="451"/>
      <c r="D12913" s="451"/>
      <c r="E12913" s="451"/>
      <c r="F12913" s="451"/>
      <c r="G12913" s="451"/>
      <c r="H12913" s="451"/>
      <c r="I12913" s="451"/>
      <c r="J12913" s="451"/>
      <c r="K12913" s="451"/>
    </row>
    <row r="12914" spans="1:11">
      <c r="A12914" s="450"/>
      <c r="B12914" s="450"/>
      <c r="C12914" s="450"/>
      <c r="D12914" s="450"/>
      <c r="E12914" s="450"/>
      <c r="F12914" s="450"/>
      <c r="G12914" s="450"/>
      <c r="H12914" s="450"/>
      <c r="I12914" s="450"/>
      <c r="J12914" s="450"/>
      <c r="K12914" s="450"/>
    </row>
    <row r="12915" spans="1:11">
      <c r="A12915" s="451"/>
      <c r="B12915" s="451"/>
      <c r="C12915" s="451"/>
      <c r="D12915" s="451"/>
      <c r="E12915" s="451"/>
      <c r="F12915" s="451"/>
      <c r="G12915" s="451"/>
      <c r="H12915" s="451"/>
      <c r="I12915" s="451"/>
      <c r="J12915" s="451"/>
      <c r="K12915" s="451"/>
    </row>
    <row r="12916" spans="1:11">
      <c r="A12916" s="450"/>
      <c r="B12916" s="450"/>
      <c r="C12916" s="450"/>
      <c r="D12916" s="450"/>
      <c r="E12916" s="450"/>
      <c r="F12916" s="450"/>
      <c r="G12916" s="450"/>
      <c r="H12916" s="450"/>
      <c r="I12916" s="450"/>
      <c r="J12916" s="450"/>
      <c r="K12916" s="450"/>
    </row>
    <row r="12917" spans="1:11">
      <c r="A12917" s="451"/>
      <c r="B12917" s="451"/>
      <c r="C12917" s="451"/>
      <c r="D12917" s="451"/>
      <c r="E12917" s="451"/>
      <c r="F12917" s="451"/>
      <c r="G12917" s="451"/>
      <c r="H12917" s="451"/>
      <c r="I12917" s="451"/>
      <c r="J12917" s="451"/>
      <c r="K12917" s="451"/>
    </row>
    <row r="12918" spans="1:11">
      <c r="A12918" s="450"/>
      <c r="B12918" s="450"/>
      <c r="C12918" s="450"/>
      <c r="D12918" s="450"/>
      <c r="E12918" s="450"/>
      <c r="F12918" s="450"/>
      <c r="G12918" s="450"/>
      <c r="H12918" s="450"/>
      <c r="I12918" s="450"/>
      <c r="J12918" s="450"/>
      <c r="K12918" s="450"/>
    </row>
    <row r="12919" spans="1:11">
      <c r="A12919" s="451"/>
      <c r="B12919" s="451"/>
      <c r="C12919" s="451"/>
      <c r="D12919" s="451"/>
      <c r="E12919" s="451"/>
      <c r="F12919" s="451"/>
      <c r="G12919" s="451"/>
      <c r="H12919" s="451"/>
      <c r="I12919" s="451"/>
      <c r="J12919" s="451"/>
      <c r="K12919" s="451"/>
    </row>
    <row r="12920" spans="1:11">
      <c r="A12920" s="450"/>
      <c r="B12920" s="450"/>
      <c r="C12920" s="450"/>
      <c r="D12920" s="450"/>
      <c r="E12920" s="450"/>
      <c r="F12920" s="450"/>
      <c r="G12920" s="450"/>
      <c r="H12920" s="450"/>
      <c r="I12920" s="450"/>
      <c r="J12920" s="450"/>
      <c r="K12920" s="450"/>
    </row>
    <row r="12921" spans="1:11">
      <c r="A12921" s="451"/>
      <c r="B12921" s="451"/>
      <c r="C12921" s="451"/>
      <c r="D12921" s="451"/>
      <c r="E12921" s="451"/>
      <c r="F12921" s="451"/>
      <c r="G12921" s="451"/>
      <c r="H12921" s="451"/>
      <c r="I12921" s="451"/>
      <c r="J12921" s="451"/>
      <c r="K12921" s="451"/>
    </row>
    <row r="12922" spans="1:11">
      <c r="A12922" s="450"/>
      <c r="B12922" s="450"/>
      <c r="C12922" s="450"/>
      <c r="D12922" s="450"/>
      <c r="E12922" s="450"/>
      <c r="F12922" s="450"/>
      <c r="G12922" s="450"/>
      <c r="H12922" s="450"/>
      <c r="I12922" s="450"/>
      <c r="J12922" s="450"/>
      <c r="K12922" s="450"/>
    </row>
    <row r="12923" spans="1:11">
      <c r="A12923" s="451"/>
      <c r="B12923" s="451"/>
      <c r="C12923" s="451"/>
      <c r="D12923" s="451"/>
      <c r="E12923" s="451"/>
      <c r="F12923" s="451"/>
      <c r="G12923" s="451"/>
      <c r="H12923" s="451"/>
      <c r="I12923" s="451"/>
      <c r="J12923" s="451"/>
      <c r="K12923" s="451"/>
    </row>
    <row r="12924" spans="1:11">
      <c r="A12924" s="450"/>
      <c r="B12924" s="450"/>
      <c r="C12924" s="450"/>
      <c r="D12924" s="450"/>
      <c r="E12924" s="450"/>
      <c r="F12924" s="450"/>
      <c r="G12924" s="450"/>
      <c r="H12924" s="450"/>
      <c r="I12924" s="450"/>
      <c r="J12924" s="450"/>
      <c r="K12924" s="450"/>
    </row>
    <row r="12925" spans="1:11">
      <c r="A12925" s="451"/>
      <c r="B12925" s="451"/>
      <c r="C12925" s="451"/>
      <c r="D12925" s="451"/>
      <c r="E12925" s="451"/>
      <c r="F12925" s="451"/>
      <c r="G12925" s="451"/>
      <c r="H12925" s="451"/>
      <c r="I12925" s="451"/>
      <c r="J12925" s="451"/>
      <c r="K12925" s="451"/>
    </row>
    <row r="12926" spans="1:11">
      <c r="A12926" s="450"/>
      <c r="B12926" s="450"/>
      <c r="C12926" s="450"/>
      <c r="D12926" s="450"/>
      <c r="E12926" s="450"/>
      <c r="F12926" s="450"/>
      <c r="G12926" s="450"/>
      <c r="H12926" s="450"/>
      <c r="I12926" s="450"/>
      <c r="J12926" s="450"/>
      <c r="K12926" s="450"/>
    </row>
    <row r="12927" spans="1:11">
      <c r="A12927" s="451"/>
      <c r="B12927" s="451"/>
      <c r="C12927" s="451"/>
      <c r="D12927" s="451"/>
      <c r="E12927" s="451"/>
      <c r="F12927" s="451"/>
      <c r="G12927" s="451"/>
      <c r="H12927" s="451"/>
      <c r="I12927" s="451"/>
      <c r="J12927" s="451"/>
      <c r="K12927" s="451"/>
    </row>
    <row r="12928" spans="1:11">
      <c r="A12928" s="450"/>
      <c r="B12928" s="450"/>
      <c r="C12928" s="450"/>
      <c r="D12928" s="450"/>
      <c r="E12928" s="450"/>
      <c r="F12928" s="450"/>
      <c r="G12928" s="450"/>
      <c r="H12928" s="450"/>
      <c r="I12928" s="450"/>
      <c r="J12928" s="450"/>
      <c r="K12928" s="450"/>
    </row>
    <row r="12929" spans="1:11">
      <c r="A12929" s="451"/>
      <c r="B12929" s="451"/>
      <c r="C12929" s="451"/>
      <c r="D12929" s="451"/>
      <c r="E12929" s="451"/>
      <c r="F12929" s="451"/>
      <c r="G12929" s="451"/>
      <c r="H12929" s="451"/>
      <c r="I12929" s="451"/>
      <c r="J12929" s="451"/>
      <c r="K12929" s="451"/>
    </row>
    <row r="12930" spans="1:11">
      <c r="A12930" s="450"/>
      <c r="B12930" s="450"/>
      <c r="C12930" s="450"/>
      <c r="D12930" s="450"/>
      <c r="E12930" s="450"/>
      <c r="F12930" s="450"/>
      <c r="G12930" s="450"/>
      <c r="H12930" s="450"/>
      <c r="I12930" s="450"/>
      <c r="J12930" s="450"/>
      <c r="K12930" s="450"/>
    </row>
    <row r="12931" spans="1:11">
      <c r="A12931" s="451"/>
      <c r="B12931" s="451"/>
      <c r="C12931" s="451"/>
      <c r="D12931" s="451"/>
      <c r="E12931" s="451"/>
      <c r="F12931" s="451"/>
      <c r="G12931" s="451"/>
      <c r="H12931" s="451"/>
      <c r="I12931" s="451"/>
      <c r="J12931" s="451"/>
      <c r="K12931" s="451"/>
    </row>
    <row r="12932" spans="1:11">
      <c r="A12932" s="450"/>
      <c r="B12932" s="450"/>
      <c r="C12932" s="450"/>
      <c r="D12932" s="450"/>
      <c r="E12932" s="450"/>
      <c r="F12932" s="450"/>
      <c r="G12932" s="450"/>
      <c r="H12932" s="450"/>
      <c r="I12932" s="450"/>
      <c r="J12932" s="450"/>
      <c r="K12932" s="450"/>
    </row>
    <row r="12933" spans="1:11">
      <c r="A12933" s="451"/>
      <c r="B12933" s="451"/>
      <c r="C12933" s="451"/>
      <c r="D12933" s="451"/>
      <c r="E12933" s="451"/>
      <c r="F12933" s="451"/>
      <c r="G12933" s="451"/>
      <c r="H12933" s="451"/>
      <c r="I12933" s="451"/>
      <c r="J12933" s="451"/>
      <c r="K12933" s="451"/>
    </row>
    <row r="12934" spans="1:11">
      <c r="A12934" s="450"/>
      <c r="B12934" s="450"/>
      <c r="C12934" s="450"/>
      <c r="D12934" s="450"/>
      <c r="E12934" s="450"/>
      <c r="F12934" s="450"/>
      <c r="G12934" s="450"/>
      <c r="H12934" s="450"/>
      <c r="I12934" s="450"/>
      <c r="J12934" s="450"/>
      <c r="K12934" s="450"/>
    </row>
    <row r="12935" spans="1:11">
      <c r="A12935" s="451"/>
      <c r="B12935" s="451"/>
      <c r="C12935" s="451"/>
      <c r="D12935" s="451"/>
      <c r="E12935" s="451"/>
      <c r="F12935" s="451"/>
      <c r="G12935" s="451"/>
      <c r="H12935" s="451"/>
      <c r="I12935" s="451"/>
      <c r="J12935" s="451"/>
      <c r="K12935" s="451"/>
    </row>
    <row r="12936" spans="1:11">
      <c r="A12936" s="450"/>
      <c r="B12936" s="450"/>
      <c r="C12936" s="450"/>
      <c r="D12936" s="450"/>
      <c r="E12936" s="450"/>
      <c r="F12936" s="450"/>
      <c r="G12936" s="450"/>
      <c r="H12936" s="450"/>
      <c r="I12936" s="450"/>
      <c r="J12936" s="450"/>
      <c r="K12936" s="450"/>
    </row>
    <row r="12937" spans="1:11">
      <c r="A12937" s="451"/>
      <c r="B12937" s="451"/>
      <c r="C12937" s="451"/>
      <c r="D12937" s="451"/>
      <c r="E12937" s="451"/>
      <c r="F12937" s="451"/>
      <c r="G12937" s="451"/>
      <c r="H12937" s="451"/>
      <c r="I12937" s="451"/>
      <c r="J12937" s="451"/>
      <c r="K12937" s="451"/>
    </row>
    <row r="12938" spans="1:11">
      <c r="A12938" s="450"/>
      <c r="B12938" s="450"/>
      <c r="C12938" s="450"/>
      <c r="D12938" s="450"/>
      <c r="E12938" s="450"/>
      <c r="F12938" s="450"/>
      <c r="G12938" s="450"/>
      <c r="H12938" s="450"/>
      <c r="I12938" s="450"/>
      <c r="J12938" s="450"/>
      <c r="K12938" s="450"/>
    </row>
    <row r="12939" spans="1:11">
      <c r="A12939" s="451"/>
      <c r="B12939" s="451"/>
      <c r="C12939" s="451"/>
      <c r="D12939" s="451"/>
      <c r="E12939" s="451"/>
      <c r="F12939" s="451"/>
      <c r="G12939" s="451"/>
      <c r="H12939" s="451"/>
      <c r="I12939" s="451"/>
      <c r="J12939" s="451"/>
      <c r="K12939" s="451"/>
    </row>
    <row r="12940" spans="1:11">
      <c r="A12940" s="450"/>
      <c r="B12940" s="450"/>
      <c r="C12940" s="450"/>
      <c r="D12940" s="450"/>
      <c r="E12940" s="450"/>
      <c r="F12940" s="450"/>
      <c r="G12940" s="450"/>
      <c r="H12940" s="450"/>
      <c r="I12940" s="450"/>
      <c r="J12940" s="450"/>
      <c r="K12940" s="450"/>
    </row>
    <row r="12941" spans="1:11">
      <c r="A12941" s="451"/>
      <c r="B12941" s="451"/>
      <c r="C12941" s="451"/>
      <c r="D12941" s="451"/>
      <c r="E12941" s="451"/>
      <c r="F12941" s="451"/>
      <c r="G12941" s="451"/>
      <c r="H12941" s="451"/>
      <c r="I12941" s="451"/>
      <c r="J12941" s="451"/>
      <c r="K12941" s="451"/>
    </row>
    <row r="12942" spans="1:11">
      <c r="A12942" s="450"/>
      <c r="B12942" s="450"/>
      <c r="C12942" s="450"/>
      <c r="D12942" s="450"/>
      <c r="E12942" s="450"/>
      <c r="F12942" s="450"/>
      <c r="G12942" s="450"/>
      <c r="H12942" s="450"/>
      <c r="I12942" s="450"/>
      <c r="J12942" s="450"/>
      <c r="K12942" s="450"/>
    </row>
    <row r="12943" spans="1:11">
      <c r="A12943" s="451"/>
      <c r="B12943" s="451"/>
      <c r="C12943" s="451"/>
      <c r="D12943" s="451"/>
      <c r="E12943" s="451"/>
      <c r="F12943" s="451"/>
      <c r="G12943" s="451"/>
      <c r="H12943" s="451"/>
      <c r="I12943" s="451"/>
      <c r="J12943" s="451"/>
      <c r="K12943" s="451"/>
    </row>
    <row r="12944" spans="1:11">
      <c r="A12944" s="450"/>
      <c r="B12944" s="450"/>
      <c r="C12944" s="450"/>
      <c r="D12944" s="450"/>
      <c r="E12944" s="450"/>
      <c r="F12944" s="450"/>
      <c r="G12944" s="450"/>
      <c r="H12944" s="450"/>
      <c r="I12944" s="450"/>
      <c r="J12944" s="450"/>
      <c r="K12944" s="450"/>
    </row>
    <row r="12945" spans="1:11">
      <c r="A12945" s="451"/>
      <c r="B12945" s="451"/>
      <c r="C12945" s="451"/>
      <c r="D12945" s="451"/>
      <c r="E12945" s="451"/>
      <c r="F12945" s="451"/>
      <c r="G12945" s="451"/>
      <c r="H12945" s="451"/>
      <c r="I12945" s="451"/>
      <c r="J12945" s="451"/>
      <c r="K12945" s="451"/>
    </row>
    <row r="12946" spans="1:11">
      <c r="A12946" s="450"/>
      <c r="B12946" s="450"/>
      <c r="C12946" s="450"/>
      <c r="D12946" s="450"/>
      <c r="E12946" s="450"/>
      <c r="F12946" s="450"/>
      <c r="G12946" s="450"/>
      <c r="H12946" s="450"/>
      <c r="I12946" s="450"/>
      <c r="J12946" s="450"/>
      <c r="K12946" s="450"/>
    </row>
    <row r="12947" spans="1:11">
      <c r="A12947" s="451"/>
      <c r="B12947" s="451"/>
      <c r="C12947" s="451"/>
      <c r="D12947" s="451"/>
      <c r="E12947" s="451"/>
      <c r="F12947" s="451"/>
      <c r="G12947" s="451"/>
      <c r="H12947" s="451"/>
      <c r="I12947" s="451"/>
      <c r="J12947" s="451"/>
      <c r="K12947" s="451"/>
    </row>
    <row r="12948" spans="1:11">
      <c r="A12948" s="450"/>
      <c r="B12948" s="450"/>
      <c r="C12948" s="450"/>
      <c r="D12948" s="450"/>
      <c r="E12948" s="450"/>
      <c r="F12948" s="450"/>
      <c r="G12948" s="450"/>
      <c r="H12948" s="450"/>
      <c r="I12948" s="450"/>
      <c r="J12948" s="450"/>
      <c r="K12948" s="450"/>
    </row>
    <row r="12949" spans="1:11">
      <c r="A12949" s="451"/>
      <c r="B12949" s="451"/>
      <c r="C12949" s="451"/>
      <c r="D12949" s="451"/>
      <c r="E12949" s="451"/>
      <c r="F12949" s="451"/>
      <c r="G12949" s="451"/>
      <c r="H12949" s="451"/>
      <c r="I12949" s="451"/>
      <c r="J12949" s="451"/>
      <c r="K12949" s="451"/>
    </row>
    <row r="12950" spans="1:11">
      <c r="A12950" s="450"/>
      <c r="B12950" s="450"/>
      <c r="C12950" s="450"/>
      <c r="D12950" s="450"/>
      <c r="E12950" s="450"/>
      <c r="F12950" s="450"/>
      <c r="G12950" s="450"/>
      <c r="H12950" s="450"/>
      <c r="I12950" s="450"/>
      <c r="J12950" s="450"/>
      <c r="K12950" s="450"/>
    </row>
    <row r="12951" spans="1:11">
      <c r="A12951" s="451"/>
      <c r="B12951" s="451"/>
      <c r="C12951" s="451"/>
      <c r="D12951" s="451"/>
      <c r="E12951" s="451"/>
      <c r="F12951" s="451"/>
      <c r="G12951" s="451"/>
      <c r="H12951" s="451"/>
      <c r="I12951" s="451"/>
      <c r="J12951" s="451"/>
      <c r="K12951" s="451"/>
    </row>
    <row r="12952" spans="1:11">
      <c r="A12952" s="450"/>
      <c r="B12952" s="450"/>
      <c r="C12952" s="450"/>
      <c r="D12952" s="450"/>
      <c r="E12952" s="450"/>
      <c r="F12952" s="450"/>
      <c r="G12952" s="450"/>
      <c r="H12952" s="450"/>
      <c r="I12952" s="450"/>
      <c r="J12952" s="450"/>
      <c r="K12952" s="450"/>
    </row>
    <row r="12953" spans="1:11">
      <c r="A12953" s="451"/>
      <c r="B12953" s="451"/>
      <c r="C12953" s="451"/>
      <c r="D12953" s="451"/>
      <c r="E12953" s="451"/>
      <c r="F12953" s="451"/>
      <c r="G12953" s="451"/>
      <c r="H12953" s="451"/>
      <c r="I12953" s="451"/>
      <c r="J12953" s="451"/>
      <c r="K12953" s="451"/>
    </row>
    <row r="12954" spans="1:11">
      <c r="A12954" s="450"/>
      <c r="B12954" s="450"/>
      <c r="C12954" s="450"/>
      <c r="D12954" s="450"/>
      <c r="E12954" s="450"/>
      <c r="F12954" s="450"/>
      <c r="G12954" s="450"/>
      <c r="H12954" s="450"/>
      <c r="I12954" s="450"/>
      <c r="J12954" s="450"/>
      <c r="K12954" s="450"/>
    </row>
    <row r="12955" spans="1:11">
      <c r="A12955" s="451"/>
      <c r="B12955" s="451"/>
      <c r="C12955" s="451"/>
      <c r="D12955" s="451"/>
      <c r="E12955" s="451"/>
      <c r="F12955" s="451"/>
      <c r="G12955" s="451"/>
      <c r="H12955" s="451"/>
      <c r="I12955" s="451"/>
      <c r="J12955" s="451"/>
      <c r="K12955" s="451"/>
    </row>
    <row r="12956" spans="1:11">
      <c r="A12956" s="450"/>
      <c r="B12956" s="450"/>
      <c r="C12956" s="450"/>
      <c r="D12956" s="450"/>
      <c r="E12956" s="450"/>
      <c r="F12956" s="450"/>
      <c r="G12956" s="450"/>
      <c r="H12956" s="450"/>
      <c r="I12956" s="450"/>
      <c r="J12956" s="450"/>
      <c r="K12956" s="450"/>
    </row>
    <row r="12957" spans="1:11">
      <c r="A12957" s="451"/>
      <c r="B12957" s="451"/>
      <c r="C12957" s="451"/>
      <c r="D12957" s="451"/>
      <c r="E12957" s="451"/>
      <c r="F12957" s="451"/>
      <c r="G12957" s="451"/>
      <c r="H12957" s="451"/>
      <c r="I12957" s="451"/>
      <c r="J12957" s="451"/>
      <c r="K12957" s="451"/>
    </row>
    <row r="12958" spans="1:11">
      <c r="A12958" s="450"/>
      <c r="B12958" s="450"/>
      <c r="C12958" s="450"/>
      <c r="D12958" s="450"/>
      <c r="E12958" s="450"/>
      <c r="F12958" s="450"/>
      <c r="G12958" s="450"/>
      <c r="H12958" s="450"/>
      <c r="I12958" s="450"/>
      <c r="J12958" s="450"/>
      <c r="K12958" s="450"/>
    </row>
    <row r="12959" spans="1:11">
      <c r="A12959" s="451"/>
      <c r="B12959" s="451"/>
      <c r="C12959" s="451"/>
      <c r="D12959" s="451"/>
      <c r="E12959" s="451"/>
      <c r="F12959" s="451"/>
      <c r="G12959" s="451"/>
      <c r="H12959" s="451"/>
      <c r="I12959" s="451"/>
      <c r="J12959" s="451"/>
      <c r="K12959" s="451"/>
    </row>
    <row r="12960" spans="1:11">
      <c r="A12960" s="450"/>
      <c r="B12960" s="450"/>
      <c r="C12960" s="450"/>
      <c r="D12960" s="450"/>
      <c r="E12960" s="450"/>
      <c r="F12960" s="450"/>
      <c r="G12960" s="450"/>
      <c r="H12960" s="450"/>
      <c r="I12960" s="450"/>
      <c r="J12960" s="450"/>
      <c r="K12960" s="450"/>
    </row>
    <row r="12961" spans="1:11">
      <c r="A12961" s="451"/>
      <c r="B12961" s="451"/>
      <c r="C12961" s="451"/>
      <c r="D12961" s="451"/>
      <c r="E12961" s="451"/>
      <c r="F12961" s="451"/>
      <c r="G12961" s="451"/>
      <c r="H12961" s="451"/>
      <c r="I12961" s="451"/>
      <c r="J12961" s="451"/>
      <c r="K12961" s="451"/>
    </row>
    <row r="12962" spans="1:11">
      <c r="A12962" s="450"/>
      <c r="B12962" s="450"/>
      <c r="C12962" s="450"/>
      <c r="D12962" s="450"/>
      <c r="E12962" s="450"/>
      <c r="F12962" s="450"/>
      <c r="G12962" s="450"/>
      <c r="H12962" s="450"/>
      <c r="I12962" s="450"/>
      <c r="J12962" s="450"/>
      <c r="K12962" s="450"/>
    </row>
    <row r="12963" spans="1:11">
      <c r="A12963" s="451"/>
      <c r="B12963" s="451"/>
      <c r="C12963" s="451"/>
      <c r="D12963" s="451"/>
      <c r="E12963" s="451"/>
      <c r="F12963" s="451"/>
      <c r="G12963" s="451"/>
      <c r="H12963" s="451"/>
      <c r="I12963" s="451"/>
      <c r="J12963" s="451"/>
      <c r="K12963" s="451"/>
    </row>
    <row r="12964" spans="1:11">
      <c r="A12964" s="450"/>
      <c r="B12964" s="450"/>
      <c r="C12964" s="450"/>
      <c r="D12964" s="450"/>
      <c r="E12964" s="450"/>
      <c r="F12964" s="450"/>
      <c r="G12964" s="450"/>
      <c r="H12964" s="450"/>
      <c r="I12964" s="450"/>
      <c r="J12964" s="450"/>
      <c r="K12964" s="450"/>
    </row>
    <row r="12965" spans="1:11">
      <c r="A12965" s="451"/>
      <c r="B12965" s="451"/>
      <c r="C12965" s="451"/>
      <c r="D12965" s="451"/>
      <c r="E12965" s="451"/>
      <c r="F12965" s="451"/>
      <c r="G12965" s="451"/>
      <c r="H12965" s="451"/>
      <c r="I12965" s="451"/>
      <c r="J12965" s="451"/>
      <c r="K12965" s="451"/>
    </row>
    <row r="12966" spans="1:11">
      <c r="A12966" s="450"/>
      <c r="B12966" s="450"/>
      <c r="C12966" s="450"/>
      <c r="D12966" s="450"/>
      <c r="E12966" s="450"/>
      <c r="F12966" s="450"/>
      <c r="G12966" s="450"/>
      <c r="H12966" s="450"/>
      <c r="I12966" s="450"/>
      <c r="J12966" s="450"/>
      <c r="K12966" s="450"/>
    </row>
    <row r="12967" spans="1:11">
      <c r="A12967" s="451"/>
      <c r="B12967" s="451"/>
      <c r="C12967" s="451"/>
      <c r="D12967" s="451"/>
      <c r="E12967" s="451"/>
      <c r="F12967" s="451"/>
      <c r="G12967" s="451"/>
      <c r="H12967" s="451"/>
      <c r="I12967" s="451"/>
      <c r="J12967" s="451"/>
      <c r="K12967" s="451"/>
    </row>
    <row r="12968" spans="1:11">
      <c r="A12968" s="450"/>
      <c r="B12968" s="450"/>
      <c r="C12968" s="450"/>
      <c r="D12968" s="450"/>
      <c r="E12968" s="450"/>
      <c r="F12968" s="450"/>
      <c r="G12968" s="450"/>
      <c r="H12968" s="450"/>
      <c r="I12968" s="450"/>
      <c r="J12968" s="450"/>
      <c r="K12968" s="450"/>
    </row>
    <row r="12969" spans="1:11">
      <c r="A12969" s="451"/>
      <c r="B12969" s="451"/>
      <c r="C12969" s="451"/>
      <c r="D12969" s="451"/>
      <c r="E12969" s="451"/>
      <c r="F12969" s="451"/>
      <c r="G12969" s="451"/>
      <c r="H12969" s="451"/>
      <c r="I12969" s="451"/>
      <c r="J12969" s="451"/>
      <c r="K12969" s="451"/>
    </row>
    <row r="12970" spans="1:11">
      <c r="A12970" s="450"/>
      <c r="B12970" s="450"/>
      <c r="C12970" s="450"/>
      <c r="D12970" s="450"/>
      <c r="E12970" s="450"/>
      <c r="F12970" s="450"/>
      <c r="G12970" s="450"/>
      <c r="H12970" s="450"/>
      <c r="I12970" s="450"/>
      <c r="J12970" s="450"/>
      <c r="K12970" s="450"/>
    </row>
    <row r="12971" spans="1:11">
      <c r="A12971" s="451"/>
      <c r="B12971" s="451"/>
      <c r="C12971" s="451"/>
      <c r="D12971" s="451"/>
      <c r="E12971" s="451"/>
      <c r="F12971" s="451"/>
      <c r="G12971" s="451"/>
      <c r="H12971" s="451"/>
      <c r="I12971" s="451"/>
      <c r="J12971" s="451"/>
      <c r="K12971" s="451"/>
    </row>
    <row r="12972" spans="1:11">
      <c r="A12972" s="450"/>
      <c r="B12972" s="450"/>
      <c r="C12972" s="450"/>
      <c r="D12972" s="450"/>
      <c r="E12972" s="450"/>
      <c r="F12972" s="450"/>
      <c r="G12972" s="450"/>
      <c r="H12972" s="450"/>
      <c r="I12972" s="450"/>
      <c r="J12972" s="450"/>
      <c r="K12972" s="450"/>
    </row>
    <row r="12973" spans="1:11">
      <c r="A12973" s="451"/>
      <c r="B12973" s="451"/>
      <c r="C12973" s="451"/>
      <c r="D12973" s="451"/>
      <c r="E12973" s="451"/>
      <c r="F12973" s="451"/>
      <c r="G12973" s="451"/>
      <c r="H12973" s="451"/>
      <c r="I12973" s="451"/>
      <c r="J12973" s="451"/>
      <c r="K12973" s="451"/>
    </row>
    <row r="12974" spans="1:11">
      <c r="A12974" s="450"/>
      <c r="B12974" s="450"/>
      <c r="C12974" s="450"/>
      <c r="D12974" s="450"/>
      <c r="E12974" s="450"/>
      <c r="F12974" s="450"/>
      <c r="G12974" s="450"/>
      <c r="H12974" s="450"/>
      <c r="I12974" s="450"/>
      <c r="J12974" s="450"/>
      <c r="K12974" s="450"/>
    </row>
    <row r="12975" spans="1:11">
      <c r="A12975" s="451"/>
      <c r="B12975" s="451"/>
      <c r="C12975" s="451"/>
      <c r="D12975" s="451"/>
      <c r="E12975" s="451"/>
      <c r="F12975" s="451"/>
      <c r="G12975" s="451"/>
      <c r="H12975" s="451"/>
      <c r="I12975" s="451"/>
      <c r="J12975" s="451"/>
      <c r="K12975" s="451"/>
    </row>
    <row r="12976" spans="1:11">
      <c r="A12976" s="450"/>
      <c r="B12976" s="450"/>
      <c r="C12976" s="450"/>
      <c r="D12976" s="450"/>
      <c r="E12976" s="450"/>
      <c r="F12976" s="450"/>
      <c r="G12976" s="450"/>
      <c r="H12976" s="450"/>
      <c r="I12976" s="450"/>
      <c r="J12976" s="450"/>
      <c r="K12976" s="450"/>
    </row>
    <row r="12977" spans="1:11">
      <c r="A12977" s="451"/>
      <c r="B12977" s="451"/>
      <c r="C12977" s="451"/>
      <c r="D12977" s="451"/>
      <c r="E12977" s="451"/>
      <c r="F12977" s="451"/>
      <c r="G12977" s="451"/>
      <c r="H12977" s="451"/>
      <c r="I12977" s="451"/>
      <c r="J12977" s="451"/>
      <c r="K12977" s="451"/>
    </row>
    <row r="12978" spans="1:11">
      <c r="A12978" s="450"/>
      <c r="B12978" s="450"/>
      <c r="C12978" s="450"/>
      <c r="D12978" s="450"/>
      <c r="E12978" s="450"/>
      <c r="F12978" s="450"/>
      <c r="G12978" s="450"/>
      <c r="H12978" s="450"/>
      <c r="I12978" s="450"/>
      <c r="J12978" s="450"/>
      <c r="K12978" s="450"/>
    </row>
    <row r="12979" spans="1:11">
      <c r="A12979" s="451"/>
      <c r="B12979" s="451"/>
      <c r="C12979" s="451"/>
      <c r="D12979" s="451"/>
      <c r="E12979" s="451"/>
      <c r="F12979" s="451"/>
      <c r="G12979" s="451"/>
      <c r="H12979" s="451"/>
      <c r="I12979" s="451"/>
      <c r="J12979" s="451"/>
      <c r="K12979" s="451"/>
    </row>
    <row r="12980" spans="1:11">
      <c r="A12980" s="450"/>
      <c r="B12980" s="450"/>
      <c r="C12980" s="450"/>
      <c r="D12980" s="450"/>
      <c r="E12980" s="450"/>
      <c r="F12980" s="450"/>
      <c r="G12980" s="450"/>
      <c r="H12980" s="450"/>
      <c r="I12980" s="450"/>
      <c r="J12980" s="450"/>
      <c r="K12980" s="450"/>
    </row>
    <row r="12981" spans="1:11">
      <c r="A12981" s="451"/>
      <c r="B12981" s="451"/>
      <c r="C12981" s="451"/>
      <c r="D12981" s="451"/>
      <c r="E12981" s="451"/>
      <c r="F12981" s="451"/>
      <c r="G12981" s="451"/>
      <c r="H12981" s="451"/>
      <c r="I12981" s="451"/>
      <c r="J12981" s="451"/>
      <c r="K12981" s="451"/>
    </row>
    <row r="12982" spans="1:11">
      <c r="A12982" s="450"/>
      <c r="B12982" s="450"/>
      <c r="C12982" s="450"/>
      <c r="D12982" s="450"/>
      <c r="E12982" s="450"/>
      <c r="F12982" s="450"/>
      <c r="G12982" s="450"/>
      <c r="H12982" s="450"/>
      <c r="I12982" s="450"/>
      <c r="J12982" s="450"/>
      <c r="K12982" s="450"/>
    </row>
    <row r="12983" spans="1:11">
      <c r="A12983" s="451"/>
      <c r="B12983" s="451"/>
      <c r="C12983" s="451"/>
      <c r="D12983" s="451"/>
      <c r="E12983" s="451"/>
      <c r="F12983" s="451"/>
      <c r="G12983" s="451"/>
      <c r="H12983" s="451"/>
      <c r="I12983" s="451"/>
      <c r="J12983" s="451"/>
      <c r="K12983" s="451"/>
    </row>
    <row r="12984" spans="1:11">
      <c r="A12984" s="450"/>
      <c r="B12984" s="450"/>
      <c r="C12984" s="450"/>
      <c r="D12984" s="450"/>
      <c r="E12984" s="450"/>
      <c r="F12984" s="450"/>
      <c r="G12984" s="450"/>
      <c r="H12984" s="450"/>
      <c r="I12984" s="450"/>
      <c r="J12984" s="450"/>
      <c r="K12984" s="450"/>
    </row>
    <row r="12985" spans="1:11">
      <c r="A12985" s="451"/>
      <c r="B12985" s="451"/>
      <c r="C12985" s="451"/>
      <c r="D12985" s="451"/>
      <c r="E12985" s="451"/>
      <c r="F12985" s="451"/>
      <c r="G12985" s="451"/>
      <c r="H12985" s="451"/>
      <c r="I12985" s="451"/>
      <c r="J12985" s="451"/>
      <c r="K12985" s="451"/>
    </row>
    <row r="12986" spans="1:11">
      <c r="A12986" s="450"/>
      <c r="B12986" s="450"/>
      <c r="C12986" s="450"/>
      <c r="D12986" s="450"/>
      <c r="E12986" s="450"/>
      <c r="F12986" s="450"/>
      <c r="G12986" s="450"/>
      <c r="H12986" s="450"/>
      <c r="I12986" s="450"/>
      <c r="J12986" s="450"/>
      <c r="K12986" s="450"/>
    </row>
    <row r="12987" spans="1:11">
      <c r="A12987" s="451"/>
      <c r="B12987" s="451"/>
      <c r="C12987" s="451"/>
      <c r="D12987" s="451"/>
      <c r="E12987" s="451"/>
      <c r="F12987" s="451"/>
      <c r="G12987" s="451"/>
      <c r="H12987" s="451"/>
      <c r="I12987" s="451"/>
      <c r="J12987" s="451"/>
      <c r="K12987" s="451"/>
    </row>
    <row r="12988" spans="1:11">
      <c r="A12988" s="450"/>
      <c r="B12988" s="450"/>
      <c r="C12988" s="450"/>
      <c r="D12988" s="450"/>
      <c r="E12988" s="450"/>
      <c r="F12988" s="450"/>
      <c r="G12988" s="450"/>
      <c r="H12988" s="450"/>
      <c r="I12988" s="450"/>
      <c r="J12988" s="450"/>
      <c r="K12988" s="450"/>
    </row>
    <row r="12989" spans="1:11">
      <c r="A12989" s="451"/>
      <c r="B12989" s="451"/>
      <c r="C12989" s="451"/>
      <c r="D12989" s="451"/>
      <c r="E12989" s="451"/>
      <c r="F12989" s="451"/>
      <c r="G12989" s="451"/>
      <c r="H12989" s="451"/>
      <c r="I12989" s="451"/>
      <c r="J12989" s="451"/>
      <c r="K12989" s="451"/>
    </row>
    <row r="12990" spans="1:11">
      <c r="A12990" s="450"/>
      <c r="B12990" s="450"/>
      <c r="C12990" s="450"/>
      <c r="D12990" s="450"/>
      <c r="E12990" s="450"/>
      <c r="F12990" s="450"/>
      <c r="G12990" s="450"/>
      <c r="H12990" s="450"/>
      <c r="I12990" s="450"/>
      <c r="J12990" s="450"/>
      <c r="K12990" s="450"/>
    </row>
    <row r="12991" spans="1:11">
      <c r="A12991" s="451"/>
      <c r="B12991" s="451"/>
      <c r="C12991" s="451"/>
      <c r="D12991" s="451"/>
      <c r="E12991" s="451"/>
      <c r="F12991" s="451"/>
      <c r="G12991" s="451"/>
      <c r="H12991" s="451"/>
      <c r="I12991" s="451"/>
      <c r="J12991" s="451"/>
      <c r="K12991" s="451"/>
    </row>
    <row r="12992" spans="1:11">
      <c r="A12992" s="450"/>
      <c r="B12992" s="450"/>
      <c r="C12992" s="450"/>
      <c r="D12992" s="450"/>
      <c r="E12992" s="450"/>
      <c r="F12992" s="450"/>
      <c r="G12992" s="450"/>
      <c r="H12992" s="450"/>
      <c r="I12992" s="450"/>
      <c r="J12992" s="450"/>
      <c r="K12992" s="450"/>
    </row>
    <row r="12993" spans="1:11">
      <c r="A12993" s="451"/>
      <c r="B12993" s="451"/>
      <c r="C12993" s="451"/>
      <c r="D12993" s="451"/>
      <c r="E12993" s="451"/>
      <c r="F12993" s="451"/>
      <c r="G12993" s="451"/>
      <c r="H12993" s="451"/>
      <c r="I12993" s="451"/>
      <c r="J12993" s="451"/>
      <c r="K12993" s="451"/>
    </row>
    <row r="12994" spans="1:11">
      <c r="A12994" s="450"/>
      <c r="B12994" s="450"/>
      <c r="C12994" s="450"/>
      <c r="D12994" s="450"/>
      <c r="E12994" s="450"/>
      <c r="F12994" s="450"/>
      <c r="G12994" s="450"/>
      <c r="H12994" s="450"/>
      <c r="I12994" s="450"/>
      <c r="J12994" s="450"/>
      <c r="K12994" s="450"/>
    </row>
    <row r="12995" spans="1:11">
      <c r="A12995" s="451"/>
      <c r="B12995" s="451"/>
      <c r="C12995" s="451"/>
      <c r="D12995" s="451"/>
      <c r="E12995" s="451"/>
      <c r="F12995" s="451"/>
      <c r="G12995" s="451"/>
      <c r="H12995" s="451"/>
      <c r="I12995" s="451"/>
      <c r="J12995" s="451"/>
      <c r="K12995" s="451"/>
    </row>
    <row r="12996" spans="1:11">
      <c r="A12996" s="450"/>
      <c r="B12996" s="450"/>
      <c r="C12996" s="450"/>
      <c r="D12996" s="450"/>
      <c r="E12996" s="450"/>
      <c r="F12996" s="450"/>
      <c r="G12996" s="450"/>
      <c r="H12996" s="450"/>
      <c r="I12996" s="450"/>
      <c r="J12996" s="450"/>
      <c r="K12996" s="450"/>
    </row>
    <row r="12997" spans="1:11">
      <c r="A12997" s="451"/>
      <c r="B12997" s="451"/>
      <c r="C12997" s="451"/>
      <c r="D12997" s="451"/>
      <c r="E12997" s="451"/>
      <c r="F12997" s="451"/>
      <c r="G12997" s="451"/>
      <c r="H12997" s="451"/>
      <c r="I12997" s="451"/>
      <c r="J12997" s="451"/>
      <c r="K12997" s="451"/>
    </row>
    <row r="12998" spans="1:11">
      <c r="A12998" s="450"/>
      <c r="B12998" s="450"/>
      <c r="C12998" s="450"/>
      <c r="D12998" s="450"/>
      <c r="E12998" s="450"/>
      <c r="F12998" s="450"/>
      <c r="G12998" s="450"/>
      <c r="H12998" s="450"/>
      <c r="I12998" s="450"/>
      <c r="J12998" s="450"/>
      <c r="K12998" s="450"/>
    </row>
    <row r="12999" spans="1:11">
      <c r="A12999" s="451"/>
      <c r="B12999" s="451"/>
      <c r="C12999" s="451"/>
      <c r="D12999" s="451"/>
      <c r="E12999" s="451"/>
      <c r="F12999" s="451"/>
      <c r="G12999" s="451"/>
      <c r="H12999" s="451"/>
      <c r="I12999" s="451"/>
      <c r="J12999" s="451"/>
      <c r="K12999" s="451"/>
    </row>
    <row r="13000" spans="1:11">
      <c r="A13000" s="450"/>
      <c r="B13000" s="450"/>
      <c r="C13000" s="450"/>
      <c r="D13000" s="450"/>
      <c r="E13000" s="450"/>
      <c r="F13000" s="450"/>
      <c r="G13000" s="450"/>
      <c r="H13000" s="450"/>
      <c r="I13000" s="450"/>
      <c r="J13000" s="450"/>
      <c r="K13000" s="450"/>
    </row>
    <row r="13001" spans="1:11">
      <c r="A13001" s="451"/>
      <c r="B13001" s="451"/>
      <c r="C13001" s="451"/>
      <c r="D13001" s="451"/>
      <c r="E13001" s="451"/>
      <c r="F13001" s="451"/>
      <c r="G13001" s="451"/>
      <c r="H13001" s="451"/>
      <c r="I13001" s="451"/>
      <c r="J13001" s="451"/>
      <c r="K13001" s="451"/>
    </row>
    <row r="13002" spans="1:11">
      <c r="A13002" s="450"/>
      <c r="B13002" s="450"/>
      <c r="C13002" s="450"/>
      <c r="D13002" s="450"/>
      <c r="E13002" s="450"/>
      <c r="F13002" s="450"/>
      <c r="G13002" s="450"/>
      <c r="H13002" s="450"/>
      <c r="I13002" s="450"/>
      <c r="J13002" s="450"/>
      <c r="K13002" s="450"/>
    </row>
    <row r="13003" spans="1:11">
      <c r="A13003" s="451"/>
      <c r="B13003" s="451"/>
      <c r="C13003" s="451"/>
      <c r="D13003" s="451"/>
      <c r="E13003" s="451"/>
      <c r="F13003" s="451"/>
      <c r="G13003" s="451"/>
      <c r="H13003" s="451"/>
      <c r="I13003" s="451"/>
      <c r="J13003" s="451"/>
      <c r="K13003" s="451"/>
    </row>
    <row r="13004" spans="1:11">
      <c r="A13004" s="450"/>
      <c r="B13004" s="450"/>
      <c r="C13004" s="450"/>
      <c r="D13004" s="450"/>
      <c r="E13004" s="450"/>
      <c r="F13004" s="450"/>
      <c r="G13004" s="450"/>
      <c r="H13004" s="450"/>
      <c r="I13004" s="450"/>
      <c r="J13004" s="450"/>
      <c r="K13004" s="450"/>
    </row>
    <row r="13005" spans="1:11">
      <c r="A13005" s="451"/>
      <c r="B13005" s="451"/>
      <c r="C13005" s="451"/>
      <c r="D13005" s="451"/>
      <c r="E13005" s="451"/>
      <c r="F13005" s="451"/>
      <c r="G13005" s="451"/>
      <c r="H13005" s="451"/>
      <c r="I13005" s="451"/>
      <c r="J13005" s="451"/>
      <c r="K13005" s="451"/>
    </row>
    <row r="13006" spans="1:11">
      <c r="A13006" s="450"/>
      <c r="B13006" s="450"/>
      <c r="C13006" s="450"/>
      <c r="D13006" s="450"/>
      <c r="E13006" s="450"/>
      <c r="F13006" s="450"/>
      <c r="G13006" s="450"/>
      <c r="H13006" s="450"/>
      <c r="I13006" s="450"/>
      <c r="J13006" s="450"/>
      <c r="K13006" s="450"/>
    </row>
    <row r="13007" spans="1:11">
      <c r="A13007" s="451"/>
      <c r="B13007" s="451"/>
      <c r="C13007" s="451"/>
      <c r="D13007" s="451"/>
      <c r="E13007" s="451"/>
      <c r="F13007" s="451"/>
      <c r="G13007" s="451"/>
      <c r="H13007" s="451"/>
      <c r="I13007" s="451"/>
      <c r="J13007" s="451"/>
      <c r="K13007" s="451"/>
    </row>
    <row r="13008" spans="1:11">
      <c r="A13008" s="450"/>
      <c r="B13008" s="450"/>
      <c r="C13008" s="450"/>
      <c r="D13008" s="450"/>
      <c r="E13008" s="450"/>
      <c r="F13008" s="450"/>
      <c r="G13008" s="450"/>
      <c r="H13008" s="450"/>
      <c r="I13008" s="450"/>
      <c r="J13008" s="450"/>
      <c r="K13008" s="450"/>
    </row>
    <row r="13009" spans="1:11">
      <c r="A13009" s="451"/>
      <c r="B13009" s="451"/>
      <c r="C13009" s="451"/>
      <c r="D13009" s="451"/>
      <c r="E13009" s="451"/>
      <c r="F13009" s="451"/>
      <c r="G13009" s="451"/>
      <c r="H13009" s="451"/>
      <c r="I13009" s="451"/>
      <c r="J13009" s="451"/>
      <c r="K13009" s="451"/>
    </row>
    <row r="13010" spans="1:11">
      <c r="A13010" s="450"/>
      <c r="B13010" s="450"/>
      <c r="C13010" s="450"/>
      <c r="D13010" s="450"/>
      <c r="E13010" s="450"/>
      <c r="F13010" s="450"/>
      <c r="G13010" s="450"/>
      <c r="H13010" s="450"/>
      <c r="I13010" s="450"/>
      <c r="J13010" s="450"/>
      <c r="K13010" s="450"/>
    </row>
    <row r="13011" spans="1:11">
      <c r="A13011" s="451"/>
      <c r="B13011" s="451"/>
      <c r="C13011" s="451"/>
      <c r="D13011" s="451"/>
      <c r="E13011" s="451"/>
      <c r="F13011" s="451"/>
      <c r="G13011" s="451"/>
      <c r="H13011" s="451"/>
      <c r="I13011" s="451"/>
      <c r="J13011" s="451"/>
      <c r="K13011" s="451"/>
    </row>
    <row r="13012" spans="1:11">
      <c r="A13012" s="450"/>
      <c r="B13012" s="450"/>
      <c r="C13012" s="450"/>
      <c r="D13012" s="450"/>
      <c r="E13012" s="450"/>
      <c r="F13012" s="450"/>
      <c r="G13012" s="450"/>
      <c r="H13012" s="450"/>
      <c r="I13012" s="450"/>
      <c r="J13012" s="450"/>
      <c r="K13012" s="450"/>
    </row>
    <row r="13013" spans="1:11">
      <c r="A13013" s="451"/>
      <c r="B13013" s="451"/>
      <c r="C13013" s="451"/>
      <c r="D13013" s="451"/>
      <c r="E13013" s="451"/>
      <c r="F13013" s="451"/>
      <c r="G13013" s="451"/>
      <c r="H13013" s="451"/>
      <c r="I13013" s="451"/>
      <c r="J13013" s="451"/>
      <c r="K13013" s="451"/>
    </row>
    <row r="13014" spans="1:11" ht="13" thickBot="1">
      <c r="A13014" s="459"/>
      <c r="B13014" s="459"/>
      <c r="C13014" s="459"/>
      <c r="D13014" s="459"/>
      <c r="E13014" s="459"/>
      <c r="F13014" s="459"/>
      <c r="G13014" s="459"/>
      <c r="H13014" s="459"/>
      <c r="I13014" s="459"/>
      <c r="J13014" s="459"/>
      <c r="K13014" s="459"/>
    </row>
  </sheetData>
  <sortState xmlns:xlrd2="http://schemas.microsoft.com/office/spreadsheetml/2017/richdata2" ref="A2:K13012">
    <sortCondition ref="A2:A13012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B93"/>
  <sheetViews>
    <sheetView showGridLines="0" workbookViewId="0">
      <selection activeCell="Q52" sqref="Q52"/>
    </sheetView>
  </sheetViews>
  <sheetFormatPr defaultColWidth="9.08984375" defaultRowHeight="11.5"/>
  <cols>
    <col min="1" max="1" width="6" style="30" bestFit="1" customWidth="1"/>
    <col min="2" max="2" width="7.453125" style="45" customWidth="1"/>
    <col min="3" max="3" width="9.36328125" style="30" customWidth="1"/>
    <col min="4" max="4" width="9.36328125" style="30" bestFit="1" customWidth="1"/>
    <col min="5" max="5" width="5.81640625" style="30" bestFit="1" customWidth="1"/>
    <col min="6" max="6" width="7.81640625" style="30" customWidth="1"/>
    <col min="7" max="7" width="9.54296875" style="30" customWidth="1"/>
    <col min="8" max="8" width="8.08984375" style="30" customWidth="1"/>
    <col min="9" max="9" width="8" style="30" customWidth="1"/>
    <col min="10" max="10" width="7.54296875" style="30" customWidth="1"/>
    <col min="11" max="11" width="8.54296875" style="30" customWidth="1"/>
    <col min="12" max="12" width="9.08984375" style="30"/>
    <col min="13" max="13" width="6.36328125" style="30" bestFit="1" customWidth="1"/>
    <col min="14" max="14" width="6.36328125" style="45" bestFit="1" customWidth="1"/>
    <col min="15" max="15" width="9.36328125" style="30" customWidth="1"/>
    <col min="16" max="16" width="9.36328125" style="30" bestFit="1" customWidth="1"/>
    <col min="17" max="17" width="7.36328125" style="30" customWidth="1"/>
    <col min="18" max="18" width="5.54296875" style="30" customWidth="1"/>
    <col min="19" max="19" width="7.81640625" style="30" customWidth="1"/>
    <col min="20" max="20" width="9.81640625" style="30" customWidth="1"/>
    <col min="21" max="22" width="6.54296875" style="30" customWidth="1"/>
    <col min="23" max="24" width="7.54296875" style="30" customWidth="1"/>
    <col min="25" max="25" width="8.54296875" style="30" customWidth="1"/>
    <col min="26" max="26" width="10.54296875" style="30" customWidth="1"/>
    <col min="27" max="38" width="9.08984375" style="30"/>
    <col min="39" max="40" width="5.54296875" style="30" bestFit="1" customWidth="1"/>
    <col min="41" max="44" width="6.54296875" style="30" bestFit="1" customWidth="1"/>
    <col min="45" max="45" width="9" style="30" customWidth="1"/>
    <col min="46" max="46" width="6.54296875" style="30" customWidth="1"/>
    <col min="47" max="47" width="11.453125" style="30" bestFit="1" customWidth="1"/>
    <col min="48" max="49" width="7.81640625" style="30" bestFit="1" customWidth="1"/>
    <col min="50" max="53" width="6.54296875" style="30" bestFit="1" customWidth="1"/>
    <col min="54" max="16384" width="9.08984375" style="30"/>
  </cols>
  <sheetData>
    <row r="1" spans="1:54">
      <c r="A1" s="592" t="s">
        <v>472</v>
      </c>
      <c r="B1" s="592"/>
      <c r="C1" s="592"/>
      <c r="D1" s="592"/>
      <c r="E1" s="592"/>
      <c r="F1" s="592"/>
      <c r="G1" s="592"/>
      <c r="H1" s="592"/>
      <c r="I1" s="592"/>
      <c r="J1" s="592"/>
      <c r="K1" s="592"/>
      <c r="N1" s="30"/>
    </row>
    <row r="2" spans="1:54">
      <c r="A2" s="592" t="s">
        <v>171</v>
      </c>
      <c r="B2" s="592"/>
      <c r="C2" s="592"/>
      <c r="D2" s="592"/>
      <c r="E2" s="592"/>
      <c r="F2" s="592"/>
      <c r="G2" s="592"/>
      <c r="H2" s="592"/>
      <c r="I2" s="592"/>
      <c r="J2" s="592"/>
      <c r="K2" s="592"/>
      <c r="N2" s="30"/>
    </row>
    <row r="3" spans="1:54">
      <c r="B3" s="30"/>
      <c r="K3" s="100"/>
      <c r="N3" s="30"/>
      <c r="Y3" s="100"/>
    </row>
    <row r="4" spans="1:54">
      <c r="E4" s="34"/>
      <c r="F4" s="34"/>
      <c r="G4" s="34"/>
      <c r="H4" s="34"/>
      <c r="I4" s="34"/>
      <c r="R4" s="34"/>
      <c r="S4" s="34"/>
      <c r="T4" s="34"/>
      <c r="U4" s="34"/>
      <c r="V4" s="34"/>
    </row>
    <row r="5" spans="1:54">
      <c r="E5" s="34"/>
      <c r="F5" s="34"/>
      <c r="G5" s="34"/>
      <c r="H5" s="34"/>
      <c r="I5" s="34"/>
      <c r="R5" s="34"/>
      <c r="S5" s="34"/>
      <c r="T5" s="34"/>
      <c r="U5" s="34"/>
      <c r="V5" s="34"/>
      <c r="Z5" s="30">
        <f>SUM(AF7:AF51)</f>
        <v>779</v>
      </c>
      <c r="AA5" s="592"/>
      <c r="AB5" s="592"/>
      <c r="AC5" s="592"/>
      <c r="AD5" s="592"/>
      <c r="AE5" s="592"/>
    </row>
    <row r="6" spans="1:54" ht="25.5" customHeight="1">
      <c r="A6" s="34" t="s">
        <v>633</v>
      </c>
      <c r="B6" s="101" t="s">
        <v>632</v>
      </c>
      <c r="C6" s="34" t="s">
        <v>103</v>
      </c>
      <c r="D6" s="34" t="s">
        <v>186</v>
      </c>
      <c r="E6" s="34" t="s">
        <v>530</v>
      </c>
      <c r="F6" s="34" t="s">
        <v>179</v>
      </c>
      <c r="G6" s="34" t="s">
        <v>75</v>
      </c>
      <c r="H6" s="34" t="s">
        <v>614</v>
      </c>
      <c r="I6" s="34"/>
      <c r="J6" s="34" t="s">
        <v>616</v>
      </c>
      <c r="K6" s="34" t="s">
        <v>571</v>
      </c>
      <c r="M6" s="34" t="s">
        <v>633</v>
      </c>
      <c r="N6" s="101" t="s">
        <v>632</v>
      </c>
      <c r="O6" s="34" t="s">
        <v>420</v>
      </c>
      <c r="P6" s="34" t="s">
        <v>397</v>
      </c>
      <c r="Q6" s="34"/>
      <c r="R6" s="34" t="s">
        <v>530</v>
      </c>
      <c r="S6" s="34" t="s">
        <v>179</v>
      </c>
      <c r="T6" s="34" t="s">
        <v>75</v>
      </c>
      <c r="U6" s="34" t="s">
        <v>614</v>
      </c>
      <c r="V6" s="34"/>
      <c r="W6" s="34"/>
      <c r="X6" s="34"/>
      <c r="Y6" s="34"/>
      <c r="Z6" s="33" t="s">
        <v>545</v>
      </c>
      <c r="AA6" s="33" t="s">
        <v>360</v>
      </c>
      <c r="AB6" s="34" t="s">
        <v>654</v>
      </c>
      <c r="AC6" s="34" t="s">
        <v>415</v>
      </c>
      <c r="AD6" s="34" t="s">
        <v>719</v>
      </c>
      <c r="AE6" s="34" t="s">
        <v>756</v>
      </c>
      <c r="AG6" s="592" t="s">
        <v>868</v>
      </c>
      <c r="AH6" s="592"/>
      <c r="AI6" s="592"/>
      <c r="AJ6" s="592"/>
      <c r="AM6" s="592" t="s">
        <v>869</v>
      </c>
      <c r="AN6" s="592"/>
      <c r="AO6" s="592"/>
      <c r="AP6" s="592"/>
      <c r="AQ6" s="592"/>
      <c r="AR6" s="592"/>
      <c r="AV6" s="592" t="s">
        <v>870</v>
      </c>
      <c r="AW6" s="592"/>
      <c r="AX6" s="592"/>
      <c r="AY6" s="592"/>
      <c r="AZ6" s="592"/>
      <c r="BA6" s="592"/>
    </row>
    <row r="7" spans="1:54">
      <c r="A7" s="593">
        <v>1.5</v>
      </c>
      <c r="B7" s="102">
        <v>0.625</v>
      </c>
      <c r="C7" s="30" t="s">
        <v>607</v>
      </c>
      <c r="D7" s="30" t="s">
        <v>189</v>
      </c>
      <c r="E7" s="30">
        <v>642</v>
      </c>
      <c r="F7" s="30">
        <v>714</v>
      </c>
      <c r="G7" s="30">
        <v>775</v>
      </c>
      <c r="H7" s="30">
        <v>965</v>
      </c>
      <c r="I7" s="103"/>
      <c r="J7" s="30">
        <v>10</v>
      </c>
      <c r="K7" s="30">
        <v>147</v>
      </c>
      <c r="M7" s="380">
        <v>1.5</v>
      </c>
      <c r="N7" s="104">
        <v>0.625</v>
      </c>
      <c r="O7" s="30" t="s">
        <v>607</v>
      </c>
      <c r="P7" s="30" t="s">
        <v>189</v>
      </c>
      <c r="Q7" s="30" t="str">
        <f>IF(OR(Data!B$3="H",Data!B$3="HM",Data!B$3="W"),IF(M7=Data!B$4,IF(N7=Data!B$6,SUM(R7:V7),""),""),"")</f>
        <v/>
      </c>
      <c r="R7" s="30" t="str">
        <f>IF(OR("MX0"=Data!B$5,"MX1"=Data!B$5,"MX2"=Data!B$5,"MX3"=Data!B$5),E7,"")</f>
        <v/>
      </c>
      <c r="S7" s="30">
        <f>IF(OR("MF1"=Data!B$5,"MF2"=Data!B$5,"MS4"=Data!B$5),F7,"")</f>
        <v>714</v>
      </c>
      <c r="T7" s="30" t="str">
        <f>IF(OR("MP1"=Data!B$5,"MP3"=Data!B$5,"MT1"=Data!B$5,"MT2"=Data!B$5,"MF5"=Data!B$5,"MF6"=Data!B$5,,"MS2"=Data!B$5,"ME5"=Data!B$5,"ME6"=Data!B$5),G7,"")</f>
        <v/>
      </c>
      <c r="U7" s="30" t="str">
        <f>IF(OR("MS3"=Data!B$5,"ME3"=Data!B$5,"ME4"=Data!B$5,"MP2"=Data!B$5,"MT4"=Data!B$5,"MPU3"=Data!B$5,"MS7"=Data!B$5),H7,"")</f>
        <v/>
      </c>
      <c r="W7" s="30" t="str">
        <f>IF(OR(Q7="",Q7=0),"",IF(Data!B$7="ABE",K7*4,IF(OR(Data!B$7="ACE",Data!B$7="ARE"),K7*2,IF(Data!B$7="BE",K7*2,IF(OR(Data!B$7="CE",Data!B$7="RE"),K7,0))))+J7*(ROUNDUP(Data!B$8,0.1)))</f>
        <v/>
      </c>
      <c r="Z7" s="30">
        <f>ROUNDUP(E7*0.25,0)</f>
        <v>161</v>
      </c>
      <c r="AA7" s="30">
        <f>Z7+K7</f>
        <v>308</v>
      </c>
      <c r="AB7" s="30">
        <f>ROUNDDOWN(J7*0.95,0)</f>
        <v>9</v>
      </c>
      <c r="AC7" s="30">
        <f>SUM(AJ7:AJ15)</f>
        <v>2.6880000000000002</v>
      </c>
      <c r="AD7" s="104">
        <f>AS49+BB39+Data!B11+Data!B27</f>
        <v>8.73</v>
      </c>
      <c r="AE7" s="30">
        <f>Data!B25</f>
        <v>0</v>
      </c>
      <c r="AF7" s="30" t="str">
        <f>IF(W7&lt;&gt;"",IF(Data!B$7="NC",Z7+(AB7*(Data!B$8+Data!B$11+Data!B$27)),IF(Data!B$7&lt;&gt;"NC",AA7+(AB7*(Data!B$8+Data!B$11+Data!B$27)))),"")</f>
        <v/>
      </c>
      <c r="AG7" s="30">
        <v>1.5</v>
      </c>
      <c r="AH7" s="30">
        <v>1.25</v>
      </c>
      <c r="AI7" s="30">
        <v>1.5629999999999999</v>
      </c>
      <c r="AJ7" s="30">
        <f>IF(Data!B$4=1.5,IF(OR(Data!$B$3="H",Data!$B$3="SH"),AI7,AH7),0)</f>
        <v>0</v>
      </c>
      <c r="AL7" s="104">
        <v>1.5</v>
      </c>
      <c r="AM7" s="592" t="s">
        <v>717</v>
      </c>
      <c r="AN7" s="592"/>
      <c r="AO7" s="592" t="s">
        <v>578</v>
      </c>
      <c r="AP7" s="592"/>
      <c r="AQ7" s="592" t="s">
        <v>526</v>
      </c>
      <c r="AR7" s="592"/>
      <c r="AU7" s="104">
        <v>1.5</v>
      </c>
      <c r="AV7" s="592" t="s">
        <v>717</v>
      </c>
      <c r="AW7" s="592"/>
      <c r="AX7" s="592" t="s">
        <v>578</v>
      </c>
      <c r="AY7" s="592"/>
      <c r="AZ7" s="592" t="s">
        <v>526</v>
      </c>
      <c r="BA7" s="592"/>
    </row>
    <row r="8" spans="1:54">
      <c r="A8" s="593"/>
      <c r="B8" s="102">
        <v>1</v>
      </c>
      <c r="C8" s="105" t="s">
        <v>856</v>
      </c>
      <c r="D8" s="105" t="s">
        <v>392</v>
      </c>
      <c r="E8" s="30">
        <v>765</v>
      </c>
      <c r="F8" s="30">
        <v>837</v>
      </c>
      <c r="G8" s="30">
        <v>887</v>
      </c>
      <c r="H8" s="30">
        <v>1110</v>
      </c>
      <c r="I8" s="103"/>
      <c r="J8" s="30">
        <v>12</v>
      </c>
      <c r="K8" s="30">
        <v>147</v>
      </c>
      <c r="M8" s="380">
        <v>1.5</v>
      </c>
      <c r="N8" s="104">
        <v>1</v>
      </c>
      <c r="O8" s="105" t="s">
        <v>856</v>
      </c>
      <c r="P8" s="105" t="s">
        <v>392</v>
      </c>
      <c r="Q8" s="30" t="str">
        <f>IF(OR(Data!B$3="H",Data!B$3="HM",Data!B$3="W"),IF(M8=Data!B$4,IF(N8=Data!B$6,SUM(R8:V8),""),""),"")</f>
        <v/>
      </c>
      <c r="R8" s="30" t="str">
        <f>IF(OR("MX0"=Data!B$5,"MX1"=Data!B$5,"MX2"=Data!B$5,"MX3"=Data!B$5),E8,"")</f>
        <v/>
      </c>
      <c r="S8" s="30">
        <f>IF(OR("MF1"=Data!B$5,"MF2"=Data!B$5,"MS4"=Data!B$5),F8,"")</f>
        <v>837</v>
      </c>
      <c r="T8" s="30" t="str">
        <f>IF(OR("MP1"=Data!B$5,"MP3"=Data!B$5,"MT1"=Data!B$5,"MT2"=Data!B$5,"MF5"=Data!B$5,"MF6"=Data!B$5,,"MS2"=Data!B$5,"ME5"=Data!B$5,"ME6"=Data!B$5),G8,"")</f>
        <v/>
      </c>
      <c r="U8" s="30" t="str">
        <f>IF(OR("MS3"=Data!B$5,"ME3"=Data!B$5,"ME4"=Data!B$5,"MP2"=Data!B$5,"MT4"=Data!B$5,"MPU3"=Data!B$5,"MS7"=Data!B$5),H8,"")</f>
        <v/>
      </c>
      <c r="W8" s="30" t="str">
        <f>IF(OR(Q8="",Q8=0),"",IF(Data!B$7="ABE",K8*4,IF(OR(Data!B$7="ACE",Data!B$7="ARE"),K8*2,IF(Data!B$7="BE",K8*2,IF(OR(Data!B$7="CE",Data!B$7="RE"),K8,0))))+J8*(ROUNDUP(Data!B$8,0.1)))</f>
        <v/>
      </c>
      <c r="Z8" s="30">
        <f t="shared" ref="Z8:Z51" si="0">ROUNDUP(E8*0.25,0)</f>
        <v>192</v>
      </c>
      <c r="AA8" s="30">
        <f t="shared" ref="AA8:AA51" si="1">Z8+K8</f>
        <v>339</v>
      </c>
      <c r="AB8" s="30">
        <f t="shared" ref="AB8:AB51" si="2">ROUNDDOWN(J8*0.95,0)</f>
        <v>11</v>
      </c>
      <c r="AC8" s="46"/>
      <c r="AF8" s="30" t="str">
        <f>IF(W8&lt;&gt;"",IF(Data!B$7="NC",Z8+(AB8*(Data!B$8+Data!B$11+Data!B$27)),IF(Data!B$7&lt;&gt;"NC",AA8+(AB8*(Data!B$8+Data!B$11+Data!B$27)))),"")</f>
        <v/>
      </c>
      <c r="AG8" s="30">
        <v>2</v>
      </c>
      <c r="AH8" s="30">
        <v>1.25</v>
      </c>
      <c r="AI8" s="30">
        <v>1.5629999999999999</v>
      </c>
      <c r="AJ8" s="30">
        <f>IF(Data!B$4=2,IF(OR(Data!$B$3="H",Data!$B$3="SH"),AI8,AH8),0)</f>
        <v>0</v>
      </c>
      <c r="AL8" s="104">
        <v>0.625</v>
      </c>
      <c r="AM8" s="104" t="str">
        <f>IF(AND(OR(Data!$B$3="A",Data!$B$3="LH",Data!$B$3="SA"),Data!$B$4=1.5,Data!$B$6=0.625),IF(AND(OR(Data!$B$7="be",Data!$B$7="ce"),Data!$D$15=4),AM53,""),"")</f>
        <v/>
      </c>
      <c r="AN8" s="104" t="str">
        <f>IF(AND(OR(Data!$B$3="A",Data!$B$3="LH",Data!$B$3="SA"),Data!$B$4=1.5,Data!$B$6=0.625),IF(AND(OR(Data!$B$7="RE",Data!$B$7="NC"),Data!$D$15=4),AN53,""),"")</f>
        <v/>
      </c>
      <c r="AO8" s="104" t="str">
        <f>IF(AND(OR(Data!$B$3="A",Data!$B$3="LH",Data!$B$3="SA"),Data!$B$4=1.5,Data!$B$6=0.625),IF(AND(OR(Data!$B$7="be",Data!$B$7="ce"),Data!$D$15=3),AO53,""),"")</f>
        <v/>
      </c>
      <c r="AP8" s="104" t="str">
        <f>IF(AND(OR(Data!$B$3="A",Data!$B$3="LH",Data!$B$3="SA"),Data!$B$4=1.5,Data!$B$6=0.625),IF(AND(OR(Data!$B$7="RE",Data!$B$7="NC"),Data!$D$15=3),AP53,""),"")</f>
        <v/>
      </c>
      <c r="AQ8" s="104" t="str">
        <f>IF(AND(OR(Data!$B$3="A",Data!$B$3="LH",Data!$B$3="SA"),Data!$B$4=1.5,Data!$B$6=0.625),IF(AND(OR(Data!$B$7="be",Data!$B$7="ce"),OR(Data!$D$15=1,Data!$D$15=2,Data!$D$15=6)),AQ53,""),"")</f>
        <v/>
      </c>
      <c r="AR8" s="104" t="str">
        <f>IF(AND(OR(Data!$B$3="A",Data!$B$3="LH",Data!$B$3="SA"),Data!$B$4=1.5,Data!$B$6=0.625),IF(AND(OR(Data!$B$7="re",Data!$B$7="nc"),OR(Data!$D$15=1,Data!$D$15=2,Data!$D$15=6)),AR53,""),"")</f>
        <v/>
      </c>
      <c r="AS8" s="104">
        <f>SUM(AM8:AR8)</f>
        <v>0</v>
      </c>
      <c r="AT8" s="104"/>
      <c r="AU8" s="104">
        <v>0.625</v>
      </c>
      <c r="AV8" s="104" t="str">
        <f>IF(AND(OR(Data!$B$3="H",Data!$B$3="SH"),Data!$B$4=1.5,Data!$B$6=0.625),IF(AND(OR(Data!$B$7="be",Data!$B$7="ce"),Data!$D$15=4),AV42,""),"")</f>
        <v/>
      </c>
      <c r="AW8" s="104" t="str">
        <f>IF(AND(OR(Data!$B$3="H",Data!$B$3="SH"),Data!$B$4=1.5,Data!$B$6=0.625),IF(AND(OR(Data!$B$7="RE",Data!$B$7="NC"),Data!$D$15=4),AW42,""),"")</f>
        <v/>
      </c>
      <c r="AX8" s="104" t="str">
        <f>IF(AND(OR(Data!$B$3="H",Data!$B$3="SH"),Data!$B$4=1.5,Data!$B$6=0.625),IF(AND(OR(Data!$B$7="be",Data!$B$7="ce"),Data!$D$15=3),AX42,""),"")</f>
        <v/>
      </c>
      <c r="AY8" s="104" t="str">
        <f>IF(AND(OR(Data!$B$3="H",Data!$B$3="SH"),Data!$B$4=1.5,Data!$B$6=0.625),IF(AND(OR(Data!$B$7="RE",Data!$B$7="NC"),Data!$D$15=3),AY42,""),"")</f>
        <v/>
      </c>
      <c r="AZ8" s="104" t="str">
        <f>IF(AND(OR(Data!$B$3="H",Data!$B$3="SH"),Data!$B$4=1.5,Data!$B$6=0.625),IF(AND(OR(Data!$B$7="be",Data!$B$7="ce"),OR(Data!$D$15=1,Data!$D$15=2,Data!$D$15=6)),AZ42,""),"")</f>
        <v/>
      </c>
      <c r="BA8" s="104" t="str">
        <f>IF(AND(OR(Data!$B$3="H",Data!$B$3="SH"),Data!$B$4=1.5,Data!$B$6=0.625),IF(AND(OR(Data!$B$7="re",Data!$B$7="nc"),OR(Data!$D$15=1,Data!$D$15=2,Data!$D$15=6)),BA42,""),"")</f>
        <v/>
      </c>
      <c r="BB8" s="104">
        <f t="shared" ref="BB8:BB38" si="3">SUM(AV8:BA8)</f>
        <v>0</v>
      </c>
    </row>
    <row r="9" spans="1:54">
      <c r="A9" s="594">
        <v>2</v>
      </c>
      <c r="B9" s="102">
        <v>1</v>
      </c>
      <c r="C9" s="30" t="s">
        <v>856</v>
      </c>
      <c r="D9" s="30" t="s">
        <v>392</v>
      </c>
      <c r="E9" s="30">
        <v>765</v>
      </c>
      <c r="F9" s="30">
        <v>837</v>
      </c>
      <c r="G9" s="30">
        <v>910</v>
      </c>
      <c r="H9" s="30">
        <v>1146</v>
      </c>
      <c r="I9" s="103"/>
      <c r="J9" s="30">
        <v>13</v>
      </c>
      <c r="K9" s="30">
        <v>161</v>
      </c>
      <c r="M9" s="380">
        <v>2</v>
      </c>
      <c r="N9" s="104">
        <v>1</v>
      </c>
      <c r="O9" s="30" t="s">
        <v>856</v>
      </c>
      <c r="P9" s="30" t="s">
        <v>392</v>
      </c>
      <c r="Q9" s="30" t="str">
        <f>IF(OR(Data!B$3="H",Data!B$3="HM",Data!B$3="W"),IF(M9=Data!B$4,IF(N9=Data!B$6,SUM(R9:V9),""),""),"")</f>
        <v/>
      </c>
      <c r="R9" s="30" t="str">
        <f>IF(OR("MX0"=Data!B$5,"MX1"=Data!B$5,"MX2"=Data!B$5,"MX3"=Data!B$5),E9,"")</f>
        <v/>
      </c>
      <c r="S9" s="30">
        <f>IF(OR("MF1"=Data!B$5,"MF2"=Data!B$5,"MS4"=Data!B$5),F9,"")</f>
        <v>837</v>
      </c>
      <c r="T9" s="30" t="str">
        <f>IF(OR("MP1"=Data!B$5,"MP3"=Data!B$5,"MT1"=Data!B$5,"MT2"=Data!B$5,"MF5"=Data!B$5,"MF6"=Data!B$5,,"MS2"=Data!B$5,"ME5"=Data!B$5,"ME6"=Data!B$5),G9,"")</f>
        <v/>
      </c>
      <c r="U9" s="30" t="str">
        <f>IF(OR("MS3"=Data!B$5,"ME3"=Data!B$5,"ME4"=Data!B$5,"MP2"=Data!B$5,"MT4"=Data!B$5,"MPU3"=Data!B$5,"MS7"=Data!B$5),H9,"")</f>
        <v/>
      </c>
      <c r="W9" s="30" t="str">
        <f>IF(OR(Q9="",Q9=0),"",IF(Data!B$7="ABE",K9*4,IF(OR(Data!B$7="ACE",Data!B$7="ARE"),K9*2,IF(Data!B$7="BE",K9*2,IF(OR(Data!B$7="CE",Data!B$7="RE"),K9,0))))+J9*(ROUNDUP(Data!B$8,0.1)))</f>
        <v/>
      </c>
      <c r="Z9" s="30">
        <f t="shared" si="0"/>
        <v>192</v>
      </c>
      <c r="AA9" s="30">
        <f t="shared" si="1"/>
        <v>353</v>
      </c>
      <c r="AB9" s="30">
        <f t="shared" si="2"/>
        <v>12</v>
      </c>
      <c r="AC9" s="46"/>
      <c r="AF9" s="30" t="str">
        <f>IF(W9&lt;&gt;"",IF(Data!B$7="NC",Z9+(AB9*(Data!B$8+Data!B$11+Data!B$27)),IF(Data!B$7&lt;&gt;"NC",AA9+(AB9*(Data!B$8+Data!B$11+Data!B$27)))),"")</f>
        <v/>
      </c>
      <c r="AG9" s="30">
        <v>2.5</v>
      </c>
      <c r="AH9" s="30">
        <v>1.375</v>
      </c>
      <c r="AI9" s="30">
        <v>1.6879999999999999</v>
      </c>
      <c r="AJ9" s="30">
        <f>IF(Data!B$4=2.5,IF(OR(Data!$B$3="H",Data!$B$3="SH"),AI9,AH9),0)</f>
        <v>0</v>
      </c>
      <c r="AL9" s="104">
        <v>1</v>
      </c>
      <c r="AM9" s="104" t="str">
        <f>IF(AND(OR(Data!$B$3="A",Data!$B$3="LH",Data!$B$3="SA"),Data!$B$4=1.5,Data!$B$6=1),IF(AND(OR(Data!$B$7="be",Data!$B$7="ce"),Data!$D$15=4),AM54,""),"")</f>
        <v/>
      </c>
      <c r="AN9" s="104" t="str">
        <f>IF(AND(OR(Data!$B$3="A",Data!$B$3="LH",Data!$B$3="SA"),Data!$B$4=1.5,Data!$B$6=1),IF(AND(OR(Data!$B$7="RE",Data!$B$7="NC"),Data!$D$15=4),AN54,""),"")</f>
        <v/>
      </c>
      <c r="AO9" s="104" t="str">
        <f>IF(AND(OR(Data!$B$3="A",Data!$B$3="LH",Data!$B$3="SA"),Data!$B$4=1.5,Data!$B$6=1),IF(AND(OR(Data!$B$7="be",Data!$B$7="ce"),Data!$D$15=3),AO54,""),"")</f>
        <v/>
      </c>
      <c r="AP9" s="104" t="str">
        <f>IF(AND(OR(Data!$B$3="A",Data!$B$3="LH",Data!$B$3="SA"),Data!$B$4=1.5,Data!$B$6=1),IF(AND(OR(Data!$B$7="RE",Data!$B$7="NC"),Data!$D$15=3),AP54,""),"")</f>
        <v/>
      </c>
      <c r="AQ9" s="104" t="str">
        <f>IF(AND(OR(Data!$B$3="A",Data!$B$3="LH",Data!$B$3="SA"),Data!$B$4=1.5,Data!$B$6=1),IF(AND(OR(Data!$B$7="be",Data!$B$7="ce"),OR(Data!$D$15=1,Data!$D$15=2,Data!$D$15=6,Data!$D$15=6)),AQ54,""),"")</f>
        <v/>
      </c>
      <c r="AR9" s="104" t="str">
        <f>IF(AND(OR(Data!$B$3="A",Data!$B$3="LH",Data!$B$3="SA"),Data!$B$4=1.5,Data!$B$6=1),IF(AND(OR(Data!$B$7="re",Data!$B$7="nc"),OR(Data!$D$15=1,Data!$D$15=2,Data!$D$15=6)),AR54,""),"")</f>
        <v/>
      </c>
      <c r="AS9" s="104">
        <f t="shared" ref="AS9:AS48" si="4">SUM(AM9:AR9)</f>
        <v>0</v>
      </c>
      <c r="AT9" s="104"/>
      <c r="AU9" s="104">
        <v>1</v>
      </c>
      <c r="AV9" s="104" t="str">
        <f>IF(AND(OR(Data!$B$3="H",Data!$B$3="SH"),Data!$B$4=1.5,Data!$B$6=1),IF(AND(OR(Data!$B$7="be",Data!$B$7="ce"),Data!$D$15=4),AV43,""),"")</f>
        <v/>
      </c>
      <c r="AW9" s="104" t="str">
        <f>IF(AND(OR(Data!$B$3="H",Data!$B$3="SH"),Data!$B$4=1.5,Data!$B$6=1),IF(AND(OR(Data!$B$7="RE",Data!$B$7="NC"),Data!$D$15=4),AW43,""),"")</f>
        <v/>
      </c>
      <c r="AX9" s="104" t="str">
        <f>IF(AND(OR(Data!$B$3="H",Data!$B$3="SH"),Data!$B$4=1.5,Data!$B$6=1),IF(AND(OR(Data!$B$7="be",Data!$B$7="ce"),Data!$D$15=3),AX43,""),"")</f>
        <v/>
      </c>
      <c r="AY9" s="104" t="str">
        <f>IF(AND(OR(Data!$B$3="H",Data!$B$3="SH"),Data!$B$4=1.5,Data!$B$6=1),IF(AND(OR(Data!$B$7="RE",Data!$B$7="NC"),Data!$D$15=3),AY43,""),"")</f>
        <v/>
      </c>
      <c r="AZ9" s="104" t="str">
        <f>IF(AND(OR(Data!$B$3="H",Data!$B$3="SH"),Data!$B$4=1.5,Data!$B$6=1),IF(AND(OR(Data!$B$7="be",Data!$B$7="ce"),OR(Data!$D$15=1,Data!$D$15=2,Data!$D$15=6)),AZ43,""),"")</f>
        <v/>
      </c>
      <c r="BA9" s="104" t="str">
        <f>IF(AND(OR(Data!$B$3="H",Data!$B$3="SH"),Data!$B$4=1.5,Data!$B$6=1),IF(AND(OR(Data!$B$7="re",Data!$B$7="nc"),OR(Data!$D$15=1,Data!$D$15=2)),BA43,""),"")</f>
        <v/>
      </c>
      <c r="BB9" s="104">
        <f t="shared" si="3"/>
        <v>0</v>
      </c>
    </row>
    <row r="10" spans="1:54">
      <c r="A10" s="594"/>
      <c r="B10" s="102">
        <v>1.375</v>
      </c>
      <c r="C10" s="107" t="s">
        <v>857</v>
      </c>
      <c r="D10" s="30" t="s">
        <v>858</v>
      </c>
      <c r="E10" s="30">
        <v>895</v>
      </c>
      <c r="F10" s="30">
        <v>966</v>
      </c>
      <c r="G10" s="30">
        <v>1037</v>
      </c>
      <c r="H10" s="30">
        <v>1263</v>
      </c>
      <c r="I10" s="103"/>
      <c r="J10" s="30">
        <v>14</v>
      </c>
      <c r="K10" s="30">
        <v>161</v>
      </c>
      <c r="M10" s="380">
        <v>2</v>
      </c>
      <c r="N10" s="104">
        <v>1.375</v>
      </c>
      <c r="O10" s="107" t="s">
        <v>857</v>
      </c>
      <c r="P10" s="30" t="s">
        <v>858</v>
      </c>
      <c r="Q10" s="30" t="str">
        <f>IF(OR(Data!B$3="H",Data!B$3="HM",Data!B$3="W"),IF(M10=Data!B$4,IF(N10=Data!B$6,SUM(R10:V10),""),""),"")</f>
        <v/>
      </c>
      <c r="R10" s="30" t="str">
        <f>IF(OR("MX0"=Data!B$5,"MX1"=Data!B$5,"MX2"=Data!B$5,"MX3"=Data!B$5),E10,"")</f>
        <v/>
      </c>
      <c r="S10" s="30">
        <f>IF(OR("MF1"=Data!B$5,"MF2"=Data!B$5,"MS4"=Data!B$5),F10,"")</f>
        <v>966</v>
      </c>
      <c r="T10" s="30" t="str">
        <f>IF(OR("MP1"=Data!B$5,"MP3"=Data!B$5,"MT1"=Data!B$5,"MT2"=Data!B$5,"MF5"=Data!B$5,"MF6"=Data!B$5,,"MS2"=Data!B$5,"ME5"=Data!B$5,"ME6"=Data!B$5),G10,"")</f>
        <v/>
      </c>
      <c r="U10" s="30" t="str">
        <f>IF(OR("MS3"=Data!B$5,"ME3"=Data!B$5,"ME4"=Data!B$5,"MP2"=Data!B$5,"MT4"=Data!B$5,"MPU3"=Data!B$5,"MS7"=Data!B$5),H10,"")</f>
        <v/>
      </c>
      <c r="W10" s="30" t="str">
        <f>IF(OR(Q10="",Q10=0),"",IF(Data!B$7="ABE",K10*4,IF(OR(Data!B$7="ACE",Data!B$7="ARE"),K10*2,IF(Data!B$7="BE",K10*2,IF(OR(Data!B$7="CE",Data!B$7="RE"),K10,0))))+J10*(ROUNDUP(Data!B$8,0.1)))</f>
        <v/>
      </c>
      <c r="Z10" s="30">
        <f t="shared" si="0"/>
        <v>224</v>
      </c>
      <c r="AA10" s="30">
        <f t="shared" si="1"/>
        <v>385</v>
      </c>
      <c r="AB10" s="30">
        <f t="shared" si="2"/>
        <v>13</v>
      </c>
      <c r="AC10" s="46"/>
      <c r="AF10" s="30" t="str">
        <f>IF(W10&lt;&gt;"",IF(Data!B$7="NC",Z10+(AB10*(Data!B$8+Data!B$11+Data!B$27)),IF(Data!B$7&lt;&gt;"NC",AA10+(AB10*(Data!B$8+Data!B$11+Data!B$27)))),"")</f>
        <v/>
      </c>
      <c r="AG10" s="30">
        <v>3.25</v>
      </c>
      <c r="AH10" s="30">
        <v>1.375</v>
      </c>
      <c r="AI10" s="30">
        <v>1.9379999999999999</v>
      </c>
      <c r="AJ10" s="30">
        <f>IF(Data!B$4=3.25,IF(OR(Data!$B$3="H",Data!$B$3="SH"),AI10,AH10),0)</f>
        <v>0</v>
      </c>
      <c r="AL10" s="104">
        <v>2</v>
      </c>
      <c r="AS10" s="104"/>
      <c r="AU10" s="104">
        <v>2</v>
      </c>
      <c r="AZ10" s="104"/>
      <c r="BA10" s="104"/>
      <c r="BB10" s="104"/>
    </row>
    <row r="11" spans="1:54">
      <c r="A11" s="593">
        <v>2.5</v>
      </c>
      <c r="B11" s="102">
        <v>1</v>
      </c>
      <c r="C11" s="30" t="s">
        <v>856</v>
      </c>
      <c r="D11" s="30" t="s">
        <v>392</v>
      </c>
      <c r="E11" s="30">
        <v>815</v>
      </c>
      <c r="F11" s="30">
        <v>894</v>
      </c>
      <c r="G11" s="30">
        <v>962</v>
      </c>
      <c r="H11" s="30">
        <v>1225</v>
      </c>
      <c r="I11" s="103"/>
      <c r="J11" s="30">
        <v>14</v>
      </c>
      <c r="K11" s="30">
        <v>182</v>
      </c>
      <c r="M11" s="380">
        <v>2.5</v>
      </c>
      <c r="N11" s="104">
        <v>1</v>
      </c>
      <c r="O11" s="30" t="s">
        <v>856</v>
      </c>
      <c r="P11" s="30" t="s">
        <v>392</v>
      </c>
      <c r="Q11" s="30" t="str">
        <f>IF(OR(Data!B$3="H",Data!B$3="HM",Data!B$3="W"),IF(M11=Data!B$4,IF(N11=Data!B$6,SUM(R11:V11),""),""),"")</f>
        <v/>
      </c>
      <c r="R11" s="30" t="str">
        <f>IF(OR("MX0"=Data!B$5,"MX1"=Data!B$5,"MX2"=Data!B$5,"MX3"=Data!B$5),E11,"")</f>
        <v/>
      </c>
      <c r="S11" s="30">
        <f>IF(OR("MF1"=Data!B$5,"MF2"=Data!B$5,"MS4"=Data!B$5),F11,"")</f>
        <v>894</v>
      </c>
      <c r="T11" s="30" t="str">
        <f>IF(OR("MP1"=Data!B$5,"MP3"=Data!B$5,"MT1"=Data!B$5,"MT2"=Data!B$5,"MF5"=Data!B$5,"MF6"=Data!B$5,,"MS2"=Data!B$5,"ME5"=Data!B$5,"ME6"=Data!B$5),G11,"")</f>
        <v/>
      </c>
      <c r="U11" s="30" t="str">
        <f>IF(OR("MS3"=Data!B$5,"ME3"=Data!B$5,"ME4"=Data!B$5,"MP2"=Data!B$5,"MT4"=Data!B$5,"MPU3"=Data!B$5,"MS7"=Data!B$5),H11,"")</f>
        <v/>
      </c>
      <c r="W11" s="30" t="str">
        <f>IF(OR(Q11="",Q11=0),"",IF(Data!B$7="ABE",K11*4,IF(OR(Data!B$7="ACE",Data!B$7="ARE"),K11*2,IF(Data!B$7="BE",K11*2,IF(OR(Data!B$7="CE",Data!B$7="RE"),K11,0))))+J11*(ROUNDUP(Data!B$8,0.1)))</f>
        <v/>
      </c>
      <c r="Z11" s="30">
        <f t="shared" si="0"/>
        <v>204</v>
      </c>
      <c r="AA11" s="30">
        <f t="shared" si="1"/>
        <v>386</v>
      </c>
      <c r="AB11" s="30">
        <f t="shared" si="2"/>
        <v>13</v>
      </c>
      <c r="AC11" s="46"/>
      <c r="AF11" s="30" t="str">
        <f>IF(W11&lt;&gt;"",IF(Data!B$7="NC",Z11+(AB11*(Data!B$8+Data!B$11+Data!B$27)),IF(Data!B$7&lt;&gt;"NC",AA11+(AB11*(Data!B$8+Data!B$11+Data!B$27)))),"")</f>
        <v/>
      </c>
      <c r="AG11" s="30">
        <v>4</v>
      </c>
      <c r="AH11" s="30">
        <v>1.375</v>
      </c>
      <c r="AI11" s="30">
        <v>2.1880000000000002</v>
      </c>
      <c r="AJ11" s="30">
        <f>IF(Data!B$4=4,IF(OR(Data!$B$3="H",Data!$B$3="SH"),AI11,AH11),0)</f>
        <v>0</v>
      </c>
      <c r="AL11" s="104">
        <v>0.625</v>
      </c>
      <c r="AM11" s="104" t="str">
        <f>IF(AND(OR(Data!$B$3="A",Data!$B$3="LH",Data!$B$3="SA"),Data!$B$4=2,Data!$B$6=0.625),IF(AND(OR(Data!$B$7="be",Data!$B$7="ce"),Data!$D$15=4),AM56,""),"")</f>
        <v/>
      </c>
      <c r="AN11" s="104" t="str">
        <f>IF(AND(OR(Data!$B$3="A",Data!$B$3="LH",Data!$B$3="SA"),Data!$B$4=2,Data!$B$6=0.625),IF(AND(OR(Data!$B$7="RE",Data!$B$7="NC"),Data!$D$15=4),AN56,""),"")</f>
        <v/>
      </c>
      <c r="AO11" s="104" t="str">
        <f>IF(AND(OR(Data!$B$3="A",Data!$B$3="LH",Data!$B$3="SA"),Data!$B$4=2,Data!$B$6=0.625),IF(AND(OR(Data!$B$7="be",Data!$B$7="ce"),Data!$D$15=3),AO56,""),"")</f>
        <v/>
      </c>
      <c r="AP11" s="104" t="str">
        <f>IF(AND(OR(Data!$B$3="A",Data!$B$3="LH",Data!$B$3="SA"),Data!$B$4=2,Data!$B$6=0.625),IF(AND(OR(Data!$B$7="RE",Data!$B$7="NC"),Data!$D$15=3),AP56,""),"")</f>
        <v/>
      </c>
      <c r="AQ11" s="104" t="str">
        <f>IF(AND(OR(Data!$B$3="A",Data!$B$3="LH",Data!$B$3="SA"),Data!$B$4=2,Data!$B$6=0.625),IF(AND(OR(Data!$B$7="be",Data!$B$7="ce"),OR(Data!$D$15=1,Data!$D$15=2,Data!$D$15=6)),AQ56,""),"")</f>
        <v/>
      </c>
      <c r="AR11" s="104" t="str">
        <f>IF(AND(OR(Data!$B$3="A",Data!$B$3="LH",Data!$B$3="SA"),Data!$B$4=2,Data!$B$6=0.625),IF(AND(OR(Data!$B$7="re",Data!$B$7="nc"),OR(Data!$D$15=1,Data!$D$15=2,Data!$D$15=6)),AR56,""),"")</f>
        <v/>
      </c>
      <c r="AS11" s="104">
        <f t="shared" si="4"/>
        <v>0</v>
      </c>
      <c r="AU11" s="104">
        <v>1</v>
      </c>
      <c r="AV11" s="104" t="str">
        <f>IF(AND(OR(Data!$B$3="H",Data!$B$3="SH"),Data!$B$4=2,Data!$B$6=1),IF(AND(OR(Data!$B$7="be",Data!$B$7="ce"),Data!$D$15=4),AV45,""),"")</f>
        <v/>
      </c>
      <c r="AW11" s="104" t="str">
        <f>IF(AND(OR(Data!$B$3="H",Data!$B$3="SH"),Data!$B$4=2,Data!$B$6=1),IF(AND(OR(Data!$B$7="RE",Data!$B$7="NC"),Data!$D$15=4),AW45,""),"")</f>
        <v/>
      </c>
      <c r="AX11" s="104" t="str">
        <f>IF(AND(OR(Data!$B$3="H",Data!$B$3="SH"),Data!$B$4=2,Data!$B$6=1),IF(AND(OR(Data!$B$7="be",Data!$B$7="ce"),Data!$D$15=3),AX45,""),"")</f>
        <v/>
      </c>
      <c r="AY11" s="104" t="str">
        <f>IF(AND(OR(Data!$B$3="H",Data!$B$3="SH"),Data!$B$4=2,Data!$B$6=1),IF(AND(OR(Data!$B$7="RE",Data!$B$7="NC"),Data!$D$15=3),AY45,""),"")</f>
        <v/>
      </c>
      <c r="AZ11" s="104" t="str">
        <f>IF(AND(OR(Data!$B$3="H",Data!$B$3="SH"),Data!$B$4=2,Data!$B$6=1),IF(AND(OR(Data!$B$7="be",Data!$B$7="ce"),OR(Data!$D$15=1,Data!$D$15=2,Data!$D$15=6)),AZ45,""),"")</f>
        <v/>
      </c>
      <c r="BA11" s="104" t="str">
        <f>IF(AND(OR(Data!$B$3="H",Data!$B$3="SH"),Data!$B$4=2,Data!$B$6=1),IF(AND(OR(Data!$B$7="re",Data!$B$7="nc"),OR(Data!$D$15=1,Data!$D$15=2,Data!$D$15=6)),BA45,""),"")</f>
        <v/>
      </c>
      <c r="BB11" s="104">
        <f t="shared" si="3"/>
        <v>0</v>
      </c>
    </row>
    <row r="12" spans="1:54">
      <c r="A12" s="593"/>
      <c r="B12" s="102">
        <v>1.375</v>
      </c>
      <c r="C12" s="30" t="s">
        <v>857</v>
      </c>
      <c r="D12" s="30" t="s">
        <v>858</v>
      </c>
      <c r="E12" s="30">
        <v>986</v>
      </c>
      <c r="F12" s="30">
        <v>1067</v>
      </c>
      <c r="G12" s="30">
        <v>1142</v>
      </c>
      <c r="H12" s="30">
        <v>1451</v>
      </c>
      <c r="I12" s="103"/>
      <c r="J12" s="30">
        <v>15</v>
      </c>
      <c r="K12" s="30">
        <v>182</v>
      </c>
      <c r="M12" s="380">
        <v>2.5</v>
      </c>
      <c r="N12" s="104">
        <v>1.375</v>
      </c>
      <c r="O12" s="30" t="s">
        <v>857</v>
      </c>
      <c r="P12" s="30" t="s">
        <v>858</v>
      </c>
      <c r="Q12" s="30" t="str">
        <f>IF(OR(Data!B$3="H",Data!B$3="HM",Data!B$3="W"),IF(M12=Data!B$4,IF(N12=Data!B$6,SUM(R12:V12),""),""),"")</f>
        <v/>
      </c>
      <c r="R12" s="30" t="str">
        <f>IF(OR("MX0"=Data!B$5,"MX1"=Data!B$5,"MX2"=Data!B$5,"MX3"=Data!B$5),E12,"")</f>
        <v/>
      </c>
      <c r="S12" s="30">
        <f>IF(OR("MF1"=Data!B$5,"MF2"=Data!B$5,"MS4"=Data!B$5),F12,"")</f>
        <v>1067</v>
      </c>
      <c r="T12" s="30" t="str">
        <f>IF(OR("MP1"=Data!B$5,"MP3"=Data!B$5,"MT1"=Data!B$5,"MT2"=Data!B$5,"MF5"=Data!B$5,"MF6"=Data!B$5,,"MS2"=Data!B$5,"ME5"=Data!B$5,"ME6"=Data!B$5),G12,"")</f>
        <v/>
      </c>
      <c r="U12" s="30" t="str">
        <f>IF(OR("MS3"=Data!B$5,"ME3"=Data!B$5,"ME4"=Data!B$5,"MP2"=Data!B$5,"MT4"=Data!B$5,"MPU3"=Data!B$5,"MS7"=Data!B$5),H12,"")</f>
        <v/>
      </c>
      <c r="W12" s="30" t="str">
        <f>IF(OR(Q12="",Q12=0),"",IF(Data!B$7="ABE",K12*4,IF(OR(Data!B$7="ACE",Data!B$7="ARE"),K12*2,IF(Data!B$7="BE",K12*2,IF(OR(Data!B$7="CE",Data!B$7="RE"),K12,0))))+J12*(ROUNDUP(Data!B$8,0.1)))</f>
        <v/>
      </c>
      <c r="Z12" s="30">
        <f t="shared" si="0"/>
        <v>247</v>
      </c>
      <c r="AA12" s="30">
        <f t="shared" si="1"/>
        <v>429</v>
      </c>
      <c r="AB12" s="30">
        <f t="shared" si="2"/>
        <v>14</v>
      </c>
      <c r="AC12" s="46"/>
      <c r="AF12" s="30" t="str">
        <f>IF(W12&lt;&gt;"",IF(Data!B$7="NC",Z12+(AB12*(Data!B$8+Data!B$11+Data!B$27)),IF(Data!B$7&lt;&gt;"NC",AA12+(AB12*(Data!B$8+Data!B$11+Data!B$27)))),"")</f>
        <v/>
      </c>
      <c r="AG12" s="30">
        <v>5</v>
      </c>
      <c r="AH12" s="30">
        <v>1.625</v>
      </c>
      <c r="AI12" s="30">
        <v>2.6880000000000002</v>
      </c>
      <c r="AJ12" s="30">
        <f>IF(Data!B$4=5,IF(OR(Data!$B$3="H",Data!$B$3="SH"),AI12,AH12),0)</f>
        <v>2.6880000000000002</v>
      </c>
      <c r="AL12" s="104">
        <v>1</v>
      </c>
      <c r="AM12" s="104" t="str">
        <f>IF(AND(OR(Data!$B$3="A",Data!$B$3="LH",Data!$B$3="SA"),Data!$B$4=2,Data!$B$6=1),IF(AND(OR(Data!$B$7="BE",Data!$B$7="ce"),Data!$D$15=4),AM57,""),"")</f>
        <v/>
      </c>
      <c r="AN12" s="104" t="str">
        <f>IF(AND(OR(Data!$B$3="A",Data!$B$3="LH",Data!$B$3="SA"),Data!$B$4=2,Data!$B$6=1),IF(AND(OR(Data!$B$7="RE",Data!$B$7="NC"),Data!$D$15=4),AN57,""),"")</f>
        <v/>
      </c>
      <c r="AO12" s="104" t="str">
        <f>IF(AND(OR(Data!$B$3="A",Data!$B$3="LH",Data!$B$3="SA"),Data!$B$4=2,Data!$B$6=1),IF(AND(OR(Data!$B$7="be",Data!$B$7="ce"),Data!$D$15=3),AO57,""),"")</f>
        <v/>
      </c>
      <c r="AP12" s="104" t="str">
        <f>IF(AND(OR(Data!$B$3="A",Data!$B$3="LH",Data!$B$3="SA"),Data!$B$4=2,Data!$B$6=1),IF(AND(OR(Data!$B$7="RE",Data!$B$7="NC"),Data!$D$15=3),AP57,""),"")</f>
        <v/>
      </c>
      <c r="AQ12" s="104" t="str">
        <f>IF(AND(OR(Data!$B$3="A",Data!$B$3="LH",Data!$B$3="SA"),Data!$B$4=2,Data!$B$6=1),IF(AND(OR(Data!$B$7="be",Data!$B$7="ce"),OR(Data!$D$15=1,Data!$D$15=2,Data!$D$15=6)),AQ57,""),"")</f>
        <v/>
      </c>
      <c r="AR12" s="104" t="str">
        <f>IF(AND(OR(Data!$B$3="A",Data!$B$3="LH",Data!$B$3="SA"),Data!$B$4=2,Data!$B$6=1),IF(AND(OR(Data!$B$7="re",Data!$B$7="nc"),OR(Data!$D$15=1,Data!$D$15=2,Data!$D$15=6)),AR57,""),"")</f>
        <v/>
      </c>
      <c r="AS12" s="104">
        <f t="shared" si="4"/>
        <v>0</v>
      </c>
      <c r="AT12" s="104"/>
      <c r="AU12" s="104">
        <v>1.375</v>
      </c>
      <c r="AV12" s="104" t="str">
        <f>IF(AND(OR(Data!$B$3="H",Data!$B$3="SH"),Data!$B$4=2,Data!$B$6=1.375),IF(AND(OR(Data!$B$7="be",Data!$B$7="ce"),Data!$D$15=4),AV46,""),"")</f>
        <v/>
      </c>
      <c r="AW12" s="104" t="str">
        <f>IF(AND(OR(Data!$B$3="H",Data!$B$3="SH"),Data!$B$4=2,Data!$B$6=1.375),IF(AND(OR(Data!$B$7="RE",Data!$B$7="NC"),Data!$D$15=4),AW46,""),"")</f>
        <v/>
      </c>
      <c r="AX12" s="104" t="str">
        <f>IF(AND(OR(Data!$B$3="H",Data!$B$3="SH"),Data!$B$4=2,Data!$B$6=1.375),IF(AND(OR(Data!$B$7="be",Data!$B$7="ce"),Data!$D$15=3),AX46,""),"")</f>
        <v/>
      </c>
      <c r="AY12" s="104" t="str">
        <f>IF(AND(OR(Data!$B$3="H",Data!$B$3="SH"),Data!$B$4=2,Data!$B$6=1.375),IF(AND(OR(Data!$B$7="RE",Data!$B$7="NC"),Data!$D$15=3),AY46,""),"")</f>
        <v/>
      </c>
      <c r="AZ12" s="104" t="str">
        <f>IF(AND(OR(Data!$B$3="H",Data!$B$3="SH"),Data!$B$4=2,Data!$B$6=1.375),IF(AND(OR(Data!$B$7="be",Data!$B$7="ce"),OR(Data!$D$15=1,Data!$D$15=2,Data!$D$15=6)),AZ46,""),"")</f>
        <v/>
      </c>
      <c r="BA12" s="104" t="str">
        <f>IF(AND(OR(Data!$B$3="H",Data!$B$3="SH"),Data!$B$4=2,Data!$B$6=1.375),IF(AND(OR(Data!$B$7="re",Data!$B$7="nc"),OR(Data!$D$15=1,Data!$D$15=2,Data!$D$15=6)),BA46,""),"")</f>
        <v/>
      </c>
      <c r="BB12" s="104">
        <f t="shared" si="3"/>
        <v>0</v>
      </c>
    </row>
    <row r="13" spans="1:54">
      <c r="A13" s="593"/>
      <c r="B13" s="102">
        <v>1.75</v>
      </c>
      <c r="C13" s="105" t="s">
        <v>858</v>
      </c>
      <c r="D13" s="30" t="s">
        <v>521</v>
      </c>
      <c r="E13" s="30">
        <v>1115</v>
      </c>
      <c r="F13" s="30">
        <v>1190</v>
      </c>
      <c r="G13" s="30">
        <v>1269</v>
      </c>
      <c r="H13" s="30">
        <v>1594</v>
      </c>
      <c r="I13" s="103"/>
      <c r="J13" s="30">
        <v>18</v>
      </c>
      <c r="K13" s="30">
        <v>182</v>
      </c>
      <c r="M13" s="380">
        <v>2.5</v>
      </c>
      <c r="N13" s="104">
        <v>1.75</v>
      </c>
      <c r="O13" s="105" t="s">
        <v>858</v>
      </c>
      <c r="P13" s="30" t="s">
        <v>521</v>
      </c>
      <c r="Q13" s="30" t="str">
        <f>IF(OR(Data!B$3="H",Data!B$3="HM",Data!B$3="W"),IF(M13=Data!B$4,IF(N13=Data!B$6,SUM(R13:V13),""),""),"")</f>
        <v/>
      </c>
      <c r="R13" s="30" t="str">
        <f>IF(OR("MX0"=Data!B$5,"MX1"=Data!B$5,"MX2"=Data!B$5,"MX3"=Data!B$5),E13,"")</f>
        <v/>
      </c>
      <c r="S13" s="30">
        <f>IF(OR("MF1"=Data!B$5,"MF2"=Data!B$5,"MS4"=Data!B$5),F13,"")</f>
        <v>1190</v>
      </c>
      <c r="T13" s="30" t="str">
        <f>IF(OR("MP1"=Data!B$5,"MP3"=Data!B$5,"MT1"=Data!B$5,"MT2"=Data!B$5,"MF5"=Data!B$5,"MF6"=Data!B$5,,"MS2"=Data!B$5,"ME5"=Data!B$5,"ME6"=Data!B$5),G13,"")</f>
        <v/>
      </c>
      <c r="U13" s="30" t="str">
        <f>IF(OR("MS3"=Data!B$5,"ME3"=Data!B$5,"ME4"=Data!B$5,"MP2"=Data!B$5,"MT4"=Data!B$5,"MPU3"=Data!B$5,"MS7"=Data!B$5),H13,"")</f>
        <v/>
      </c>
      <c r="W13" s="30" t="str">
        <f>IF(OR(Q13="",Q13=0),"",IF(Data!B$7="ABE",K13*4,IF(OR(Data!B$7="ACE",Data!B$7="ARE"),K13*2,IF(Data!B$7="BE",K13*2,IF(OR(Data!B$7="CE",Data!B$7="RE"),K13,0))))+J13*(ROUNDUP(Data!B$8,0.1)))</f>
        <v/>
      </c>
      <c r="Z13" s="30">
        <f t="shared" si="0"/>
        <v>279</v>
      </c>
      <c r="AA13" s="30">
        <f t="shared" si="1"/>
        <v>461</v>
      </c>
      <c r="AB13" s="30">
        <f t="shared" si="2"/>
        <v>17</v>
      </c>
      <c r="AF13" s="30" t="str">
        <f>IF(W13&lt;&gt;"",IF(Data!B$7="NC",Z13+(AB13*(Data!B$8+Data!B$11+Data!B$27)),IF(Data!B$7&lt;&gt;"NC",AA13+(AB13*(Data!B$8+Data!B$11+Data!B$27)))),"")</f>
        <v/>
      </c>
      <c r="AG13" s="30">
        <v>6</v>
      </c>
      <c r="AH13" s="30">
        <v>1.625</v>
      </c>
      <c r="AI13" s="30">
        <v>3.0630000000000002</v>
      </c>
      <c r="AJ13" s="30">
        <f>IF(Data!B$4=6,IF(OR(Data!$B$3="H",Data!$B$3="SH"),AI13,AH13),0)</f>
        <v>0</v>
      </c>
      <c r="AL13" s="104">
        <v>1.375</v>
      </c>
      <c r="AM13" s="104" t="str">
        <f>IF(AND(OR(Data!$B$3="A",Data!$B$3="LH",Data!$B$3="SA"),Data!$B$4=2,Data!$B$6=1.375),IF(AND(OR(Data!$B$7="be",Data!$B$7="ce"),Data!$D$15=4),AM58,""),"")</f>
        <v/>
      </c>
      <c r="AN13" s="104" t="str">
        <f>IF(AND(OR(Data!$B$3="A",Data!$B$3="LH",Data!$B$3="SA"),Data!$B$4=2,Data!$B$6=1.375),IF(AND(OR(Data!$B$7="RE",Data!$B$7="NC"),Data!$D$15=4),AN58,""),"")</f>
        <v/>
      </c>
      <c r="AO13" s="104" t="str">
        <f>IF(AND(OR(Data!$B$3="A",Data!$B$3="LH",Data!$B$3="SA"),Data!$B$4=2,Data!$B$6=1.375),IF(AND(OR(Data!$B$7="be",Data!$B$7="ce"),Data!$D$15=3),AO58,""),"")</f>
        <v/>
      </c>
      <c r="AP13" s="104" t="str">
        <f>IF(AND(OR(Data!$B$3="A",Data!$B$3="LH",Data!$B$3="SA"),Data!$B$4=2,Data!$B$6=1.375),IF(AND(OR(Data!$B$7="RE",Data!$B$7="NC"),Data!$D$15=3),AP58,""),"")</f>
        <v/>
      </c>
      <c r="AQ13" s="104" t="str">
        <f>IF(AND(OR(Data!$B$3="A",Data!$B$3="LH",Data!$B$3="SA"),Data!$B$4=2,Data!$B$6=1.375),IF(AND(OR(Data!$B$7="be",Data!$B$7="ce"),OR(Data!$D$15=1,Data!$D$15=2,Data!$D$15=6)),AQ58,""),"")</f>
        <v/>
      </c>
      <c r="AR13" s="104" t="str">
        <f>IF(AND(OR(Data!$B$3="A",Data!$B$3="LH",Data!$B$3="SA"),Data!$B$4=2,Data!$B$6=1.375),IF(AND(OR(Data!$B$7="re",Data!$B$7="nc"),OR(Data!$D$15=1,Data!$D$15=2,Data!$D$15=6)),AR58,""),"")</f>
        <v/>
      </c>
      <c r="AS13" s="104">
        <f t="shared" si="4"/>
        <v>0</v>
      </c>
      <c r="AT13" s="104"/>
      <c r="AU13" s="104">
        <v>2.5</v>
      </c>
      <c r="AZ13" s="104"/>
      <c r="BA13" s="104"/>
      <c r="BB13" s="104"/>
    </row>
    <row r="14" spans="1:54">
      <c r="A14" s="593">
        <v>3.25</v>
      </c>
      <c r="B14" s="102">
        <v>1.375</v>
      </c>
      <c r="C14" s="30" t="s">
        <v>857</v>
      </c>
      <c r="D14" s="30" t="s">
        <v>858</v>
      </c>
      <c r="E14" s="30">
        <v>1010</v>
      </c>
      <c r="F14" s="30">
        <v>1104</v>
      </c>
      <c r="G14" s="30">
        <v>1217</v>
      </c>
      <c r="H14" s="30">
        <v>1528</v>
      </c>
      <c r="I14" s="103"/>
      <c r="J14" s="30">
        <v>18</v>
      </c>
      <c r="K14" s="30">
        <v>210</v>
      </c>
      <c r="M14" s="43">
        <v>3.25</v>
      </c>
      <c r="N14" s="104">
        <v>1.375</v>
      </c>
      <c r="O14" s="30" t="s">
        <v>857</v>
      </c>
      <c r="P14" s="30" t="s">
        <v>858</v>
      </c>
      <c r="Q14" s="30" t="str">
        <f>IF(OR(Data!B$3="H",Data!B$3="HM",Data!B$3="W"),IF(M14=Data!B$4,IF(N14=Data!B$6,SUM(R14:V14),""),""),"")</f>
        <v/>
      </c>
      <c r="R14" s="30" t="str">
        <f>IF(OR("MX0"=Data!B$5,"MX1"=Data!B$5,"MX2"=Data!B$5,"MX3"=Data!B$5),E14,"")</f>
        <v/>
      </c>
      <c r="S14" s="30">
        <f>IF(OR("MF1"=Data!B$5,"MF2"=Data!B$5,"MS4"=Data!B$5),F14,"")</f>
        <v>1104</v>
      </c>
      <c r="T14" s="30" t="str">
        <f>IF(OR("MP1"=Data!B$5,"MP3"=Data!B$5,"MT1"=Data!B$5,"MT2"=Data!B$5,"MF5"=Data!B$5,"MF6"=Data!B$5,,"MS2"=Data!B$5,"ME5"=Data!B$5,"ME6"=Data!B$5),G14,"")</f>
        <v/>
      </c>
      <c r="U14" s="30" t="str">
        <f>IF(OR("MS3"=Data!B$5,"ME3"=Data!B$5,"ME4"=Data!B$5,"MP2"=Data!B$5,"MT4"=Data!B$5,"MPU3"=Data!B$5,"MS7"=Data!B$5),H14,"")</f>
        <v/>
      </c>
      <c r="W14" s="30" t="str">
        <f>IF(OR(Q14="",Q14=0),"",IF(Data!B$7="ABE",K14*4,IF(OR(Data!B$7="ACE",Data!B$7="ARE"),K14*2,IF(Data!B$7="BE",K14*2,IF(OR(Data!B$7="CE",Data!B$7="RE"),K14,0))))+J14*(ROUNDUP(Data!B$8,0.1)))</f>
        <v/>
      </c>
      <c r="Z14" s="30">
        <f t="shared" si="0"/>
        <v>253</v>
      </c>
      <c r="AA14" s="30">
        <f t="shared" si="1"/>
        <v>463</v>
      </c>
      <c r="AB14" s="30">
        <f t="shared" si="2"/>
        <v>17</v>
      </c>
      <c r="AF14" s="30" t="str">
        <f>IF(W14&lt;&gt;"",IF(Data!B$7="NC",Z14+(AB14*(Data!B$8+Data!B$11+Data!B$27)),IF(Data!B$7&lt;&gt;"NC",AA14+(AB14*(Data!B$8+Data!B$11+Data!B$27)))),"")</f>
        <v/>
      </c>
      <c r="AG14" s="30">
        <v>7</v>
      </c>
      <c r="AH14" s="30">
        <v>1.75</v>
      </c>
      <c r="AI14" s="30">
        <v>3.1880000000000002</v>
      </c>
      <c r="AJ14" s="30">
        <f>IF(Data!B$4=7,IF(OR(Data!$B$3="H",Data!$B$3="SH"),AI14,AH14),0)</f>
        <v>0</v>
      </c>
      <c r="AL14" s="104">
        <v>2.5</v>
      </c>
      <c r="AS14" s="104"/>
      <c r="AT14" s="104"/>
      <c r="AU14" s="104">
        <v>1</v>
      </c>
      <c r="AV14" s="104" t="str">
        <f>IF(AND(OR(Data!$B$3="H",Data!$B$3="SH"),Data!$B$4=2.5,Data!$B$6=1),IF(AND(OR(Data!$B$7="be",Data!$B$7="ce"),Data!$D$15=4),AV48,""),"")</f>
        <v/>
      </c>
      <c r="AW14" s="104" t="str">
        <f>IF(AND(OR(Data!$B$3="H",Data!$B$3="SH"),Data!$B$4=2.5,Data!$B$6=1),IF(AND(OR(Data!$B$7="RE",Data!$B$7="NC"),Data!$D$15=4),AW48,""),"")</f>
        <v/>
      </c>
      <c r="AX14" s="104" t="str">
        <f>IF(AND(OR(Data!$B$3="H",Data!$B$3="SH"),Data!$B$4=2.5,Data!$B$6=1),IF(AND(OR(Data!$B$7="be",Data!$B$7="ce"),Data!$D$15=3),AX48,""),"")</f>
        <v/>
      </c>
      <c r="AY14" s="104" t="str">
        <f>IF(AND(OR(Data!$B$3="H",Data!$B$3="SH"),Data!$B$4=2.5,Data!$B$6=1),IF(AND(OR(Data!$B$7="RE",Data!$B$7="NC"),Data!$D$15=3),AY48,""),"")</f>
        <v/>
      </c>
      <c r="AZ14" s="104" t="str">
        <f>IF(AND(OR(Data!$B$3="H",Data!$B$3="SH"),Data!$B$4=2.5,Data!$B$6=1),IF(AND(OR(Data!$B$7="be",Data!$B$7="ce"),OR(Data!$D$15=1,Data!$D$15=2,Data!$D$15=6)),AZ48,""),"")</f>
        <v/>
      </c>
      <c r="BA14" s="104" t="str">
        <f>IF(AND(OR(Data!$B$3="H",Data!$B$3="SH"),Data!$B$4=2.5,Data!$B$6=1),IF(AND(OR(Data!$B$7="re",Data!$B$7="nc"),OR(Data!$D$15=1,Data!$D$15=2,Data!$D$15=6)),BA48,""),"")</f>
        <v/>
      </c>
      <c r="BB14" s="104">
        <f t="shared" si="3"/>
        <v>0</v>
      </c>
    </row>
    <row r="15" spans="1:54">
      <c r="A15" s="593"/>
      <c r="B15" s="102">
        <v>1.75</v>
      </c>
      <c r="C15" s="30" t="s">
        <v>858</v>
      </c>
      <c r="D15" s="30" t="s">
        <v>521</v>
      </c>
      <c r="E15" s="30">
        <v>1226</v>
      </c>
      <c r="F15" s="30">
        <v>1330</v>
      </c>
      <c r="G15" s="30">
        <v>1435</v>
      </c>
      <c r="H15" s="30">
        <v>1766</v>
      </c>
      <c r="I15" s="103"/>
      <c r="J15" s="30">
        <v>20</v>
      </c>
      <c r="K15" s="30">
        <v>210</v>
      </c>
      <c r="M15" s="43">
        <v>3.25</v>
      </c>
      <c r="N15" s="104">
        <v>1.75</v>
      </c>
      <c r="O15" s="30" t="s">
        <v>858</v>
      </c>
      <c r="P15" s="30" t="s">
        <v>521</v>
      </c>
      <c r="Q15" s="30" t="str">
        <f>IF(OR(Data!B$3="H",Data!B$3="HM",Data!B$3="W"),IF(M15=Data!B$4,IF(N15=Data!B$6,SUM(R15:V15),""),""),"")</f>
        <v/>
      </c>
      <c r="R15" s="30" t="str">
        <f>IF(OR("MX0"=Data!B$5,"MX1"=Data!B$5,"MX2"=Data!B$5,"MX3"=Data!B$5),E15,"")</f>
        <v/>
      </c>
      <c r="S15" s="30">
        <f>IF(OR("MF1"=Data!B$5,"MF2"=Data!B$5,"MS4"=Data!B$5),F15,"")</f>
        <v>1330</v>
      </c>
      <c r="T15" s="30" t="str">
        <f>IF(OR("MP1"=Data!B$5,"MP3"=Data!B$5,"MT1"=Data!B$5,"MT2"=Data!B$5,"MF5"=Data!B$5,"MF6"=Data!B$5,,"MS2"=Data!B$5,"ME5"=Data!B$5,"ME6"=Data!B$5),G15,"")</f>
        <v/>
      </c>
      <c r="U15" s="30" t="str">
        <f>IF(OR("MS3"=Data!B$5,"ME3"=Data!B$5,"ME4"=Data!B$5,"MP2"=Data!B$5,"MT4"=Data!B$5,"MPU3"=Data!B$5,"MS7"=Data!B$5),H15,"")</f>
        <v/>
      </c>
      <c r="W15" s="30" t="str">
        <f>IF(OR(Q15="",Q15=0),"",IF(Data!B$7="ABE",K15*4,IF(OR(Data!B$7="ACE",Data!B$7="ARE"),K15*2,IF(Data!B$7="BE",K15*2,IF(OR(Data!B$7="CE",Data!B$7="RE"),K15,0))))+J15*(ROUNDUP(Data!B$8,0.1)))</f>
        <v/>
      </c>
      <c r="Z15" s="30">
        <f t="shared" si="0"/>
        <v>307</v>
      </c>
      <c r="AA15" s="30">
        <f t="shared" si="1"/>
        <v>517</v>
      </c>
      <c r="AB15" s="30">
        <f t="shared" si="2"/>
        <v>19</v>
      </c>
      <c r="AF15" s="30" t="str">
        <f>IF(W15&lt;&gt;"",IF(Data!B$7="NC",Z15+(AB15*(Data!B$8+Data!B$11+Data!B$27)),IF(Data!B$7&lt;&gt;"NC",AA15+(AB15*(Data!B$8+Data!B$11+Data!B$27)))),"")</f>
        <v/>
      </c>
      <c r="AG15" s="30">
        <v>8</v>
      </c>
      <c r="AH15" s="30">
        <v>1.75</v>
      </c>
      <c r="AI15" s="30">
        <v>3.6880000000000002</v>
      </c>
      <c r="AJ15" s="30">
        <f>IF(Data!B$4=8,IF(OR(Data!$B$3="H",Data!$B$3="SH"),AI15,AH15),0)</f>
        <v>0</v>
      </c>
      <c r="AL15" s="104">
        <v>0.625</v>
      </c>
      <c r="AM15" s="104" t="str">
        <f>IF(AND(OR(Data!$B$3="A",Data!$B$3="LH",Data!$B$3="SA"),Data!$B$4=2.5,Data!$B$6=0.625),IF(AND(OR(Data!$B$7="be",Data!$B$7="ce"),Data!$D$15=4),AM60,""),"")</f>
        <v/>
      </c>
      <c r="AN15" s="104" t="str">
        <f>IF(AND(OR(Data!$B$3="A",Data!$B$3="LH",Data!$B$3="SA"),Data!$B$4=2.5,Data!$B$6=0.625),IF(AND(OR(Data!$B$7="RE",Data!$B$7="NC"),Data!$D$15=4),AN60,""),"")</f>
        <v/>
      </c>
      <c r="AO15" s="104" t="str">
        <f>IF(AND(OR(Data!$B$3="A",Data!$B$3="LH",Data!$B$3="SA"),Data!$B$4=2.5,Data!$B$6=0.625),IF(AND(OR(Data!$B$7="be",Data!$B$7="ce"),Data!$D$15=3),AO60,""),"")</f>
        <v/>
      </c>
      <c r="AP15" s="104" t="str">
        <f>IF(AND(OR(Data!$B$3="A",Data!$B$3="LH",Data!$B$3="SA"),Data!$B$4=2.5,Data!$B$6=0.625),IF(AND(OR(Data!$B$7="RE",Data!$B$7="NC"),Data!$D$15=3),AP60,""),"")</f>
        <v/>
      </c>
      <c r="AQ15" s="104" t="str">
        <f>IF(AND(OR(Data!$B$3="A",Data!$B$3="LH",Data!$B$3="SA"),Data!$B$4=2.5,Data!$B$6=0.625),IF(AND(OR(Data!$B$7="be",Data!$B$7="ce"),OR(Data!$D$15=1,Data!$D$15=2,Data!$D$15=6)),AQ60,""),"")</f>
        <v/>
      </c>
      <c r="AR15" s="104" t="str">
        <f>IF(AND(OR(Data!$B$3="A",Data!$B$3="LH",Data!$B$3="SA"),Data!$B$4=2.5,Data!$B$6=0.625),IF(AND(OR(Data!$B$7="re",Data!$B$7="nc"),OR(Data!$D$15=1,Data!$D$15=2,Data!$D$15=6)),AR60,""),"")</f>
        <v/>
      </c>
      <c r="AS15" s="104">
        <f t="shared" si="4"/>
        <v>0</v>
      </c>
      <c r="AU15" s="104">
        <v>1.375</v>
      </c>
      <c r="AV15" s="104" t="str">
        <f>IF(AND(OR(Data!$B$3="H",Data!$B$3="SH"),Data!$B$4=2.5,Data!$B$6=1.375),IF(AND(OR(Data!$B$7="be",Data!$B$7="ce"),Data!$D$15=4),AV49,""),"")</f>
        <v/>
      </c>
      <c r="AW15" s="104" t="str">
        <f>IF(AND(OR(Data!$B$3="H",Data!$B$3="SH"),Data!$B$4=2.5,Data!$B$6=1.375),IF(AND(OR(Data!$B$7="RE",Data!$B$7="NC"),Data!$D$15=4),AW49,""),"")</f>
        <v/>
      </c>
      <c r="AX15" s="104" t="str">
        <f>IF(AND(OR(Data!$B$3="H",Data!$B$3="SH"),Data!$B$4=2.5,Data!$B$6=1.375),IF(AND(OR(Data!$B$7="be",Data!$B$7="ce"),Data!$D$15=3),AX49,""),"")</f>
        <v/>
      </c>
      <c r="AY15" s="104" t="str">
        <f>IF(AND(OR(Data!$B$3="H",Data!$B$3="SH"),Data!$B$4=2.5,Data!$B$6=1.375),IF(AND(OR(Data!$B$7="RE",Data!$B$7="NC"),Data!$D$15=3),AY49,""),"")</f>
        <v/>
      </c>
      <c r="AZ15" s="104" t="str">
        <f>IF(AND(OR(Data!$B$3="H",Data!$B$3="SH"),Data!$B$4=2.5,Data!$B$6=1.375),IF(AND(OR(Data!$B$7="be",Data!$B$7="ce"),OR(Data!$D$15=1,Data!$D$15=2,Data!$D$15=6)),AZ49,""),"")</f>
        <v/>
      </c>
      <c r="BA15" s="104" t="str">
        <f>IF(AND(OR(Data!$B$3="H",Data!$B$3="SH"),Data!$B$4=2.5,Data!$B$6=1.375),IF(AND(OR(Data!$B$7="re",Data!$B$7="nc"),OR(Data!$D$15=1,Data!$D$15=2,Data!$D$15=6)),BA49,""),"")</f>
        <v/>
      </c>
      <c r="BB15" s="104">
        <f t="shared" si="3"/>
        <v>0</v>
      </c>
    </row>
    <row r="16" spans="1:54">
      <c r="A16" s="593"/>
      <c r="B16" s="102">
        <v>2</v>
      </c>
      <c r="C16" s="105" t="s">
        <v>521</v>
      </c>
      <c r="D16" s="105" t="s">
        <v>602</v>
      </c>
      <c r="E16" s="30">
        <v>1310</v>
      </c>
      <c r="F16" s="30">
        <v>1440</v>
      </c>
      <c r="G16" s="30">
        <v>1559</v>
      </c>
      <c r="H16" s="30">
        <v>1945</v>
      </c>
      <c r="I16" s="103"/>
      <c r="J16" s="30">
        <v>23</v>
      </c>
      <c r="K16" s="30">
        <v>210</v>
      </c>
      <c r="M16" s="43">
        <v>3.25</v>
      </c>
      <c r="N16" s="104">
        <v>2</v>
      </c>
      <c r="O16" s="105" t="s">
        <v>521</v>
      </c>
      <c r="P16" s="105" t="s">
        <v>602</v>
      </c>
      <c r="Q16" s="30" t="str">
        <f>IF(OR(Data!B$3="H",Data!B$3="HM",Data!B$3="W"),IF(M16=Data!B$4,IF(N16=Data!B$6,SUM(R16:V16),""),""),"")</f>
        <v/>
      </c>
      <c r="R16" s="30" t="str">
        <f>IF(OR("MX0"=Data!B$5,"MX1"=Data!B$5,"MX2"=Data!B$5,"MX3"=Data!B$5),E16,"")</f>
        <v/>
      </c>
      <c r="S16" s="30">
        <f>IF(OR("MF1"=Data!B$5,"MF2"=Data!B$5,"MS4"=Data!B$5),F16,"")</f>
        <v>1440</v>
      </c>
      <c r="T16" s="30" t="str">
        <f>IF(OR("MP1"=Data!B$5,"MP3"=Data!B$5,"MT1"=Data!B$5,"MT2"=Data!B$5,"MF5"=Data!B$5,"MF6"=Data!B$5,,"MS2"=Data!B$5,"ME5"=Data!B$5,"ME6"=Data!B$5),G16,"")</f>
        <v/>
      </c>
      <c r="U16" s="30" t="str">
        <f>IF(OR("MS3"=Data!B$5,"ME3"=Data!B$5,"ME4"=Data!B$5,"MP2"=Data!B$5,"MT4"=Data!B$5,"MPU3"=Data!B$5,"MS7"=Data!B$5),H16,"")</f>
        <v/>
      </c>
      <c r="W16" s="30" t="str">
        <f>IF(OR(Q16="",Q16=0),"",IF(Data!B$7="ABE",K16*4,IF(OR(Data!B$7="ACE",Data!B$7="ARE"),K16*2,IF(Data!B$7="BE",K16*2,IF(OR(Data!B$7="CE",Data!B$7="RE"),K16,0))))+J16*(ROUNDUP(Data!B$8,0.1)))</f>
        <v/>
      </c>
      <c r="Z16" s="30">
        <f t="shared" si="0"/>
        <v>328</v>
      </c>
      <c r="AA16" s="30">
        <f t="shared" si="1"/>
        <v>538</v>
      </c>
      <c r="AB16" s="30">
        <f t="shared" si="2"/>
        <v>21</v>
      </c>
      <c r="AC16" s="104"/>
      <c r="AD16" s="104"/>
      <c r="AE16" s="104"/>
      <c r="AF16" s="30" t="str">
        <f>IF(W16&lt;&gt;"",IF(Data!B$7="NC",Z16+(AB16*(Data!B$8+Data!B$11+Data!B$27)),IF(Data!B$7&lt;&gt;"NC",AA16+(AB16*(Data!B$8+Data!B$11+Data!B$27)))),"")</f>
        <v/>
      </c>
      <c r="AG16" s="30">
        <v>10</v>
      </c>
      <c r="AL16" s="104">
        <v>1</v>
      </c>
      <c r="AM16" s="104" t="str">
        <f>IF(AND(OR(Data!$B$3="A",Data!$B$3="LH",Data!$B$3="SA"),Data!$B$4=2.5,Data!$B$6=1),IF(AND(OR(Data!$B$7="be",Data!$B$7="ce"),Data!$D$15=4),AM61,""),"")</f>
        <v/>
      </c>
      <c r="AN16" s="104" t="str">
        <f>IF(AND(OR(Data!$B$3="A",Data!$B$3="LH",Data!$B$3="SA"),Data!$B$4=2.5,Data!$B$6=1),IF(AND(OR(Data!$B$7="RE",Data!$B$7="NC"),Data!$D$15=4),AN61,""),"")</f>
        <v/>
      </c>
      <c r="AO16" s="104" t="str">
        <f>IF(AND(OR(Data!$B$3="A",Data!$B$3="LH",Data!$B$3="SA"),Data!$B$4=2.5,Data!$B$6=1),IF(AND(OR(Data!$B$7="be",Data!$B$7="ce"),Data!$D$15=3),AO61,""),"")</f>
        <v/>
      </c>
      <c r="AP16" s="104" t="str">
        <f>IF(AND(OR(Data!$B$3="A",Data!$B$3="LH",Data!$B$3="SA"),Data!$B$4=2.5,Data!$B$6=1),IF(AND(OR(Data!$B$7="RE",Data!$B$7="NC"),Data!$D$15=3),AP61,""),"")</f>
        <v/>
      </c>
      <c r="AQ16" s="104" t="str">
        <f>IF(AND(OR(Data!$B$3="A",Data!$B$3="LH",Data!$B$3="SA"),Data!$B$4=2.5,Data!$B$6=1),IF(AND(OR(Data!$B$7="be",Data!$B$7="ce"),OR(Data!$D$15=1,Data!$D$15=2,Data!$D$15=6)),AQ61,""),"")</f>
        <v/>
      </c>
      <c r="AR16" s="104" t="str">
        <f>IF(AND(OR(Data!$B$3="A",Data!$B$3="LH",Data!$B$3="SA"),Data!$B$4=2.5,Data!$B$6=1),IF(AND(OR(Data!$B$7="re",Data!$B$7="nc"),OR(Data!$D$15=1,Data!$D$15=2,Data!$D$15=6)),AR61,""),"")</f>
        <v/>
      </c>
      <c r="AS16" s="104">
        <f t="shared" si="4"/>
        <v>0</v>
      </c>
      <c r="AU16" s="104">
        <v>1.75</v>
      </c>
      <c r="AV16" s="104" t="str">
        <f>IF(AND(OR(Data!$B$3="H",Data!$B$3="SH"),Data!$B$4=2.5,Data!$B$6=1.75),IF(AND(OR(Data!$B$7="be",Data!$B$7="ce"),Data!$D$15=4),AV50,""),"")</f>
        <v/>
      </c>
      <c r="AW16" s="104" t="str">
        <f>IF(AND(OR(Data!$B$3="H",Data!$B$3="SH"),Data!$B$4=2.5,Data!$B$6=1.75),IF(AND(OR(Data!$B$7="RE",Data!$B$7="NC"),Data!$D$15=4),AW50,""),"")</f>
        <v/>
      </c>
      <c r="AX16" s="104" t="str">
        <f>IF(AND(OR(Data!$B$3="H",Data!$B$3="SH"),Data!$B$4=2.5,Data!$B$6=1.75),IF(AND(OR(Data!$B$7="be",Data!$B$7="ce"),Data!$D$15=3),AX50,""),"")</f>
        <v/>
      </c>
      <c r="AY16" s="104" t="str">
        <f>IF(AND(OR(Data!$B$3="H",Data!$B$3="SH"),Data!$B$4=2.5,Data!$B$6=1.75),IF(AND(OR(Data!$B$7="RE",Data!$B$7="NC"),Data!$D$15=3),AY50,""),"")</f>
        <v/>
      </c>
      <c r="AZ16" s="104" t="str">
        <f>IF(AND(OR(Data!$B$3="H",Data!$B$3="SH"),Data!$B$4=2.5,Data!$B$6=1.75),IF(AND(OR(Data!$B$7="be",Data!$B$7="ce"),OR(Data!$D$15=1,Data!$D$15=2,Data!$D$15=6)),AZ50,""),"")</f>
        <v/>
      </c>
      <c r="BA16" s="104" t="str">
        <f>IF(AND(OR(Data!$B$3="H",Data!$B$3="SH"),Data!$B$4=2.5,Data!$B$6=1.75),IF(AND(OR(Data!$B$7="re",Data!$B$7="nc"),OR(Data!$D$15=1,Data!$D$15=2,Data!$D$15=6)),BA50,""),"")</f>
        <v/>
      </c>
      <c r="BB16" s="104">
        <f t="shared" si="3"/>
        <v>0</v>
      </c>
    </row>
    <row r="17" spans="1:54">
      <c r="A17" s="594">
        <v>4</v>
      </c>
      <c r="B17" s="102">
        <v>1.75</v>
      </c>
      <c r="C17" s="30" t="s">
        <v>858</v>
      </c>
      <c r="D17" s="30" t="s">
        <v>521</v>
      </c>
      <c r="E17" s="30">
        <v>1260</v>
      </c>
      <c r="F17" s="30">
        <v>1368</v>
      </c>
      <c r="G17" s="30">
        <v>1472</v>
      </c>
      <c r="H17" s="30">
        <v>1871</v>
      </c>
      <c r="I17" s="103"/>
      <c r="J17" s="30">
        <v>23</v>
      </c>
      <c r="K17" s="30">
        <v>246</v>
      </c>
      <c r="M17" s="57">
        <v>4</v>
      </c>
      <c r="N17" s="104">
        <v>1.75</v>
      </c>
      <c r="O17" s="30" t="s">
        <v>858</v>
      </c>
      <c r="P17" s="30" t="s">
        <v>521</v>
      </c>
      <c r="Q17" s="30" t="str">
        <f>IF(OR(Data!B$3="H",Data!B$3="HM",Data!B$3="W"),IF(M17=Data!B$4,IF(N17=Data!B$6,SUM(R17:V17),""),""),"")</f>
        <v/>
      </c>
      <c r="R17" s="30" t="str">
        <f>IF(OR("MX0"=Data!B$5,"MX1"=Data!B$5,"MX2"=Data!B$5,"MX3"=Data!B$5),E17,"")</f>
        <v/>
      </c>
      <c r="S17" s="30">
        <f>IF(OR("MF1"=Data!B$5,"MF2"=Data!B$5,"MS4"=Data!B$5),F17,"")</f>
        <v>1368</v>
      </c>
      <c r="T17" s="30" t="str">
        <f>IF(OR("MP1"=Data!B$5,"MP3"=Data!B$5,"MT1"=Data!B$5,"MT2"=Data!B$5,"MF5"=Data!B$5,"MF6"=Data!B$5,,"MS2"=Data!B$5,"ME5"=Data!B$5,"ME6"=Data!B$5),G17,"")</f>
        <v/>
      </c>
      <c r="U17" s="30" t="str">
        <f>IF(OR("MS3"=Data!B$5,"ME3"=Data!B$5,"ME4"=Data!B$5,"MP2"=Data!B$5,"MT4"=Data!B$5,"MPU3"=Data!B$5,"MS7"=Data!B$5),H17,"")</f>
        <v/>
      </c>
      <c r="W17" s="30" t="str">
        <f>IF(OR(Q17="",Q17=0),"",IF(Data!B$7="ABE",K17*4,IF(OR(Data!B$7="ACE",Data!B$7="ARE"),K17*2,IF(Data!B$7="BE",K17*2,IF(OR(Data!B$7="CE",Data!B$7="RE"),K17,0))))+J17*(ROUNDUP(Data!B$8,0.1)))</f>
        <v/>
      </c>
      <c r="Z17" s="30">
        <f t="shared" si="0"/>
        <v>315</v>
      </c>
      <c r="AA17" s="30">
        <f t="shared" si="1"/>
        <v>561</v>
      </c>
      <c r="AB17" s="30">
        <f t="shared" si="2"/>
        <v>21</v>
      </c>
      <c r="AC17" s="104"/>
      <c r="AD17" s="104"/>
      <c r="AE17" s="104"/>
      <c r="AF17" s="30" t="str">
        <f>IF(W17&lt;&gt;"",IF(Data!B$7="NC",Z17+(AB17*(Data!B$8+Data!B$11+Data!B$27)),IF(Data!B$7&lt;&gt;"NC",AA17+(AB17*(Data!B$8+Data!B$11+Data!B$27)))),"")</f>
        <v/>
      </c>
      <c r="AG17" s="57">
        <v>12</v>
      </c>
      <c r="AL17" s="104">
        <v>1.375</v>
      </c>
      <c r="AM17" s="104" t="str">
        <f>IF(AND(OR(Data!$B$3="A",Data!$B$3="LH",Data!$B$3="SA"),Data!$B$4=2.5,Data!$B$6=1.375),IF(AND(OR(Data!$B$7="be",Data!$B$7="ce"),Data!$D$15=4),AM62,""),"")</f>
        <v/>
      </c>
      <c r="AN17" s="104" t="str">
        <f>IF(AND(OR(Data!$B$3="A",Data!$B$3="LH",Data!$B$3="SA"),Data!$B$4=2.5,Data!$B$6=1.375),IF(AND(OR(Data!$B$7="RE",Data!$B$7="NC"),Data!$D$15=4),AN62,""),"")</f>
        <v/>
      </c>
      <c r="AO17" s="104" t="str">
        <f>IF(AND(OR(Data!$B$3="A",Data!$B$3="LH",Data!$B$3="SA"),Data!$B$4=2.5,Data!$B$6=1.375),IF(AND(OR(Data!$B$7="be",Data!$B$7="ce"),Data!$D$15=3),AO62,""),"")</f>
        <v/>
      </c>
      <c r="AP17" s="104" t="str">
        <f>IF(AND(OR(Data!$B$3="A",Data!$B$3="LH",Data!$B$3="SA"),Data!$B$4=2.5,Data!$B$6=1.375),IF(AND(OR(Data!$B$7="RE",Data!$B$7="NC"),Data!$D$15=3),AP62,""),"")</f>
        <v/>
      </c>
      <c r="AQ17" s="104" t="str">
        <f>IF(AND(OR(Data!$B$3="A",Data!$B$3="LH",Data!$B$3="SA"),Data!$B$4=2.5,Data!$B$6=1.375),IF(AND(OR(Data!$B$7="be",Data!$B$7="ce"),OR(Data!$D$15=1,Data!$D$15=2,Data!$D$15=6)),AQ62,""),"")</f>
        <v/>
      </c>
      <c r="AR17" s="104" t="str">
        <f>IF(AND(OR(Data!$B$3="A",Data!$B$3="LH",Data!$B$3="SA"),Data!$B$4=2.5,Data!$B$6=1.375),IF(AND(OR(Data!$B$7="re",Data!$B$7="nc"),OR(Data!$D$15=1,Data!$D$15=2,Data!$D$15=6)),AR62,""),"")</f>
        <v/>
      </c>
      <c r="AS17" s="104">
        <f t="shared" si="4"/>
        <v>0</v>
      </c>
      <c r="AT17" s="104"/>
      <c r="AU17" s="104">
        <v>3.25</v>
      </c>
      <c r="AZ17" s="104"/>
      <c r="BA17" s="104"/>
      <c r="BB17" s="104"/>
    </row>
    <row r="18" spans="1:54">
      <c r="A18" s="594"/>
      <c r="B18" s="102">
        <v>2</v>
      </c>
      <c r="C18" s="30" t="s">
        <v>521</v>
      </c>
      <c r="D18" s="30" t="s">
        <v>602</v>
      </c>
      <c r="E18" s="30">
        <v>1512</v>
      </c>
      <c r="F18" s="30">
        <v>1727</v>
      </c>
      <c r="G18" s="30">
        <v>1727</v>
      </c>
      <c r="H18" s="30">
        <v>2162</v>
      </c>
      <c r="I18" s="103"/>
      <c r="J18" s="30">
        <v>26</v>
      </c>
      <c r="K18" s="30">
        <v>246</v>
      </c>
      <c r="M18" s="57">
        <v>4</v>
      </c>
      <c r="N18" s="104">
        <v>2</v>
      </c>
      <c r="O18" s="30" t="s">
        <v>521</v>
      </c>
      <c r="P18" s="30" t="s">
        <v>602</v>
      </c>
      <c r="Q18" s="30" t="str">
        <f>IF(OR(Data!B$3="H",Data!B$3="HM",Data!B$3="W"),IF(M18=Data!B$4,IF(N18=Data!B$6,SUM(R18:V18),""),""),"")</f>
        <v/>
      </c>
      <c r="R18" s="30" t="str">
        <f>IF(OR("MX0"=Data!B$5,"MX1"=Data!B$5,"MX2"=Data!B$5,"MX3"=Data!B$5),E18,"")</f>
        <v/>
      </c>
      <c r="S18" s="30">
        <f>IF(OR("MF1"=Data!B$5,"MF2"=Data!B$5,"MS4"=Data!B$5),F18,"")</f>
        <v>1727</v>
      </c>
      <c r="T18" s="30" t="str">
        <f>IF(OR("MP1"=Data!B$5,"MP3"=Data!B$5,"MT1"=Data!B$5,"MT2"=Data!B$5,"MF5"=Data!B$5,"MF6"=Data!B$5,,"MS2"=Data!B$5,"ME5"=Data!B$5,"ME6"=Data!B$5),G18,"")</f>
        <v/>
      </c>
      <c r="U18" s="30" t="str">
        <f>IF(OR("MS3"=Data!B$5,"ME3"=Data!B$5,"ME4"=Data!B$5,"MP2"=Data!B$5,"MT4"=Data!B$5,"MPU3"=Data!B$5,"MS7"=Data!B$5),H18,"")</f>
        <v/>
      </c>
      <c r="W18" s="30" t="str">
        <f>IF(OR(Q18="",Q18=0),"",IF(Data!B$7="ABE",K18*4,IF(OR(Data!B$7="ACE",Data!B$7="ARE"),K18*2,IF(Data!B$7="BE",K18*2,IF(OR(Data!B$7="CE",Data!B$7="RE"),K18,0))))+J18*(ROUNDUP(Data!B$8,0.1)))</f>
        <v/>
      </c>
      <c r="Z18" s="30">
        <f t="shared" si="0"/>
        <v>378</v>
      </c>
      <c r="AA18" s="30">
        <f t="shared" si="1"/>
        <v>624</v>
      </c>
      <c r="AB18" s="30">
        <f t="shared" si="2"/>
        <v>24</v>
      </c>
      <c r="AF18" s="30" t="str">
        <f>IF(W18&lt;&gt;"",IF(Data!B$7="NC",Z18+(AB18*(Data!B$8+Data!B$11+Data!B$27)),IF(Data!B$7&lt;&gt;"NC",AA18+(AB18*(Data!B$8+Data!B$11+Data!B$27)))),"")</f>
        <v/>
      </c>
      <c r="AG18" s="57">
        <v>14</v>
      </c>
      <c r="AL18" s="104">
        <v>1.75</v>
      </c>
      <c r="AM18" s="104" t="str">
        <f>IF(AND(OR(Data!$B$3="A",Data!$B$3="LH",Data!$B$3="SA"),Data!$B$4=2.5,Data!$B$6=1.75),IF(AND(OR(Data!$B$7="be",Data!$B$7="ce"),Data!$D$15=4),AM63,""),"")</f>
        <v/>
      </c>
      <c r="AN18" s="104" t="str">
        <f>IF(AND(OR(Data!$B$3="A",Data!$B$3="LH",Data!$B$3="SA"),Data!$B$4=2.5,Data!$B$6=1.75),IF(AND(OR(Data!$B$7="RE",Data!$B$7="NC"),Data!$D$15=4),AN63,""),"")</f>
        <v/>
      </c>
      <c r="AO18" s="104" t="str">
        <f>IF(AND(OR(Data!$B$3="A",Data!$B$3="LH",Data!$B$3="SA"),Data!$B$4=2.5,Data!$B$6=1.75),IF(AND(OR(Data!$B$7="be",Data!$B$7="ce"),Data!$D$15=3),AO63,""),"")</f>
        <v/>
      </c>
      <c r="AP18" s="104" t="str">
        <f>IF(AND(OR(Data!$B$3="A",Data!$B$3="LH",Data!$B$3="SA"),Data!$B$4=2.5,Data!$B$6=1.75),IF(AND(OR(Data!$B$7="RE",Data!$B$7="NC"),Data!$D$15=3),AP63,""),"")</f>
        <v/>
      </c>
      <c r="AQ18" s="104" t="str">
        <f>IF(AND(OR(Data!$B$3="A",Data!$B$3="LH",Data!$B$3="SA"),Data!$B$4=2.5,Data!$B$6=1.75),IF(AND(OR(Data!$B$7="be",Data!$B$7="ce"),OR(Data!$D$15=1,Data!$D$15=2,Data!$D$15=6)),AQ63,""),"")</f>
        <v/>
      </c>
      <c r="AR18" s="104" t="str">
        <f>IF(AND(OR(Data!$B$3="A",Data!$B$3="LH",Data!$B$3="SA"),Data!$B$4=2.5,Data!$B$6=1.75),IF(AND(OR(Data!$B$7="re",Data!$B$7="nc"),OR(Data!$D$15=1,Data!$D$15=2,Data!$D$15=6)),AR63,""),"")</f>
        <v/>
      </c>
      <c r="AS18" s="104">
        <f t="shared" si="4"/>
        <v>0</v>
      </c>
      <c r="AT18" s="104"/>
      <c r="AU18" s="104">
        <v>1.375</v>
      </c>
      <c r="AV18" s="104" t="str">
        <f>IF(AND(OR(Data!$B$3="H",Data!$B$3="SH"),Data!$B$4=3.25,Data!$B$6=1.375),IF(AND(OR(Data!$B$7="be",Data!$B$7="ce"),Data!$D$15=4),AV52,""),"")</f>
        <v/>
      </c>
      <c r="AW18" s="104" t="str">
        <f>IF(AND(OR(Data!$B$3="H",Data!$B$3="SH"),Data!$B$4=3.25,Data!$B$6=1.375),IF(AND(OR(Data!$B$7="RE",Data!$B$7="NC"),Data!$D$15=4),AW52,""),"")</f>
        <v/>
      </c>
      <c r="AX18" s="104" t="str">
        <f>IF(AND(OR(Data!$B$3="H",Data!$B$3="SH"),Data!$B$4=3.25,Data!$B$6=1.375),IF(AND(OR(Data!$B$7="be",Data!$B$7="ce"),Data!$D$15=3),AX52,""),"")</f>
        <v/>
      </c>
      <c r="AY18" s="104" t="str">
        <f>IF(AND(OR(Data!$B$3="H",Data!$B$3="SH"),Data!$B$4=3.25,Data!$B$6=1.375),IF(AND(OR(Data!$B$7="RE",Data!$B$7="NC"),Data!$D$15=3),AY52,""),"")</f>
        <v/>
      </c>
      <c r="AZ18" s="104" t="str">
        <f>IF(AND(OR(Data!$B$3="H",Data!$B$3="SH"),Data!$B$4=3.25,Data!$B$6=1.375),IF(AND(OR(Data!$B$7="be",Data!$B$7="ce"),OR(Data!$D$15=1,Data!$D$15=2,Data!$D$15=6)),AZ52,""),"")</f>
        <v/>
      </c>
      <c r="BA18" s="104" t="str">
        <f>IF(AND(OR(Data!$B$3="H",Data!$B$3="SH"),Data!$B$4=3.25,Data!$B$6=1.375),IF(AND(OR(Data!$B$7="re",Data!$B$7="nc"),OR(Data!$D$15=1,Data!$D$15=2,Data!$D$15=6)),BA52,""),"")</f>
        <v/>
      </c>
      <c r="BB18" s="104">
        <f t="shared" si="3"/>
        <v>0</v>
      </c>
    </row>
    <row r="19" spans="1:54">
      <c r="A19" s="594"/>
      <c r="B19" s="102">
        <v>2.5</v>
      </c>
      <c r="C19" s="105" t="s">
        <v>619</v>
      </c>
      <c r="D19" s="30" t="s">
        <v>721</v>
      </c>
      <c r="E19" s="30">
        <v>1673</v>
      </c>
      <c r="F19" s="30">
        <v>1794</v>
      </c>
      <c r="G19" s="30">
        <v>1899</v>
      </c>
      <c r="H19" s="30">
        <v>2335</v>
      </c>
      <c r="I19" s="103"/>
      <c r="J19" s="30">
        <v>28</v>
      </c>
      <c r="K19" s="30">
        <v>246</v>
      </c>
      <c r="M19" s="57">
        <v>4</v>
      </c>
      <c r="N19" s="104">
        <v>2.5</v>
      </c>
      <c r="O19" s="105" t="s">
        <v>619</v>
      </c>
      <c r="P19" s="30" t="s">
        <v>721</v>
      </c>
      <c r="Q19" s="30" t="str">
        <f>IF(OR(Data!B$3="H",Data!B$3="HM",Data!B$3="W"),IF(M19=Data!B$4,IF(N19=Data!B$6,SUM(R19:V19),""),""),"")</f>
        <v/>
      </c>
      <c r="R19" s="30" t="str">
        <f>IF(OR("MX0"=Data!B$5,"MX1"=Data!B$5,"MX2"=Data!B$5,"MX3"=Data!B$5),E19,"")</f>
        <v/>
      </c>
      <c r="S19" s="30">
        <f>IF(OR("MF1"=Data!B$5,"MF2"=Data!B$5,"MS4"=Data!B$5),F19,"")</f>
        <v>1794</v>
      </c>
      <c r="T19" s="30" t="str">
        <f>IF(OR("MP1"=Data!B$5,"MP3"=Data!B$5,"MT1"=Data!B$5,"MT2"=Data!B$5,"MF5"=Data!B$5,"MF6"=Data!B$5,,"MS2"=Data!B$5,"ME5"=Data!B$5,"ME6"=Data!B$5),G19,"")</f>
        <v/>
      </c>
      <c r="U19" s="30" t="str">
        <f>IF(OR("MS3"=Data!B$5,"ME3"=Data!B$5,"ME4"=Data!B$5,"MP2"=Data!B$5,"MT4"=Data!B$5,"MPU3"=Data!B$5,"MS7"=Data!B$5),H19,"")</f>
        <v/>
      </c>
      <c r="W19" s="30" t="str">
        <f>IF(OR(Q19="",Q19=0),"",IF(Data!B$7="ABE",K19*4,IF(OR(Data!B$7="ACE",Data!B$7="ARE"),K19*2,IF(Data!B$7="BE",K19*2,IF(OR(Data!B$7="CE",Data!B$7="RE"),K19,0))))+J19*(ROUNDUP(Data!B$8,0.1)))</f>
        <v/>
      </c>
      <c r="Z19" s="30">
        <f t="shared" si="0"/>
        <v>419</v>
      </c>
      <c r="AA19" s="30">
        <f t="shared" si="1"/>
        <v>665</v>
      </c>
      <c r="AB19" s="30">
        <f t="shared" si="2"/>
        <v>26</v>
      </c>
      <c r="AF19" s="30" t="str">
        <f>IF(W19&lt;&gt;"",IF(Data!B$7="NC",Z19+(AB19*(Data!B$8+Data!B$11+Data!B$27)),IF(Data!B$7&lt;&gt;"NC",AA19+(AB19*(Data!B$8+Data!B$11+Data!B$27)))),"")</f>
        <v/>
      </c>
      <c r="AG19" s="30">
        <v>16</v>
      </c>
      <c r="AL19" s="104">
        <v>3.25</v>
      </c>
      <c r="AS19" s="104"/>
      <c r="AT19" s="104"/>
      <c r="AU19" s="104">
        <v>1.75</v>
      </c>
      <c r="AV19" s="104" t="str">
        <f>IF(AND(OR(Data!$B$3="H",Data!$B$3="SH"),Data!$B$4=3.25,Data!$B$6=1.75),IF(AND(OR(Data!$B$7="be",Data!$B$7="ce"),Data!$D$15=4),AV53,""),"")</f>
        <v/>
      </c>
      <c r="AW19" s="104" t="str">
        <f>IF(AND(OR(Data!$B$3="H",Data!$B$3="SH"),Data!$B$4=3.25,Data!$B$6=1.75),IF(AND(OR(Data!$B$7="RE",Data!$B$7="NC"),Data!$D$15=4),AW53,""),"")</f>
        <v/>
      </c>
      <c r="AX19" s="104" t="str">
        <f>IF(AND(OR(Data!$B$3="H",Data!$B$3="SH"),Data!$B$4=3.25,Data!$B$6=1.75),IF(AND(OR(Data!$B$7="be",Data!$B$7="ce"),Data!$D$15=3),AX53,""),"")</f>
        <v/>
      </c>
      <c r="AY19" s="104" t="str">
        <f>IF(AND(OR(Data!$B$3="H",Data!$B$3="SH"),Data!$B$4=3.25,Data!$B$6=1.75),IF(AND(OR(Data!$B$7="RE",Data!$B$7="NC"),Data!$D$15=3),AY53,""),"")</f>
        <v/>
      </c>
      <c r="AZ19" s="104" t="str">
        <f>IF(AND(OR(Data!$B$3="H",Data!$B$3="SH"),Data!$B$4=3.25,Data!$B$6=1.75),IF(AND(OR(Data!$B$7="be",Data!$B$7="ce"),OR(Data!$D$15=1,Data!$D$15=2,Data!$D$15=6)),AZ53,""),"")</f>
        <v/>
      </c>
      <c r="BA19" s="104" t="str">
        <f>IF(AND(OR(Data!$B$3="H",Data!$B$3="SH"),Data!$B$4=3.25,Data!$B$6=1.75),IF(AND(OR(Data!$B$7="re",Data!$B$7="nc"),OR(Data!$D$15=1,Data!$D$15=2,Data!$D$15=6)),BA53,""),"")</f>
        <v/>
      </c>
      <c r="BB19" s="104">
        <f t="shared" si="3"/>
        <v>0</v>
      </c>
    </row>
    <row r="20" spans="1:54">
      <c r="A20" s="594">
        <v>5</v>
      </c>
      <c r="B20" s="102">
        <v>2</v>
      </c>
      <c r="C20" s="30" t="s">
        <v>521</v>
      </c>
      <c r="D20" s="30" t="s">
        <v>602</v>
      </c>
      <c r="E20" s="30">
        <v>1722</v>
      </c>
      <c r="F20" s="30">
        <v>1846</v>
      </c>
      <c r="G20" s="30">
        <v>1990</v>
      </c>
      <c r="H20" s="30">
        <v>2729</v>
      </c>
      <c r="I20" s="103"/>
      <c r="J20" s="30">
        <v>31</v>
      </c>
      <c r="K20" s="30">
        <v>272</v>
      </c>
      <c r="M20" s="57">
        <v>5</v>
      </c>
      <c r="N20" s="104">
        <v>2</v>
      </c>
      <c r="O20" s="30" t="s">
        <v>521</v>
      </c>
      <c r="P20" s="30" t="s">
        <v>602</v>
      </c>
      <c r="Q20" s="30">
        <f>IF(OR(Data!B$3="H",Data!B$3="HM",Data!B$3="W"),IF(M20=Data!B$4,IF(N20=Data!B$6,SUM(R20:V20),""),""),"")</f>
        <v>1846</v>
      </c>
      <c r="R20" s="30" t="str">
        <f>IF(OR("MX0"=Data!B$5,"MX1"=Data!B$5,"MX2"=Data!B$5,"MX3"=Data!B$5),E20,"")</f>
        <v/>
      </c>
      <c r="S20" s="30">
        <f>IF(OR("MF1"=Data!B$5,"MF2"=Data!B$5,"MS4"=Data!B$5),F20,"")</f>
        <v>1846</v>
      </c>
      <c r="T20" s="30" t="str">
        <f>IF(OR("MP1"=Data!B$5,"MP3"=Data!B$5,"MT1"=Data!B$5,"MT2"=Data!B$5,"MF5"=Data!B$5,"MF6"=Data!B$5,,"MS2"=Data!B$5,"ME5"=Data!B$5,"ME6"=Data!B$5),G20,"")</f>
        <v/>
      </c>
      <c r="U20" s="30" t="str">
        <f>IF(OR("MS3"=Data!B$5,"ME3"=Data!B$5,"ME4"=Data!B$5,"MP2"=Data!B$5,"MT4"=Data!B$5,"MPU3"=Data!B$5,"MS7"=Data!B$5),H20,"")</f>
        <v/>
      </c>
      <c r="W20" s="30">
        <f>IF(OR(Q20="",Q20=0),"",IF(Data!B$7="ABE",K20*4,IF(OR(Data!B$7="ACE",Data!B$7="ARE"),K20*2,IF(Data!B$7="BE",K20*2,IF(OR(Data!B$7="CE",Data!B$7="RE"),K20,0))))+J20*(ROUNDUP(Data!B$8,0.1)))</f>
        <v>372</v>
      </c>
      <c r="Z20" s="30">
        <f t="shared" si="0"/>
        <v>431</v>
      </c>
      <c r="AA20" s="30">
        <f t="shared" si="1"/>
        <v>703</v>
      </c>
      <c r="AB20" s="30">
        <f t="shared" si="2"/>
        <v>29</v>
      </c>
      <c r="AF20" s="30">
        <f>IF(W20&lt;&gt;"",IF(Data!B$7="NC",Z20+(AB20*(Data!B$8+Data!B$11+Data!B$27)),IF(Data!B$7&lt;&gt;"NC",AA20+(AB20*(Data!B$8+Data!B$11+Data!B$27)))),"")</f>
        <v>779</v>
      </c>
      <c r="AG20" s="30">
        <v>18</v>
      </c>
      <c r="AL20" s="104">
        <v>1</v>
      </c>
      <c r="AM20" s="104" t="str">
        <f>IF(AND(OR(Data!$B$3="A",Data!$B$3="LH",Data!$B$3="SA"),Data!$B$4=3.25,Data!$B$6=1),IF(AND(OR(Data!$B$7="be",Data!$B$7="ce"),Data!$D$15=4),AM65,""),"")</f>
        <v/>
      </c>
      <c r="AN20" s="104" t="str">
        <f>IF(AND(OR(Data!$B$3="A",Data!$B$3="LH",Data!$B$3="SA"),Data!$B$4=3.25,Data!$B$6=1),IF(AND(OR(Data!$B$7="RE",Data!$B$7="NC"),Data!$D$15=4),AN65,""),"")</f>
        <v/>
      </c>
      <c r="AO20" s="104" t="str">
        <f>IF(AND(OR(Data!$B$3="A",Data!$B$3="LH",Data!$B$3="SA"),Data!$B$4=3.25,Data!$B$6=1),IF(AND(OR(Data!$B$7="be",Data!$B$7="ce"),Data!$D$15=3),AO65,""),"")</f>
        <v/>
      </c>
      <c r="AP20" s="104" t="str">
        <f>IF(AND(OR(Data!$B$3="A",Data!$B$3="LH",Data!$B$3="SA"),Data!$B$4=3.25,Data!$B$6=1),IF(AND(OR(Data!$B$7="RE",Data!$B$7="NC"),Data!$D$15=3),AP65,""),"")</f>
        <v/>
      </c>
      <c r="AQ20" s="104" t="str">
        <f>IF(AND(OR(Data!$B$3="A",Data!$B$3="LH",Data!$B$3="SA"),Data!$B$4=3.25,Data!$B$6=1),IF(AND(OR(Data!$B$7="be",Data!$B$7="ce"),OR(Data!$D$15=1,Data!$D$15=2,Data!$D$15=6)),AQ65,""),"")</f>
        <v/>
      </c>
      <c r="AR20" s="104" t="str">
        <f>IF(AND(OR(Data!$B$3="A",Data!$B$3="LH",Data!$B$3="SA"),Data!$B$4=3.25,Data!$B$6=1),IF(AND(OR(Data!$B$7="re",Data!$B$7="nc"),OR(Data!$D$15=1,Data!$D$15=2,Data!$D$15=6)),AR65,""),"")</f>
        <v/>
      </c>
      <c r="AS20" s="104">
        <f t="shared" si="4"/>
        <v>0</v>
      </c>
      <c r="AT20" s="104"/>
      <c r="AU20" s="104">
        <v>2</v>
      </c>
      <c r="AV20" s="104" t="str">
        <f>IF(AND(OR(Data!$B$3="H",Data!$B$3="SH"),Data!$B$4=3.25,Data!$B$6=2),IF(AND(OR(Data!$B$7="be",Data!$B$7="ce"),Data!$D$15=4),AV54,""),"")</f>
        <v/>
      </c>
      <c r="AW20" s="104" t="str">
        <f>IF(AND(OR(Data!$B$3="H",Data!$B$3="SH"),Data!$B$4=3.25,Data!$B$6=2),IF(AND(OR(Data!$B$7="RE",Data!$B$7="NC"),Data!$D$15=4),AW54,""),"")</f>
        <v/>
      </c>
      <c r="AX20" s="104" t="str">
        <f>IF(AND(OR(Data!$B$3="H",Data!$B$3="SH"),Data!$B$4=3.25,Data!$B$6=2),IF(AND(OR(Data!$B$7="be",Data!$B$7="ce"),Data!$D$15=3),AX54,""),"")</f>
        <v/>
      </c>
      <c r="AY20" s="104" t="str">
        <f>IF(AND(OR(Data!$B$3="H",Data!$B$3="SH"),Data!$B$4=3.25,Data!$B$6=2),IF(AND(OR(Data!$B$7="RE",Data!$B$7="NC"),Data!$D$15=3),AY54,""),"")</f>
        <v/>
      </c>
      <c r="AZ20" s="104" t="str">
        <f>IF(AND(OR(Data!$B$3="H",Data!$B$3="SH"),Data!$B$4=3.25,Data!$B$6=2),IF(AND(OR(Data!$B$7="be",Data!$B$7="ce"),OR(Data!$D$15=1,Data!$D$15=2,Data!$D$15=6)),AZ54,""),"")</f>
        <v/>
      </c>
      <c r="BA20" s="104" t="str">
        <f>IF(AND(OR(Data!$B$3="H",Data!$B$3="SH"),Data!$B$4=3.25,Data!$B$6=2),IF(AND(OR(Data!$B$7="re",Data!$B$7="nc"),OR(Data!$D$15=1,Data!$D$15=2,Data!$D$15=6)),BA54,""),"")</f>
        <v/>
      </c>
      <c r="BB20" s="104">
        <f t="shared" si="3"/>
        <v>0</v>
      </c>
    </row>
    <row r="21" spans="1:54">
      <c r="A21" s="594"/>
      <c r="B21" s="102">
        <v>2.5</v>
      </c>
      <c r="C21" s="30" t="s">
        <v>619</v>
      </c>
      <c r="D21" s="30" t="s">
        <v>721</v>
      </c>
      <c r="E21" s="30">
        <v>1983</v>
      </c>
      <c r="F21" s="30">
        <v>2117</v>
      </c>
      <c r="G21" s="30">
        <v>2250</v>
      </c>
      <c r="H21" s="30">
        <v>2937</v>
      </c>
      <c r="I21" s="103"/>
      <c r="J21" s="30">
        <v>35</v>
      </c>
      <c r="K21" s="30">
        <v>272</v>
      </c>
      <c r="M21" s="57">
        <v>5</v>
      </c>
      <c r="N21" s="104">
        <v>2.5</v>
      </c>
      <c r="O21" s="30" t="s">
        <v>619</v>
      </c>
      <c r="P21" s="30" t="s">
        <v>721</v>
      </c>
      <c r="Q21" s="30" t="str">
        <f>IF(OR(Data!B$3="H",Data!B$3="HM",Data!B$3="W"),IF(M21=Data!B$4,IF(N21=Data!B$6,SUM(R21:V21),""),""),"")</f>
        <v/>
      </c>
      <c r="R21" s="30" t="str">
        <f>IF(OR("MX0"=Data!B$5,"MX1"=Data!B$5,"MX2"=Data!B$5,"MX3"=Data!B$5),E21,"")</f>
        <v/>
      </c>
      <c r="S21" s="30">
        <f>IF(OR("MF1"=Data!B$5,"MF2"=Data!B$5,"MS4"=Data!B$5),F21,"")</f>
        <v>2117</v>
      </c>
      <c r="T21" s="30" t="str">
        <f>IF(OR("MP1"=Data!B$5,"MP3"=Data!B$5,"MT1"=Data!B$5,"MT2"=Data!B$5,"MF5"=Data!B$5,"MF6"=Data!B$5,,"MS2"=Data!B$5,"ME5"=Data!B$5,"ME6"=Data!B$5),G21,"")</f>
        <v/>
      </c>
      <c r="U21" s="30" t="str">
        <f>IF(OR("MS3"=Data!B$5,"ME3"=Data!B$5,"ME4"=Data!B$5,"MP2"=Data!B$5,"MT4"=Data!B$5,"MPU3"=Data!B$5,"MS7"=Data!B$5),H21,"")</f>
        <v/>
      </c>
      <c r="W21" s="30" t="str">
        <f>IF(OR(Q21="",Q21=0),"",IF(Data!B$7="ABE",K21*4,IF(OR(Data!B$7="ACE",Data!B$7="ARE"),K21*2,IF(Data!B$7="BE",K21*2,IF(OR(Data!B$7="CE",Data!B$7="RE"),K21,0))))+J21*(ROUNDUP(Data!B$8,0.1)))</f>
        <v/>
      </c>
      <c r="Z21" s="30">
        <f t="shared" si="0"/>
        <v>496</v>
      </c>
      <c r="AA21" s="30">
        <f t="shared" si="1"/>
        <v>768</v>
      </c>
      <c r="AB21" s="30">
        <f t="shared" si="2"/>
        <v>33</v>
      </c>
      <c r="AF21" s="30" t="str">
        <f>IF(W21&lt;&gt;"",IF(Data!B$7="NC",Z21+(AB21*(Data!B$8+Data!B$11+Data!B$27)),IF(Data!B$7&lt;&gt;"NC",AA21+(AB21*(Data!B$8+Data!B$11+Data!B$27)))),"")</f>
        <v/>
      </c>
      <c r="AG21" s="30">
        <v>20</v>
      </c>
      <c r="AL21" s="104">
        <v>1.375</v>
      </c>
      <c r="AM21" s="104" t="str">
        <f>IF(AND(OR(Data!$B$3="A",Data!$B$3="LH",Data!$B$3="SA"),Data!$B$4=3.25,Data!$B$6=1.375),IF(AND(OR(Data!$B$7="be",Data!$B$7="ce"),Data!$D$15=4),AM66,""),"")</f>
        <v/>
      </c>
      <c r="AN21" s="104" t="str">
        <f>IF(AND(OR(Data!$B$3="A",Data!$B$3="LH",Data!$B$3="SA"),Data!$B$4=3.25,Data!$B$6=1.375),IF(AND(OR(Data!$B$7="RE",Data!$B$7="NC"),Data!$D$15=4),AN66,""),"")</f>
        <v/>
      </c>
      <c r="AO21" s="104" t="str">
        <f>IF(AND(OR(Data!$B$3="A",Data!$B$3="LH",Data!$B$3="SA"),Data!$B$4=3.25,Data!$B$6=1.375),IF(AND(OR(Data!$B$7="be",Data!$B$7="ce"),Data!$D$15=3),AO66,""),"")</f>
        <v/>
      </c>
      <c r="AP21" s="104" t="str">
        <f>IF(AND(OR(Data!$B$3="A",Data!$B$3="LH",Data!$B$3="SA"),Data!$B$4=3.25,Data!$B$6=1.375),IF(AND(OR(Data!$B$7="RE",Data!$B$7="NC"),Data!$D$15=3),AP66,""),"")</f>
        <v/>
      </c>
      <c r="AQ21" s="104" t="str">
        <f>IF(AND(OR(Data!$B$3="A",Data!$B$3="LH",Data!$B$3="SA"),Data!$B$4=3.25,Data!$B$6=1.375),IF(AND(OR(Data!$B$7="be",Data!$B$7="ce"),OR(Data!$D$15=1,Data!$D$15=2,Data!$D$15=6)),AQ66,""),"")</f>
        <v/>
      </c>
      <c r="AR21" s="104" t="str">
        <f>IF(AND(OR(Data!$B$3="A",Data!$B$3="LH",Data!$B$3="SA"),Data!$B$4=3.25,Data!$B$6=1.375),IF(AND(OR(Data!$B$7="re",Data!$B$7="nc"),OR(Data!$D$15=1,Data!$D$15=2,Data!$D$15=6)),AR66,""),"")</f>
        <v/>
      </c>
      <c r="AS21" s="104">
        <f t="shared" si="4"/>
        <v>0</v>
      </c>
      <c r="AU21" s="104">
        <v>4</v>
      </c>
      <c r="AZ21" s="104"/>
      <c r="BA21" s="104"/>
      <c r="BB21" s="104"/>
    </row>
    <row r="22" spans="1:54">
      <c r="A22" s="594"/>
      <c r="B22" s="102">
        <v>3</v>
      </c>
      <c r="C22" s="105" t="s">
        <v>721</v>
      </c>
      <c r="D22" s="105" t="s">
        <v>860</v>
      </c>
      <c r="E22" s="30">
        <v>2214</v>
      </c>
      <c r="F22" s="30">
        <v>2412</v>
      </c>
      <c r="G22" s="30">
        <v>2494</v>
      </c>
      <c r="H22" s="30">
        <v>3240</v>
      </c>
      <c r="I22" s="103"/>
      <c r="J22" s="30">
        <v>39</v>
      </c>
      <c r="K22" s="30">
        <v>272</v>
      </c>
      <c r="M22" s="57">
        <v>5</v>
      </c>
      <c r="N22" s="104">
        <v>3</v>
      </c>
      <c r="O22" s="105" t="s">
        <v>721</v>
      </c>
      <c r="P22" s="105" t="s">
        <v>860</v>
      </c>
      <c r="Q22" s="30" t="str">
        <f>IF(OR(Data!B$3="H",Data!B$3="HM",Data!B$3="W"),IF(M22=Data!B$4,IF(N22=Data!B$6,SUM(R22:V22),""),""),"")</f>
        <v/>
      </c>
      <c r="R22" s="30" t="str">
        <f>IF(OR("MX0"=Data!B$5,"MX1"=Data!B$5,"MX2"=Data!B$5,"MX3"=Data!B$5),E22,"")</f>
        <v/>
      </c>
      <c r="S22" s="30">
        <f>IF(OR("MF1"=Data!B$5,"MF2"=Data!B$5,"MS4"=Data!B$5),F22,"")</f>
        <v>2412</v>
      </c>
      <c r="T22" s="30" t="str">
        <f>IF(OR("MP1"=Data!B$5,"MP3"=Data!B$5,"MT1"=Data!B$5,"MT2"=Data!B$5,"MF5"=Data!B$5,"MF6"=Data!B$5,,"MS2"=Data!B$5,"ME5"=Data!B$5,"ME6"=Data!B$5),G22,"")</f>
        <v/>
      </c>
      <c r="U22" s="30" t="str">
        <f>IF(OR("MS3"=Data!B$5,"ME3"=Data!B$5,"ME4"=Data!B$5,"MP2"=Data!B$5,"MT4"=Data!B$5,"MPU3"=Data!B$5,"MS7"=Data!B$5),H22,"")</f>
        <v/>
      </c>
      <c r="W22" s="30" t="str">
        <f>IF(OR(Q22="",Q22=0),"",IF(Data!B$7="ABE",K22*4,IF(OR(Data!B$7="ACE",Data!B$7="ARE"),K22*2,IF(Data!B$7="BE",K22*2,IF(OR(Data!B$7="CE",Data!B$7="RE"),K22,0))))+J22*(ROUNDUP(Data!B$8,0.1)))</f>
        <v/>
      </c>
      <c r="Z22" s="30">
        <f t="shared" si="0"/>
        <v>554</v>
      </c>
      <c r="AA22" s="30">
        <f t="shared" si="1"/>
        <v>826</v>
      </c>
      <c r="AB22" s="30">
        <f t="shared" si="2"/>
        <v>37</v>
      </c>
      <c r="AF22" s="30" t="str">
        <f>IF(W22&lt;&gt;"",IF(Data!B$7="NC",Z22+(AB22*(Data!B$8+Data!B$11+Data!B$27)),IF(Data!B$7&lt;&gt;"NC",AA22+(AB22*(Data!B$8+Data!B$11+Data!B$27)))),"")</f>
        <v/>
      </c>
      <c r="AL22" s="104">
        <v>1.75</v>
      </c>
      <c r="AM22" s="104" t="str">
        <f>IF(AND(OR(Data!$B$3="A",Data!$B$3="LH",Data!$B$3="SA"),Data!$B$4=3.25,Data!$B$6=1.75),IF(AND(OR(Data!$B$7="be",Data!$B$7="ce"),Data!$D$15=4),AM67,""),"")</f>
        <v/>
      </c>
      <c r="AN22" s="104" t="str">
        <f>IF(AND(OR(Data!$B$3="A",Data!$B$3="LH",Data!$B$3="SA"),Data!$B$4=3.25,Data!$B$6=1.75),IF(AND(OR(Data!$B$7="RE",Data!$B$7="NC"),Data!$D$15=4),AN67,""),"")</f>
        <v/>
      </c>
      <c r="AO22" s="104" t="str">
        <f>IF(AND(OR(Data!$B$3="A",Data!$B$3="LH",Data!$B$3="SA"),Data!$B$4=3.25,Data!$B$6=1.75),IF(AND(OR(Data!$B$7="be",Data!$B$7="ce"),Data!$D$15=3),AO67,""),"")</f>
        <v/>
      </c>
      <c r="AP22" s="104" t="str">
        <f>IF(AND(OR(Data!$B$3="A",Data!$B$3="LH",Data!$B$3="SA"),Data!$B$4=3.25,Data!$B$6=1.75),IF(AND(OR(Data!$B$7="RE",Data!$B$7="NC"),Data!$D$15=3),AP67,""),"")</f>
        <v/>
      </c>
      <c r="AQ22" s="104" t="str">
        <f>IF(AND(OR(Data!$B$3="A",Data!$B$3="LH",Data!$B$3="SA"),Data!$B$4=3.25,Data!$B$6=1.75),IF(AND(OR(Data!$B$7="be",Data!$B$7="ce"),OR(Data!$D$15=1,Data!$D$15=2,Data!$D$15=6)),AQ67,""),"")</f>
        <v/>
      </c>
      <c r="AR22" s="104" t="str">
        <f>IF(AND(OR(Data!$B$3="A",Data!$B$3="LH",Data!$B$3="SA"),Data!$B$4=3.25,Data!$B$6=1.75),IF(AND(OR(Data!$B$7="re",Data!$B$7="nc"),OR(Data!$D$15=1,Data!$D$15=2,Data!$D$15=6)),AR67,""),"")</f>
        <v/>
      </c>
      <c r="AS22" s="104">
        <f t="shared" si="4"/>
        <v>0</v>
      </c>
      <c r="AU22" s="104">
        <v>1.75</v>
      </c>
      <c r="AV22" s="104" t="str">
        <f>IF(AND(OR(Data!$B$3="H",Data!$B$3="SH"),Data!$B$4=4,Data!$B$6=1.75),IF(AND(OR(Data!$B$7="be",Data!$B$7="ce"),Data!$D$15=4),AV56,""),"")</f>
        <v/>
      </c>
      <c r="AW22" s="104" t="str">
        <f>IF(AND(OR(Data!$B$3="H",Data!$B$3="SH"),Data!$B$4=4,Data!$B$6=1.75),IF(AND(OR(Data!$B$7="RE",Data!$B$7="NC"),Data!$D$15=4),AW56,""),"")</f>
        <v/>
      </c>
      <c r="AX22" s="104" t="str">
        <f>IF(AND(OR(Data!$B$3="H",Data!$B$3="SH"),Data!$B$4=4,Data!$B$6=1.75),IF(AND(OR(Data!$B$7="be",Data!$B$7="ce"),Data!$D$15=3),AX56,""),"")</f>
        <v/>
      </c>
      <c r="AY22" s="104" t="str">
        <f>IF(AND(OR(Data!$B$3="H",Data!$B$3="SH"),Data!$B$4=4,Data!$B$6=1.75),IF(AND(OR(Data!$B$7="RE",Data!$B$7="NC"),Data!$D$15=3),AY56,""),"")</f>
        <v/>
      </c>
      <c r="AZ22" s="104" t="str">
        <f>IF(AND(OR(Data!$B$3="H",Data!$B$3="SH"),Data!$B$4=4,Data!$B$6=1.75),IF(AND(OR(Data!$B$7="be",Data!$B$7="ce"),OR(Data!$D$15=1,Data!$D$15=2,Data!$D$15=6)),AZ56,""),"")</f>
        <v/>
      </c>
      <c r="BA22" s="104" t="str">
        <f>IF(AND(OR(Data!$B$3="H",Data!$B$3="SH"),Data!$B$4=4,Data!$B$6=1.75),IF(AND(OR(Data!$B$7="re",Data!$B$7="nc"),OR(Data!$D$15=1,Data!$D$15=2,Data!$D$15=6)),BA56,""),"")</f>
        <v/>
      </c>
      <c r="BB22" s="104">
        <f t="shared" si="3"/>
        <v>0</v>
      </c>
    </row>
    <row r="23" spans="1:54">
      <c r="A23" s="594"/>
      <c r="B23" s="102">
        <v>3.5</v>
      </c>
      <c r="C23" s="105" t="s">
        <v>722</v>
      </c>
      <c r="D23" s="30" t="s">
        <v>302</v>
      </c>
      <c r="E23" s="30">
        <v>2460</v>
      </c>
      <c r="F23" s="30">
        <v>2628</v>
      </c>
      <c r="G23" s="30">
        <v>2744</v>
      </c>
      <c r="H23" s="30">
        <v>3464</v>
      </c>
      <c r="I23" s="103"/>
      <c r="J23" s="30">
        <v>45</v>
      </c>
      <c r="K23" s="30">
        <v>272</v>
      </c>
      <c r="M23" s="57">
        <v>5</v>
      </c>
      <c r="N23" s="104">
        <v>3.5</v>
      </c>
      <c r="O23" s="105" t="s">
        <v>722</v>
      </c>
      <c r="P23" s="30" t="s">
        <v>302</v>
      </c>
      <c r="Q23" s="30" t="str">
        <f>IF(OR(Data!B$3="H",Data!B$3="HM",Data!B$3="W"),IF(M23=Data!B$4,IF(N23=Data!B$6,SUM(R23:V23),""),""),"")</f>
        <v/>
      </c>
      <c r="R23" s="30" t="str">
        <f>IF(OR("MX0"=Data!B$5,"MX1"=Data!B$5,"MX2"=Data!B$5,"MX3"=Data!B$5),E23,"")</f>
        <v/>
      </c>
      <c r="S23" s="30">
        <f>IF(OR("MF1"=Data!B$5,"MF2"=Data!B$5,"MS4"=Data!B$5),F23,"")</f>
        <v>2628</v>
      </c>
      <c r="T23" s="30" t="str">
        <f>IF(OR("MP1"=Data!B$5,"MP3"=Data!B$5,"MT1"=Data!B$5,"MT2"=Data!B$5,"MF5"=Data!B$5,"MF6"=Data!B$5,,"MS2"=Data!B$5,"ME5"=Data!B$5,"ME6"=Data!B$5),G23,"")</f>
        <v/>
      </c>
      <c r="U23" s="30" t="str">
        <f>IF(OR("MS3"=Data!B$5,"ME3"=Data!B$5,"ME4"=Data!B$5,"MP2"=Data!B$5,"MT4"=Data!B$5,"MPU3"=Data!B$5,"MS7"=Data!B$5),H23,"")</f>
        <v/>
      </c>
      <c r="W23" s="30" t="str">
        <f>IF(OR(Q23="",Q23=0),"",IF(Data!B$7="ABE",K23*4,IF(OR(Data!B$7="ACE",Data!B$7="ARE"),K23*2,IF(Data!B$7="BE",K23*2,IF(OR(Data!B$7="CE",Data!B$7="RE"),K23,0))))+J23*(ROUNDUP(Data!B$8,0.1)))</f>
        <v/>
      </c>
      <c r="Z23" s="30">
        <f t="shared" si="0"/>
        <v>615</v>
      </c>
      <c r="AA23" s="30">
        <f t="shared" si="1"/>
        <v>887</v>
      </c>
      <c r="AB23" s="30">
        <f t="shared" si="2"/>
        <v>42</v>
      </c>
      <c r="AF23" s="30" t="str">
        <f>IF(W23&lt;&gt;"",IF(Data!B$7="NC",Z23+(AB23*(Data!B$8+Data!B$11+Data!B$27)),IF(Data!B$7&lt;&gt;"NC",AA23+(AB23*(Data!B$8+Data!B$11+Data!B$27)))),"")</f>
        <v/>
      </c>
      <c r="AL23" s="104">
        <v>2</v>
      </c>
      <c r="AM23" s="104" t="str">
        <f>IF(AND(OR(Data!$B$3="A",Data!$B$3="LH",Data!$B$3="SA"),Data!$B$4=3.25,Data!$B$6=2),IF(AND(OR(Data!$B$7="be",Data!$B$7="ce"),Data!$D$15=4),AM68,""),"")</f>
        <v/>
      </c>
      <c r="AN23" s="104" t="str">
        <f>IF(AND(OR(Data!$B$3="A",Data!$B$3="LH",Data!$B$3="SA"),Data!$B$4=3.25,Data!$B$6=2),IF(AND(OR(Data!$B$7="RE",Data!$B$7="NC"),Data!$D$15=4),AN68,""),"")</f>
        <v/>
      </c>
      <c r="AO23" s="104" t="str">
        <f>IF(AND(OR(Data!$B$3="A",Data!$B$3="LH",Data!$B$3="SA"),Data!$B$4=3.25,Data!$B$6=2),IF(AND(OR(Data!$B$7="be",Data!$B$7="ce"),Data!$D$15=3),AO68,""),"")</f>
        <v/>
      </c>
      <c r="AP23" s="104" t="str">
        <f>IF(AND(OR(Data!$B$3="A",Data!$B$3="LH",Data!$B$3="SA"),Data!$B$4=3.25,Data!$B$6=2),IF(AND(OR(Data!$B$7="RE",Data!$B$7="NC"),Data!$D$15=3),AP68,""),"")</f>
        <v/>
      </c>
      <c r="AQ23" s="104" t="str">
        <f>IF(AND(OR(Data!$B$3="A",Data!$B$3="LH",Data!$B$3="SA"),Data!$B$4=3.25,Data!$B$6=2),IF(AND(OR(Data!$B$7="be",Data!$B$7="ce"),OR(Data!$D$15=1,Data!$D$15=2,Data!$D$15=6)),AQ68,""),"")</f>
        <v/>
      </c>
      <c r="AR23" s="104" t="str">
        <f>IF(AND(OR(Data!$B$3="A",Data!$B$3="LH",Data!$B$3="SA"),Data!$B$4=3.25,Data!$B$6=2),IF(AND(OR(Data!$B$7="re",Data!$B$7="nc"),OR(Data!$D$15=1,Data!$D$15=2,Data!$D$15=6)),AR68,""),"")</f>
        <v/>
      </c>
      <c r="AS23" s="104">
        <f t="shared" si="4"/>
        <v>0</v>
      </c>
      <c r="AT23" s="104"/>
      <c r="AU23" s="104">
        <v>2</v>
      </c>
      <c r="AV23" s="104" t="str">
        <f>IF(AND(OR(Data!$B$3="H",Data!$B$3="SH"),Data!$B$4=4,Data!$B$6=2),IF(AND(OR(Data!$B$7="be",Data!$B$7="ce"),Data!$D$15=4),AV57,""),"")</f>
        <v/>
      </c>
      <c r="AW23" s="104" t="str">
        <f>IF(AND(OR(Data!$B$3="H",Data!$B$3="SH"),Data!$B$4=4,Data!$B$6=2),IF(AND(OR(Data!$B$7="RE",Data!$B$7="NC"),Data!$D$15=4),AW57,""),"")</f>
        <v/>
      </c>
      <c r="AX23" s="104" t="str">
        <f>IF(AND(OR(Data!$B$3="H",Data!$B$3="SH"),Data!$B$4=4,Data!$B$6=2),IF(AND(OR(Data!$B$7="be",Data!$B$7="ce"),Data!$D$15=3),AX57,""),"")</f>
        <v/>
      </c>
      <c r="AY23" s="104" t="str">
        <f>IF(AND(OR(Data!$B$3="H",Data!$B$3="SH"),Data!$B$4=4,Data!$B$6=2),IF(AND(OR(Data!$B$7="RE",Data!$B$7="NC"),Data!$D$15=3),AY57,""),"")</f>
        <v/>
      </c>
      <c r="AZ23" s="104" t="str">
        <f>IF(AND(OR(Data!$B$3="H",Data!$B$3="SH"),Data!$B$4=4,Data!$B$6=2),IF(AND(OR(Data!$B$7="be",Data!$B$7="ce"),OR(Data!$D$15=1,Data!$D$15=2,Data!$D$15=6)),AZ57,""),"")</f>
        <v/>
      </c>
      <c r="BA23" s="104" t="str">
        <f>IF(AND(OR(Data!$B$3="H",Data!$B$3="SH"),Data!$B$4=4,Data!$B$6=2),IF(AND(OR(Data!$B$7="re",Data!$B$7="nc"),OR(Data!$D$15=1,Data!$D$15=2,Data!$D$15=6)),BA57,""),"")</f>
        <v/>
      </c>
      <c r="BB23" s="104">
        <f t="shared" si="3"/>
        <v>0</v>
      </c>
    </row>
    <row r="24" spans="1:54">
      <c r="A24" s="594">
        <v>6</v>
      </c>
      <c r="B24" s="102">
        <v>2.5</v>
      </c>
      <c r="C24" s="30" t="s">
        <v>619</v>
      </c>
      <c r="D24" s="30" t="s">
        <v>721</v>
      </c>
      <c r="E24" s="30">
        <v>2687</v>
      </c>
      <c r="F24" s="30">
        <v>2796</v>
      </c>
      <c r="G24" s="30">
        <v>3057</v>
      </c>
      <c r="H24" s="30">
        <v>3818</v>
      </c>
      <c r="I24" s="103"/>
      <c r="J24" s="30">
        <v>39</v>
      </c>
      <c r="K24" s="30">
        <v>340</v>
      </c>
      <c r="M24" s="57">
        <v>6</v>
      </c>
      <c r="N24" s="104">
        <v>2.5</v>
      </c>
      <c r="O24" s="30" t="s">
        <v>619</v>
      </c>
      <c r="P24" s="30" t="s">
        <v>721</v>
      </c>
      <c r="Q24" s="30" t="str">
        <f>IF(OR(Data!B$3="H",Data!B$3="HM",Data!B$3="W"),IF(M24=Data!B$4,IF(N24=Data!B$6,SUM(R24:V24),""),""),"")</f>
        <v/>
      </c>
      <c r="R24" s="30" t="str">
        <f>IF(OR("MX0"=Data!B$5,"MX1"=Data!B$5,"MX2"=Data!B$5,"MX3"=Data!B$5),E24,"")</f>
        <v/>
      </c>
      <c r="S24" s="30">
        <f>IF(OR("MF1"=Data!B$5,"MF2"=Data!B$5,"MS4"=Data!B$5),F24,"")</f>
        <v>2796</v>
      </c>
      <c r="T24" s="30" t="str">
        <f>IF(OR("MP1"=Data!B$5,"MP3"=Data!B$5,"MT1"=Data!B$5,"MT2"=Data!B$5,"MF5"=Data!B$5,"MF6"=Data!B$5,,"MS2"=Data!B$5,"ME5"=Data!B$5,"ME6"=Data!B$5),G24,"")</f>
        <v/>
      </c>
      <c r="U24" s="30" t="str">
        <f>IF(OR("MS3"=Data!B$5,"ME3"=Data!B$5,"ME4"=Data!B$5,"MP2"=Data!B$5,"MT4"=Data!B$5,"MPU3"=Data!B$5,"MS7"=Data!B$5),H24,"")</f>
        <v/>
      </c>
      <c r="W24" s="30" t="str">
        <f>IF(OR(Q24="",Q24=0),"",IF(Data!B$7="ABE",K24*4,IF(OR(Data!B$7="ACE",Data!B$7="ARE"),K24*2,IF(Data!B$7="BE",K24*2,IF(OR(Data!B$7="CE",Data!B$7="RE"),K24,0))))+J24*(ROUNDUP(Data!B$8,0.1)))</f>
        <v/>
      </c>
      <c r="Z24" s="30">
        <f t="shared" si="0"/>
        <v>672</v>
      </c>
      <c r="AA24" s="30">
        <f t="shared" si="1"/>
        <v>1012</v>
      </c>
      <c r="AB24" s="30">
        <f t="shared" si="2"/>
        <v>37</v>
      </c>
      <c r="AF24" s="30" t="str">
        <f>IF(W24&lt;&gt;"",IF(Data!B$7="NC",Z24+(AB24*(Data!B$8+Data!B$11+Data!B$27)),IF(Data!B$7&lt;&gt;"NC",AA24+(AB24*(Data!B$8+Data!B$11+Data!B$27)))),"")</f>
        <v/>
      </c>
      <c r="AL24" s="104">
        <v>4</v>
      </c>
      <c r="AS24" s="104"/>
      <c r="AT24" s="104"/>
      <c r="AU24" s="104">
        <v>2.5</v>
      </c>
      <c r="AV24" s="104" t="str">
        <f>IF(AND(OR(Data!$B$3="H",Data!$B$3="SH"),Data!$B$4=4,Data!$B$6=2.5),IF(AND(OR(Data!$B$7="be",Data!$B$7="ce"),Data!$D$15=4),AV58,""),"")</f>
        <v/>
      </c>
      <c r="AW24" s="104" t="str">
        <f>IF(AND(OR(Data!$B$3="H",Data!$B$3="SH"),Data!$B$4=4,Data!$B$6=2.5),IF(AND(OR(Data!$B$7="RE",Data!$B$7="NC"),Data!$D$15=4),AW58,""),"")</f>
        <v/>
      </c>
      <c r="AX24" s="104" t="str">
        <f>IF(AND(OR(Data!$B$3="H",Data!$B$3="SH"),Data!$B$4=4,Data!$B$6=2.5),IF(AND(OR(Data!$B$7="be",Data!$B$7="ce"),Data!$D$15=3),AX58,""),"")</f>
        <v/>
      </c>
      <c r="AY24" s="104" t="str">
        <f>IF(AND(OR(Data!$B$3="H",Data!$B$3="SH"),Data!$B$4=4,Data!$B$6=2.5),IF(AND(OR(Data!$B$7="RE",Data!$B$7="NC"),Data!$D$15=3),AY58,""),"")</f>
        <v/>
      </c>
      <c r="AZ24" s="104" t="str">
        <f>IF(AND(OR(Data!$B$3="H",Data!$B$3="SH"),Data!$B$4=4,Data!$B$6=2.5),IF(AND(OR(Data!$B$7="be",Data!$B$7="ce"),OR(Data!$D$15=1,Data!$D$15=2,Data!$D$15=6)),AZ58,""),"")</f>
        <v/>
      </c>
      <c r="BA24" s="104" t="str">
        <f>IF(AND(OR(Data!$B$3="H",Data!$B$3="SH"),Data!$B$4=4,Data!$B$6=2.5),IF(AND(OR(Data!$B$7="re",Data!$B$7="nc"),OR(Data!$D$15=1,Data!$D$15=2,Data!$D$15=6)),BA58,""),"")</f>
        <v/>
      </c>
      <c r="BB24" s="104">
        <f t="shared" si="3"/>
        <v>0</v>
      </c>
    </row>
    <row r="25" spans="1:54">
      <c r="A25" s="594"/>
      <c r="B25" s="102">
        <v>3</v>
      </c>
      <c r="C25" s="30" t="s">
        <v>721</v>
      </c>
      <c r="D25" s="30" t="s">
        <v>860</v>
      </c>
      <c r="E25" s="30">
        <v>3116</v>
      </c>
      <c r="F25" s="30">
        <v>3313</v>
      </c>
      <c r="G25" s="30">
        <v>3497</v>
      </c>
      <c r="H25" s="30">
        <v>4304</v>
      </c>
      <c r="I25" s="103"/>
      <c r="J25" s="30">
        <v>45</v>
      </c>
      <c r="K25" s="30">
        <v>340</v>
      </c>
      <c r="M25" s="57">
        <v>6</v>
      </c>
      <c r="N25" s="104">
        <v>3</v>
      </c>
      <c r="O25" s="30" t="s">
        <v>721</v>
      </c>
      <c r="P25" s="30" t="s">
        <v>860</v>
      </c>
      <c r="Q25" s="30" t="str">
        <f>IF(OR(Data!B$3="H",Data!B$3="HM",Data!B$3="W"),IF(M25=Data!B$4,IF(N25=Data!B$6,SUM(R25:V25),""),""),"")</f>
        <v/>
      </c>
      <c r="R25" s="30" t="str">
        <f>IF(OR("MX0"=Data!B$5,"MX1"=Data!B$5,"MX2"=Data!B$5,"MX3"=Data!B$5),E25,"")</f>
        <v/>
      </c>
      <c r="S25" s="30">
        <f>IF(OR("MF1"=Data!B$5,"MF2"=Data!B$5,"MS4"=Data!B$5),F25,"")</f>
        <v>3313</v>
      </c>
      <c r="T25" s="30" t="str">
        <f>IF(OR("MP1"=Data!B$5,"MP3"=Data!B$5,"MT1"=Data!B$5,"MT2"=Data!B$5,"MF5"=Data!B$5,"MF6"=Data!B$5,,"MS2"=Data!B$5,"ME5"=Data!B$5,"ME6"=Data!B$5),G25,"")</f>
        <v/>
      </c>
      <c r="U25" s="30" t="str">
        <f>IF(OR("MS3"=Data!B$5,"ME3"=Data!B$5,"ME4"=Data!B$5,"MP2"=Data!B$5,"MT4"=Data!B$5,"MPU3"=Data!B$5,"MS7"=Data!B$5),H25,"")</f>
        <v/>
      </c>
      <c r="W25" s="30" t="str">
        <f>IF(OR(Q25="",Q25=0),"",IF(Data!B$7="ABE",K25*4,IF(OR(Data!B$7="ACE",Data!B$7="ARE"),K25*2,IF(Data!B$7="BE",K25*2,IF(OR(Data!B$7="CE",Data!B$7="RE"),K25,0))))+J25*(ROUNDUP(Data!B$8,0.1)))</f>
        <v/>
      </c>
      <c r="Z25" s="30">
        <f t="shared" si="0"/>
        <v>779</v>
      </c>
      <c r="AA25" s="30">
        <f t="shared" si="1"/>
        <v>1119</v>
      </c>
      <c r="AB25" s="30">
        <f t="shared" si="2"/>
        <v>42</v>
      </c>
      <c r="AF25" s="30" t="str">
        <f>IF(W25&lt;&gt;"",IF(Data!B$7="NC",Z25+(AB25*(Data!B$8+Data!B$11+Data!B$27)),IF(Data!B$7&lt;&gt;"NC",AA25+(AB25*(Data!B$8+Data!B$11+Data!B$27)))),"")</f>
        <v/>
      </c>
      <c r="AL25" s="104">
        <v>1</v>
      </c>
      <c r="AM25" s="104" t="str">
        <f>IF(AND(OR(Data!$B$3="A",Data!$B$3="LH",Data!$B$3="SA"),Data!$B$4=4,Data!$B$6=1),IF(AND(OR(Data!$B$7="be",Data!$B$7="ce"),Data!$D$15=4),AM70,""),"")</f>
        <v/>
      </c>
      <c r="AN25" s="104" t="str">
        <f>IF(AND(OR(Data!$B$3="A",Data!$B$3="LH",Data!$B$3="SA"),Data!$B$4=4,Data!$B$6=1),IF(AND(OR(Data!$B$7="RE",Data!$B$7="NC"),Data!$D$15=4),AN70,""),"")</f>
        <v/>
      </c>
      <c r="AO25" s="104" t="str">
        <f>IF(AND(OR(Data!$B$3="A",Data!$B$3="LH",Data!$B$3="SA"),Data!$B$4=4,Data!$B$6=1),IF(AND(OR(Data!$B$7="be",Data!$B$7="ce"),Data!$D$15=3),AO70,""),"")</f>
        <v/>
      </c>
      <c r="AP25" s="104" t="str">
        <f>IF(AND(OR(Data!$B$3="A",Data!$B$3="LH",Data!$B$3="SA"),Data!$B$4=4,Data!$B$6=1),IF(AND(OR(Data!$B$7="RE",Data!$B$7="NC"),Data!$D$15=3),AP70,""),"")</f>
        <v/>
      </c>
      <c r="AQ25" s="104" t="str">
        <f>IF(AND(OR(Data!$B$3="A",Data!$B$3="LH",Data!$B$3="SA"),Data!$B$4=4,Data!$B$6=1),IF(AND(OR(Data!$B$7="be",Data!$B$7="ce"),OR(Data!$D$15=1,Data!$D$15=2,Data!$D$15=6)),AQ70,""),"")</f>
        <v/>
      </c>
      <c r="AR25" s="104" t="str">
        <f>IF(AND(OR(Data!$B$3="A",Data!$B$3="LH",Data!$B$3="SA"),Data!$B$4=4,Data!$B$6=1),IF(AND(OR(Data!$B$7="re",Data!$B$7="nc"),OR(Data!$D$15=1,Data!$D$15=2,Data!$D$15=6)),AR70,""),"")</f>
        <v/>
      </c>
      <c r="AS25" s="104">
        <f t="shared" si="4"/>
        <v>0</v>
      </c>
      <c r="AT25" s="104"/>
      <c r="AU25" s="104">
        <v>5</v>
      </c>
      <c r="AZ25" s="104"/>
      <c r="BA25" s="104"/>
      <c r="BB25" s="104"/>
    </row>
    <row r="26" spans="1:54">
      <c r="A26" s="594"/>
      <c r="B26" s="102">
        <v>3.5</v>
      </c>
      <c r="C26" s="30" t="s">
        <v>722</v>
      </c>
      <c r="D26" s="30" t="s">
        <v>302</v>
      </c>
      <c r="E26" s="30">
        <v>3473</v>
      </c>
      <c r="F26" s="30">
        <v>3537</v>
      </c>
      <c r="G26" s="30">
        <v>3763</v>
      </c>
      <c r="H26" s="30">
        <v>4743</v>
      </c>
      <c r="I26" s="103"/>
      <c r="J26" s="30">
        <v>51</v>
      </c>
      <c r="K26" s="30">
        <v>340</v>
      </c>
      <c r="M26" s="57">
        <v>6</v>
      </c>
      <c r="N26" s="104">
        <v>3.5</v>
      </c>
      <c r="O26" s="30" t="s">
        <v>722</v>
      </c>
      <c r="P26" s="30" t="s">
        <v>302</v>
      </c>
      <c r="Q26" s="30" t="str">
        <f>IF(OR(Data!B$3="H",Data!B$3="HM",Data!B$3="W"),IF(M26=Data!B$4,IF(N26=Data!B$6,SUM(R26:V26),""),""),"")</f>
        <v/>
      </c>
      <c r="R26" s="30" t="str">
        <f>IF(OR("MX0"=Data!B$5,"MX1"=Data!B$5,"MX2"=Data!B$5,"MX3"=Data!B$5),E26,"")</f>
        <v/>
      </c>
      <c r="S26" s="30">
        <f>IF(OR("MF1"=Data!B$5,"MF2"=Data!B$5,"MS4"=Data!B$5),F26,"")</f>
        <v>3537</v>
      </c>
      <c r="T26" s="30" t="str">
        <f>IF(OR("MP1"=Data!B$5,"MP3"=Data!B$5,"MT1"=Data!B$5,"MT2"=Data!B$5,"MF5"=Data!B$5,"MF6"=Data!B$5,,"MS2"=Data!B$5,"ME5"=Data!B$5,"ME6"=Data!B$5),G26,"")</f>
        <v/>
      </c>
      <c r="U26" s="30" t="str">
        <f>IF(OR("MS3"=Data!B$5,"ME3"=Data!B$5,"ME4"=Data!B$5,"MP2"=Data!B$5,"MT4"=Data!B$5,"MPU3"=Data!B$5,"MS7"=Data!B$5),H26,"")</f>
        <v/>
      </c>
      <c r="W26" s="30" t="str">
        <f>IF(OR(Q26="",Q26=0),"",IF(Data!B$7="ABE",K26*4,IF(OR(Data!B$7="ACE",Data!B$7="ARE"),K26*2,IF(Data!B$7="BE",K26*2,IF(OR(Data!B$7="CE",Data!B$7="RE"),K26,0))))+J26*(ROUNDUP(Data!B$8,0.1)))</f>
        <v/>
      </c>
      <c r="Z26" s="30">
        <f t="shared" si="0"/>
        <v>869</v>
      </c>
      <c r="AA26" s="30">
        <f t="shared" si="1"/>
        <v>1209</v>
      </c>
      <c r="AB26" s="30">
        <f t="shared" si="2"/>
        <v>48</v>
      </c>
      <c r="AF26" s="30" t="str">
        <f>IF(W26&lt;&gt;"",IF(Data!B$7="NC",Z26+(AB26*(Data!B$8+Data!B$11+Data!B$27)),IF(Data!B$7&lt;&gt;"NC",AA26+(AB26*(Data!B$8+Data!B$11+Data!B$27)))),"")</f>
        <v/>
      </c>
      <c r="AL26" s="104">
        <v>1.375</v>
      </c>
      <c r="AM26" s="104" t="str">
        <f>IF(AND(OR(Data!$B$3="A",Data!$B$3="LH",Data!$B$3="SA"),Data!$B$4=4,Data!$B$6=1.375),IF(AND(OR(Data!$B$7="be",Data!$B$7="ce"),Data!$D$15=4),AM71,""),"")</f>
        <v/>
      </c>
      <c r="AN26" s="104" t="str">
        <f>IF(AND(OR(Data!$B$3="A",Data!$B$3="LH",Data!$B$3="SA"),Data!$B$4=4,Data!$B$6=1.375),IF(AND(OR(Data!$B$7="RE",Data!$B$7="NC"),Data!$D$15=4),AN71,""),"")</f>
        <v/>
      </c>
      <c r="AO26" s="104" t="str">
        <f>IF(AND(OR(Data!$B$3="A",Data!$B$3="LH",Data!$B$3="SA"),Data!$B$4=4,Data!$B$6=1.375),IF(AND(OR(Data!$B$7="be",Data!$B$7="ce"),Data!$D$15=3),AO71,""),"")</f>
        <v/>
      </c>
      <c r="AP26" s="104" t="str">
        <f>IF(AND(OR(Data!$B$3="A",Data!$B$3="LH",Data!$B$3="SA"),Data!$B$4=4,Data!$B$6=1.375),IF(AND(OR(Data!$B$7="RE",Data!$B$7="NC"),Data!$D$15=3),AP71,""),"")</f>
        <v/>
      </c>
      <c r="AQ26" s="104" t="str">
        <f>IF(AND(OR(Data!$B$3="A",Data!$B$3="LH",Data!$B$3="SA"),Data!$B$4=4,Data!$B$6=1.375),IF(AND(OR(Data!$B$7="be",Data!$B$7="ce"),OR(Data!$D$15=1,Data!$D$15=2,Data!$D$15=6)),AQ71,""),"")</f>
        <v/>
      </c>
      <c r="AR26" s="104" t="str">
        <f>IF(AND(OR(Data!$B$3="A",Data!$B$3="LH",Data!$B$3="SA"),Data!$B$4=4,Data!$B$6=1.375),IF(AND(OR(Data!$B$7="re",Data!$B$7="nc"),OR(Data!$D$15=1,Data!$D$15=2,Data!$D$15=6)),AR71,""),"")</f>
        <v/>
      </c>
      <c r="AS26" s="104">
        <f t="shared" si="4"/>
        <v>0</v>
      </c>
      <c r="AT26" s="104"/>
      <c r="AU26" s="104">
        <v>2</v>
      </c>
      <c r="AV26" s="104" t="str">
        <f>IF(AND(OR(Data!$B$3="H",Data!$B$3="SH"),Data!$B$4=5,Data!$B$6=2),IF(AND(OR(Data!$B$7="be",Data!$B$7="ce"),Data!$D$15=4),AV60,""),"")</f>
        <v/>
      </c>
      <c r="AW26" s="104" t="str">
        <f>IF(AND(OR(Data!$B$3="H",Data!$B$3="SH"),Data!$B$4=5,Data!$B$6=2),IF(AND(OR(Data!$B$7="RE",Data!$B$7="NC"),Data!$D$15=4),AW60,""),"")</f>
        <v/>
      </c>
      <c r="AX26" s="104" t="str">
        <f>IF(AND(OR(Data!$B$3="H",Data!$B$3="SH"),Data!$B$4=5,Data!$B$6=2),IF(AND(OR(Data!$B$7="be",Data!$B$7="ce"),Data!$D$15=3),AX60,""),"")</f>
        <v/>
      </c>
      <c r="AY26" s="104" t="str">
        <f>IF(AND(OR(Data!$B$3="H",Data!$B$3="SH"),Data!$B$4=5,Data!$B$6=2),IF(AND(OR(Data!$B$7="RE",Data!$B$7="NC"),Data!$D$15=3),AY60,""),"")</f>
        <v/>
      </c>
      <c r="AZ26" s="104" t="str">
        <f>IF(AND(OR(Data!$B$3="H",Data!$B$3="SH"),Data!$B$4=5,Data!$B$6=2),IF(AND(OR(Data!$B$7="be",Data!$B$7="ce"),OR(Data!$D$15=1,Data!$D$15=2,Data!$D$15=6)),AZ60,""),"")</f>
        <v/>
      </c>
      <c r="BA26" s="104">
        <f>IF(AND(OR(Data!$B$3="H",Data!$B$3="SH"),Data!$B$4=5,Data!$B$6=2),IF(AND(OR(Data!$B$7="re",Data!$B$7="nc"),OR(Data!$D$15=1,Data!$D$15=2,Data!$D$15=6)),BA60,""),"")</f>
        <v>8.73</v>
      </c>
      <c r="BB26" s="104">
        <f t="shared" si="3"/>
        <v>8.73</v>
      </c>
    </row>
    <row r="27" spans="1:54">
      <c r="A27" s="594"/>
      <c r="B27" s="102">
        <v>4</v>
      </c>
      <c r="C27" s="107" t="s">
        <v>373</v>
      </c>
      <c r="D27" s="105" t="s">
        <v>446</v>
      </c>
      <c r="E27" s="30">
        <v>3688</v>
      </c>
      <c r="F27" s="30">
        <v>3791</v>
      </c>
      <c r="G27" s="30">
        <v>4085</v>
      </c>
      <c r="H27" s="30">
        <v>4829</v>
      </c>
      <c r="I27" s="103"/>
      <c r="J27" s="30">
        <v>57</v>
      </c>
      <c r="K27" s="30">
        <v>340</v>
      </c>
      <c r="M27" s="57">
        <v>6</v>
      </c>
      <c r="N27" s="104">
        <v>4</v>
      </c>
      <c r="O27" s="107" t="s">
        <v>373</v>
      </c>
      <c r="P27" s="105" t="s">
        <v>446</v>
      </c>
      <c r="Q27" s="30" t="str">
        <f>IF(OR(Data!B$3="H",Data!B$3="HM",Data!B$3="W"),IF(M27=Data!B$4,IF(N27=Data!B$6,SUM(R27:V27),""),""),"")</f>
        <v/>
      </c>
      <c r="R27" s="30" t="str">
        <f>IF(OR("MX0"=Data!B$5,"MX1"=Data!B$5,"MX2"=Data!B$5,"MX3"=Data!B$5),E27,"")</f>
        <v/>
      </c>
      <c r="S27" s="30">
        <f>IF(OR("MF1"=Data!B$5,"MF2"=Data!B$5,"MS4"=Data!B$5),F27,"")</f>
        <v>3791</v>
      </c>
      <c r="T27" s="30" t="str">
        <f>IF(OR("MP1"=Data!B$5,"MP3"=Data!B$5,"MT1"=Data!B$5,"MT2"=Data!B$5,"MF5"=Data!B$5,"MF6"=Data!B$5,,"MS2"=Data!B$5,"ME5"=Data!B$5,"ME6"=Data!B$5),G27,"")</f>
        <v/>
      </c>
      <c r="U27" s="30" t="str">
        <f>IF(OR("MS3"=Data!B$5,"ME3"=Data!B$5,"ME4"=Data!B$5,"MP2"=Data!B$5,"MT4"=Data!B$5,"MPU3"=Data!B$5,"MS7"=Data!B$5),H27,"")</f>
        <v/>
      </c>
      <c r="W27" s="30" t="str">
        <f>IF(OR(Q27="",Q27=0),"",IF(Data!B$7="ABE",K27*4,IF(OR(Data!B$7="ACE",Data!B$7="ARE"),K27*2,IF(Data!B$7="BE",K27*2,IF(OR(Data!B$7="CE",Data!B$7="RE"),K27,0))))+J27*(ROUNDUP(Data!B$8,0.1)))</f>
        <v/>
      </c>
      <c r="Z27" s="30">
        <f t="shared" si="0"/>
        <v>922</v>
      </c>
      <c r="AA27" s="30">
        <f t="shared" si="1"/>
        <v>1262</v>
      </c>
      <c r="AB27" s="30">
        <f t="shared" si="2"/>
        <v>54</v>
      </c>
      <c r="AF27" s="30" t="str">
        <f>IF(W27&lt;&gt;"",IF(Data!B$7="NC",Z27+(AB27*(Data!B$8+Data!B$11+Data!B$27)),IF(Data!B$7&lt;&gt;"NC",AA27+(AB27*(Data!B$8+Data!B$11+Data!B$27)))),"")</f>
        <v/>
      </c>
      <c r="AL27" s="104">
        <v>1.75</v>
      </c>
      <c r="AM27" s="104" t="str">
        <f>IF(AND(OR(Data!$B$3="A",Data!$B$3="LH",Data!$B$3="SA"),Data!$B$4=4,Data!$B$6=1.75),IF(AND(OR(Data!$B$7="be",Data!$B$7="ce"),Data!$D$15=4),AM72,""),"")</f>
        <v/>
      </c>
      <c r="AN27" s="104" t="str">
        <f>IF(AND(OR(Data!$B$3="A",Data!$B$3="LH",Data!$B$3="SA"),Data!$B$4=4,Data!$B$6=1.75),IF(AND(OR(Data!$B$7="RE",Data!$B$7="NC"),Data!$D$15=4),AN72,""),"")</f>
        <v/>
      </c>
      <c r="AO27" s="104" t="str">
        <f>IF(AND(OR(Data!$B$3="A",Data!$B$3="LH",Data!$B$3="SA"),Data!$B$4=4,Data!$B$6=1.75),IF(AND(OR(Data!$B$7="be",Data!$B$7="ce"),Data!$D$15=3),AO72,""),"")</f>
        <v/>
      </c>
      <c r="AP27" s="104" t="str">
        <f>IF(AND(OR(Data!$B$3="A",Data!$B$3="LH",Data!$B$3="SA"),Data!$B$4=4,Data!$B$6=1.75),IF(AND(OR(Data!$B$7="RE",Data!$B$7="NC"),Data!$D$15=3),AP72,""),"")</f>
        <v/>
      </c>
      <c r="AQ27" s="104" t="str">
        <f>IF(AND(OR(Data!$B$3="A",Data!$B$3="LH",Data!$B$3="SA"),Data!$B$4=4,Data!$B$6=1.75),IF(AND(OR(Data!$B$7="be",Data!$B$7="ce"),OR(Data!$D$15=1,Data!$D$15=2,Data!$D$15=6)),AQ72,""),"")</f>
        <v/>
      </c>
      <c r="AR27" s="104" t="str">
        <f>IF(AND(OR(Data!$B$3="A",Data!$B$3="LH",Data!$B$3="SA"),Data!$B$4=4,Data!$B$6=1.75),IF(AND(OR(Data!$B$7="re",Data!$B$7="nc"),OR(Data!$D$15=1,Data!$D$15=2,Data!$D$15=6)),AR72,""),"")</f>
        <v/>
      </c>
      <c r="AS27" s="104">
        <f t="shared" si="4"/>
        <v>0</v>
      </c>
      <c r="AU27" s="104">
        <v>2.5</v>
      </c>
      <c r="AV27" s="104" t="str">
        <f>IF(AND(OR(Data!$B$3="H",Data!$B$3="SH"),Data!$B$4=5,Data!$B$6=2.5),IF(AND(OR(Data!$B$7="be",Data!$B$7="ce"),Data!$D$15=4),AV61,""),"")</f>
        <v/>
      </c>
      <c r="AW27" s="104" t="str">
        <f>IF(AND(OR(Data!$B$3="H",Data!$B$3="SH"),Data!$B$4=5,Data!$B$6=2.5),IF(AND(OR(Data!$B$7="RE",Data!$B$7="NC"),Data!$D$15=4),AW61,""),"")</f>
        <v/>
      </c>
      <c r="AX27" s="104" t="str">
        <f>IF(AND(OR(Data!$B$3="H",Data!$B$3="SH"),Data!$B$4=5,Data!$B$6=2.5),IF(AND(OR(Data!$B$7="be",Data!$B$7="ce"),Data!$D$15=3),AX61,""),"")</f>
        <v/>
      </c>
      <c r="AY27" s="104" t="str">
        <f>IF(AND(OR(Data!$B$3="H",Data!$B$3="SH"),Data!$B$4=5,Data!$B$6=2.5),IF(AND(OR(Data!$B$7="RE",Data!$B$7="NC"),Data!$D$15=3),AY61,""),"")</f>
        <v/>
      </c>
      <c r="AZ27" s="104" t="str">
        <f>IF(AND(OR(Data!$B$3="H",Data!$B$3="SH"),Data!$B$4=5,Data!$B$6=2.5),IF(AND(OR(Data!$B$7="be",Data!$B$7="ce"),OR(Data!$D$15=1,Data!$D$15=2,Data!$D$15=6)),AZ61,""),"")</f>
        <v/>
      </c>
      <c r="BA27" s="104" t="str">
        <f>IF(AND(OR(Data!$B$3="H",Data!$B$3="SH"),Data!$B$4=5,Data!$B$6=2.5),IF(AND(OR(Data!$B$7="re",Data!$B$7="nc"),OR(Data!$D$15=1,Data!$D$15=2,Data!$D$15=6)),BA61,""),"")</f>
        <v/>
      </c>
      <c r="BB27" s="104">
        <f t="shared" si="3"/>
        <v>0</v>
      </c>
    </row>
    <row r="28" spans="1:54">
      <c r="A28" s="594">
        <v>7</v>
      </c>
      <c r="B28" s="102">
        <v>3</v>
      </c>
      <c r="C28" s="30" t="s">
        <v>721</v>
      </c>
      <c r="D28" s="30" t="s">
        <v>860</v>
      </c>
      <c r="E28" s="30">
        <v>3589</v>
      </c>
      <c r="F28" s="30">
        <v>3948</v>
      </c>
      <c r="G28" s="30">
        <v>3955</v>
      </c>
      <c r="H28" s="30">
        <v>4437</v>
      </c>
      <c r="I28" s="103"/>
      <c r="J28" s="30">
        <v>52</v>
      </c>
      <c r="K28" s="30">
        <v>382</v>
      </c>
      <c r="M28" s="57">
        <v>7</v>
      </c>
      <c r="N28" s="104">
        <v>3</v>
      </c>
      <c r="O28" s="30" t="s">
        <v>721</v>
      </c>
      <c r="P28" s="30" t="s">
        <v>860</v>
      </c>
      <c r="Q28" s="30" t="str">
        <f>IF(OR(Data!B$3="H",Data!B$3="HM",Data!B$3="W"),IF(M28=Data!B$4,IF(N28=Data!B$6,SUM(R28:V28),""),""),"")</f>
        <v/>
      </c>
      <c r="R28" s="30" t="str">
        <f>IF(OR("MX0"=Data!B$5,"MX1"=Data!B$5,"MX2"=Data!B$5,"MX3"=Data!B$5),E28,"")</f>
        <v/>
      </c>
      <c r="S28" s="30">
        <f>IF(OR("MF1"=Data!B$5,"MF2"=Data!B$5,"MS4"=Data!B$5),F28,"")</f>
        <v>3948</v>
      </c>
      <c r="T28" s="30" t="str">
        <f>IF(OR("MP1"=Data!B$5,"MP3"=Data!B$5,"MT1"=Data!B$5,"MT2"=Data!B$5,"MF5"=Data!B$5,"MF6"=Data!B$5,,"MS2"=Data!B$5,"ME5"=Data!B$5,"ME6"=Data!B$5),G28,"")</f>
        <v/>
      </c>
      <c r="U28" s="30" t="str">
        <f>IF(OR("MS3"=Data!B$5,"ME3"=Data!B$5,"ME4"=Data!B$5,"MP2"=Data!B$5,"MT4"=Data!B$5,"MPU3"=Data!B$5,"MS7"=Data!B$5),H28,"")</f>
        <v/>
      </c>
      <c r="W28" s="30" t="str">
        <f>IF(OR(Q28="",Q28=0),"",IF(Data!B$7="ABE",K28*4,IF(OR(Data!B$7="ACE",Data!B$7="ARE"),K28*2,IF(Data!B$7="BE",K28*2,IF(OR(Data!B$7="CE",Data!B$7="RE"),K28,0))))+J28*(ROUNDUP(Data!B$8,0.1)))</f>
        <v/>
      </c>
      <c r="Z28" s="30">
        <f t="shared" si="0"/>
        <v>898</v>
      </c>
      <c r="AA28" s="30">
        <f t="shared" si="1"/>
        <v>1280</v>
      </c>
      <c r="AB28" s="30">
        <f t="shared" si="2"/>
        <v>49</v>
      </c>
      <c r="AF28" s="30" t="str">
        <f>IF(W28&lt;&gt;"",IF(Data!B$7="NC",Z28+(AB28*(Data!B$8+Data!B$11+Data!B$27)),IF(Data!B$7&lt;&gt;"NC",AA28+(AB28*(Data!B$8+Data!B$11+Data!B$27)))),"")</f>
        <v/>
      </c>
      <c r="AL28" s="104">
        <v>2</v>
      </c>
      <c r="AM28" s="104" t="str">
        <f>IF(AND(OR(Data!$B$3="A",Data!$B$3="LH",Data!$B$3="SA"),Data!$B$4=4,Data!$B$6=2),IF(AND(OR(Data!$B$7="be",Data!$B$7="ce"),Data!$D$15=4),AM73,""),"")</f>
        <v/>
      </c>
      <c r="AN28" s="104" t="str">
        <f>IF(AND(OR(Data!$B$3="A",Data!$B$3="LH",Data!$B$3="SA"),Data!$B$4=4,Data!$B$6=2),IF(AND(OR(Data!$B$7="RE",Data!$B$7="NC"),Data!$D$15=4),AN73,""),"")</f>
        <v/>
      </c>
      <c r="AO28" s="104" t="str">
        <f>IF(AND(OR(Data!$B$3="A",Data!$B$3="LH",Data!$B$3="SA"),Data!$B$4=4,Data!$B$6=2),IF(AND(OR(Data!$B$7="be",Data!$B$7="ce"),Data!$D$15=3),AO73,""),"")</f>
        <v/>
      </c>
      <c r="AP28" s="104" t="str">
        <f>IF(AND(OR(Data!$B$3="A",Data!$B$3="LH",Data!$B$3="SA"),Data!$B$4=4,Data!$B$6=2),IF(AND(OR(Data!$B$7="RE",Data!$B$7="NC"),Data!$D$15=3),AP73,""),"")</f>
        <v/>
      </c>
      <c r="AQ28" s="104" t="str">
        <f>IF(AND(OR(Data!$B$3="A",Data!$B$3="LH",Data!$B$3="SA"),Data!$B$4=4,Data!$B$6=2),IF(AND(OR(Data!$B$7="be",Data!$B$7="ce"),OR(Data!$D$15=1,Data!$D$15=2,Data!$D$15=6)),AQ73,""),"")</f>
        <v/>
      </c>
      <c r="AR28" s="104" t="str">
        <f>IF(AND(OR(Data!$B$3="A",Data!$B$3="LH",Data!$B$3="SA"),Data!$B$4=4,Data!$B$6=2),IF(AND(OR(Data!$B$7="re",Data!$B$7="nc"),OR(Data!$D$15=1,Data!$D$15=2,Data!$D$15=6)),AR73,""),"")</f>
        <v/>
      </c>
      <c r="AS28" s="104">
        <f t="shared" si="4"/>
        <v>0</v>
      </c>
      <c r="AU28" s="30">
        <v>3</v>
      </c>
      <c r="AV28" s="104" t="str">
        <f>IF(AND(OR(Data!$B$3="H",Data!$B$3="SH"),Data!$B$4=5,Data!$B$6=3),IF(AND(OR(Data!$B$7="be",Data!$B$7="ce"),Data!$D$15=4),AV62,""),"")</f>
        <v/>
      </c>
      <c r="AW28" s="104" t="str">
        <f>IF(AND(OR(Data!$B$3="H",Data!$B$3="SH"),Data!$B$4=5,Data!$B$6=3),IF(AND(OR(Data!$B$7="RE",Data!$B$7="NC"),Data!$D$15=4),AW62,""),"")</f>
        <v/>
      </c>
      <c r="AX28" s="104" t="str">
        <f>IF(AND(OR(Data!$B$3="H",Data!$B$3="SH"),Data!$B$4=5,Data!$B$6=3),IF(AND(OR(Data!$B$7="be",Data!$B$7="ce"),Data!$D$15=3),AX62,""),"")</f>
        <v/>
      </c>
      <c r="AY28" s="104" t="str">
        <f>IF(AND(OR(Data!$B$3="H",Data!$B$3="SH"),Data!$B$4=5,Data!$B$6=3),IF(AND(OR(Data!$B$7="RE",Data!$B$7="NC"),Data!$D$15=3),AY62,""),"")</f>
        <v/>
      </c>
      <c r="AZ28" s="104" t="str">
        <f>IF(AND(OR(Data!$B$3="H",Data!$B$3="SH"),Data!$B$4=5,Data!$B$6=3),IF(AND(OR(Data!$B$7="be",Data!$B$7="ce"),OR(Data!$D$15=1,Data!$D$15=2,Data!$D$15=6)),AZ62,""),"")</f>
        <v/>
      </c>
      <c r="BA28" s="104" t="str">
        <f>IF(AND(OR(Data!$B$3="H",Data!$B$3="SH"),Data!$B$4=5,Data!$B$6=3),IF(AND(OR(Data!$B$7="re",Data!$B$7="nc"),OR(Data!$D$15=1,Data!$D$15=2,Data!$D$15=6)),BA62,""),"")</f>
        <v/>
      </c>
      <c r="BB28" s="104">
        <f t="shared" si="3"/>
        <v>0</v>
      </c>
    </row>
    <row r="29" spans="1:54">
      <c r="A29" s="594"/>
      <c r="B29" s="102">
        <v>3.5</v>
      </c>
      <c r="C29" s="30" t="s">
        <v>722</v>
      </c>
      <c r="D29" s="30" t="s">
        <v>302</v>
      </c>
      <c r="E29" s="30">
        <v>4030</v>
      </c>
      <c r="F29" s="30">
        <v>4415</v>
      </c>
      <c r="G29" s="30">
        <v>4415</v>
      </c>
      <c r="H29" s="30">
        <v>5641</v>
      </c>
      <c r="I29" s="103"/>
      <c r="J29" s="30">
        <v>55</v>
      </c>
      <c r="K29" s="30">
        <v>382</v>
      </c>
      <c r="M29" s="57">
        <v>7</v>
      </c>
      <c r="N29" s="104">
        <v>3.5</v>
      </c>
      <c r="O29" s="30" t="s">
        <v>722</v>
      </c>
      <c r="P29" s="30" t="s">
        <v>302</v>
      </c>
      <c r="Q29" s="30" t="str">
        <f>IF(OR(Data!B$3="H",Data!B$3="HM",Data!B$3="W"),IF(M29=Data!B$4,IF(N29=Data!B$6,SUM(R29:V29),""),""),"")</f>
        <v/>
      </c>
      <c r="R29" s="30" t="str">
        <f>IF(OR("MX0"=Data!B$5,"MX1"=Data!B$5,"MX2"=Data!B$5,"MX3"=Data!B$5),E29,"")</f>
        <v/>
      </c>
      <c r="S29" s="30">
        <f>IF(OR("MF1"=Data!B$5,"MF2"=Data!B$5,"MS4"=Data!B$5),F29,"")</f>
        <v>4415</v>
      </c>
      <c r="T29" s="30" t="str">
        <f>IF(OR("MP1"=Data!B$5,"MP3"=Data!B$5,"MT1"=Data!B$5,"MT2"=Data!B$5,"MF5"=Data!B$5,"MF6"=Data!B$5,,"MS2"=Data!B$5,"ME5"=Data!B$5,"ME6"=Data!B$5),G29,"")</f>
        <v/>
      </c>
      <c r="U29" s="30" t="str">
        <f>IF(OR("MS3"=Data!B$5,"ME3"=Data!B$5,"ME4"=Data!B$5,"MP2"=Data!B$5,"MT4"=Data!B$5,"MPU3"=Data!B$5,"MS7"=Data!B$5),H29,"")</f>
        <v/>
      </c>
      <c r="W29" s="30" t="str">
        <f>IF(OR(Q29="",Q29=0),"",IF(Data!B$7="ABE",K29*4,IF(OR(Data!B$7="ACE",Data!B$7="ARE"),K29*2,IF(Data!B$7="BE",K29*2,IF(OR(Data!B$7="CE",Data!B$7="RE"),K29,0))))+J29*(ROUNDUP(Data!B$8,0.1)))</f>
        <v/>
      </c>
      <c r="Z29" s="30">
        <f t="shared" si="0"/>
        <v>1008</v>
      </c>
      <c r="AA29" s="30">
        <f t="shared" si="1"/>
        <v>1390</v>
      </c>
      <c r="AB29" s="30">
        <f t="shared" si="2"/>
        <v>52</v>
      </c>
      <c r="AF29" s="30" t="str">
        <f>IF(W29&lt;&gt;"",IF(Data!B$7="NC",Z29+(AB29*(Data!B$8+Data!B$11+Data!B$27)),IF(Data!B$7&lt;&gt;"NC",AA29+(AB29*(Data!B$8+Data!B$11+Data!B$27)))),"")</f>
        <v/>
      </c>
      <c r="AL29" s="104">
        <v>5</v>
      </c>
      <c r="AS29" s="104"/>
      <c r="AT29" s="104"/>
      <c r="AU29" s="30">
        <v>3.5</v>
      </c>
      <c r="AV29" s="104" t="str">
        <f>IF(AND(OR(Data!$B$3="H",Data!$B$3="SH"),Data!$B$4=5,Data!$B$6=3.5),IF(AND(OR(Data!$B$7="be",Data!$B$7="ce"),Data!$D$15=4),AV63,""),"")</f>
        <v/>
      </c>
      <c r="AW29" s="104" t="str">
        <f>IF(AND(OR(Data!$B$3="H",Data!$B$3="SH"),Data!$B$4=5,Data!$B$6=3.5),IF(AND(OR(Data!$B$7="RE",Data!$B$7="NC"),Data!$D$15=4),AW63,""),"")</f>
        <v/>
      </c>
      <c r="AX29" s="104" t="str">
        <f>IF(AND(OR(Data!$B$3="H",Data!$B$3="SH"),Data!$B$4=5,Data!$B$6=3.5),IF(AND(OR(Data!$B$7="be",Data!$B$7="ce"),Data!$D$15=3),AX63,""),"")</f>
        <v/>
      </c>
      <c r="AY29" s="104" t="str">
        <f>IF(AND(OR(Data!$B$3="H",Data!$B$3="SH"),Data!$B$4=5,Data!$B$6=3.5),IF(AND(OR(Data!$B$7="RE",Data!$B$7="NC"),Data!$D$15=3),AY63,""),"")</f>
        <v/>
      </c>
      <c r="AZ29" s="104" t="str">
        <f>IF(AND(OR(Data!$B$3="H",Data!$B$3="SH"),Data!$B$4=5,Data!$B$6=3.5),IF(AND(OR(Data!$B$7="be",Data!$B$7="ce"),OR(Data!$D$15=1,Data!$D$15=2,Data!$D$15=6)),AZ63,""),"")</f>
        <v/>
      </c>
      <c r="BA29" s="104" t="str">
        <f>IF(AND(OR(Data!$B$3="H",Data!$B$3="SH"),Data!$B$4=5,Data!$B$6=3.5),IF(AND(OR(Data!$B$7="re",Data!$B$7="nc"),OR(Data!$D$15=1,Data!$D$15=2,Data!$D$15=6)),BA63,""),"")</f>
        <v/>
      </c>
      <c r="BB29" s="104">
        <f t="shared" si="3"/>
        <v>0</v>
      </c>
    </row>
    <row r="30" spans="1:54">
      <c r="A30" s="594"/>
      <c r="B30" s="102">
        <v>4</v>
      </c>
      <c r="C30" s="30" t="s">
        <v>373</v>
      </c>
      <c r="D30" s="30" t="s">
        <v>446</v>
      </c>
      <c r="E30" s="30">
        <v>4358</v>
      </c>
      <c r="F30" s="30">
        <v>4741</v>
      </c>
      <c r="G30" s="30">
        <v>4881</v>
      </c>
      <c r="H30" s="30">
        <v>5861</v>
      </c>
      <c r="I30" s="103"/>
      <c r="J30" s="30">
        <v>62</v>
      </c>
      <c r="K30" s="30">
        <v>382</v>
      </c>
      <c r="M30" s="57">
        <v>7</v>
      </c>
      <c r="N30" s="104">
        <v>4</v>
      </c>
      <c r="O30" s="30" t="s">
        <v>373</v>
      </c>
      <c r="P30" s="30" t="s">
        <v>446</v>
      </c>
      <c r="Q30" s="30" t="str">
        <f>IF(OR(Data!B$3="H",Data!B$3="HM",Data!B$3="W"),IF(M30=Data!B$4,IF(N30=Data!B$6,SUM(R30:V30),""),""),"")</f>
        <v/>
      </c>
      <c r="R30" s="30" t="str">
        <f>IF(OR("MX0"=Data!B$5,"MX1"=Data!B$5,"MX2"=Data!B$5,"MX3"=Data!B$5),E30,"")</f>
        <v/>
      </c>
      <c r="S30" s="30">
        <f>IF(OR("MF1"=Data!B$5,"MF2"=Data!B$5,"MS4"=Data!B$5),F30,"")</f>
        <v>4741</v>
      </c>
      <c r="T30" s="30" t="str">
        <f>IF(OR("MP1"=Data!B$5,"MP3"=Data!B$5,"MT1"=Data!B$5,"MT2"=Data!B$5,"MF5"=Data!B$5,"MF6"=Data!B$5,,"MS2"=Data!B$5,"ME5"=Data!B$5,"ME6"=Data!B$5),G30,"")</f>
        <v/>
      </c>
      <c r="U30" s="30" t="str">
        <f>IF(OR("MS3"=Data!B$5,"ME3"=Data!B$5,"ME4"=Data!B$5,"MP2"=Data!B$5,"MT4"=Data!B$5,"MPU3"=Data!B$5,"MS7"=Data!B$5),H30,"")</f>
        <v/>
      </c>
      <c r="W30" s="30" t="str">
        <f>IF(OR(Q30="",Q30=0),"",IF(Data!B$7="ABE",K30*4,IF(OR(Data!B$7="ACE",Data!B$7="ARE"),K30*2,IF(Data!B$7="BE",K30*2,IF(OR(Data!B$7="CE",Data!B$7="RE"),K30,0))))+J30*(ROUNDUP(Data!B$8,0.1)))</f>
        <v/>
      </c>
      <c r="Z30" s="30">
        <f t="shared" si="0"/>
        <v>1090</v>
      </c>
      <c r="AA30" s="30">
        <f t="shared" si="1"/>
        <v>1472</v>
      </c>
      <c r="AB30" s="30">
        <f t="shared" si="2"/>
        <v>58</v>
      </c>
      <c r="AF30" s="30" t="str">
        <f>IF(W30&lt;&gt;"",IF(Data!B$7="NC",Z30+(AB30*(Data!B$8+Data!B$11+Data!B$27)),IF(Data!B$7&lt;&gt;"NC",AA30+(AB30*(Data!B$8+Data!B$11+Data!B$27)))),"")</f>
        <v/>
      </c>
      <c r="AL30" s="104">
        <v>1</v>
      </c>
      <c r="AM30" s="104" t="str">
        <f>IF(AND(OR(Data!$B$3="A",Data!$B$3="LH",Data!$B$3="SA"),Data!$B$4=5,Data!$B$6=1),IF(AND(OR(Data!$B$7="be",Data!$B$7="ce"),Data!$D$15=4),AM75,""),"")</f>
        <v/>
      </c>
      <c r="AN30" s="104" t="str">
        <f>IF(AND(OR(Data!$B$3="A",Data!$B$3="LH",Data!$B$3="SA"),Data!$B$4=5,Data!$B$6=1),IF(AND(OR(Data!$B$7="RE",Data!$B$7="NC"),Data!$D$15=4),AN75,""),"")</f>
        <v/>
      </c>
      <c r="AO30" s="104" t="str">
        <f>IF(AND(OR(Data!$B$3="A",Data!$B$3="LH",Data!$B$3="SA"),Data!$B$4=5,Data!$B$6=1),IF(AND(OR(Data!$B$7="be",Data!$B$7="ce"),Data!$D$15=3),AO75,""),"")</f>
        <v/>
      </c>
      <c r="AP30" s="104" t="str">
        <f>IF(AND(OR(Data!$B$3="A",Data!$B$3="LH",Data!$B$3="SA"),Data!$B$4=5,Data!$B$6=1),IF(AND(OR(Data!$B$7="RE",Data!$B$7="NC"),Data!$D$15=3),AP75,""),"")</f>
        <v/>
      </c>
      <c r="AQ30" s="104" t="str">
        <f>IF(AND(OR(Data!$B$3="A",Data!$B$3="LH",Data!$B$3="SA"),Data!$B$4=5,Data!$B$6=1),IF(AND(OR(Data!$B$7="be",Data!$B$7="ce"),OR(Data!$D$15=1,Data!$D$15=2,Data!$D$15=6)),AQ75,""),"")</f>
        <v/>
      </c>
      <c r="AR30" s="104" t="str">
        <f>IF(AND(OR(Data!$B$3="A",Data!$B$3="LH",Data!$B$3="SA"),Data!$B$4=5,Data!$B$6=1),IF(AND(OR(Data!$B$7="re",Data!$B$7="nc"),OR(Data!$D$15=1,Data!$D$15=2,Data!$D$15=6)),AR75,""),"")</f>
        <v/>
      </c>
      <c r="AS30" s="104">
        <f t="shared" si="4"/>
        <v>0</v>
      </c>
      <c r="AT30" s="104"/>
      <c r="AU30" s="104">
        <v>6</v>
      </c>
      <c r="AZ30" s="104"/>
      <c r="BA30" s="104"/>
      <c r="BB30" s="104"/>
    </row>
    <row r="31" spans="1:54">
      <c r="A31" s="594"/>
      <c r="B31" s="102">
        <v>4.5</v>
      </c>
      <c r="C31" s="105" t="s">
        <v>302</v>
      </c>
      <c r="D31" s="105" t="s">
        <v>447</v>
      </c>
      <c r="E31" s="30">
        <v>4440</v>
      </c>
      <c r="F31" s="30">
        <v>4821</v>
      </c>
      <c r="G31" s="30">
        <v>5103</v>
      </c>
      <c r="H31" s="30">
        <v>5946</v>
      </c>
      <c r="I31" s="103"/>
      <c r="J31" s="30">
        <v>70</v>
      </c>
      <c r="K31" s="30">
        <v>382</v>
      </c>
      <c r="M31" s="57">
        <v>7</v>
      </c>
      <c r="N31" s="104">
        <v>4.5</v>
      </c>
      <c r="O31" s="105" t="s">
        <v>302</v>
      </c>
      <c r="P31" s="105" t="s">
        <v>447</v>
      </c>
      <c r="Q31" s="30" t="str">
        <f>IF(OR(Data!B$3="H",Data!B$3="HM",Data!B$3="W"),IF(M31=Data!B$4,IF(N31=Data!B$6,SUM(R31:V31),""),""),"")</f>
        <v/>
      </c>
      <c r="R31" s="30" t="str">
        <f>IF(OR("MX0"=Data!B$5,"MX1"=Data!B$5,"MX2"=Data!B$5,"MX3"=Data!B$5),E31,"")</f>
        <v/>
      </c>
      <c r="S31" s="30">
        <f>IF(OR("MF1"=Data!B$5,"MF2"=Data!B$5,"MS4"=Data!B$5),F31,"")</f>
        <v>4821</v>
      </c>
      <c r="T31" s="30" t="str">
        <f>IF(OR("MP1"=Data!B$5,"MP3"=Data!B$5,"MT1"=Data!B$5,"MT2"=Data!B$5,"MF5"=Data!B$5,"MF6"=Data!B$5,,"MS2"=Data!B$5,"ME5"=Data!B$5,"ME6"=Data!B$5),G31,"")</f>
        <v/>
      </c>
      <c r="U31" s="30" t="str">
        <f>IF(OR("MS3"=Data!B$5,"ME3"=Data!B$5,"ME4"=Data!B$5,"MP2"=Data!B$5,"MT4"=Data!B$5,"MPU3"=Data!B$5,"MS7"=Data!B$5),H31,"")</f>
        <v/>
      </c>
      <c r="W31" s="30" t="str">
        <f>IF(OR(Q31="",Q31=0),"",IF(Data!B$7="ABE",K31*4,IF(OR(Data!B$7="ACE",Data!B$7="ARE"),K31*2,IF(Data!B$7="BE",K31*2,IF(OR(Data!B$7="CE",Data!B$7="RE"),K31,0))))+J31*(ROUNDUP(Data!B$8,0.1)))</f>
        <v/>
      </c>
      <c r="Z31" s="30">
        <f t="shared" si="0"/>
        <v>1110</v>
      </c>
      <c r="AA31" s="30">
        <f t="shared" si="1"/>
        <v>1492</v>
      </c>
      <c r="AB31" s="30">
        <f t="shared" si="2"/>
        <v>66</v>
      </c>
      <c r="AF31" s="30" t="str">
        <f>IF(W31&lt;&gt;"",IF(Data!B$7="NC",Z31+(AB31*(Data!B$8+Data!B$11+Data!B$27)),IF(Data!B$7&lt;&gt;"NC",AA31+(AB31*(Data!B$8+Data!B$11+Data!B$27)))),"")</f>
        <v/>
      </c>
      <c r="AL31" s="104">
        <v>1.375</v>
      </c>
      <c r="AM31" s="104" t="str">
        <f>IF(AND(OR(Data!$B$3="A",Data!$B$3="LH",Data!$B$3="SA"),Data!$B$4=5,Data!$B$6=1.375),IF(AND(OR(Data!$B$7="be",Data!$B$7="ce"),Data!$D$15=4),AM76,""),"")</f>
        <v/>
      </c>
      <c r="AN31" s="104" t="str">
        <f>IF(AND(OR(Data!$B$3="A",Data!$B$3="LH",Data!$B$3="SA"),Data!$B$4=5,Data!$B$6=1.375),IF(AND(OR(Data!$B$7="RE",Data!$B$7="NC"),Data!$D$15=4),AN76,""),"")</f>
        <v/>
      </c>
      <c r="AO31" s="104" t="str">
        <f>IF(AND(OR(Data!$B$3="A",Data!$B$3="LH",Data!$B$3="SA"),Data!$B$4=5,Data!$B$6=1.375),IF(AND(OR(Data!$B$7="be",Data!$B$7="ce"),Data!$D$15=3),AO76,""),"")</f>
        <v/>
      </c>
      <c r="AP31" s="104" t="str">
        <f>IF(AND(OR(Data!$B$3="A",Data!$B$3="LH",Data!$B$3="SA"),Data!$B$4=5,Data!$B$6=1.375),IF(AND(OR(Data!$B$7="RE",Data!$B$7="NC"),Data!$D$15=3),AP76,""),"")</f>
        <v/>
      </c>
      <c r="AQ31" s="104" t="str">
        <f>IF(AND(OR(Data!$B$3="A",Data!$B$3="LH",Data!$B$3="SA"),Data!$B$4=5,Data!$B$6=1.375),IF(AND(OR(Data!$B$7="be",Data!$B$7="ce"),OR(Data!$D$15=1,Data!$D$15=2,Data!$D$15=6)),AQ76,""),"")</f>
        <v/>
      </c>
      <c r="AR31" s="104" t="str">
        <f>IF(AND(OR(Data!$B$3="A",Data!$B$3="LH",Data!$B$3="SA"),Data!$B$4=5,Data!$B$6=1.375),IF(AND(OR(Data!$B$7="re",Data!$B$7="nc"),OR(Data!$D$15=1,Data!$D$15=2,Data!$D$15=6)),AR76,""),"")</f>
        <v/>
      </c>
      <c r="AS31" s="104">
        <f t="shared" si="4"/>
        <v>0</v>
      </c>
      <c r="AT31" s="104"/>
      <c r="AU31" s="104">
        <v>2.5</v>
      </c>
      <c r="AV31" s="104" t="str">
        <f>IF(AND(OR(Data!$B$3="H",Data!$B$3="SH"),Data!$B$4=6,Data!$B$6=2.5),IF(AND(OR(Data!$B$7="be",Data!$B$7="ce"),Data!$D$15=4),AV65,""),"")</f>
        <v/>
      </c>
      <c r="AW31" s="104" t="str">
        <f>IF(AND(OR(Data!$B$3="H",Data!$B$3="SH"),Data!$B$4=6,Data!$B$6=2.5),IF(AND(OR(Data!$B$7="RE",Data!$B$7="NC"),Data!$D$15=4),AW65,""),"")</f>
        <v/>
      </c>
      <c r="AX31" s="104" t="str">
        <f>IF(AND(OR(Data!$B$3="H",Data!$B$3="SH"),Data!$B$4=6,Data!$B$6=2.5),IF(AND(OR(Data!$B$7="be",Data!$B$7="ce"),Data!$D$15=3),AX65,""),"")</f>
        <v/>
      </c>
      <c r="AY31" s="104" t="str">
        <f>IF(AND(OR(Data!$B$3="H",Data!$B$3="SH"),Data!$B$4=6,Data!$B$6=2.5),IF(AND(OR(Data!$B$7="RE",Data!$B$7="NC"),Data!$D$15=3),AY65,""),"")</f>
        <v/>
      </c>
      <c r="AZ31" s="104" t="str">
        <f>IF(AND(OR(Data!$B$3="H",Data!$B$3="SH"),Data!$B$4=6,Data!$B$6=2.5),IF(AND(OR(Data!$B$7="be",Data!$B$7="ce"),OR(Data!$D$15=1,Data!$D$15=2,Data!$D$15=6)),AZ65,""),"")</f>
        <v/>
      </c>
      <c r="BA31" s="104" t="str">
        <f>IF(AND(OR(Data!$B$3="H",Data!$B$3="SH"),Data!$B$4=6,Data!$B$6=2.5),IF(AND(OR(Data!$B$7="re",Data!$B$7="nc"),OR(Data!$D$15=1,Data!$D$15=2,Data!$D$15=6)),BA65,""),"")</f>
        <v/>
      </c>
      <c r="BB31" s="104">
        <f t="shared" si="3"/>
        <v>0</v>
      </c>
    </row>
    <row r="32" spans="1:54">
      <c r="A32" s="594"/>
      <c r="B32" s="102">
        <v>5</v>
      </c>
      <c r="C32" s="105" t="s">
        <v>557</v>
      </c>
      <c r="D32" s="105" t="s">
        <v>495</v>
      </c>
      <c r="E32" s="30">
        <v>4505</v>
      </c>
      <c r="F32" s="30">
        <v>4913</v>
      </c>
      <c r="G32" s="30">
        <v>5260</v>
      </c>
      <c r="H32" s="30">
        <v>6195</v>
      </c>
      <c r="I32" s="103"/>
      <c r="J32" s="30">
        <v>75</v>
      </c>
      <c r="K32" s="30">
        <v>382</v>
      </c>
      <c r="M32" s="57">
        <v>7</v>
      </c>
      <c r="N32" s="104">
        <v>5</v>
      </c>
      <c r="O32" s="105" t="s">
        <v>557</v>
      </c>
      <c r="P32" s="105" t="s">
        <v>495</v>
      </c>
      <c r="Q32" s="30" t="str">
        <f>IF(OR(Data!B$3="H",Data!B$3="HM",Data!B$3="W"),IF(M32=Data!B$4,IF(N32=Data!B$6,SUM(R32:V32),""),""),"")</f>
        <v/>
      </c>
      <c r="R32" s="30" t="str">
        <f>IF(OR("MX0"=Data!B$5,"MX1"=Data!B$5,"MX2"=Data!B$5,"MX3"=Data!B$5),E32,"")</f>
        <v/>
      </c>
      <c r="S32" s="30">
        <f>IF(OR("MF1"=Data!B$5,"MF2"=Data!B$5,"MS4"=Data!B$5),F32,"")</f>
        <v>4913</v>
      </c>
      <c r="T32" s="30" t="str">
        <f>IF(OR("MP1"=Data!B$5,"MP3"=Data!B$5,"MT1"=Data!B$5,"MT2"=Data!B$5,"MF5"=Data!B$5,"MF6"=Data!B$5,,"MS2"=Data!B$5,"ME5"=Data!B$5,"ME6"=Data!B$5),G32,"")</f>
        <v/>
      </c>
      <c r="U32" s="30" t="str">
        <f>IF(OR("MS3"=Data!B$5,"ME3"=Data!B$5,"ME4"=Data!B$5,"MP2"=Data!B$5,"MT4"=Data!B$5,"MPU3"=Data!B$5,"MS7"=Data!B$5),H32,"")</f>
        <v/>
      </c>
      <c r="W32" s="30" t="str">
        <f>IF(OR(Q32="",Q32=0),"",IF(Data!B$7="ABE",K32*4,IF(OR(Data!B$7="ACE",Data!B$7="ARE"),K32*2,IF(Data!B$7="BE",K32*2,IF(OR(Data!B$7="CE",Data!B$7="RE"),K32,0))))+J32*(ROUNDUP(Data!B$8,0.1)))</f>
        <v/>
      </c>
      <c r="Z32" s="30">
        <f t="shared" si="0"/>
        <v>1127</v>
      </c>
      <c r="AA32" s="30">
        <f t="shared" si="1"/>
        <v>1509</v>
      </c>
      <c r="AB32" s="30">
        <f t="shared" si="2"/>
        <v>71</v>
      </c>
      <c r="AF32" s="30" t="str">
        <f>IF(W32&lt;&gt;"",IF(Data!B$7="NC",Z32+(AB32*(Data!B$8+Data!B$11+Data!B$27)),IF(Data!B$7&lt;&gt;"NC",AA32+(AB32*(Data!B$8+Data!B$11+Data!B$27)))),"")</f>
        <v/>
      </c>
      <c r="AL32" s="104">
        <v>1.75</v>
      </c>
      <c r="AM32" s="104" t="str">
        <f>IF(AND(OR(Data!$B$3="A",Data!$B$3="LH",Data!$B$3="SA"),Data!$B$4=5,Data!$B$6=1.75),IF(AND(OR(Data!$B$7="be",Data!$B$7="ce"),Data!$D$15=4),AM77,""),"")</f>
        <v/>
      </c>
      <c r="AN32" s="104" t="str">
        <f>IF(AND(OR(Data!$B$3="A",Data!$B$3="LH",Data!$B$3="SA"),Data!$B$4=5,Data!$B$6=1.75),IF(AND(OR(Data!$B$7="RE",Data!$B$7="NC"),Data!$D$15=4),AN77,""),"")</f>
        <v/>
      </c>
      <c r="AO32" s="104" t="str">
        <f>IF(AND(OR(Data!$B$3="A",Data!$B$3="LH",Data!$B$3="SA"),Data!$B$4=5,Data!$B$6=1.75),IF(AND(OR(Data!$B$7="be",Data!$B$7="ce"),Data!$D$15=3),AO77,""),"")</f>
        <v/>
      </c>
      <c r="AP32" s="104" t="str">
        <f>IF(AND(OR(Data!$B$3="A",Data!$B$3="LH",Data!$B$3="SA"),Data!$B$4=5,Data!$B$6=1.75),IF(AND(OR(Data!$B$7="RE",Data!$B$7="NC"),Data!$D$15=3),AP77,""),"")</f>
        <v/>
      </c>
      <c r="AQ32" s="104" t="str">
        <f>IF(AND(OR(Data!$B$3="A",Data!$B$3="LH",Data!$B$3="SA"),Data!$B$4=5,Data!$B$6=1.75),IF(AND(OR(Data!$B$7="be",Data!$B$7="ce"),OR(Data!$D$15=1,Data!$D$15=2,Data!$D$15=6)),AQ77,""),"")</f>
        <v/>
      </c>
      <c r="AR32" s="104" t="str">
        <f>IF(AND(OR(Data!$B$3="A",Data!$B$3="LH",Data!$B$3="SA"),Data!$B$4=5,Data!$B$6=1.75),IF(AND(OR(Data!$B$7="re",Data!$B$7="nc"),OR(Data!$D$15=1,Data!$D$15=2,Data!$D$15=6)),AR77,""),"")</f>
        <v/>
      </c>
      <c r="AS32" s="104">
        <f t="shared" si="4"/>
        <v>0</v>
      </c>
      <c r="AT32" s="104"/>
      <c r="AU32" s="104">
        <v>3</v>
      </c>
      <c r="AV32" s="104" t="str">
        <f>IF(AND(OR(Data!$B$3="H",Data!$B$3="SH"),Data!$B$4=6,Data!$B$6=3),IF(AND(OR(Data!$B$7="be",Data!$B$7="ce"),Data!$D$15=4),AV66,""),"")</f>
        <v/>
      </c>
      <c r="AW32" s="104" t="str">
        <f>IF(AND(OR(Data!$B$3="H",Data!$B$3="SH"),Data!$B$4=6,Data!$B$6=3),IF(AND(OR(Data!$B$7="RE",Data!$B$7="NC"),Data!$D$15=4),AW66,""),"")</f>
        <v/>
      </c>
      <c r="AX32" s="104" t="str">
        <f>IF(AND(OR(Data!$B$3="H",Data!$B$3="SH"),Data!$B$4=6,Data!$B$6=3),IF(AND(OR(Data!$B$7="be",Data!$B$7="ce"),Data!$D$15=3),AX66,""),"")</f>
        <v/>
      </c>
      <c r="AY32" s="104" t="str">
        <f>IF(AND(OR(Data!$B$3="H",Data!$B$3="SH"),Data!$B$4=6,Data!$B$6=3),IF(AND(OR(Data!$B$7="RE",Data!$B$7="NC"),Data!$D$15=3),AY66,""),"")</f>
        <v/>
      </c>
      <c r="AZ32" s="104" t="str">
        <f>IF(AND(OR(Data!$B$3="H",Data!$B$3="SH"),Data!$B$4=6,Data!$B$6=3),IF(AND(OR(Data!$B$7="be",Data!$B$7="ce"),OR(Data!$D$15=1,Data!$D$15=2,Data!$D$15=6)),AZ66,""),"")</f>
        <v/>
      </c>
      <c r="BA32" s="104" t="str">
        <f>IF(AND(OR(Data!$B$3="H",Data!$B$3="SH"),Data!$B$4=6,Data!$B$6=3),IF(AND(OR(Data!$B$7="re",Data!$B$7="nc"),OR(Data!$D$15=1,Data!$D$15=2,Data!$D$15=6)),BA66,""),"")</f>
        <v/>
      </c>
      <c r="BB32" s="104">
        <f t="shared" si="3"/>
        <v>0</v>
      </c>
    </row>
    <row r="33" spans="1:54">
      <c r="A33" s="594">
        <v>8</v>
      </c>
      <c r="B33" s="102">
        <v>3.5</v>
      </c>
      <c r="C33" s="30" t="s">
        <v>722</v>
      </c>
      <c r="D33" s="30" t="s">
        <v>302</v>
      </c>
      <c r="E33" s="30">
        <v>4655</v>
      </c>
      <c r="F33" s="30">
        <v>5088</v>
      </c>
      <c r="G33" s="30">
        <v>5088</v>
      </c>
      <c r="H33" s="30">
        <v>6012</v>
      </c>
      <c r="I33" s="103"/>
      <c r="J33" s="30">
        <v>69</v>
      </c>
      <c r="K33" s="30">
        <v>414</v>
      </c>
      <c r="M33" s="57">
        <v>8</v>
      </c>
      <c r="N33" s="104">
        <v>3.5</v>
      </c>
      <c r="O33" s="30" t="s">
        <v>722</v>
      </c>
      <c r="P33" s="30" t="s">
        <v>302</v>
      </c>
      <c r="Q33" s="30" t="str">
        <f>IF(OR(Data!B$3="H",Data!B$3="HM",Data!B$3="W"),IF(M33=Data!B$4,IF(N33=Data!B$6,SUM(R33:V33),""),""),"")</f>
        <v/>
      </c>
      <c r="R33" s="30" t="str">
        <f>IF(OR("MX0"=Data!B$5,"MX1"=Data!B$5,"MX2"=Data!B$5,"MX3"=Data!B$5),E33,"")</f>
        <v/>
      </c>
      <c r="S33" s="30">
        <f>IF(OR("MF1"=Data!B$5,"MF2"=Data!B$5,"MS4"=Data!B$5),F33,"")</f>
        <v>5088</v>
      </c>
      <c r="T33" s="30" t="str">
        <f>IF(OR("MP1"=Data!B$5,"MP3"=Data!B$5,"MT1"=Data!B$5,"MT2"=Data!B$5,"MF5"=Data!B$5,"MF6"=Data!B$5,,"MS2"=Data!B$5,"ME5"=Data!B$5,"ME6"=Data!B$5),G33,"")</f>
        <v/>
      </c>
      <c r="U33" s="30" t="str">
        <f>IF(OR("MS3"=Data!B$5,"ME3"=Data!B$5,"ME4"=Data!B$5,"MP2"=Data!B$5,"MT4"=Data!B$5,"MPU3"=Data!B$5,"MS7"=Data!B$5),H33,"")</f>
        <v/>
      </c>
      <c r="W33" s="30" t="str">
        <f>IF(OR(Q33="",Q33=0),"",IF(Data!B$7="ABE",K33*4,IF(OR(Data!B$7="ACE",Data!B$7="ARE"),K33*2,IF(Data!B$7="BE",K33*2,IF(OR(Data!B$7="CE",Data!B$7="RE"),K33,0))))+J33*(ROUNDUP(Data!B$8,0.1)))</f>
        <v/>
      </c>
      <c r="Z33" s="30">
        <f t="shared" si="0"/>
        <v>1164</v>
      </c>
      <c r="AA33" s="30">
        <f t="shared" si="1"/>
        <v>1578</v>
      </c>
      <c r="AB33" s="30">
        <f t="shared" si="2"/>
        <v>65</v>
      </c>
      <c r="AF33" s="30" t="str">
        <f>IF(W33&lt;&gt;"",IF(Data!B$7="NC",Z33+(AB33*(Data!B$8+Data!B$11+Data!B$27)),IF(Data!B$7&lt;&gt;"NC",AA33+(AB33*(Data!B$8+Data!B$11+Data!B$27)))),"")</f>
        <v/>
      </c>
      <c r="AL33" s="104">
        <v>2</v>
      </c>
      <c r="AM33" s="104" t="str">
        <f>IF(AND(OR(Data!$B$3="A",Data!$B$3="LH",Data!$B$3="SA"),Data!$B$4=5,Data!$B$6=2),IF(AND(OR(Data!$B$7="be",Data!$B$7="ce"),Data!$D$15=4),AM78,""),"")</f>
        <v/>
      </c>
      <c r="AN33" s="104" t="str">
        <f>IF(AND(OR(Data!$B$3="A",Data!$B$3="LH",Data!$B$3="SA"),Data!$B$4=5,Data!$B$6=2),IF(AND(OR(Data!$B$7="RE",Data!$B$7="NC"),Data!$D$15=4),AN78,""),"")</f>
        <v/>
      </c>
      <c r="AO33" s="104" t="str">
        <f>IF(AND(OR(Data!$B$3="A",Data!$B$3="LH",Data!$B$3="SA"),Data!$B$4=5,Data!$B$6=2),IF(AND(OR(Data!$B$7="be",Data!$B$7="ce"),Data!$D$15=3),AO78,""),"")</f>
        <v/>
      </c>
      <c r="AP33" s="104" t="str">
        <f>IF(AND(OR(Data!$B$3="A",Data!$B$3="LH",Data!$B$3="SA"),Data!$B$4=5,Data!$B$6=2),IF(AND(OR(Data!$B$7="RE",Data!$B$7="NC"),Data!$D$15=3),AP78,""),"")</f>
        <v/>
      </c>
      <c r="AQ33" s="104" t="str">
        <f>IF(AND(OR(Data!$B$3="A",Data!$B$3="LH",Data!$B$3="SA"),Data!$B$4=5,Data!$B$6=2),IF(AND(OR(Data!$B$7="be",Data!$B$7="ce"),OR(Data!$D$15=1,Data!$D$15=2,Data!$D$15=6)),AQ78,""),"")</f>
        <v/>
      </c>
      <c r="AR33" s="104" t="str">
        <f>IF(AND(OR(Data!$B$3="A",Data!$B$3="LH",Data!$B$3="SA"),Data!$B$4=5,Data!$B$6=2),IF(AND(OR(Data!$B$7="re",Data!$B$7="nc"),OR(Data!$D$15=1,Data!$D$15=2,Data!$D$15=6)),AR78,""),"")</f>
        <v/>
      </c>
      <c r="AS33" s="104">
        <f t="shared" si="4"/>
        <v>0</v>
      </c>
      <c r="AU33" s="30">
        <v>3.5</v>
      </c>
      <c r="AV33" s="104" t="str">
        <f>IF(AND(OR(Data!$B$3="H",Data!$B$3="SH"),Data!$B$4=6,Data!$B$6=3.5),IF(AND(OR(Data!$B$7="be",Data!$B$7="ce"),Data!$D$15=4),AV67,""),"")</f>
        <v/>
      </c>
      <c r="AW33" s="104" t="str">
        <f>IF(AND(OR(Data!$B$3="H",Data!$B$3="SH"),Data!$B$4=6,Data!$B$6=3.5),IF(AND(OR(Data!$B$7="RE",Data!$B$7="NC"),Data!$D$15=4),AW67,""),"")</f>
        <v/>
      </c>
      <c r="AX33" s="104" t="str">
        <f>IF(AND(OR(Data!$B$3="H",Data!$B$3="SH"),Data!$B$4=6,Data!$B$6=3.5),IF(AND(OR(Data!$B$7="be",Data!$B$7="ce"),Data!$D$15=3),AX67,""),"")</f>
        <v/>
      </c>
      <c r="AY33" s="104" t="str">
        <f>IF(AND(OR(Data!$B$3="H",Data!$B$3="SH"),Data!$B$4=6,Data!$B$6=3.5),IF(AND(OR(Data!$B$7="RE",Data!$B$7="NC"),Data!$D$15=3),AY67,""),"")</f>
        <v/>
      </c>
      <c r="AZ33" s="104" t="str">
        <f>IF(AND(OR(Data!$B$3="H",Data!$B$3="SH"),Data!$B$4=6,Data!$B$6=3.5),IF(AND(OR(Data!$B$7="be",Data!$B$7="ce"),OR(Data!$D$15=1,Data!$D$15=2,Data!$D$15=6)),AZ67,""),"")</f>
        <v/>
      </c>
      <c r="BA33" s="104" t="str">
        <f>IF(AND(OR(Data!$B$3="H",Data!$B$3="SH"),Data!$B$4=6,Data!$B$6=3.5),IF(AND(OR(Data!$B$7="re",Data!$B$7="nc"),OR(Data!$D$15=1,Data!$D$15=2,Data!$D$15=6)),BA67,""),"")</f>
        <v/>
      </c>
      <c r="BB33" s="104">
        <f t="shared" si="3"/>
        <v>0</v>
      </c>
    </row>
    <row r="34" spans="1:54">
      <c r="A34" s="594"/>
      <c r="B34" s="102">
        <v>4</v>
      </c>
      <c r="C34" s="30" t="s">
        <v>373</v>
      </c>
      <c r="D34" s="30" t="s">
        <v>446</v>
      </c>
      <c r="E34" s="30">
        <v>5195</v>
      </c>
      <c r="F34" s="30">
        <v>5627</v>
      </c>
      <c r="G34" s="30">
        <v>5627</v>
      </c>
      <c r="H34" s="30">
        <v>6757</v>
      </c>
      <c r="I34" s="103"/>
      <c r="J34" s="30">
        <v>74</v>
      </c>
      <c r="K34" s="30">
        <v>414</v>
      </c>
      <c r="M34" s="57">
        <v>8</v>
      </c>
      <c r="N34" s="104">
        <v>4</v>
      </c>
      <c r="O34" s="30" t="s">
        <v>373</v>
      </c>
      <c r="P34" s="30" t="s">
        <v>446</v>
      </c>
      <c r="Q34" s="30" t="str">
        <f>IF(OR(Data!B$3="H",Data!B$3="HM",Data!B$3="W"),IF(M34=Data!B$4,IF(N34=Data!B$6,SUM(R34:V34),""),""),"")</f>
        <v/>
      </c>
      <c r="R34" s="30" t="str">
        <f>IF(OR("MX0"=Data!B$5,"MX1"=Data!B$5,"MX2"=Data!B$5,"MX3"=Data!B$5),E34,"")</f>
        <v/>
      </c>
      <c r="S34" s="30">
        <f>IF(OR("MF1"=Data!B$5,"MF2"=Data!B$5,"MS4"=Data!B$5),F34,"")</f>
        <v>5627</v>
      </c>
      <c r="T34" s="30" t="str">
        <f>IF(OR("MP1"=Data!B$5,"MP3"=Data!B$5,"MT1"=Data!B$5,"MT2"=Data!B$5,"MF5"=Data!B$5,"MF6"=Data!B$5,,"MS2"=Data!B$5,"ME5"=Data!B$5,"ME6"=Data!B$5),G34,"")</f>
        <v/>
      </c>
      <c r="U34" s="30" t="str">
        <f>IF(OR("MS3"=Data!B$5,"ME3"=Data!B$5,"ME4"=Data!B$5,"MP2"=Data!B$5,"MT4"=Data!B$5,"MPU3"=Data!B$5,"MS7"=Data!B$5),H34,"")</f>
        <v/>
      </c>
      <c r="W34" s="30" t="str">
        <f>IF(OR(Q34="",Q34=0),"",IF(Data!B$7="ABE",K34*4,IF(OR(Data!B$7="ACE",Data!B$7="ARE"),K34*2,IF(Data!B$7="BE",K34*2,IF(OR(Data!B$7="CE",Data!B$7="RE"),K34,0))))+J34*(ROUNDUP(Data!B$8,0.1)))</f>
        <v/>
      </c>
      <c r="Z34" s="30">
        <f t="shared" si="0"/>
        <v>1299</v>
      </c>
      <c r="AA34" s="30">
        <f t="shared" si="1"/>
        <v>1713</v>
      </c>
      <c r="AB34" s="30">
        <f t="shared" si="2"/>
        <v>70</v>
      </c>
      <c r="AF34" s="30" t="str">
        <f>IF(W34&lt;&gt;"",IF(Data!B$7="NC",Z34+(AB34*(Data!B$8+Data!B$11+Data!B$27)),IF(Data!B$7&lt;&gt;"NC",AA34+(AB34*(Data!B$8+Data!B$11+Data!B$27)))),"")</f>
        <v/>
      </c>
      <c r="AL34" s="104">
        <v>6</v>
      </c>
      <c r="AS34" s="104"/>
      <c r="AU34" s="30">
        <v>4</v>
      </c>
      <c r="AV34" s="104" t="str">
        <f>IF(AND(OR(Data!$B$3="H",Data!$B$3="SH"),Data!$B$4=6,Data!$B$6=4),IF(AND(OR(Data!$B$7="be",Data!$B$7="ce"),Data!$D$15=4),AV68,""),"")</f>
        <v/>
      </c>
      <c r="AW34" s="104" t="str">
        <f>IF(AND(OR(Data!$B$3="H",Data!$B$3="SH"),Data!$B$4=6,Data!$B$6=4),IF(AND(OR(Data!$B$7="RE",Data!$B$7="NC"),Data!$D$15=4),AW68,""),"")</f>
        <v/>
      </c>
      <c r="AX34" s="104" t="str">
        <f>IF(AND(OR(Data!$B$3="H",Data!$B$3="SH"),Data!$B$4=6,Data!$B$6=4),IF(AND(OR(Data!$B$7="be",Data!$B$7="ce"),Data!$D$15=3),AX68,""),"")</f>
        <v/>
      </c>
      <c r="AY34" s="104" t="str">
        <f>IF(AND(OR(Data!$B$3="H",Data!$B$3="SH"),Data!$B$4=6,Data!$B$6=4),IF(AND(OR(Data!$B$7="RE",Data!$B$7="NC"),Data!$D$15=3),AY68,""),"")</f>
        <v/>
      </c>
      <c r="AZ34" s="104" t="str">
        <f>IF(AND(OR(Data!$B$3="H",Data!$B$3="SH"),Data!$B$4=6,Data!$B$6=4),IF(AND(OR(Data!$B$7="be",Data!$B$7="ce"),OR(Data!$D$15=1,Data!$D$15=2,Data!$D$15=6)),AZ68,""),"")</f>
        <v/>
      </c>
      <c r="BA34" s="104" t="str">
        <f>IF(AND(OR(Data!$B$3="H",Data!$B$3="SH"),Data!$B$4=6,Data!$B$6=4),IF(AND(OR(Data!$B$7="re",Data!$B$7="nc"),OR(Data!$D$15=1,Data!$D$15=2,Data!$D$15=6)),BA68,""),"")</f>
        <v/>
      </c>
      <c r="BB34" s="104">
        <f t="shared" si="3"/>
        <v>0</v>
      </c>
    </row>
    <row r="35" spans="1:54">
      <c r="A35" s="594"/>
      <c r="B35" s="102">
        <v>4.5</v>
      </c>
      <c r="C35" s="30" t="s">
        <v>302</v>
      </c>
      <c r="D35" s="30" t="s">
        <v>447</v>
      </c>
      <c r="E35" s="30">
        <v>5538</v>
      </c>
      <c r="F35" s="30">
        <v>5978</v>
      </c>
      <c r="G35" s="30">
        <v>5978</v>
      </c>
      <c r="H35" s="30">
        <v>7578</v>
      </c>
      <c r="I35" s="103"/>
      <c r="J35" s="30">
        <v>80</v>
      </c>
      <c r="K35" s="30">
        <v>414</v>
      </c>
      <c r="M35" s="57">
        <v>8</v>
      </c>
      <c r="N35" s="104">
        <v>4.5</v>
      </c>
      <c r="O35" s="30" t="s">
        <v>302</v>
      </c>
      <c r="P35" s="30" t="s">
        <v>447</v>
      </c>
      <c r="Q35" s="30" t="str">
        <f>IF(OR(Data!B$3="H",Data!B$3="HM",Data!B$3="W"),IF(M35=Data!B$4,IF(N35=Data!B$6,SUM(R35:V35),""),""),"")</f>
        <v/>
      </c>
      <c r="R35" s="30" t="str">
        <f>IF(OR("MX0"=Data!B$5,"MX1"=Data!B$5,"MX2"=Data!B$5,"MX3"=Data!B$5),E35,"")</f>
        <v/>
      </c>
      <c r="S35" s="30">
        <f>IF(OR("MF1"=Data!B$5,"MF2"=Data!B$5,"MS4"=Data!B$5),F35,"")</f>
        <v>5978</v>
      </c>
      <c r="T35" s="30" t="str">
        <f>IF(OR("MP1"=Data!B$5,"MP3"=Data!B$5,"MT1"=Data!B$5,"MT2"=Data!B$5,"MF5"=Data!B$5,"MF6"=Data!B$5,,"MS2"=Data!B$5,"ME5"=Data!B$5,"ME6"=Data!B$5),G35,"")</f>
        <v/>
      </c>
      <c r="U35" s="30" t="str">
        <f>IF(OR("MS3"=Data!B$5,"ME3"=Data!B$5,"ME4"=Data!B$5,"MP2"=Data!B$5,"MT4"=Data!B$5,"MPU3"=Data!B$5,"MS7"=Data!B$5),H35,"")</f>
        <v/>
      </c>
      <c r="W35" s="30" t="str">
        <f>IF(OR(Q35="",Q35=0),"",IF(Data!B$7="ABE",K35*4,IF(OR(Data!B$7="ACE",Data!B$7="ARE"),K35*2,IF(Data!B$7="BE",K35*2,IF(OR(Data!B$7="CE",Data!B$7="RE"),K35,0))))+J35*(ROUNDUP(Data!B$8,0.1)))</f>
        <v/>
      </c>
      <c r="Z35" s="30">
        <f t="shared" si="0"/>
        <v>1385</v>
      </c>
      <c r="AA35" s="30">
        <f t="shared" si="1"/>
        <v>1799</v>
      </c>
      <c r="AB35" s="30">
        <f t="shared" si="2"/>
        <v>76</v>
      </c>
      <c r="AF35" s="30" t="str">
        <f>IF(W35&lt;&gt;"",IF(Data!B$7="NC",Z35+(AB35*(Data!B$8+Data!B$11+Data!B$27)),IF(Data!B$7&lt;&gt;"NC",AA35+(AB35*(Data!B$8+Data!B$11+Data!B$27)))),"")</f>
        <v/>
      </c>
      <c r="AL35" s="104">
        <v>1.375</v>
      </c>
      <c r="AM35" s="104" t="str">
        <f>IF(AND(OR(Data!$B$3="A",Data!$B$3="LH",Data!$B$3="SA"),Data!$B$4=6,Data!$B$6=1.375),IF(AND(OR(Data!$B$7="be",Data!$B$7="ce"),Data!$D$15=4),AM80,""),"")</f>
        <v/>
      </c>
      <c r="AN35" s="104" t="str">
        <f>IF(AND(OR(Data!$B$3="A",Data!$B$3="LH",Data!$B$3="SA"),Data!$B$4=6,Data!$B$6=1.375),IF(AND(OR(Data!$B$7="RE",Data!$B$7="NC"),Data!$D$15=4),AN80,""),"")</f>
        <v/>
      </c>
      <c r="AO35" s="104" t="str">
        <f>IF(AND(OR(Data!$B$3="A",Data!$B$3="LH",Data!$B$3="SA"),Data!$B$4=6,Data!$B$6=1.375),IF(AND(OR(Data!$B$7="be",Data!$B$7="ce"),Data!$D$15=3),AO80,""),"")</f>
        <v/>
      </c>
      <c r="AP35" s="104" t="str">
        <f>IF(AND(OR(Data!$B$3="A",Data!$B$3="LH",Data!$B$3="SA"),Data!$B$4=6,Data!$B$6=1.375),IF(AND(OR(Data!$B$7="RE",Data!$B$7="NC"),Data!$D$15=3),AP80,""),"")</f>
        <v/>
      </c>
      <c r="AQ35" s="104" t="str">
        <f>IF(AND(OR(Data!$B$3="A",Data!$B$3="LH",Data!$B$3="SA"),Data!$B$4=6,Data!$B$6=1.375),IF(AND(OR(Data!$B$7="be",Data!$B$7="ce"),OR(Data!$D$15=1,Data!$D$15=2,Data!$D$15=6)),AQ80,""),"")</f>
        <v/>
      </c>
      <c r="AR35" s="104" t="str">
        <f>IF(AND(OR(Data!$B$3="A",Data!$B$3="LH",Data!$B$3="SA"),Data!$B$4=6,Data!$B$6=1.375),IF(AND(OR(Data!$B$7="re",Data!$B$7="nc"),OR(Data!$D$15=1,Data!$D$15=2,Data!$D$15=6)),AR80,""),"")</f>
        <v/>
      </c>
      <c r="AS35" s="104">
        <f t="shared" si="4"/>
        <v>0</v>
      </c>
      <c r="AT35" s="104"/>
      <c r="AU35" s="104">
        <v>8</v>
      </c>
      <c r="AZ35" s="104"/>
      <c r="BA35" s="104"/>
      <c r="BB35" s="104"/>
    </row>
    <row r="36" spans="1:54">
      <c r="A36" s="594"/>
      <c r="B36" s="102">
        <v>5</v>
      </c>
      <c r="C36" s="30" t="s">
        <v>557</v>
      </c>
      <c r="D36" s="30" t="s">
        <v>495</v>
      </c>
      <c r="E36" s="30">
        <v>5896</v>
      </c>
      <c r="F36" s="30">
        <v>6618</v>
      </c>
      <c r="G36" s="30">
        <v>6812</v>
      </c>
      <c r="H36" s="30">
        <v>7783</v>
      </c>
      <c r="I36" s="103"/>
      <c r="J36" s="30">
        <v>92</v>
      </c>
      <c r="K36" s="30">
        <v>414</v>
      </c>
      <c r="M36" s="57">
        <v>8</v>
      </c>
      <c r="N36" s="104">
        <v>5</v>
      </c>
      <c r="O36" s="30" t="s">
        <v>557</v>
      </c>
      <c r="P36" s="30" t="s">
        <v>495</v>
      </c>
      <c r="Q36" s="30" t="str">
        <f>IF(OR(Data!B$3="H",Data!B$3="HM",Data!B$3="W"),IF(M36=Data!B$4,IF(N36=Data!B$6,SUM(R36:V36),""),""),"")</f>
        <v/>
      </c>
      <c r="R36" s="30" t="str">
        <f>IF(OR("MX0"=Data!B$5,"MX1"=Data!B$5,"MX2"=Data!B$5,"MX3"=Data!B$5),E36,"")</f>
        <v/>
      </c>
      <c r="S36" s="30">
        <f>IF(OR("MF1"=Data!B$5,"MF2"=Data!B$5,"MS4"=Data!B$5),F36,"")</f>
        <v>6618</v>
      </c>
      <c r="T36" s="30" t="str">
        <f>IF(OR("MP1"=Data!B$5,"MP3"=Data!B$5,"MT1"=Data!B$5,"MT2"=Data!B$5,"MF5"=Data!B$5,"MF6"=Data!B$5,,"MS2"=Data!B$5,"ME5"=Data!B$5,"ME6"=Data!B$5),G36,"")</f>
        <v/>
      </c>
      <c r="U36" s="30" t="str">
        <f>IF(OR("MS3"=Data!B$5,"ME3"=Data!B$5,"ME4"=Data!B$5,"MP2"=Data!B$5,"MT4"=Data!B$5,"MPU3"=Data!B$5,"MS7"=Data!B$5),H36,"")</f>
        <v/>
      </c>
      <c r="W36" s="30" t="str">
        <f>IF(OR(Q36="",Q36=0),"",IF(Data!B$7="ABE",K36*4,IF(OR(Data!B$7="ACE",Data!B$7="ARE"),K36*2,IF(Data!B$7="BE",K36*2,IF(OR(Data!B$7="CE",Data!B$7="RE"),K36,0))))+J36*(ROUNDUP(Data!B$8,0.1)))</f>
        <v/>
      </c>
      <c r="Z36" s="30">
        <f t="shared" si="0"/>
        <v>1474</v>
      </c>
      <c r="AA36" s="30">
        <f t="shared" si="1"/>
        <v>1888</v>
      </c>
      <c r="AB36" s="30">
        <f t="shared" si="2"/>
        <v>87</v>
      </c>
      <c r="AF36" s="30" t="str">
        <f>IF(W36&lt;&gt;"",IF(Data!B$7="NC",Z36+(AB36*(Data!B$8+Data!B$11+Data!B$27)),IF(Data!B$7&lt;&gt;"NC",AA36+(AB36*(Data!B$8+Data!B$11+Data!B$27)))),"")</f>
        <v/>
      </c>
      <c r="AL36" s="104">
        <v>1.75</v>
      </c>
      <c r="AM36" s="104" t="str">
        <f>IF(AND(OR(Data!$B$3="A",Data!$B$3="LH",Data!$B$3="SA"),Data!$B$4=6,Data!$B$6=1.75),IF(AND(OR(Data!$B$7="be",Data!$B$7="ce"),Data!$D$15=4),AM81,""),"")</f>
        <v/>
      </c>
      <c r="AN36" s="104" t="str">
        <f>IF(AND(OR(Data!$B$3="A",Data!$B$3="LH",Data!$B$3="SA"),Data!$B$4=6,Data!$B$6=1.75),IF(AND(OR(Data!$B$7="RE",Data!$B$7="NC"),Data!$D$15=4),AN81,""),"")</f>
        <v/>
      </c>
      <c r="AO36" s="104" t="str">
        <f>IF(AND(OR(Data!$B$3="A",Data!$B$3="LH",Data!$B$3="SA"),Data!$B$4=6,Data!$B$6=1.75),IF(AND(OR(Data!$B$7="be",Data!$B$7="ce"),Data!$D$15=3),AO81,""),"")</f>
        <v/>
      </c>
      <c r="AP36" s="104" t="str">
        <f>IF(AND(OR(Data!$B$3="A",Data!$B$3="LH",Data!$B$3="SA"),Data!$B$4=6,Data!$B$6=1.75),IF(AND(OR(Data!$B$7="RE",Data!$B$7="NC"),Data!$D$15=3),AP81,""),"")</f>
        <v/>
      </c>
      <c r="AQ36" s="104" t="str">
        <f>IF(AND(OR(Data!$B$3="A",Data!$B$3="LH",Data!$B$3="SA"),Data!$B$4=6,Data!$B$6=1.75),IF(AND(OR(Data!$B$7="be",Data!$B$7="ce"),OR(Data!$D$15=1,Data!$D$15=2,Data!$D$15=6)),AQ81,""),"")</f>
        <v/>
      </c>
      <c r="AR36" s="104" t="str">
        <f>IF(AND(OR(Data!$B$3="A",Data!$B$3="LH",Data!$B$3="SA"),Data!$B$4=6,Data!$B$6=1.75),IF(AND(OR(Data!$B$7="re",Data!$B$7="nc"),OR(Data!$D$15=1,Data!$D$15=2,Data!$D$15=6)),AR81,""),"")</f>
        <v/>
      </c>
      <c r="AS36" s="104">
        <f t="shared" si="4"/>
        <v>0</v>
      </c>
      <c r="AT36" s="104"/>
      <c r="AU36" s="104">
        <v>3.5</v>
      </c>
      <c r="AV36" s="104" t="str">
        <f>IF(AND(OR(Data!$B$3="H",Data!$B$3="SH"),Data!$B$4=8,Data!$B$6=3.5),IF(AND(OR(Data!$B$7="be",Data!$B$7="ce"),Data!$D$15=4),AV70,""),"")</f>
        <v/>
      </c>
      <c r="AW36" s="104" t="str">
        <f>IF(AND(OR(Data!$B$3="H",Data!$B$3="SH"),Data!$B$4=8,Data!$B$6=3.5),IF(AND(OR(Data!$B$7="RE",Data!$B$7="NC"),Data!$D$15=4),AW70,""),"")</f>
        <v/>
      </c>
      <c r="AX36" s="104" t="str">
        <f>IF(AND(OR(Data!$B$3="H",Data!$B$3="SH"),Data!$B$4=8,Data!$B$6=3.5),IF(AND(OR(Data!$B$7="be",Data!$B$7="ce"),Data!$D$15=3),AX70,""),"")</f>
        <v/>
      </c>
      <c r="AY36" s="104" t="str">
        <f>IF(AND(OR(Data!$B$3="H",Data!$B$3="SH"),Data!$B$4=8,Data!$B$6=3.5),IF(AND(OR(Data!$B$7="RE",Data!$B$7="NC"),Data!$D$15=3),AY70,""),"")</f>
        <v/>
      </c>
      <c r="AZ36" s="104" t="str">
        <f>IF(AND(OR(Data!$B$3="H",Data!$B$3="SH"),Data!$B$4=8,Data!$B$6=3.5),IF(AND(OR(Data!$B$7="be",Data!$B$7="ce"),OR(Data!$D$15=1,Data!$D$15=2,Data!$D$15=6)),AZ70,""),"")</f>
        <v/>
      </c>
      <c r="BA36" s="104" t="str">
        <f>IF(AND(OR(Data!$B$3="H",Data!$B$3="SH"),Data!$B$4=8,Data!$B$6=3.5),IF(AND(OR(Data!$B$7="re",Data!$B$7="nc"),OR(Data!$D$15=1,Data!$D$15=2,Data!$D$15=6)),BA70,""),"")</f>
        <v/>
      </c>
      <c r="BB36" s="104">
        <f t="shared" si="3"/>
        <v>0</v>
      </c>
    </row>
    <row r="37" spans="1:54">
      <c r="A37" s="594"/>
      <c r="B37" s="102">
        <v>5.5</v>
      </c>
      <c r="C37" s="105" t="s">
        <v>211</v>
      </c>
      <c r="D37" s="105" t="s">
        <v>174</v>
      </c>
      <c r="E37" s="30">
        <v>6422</v>
      </c>
      <c r="F37" s="30">
        <v>6880</v>
      </c>
      <c r="G37" s="30">
        <v>6880</v>
      </c>
      <c r="H37" s="30">
        <v>8390</v>
      </c>
      <c r="I37" s="103"/>
      <c r="J37" s="30">
        <v>100</v>
      </c>
      <c r="K37" s="30">
        <v>414</v>
      </c>
      <c r="M37" s="380">
        <v>8</v>
      </c>
      <c r="N37" s="104">
        <v>5.5</v>
      </c>
      <c r="O37" s="105" t="s">
        <v>211</v>
      </c>
      <c r="P37" s="105" t="s">
        <v>174</v>
      </c>
      <c r="Q37" s="30" t="str">
        <f>IF(OR(Data!B$3="H",Data!B$3="HM",Data!B$3="W"),IF(M37=Data!B$4,IF(N37=Data!B$6,SUM(R37:V37),""),""),"")</f>
        <v/>
      </c>
      <c r="R37" s="30" t="str">
        <f>IF(OR("MX0"=Data!B$5,"MX1"=Data!B$5,"MX2"=Data!B$5,"MX3"=Data!B$5),E37,"")</f>
        <v/>
      </c>
      <c r="S37" s="30">
        <f>IF(OR("MF1"=Data!B$5,"MF2"=Data!B$5,"MS4"=Data!B$5),F37,"")</f>
        <v>6880</v>
      </c>
      <c r="T37" s="30" t="str">
        <f>IF(OR("MP1"=Data!B$5,"MP3"=Data!B$5,"MT1"=Data!B$5,"MT2"=Data!B$5,"MF5"=Data!B$5,"MF6"=Data!B$5,,"MS2"=Data!B$5,"ME5"=Data!B$5,"ME6"=Data!B$5),G37,"")</f>
        <v/>
      </c>
      <c r="U37" s="30" t="str">
        <f>IF(OR("MS3"=Data!B$5,"ME3"=Data!B$5,"ME4"=Data!B$5,"MP2"=Data!B$5,"MT4"=Data!B$5,"MPU3"=Data!B$5,"MS7"=Data!B$5),H37,"")</f>
        <v/>
      </c>
      <c r="W37" s="30" t="str">
        <f>IF(OR(Q37="",Q37=0),"",IF(Data!B$7="ABE",K37*4,IF(OR(Data!B$7="ACE",Data!B$7="ARE"),K37*2,IF(Data!B$7="BE",K37*2,IF(OR(Data!B$7="CE",Data!B$7="RE"),K37,0))))+J37*(ROUNDUP(Data!B$8,0.1)))</f>
        <v/>
      </c>
      <c r="Z37" s="30">
        <f t="shared" si="0"/>
        <v>1606</v>
      </c>
      <c r="AA37" s="30">
        <f t="shared" si="1"/>
        <v>2020</v>
      </c>
      <c r="AB37" s="30">
        <f t="shared" si="2"/>
        <v>95</v>
      </c>
      <c r="AF37" s="30" t="str">
        <f>IF(W37&lt;&gt;"",IF(Data!B$7="NC",Z37+(AB37*(Data!B$8+Data!B$11+Data!B$27)),IF(Data!B$7&lt;&gt;"NC",AA37+(AB37*(Data!B$8+Data!B$11+Data!B$27)))),"")</f>
        <v/>
      </c>
      <c r="AL37" s="104">
        <v>2</v>
      </c>
      <c r="AM37" s="104" t="str">
        <f>IF(AND(OR(Data!$B$3="A",Data!$B$3="LH",Data!$B$3="SA"),Data!$B$4=6,Data!$B$6=2),IF(AND(OR(Data!$B$7="be",Data!$B$7="ce"),Data!$D$15=4),AM82,""),"")</f>
        <v/>
      </c>
      <c r="AN37" s="104" t="str">
        <f>IF(AND(OR(Data!$B$3="A",Data!$B$3="LH",Data!$B$3="SA"),Data!$B$4=6,Data!$B$6=2),IF(AND(OR(Data!$B$7="RE",Data!$B$7="NC"),Data!$D$15=4),AN82,""),"")</f>
        <v/>
      </c>
      <c r="AO37" s="104" t="str">
        <f>IF(AND(OR(Data!$B$3="A",Data!$B$3="LH",Data!$B$3="SA"),Data!$B$4=6,Data!$B$6=2),IF(AND(OR(Data!$B$7="be",Data!$B$7="ce"),Data!$D$15=3),AO82,""),"")</f>
        <v/>
      </c>
      <c r="AP37" s="104" t="str">
        <f>IF(AND(OR(Data!$B$3="A",Data!$B$3="LH",Data!$B$3="SA"),Data!$B$4=6,Data!$B$6=2),IF(AND(OR(Data!$B$7="RE",Data!$B$7="NC"),Data!$D$15=3),AP82,""),"")</f>
        <v/>
      </c>
      <c r="AQ37" s="104" t="str">
        <f>IF(AND(OR(Data!$B$3="A",Data!$B$3="LH",Data!$B$3="SA"),Data!$B$4=6,Data!$B$6=2),IF(AND(OR(Data!$B$7="be",Data!$B$7="ce"),OR(Data!$D$15=1,Data!$D$15=2,Data!$D$15=6)),AQ82,""),"")</f>
        <v/>
      </c>
      <c r="AR37" s="104" t="str">
        <f>IF(AND(OR(Data!$B$3="A",Data!$B$3="LH",Data!$B$3="SA"),Data!$B$4=6,Data!$B$6=2),IF(AND(OR(Data!$B$7="re",Data!$B$7="nc"),OR(Data!$D$15=1,Data!$D$15=2,Data!$D$15=6)),AR82,""),"")</f>
        <v/>
      </c>
      <c r="AS37" s="104">
        <f t="shared" si="4"/>
        <v>0</v>
      </c>
      <c r="AT37" s="104"/>
      <c r="AU37" s="30">
        <v>4</v>
      </c>
      <c r="AV37" s="104" t="str">
        <f>IF(AND(OR(Data!$B$3="H",Data!$B$3="SH"),Data!$B$4=8,Data!$B$6=4),IF(AND(OR(Data!$B$7="be",Data!$B$7="ce"),Data!$D$15=4),AV71,""),"")</f>
        <v/>
      </c>
      <c r="AW37" s="104" t="str">
        <f>IF(AND(OR(Data!$B$3="H",Data!$B$3="SH"),Data!$B$4=8,Data!$B$6=4),IF(AND(OR(Data!$B$7="RE",Data!$B$7="NC"),Data!$D$15=4),AW71,""),"")</f>
        <v/>
      </c>
      <c r="AX37" s="104" t="str">
        <f>IF(AND(OR(Data!$B$3="H",Data!$B$3="SH"),Data!$B$4=8,Data!$B$6=4),IF(AND(OR(Data!$B$7="be",Data!$B$7="ce"),Data!$D$15=3),AX71,""),"")</f>
        <v/>
      </c>
      <c r="AY37" s="104" t="str">
        <f>IF(AND(OR(Data!$B$3="H",Data!$B$3="SH"),Data!$B$4=8,Data!$B$6=4),IF(AND(OR(Data!$B$7="RE",Data!$B$7="NC"),Data!$D$15=3),AY71,""),"")</f>
        <v/>
      </c>
      <c r="AZ37" s="104" t="str">
        <f>IF(AND(OR(Data!$B$3="H",Data!$B$3="SH"),Data!$B$4=8,Data!$B$6=4),IF(AND(OR(Data!$B$7="be",Data!$B$7="ce"),OR(Data!$D$15=1,Data!$D$15=2,Data!$D$15=6)),AZ71,""),"")</f>
        <v/>
      </c>
      <c r="BA37" s="104" t="str">
        <f>IF(AND(OR(Data!$B$3="H",Data!$B$3="SH"),Data!$B$4=8,Data!$B$6=4),IF(AND(OR(Data!$B$7="re",Data!$B$7="nc"),OR(Data!$D$15=1,Data!$D$15=2,Data!$D$15=6)),BA71,""),"")</f>
        <v/>
      </c>
      <c r="BB37" s="104">
        <f t="shared" si="3"/>
        <v>0</v>
      </c>
    </row>
    <row r="38" spans="1:54">
      <c r="A38" s="146">
        <v>10</v>
      </c>
      <c r="B38" s="45">
        <v>4.5</v>
      </c>
      <c r="C38" s="30" t="s">
        <v>302</v>
      </c>
      <c r="D38" s="30" t="s">
        <v>447</v>
      </c>
      <c r="E38" s="30">
        <v>7582</v>
      </c>
      <c r="F38" s="30">
        <v>8151</v>
      </c>
      <c r="G38" s="30">
        <v>8746</v>
      </c>
      <c r="H38" s="30">
        <v>10164</v>
      </c>
      <c r="I38" s="109"/>
      <c r="J38" s="30">
        <v>141</v>
      </c>
      <c r="K38" s="30">
        <v>471</v>
      </c>
      <c r="M38" s="44">
        <v>10</v>
      </c>
      <c r="N38" s="45">
        <v>4.5</v>
      </c>
      <c r="O38" s="30" t="s">
        <v>302</v>
      </c>
      <c r="P38" s="30" t="s">
        <v>447</v>
      </c>
      <c r="Q38" s="30" t="str">
        <f>IF(OR(Data!B$3="H",Data!B$3="HM",Data!B$3="W"),IF(M38=Data!B$4,IF(N38=Data!B$6,SUM(R38:V38),""),""),"")</f>
        <v/>
      </c>
      <c r="R38" s="30" t="str">
        <f>IF(OR("MX0"=Data!B$5,"MX1"=Data!B$5,"MX2"=Data!B$5,"MX3"=Data!B$5),E38,"")</f>
        <v/>
      </c>
      <c r="S38" s="30">
        <f>IF(OR("MF1"=Data!B$5,"MF2"=Data!B$5,"MS4"=Data!B$5),F38,"")</f>
        <v>8151</v>
      </c>
      <c r="T38" s="30" t="str">
        <f>IF(OR("MP1"=Data!B$5,"MP3"=Data!B$5,"MT1"=Data!B$5,"MT2"=Data!B$5,"MF5"=Data!B$5,"MF6"=Data!B$5,,"MS2"=Data!B$5,"ME5"=Data!B$5,"ME6"=Data!B$5),G38,"")</f>
        <v/>
      </c>
      <c r="U38" s="30" t="str">
        <f>IF(OR("MS3"=Data!B$5,"ME3"=Data!B$5,"ME4"=Data!B$5,"MP2"=Data!B$5,"MT4"=Data!B$5,"MPU3"=Data!B$5,"MS7"=Data!B$5),H38,"")</f>
        <v/>
      </c>
      <c r="W38" s="30" t="str">
        <f>IF(OR(Q38="",Q38=0),"",IF(Data!B$7="ABE",K38*4,IF(OR(Data!B$7="ACE",Data!B$7="ARE"),K38*2,IF(Data!B$7="BE",K38*2,IF(OR(Data!B$7="CE",Data!B$7="RE"),K38,0))))+J38*(ROUNDUP(Data!B$8,0.1)))</f>
        <v/>
      </c>
      <c r="Z38" s="30">
        <f t="shared" si="0"/>
        <v>1896</v>
      </c>
      <c r="AA38" s="30">
        <f t="shared" si="1"/>
        <v>2367</v>
      </c>
      <c r="AB38" s="30">
        <f t="shared" si="2"/>
        <v>133</v>
      </c>
      <c r="AF38" s="30" t="str">
        <f>IF(W38&lt;&gt;"",IF(Data!B$7="NC",Z38+(AB38*(Data!B$8+Data!B$11+Data!B$27)),IF(Data!B$7&lt;&gt;"NC",AA38+(AB38*(Data!B$8+Data!B$11+Data!B$27)))),"")</f>
        <v/>
      </c>
      <c r="AL38" s="104">
        <v>2.5</v>
      </c>
      <c r="AM38" s="104" t="str">
        <f>IF(AND(OR(Data!$B$3="A",Data!$B$3="LH",Data!$B$3="SA"),Data!$B$4=6,Data!$B$6=2.5),IF(AND(OR(Data!$B$7="be",Data!$B$7="ce"),Data!$D$15=4),AM83,""),"")</f>
        <v/>
      </c>
      <c r="AN38" s="104" t="str">
        <f>IF(AND(OR(Data!$B$3="A",Data!$B$3="LH",Data!$B$3="SA"),Data!$B$4=6,Data!$B$6=2.5),IF(AND(OR(Data!$B$7="RE",Data!$B$7="NC"),Data!$D$15=4),AN83,""),"")</f>
        <v/>
      </c>
      <c r="AO38" s="104" t="str">
        <f>IF(AND(OR(Data!$B$3="A",Data!$B$3="LH",Data!$B$3="SA"),Data!$B$4=6,Data!$B$6=2.5),IF(AND(OR(Data!$B$7="be",Data!$B$7="ce"),Data!$D$15=3),AO83,""),"")</f>
        <v/>
      </c>
      <c r="AP38" s="104" t="str">
        <f>IF(AND(OR(Data!$B$3="A",Data!$B$3="LH",Data!$B$3="SA"),Data!$B$4=6,Data!$B$6=2.5),IF(AND(OR(Data!$B$7="RE",Data!$B$7="NC"),Data!$D$15=3),AP83,""),"")</f>
        <v/>
      </c>
      <c r="AQ38" s="104" t="str">
        <f>IF(AND(OR(Data!$B$3="A",Data!$B$3="LH",Data!$B$3="SA"),Data!$B$4=6,Data!$B$6=2.5),IF(AND(OR(Data!$B$7="be",Data!$B$7="ce"),OR(Data!$D$15=1,Data!$D$15=2,Data!$D$15=6)),AQ83,""),"")</f>
        <v/>
      </c>
      <c r="AR38" s="104" t="str">
        <f>IF(AND(OR(Data!$B$3="A",Data!$B$3="LH",Data!$B$3="SA"),Data!$B$4=6,Data!$B$6=2.5),IF(AND(OR(Data!$B$7="re",Data!$B$7="nc"),OR(Data!$D$15=1,Data!$D$15=2,Data!$D$15=6)),AR83,""),"")</f>
        <v/>
      </c>
      <c r="AS38" s="104">
        <f t="shared" si="4"/>
        <v>0</v>
      </c>
      <c r="AT38" s="104"/>
      <c r="AU38" s="30">
        <v>4.5</v>
      </c>
      <c r="AV38" s="104" t="str">
        <f>IF(AND(OR(Data!$B$3="H",Data!$B$3="SH"),Data!$B$4=8,Data!$B$6=4.5),IF(AND(OR(Data!$B$7="be",Data!$B$7="ce"),Data!$D$15=4),AV72,""),"")</f>
        <v/>
      </c>
      <c r="AW38" s="104" t="str">
        <f>IF(AND(OR(Data!$B$3="H",Data!$B$3="SH"),Data!$B$4=8,Data!$B$6=4.5),IF(AND(OR(Data!$B$7="RE",Data!$B$7="NC"),Data!$D$15=4),AW72,""),"")</f>
        <v/>
      </c>
      <c r="AX38" s="104" t="str">
        <f>IF(AND(OR(Data!$B$3="H",Data!$B$3="SH"),Data!$B$4=8,Data!$B$6=4.5),IF(AND(OR(Data!$B$7="be",Data!$B$7="ce"),Data!$D$15=3),AX72,""),"")</f>
        <v/>
      </c>
      <c r="AY38" s="104" t="str">
        <f>IF(AND(OR(Data!$B$3="H",Data!$B$3="SH"),Data!$B$4=8,Data!$B$6=4.5),IF(AND(OR(Data!$B$7="RE",Data!$B$7="NC"),Data!$D$15=3),AY72,""),"")</f>
        <v/>
      </c>
      <c r="AZ38" s="104" t="str">
        <f>IF(AND(OR(Data!$B$3="H",Data!$B$3="SH"),Data!$B$4=8,Data!$B$6=4.5),IF(AND(OR(Data!$B$7="be",Data!$B$7="ce"),OR(Data!$D$15=1,Data!$D$15=2,Data!$D$15=6)),AZ72,""),"")</f>
        <v/>
      </c>
      <c r="BA38" s="104" t="str">
        <f>IF(AND(OR(Data!$B$3="H",Data!$B$3="SH"),Data!$B$4=8,Data!$B$6=4.5),IF(AND(OR(Data!$B$7="re",Data!$B$7="nc"),OR(Data!$D$15=1,Data!$D$15=2,Data!$D$15=6)),BA72,""),"")</f>
        <v/>
      </c>
      <c r="BB38" s="104">
        <f t="shared" si="3"/>
        <v>0</v>
      </c>
    </row>
    <row r="39" spans="1:54">
      <c r="A39" s="146"/>
      <c r="B39" s="45">
        <v>5</v>
      </c>
      <c r="C39" s="30" t="s">
        <v>557</v>
      </c>
      <c r="D39" s="30" t="s">
        <v>495</v>
      </c>
      <c r="E39" s="30">
        <v>8565</v>
      </c>
      <c r="F39" s="30">
        <v>9530</v>
      </c>
      <c r="G39" s="30">
        <v>9692</v>
      </c>
      <c r="H39" s="30">
        <v>11002</v>
      </c>
      <c r="I39" s="109"/>
      <c r="J39" s="30">
        <v>149</v>
      </c>
      <c r="K39" s="30">
        <v>471</v>
      </c>
      <c r="M39" s="44">
        <v>10</v>
      </c>
      <c r="N39" s="45">
        <v>5</v>
      </c>
      <c r="O39" s="30" t="s">
        <v>557</v>
      </c>
      <c r="P39" s="30" t="s">
        <v>495</v>
      </c>
      <c r="Q39" s="30" t="str">
        <f>IF(OR(Data!B$3="H",Data!B$3="HM",Data!B$3="W"),IF(M39=Data!B$4,IF(N39=Data!B$6,SUM(R39:V39),""),""),"")</f>
        <v/>
      </c>
      <c r="R39" s="30" t="str">
        <f>IF(OR("MX0"=Data!B$5,"MX1"=Data!B$5,"MX2"=Data!B$5,"MX3"=Data!B$5),E39,"")</f>
        <v/>
      </c>
      <c r="S39" s="30">
        <f>IF(OR("MF1"=Data!B$5,"MF2"=Data!B$5,"MS4"=Data!B$5),F39,"")</f>
        <v>9530</v>
      </c>
      <c r="T39" s="30" t="str">
        <f>IF(OR("MP1"=Data!B$5,"MP3"=Data!B$5,"MT1"=Data!B$5,"MT2"=Data!B$5,"MF5"=Data!B$5,"MF6"=Data!B$5,,"MS2"=Data!B$5,"ME5"=Data!B$5,"ME6"=Data!B$5),G39,"")</f>
        <v/>
      </c>
      <c r="U39" s="30" t="str">
        <f>IF(OR("MS3"=Data!B$5,"ME3"=Data!B$5,"ME4"=Data!B$5,"MP2"=Data!B$5,"MT4"=Data!B$5,"MPU3"=Data!B$5,"MS7"=Data!B$5),H39,"")</f>
        <v/>
      </c>
      <c r="W39" s="30" t="str">
        <f>IF(OR(Q39="",Q39=0),"",IF(Data!B$7="ABE",K39*4,IF(OR(Data!B$7="ACE",Data!B$7="ARE"),K39*2,IF(Data!B$7="BE",K39*2,IF(OR(Data!B$7="CE",Data!B$7="RE"),K39,0))))+J39*(ROUNDUP(Data!B$8,0.1)))</f>
        <v/>
      </c>
      <c r="Z39" s="30">
        <f t="shared" si="0"/>
        <v>2142</v>
      </c>
      <c r="AA39" s="30">
        <f t="shared" si="1"/>
        <v>2613</v>
      </c>
      <c r="AB39" s="30">
        <f t="shared" si="2"/>
        <v>141</v>
      </c>
      <c r="AF39" s="30" t="str">
        <f>IF(W39&lt;&gt;"",IF(Data!B$7="NC",Z39+(AB39*(Data!B$8+Data!B$11+Data!B$27)),IF(Data!B$7&lt;&gt;"NC",AA39+(AB39*(Data!B$8+Data!B$11+Data!B$27)))),"")</f>
        <v/>
      </c>
      <c r="AL39" s="104">
        <v>7</v>
      </c>
      <c r="AS39" s="104"/>
      <c r="AU39" s="104"/>
      <c r="BB39" s="104">
        <f>SUM(BB8:BB38)</f>
        <v>8.73</v>
      </c>
    </row>
    <row r="40" spans="1:54">
      <c r="A40" s="146"/>
      <c r="B40" s="45">
        <v>5.5</v>
      </c>
      <c r="C40" s="105" t="s">
        <v>211</v>
      </c>
      <c r="D40" s="105" t="s">
        <v>174</v>
      </c>
      <c r="E40" s="30">
        <v>8955</v>
      </c>
      <c r="F40" s="30">
        <v>10110</v>
      </c>
      <c r="G40" s="30">
        <v>10516</v>
      </c>
      <c r="H40" s="30">
        <v>11658</v>
      </c>
      <c r="I40" s="109"/>
      <c r="J40" s="30">
        <v>155</v>
      </c>
      <c r="K40" s="30">
        <v>471</v>
      </c>
      <c r="M40" s="44">
        <v>10</v>
      </c>
      <c r="N40" s="45">
        <v>5.5</v>
      </c>
      <c r="O40" s="105" t="s">
        <v>211</v>
      </c>
      <c r="P40" s="105" t="s">
        <v>174</v>
      </c>
      <c r="Q40" s="30" t="str">
        <f>IF(OR(Data!B$3="H",Data!B$3="HM",Data!B$3="W"),IF(M40=Data!B$4,IF(N40=Data!B$6,SUM(R40:V40),""),""),"")</f>
        <v/>
      </c>
      <c r="R40" s="30" t="str">
        <f>IF(OR("MX0"=Data!B$5,"MX1"=Data!B$5,"MX2"=Data!B$5,"MX3"=Data!B$5),E40,"")</f>
        <v/>
      </c>
      <c r="S40" s="30">
        <f>IF(OR("MF1"=Data!B$5,"MF2"=Data!B$5,"MS4"=Data!B$5),F40,"")</f>
        <v>10110</v>
      </c>
      <c r="T40" s="30" t="str">
        <f>IF(OR("MP1"=Data!B$5,"MP3"=Data!B$5,"MT1"=Data!B$5,"MT2"=Data!B$5,"MF5"=Data!B$5,"MF6"=Data!B$5,,"MS2"=Data!B$5,"ME5"=Data!B$5,"ME6"=Data!B$5),G40,"")</f>
        <v/>
      </c>
      <c r="U40" s="30" t="str">
        <f>IF(OR("MS3"=Data!B$5,"ME3"=Data!B$5,"ME4"=Data!B$5,"MP2"=Data!B$5,"MT4"=Data!B$5,"MPU3"=Data!B$5,"MS7"=Data!B$5),H40,"")</f>
        <v/>
      </c>
      <c r="W40" s="30" t="str">
        <f>IF(OR(Q40="",Q40=0),"",IF(Data!B$7="ABE",K40*4,IF(OR(Data!B$7="ACE",Data!B$7="ARE"),K40*2,IF(Data!B$7="BE",K40*2,IF(OR(Data!B$7="CE",Data!B$7="RE"),K40,0))))+J40*(ROUNDUP(Data!B$8,0.1)))</f>
        <v/>
      </c>
      <c r="Z40" s="30">
        <f t="shared" si="0"/>
        <v>2239</v>
      </c>
      <c r="AA40" s="30">
        <f t="shared" si="1"/>
        <v>2710</v>
      </c>
      <c r="AB40" s="30">
        <f t="shared" si="2"/>
        <v>147</v>
      </c>
      <c r="AF40" s="30" t="str">
        <f>IF(W40&lt;&gt;"",IF(Data!B$7="NC",Z40+(AB40*(Data!B$8+Data!B$11+Data!B$27)),IF(Data!B$7&lt;&gt;"NC",AA40+(AB40*(Data!B$8+Data!B$11+Data!B$27)))),"")</f>
        <v/>
      </c>
      <c r="AL40" s="104">
        <v>1.375</v>
      </c>
      <c r="AM40" s="104" t="str">
        <f>IF(AND(OR(Data!$B$3="A",Data!$B$3="LH",Data!$B$3="SA"),Data!$B$4=7,Data!$B$6=1.375),IF(AND(OR(Data!$B$7="be",Data!$B$7="ce"),Data!$D$15=4),AM85,""),"")</f>
        <v/>
      </c>
      <c r="AN40" s="104" t="str">
        <f>IF(AND(OR(Data!$B$3="A",Data!$B$3="LH",Data!$B$3="SA"),Data!$B$4=7,Data!$B$6=1.375),IF(AND(OR(Data!$B$7="RE",Data!$B$7="NC"),Data!$D$15=4),AN85,""),"")</f>
        <v/>
      </c>
      <c r="AO40" s="104" t="str">
        <f>IF(AND(OR(Data!$B$3="A",Data!$B$3="LH",Data!$B$3="SA"),Data!$B$4=7,Data!$B$6=1.375),IF(AND(OR(Data!$B$7="be",Data!$B$7="ce"),Data!$D$15=3),AO85,""),"")</f>
        <v/>
      </c>
      <c r="AP40" s="104" t="str">
        <f>IF(AND(OR(Data!$B$3="A",Data!$B$3="LH",Data!$B$3="SA"),Data!$B$4=7,Data!$B$6=1.375),IF(AND(OR(Data!$B$7="RE",Data!$B$7="NC"),Data!$D$15=3),AP85,""),"")</f>
        <v/>
      </c>
      <c r="AQ40" s="104" t="str">
        <f>IF(AND(OR(Data!$B$3="A",Data!$B$3="LH",Data!$B$3="SA"),Data!$B$4=7,Data!$B$6=1.375),IF(AND(OR(Data!$B$7="be",Data!$B$7="ce"),OR(Data!$D$15=1,Data!$D$15=2,Data!$D$15=6)),AQ85,""),"")</f>
        <v/>
      </c>
      <c r="AR40" s="104" t="str">
        <f>IF(AND(OR(Data!$B$3="A",Data!$B$3="LH",Data!$B$3="SA"),Data!$B$4=7,Data!$B$6=1.375),IF(AND(OR(Data!$B$7="re",Data!$B$7="nc"),OR(Data!$D$15=1,Data!$D$15=2,Data!$D$15=6)),AR85,""),"")</f>
        <v/>
      </c>
      <c r="AS40" s="104">
        <f t="shared" si="4"/>
        <v>0</v>
      </c>
      <c r="AU40" s="104"/>
    </row>
    <row r="41" spans="1:54">
      <c r="A41" s="146"/>
      <c r="B41" s="45">
        <v>7</v>
      </c>
      <c r="C41" s="30" t="s">
        <v>429</v>
      </c>
      <c r="D41" s="30" t="s">
        <v>466</v>
      </c>
      <c r="E41" s="30">
        <v>10654</v>
      </c>
      <c r="F41" s="30">
        <v>11180</v>
      </c>
      <c r="G41" s="30">
        <v>11818</v>
      </c>
      <c r="H41" s="30">
        <v>13408</v>
      </c>
      <c r="I41" s="109"/>
      <c r="J41" s="30">
        <v>178</v>
      </c>
      <c r="K41" s="30">
        <v>471</v>
      </c>
      <c r="M41" s="44">
        <v>10</v>
      </c>
      <c r="N41" s="45">
        <v>7</v>
      </c>
      <c r="O41" s="30" t="s">
        <v>429</v>
      </c>
      <c r="P41" s="30" t="s">
        <v>466</v>
      </c>
      <c r="Q41" s="30" t="str">
        <f>IF(OR(Data!B$3="H",Data!B$3="HM",Data!B$3="W"),IF(M41=Data!B$4,IF(N41=Data!B$6,SUM(R41:V41),""),""),"")</f>
        <v/>
      </c>
      <c r="R41" s="30" t="str">
        <f>IF(OR("MX0"=Data!B$5,"MX1"=Data!B$5,"MX2"=Data!B$5,"MX3"=Data!B$5),E41,"")</f>
        <v/>
      </c>
      <c r="S41" s="30">
        <f>IF(OR("MF1"=Data!B$5,"MF2"=Data!B$5,"MS4"=Data!B$5),F41,"")</f>
        <v>11180</v>
      </c>
      <c r="T41" s="30" t="str">
        <f>IF(OR("MP1"=Data!B$5,"MP3"=Data!B$5,"MT1"=Data!B$5,"MT2"=Data!B$5,"MF5"=Data!B$5,"MF6"=Data!B$5,,"MS2"=Data!B$5,"ME5"=Data!B$5,"ME6"=Data!B$5),G41,"")</f>
        <v/>
      </c>
      <c r="U41" s="30" t="str">
        <f>IF(OR("MS3"=Data!B$5,"ME3"=Data!B$5,"ME4"=Data!B$5,"MP2"=Data!B$5,"MT4"=Data!B$5,"MPU3"=Data!B$5,"MS7"=Data!B$5),H41,"")</f>
        <v/>
      </c>
      <c r="W41" s="30" t="str">
        <f>IF(OR(Q41="",Q41=0),"",IF(Data!B$7="ABE",K41*4,IF(OR(Data!B$7="ACE",Data!B$7="ARE"),K41*2,IF(Data!B$7="BE",K41*2,IF(OR(Data!B$7="CE",Data!B$7="RE"),K41,0))))+J41*(ROUNDUP(Data!B$8,0.1)))</f>
        <v/>
      </c>
      <c r="Z41" s="30">
        <f t="shared" si="0"/>
        <v>2664</v>
      </c>
      <c r="AA41" s="30">
        <f t="shared" si="1"/>
        <v>3135</v>
      </c>
      <c r="AB41" s="30">
        <f t="shared" si="2"/>
        <v>169</v>
      </c>
      <c r="AF41" s="30" t="str">
        <f>IF(W41&lt;&gt;"",IF(Data!B$7="NC",Z41+(AB41*(Data!B$8+Data!B$11+Data!B$27)),IF(Data!B$7&lt;&gt;"NC",AA41+(AB41*(Data!B$8+Data!B$11+Data!B$27)))),"")</f>
        <v/>
      </c>
      <c r="AL41" s="104">
        <v>1.75</v>
      </c>
      <c r="AM41" s="104" t="str">
        <f>IF(AND(OR(Data!$B$3="A",Data!$B$3="LH",Data!$B$3="SA"),Data!$B$4=7,Data!$B$6=1.75),IF(AND(OR(Data!$B$7="be",Data!$B$7="ce"),Data!$D$15=4),AM86,""),"")</f>
        <v/>
      </c>
      <c r="AN41" s="104" t="str">
        <f>IF(AND(OR(Data!$B$3="A",Data!$B$3="LH",Data!$B$3="SA"),Data!$B$4=7,Data!$B$6=1.75),IF(AND(OR(Data!$B$7="RE",Data!$B$7="NC"),Data!$D$15=4),AN86,""),"")</f>
        <v/>
      </c>
      <c r="AO41" s="104" t="str">
        <f>IF(AND(OR(Data!$B$3="A",Data!$B$3="LH",Data!$B$3="SA"),Data!$B$4=7,Data!$B$6=1.75),IF(AND(OR(Data!$B$7="be",Data!$B$7="ce"),Data!$D$15=3),AO86,""),"")</f>
        <v/>
      </c>
      <c r="AP41" s="104" t="str">
        <f>IF(AND(OR(Data!$B$3="A",Data!$B$3="LH",Data!$B$3="SA"),Data!$B$4=7,Data!$B$6=1.75),IF(AND(OR(Data!$B$7="RE",Data!$B$7="NC"),Data!$D$15=3),AP86,""),"")</f>
        <v/>
      </c>
      <c r="AQ41" s="104" t="str">
        <f>IF(AND(OR(Data!$B$3="A",Data!$B$3="LH",Data!$B$3="SA"),Data!$B$4=7,Data!$B$6=1.75),IF(AND(OR(Data!$B$7="be",Data!$B$7="ce"),OR(Data!$D$15=1,Data!$D$15=2,Data!$D$15=6)),AQ86,""),"")</f>
        <v/>
      </c>
      <c r="AR41" s="104" t="str">
        <f>IF(AND(OR(Data!$B$3="A",Data!$B$3="LH",Data!$B$3="SA"),Data!$B$4=7,Data!$B$6=1.75),IF(AND(OR(Data!$B$7="re",Data!$B$7="nc"),OR(Data!$D$15=1,Data!$D$15=2,Data!$D$15=6)),AR86,""),"")</f>
        <v/>
      </c>
      <c r="AS41" s="104">
        <f t="shared" si="4"/>
        <v>0</v>
      </c>
      <c r="AT41" s="104"/>
      <c r="AU41" s="104">
        <v>1.5</v>
      </c>
      <c r="AV41" s="592" t="s">
        <v>717</v>
      </c>
      <c r="AW41" s="592"/>
      <c r="AX41" s="592" t="s">
        <v>145</v>
      </c>
      <c r="AY41" s="592"/>
      <c r="AZ41" s="592" t="s">
        <v>526</v>
      </c>
      <c r="BA41" s="592"/>
    </row>
    <row r="42" spans="1:54">
      <c r="A42" s="146">
        <v>12</v>
      </c>
      <c r="B42" s="45">
        <v>5.5</v>
      </c>
      <c r="C42" s="105" t="s">
        <v>211</v>
      </c>
      <c r="D42" s="105" t="s">
        <v>174</v>
      </c>
      <c r="E42" s="30">
        <v>11699</v>
      </c>
      <c r="F42" s="30">
        <v>13164</v>
      </c>
      <c r="G42" s="30">
        <v>13125</v>
      </c>
      <c r="H42" s="30">
        <v>15158</v>
      </c>
      <c r="I42" s="109"/>
      <c r="J42" s="30">
        <v>195</v>
      </c>
      <c r="K42" s="30">
        <v>655</v>
      </c>
      <c r="M42" s="44">
        <v>12</v>
      </c>
      <c r="N42" s="45">
        <v>5.5</v>
      </c>
      <c r="O42" s="105" t="s">
        <v>211</v>
      </c>
      <c r="P42" s="105" t="s">
        <v>174</v>
      </c>
      <c r="Q42" s="30" t="str">
        <f>IF(OR(Data!B$3="H",Data!B$3="HM",Data!B$3="W"),IF(M42=Data!B$4,IF(N42=Data!B$6,SUM(R42:V42),""),""),"")</f>
        <v/>
      </c>
      <c r="R42" s="30" t="str">
        <f>IF(OR("MX0"=Data!B$5,"MX1"=Data!B$5,"MX2"=Data!B$5,"MX3"=Data!B$5),E42,"")</f>
        <v/>
      </c>
      <c r="S42" s="30">
        <f>IF(OR("MF1"=Data!B$5,"MF2"=Data!B$5,"MS4"=Data!B$5),F42,"")</f>
        <v>13164</v>
      </c>
      <c r="T42" s="30" t="str">
        <f>IF(OR("MP1"=Data!B$5,"MP3"=Data!B$5,"MT1"=Data!B$5,"MT2"=Data!B$5,"MF5"=Data!B$5,"MF6"=Data!B$5,,"MS2"=Data!B$5,"ME5"=Data!B$5,"ME6"=Data!B$5),G42,"")</f>
        <v/>
      </c>
      <c r="U42" s="30" t="str">
        <f>IF(OR("MS3"=Data!B$5,"ME3"=Data!B$5,"ME4"=Data!B$5,"MP2"=Data!B$5,"MT4"=Data!B$5,"MPU3"=Data!B$5,"MS7"=Data!B$5),H42,"")</f>
        <v/>
      </c>
      <c r="W42" s="30" t="str">
        <f>IF(OR(Q42="",Q42=0),"",IF(Data!B$7="ABE",K42*4,IF(OR(Data!B$7="ACE",Data!B$7="ARE"),K42*2,IF(Data!B$7="BE",K42*2,IF(OR(Data!B$7="CE",Data!B$7="RE"),K42,0))))+J42*(ROUNDUP(Data!B$8,0.1)))</f>
        <v/>
      </c>
      <c r="Z42" s="30">
        <f t="shared" si="0"/>
        <v>2925</v>
      </c>
      <c r="AA42" s="30">
        <f t="shared" si="1"/>
        <v>3580</v>
      </c>
      <c r="AB42" s="30">
        <f t="shared" si="2"/>
        <v>185</v>
      </c>
      <c r="AF42" s="30" t="str">
        <f>IF(W42&lt;&gt;"",IF(Data!B$7="NC",Z42+(AB42*(Data!B$8+Data!B$11+Data!B$27)),IF(Data!B$7&lt;&gt;"NC",AA42+(AB42*(Data!B$8+Data!B$11+Data!B$27)))),"")</f>
        <v/>
      </c>
      <c r="AL42" s="104">
        <v>2</v>
      </c>
      <c r="AM42" s="104" t="str">
        <f>IF(AND(OR(Data!$B$3="A",Data!$B$3="LH",Data!$B$3="SA"),Data!$B$4=7,Data!$B$6=2),IF(AND(OR(Data!$B$7="be",Data!$B$7="ce"),Data!$D$15=4),AM87,""),"")</f>
        <v/>
      </c>
      <c r="AN42" s="104" t="str">
        <f>IF(AND(OR(Data!$B$3="A",Data!$B$3="LH",Data!$B$3="SA"),Data!$B$4=7,Data!$B$6=2),IF(AND(OR(Data!$B$7="RE",Data!$B$7="NC"),Data!$D$15=4),AN87,""),"")</f>
        <v/>
      </c>
      <c r="AO42" s="104" t="str">
        <f>IF(AND(OR(Data!$B$3="A",Data!$B$3="LH",Data!$B$3="SA"),Data!$B$4=7,Data!$B$6=2),IF(AND(OR(Data!$B$7="be",Data!$B$7="ce"),Data!$D$15=3),AO87,""),"")</f>
        <v/>
      </c>
      <c r="AP42" s="104" t="str">
        <f>IF(AND(OR(Data!$B$3="A",Data!$B$3="LH",Data!$B$3="SA"),Data!$B$4=7,Data!$B$6=2),IF(AND(OR(Data!$B$7="RE",Data!$B$7="NC"),Data!$D$15=3),AP87,""),"")</f>
        <v/>
      </c>
      <c r="AQ42" s="104" t="str">
        <f>IF(AND(OR(Data!$B$3="A",Data!$B$3="LH",Data!$B$3="SA"),Data!$B$4=7,Data!$B$6=2),IF(AND(OR(Data!$B$7="be",Data!$B$7="ce"),OR(Data!$D$15=1,Data!$D$15=2,Data!$D$15=6)),AQ87,""),"")</f>
        <v/>
      </c>
      <c r="AR42" s="104" t="str">
        <f>IF(AND(OR(Data!$B$3="A",Data!$B$3="LH",Data!$B$3="SA"),Data!$B$4=7,Data!$B$6=2),IF(AND(OR(Data!$B$7="re",Data!$B$7="nc"),OR(Data!$D$15=1,Data!$D$15=2,Data!$D$15=6)),AR87,""),"")</f>
        <v/>
      </c>
      <c r="AS42" s="104">
        <f t="shared" si="4"/>
        <v>0</v>
      </c>
      <c r="AT42" s="104"/>
      <c r="AU42" s="104">
        <v>0.625</v>
      </c>
      <c r="AV42" s="30">
        <v>5.875</v>
      </c>
      <c r="AW42" s="30">
        <v>4.8550000000000004</v>
      </c>
      <c r="AX42" s="30">
        <v>5.125</v>
      </c>
      <c r="AY42" s="30">
        <v>4.1050000000000004</v>
      </c>
      <c r="AZ42" s="104">
        <v>5.875</v>
      </c>
      <c r="BA42" s="104">
        <v>4.8550000000000004</v>
      </c>
    </row>
    <row r="43" spans="1:54">
      <c r="A43" s="146"/>
      <c r="B43" s="45">
        <v>7</v>
      </c>
      <c r="C43" s="30" t="s">
        <v>429</v>
      </c>
      <c r="D43" s="30" t="s">
        <v>466</v>
      </c>
      <c r="E43" s="30">
        <v>15052</v>
      </c>
      <c r="F43" s="30">
        <v>16470</v>
      </c>
      <c r="G43" s="30">
        <v>17172</v>
      </c>
      <c r="H43" s="30">
        <v>18708</v>
      </c>
      <c r="I43" s="109"/>
      <c r="J43" s="30">
        <v>210</v>
      </c>
      <c r="K43" s="30">
        <v>655</v>
      </c>
      <c r="M43" s="44">
        <v>12</v>
      </c>
      <c r="N43" s="45">
        <v>7</v>
      </c>
      <c r="O43" s="107" t="s">
        <v>430</v>
      </c>
      <c r="P43" s="30" t="s">
        <v>466</v>
      </c>
      <c r="Q43" s="30" t="str">
        <f>IF(OR(Data!B$3="H",Data!B$3="HM",Data!B$3="W"),IF(M43=Data!B$4,IF(N43=Data!B$6,SUM(R43:V43),""),""),"")</f>
        <v/>
      </c>
      <c r="R43" s="30" t="str">
        <f>IF(OR("MX0"=Data!B$5,"MX1"=Data!B$5,"MX2"=Data!B$5,"MX3"=Data!B$5),E43,"")</f>
        <v/>
      </c>
      <c r="S43" s="30">
        <f>IF(OR("MF1"=Data!B$5,"MF2"=Data!B$5,"MS4"=Data!B$5),F43,"")</f>
        <v>16470</v>
      </c>
      <c r="T43" s="30" t="str">
        <f>IF(OR("MP1"=Data!B$5,"MP3"=Data!B$5,"MT1"=Data!B$5,"MT2"=Data!B$5,"MF5"=Data!B$5,"MF6"=Data!B$5,,"MS2"=Data!B$5,"ME5"=Data!B$5,"ME6"=Data!B$5),G43,"")</f>
        <v/>
      </c>
      <c r="U43" s="30" t="str">
        <f>IF(OR("MS3"=Data!B$5,"ME3"=Data!B$5,"ME4"=Data!B$5,"MP2"=Data!B$5,"MT4"=Data!B$5,"MPU3"=Data!B$5,"MS7"=Data!B$5),H43,"")</f>
        <v/>
      </c>
      <c r="W43" s="30" t="str">
        <f>IF(OR(Q43="",Q43=0),"",IF(Data!B$7="ABE",K43*4,IF(OR(Data!B$7="ACE",Data!B$7="ARE"),K43*2,IF(Data!B$7="BE",K43*2,IF(OR(Data!B$7="CE",Data!B$7="RE"),K43,0))))+J43*(ROUNDUP(Data!B$8,0.1)))</f>
        <v/>
      </c>
      <c r="Z43" s="30">
        <f t="shared" si="0"/>
        <v>3763</v>
      </c>
      <c r="AA43" s="30">
        <f t="shared" si="1"/>
        <v>4418</v>
      </c>
      <c r="AB43" s="30">
        <f t="shared" si="2"/>
        <v>199</v>
      </c>
      <c r="AF43" s="30" t="str">
        <f>IF(W43&lt;&gt;"",IF(Data!B$7="NC",Z43+(AB43*(Data!B$8+Data!B$11+Data!B$27)),IF(Data!B$7&lt;&gt;"NC",AA43+(AB43*(Data!B$8+Data!B$11+Data!B$27)))),"")</f>
        <v/>
      </c>
      <c r="AL43" s="104">
        <v>2.5</v>
      </c>
      <c r="AM43" s="104" t="str">
        <f>IF(AND(OR(Data!$B$3="A",Data!$B$3="LH",Data!$B$3="SA"),Data!$B$4=7,Data!$B$6=2.5),IF(AND(OR(Data!$B$7="be",Data!$B$7="ce"),Data!$D$15=4),AM88,""),"")</f>
        <v/>
      </c>
      <c r="AN43" s="104" t="str">
        <f>IF(AND(OR(Data!$B$3="A",Data!$B$3="LH",Data!$B$3="SA"),Data!$B$4=7,Data!$B$6=2.5),IF(AND(OR(Data!$B$7="RE",Data!$B$7="NC"),Data!$D$15=4),AN88,""),"")</f>
        <v/>
      </c>
      <c r="AO43" s="104" t="str">
        <f>IF(AND(OR(Data!$B$3="A",Data!$B$3="LH",Data!$B$3="SA"),Data!$B$4=7,Data!$B$6=2.5),IF(AND(OR(Data!$B$7="be",Data!$B$7="ce"),Data!$D$15=3),AO88,""),"")</f>
        <v/>
      </c>
      <c r="AP43" s="104" t="str">
        <f>IF(AND(OR(Data!$B$3="A",Data!$B$3="LH",Data!$B$3="SA"),Data!$B$4=7,Data!$B$6=2.5),IF(AND(OR(Data!$B$7="RE",Data!$B$7="NC"),Data!$D$15=3),AP88,""),"")</f>
        <v/>
      </c>
      <c r="AQ43" s="104" t="str">
        <f>IF(AND(OR(Data!$B$3="A",Data!$B$3="LH",Data!$B$3="SA"),Data!$B$4=7,Data!$B$6=2.5),IF(AND(OR(Data!$B$7="be",Data!$B$7="ce"),OR(Data!$D$15=1,Data!$D$15=2,Data!$D$15=6)),AQ88,""),"")</f>
        <v/>
      </c>
      <c r="AR43" s="104" t="str">
        <f>IF(AND(OR(Data!$B$3="A",Data!$B$3="LH",Data!$B$3="SA"),Data!$B$4=7,Data!$B$6=2.5),IF(AND(OR(Data!$B$7="re",Data!$B$7="nc"),OR(Data!$D$15=1,Data!$D$15=2,Data!$D$15=6)),AR88,""),"")</f>
        <v/>
      </c>
      <c r="AS43" s="104">
        <f t="shared" si="4"/>
        <v>0</v>
      </c>
      <c r="AT43" s="104"/>
      <c r="AU43" s="104">
        <v>1</v>
      </c>
      <c r="AV43" s="30">
        <v>6.625</v>
      </c>
      <c r="AW43" s="30">
        <v>5.625</v>
      </c>
      <c r="AX43" s="30">
        <v>5.5</v>
      </c>
      <c r="AY43" s="30">
        <v>4.5</v>
      </c>
      <c r="AZ43" s="104">
        <v>6.625</v>
      </c>
      <c r="BA43" s="104">
        <v>5.625</v>
      </c>
    </row>
    <row r="44" spans="1:54">
      <c r="A44" s="146"/>
      <c r="B44" s="45">
        <v>8</v>
      </c>
      <c r="C44" s="30" t="s">
        <v>230</v>
      </c>
      <c r="D44" s="30" t="s">
        <v>556</v>
      </c>
      <c r="E44" s="30">
        <v>16488</v>
      </c>
      <c r="F44" s="30">
        <v>17441</v>
      </c>
      <c r="G44" s="30">
        <v>18668</v>
      </c>
      <c r="H44" s="30">
        <v>20264</v>
      </c>
      <c r="I44" s="109"/>
      <c r="J44" s="30">
        <v>234</v>
      </c>
      <c r="K44" s="30">
        <v>655</v>
      </c>
      <c r="M44" s="44">
        <v>12</v>
      </c>
      <c r="N44" s="45">
        <v>8</v>
      </c>
      <c r="O44" s="30" t="s">
        <v>230</v>
      </c>
      <c r="P44" s="30" t="s">
        <v>556</v>
      </c>
      <c r="Q44" s="30" t="str">
        <f>IF(OR(Data!B$3="H",Data!B$3="HM",Data!B$3="W"),IF(M44=Data!B$4,IF(N44=Data!B$6,SUM(R44:V44),""),""),"")</f>
        <v/>
      </c>
      <c r="R44" s="30" t="str">
        <f>IF(OR("MX0"=Data!B$5,"MX1"=Data!B$5,"MX2"=Data!B$5,"MX3"=Data!B$5),E44,"")</f>
        <v/>
      </c>
      <c r="S44" s="30">
        <f>IF(OR("MF1"=Data!B$5,"MF2"=Data!B$5,"MS4"=Data!B$5),F44,"")</f>
        <v>17441</v>
      </c>
      <c r="T44" s="30" t="str">
        <f>IF(OR("MP1"=Data!B$5,"MP3"=Data!B$5,"MT1"=Data!B$5,"MT2"=Data!B$5,"MF5"=Data!B$5,"MF6"=Data!B$5,,"MS2"=Data!B$5,"ME5"=Data!B$5,"ME6"=Data!B$5),G44,"")</f>
        <v/>
      </c>
      <c r="U44" s="30" t="str">
        <f>IF(OR("MS3"=Data!B$5,"ME3"=Data!B$5,"ME4"=Data!B$5,"MP2"=Data!B$5,"MT4"=Data!B$5,"MPU3"=Data!B$5,"MS7"=Data!B$5),H44,"")</f>
        <v/>
      </c>
      <c r="W44" s="30" t="str">
        <f>IF(OR(Q44="",Q44=0),"",IF(Data!B$7="ABE",K44*4,IF(OR(Data!B$7="ACE",Data!B$7="ARE"),K44*2,IF(Data!B$7="BE",K44*2,IF(OR(Data!B$7="CE",Data!B$7="RE"),K44,0))))+J44*(ROUNDUP(Data!B$8,0.1)))</f>
        <v/>
      </c>
      <c r="Z44" s="30">
        <f t="shared" si="0"/>
        <v>4122</v>
      </c>
      <c r="AA44" s="30">
        <f t="shared" si="1"/>
        <v>4777</v>
      </c>
      <c r="AB44" s="30">
        <f t="shared" si="2"/>
        <v>222</v>
      </c>
      <c r="AF44" s="30" t="str">
        <f>IF(W44&lt;&gt;"",IF(Data!B$7="NC",Z44+(AB44*(Data!B$8+Data!B$11+Data!B$27)),IF(Data!B$7&lt;&gt;"NC",AA44+(AB44*(Data!B$8+Data!B$11+Data!B$27)))),"")</f>
        <v/>
      </c>
      <c r="AL44" s="104">
        <v>8</v>
      </c>
      <c r="AS44" s="104"/>
      <c r="AT44" s="104"/>
      <c r="AU44" s="104">
        <v>2</v>
      </c>
      <c r="AZ44" s="104"/>
      <c r="BA44" s="104"/>
    </row>
    <row r="45" spans="1:54">
      <c r="A45" s="146">
        <v>14</v>
      </c>
      <c r="B45" s="45">
        <v>8</v>
      </c>
      <c r="C45" s="30" t="s">
        <v>230</v>
      </c>
      <c r="D45" s="30" t="s">
        <v>556</v>
      </c>
      <c r="E45" s="30">
        <v>26390</v>
      </c>
      <c r="F45" s="30">
        <v>27544</v>
      </c>
      <c r="G45" s="30">
        <v>29118</v>
      </c>
      <c r="H45" s="30">
        <v>32224</v>
      </c>
      <c r="I45" s="109"/>
      <c r="J45" s="30">
        <v>273</v>
      </c>
      <c r="K45" s="30">
        <v>925</v>
      </c>
      <c r="M45" s="44">
        <v>14</v>
      </c>
      <c r="N45" s="45">
        <v>8</v>
      </c>
      <c r="O45" s="30" t="s">
        <v>230</v>
      </c>
      <c r="P45" s="30" t="s">
        <v>556</v>
      </c>
      <c r="Q45" s="30" t="str">
        <f>IF(OR(Data!B$3="H",Data!B$3="HM",Data!B$3="W"),IF(M45=Data!B$4,IF(N45=Data!B$6,SUM(R45:V45),""),""),"")</f>
        <v/>
      </c>
      <c r="R45" s="30" t="str">
        <f>IF(OR("MX0"=Data!B$5,"MX1"=Data!B$5,"MX2"=Data!B$5,"MX3"=Data!B$5),E45,"")</f>
        <v/>
      </c>
      <c r="S45" s="30">
        <f>IF(OR("MF1"=Data!B$5,"MF2"=Data!B$5,"MS4"=Data!B$5),F45,"")</f>
        <v>27544</v>
      </c>
      <c r="T45" s="30" t="str">
        <f>IF(OR("MP1"=Data!B$5,"MP3"=Data!B$5,"MT1"=Data!B$5,"MT2"=Data!B$5,"MF5"=Data!B$5,"MF6"=Data!B$5,,"MS2"=Data!B$5,"ME5"=Data!B$5,"ME6"=Data!B$5),G45,"")</f>
        <v/>
      </c>
      <c r="U45" s="30" t="str">
        <f>IF(OR("MS3"=Data!B$5,"ME3"=Data!B$5,"ME4"=Data!B$5,"MP2"=Data!B$5,"MT4"=Data!B$5,"MPU3"=Data!B$5,"MS7"=Data!B$5),H45,"")</f>
        <v/>
      </c>
      <c r="W45" s="30" t="str">
        <f>IF(OR(Q45="",Q45=0),"",IF(Data!B$7="ABE",K45*4,IF(OR(Data!B$7="ACE",Data!B$7="ARE"),K45*2,IF(Data!B$7="BE",K45*2,IF(OR(Data!B$7="CE",Data!B$7="RE"),K45,0))))+J45*(ROUNDUP(Data!B$8,0.1)))</f>
        <v/>
      </c>
      <c r="Z45" s="30">
        <f t="shared" si="0"/>
        <v>6598</v>
      </c>
      <c r="AA45" s="30">
        <f t="shared" si="1"/>
        <v>7523</v>
      </c>
      <c r="AB45" s="30">
        <f t="shared" si="2"/>
        <v>259</v>
      </c>
      <c r="AF45" s="30" t="str">
        <f>IF(W45&lt;&gt;"",IF(Data!B$7="NC",Z45+(AB45*(Data!B$8+Data!B$11+Data!B$27)),IF(Data!B$7&lt;&gt;"NC",AA45+(AB45*(Data!B$8+Data!B$11+Data!B$27)))),"")</f>
        <v/>
      </c>
      <c r="AL45" s="104">
        <v>1.375</v>
      </c>
      <c r="AM45" s="104" t="str">
        <f>IF(AND(OR(Data!$B$3="A",Data!$B$3="LH",Data!$B$3="SA"),Data!$B$4=8,Data!$B$6=1.375),IF(AND(OR(Data!$B$7="be",Data!$B$7="ce"),Data!$D$15=4),AM90,""),"")</f>
        <v/>
      </c>
      <c r="AN45" s="104" t="str">
        <f>IF(AND(OR(Data!$B$3="A",Data!$B$3="LH",Data!$B$3="SA"),Data!$B$4=8,Data!$B$6=1.375),IF(AND(OR(Data!$B$7="RE",Data!$B$7="NC"),Data!$D$15=4),AN90,""),"")</f>
        <v/>
      </c>
      <c r="AO45" s="104" t="str">
        <f>IF(AND(OR(Data!$B$3="A",Data!$B$3="LH",Data!$B$3="SA"),Data!$B$4=8,Data!$B$6=1.375),IF(AND(OR(Data!$B$7="be",Data!$B$7="ce"),Data!$D$15=3),AO90,""),"")</f>
        <v/>
      </c>
      <c r="AP45" s="104" t="str">
        <f>IF(AND(OR(Data!$B$3="A",Data!$B$3="LH",Data!$B$3="SA"),Data!$B$4=8,Data!$B$6=1.375),IF(AND(OR(Data!$B$7="RE",Data!$B$7="NC"),Data!$D$15=3),AP90,""),"")</f>
        <v/>
      </c>
      <c r="AQ45" s="104" t="str">
        <f>IF(AND(OR(Data!$B$3="A",Data!$B$3="LH",Data!$B$3="SA"),Data!$B$4=8,Data!$B$6=1.375),IF(AND(OR(Data!$B$7="be",Data!$B$7="ce"),OR(Data!$D$15=1,Data!$D$15=2,Data!$D$15=6)),AQ90,""),"")</f>
        <v/>
      </c>
      <c r="AR45" s="104" t="str">
        <f>IF(AND(OR(Data!$B$3="A",Data!$B$3="LH",Data!$B$3="SA"),Data!$B$4=8,Data!$B$6=1.375),IF(AND(OR(Data!$B$7="re",Data!$B$7="nc"),OR(Data!$D$15=1,Data!$D$15=2,Data!$D$15=6)),AR90,""),"")</f>
        <v/>
      </c>
      <c r="AS45" s="104">
        <f t="shared" si="4"/>
        <v>0</v>
      </c>
      <c r="AU45" s="104">
        <v>1</v>
      </c>
      <c r="AV45" s="30">
        <v>6.625</v>
      </c>
      <c r="AW45" s="30">
        <v>5.6050000000000004</v>
      </c>
      <c r="AX45" s="30">
        <v>5.5</v>
      </c>
      <c r="AY45" s="30">
        <v>4.4800000000000004</v>
      </c>
      <c r="AZ45" s="104">
        <v>6.625</v>
      </c>
      <c r="BA45" s="104">
        <v>5.6050000000000004</v>
      </c>
    </row>
    <row r="46" spans="1:54">
      <c r="A46" s="146"/>
      <c r="B46" s="45">
        <v>10</v>
      </c>
      <c r="C46" s="30" t="s">
        <v>613</v>
      </c>
      <c r="D46" s="30" t="s">
        <v>322</v>
      </c>
      <c r="E46" s="30">
        <v>26390</v>
      </c>
      <c r="F46" s="30">
        <v>27811</v>
      </c>
      <c r="G46" s="30">
        <v>30243</v>
      </c>
      <c r="H46" s="30">
        <v>32288</v>
      </c>
      <c r="I46" s="109"/>
      <c r="J46" s="30">
        <v>340</v>
      </c>
      <c r="K46" s="30">
        <v>925</v>
      </c>
      <c r="M46" s="44">
        <v>14</v>
      </c>
      <c r="N46" s="45">
        <v>10</v>
      </c>
      <c r="O46" s="30" t="s">
        <v>613</v>
      </c>
      <c r="P46" s="30" t="s">
        <v>322</v>
      </c>
      <c r="Q46" s="30" t="str">
        <f>IF(OR(Data!B$3="H",Data!B$3="HM",Data!B$3="W"),IF(M46=Data!B$4,IF(N46=Data!B$6,SUM(R46:V46),""),""),"")</f>
        <v/>
      </c>
      <c r="R46" s="30" t="str">
        <f>IF(OR("MX0"=Data!B$5,"MX1"=Data!B$5,"MX2"=Data!B$5,"MX3"=Data!B$5),E46,"")</f>
        <v/>
      </c>
      <c r="S46" s="30">
        <f>IF(OR("MF1"=Data!B$5,"MF2"=Data!B$5,"MS4"=Data!B$5),F46,"")</f>
        <v>27811</v>
      </c>
      <c r="T46" s="30" t="str">
        <f>IF(OR("MP1"=Data!B$5,"MP3"=Data!B$5,"MT1"=Data!B$5,"MT2"=Data!B$5,"MF5"=Data!B$5,"MF6"=Data!B$5,,"MS2"=Data!B$5,"ME5"=Data!B$5,"ME6"=Data!B$5),G46,"")</f>
        <v/>
      </c>
      <c r="U46" s="30" t="str">
        <f>IF(OR("MS3"=Data!B$5,"ME3"=Data!B$5,"ME4"=Data!B$5,"MP2"=Data!B$5,"MT4"=Data!B$5,"MPU3"=Data!B$5,"MS7"=Data!B$5),H46,"")</f>
        <v/>
      </c>
      <c r="W46" s="30" t="str">
        <f>IF(OR(Q46="",Q46=0),"",IF(Data!B$7="ABE",K46*4,IF(OR(Data!B$7="ACE",Data!B$7="ARE"),K46*2,IF(Data!B$7="BE",K46*2,IF(OR(Data!B$7="CE",Data!B$7="RE"),K46,0))))+J46*(ROUNDUP(Data!B$8,0.1)))</f>
        <v/>
      </c>
      <c r="Z46" s="30">
        <f t="shared" si="0"/>
        <v>6598</v>
      </c>
      <c r="AA46" s="30">
        <f t="shared" si="1"/>
        <v>7523</v>
      </c>
      <c r="AB46" s="30">
        <f t="shared" si="2"/>
        <v>323</v>
      </c>
      <c r="AF46" s="30" t="str">
        <f>IF(W46&lt;&gt;"",IF(Data!B$7="NC",Z46+(AB46*(Data!B$8+Data!B$11+Data!B$27)),IF(Data!B$7&lt;&gt;"NC",AA46+(AB46*(Data!B$8+Data!B$11+Data!B$27)))),"")</f>
        <v/>
      </c>
      <c r="AL46" s="104">
        <v>1.75</v>
      </c>
      <c r="AM46" s="104" t="str">
        <f>IF(AND(OR(Data!$B$3="A",Data!$B$3="LH",Data!$B$3="SA"),Data!$B$4=8,Data!$B$6=1.75),IF(AND(OR(Data!$B$7="be",Data!$B$7="ce"),Data!$D$15=4),AM91,""),"")</f>
        <v/>
      </c>
      <c r="AN46" s="104" t="str">
        <f>IF(AND(OR(Data!$B$3="A",Data!$B$3="LH",Data!$B$3="SA"),Data!$B$4=8,Data!$B$6=1.75),IF(AND(OR(Data!$B$7="RE",Data!$B$7="NC"),Data!$D$15=4),AN91,""),"")</f>
        <v/>
      </c>
      <c r="AO46" s="104" t="str">
        <f>IF(AND(OR(Data!$B$3="A",Data!$B$3="LH",Data!$B$3="SA"),Data!$B$4=8,Data!$B$6=1.75),IF(AND(OR(Data!$B$7="be",Data!$B$7="ce"),Data!$D$15=3),AO91,""),"")</f>
        <v/>
      </c>
      <c r="AP46" s="104" t="str">
        <f>IF(AND(OR(Data!$B$3="A",Data!$B$3="LH",Data!$B$3="SA"),Data!$B$4=8,Data!$B$6=1.75),IF(AND(OR(Data!$B$7="RE",Data!$B$7="NC"),Data!$D$15=3),AP91,""),"")</f>
        <v/>
      </c>
      <c r="AQ46" s="104" t="str">
        <f>IF(AND(OR(Data!$B$3="A",Data!$B$3="LH",Data!$B$3="SA"),Data!$B$4=8,Data!$B$6=1.75),IF(AND(OR(Data!$B$7="be",Data!$B$7="ce"),OR(Data!$D$15=1,Data!$D$15=2,Data!$D$15=6)),AQ91,""),"")</f>
        <v/>
      </c>
      <c r="AR46" s="104" t="str">
        <f>IF(AND(OR(Data!$B$3="A",Data!$B$3="LH",Data!$B$3="SA"),Data!$B$4=8,Data!$B$6=1.75),IF(AND(OR(Data!$B$7="re",Data!$B$7="nc"),OR(Data!$D$15=1,Data!$D$15=2,Data!$D$15=6)),AR91,""),"")</f>
        <v/>
      </c>
      <c r="AS46" s="104">
        <f t="shared" si="4"/>
        <v>0</v>
      </c>
      <c r="AU46" s="104">
        <v>1.375</v>
      </c>
      <c r="AV46" s="30">
        <v>6.875</v>
      </c>
      <c r="AW46" s="30">
        <v>5.875</v>
      </c>
      <c r="AX46" s="30">
        <v>5.75</v>
      </c>
      <c r="AY46" s="30">
        <v>4.75</v>
      </c>
      <c r="AZ46" s="104">
        <v>7.375</v>
      </c>
      <c r="BA46" s="104">
        <v>6.375</v>
      </c>
    </row>
    <row r="47" spans="1:54">
      <c r="A47" s="146">
        <v>16</v>
      </c>
      <c r="B47" s="45">
        <v>8</v>
      </c>
      <c r="C47" s="30" t="s">
        <v>230</v>
      </c>
      <c r="D47" s="30" t="s">
        <v>556</v>
      </c>
      <c r="E47" s="30">
        <v>30276</v>
      </c>
      <c r="F47" s="30">
        <v>30276</v>
      </c>
      <c r="G47" s="30">
        <v>35952</v>
      </c>
      <c r="H47" s="109">
        <v>49099</v>
      </c>
      <c r="I47" s="109"/>
      <c r="J47" s="30">
        <v>262</v>
      </c>
      <c r="K47" s="30">
        <v>1200</v>
      </c>
      <c r="M47" s="44">
        <v>16</v>
      </c>
      <c r="N47" s="45">
        <v>8</v>
      </c>
      <c r="O47" s="30" t="s">
        <v>230</v>
      </c>
      <c r="P47" s="30" t="s">
        <v>556</v>
      </c>
      <c r="Q47" s="30" t="str">
        <f>IF(OR(Data!B$3="H",Data!B$3="HM",Data!B$3="W"),IF(M47=Data!B$4,IF(N47=Data!B$6,SUM(R47:V47),""),""),"")</f>
        <v/>
      </c>
      <c r="R47" s="30" t="str">
        <f>IF(OR("MX0"=Data!B$5,"MX1"=Data!B$5,"MX2"=Data!B$5,"MX3"=Data!B$5),E47,"")</f>
        <v/>
      </c>
      <c r="S47" s="30">
        <f>IF(OR("MF1"=Data!B$5,"MF2"=Data!B$5,"MS4"=Data!B$5),F47,"")</f>
        <v>30276</v>
      </c>
      <c r="T47" s="30" t="str">
        <f>IF(OR("MP1"=Data!B$5,"MP3"=Data!B$5,"MT1"=Data!B$5,"MT2"=Data!B$5,"MF5"=Data!B$5,"MF6"=Data!B$5,,"MS2"=Data!B$5,"ME5"=Data!B$5,"ME6"=Data!B$5),G47,"")</f>
        <v/>
      </c>
      <c r="U47" s="30" t="str">
        <f>IF(OR("MS3"=Data!B$5,"ME3"=Data!B$5,"ME4"=Data!B$5,"MP2"=Data!B$5,"MT4"=Data!B$5,"MPU3"=Data!B$5,"MS7"=Data!B$5),H47,"")</f>
        <v/>
      </c>
      <c r="W47" s="30" t="str">
        <f>IF(OR(Q47="",Q47=0),"",IF(Data!B$7="ABE",K47*4,IF(OR(Data!B$7="ACE",Data!B$7="ARE"),K47*2,IF(Data!B$7="BE",K47*2,IF(OR(Data!B$7="CE",Data!B$7="RE"),K47,0))))+J47*(ROUNDUP(Data!B$8,0.1)))</f>
        <v/>
      </c>
      <c r="Z47" s="30">
        <f t="shared" si="0"/>
        <v>7569</v>
      </c>
      <c r="AA47" s="30">
        <f t="shared" si="1"/>
        <v>8769</v>
      </c>
      <c r="AB47" s="30">
        <f t="shared" si="2"/>
        <v>248</v>
      </c>
      <c r="AF47" s="30" t="str">
        <f>IF(W47&lt;&gt;"",IF(Data!B$7="NC",Z47+(AB47*(Data!B$8+Data!B$11+Data!B$27)),IF(Data!B$7&lt;&gt;"NC",AA47+(AB47*(Data!B$8+Data!B$11+Data!B$27)))),"")</f>
        <v/>
      </c>
      <c r="AL47" s="104">
        <v>2</v>
      </c>
      <c r="AM47" s="104" t="str">
        <f>IF(AND(OR(Data!$B$3="A",Data!$B$3="LH",Data!$B$3="SA"),Data!$B$4=8,Data!$B$6=2),IF(AND(OR(Data!$B$7="be",Data!$B$7="ce"),Data!$D$15=4),AM92,""),"")</f>
        <v/>
      </c>
      <c r="AN47" s="104" t="str">
        <f>IF(AND(OR(Data!$B$3="A",Data!$B$3="LH",Data!$B$3="SA"),Data!$B$4=8,Data!$B$6=2),IF(AND(OR(Data!$B$7="RE",Data!$B$7="NC"),Data!$D$15=4),AN92,""),"")</f>
        <v/>
      </c>
      <c r="AO47" s="104" t="str">
        <f>IF(AND(OR(Data!$B$3="A",Data!$B$3="LH",Data!$B$3="SA"),Data!$B$4=8,Data!$B$6=2),IF(AND(OR(Data!$B$7="be",Data!$B$7="ce"),Data!$D$15=3),AO92,""),"")</f>
        <v/>
      </c>
      <c r="AP47" s="104" t="str">
        <f>IF(AND(OR(Data!$B$3="A",Data!$B$3="LH",Data!$B$3="SA"),Data!$B$4=8,Data!$B$6=2),IF(AND(OR(Data!$B$7="RE",Data!$B$7="NC"),Data!$D$15=3),AP92,""),"")</f>
        <v/>
      </c>
      <c r="AQ47" s="104" t="str">
        <f>IF(AND(OR(Data!$B$3="A",Data!$B$3="LH",Data!$B$3="SA"),Data!$B$4=8,Data!$B$6=2),IF(AND(OR(Data!$B$7="be",Data!$B$7="ce"),OR(Data!$D$15=1,Data!$D$15=2,Data!$D$15=6)),AQ92,""),"")</f>
        <v/>
      </c>
      <c r="AR47" s="104" t="str">
        <f>IF(AND(OR(Data!$B$3="A",Data!$B$3="LH",Data!$B$3="SA"),Data!$B$4=8,Data!$B$6=2),IF(AND(OR(Data!$B$7="re",Data!$B$7="nc"),OR(Data!$D$15=1,Data!$D$15=2,Data!$D$15=6)),AR92,""),"")</f>
        <v/>
      </c>
      <c r="AS47" s="104">
        <f t="shared" si="4"/>
        <v>0</v>
      </c>
      <c r="AT47" s="104"/>
      <c r="AU47" s="104">
        <v>2.5</v>
      </c>
      <c r="AZ47" s="104"/>
      <c r="BA47" s="104"/>
    </row>
    <row r="48" spans="1:54">
      <c r="A48" s="146"/>
      <c r="B48" s="45">
        <v>10</v>
      </c>
      <c r="C48" s="30" t="s">
        <v>613</v>
      </c>
      <c r="D48" s="30" t="s">
        <v>322</v>
      </c>
      <c r="E48" s="30">
        <v>35952</v>
      </c>
      <c r="F48" s="30">
        <v>35952</v>
      </c>
      <c r="G48" s="30">
        <v>43454</v>
      </c>
      <c r="H48" s="109">
        <v>58893</v>
      </c>
      <c r="I48" s="109"/>
      <c r="J48" s="30">
        <v>359</v>
      </c>
      <c r="K48" s="30">
        <v>1200</v>
      </c>
      <c r="M48" s="44">
        <v>16</v>
      </c>
      <c r="N48" s="45">
        <v>10</v>
      </c>
      <c r="O48" s="30" t="s">
        <v>613</v>
      </c>
      <c r="P48" s="30" t="s">
        <v>322</v>
      </c>
      <c r="Q48" s="30" t="str">
        <f>IF(OR(Data!B$3="H",Data!B$3="HM",Data!B$3="W"),IF(M48=Data!B$4,IF(N48=Data!B$6,SUM(R48:V48),""),""),"")</f>
        <v/>
      </c>
      <c r="R48" s="30" t="str">
        <f>IF(OR("MX0"=Data!B$5,"MX1"=Data!B$5,"MX2"=Data!B$5,"MX3"=Data!B$5),E48,"")</f>
        <v/>
      </c>
      <c r="S48" s="30">
        <f>IF(OR("MF1"=Data!B$5,"MF2"=Data!B$5,"MS4"=Data!B$5),F48,"")</f>
        <v>35952</v>
      </c>
      <c r="T48" s="30" t="str">
        <f>IF(OR("MP1"=Data!B$5,"MP3"=Data!B$5,"MT1"=Data!B$5,"MT2"=Data!B$5,"MF5"=Data!B$5,"MF6"=Data!B$5,,"MS2"=Data!B$5,"ME5"=Data!B$5,"ME6"=Data!B$5),G48,"")</f>
        <v/>
      </c>
      <c r="U48" s="30" t="str">
        <f>IF(OR("MS3"=Data!B$5,"ME3"=Data!B$5,"ME4"=Data!B$5,"MP2"=Data!B$5,"MT4"=Data!B$5,"MPU3"=Data!B$5,"MS7"=Data!B$5),H48,"")</f>
        <v/>
      </c>
      <c r="W48" s="30" t="str">
        <f>IF(OR(Q48="",Q48=0),"",IF(Data!B$7="ABE",K48*4,IF(OR(Data!B$7="ACE",Data!B$7="ARE"),K48*2,IF(Data!B$7="BE",K48*2,IF(OR(Data!B$7="CE",Data!B$7="RE"),K48,0))))+J48*(ROUNDUP(Data!B$8,0.1)))</f>
        <v/>
      </c>
      <c r="Z48" s="30">
        <f t="shared" si="0"/>
        <v>8988</v>
      </c>
      <c r="AA48" s="30">
        <f t="shared" si="1"/>
        <v>10188</v>
      </c>
      <c r="AB48" s="30">
        <f t="shared" si="2"/>
        <v>341</v>
      </c>
      <c r="AF48" s="30" t="str">
        <f>IF(W48&lt;&gt;"",IF(Data!B$7="NC",Z48+(AB48*(Data!B$8+Data!B$11+Data!B$27)),IF(Data!B$7&lt;&gt;"NC",AA48+(AB48*(Data!B$8+Data!B$11+Data!B$27)))),"")</f>
        <v/>
      </c>
      <c r="AL48" s="104">
        <v>2.5</v>
      </c>
      <c r="AM48" s="104" t="str">
        <f>IF(AND(OR(Data!$B$3="A",Data!$B$3="LH",Data!$B$3="SA"),Data!$B$4=8,Data!$B$6=2.5),IF(AND(OR(Data!$B$7="be",Data!$B$7="ce"),Data!$D$15=4),AM93,""),"")</f>
        <v/>
      </c>
      <c r="AN48" s="104" t="str">
        <f>IF(AND(OR(Data!$B$3="A",Data!$B$3="LH",Data!$B$3="SA"),Data!$B$4=8,Data!$B$6=2.5),IF(AND(OR(Data!$B$7="RE",Data!$B$7="NC"),Data!$D$15=4),AN93,""),"")</f>
        <v/>
      </c>
      <c r="AO48" s="104" t="str">
        <f>IF(AND(OR(Data!$B$3="A",Data!$B$3="LH",Data!$B$3="SA"),Data!$B$4=8,Data!$B$6=2.5),IF(AND(OR(Data!$B$7="be",Data!$B$7="ce"),Data!$D$15=3),AO93,""),"")</f>
        <v/>
      </c>
      <c r="AP48" s="104" t="str">
        <f>IF(AND(OR(Data!$B$3="A",Data!$B$3="LH",Data!$B$3="SA"),Data!$B$4=8,Data!$B$6=2.5),IF(AND(OR(Data!$B$7="RE",Data!$B$7="NC"),Data!$D$15=3),AP93,""),"")</f>
        <v/>
      </c>
      <c r="AQ48" s="104" t="str">
        <f>IF(AND(OR(Data!$B$3="A",Data!$B$3="LH",Data!$B$3="SA"),Data!$B$4=8,Data!$B$6=2.5),IF(AND(OR(Data!$B$7="be",Data!$B$7="ce"),OR(Data!$D$15=1,Data!$D$15=2,Data!$D$15=6)),AQ93,""),"")</f>
        <v/>
      </c>
      <c r="AR48" s="104" t="str">
        <f>IF(AND(OR(Data!$B$3="A",Data!$B$3="LH",Data!$B$3="SA"),Data!$B$4=8,Data!$B$6=2.5),IF(AND(OR(Data!$B$7="re",Data!$B$7="nc"),OR(Data!$D$15=1,Data!$D$15=2,Data!$D$15=6)),AR93,""),"")</f>
        <v/>
      </c>
      <c r="AS48" s="104">
        <f t="shared" si="4"/>
        <v>0</v>
      </c>
      <c r="AT48" s="104"/>
      <c r="AU48" s="104">
        <v>1</v>
      </c>
      <c r="AV48" s="30">
        <v>6.75</v>
      </c>
      <c r="AW48" s="30">
        <v>5.73</v>
      </c>
      <c r="AX48" s="30">
        <v>5.625</v>
      </c>
      <c r="AY48" s="30">
        <v>4.6050000000000004</v>
      </c>
      <c r="AZ48" s="104">
        <v>6.75</v>
      </c>
      <c r="BA48" s="104">
        <v>5.73</v>
      </c>
    </row>
    <row r="49" spans="1:53">
      <c r="A49" s="146">
        <v>18</v>
      </c>
      <c r="B49" s="45">
        <v>8</v>
      </c>
      <c r="C49" s="30" t="s">
        <v>230</v>
      </c>
      <c r="D49" s="30" t="s">
        <v>556</v>
      </c>
      <c r="E49" s="30">
        <v>45295</v>
      </c>
      <c r="F49" s="30">
        <v>45295</v>
      </c>
      <c r="G49" s="30">
        <v>52826</v>
      </c>
      <c r="H49" s="109">
        <v>71159</v>
      </c>
      <c r="I49" s="109"/>
      <c r="J49" s="30">
        <v>348</v>
      </c>
      <c r="K49" s="30">
        <v>1400</v>
      </c>
      <c r="M49" s="44">
        <v>18</v>
      </c>
      <c r="N49" s="45">
        <v>8</v>
      </c>
      <c r="O49" s="30" t="s">
        <v>230</v>
      </c>
      <c r="P49" s="30" t="s">
        <v>556</v>
      </c>
      <c r="Q49" s="30" t="str">
        <f>IF(OR(Data!B$3="H",Data!B$3="HM",Data!B$3="W"),IF(M49=Data!B$4,IF(N49=Data!B$6,SUM(R49:V49),""),""),"")</f>
        <v/>
      </c>
      <c r="R49" s="30" t="str">
        <f>IF(OR("MX0"=Data!B$5,"MX1"=Data!B$5,"MX2"=Data!B$5,"MX3"=Data!B$5),E49,"")</f>
        <v/>
      </c>
      <c r="S49" s="30">
        <f>IF(OR("MF1"=Data!B$5,"MF2"=Data!B$5,"MS4"=Data!B$5),F49,"")</f>
        <v>45295</v>
      </c>
      <c r="T49" s="30" t="str">
        <f>IF(OR("MP1"=Data!B$5,"MP3"=Data!B$5,"MT1"=Data!B$5,"MT2"=Data!B$5,"MF5"=Data!B$5,"MF6"=Data!B$5,,"MS2"=Data!B$5,"ME5"=Data!B$5,"ME6"=Data!B$5),G49,"")</f>
        <v/>
      </c>
      <c r="U49" s="30" t="str">
        <f>IF(OR("MS3"=Data!B$5,"ME3"=Data!B$5,"ME4"=Data!B$5,"MP2"=Data!B$5,"MT4"=Data!B$5,"MPU3"=Data!B$5,"MS7"=Data!B$5),H49,"")</f>
        <v/>
      </c>
      <c r="W49" s="30" t="str">
        <f>IF(OR(Q49="",Q49=0),"",IF(Data!B$7="ABE",K49*4,IF(OR(Data!B$7="ACE",Data!B$7="ARE"),K49*2,IF(Data!B$7="BE",K49*2,IF(OR(Data!B$7="CE",Data!B$7="RE"),K49,0))))+J49*(ROUNDUP(Data!B$8,0.1)))</f>
        <v/>
      </c>
      <c r="Z49" s="30">
        <f t="shared" si="0"/>
        <v>11324</v>
      </c>
      <c r="AA49" s="30">
        <f t="shared" si="1"/>
        <v>12724</v>
      </c>
      <c r="AB49" s="30">
        <f t="shared" si="2"/>
        <v>330</v>
      </c>
      <c r="AF49" s="30" t="str">
        <f>IF(W49&lt;&gt;"",IF(Data!B$7="NC",Z49+(AB49*(Data!B$8+Data!B$11+Data!B$27)),IF(Data!B$7&lt;&gt;"NC",AA49+(AB49*(Data!B$8+Data!B$11+Data!B$27)))),"")</f>
        <v/>
      </c>
      <c r="AS49" s="104">
        <f>SUM(AS8:AS48)</f>
        <v>0</v>
      </c>
      <c r="AT49" s="104"/>
      <c r="AU49" s="104">
        <v>1.375</v>
      </c>
      <c r="AV49" s="30">
        <v>7</v>
      </c>
      <c r="AW49" s="30">
        <v>5.98</v>
      </c>
      <c r="AX49" s="30">
        <v>5.875</v>
      </c>
      <c r="AY49" s="30">
        <v>4.8550000000000004</v>
      </c>
      <c r="AZ49" s="104">
        <v>7.5</v>
      </c>
      <c r="BA49" s="104">
        <v>6.48</v>
      </c>
    </row>
    <row r="50" spans="1:53">
      <c r="A50" s="146"/>
      <c r="B50" s="45">
        <v>10</v>
      </c>
      <c r="C50" s="30" t="s">
        <v>613</v>
      </c>
      <c r="D50" s="30" t="s">
        <v>322</v>
      </c>
      <c r="E50" s="30">
        <v>47308</v>
      </c>
      <c r="F50" s="30">
        <v>47308</v>
      </c>
      <c r="G50" s="30">
        <v>54824</v>
      </c>
      <c r="H50" s="109">
        <v>69455</v>
      </c>
      <c r="I50" s="109"/>
      <c r="J50" s="57">
        <v>372</v>
      </c>
      <c r="K50" s="30">
        <v>1400</v>
      </c>
      <c r="M50" s="44">
        <v>18</v>
      </c>
      <c r="N50" s="45">
        <v>10</v>
      </c>
      <c r="O50" s="30" t="s">
        <v>613</v>
      </c>
      <c r="P50" s="30" t="s">
        <v>322</v>
      </c>
      <c r="Q50" s="30" t="str">
        <f>IF(OR(Data!B$3="H",Data!B$3="HM",Data!B$3="W"),IF(M50=Data!B$4,IF(N50=Data!B$6,SUM(R50:V50),""),""),"")</f>
        <v/>
      </c>
      <c r="R50" s="30" t="str">
        <f>IF(OR("MX0"=Data!B$5,"MX1"=Data!B$5,"MX2"=Data!B$5,"MX3"=Data!B$5),E50,"")</f>
        <v/>
      </c>
      <c r="S50" s="30">
        <f>IF(OR("MF1"=Data!B$5,"MF2"=Data!B$5,"MS4"=Data!B$5),F50,"")</f>
        <v>47308</v>
      </c>
      <c r="T50" s="30" t="str">
        <f>IF(OR("MP1"=Data!B$5,"MP3"=Data!B$5,"MT1"=Data!B$5,"MT2"=Data!B$5,"MF5"=Data!B$5,"MF6"=Data!B$5,,"MS2"=Data!B$5,"ME5"=Data!B$5,"ME6"=Data!B$5),G50,"")</f>
        <v/>
      </c>
      <c r="U50" s="30" t="str">
        <f>IF(OR("MS3"=Data!B$5,"ME3"=Data!B$5,"ME4"=Data!B$5,"MP2"=Data!B$5,"MT4"=Data!B$5,"MPU3"=Data!B$5,"MS7"=Data!B$5),H50,"")</f>
        <v/>
      </c>
      <c r="W50" s="30" t="str">
        <f>IF(OR(Q50="",Q50=0),"",IF(Data!B$7="ABE",K50*4,IF(OR(Data!B$7="ACE",Data!B$7="ARE"),K50*2,IF(Data!B$7="BE",K50*2,IF(OR(Data!B$7="CE",Data!B$7="RE"),K50,0))))+J50*(ROUNDUP(Data!B$8,0.1)))</f>
        <v/>
      </c>
      <c r="Z50" s="30">
        <f t="shared" si="0"/>
        <v>11827</v>
      </c>
      <c r="AA50" s="30">
        <f t="shared" si="1"/>
        <v>13227</v>
      </c>
      <c r="AB50" s="30">
        <f t="shared" si="2"/>
        <v>353</v>
      </c>
      <c r="AF50" s="30" t="str">
        <f>IF(W50&lt;&gt;"",IF(Data!B$7="NC",Z50+(AB50*(Data!B$8+Data!B$11+Data!B$27)),IF(Data!B$7&lt;&gt;"NC",AA50+(AB50*(Data!B$8+Data!B$11+Data!B$27)))),"")</f>
        <v/>
      </c>
      <c r="AT50" s="104"/>
      <c r="AU50" s="104">
        <v>1.75</v>
      </c>
      <c r="AV50" s="30">
        <v>7.375</v>
      </c>
      <c r="AW50" s="30">
        <v>6.375</v>
      </c>
      <c r="AX50" s="30">
        <v>6.125</v>
      </c>
      <c r="AY50" s="30">
        <v>5.125</v>
      </c>
      <c r="AZ50" s="104">
        <v>8.125</v>
      </c>
      <c r="BA50" s="104">
        <v>7.125</v>
      </c>
    </row>
    <row r="51" spans="1:53">
      <c r="A51" s="146">
        <v>20</v>
      </c>
      <c r="B51" s="45">
        <v>10</v>
      </c>
      <c r="C51" s="30" t="s">
        <v>613</v>
      </c>
      <c r="D51" s="30" t="s">
        <v>322</v>
      </c>
      <c r="E51" s="30">
        <v>56666</v>
      </c>
      <c r="F51" s="30">
        <v>56666</v>
      </c>
      <c r="G51" s="30">
        <v>66209</v>
      </c>
      <c r="H51" s="109">
        <v>83329</v>
      </c>
      <c r="I51" s="109"/>
      <c r="J51" s="57">
        <v>468</v>
      </c>
      <c r="K51" s="30">
        <v>1400</v>
      </c>
      <c r="M51" s="44">
        <v>20</v>
      </c>
      <c r="N51" s="45">
        <v>10</v>
      </c>
      <c r="O51" s="30" t="s">
        <v>613</v>
      </c>
      <c r="P51" s="30" t="s">
        <v>322</v>
      </c>
      <c r="Q51" s="30" t="str">
        <f>IF(OR(Data!B$3="H",Data!B$3="HM",Data!B$3="W"),IF(M51=Data!B$4,IF(N51=Data!B$6,SUM(R51:V51),""),""),"")</f>
        <v/>
      </c>
      <c r="R51" s="30" t="str">
        <f>IF(OR("MX0"=Data!B$5,"MX1"=Data!B$5,"MX2"=Data!B$5,"MX3"=Data!B$5),E51,"")</f>
        <v/>
      </c>
      <c r="S51" s="30">
        <f>IF(OR("MF1"=Data!B$5,"MF2"=Data!B$5,"MS4"=Data!B$5),F51,"")</f>
        <v>56666</v>
      </c>
      <c r="T51" s="30" t="str">
        <f>IF(OR("MP1"=Data!B$5,"MP3"=Data!B$5,"MT1"=Data!B$5,"MT2"=Data!B$5,"MF5"=Data!B$5,"MF6"=Data!B$5,,"MS2"=Data!B$5,"ME5"=Data!B$5,"ME6"=Data!B$5),G51,"")</f>
        <v/>
      </c>
      <c r="U51" s="30" t="str">
        <f>IF(OR("MS3"=Data!B$5,"ME3"=Data!B$5,"ME4"=Data!B$5,"MP2"=Data!B$5,"MT4"=Data!B$5,"MPU3"=Data!B$5,"MS7"=Data!B$5),H51,"")</f>
        <v/>
      </c>
      <c r="W51" s="30" t="str">
        <f>IF(OR(Q51="",Q51=0),"",IF(Data!B$7="ABE",K51*4,IF(OR(Data!B$7="ACE",Data!B$7="ARE"),K51*2,IF(Data!B$7="BE",K51*2,IF(OR(Data!B$7="CE",Data!B$7="RE"),K51,0))))+J51*(ROUNDUP(Data!B$8,0.1)))</f>
        <v/>
      </c>
      <c r="Z51" s="30">
        <f t="shared" si="0"/>
        <v>14167</v>
      </c>
      <c r="AA51" s="30">
        <f t="shared" si="1"/>
        <v>15567</v>
      </c>
      <c r="AB51" s="30">
        <f t="shared" si="2"/>
        <v>444</v>
      </c>
      <c r="AF51" s="30" t="str">
        <f>IF(W51&lt;&gt;"",IF(Data!B$7="NC",Z51+(AB51*(Data!B$8+Data!B$11+Data!B$27)),IF(Data!B$7&lt;&gt;"NC",AA51+(AB51*(Data!B$8+Data!B$11+Data!B$27)))),"")</f>
        <v/>
      </c>
      <c r="AU51" s="104">
        <v>3.25</v>
      </c>
      <c r="AZ51" s="104"/>
      <c r="BA51" s="104"/>
    </row>
    <row r="52" spans="1:53">
      <c r="M52" s="30">
        <v>25</v>
      </c>
      <c r="N52" s="45">
        <v>12</v>
      </c>
      <c r="O52" s="30" t="s">
        <v>22159</v>
      </c>
      <c r="Q52" s="30">
        <f>SUM(Q7:Q51)</f>
        <v>1846</v>
      </c>
      <c r="W52" s="30">
        <f>SUM(W7:W51)</f>
        <v>372</v>
      </c>
      <c r="AL52" s="104">
        <v>1.5</v>
      </c>
      <c r="AU52" s="104">
        <v>1.375</v>
      </c>
      <c r="AV52" s="30">
        <v>7.75</v>
      </c>
      <c r="AW52" s="30">
        <v>6.48</v>
      </c>
      <c r="AX52" s="30">
        <v>6.625</v>
      </c>
      <c r="AY52" s="30">
        <v>5.3550000000000004</v>
      </c>
      <c r="AZ52" s="104">
        <v>8.25</v>
      </c>
      <c r="BA52" s="104">
        <v>6.98</v>
      </c>
    </row>
    <row r="53" spans="1:53">
      <c r="M53" s="30">
        <v>25</v>
      </c>
      <c r="N53" s="45">
        <v>18</v>
      </c>
      <c r="O53" s="30" t="s">
        <v>22160</v>
      </c>
      <c r="AL53" s="104">
        <v>0.625</v>
      </c>
      <c r="AM53" s="104">
        <v>5.1050000000000004</v>
      </c>
      <c r="AN53" s="104">
        <v>4.3550000000000004</v>
      </c>
      <c r="AO53" s="104">
        <v>4.3550000000000004</v>
      </c>
      <c r="AP53" s="104">
        <v>3.605</v>
      </c>
      <c r="AQ53" s="104">
        <v>5.1050000000000004</v>
      </c>
      <c r="AR53" s="104">
        <v>4.3550000000000004</v>
      </c>
      <c r="AT53" s="104"/>
      <c r="AU53" s="104">
        <v>1.75</v>
      </c>
      <c r="AV53" s="30">
        <v>8.125</v>
      </c>
      <c r="AW53" s="30">
        <v>6.8550000000000004</v>
      </c>
      <c r="AX53" s="30">
        <v>6.875</v>
      </c>
      <c r="AY53" s="30">
        <v>5.6050000000000004</v>
      </c>
      <c r="AZ53" s="104">
        <v>8.875</v>
      </c>
      <c r="BA53" s="104">
        <v>7.6050000000000004</v>
      </c>
    </row>
    <row r="54" spans="1:53">
      <c r="M54" s="30">
        <v>32</v>
      </c>
      <c r="N54" s="45">
        <v>14</v>
      </c>
      <c r="O54" s="30" t="s">
        <v>22170</v>
      </c>
      <c r="AL54" s="104">
        <v>1</v>
      </c>
      <c r="AM54" s="104">
        <v>5.8550000000000004</v>
      </c>
      <c r="AN54" s="104">
        <v>5.1050000000000004</v>
      </c>
      <c r="AO54" s="104">
        <v>4.7300000000000004</v>
      </c>
      <c r="AP54" s="104">
        <v>3.98</v>
      </c>
      <c r="AQ54" s="104">
        <v>5.8550000000000004</v>
      </c>
      <c r="AR54" s="104">
        <v>5.1050000000000004</v>
      </c>
      <c r="AT54" s="104"/>
      <c r="AU54" s="104">
        <v>2</v>
      </c>
      <c r="AV54" s="30">
        <v>8.75</v>
      </c>
      <c r="AW54" s="30">
        <v>7.48</v>
      </c>
      <c r="AX54" s="30">
        <v>7</v>
      </c>
      <c r="AY54" s="30">
        <v>5.73</v>
      </c>
      <c r="AZ54" s="104">
        <v>9.25</v>
      </c>
      <c r="BA54" s="104">
        <v>7.98</v>
      </c>
    </row>
    <row r="55" spans="1:53">
      <c r="M55" s="30">
        <v>32</v>
      </c>
      <c r="N55" s="45">
        <v>18</v>
      </c>
      <c r="O55" s="30" t="s">
        <v>22160</v>
      </c>
      <c r="AL55" s="104">
        <v>2</v>
      </c>
      <c r="AT55" s="104"/>
      <c r="AU55" s="104">
        <v>4</v>
      </c>
      <c r="AZ55" s="104"/>
      <c r="BA55" s="104"/>
    </row>
    <row r="56" spans="1:53">
      <c r="M56" s="30">
        <v>32</v>
      </c>
      <c r="N56" s="45">
        <v>22</v>
      </c>
      <c r="O56" s="30" t="s">
        <v>22169</v>
      </c>
      <c r="AL56" s="104">
        <v>0.625</v>
      </c>
      <c r="AM56" s="104">
        <v>5.1050000000000004</v>
      </c>
      <c r="AN56" s="104">
        <v>4.3550000000000004</v>
      </c>
      <c r="AO56" s="104">
        <v>4.3550000000000004</v>
      </c>
      <c r="AP56" s="104">
        <v>3.605</v>
      </c>
      <c r="AQ56" s="104">
        <v>5.1050000000000004</v>
      </c>
      <c r="AR56" s="104">
        <v>4.3550000000000004</v>
      </c>
      <c r="AT56" s="104"/>
      <c r="AU56" s="104">
        <v>1.75</v>
      </c>
      <c r="AV56" s="30">
        <v>8.375</v>
      </c>
      <c r="AW56" s="30">
        <v>7.1050000000000004</v>
      </c>
      <c r="AX56" s="30">
        <v>7.125</v>
      </c>
      <c r="AY56" s="30">
        <v>5.8550000000000004</v>
      </c>
      <c r="AZ56" s="104">
        <v>9.125</v>
      </c>
      <c r="BA56" s="104">
        <v>7.8550000000000004</v>
      </c>
    </row>
    <row r="57" spans="1:53">
      <c r="M57" s="30">
        <v>40</v>
      </c>
      <c r="N57" s="45">
        <v>18</v>
      </c>
      <c r="O57" s="30" t="s">
        <v>22160</v>
      </c>
      <c r="R57" s="30">
        <v>25</v>
      </c>
      <c r="S57" s="30">
        <v>12</v>
      </c>
      <c r="T57" s="30" t="s">
        <v>22159</v>
      </c>
      <c r="AL57" s="104">
        <v>1</v>
      </c>
      <c r="AM57" s="104">
        <v>5.8550000000000004</v>
      </c>
      <c r="AN57" s="104">
        <v>5.1050000000000004</v>
      </c>
      <c r="AO57" s="104">
        <v>4.7300000000000004</v>
      </c>
      <c r="AP57" s="104">
        <v>3.98</v>
      </c>
      <c r="AQ57" s="104">
        <v>5.8550000000000004</v>
      </c>
      <c r="AR57" s="104">
        <v>5.1050000000000004</v>
      </c>
      <c r="AU57" s="104">
        <v>2</v>
      </c>
      <c r="AV57" s="30">
        <v>9</v>
      </c>
      <c r="AW57" s="30">
        <v>7.73</v>
      </c>
      <c r="AX57" s="30">
        <v>7.25</v>
      </c>
      <c r="AY57" s="30">
        <v>5.98</v>
      </c>
      <c r="AZ57" s="104">
        <v>9.5</v>
      </c>
      <c r="BA57" s="104">
        <v>8.23</v>
      </c>
    </row>
    <row r="58" spans="1:53">
      <c r="M58" s="30">
        <v>40</v>
      </c>
      <c r="N58" s="45">
        <v>22</v>
      </c>
      <c r="O58" s="30" t="s">
        <v>22169</v>
      </c>
      <c r="R58" s="30">
        <v>25</v>
      </c>
      <c r="S58" s="30">
        <v>18</v>
      </c>
      <c r="T58" s="30" t="s">
        <v>22160</v>
      </c>
      <c r="AL58" s="104">
        <v>1.375</v>
      </c>
      <c r="AM58" s="104">
        <v>6.1050000000000004</v>
      </c>
      <c r="AN58" s="104">
        <v>5.3550000000000004</v>
      </c>
      <c r="AO58" s="104">
        <v>4.9800000000000004</v>
      </c>
      <c r="AP58" s="104">
        <v>4.2300000000000004</v>
      </c>
      <c r="AQ58" s="104">
        <v>6.6050000000000004</v>
      </c>
      <c r="AR58" s="104">
        <v>5.8550000000000004</v>
      </c>
      <c r="AU58" s="104">
        <v>2.5</v>
      </c>
      <c r="AV58" s="30">
        <v>9.75</v>
      </c>
      <c r="AW58" s="30">
        <v>8.48</v>
      </c>
      <c r="AX58" s="30">
        <v>7.5</v>
      </c>
      <c r="AY58" s="30">
        <v>6.23</v>
      </c>
      <c r="AZ58" s="104">
        <v>10.5</v>
      </c>
      <c r="BA58" s="104">
        <v>9.23</v>
      </c>
    </row>
    <row r="59" spans="1:53">
      <c r="M59" s="30">
        <v>40</v>
      </c>
      <c r="N59" s="45">
        <v>28</v>
      </c>
      <c r="O59" s="30" t="s">
        <v>22168</v>
      </c>
      <c r="R59" s="30">
        <v>32</v>
      </c>
      <c r="S59" s="30">
        <v>14</v>
      </c>
      <c r="T59" s="30" t="s">
        <v>22170</v>
      </c>
      <c r="AL59" s="104">
        <v>2.5</v>
      </c>
      <c r="AU59" s="104">
        <v>5</v>
      </c>
      <c r="AZ59" s="104"/>
      <c r="BA59" s="104"/>
    </row>
    <row r="60" spans="1:53">
      <c r="M60" s="30">
        <v>50</v>
      </c>
      <c r="N60" s="45">
        <v>22</v>
      </c>
      <c r="O60" s="30" t="s">
        <v>22169</v>
      </c>
      <c r="R60" s="30">
        <v>32</v>
      </c>
      <c r="S60" s="30">
        <v>18</v>
      </c>
      <c r="T60" s="30" t="s">
        <v>22160</v>
      </c>
      <c r="AL60" s="104">
        <v>0.625</v>
      </c>
      <c r="AM60" s="104">
        <v>5.23</v>
      </c>
      <c r="AN60" s="104">
        <v>4.4800000000000004</v>
      </c>
      <c r="AO60" s="104">
        <v>4.4800000000000004</v>
      </c>
      <c r="AP60" s="104">
        <v>3.73</v>
      </c>
      <c r="AQ60" s="104">
        <v>5.23</v>
      </c>
      <c r="AR60" s="104">
        <v>4.4800000000000004</v>
      </c>
      <c r="AU60" s="104">
        <v>2</v>
      </c>
      <c r="AV60" s="30">
        <v>9.5</v>
      </c>
      <c r="AW60" s="30">
        <v>8.23</v>
      </c>
      <c r="AX60" s="30">
        <v>7.75</v>
      </c>
      <c r="AY60" s="30">
        <v>6.48</v>
      </c>
      <c r="AZ60" s="104">
        <v>10</v>
      </c>
      <c r="BA60" s="104">
        <v>8.73</v>
      </c>
    </row>
    <row r="61" spans="1:53">
      <c r="M61" s="30">
        <v>50</v>
      </c>
      <c r="N61" s="45">
        <v>25</v>
      </c>
      <c r="O61" s="30" t="s">
        <v>22168</v>
      </c>
      <c r="R61" s="30">
        <v>32</v>
      </c>
      <c r="S61" s="30">
        <v>22</v>
      </c>
      <c r="T61" s="30" t="s">
        <v>22169</v>
      </c>
      <c r="AL61" s="104">
        <v>1</v>
      </c>
      <c r="AM61" s="104">
        <v>5.98</v>
      </c>
      <c r="AN61" s="104">
        <v>5.23</v>
      </c>
      <c r="AO61" s="104">
        <v>4.8550000000000004</v>
      </c>
      <c r="AP61" s="104">
        <v>4.1050000000000004</v>
      </c>
      <c r="AQ61" s="104">
        <v>5.98</v>
      </c>
      <c r="AR61" s="104">
        <v>5.23</v>
      </c>
      <c r="AU61" s="104">
        <v>2.5</v>
      </c>
      <c r="AV61" s="30">
        <v>10.25</v>
      </c>
      <c r="AW61" s="30">
        <v>8.98</v>
      </c>
      <c r="AX61" s="30">
        <v>8</v>
      </c>
      <c r="AY61" s="30">
        <v>6.73</v>
      </c>
      <c r="AZ61" s="104">
        <v>11</v>
      </c>
      <c r="BA61" s="104">
        <v>9.73</v>
      </c>
    </row>
    <row r="62" spans="1:53">
      <c r="M62" s="30">
        <v>50</v>
      </c>
      <c r="N62" s="45">
        <v>28</v>
      </c>
      <c r="O62" s="30" t="s">
        <v>22168</v>
      </c>
      <c r="R62" s="30">
        <v>40</v>
      </c>
      <c r="S62" s="30">
        <v>18</v>
      </c>
      <c r="T62" s="30" t="s">
        <v>22160</v>
      </c>
      <c r="AL62" s="104">
        <v>1.375</v>
      </c>
      <c r="AM62" s="104">
        <v>6.23</v>
      </c>
      <c r="AN62" s="104">
        <v>5.48</v>
      </c>
      <c r="AO62" s="104">
        <v>5.1050000000000004</v>
      </c>
      <c r="AP62" s="104">
        <v>4.3550000000000004</v>
      </c>
      <c r="AQ62" s="104">
        <v>6.73</v>
      </c>
      <c r="AR62" s="104">
        <v>5.98</v>
      </c>
      <c r="AU62" s="104">
        <v>3</v>
      </c>
      <c r="AV62" s="30">
        <v>10.625</v>
      </c>
      <c r="AW62" s="30">
        <v>9.3550000000000004</v>
      </c>
      <c r="AX62" s="30">
        <v>8</v>
      </c>
      <c r="AY62" s="30">
        <v>6.73</v>
      </c>
      <c r="AZ62" s="104">
        <v>11.5</v>
      </c>
      <c r="BA62" s="104">
        <v>10.23</v>
      </c>
    </row>
    <row r="63" spans="1:53">
      <c r="M63" s="30">
        <v>50</v>
      </c>
      <c r="N63" s="45">
        <v>36</v>
      </c>
      <c r="O63" s="30" t="s">
        <v>22167</v>
      </c>
      <c r="R63" s="30">
        <v>40</v>
      </c>
      <c r="S63" s="30">
        <v>22</v>
      </c>
      <c r="T63" s="30" t="s">
        <v>22169</v>
      </c>
      <c r="AL63" s="104">
        <v>1.75</v>
      </c>
      <c r="AM63" s="104">
        <v>6.6050000000000004</v>
      </c>
      <c r="AN63" s="104">
        <v>5.8550000000000004</v>
      </c>
      <c r="AO63" s="104">
        <v>5.3550000000000004</v>
      </c>
      <c r="AP63" s="104">
        <v>4.6050000000000004</v>
      </c>
      <c r="AQ63" s="104">
        <v>7.3550000000000004</v>
      </c>
      <c r="AR63" s="104">
        <v>6.6050000000000004</v>
      </c>
      <c r="AU63" s="104">
        <v>3.5</v>
      </c>
      <c r="AV63" s="30">
        <v>11.375</v>
      </c>
      <c r="AW63" s="30">
        <v>10.105</v>
      </c>
      <c r="AX63" s="30">
        <v>8</v>
      </c>
      <c r="AY63" s="30">
        <v>6.73</v>
      </c>
      <c r="AZ63" s="104">
        <v>11.5</v>
      </c>
      <c r="BA63" s="104">
        <v>10.23</v>
      </c>
    </row>
    <row r="64" spans="1:53">
      <c r="M64" s="30">
        <v>63</v>
      </c>
      <c r="N64" s="45">
        <v>28</v>
      </c>
      <c r="O64" s="30" t="s">
        <v>22168</v>
      </c>
      <c r="R64" s="30">
        <v>40</v>
      </c>
      <c r="S64" s="30">
        <v>28</v>
      </c>
      <c r="T64" s="30" t="s">
        <v>22168</v>
      </c>
      <c r="AL64" s="104">
        <v>3.25</v>
      </c>
      <c r="AU64" s="104">
        <v>6</v>
      </c>
      <c r="AZ64" s="104"/>
      <c r="BA64" s="104"/>
    </row>
    <row r="65" spans="13:53">
      <c r="M65" s="30">
        <v>63</v>
      </c>
      <c r="N65" s="45">
        <v>36</v>
      </c>
      <c r="O65" s="30" t="s">
        <v>22167</v>
      </c>
      <c r="R65" s="30">
        <v>50</v>
      </c>
      <c r="S65" s="30">
        <v>22</v>
      </c>
      <c r="T65" s="30" t="s">
        <v>22169</v>
      </c>
      <c r="AL65" s="104">
        <v>1</v>
      </c>
      <c r="AM65" s="104">
        <v>6.48</v>
      </c>
      <c r="AN65" s="104">
        <v>5.48</v>
      </c>
      <c r="AO65" s="104">
        <v>5.3550000000000004</v>
      </c>
      <c r="AP65" s="104">
        <v>4.3550000000000004</v>
      </c>
      <c r="AQ65" s="104">
        <v>6.48</v>
      </c>
      <c r="AR65" s="104">
        <v>5.48</v>
      </c>
      <c r="AU65" s="104">
        <v>2.5</v>
      </c>
      <c r="AV65" s="30">
        <v>10.875</v>
      </c>
      <c r="AW65" s="30">
        <v>9.6050000000000004</v>
      </c>
      <c r="AX65" s="30">
        <v>8.625</v>
      </c>
      <c r="AY65" s="30">
        <v>7.3550000000000004</v>
      </c>
      <c r="AZ65" s="104">
        <v>11.875</v>
      </c>
      <c r="BA65" s="104">
        <v>10.355</v>
      </c>
    </row>
    <row r="66" spans="13:53">
      <c r="M66" s="30">
        <v>63</v>
      </c>
      <c r="N66" s="45">
        <v>45</v>
      </c>
      <c r="O66" s="30" t="s">
        <v>22166</v>
      </c>
      <c r="R66" s="30">
        <v>50</v>
      </c>
      <c r="S66" s="30">
        <v>25</v>
      </c>
      <c r="T66" s="30" t="s">
        <v>22168</v>
      </c>
      <c r="AL66" s="104">
        <v>1.375</v>
      </c>
      <c r="AM66" s="104">
        <v>6.73</v>
      </c>
      <c r="AN66" s="104">
        <v>5.73</v>
      </c>
      <c r="AO66" s="104">
        <v>5.6050000000000004</v>
      </c>
      <c r="AP66" s="104">
        <v>4.6050000000000004</v>
      </c>
      <c r="AQ66" s="104">
        <v>7.23</v>
      </c>
      <c r="AR66" s="104">
        <v>6.23</v>
      </c>
      <c r="AU66" s="104">
        <v>3</v>
      </c>
      <c r="AV66" s="30">
        <v>11.25</v>
      </c>
      <c r="AW66" s="30">
        <v>9.98</v>
      </c>
      <c r="AX66" s="30">
        <v>8.625</v>
      </c>
      <c r="AY66" s="30">
        <v>7.3550000000000004</v>
      </c>
      <c r="AZ66" s="104">
        <v>12.375</v>
      </c>
      <c r="BA66" s="104">
        <v>10.855</v>
      </c>
    </row>
    <row r="67" spans="13:53">
      <c r="M67" s="30">
        <v>80</v>
      </c>
      <c r="N67" s="45">
        <v>36</v>
      </c>
      <c r="O67" s="30" t="s">
        <v>22167</v>
      </c>
      <c r="R67" s="30">
        <v>50</v>
      </c>
      <c r="S67" s="30">
        <v>28</v>
      </c>
      <c r="T67" s="30" t="s">
        <v>22168</v>
      </c>
      <c r="AL67" s="104">
        <v>1.75</v>
      </c>
      <c r="AM67" s="104">
        <v>7.1050000000000004</v>
      </c>
      <c r="AN67" s="104">
        <v>6.1050000000000004</v>
      </c>
      <c r="AO67" s="104">
        <v>5.8550000000000004</v>
      </c>
      <c r="AP67" s="104">
        <v>4.8550000000000004</v>
      </c>
      <c r="AQ67" s="104">
        <v>7.8550000000000004</v>
      </c>
      <c r="AR67" s="104">
        <v>6.8550000000000004</v>
      </c>
      <c r="AU67" s="104">
        <v>3.5</v>
      </c>
      <c r="AV67" s="30">
        <v>12</v>
      </c>
      <c r="AW67" s="30">
        <v>10.73</v>
      </c>
      <c r="AX67" s="30">
        <v>8.625</v>
      </c>
      <c r="AY67" s="30">
        <v>7.3550000000000004</v>
      </c>
      <c r="AZ67" s="104">
        <v>12.375</v>
      </c>
      <c r="BA67" s="104">
        <v>10.855</v>
      </c>
    </row>
    <row r="68" spans="13:53">
      <c r="M68" s="30">
        <v>80</v>
      </c>
      <c r="N68" s="45">
        <v>45</v>
      </c>
      <c r="O68" s="30" t="s">
        <v>22166</v>
      </c>
      <c r="R68" s="30">
        <v>50</v>
      </c>
      <c r="S68" s="30">
        <v>36</v>
      </c>
      <c r="T68" s="30" t="s">
        <v>22167</v>
      </c>
      <c r="AL68" s="104">
        <v>2</v>
      </c>
      <c r="AM68" s="104">
        <v>7.73</v>
      </c>
      <c r="AN68" s="104">
        <v>6.73</v>
      </c>
      <c r="AO68" s="104">
        <v>5.98</v>
      </c>
      <c r="AP68" s="104">
        <v>4.9800000000000004</v>
      </c>
      <c r="AQ68" s="104">
        <v>8.23</v>
      </c>
      <c r="AR68" s="104">
        <v>7.23</v>
      </c>
      <c r="AU68" s="104">
        <v>4</v>
      </c>
      <c r="AV68" s="30">
        <v>12.125</v>
      </c>
      <c r="AW68" s="30">
        <v>10.855</v>
      </c>
      <c r="AX68" s="30">
        <v>8.625</v>
      </c>
      <c r="AY68" s="30">
        <v>7.3550000000000004</v>
      </c>
      <c r="AZ68" s="104">
        <v>12.875</v>
      </c>
      <c r="BA68" s="104">
        <v>11.355</v>
      </c>
    </row>
    <row r="69" spans="13:53">
      <c r="M69" s="30">
        <v>80</v>
      </c>
      <c r="N69" s="45">
        <v>56</v>
      </c>
      <c r="O69" s="30" t="s">
        <v>22165</v>
      </c>
      <c r="R69" s="30">
        <v>63</v>
      </c>
      <c r="S69" s="30">
        <v>28</v>
      </c>
      <c r="T69" s="30" t="s">
        <v>22168</v>
      </c>
      <c r="AL69" s="104">
        <v>4</v>
      </c>
      <c r="AU69" s="104">
        <v>8</v>
      </c>
      <c r="AZ69" s="104"/>
      <c r="BA69" s="104"/>
    </row>
    <row r="70" spans="13:53">
      <c r="M70" s="30">
        <v>100</v>
      </c>
      <c r="N70" s="45">
        <v>45</v>
      </c>
      <c r="O70" s="30" t="s">
        <v>22166</v>
      </c>
      <c r="R70" s="30">
        <v>63</v>
      </c>
      <c r="S70" s="30">
        <v>36</v>
      </c>
      <c r="T70" s="30" t="s">
        <v>22167</v>
      </c>
      <c r="AL70" s="104">
        <v>1</v>
      </c>
      <c r="AM70" s="104">
        <v>6.48</v>
      </c>
      <c r="AN70" s="104">
        <v>5.48</v>
      </c>
      <c r="AO70" s="104">
        <v>5.3550000000000004</v>
      </c>
      <c r="AP70" s="104">
        <v>4.3550000000000004</v>
      </c>
      <c r="AQ70" s="104">
        <v>6.48</v>
      </c>
      <c r="AR70" s="104">
        <v>5.48</v>
      </c>
      <c r="AU70" s="104">
        <v>3.5</v>
      </c>
      <c r="AV70" s="30">
        <v>14.125</v>
      </c>
      <c r="AW70" s="30">
        <v>12.105</v>
      </c>
      <c r="AX70" s="30">
        <v>10.75</v>
      </c>
      <c r="AY70" s="30">
        <v>8.73</v>
      </c>
      <c r="AZ70" s="104">
        <v>14.25</v>
      </c>
      <c r="BA70" s="104">
        <v>12.23</v>
      </c>
    </row>
    <row r="71" spans="13:53">
      <c r="M71" s="30">
        <v>100</v>
      </c>
      <c r="N71" s="45">
        <v>56</v>
      </c>
      <c r="O71" s="30" t="s">
        <v>22165</v>
      </c>
      <c r="R71" s="30">
        <v>63</v>
      </c>
      <c r="S71" s="30">
        <v>45</v>
      </c>
      <c r="T71" s="30" t="s">
        <v>22166</v>
      </c>
      <c r="AL71" s="104">
        <v>1.375</v>
      </c>
      <c r="AM71" s="104">
        <v>6.73</v>
      </c>
      <c r="AN71" s="104">
        <v>5.73</v>
      </c>
      <c r="AO71" s="104">
        <v>5.6050000000000004</v>
      </c>
      <c r="AP71" s="104">
        <v>4.6050000000000004</v>
      </c>
      <c r="AQ71" s="104">
        <v>7.23</v>
      </c>
      <c r="AR71" s="104">
        <v>6.23</v>
      </c>
      <c r="AU71" s="104">
        <v>4</v>
      </c>
      <c r="AV71" s="30">
        <v>14.25</v>
      </c>
      <c r="AW71" s="30">
        <v>12.23</v>
      </c>
      <c r="AX71" s="30">
        <v>10.75</v>
      </c>
      <c r="AY71" s="30">
        <v>8.73</v>
      </c>
      <c r="AZ71" s="104">
        <v>14.75</v>
      </c>
      <c r="BA71" s="104">
        <v>12.73</v>
      </c>
    </row>
    <row r="72" spans="13:53">
      <c r="M72" s="30">
        <v>100</v>
      </c>
      <c r="N72" s="45">
        <v>70</v>
      </c>
      <c r="O72" s="30" t="s">
        <v>22164</v>
      </c>
      <c r="R72" s="30">
        <v>80</v>
      </c>
      <c r="S72" s="30">
        <v>36</v>
      </c>
      <c r="T72" s="30" t="s">
        <v>22167</v>
      </c>
      <c r="AL72" s="104">
        <v>1.75</v>
      </c>
      <c r="AM72" s="104">
        <v>7.1050000000000004</v>
      </c>
      <c r="AN72" s="104">
        <v>6.1050000000000004</v>
      </c>
      <c r="AO72" s="104">
        <v>5.8550000000000004</v>
      </c>
      <c r="AP72" s="104">
        <v>4.8550000000000004</v>
      </c>
      <c r="AQ72" s="104">
        <v>7.8550000000000004</v>
      </c>
      <c r="AR72" s="104">
        <v>6.8550000000000004</v>
      </c>
      <c r="AU72" s="104">
        <v>4.5</v>
      </c>
      <c r="AV72" s="30">
        <v>15</v>
      </c>
      <c r="AW72" s="30">
        <v>12.98</v>
      </c>
      <c r="AX72" s="30">
        <v>10.75</v>
      </c>
      <c r="AY72" s="30">
        <v>8.73</v>
      </c>
      <c r="AZ72" s="104">
        <v>15.25</v>
      </c>
      <c r="BA72" s="104">
        <v>13.23</v>
      </c>
    </row>
    <row r="73" spans="13:53">
      <c r="M73" s="30">
        <v>125</v>
      </c>
      <c r="N73" s="45">
        <v>56</v>
      </c>
      <c r="O73" s="30" t="s">
        <v>22165</v>
      </c>
      <c r="R73" s="30">
        <v>80</v>
      </c>
      <c r="S73" s="30">
        <v>45</v>
      </c>
      <c r="T73" s="30" t="s">
        <v>22166</v>
      </c>
      <c r="AL73" s="104">
        <v>2</v>
      </c>
      <c r="AM73" s="104">
        <v>7.73</v>
      </c>
      <c r="AN73" s="104">
        <v>6.73</v>
      </c>
      <c r="AO73" s="104">
        <v>5.98</v>
      </c>
      <c r="AP73" s="104">
        <v>4.9800000000000004</v>
      </c>
      <c r="AQ73" s="104">
        <v>8.23</v>
      </c>
      <c r="AR73" s="104">
        <v>7.23</v>
      </c>
      <c r="AU73" s="104"/>
    </row>
    <row r="74" spans="13:53">
      <c r="M74" s="30">
        <v>125</v>
      </c>
      <c r="N74" s="45">
        <v>70</v>
      </c>
      <c r="O74" s="30" t="s">
        <v>22164</v>
      </c>
      <c r="R74" s="30">
        <v>80</v>
      </c>
      <c r="S74" s="30">
        <v>56</v>
      </c>
      <c r="T74" s="30" t="s">
        <v>22165</v>
      </c>
      <c r="AL74" s="104">
        <v>5</v>
      </c>
    </row>
    <row r="75" spans="13:53">
      <c r="M75" s="30">
        <v>125</v>
      </c>
      <c r="N75" s="45">
        <v>90</v>
      </c>
      <c r="O75" s="30" t="s">
        <v>22163</v>
      </c>
      <c r="R75" s="30">
        <v>100</v>
      </c>
      <c r="S75" s="30">
        <v>45</v>
      </c>
      <c r="T75" s="30" t="s">
        <v>22166</v>
      </c>
      <c r="AL75" s="104">
        <v>1</v>
      </c>
      <c r="AM75" s="104">
        <v>6.73</v>
      </c>
      <c r="AN75" s="104">
        <v>5.73</v>
      </c>
      <c r="AO75" s="104">
        <v>5.6050000000000004</v>
      </c>
      <c r="AP75" s="104">
        <v>4.6050000000000004</v>
      </c>
      <c r="AQ75" s="104">
        <v>6.73</v>
      </c>
      <c r="AR75" s="104">
        <v>5.73</v>
      </c>
    </row>
    <row r="76" spans="13:53">
      <c r="M76" s="30">
        <v>160</v>
      </c>
      <c r="N76" s="45">
        <v>70</v>
      </c>
      <c r="O76" s="30" t="s">
        <v>22164</v>
      </c>
      <c r="R76" s="30">
        <v>100</v>
      </c>
      <c r="S76" s="30">
        <v>56</v>
      </c>
      <c r="T76" s="30" t="s">
        <v>22165</v>
      </c>
      <c r="AL76" s="104">
        <v>1.375</v>
      </c>
      <c r="AM76" s="104">
        <v>6.98</v>
      </c>
      <c r="AN76" s="104">
        <v>5.98</v>
      </c>
      <c r="AO76" s="104">
        <v>5.8550000000000004</v>
      </c>
      <c r="AP76" s="104">
        <v>4.8550000000000004</v>
      </c>
      <c r="AQ76" s="104">
        <v>7.48</v>
      </c>
      <c r="AR76" s="104">
        <v>6.48</v>
      </c>
    </row>
    <row r="77" spans="13:53">
      <c r="M77" s="30">
        <v>160</v>
      </c>
      <c r="N77" s="45">
        <v>90</v>
      </c>
      <c r="O77" s="30" t="s">
        <v>22163</v>
      </c>
      <c r="R77" s="30">
        <v>100</v>
      </c>
      <c r="S77" s="30">
        <v>70</v>
      </c>
      <c r="T77" s="30" t="s">
        <v>22164</v>
      </c>
      <c r="AL77" s="104">
        <v>1.75</v>
      </c>
      <c r="AM77" s="104">
        <v>7.3550000000000004</v>
      </c>
      <c r="AN77" s="104">
        <v>6.3550000000000004</v>
      </c>
      <c r="AO77" s="104">
        <v>6.1050000000000004</v>
      </c>
      <c r="AP77" s="104">
        <v>5.1050000000000004</v>
      </c>
      <c r="AQ77" s="104">
        <v>8.1050000000000004</v>
      </c>
      <c r="AR77" s="104">
        <v>7.1050000000000004</v>
      </c>
    </row>
    <row r="78" spans="13:53">
      <c r="M78" s="30">
        <v>160</v>
      </c>
      <c r="N78" s="45">
        <v>110</v>
      </c>
      <c r="O78" s="30" t="s">
        <v>22162</v>
      </c>
      <c r="R78" s="30">
        <v>125</v>
      </c>
      <c r="S78" s="30">
        <v>56</v>
      </c>
      <c r="T78" s="30" t="s">
        <v>22165</v>
      </c>
      <c r="AL78" s="104">
        <v>2</v>
      </c>
      <c r="AM78" s="104">
        <v>7.98</v>
      </c>
      <c r="AN78" s="104">
        <v>6.98</v>
      </c>
      <c r="AO78" s="104">
        <v>6.23</v>
      </c>
      <c r="AP78" s="104">
        <v>5.23</v>
      </c>
      <c r="AQ78" s="104">
        <v>8.48</v>
      </c>
      <c r="AR78" s="104">
        <v>7.48</v>
      </c>
    </row>
    <row r="79" spans="13:53">
      <c r="M79" s="30">
        <v>200</v>
      </c>
      <c r="N79" s="45">
        <v>90</v>
      </c>
      <c r="O79" s="30" t="s">
        <v>22163</v>
      </c>
      <c r="R79" s="30">
        <v>125</v>
      </c>
      <c r="S79" s="30">
        <v>70</v>
      </c>
      <c r="T79" s="30" t="s">
        <v>22164</v>
      </c>
      <c r="AL79" s="104">
        <v>6</v>
      </c>
    </row>
    <row r="80" spans="13:53">
      <c r="M80" s="30">
        <v>200</v>
      </c>
      <c r="N80" s="45">
        <v>110</v>
      </c>
      <c r="O80" s="30" t="s">
        <v>22162</v>
      </c>
      <c r="R80" s="30">
        <v>125</v>
      </c>
      <c r="S80" s="30">
        <v>90</v>
      </c>
      <c r="T80" s="30" t="s">
        <v>22163</v>
      </c>
      <c r="AL80" s="104">
        <v>1.375</v>
      </c>
      <c r="AM80" s="104">
        <v>7.48</v>
      </c>
      <c r="AN80" s="104">
        <v>6.23</v>
      </c>
      <c r="AO80" s="104">
        <v>6.3550000000000004</v>
      </c>
      <c r="AP80" s="104">
        <v>5.1050000000000004</v>
      </c>
      <c r="AQ80" s="104">
        <v>7.98</v>
      </c>
      <c r="AR80" s="104">
        <v>6.73</v>
      </c>
    </row>
    <row r="81" spans="13:44">
      <c r="M81" s="30">
        <v>200</v>
      </c>
      <c r="N81" s="45">
        <v>140</v>
      </c>
      <c r="O81" s="30" t="s">
        <v>22161</v>
      </c>
      <c r="R81" s="30">
        <v>160</v>
      </c>
      <c r="S81" s="30">
        <v>70</v>
      </c>
      <c r="T81" s="30" t="s">
        <v>22164</v>
      </c>
      <c r="AL81" s="104">
        <v>1.75</v>
      </c>
      <c r="AM81" s="104">
        <v>7.8550000000000004</v>
      </c>
      <c r="AN81" s="104">
        <v>6.6050000000000004</v>
      </c>
      <c r="AO81" s="104">
        <v>6.6050000000000004</v>
      </c>
      <c r="AP81" s="104">
        <v>5.3550000000000004</v>
      </c>
      <c r="AQ81" s="104">
        <v>8.6050000000000004</v>
      </c>
      <c r="AR81" s="104">
        <v>7.3550000000000004</v>
      </c>
    </row>
    <row r="82" spans="13:44">
      <c r="R82" s="30">
        <v>160</v>
      </c>
      <c r="S82" s="30">
        <v>90</v>
      </c>
      <c r="T82" s="30" t="s">
        <v>22163</v>
      </c>
      <c r="AL82" s="104">
        <v>2</v>
      </c>
      <c r="AM82" s="104">
        <v>8.48</v>
      </c>
      <c r="AN82" s="104">
        <v>7.23</v>
      </c>
      <c r="AO82" s="104">
        <v>6.73</v>
      </c>
      <c r="AP82" s="104">
        <v>5.48</v>
      </c>
      <c r="AQ82" s="104">
        <v>8.98</v>
      </c>
      <c r="AR82" s="104">
        <v>7.73</v>
      </c>
    </row>
    <row r="83" spans="13:44">
      <c r="R83" s="30">
        <v>160</v>
      </c>
      <c r="S83" s="30">
        <v>110</v>
      </c>
      <c r="T83" s="30" t="s">
        <v>22162</v>
      </c>
      <c r="AL83" s="104">
        <v>2.5</v>
      </c>
      <c r="AM83" s="104">
        <v>9.23</v>
      </c>
      <c r="AN83" s="104">
        <v>7.98</v>
      </c>
      <c r="AO83" s="104">
        <v>6.98</v>
      </c>
      <c r="AP83" s="104">
        <v>5.73</v>
      </c>
      <c r="AQ83" s="104">
        <v>9.98</v>
      </c>
      <c r="AR83" s="104">
        <v>8.73</v>
      </c>
    </row>
    <row r="84" spans="13:44">
      <c r="R84" s="30">
        <v>200</v>
      </c>
      <c r="S84" s="30">
        <v>90</v>
      </c>
      <c r="T84" s="30" t="s">
        <v>22163</v>
      </c>
      <c r="AL84" s="104">
        <v>7</v>
      </c>
    </row>
    <row r="85" spans="13:44">
      <c r="R85" s="30">
        <v>200</v>
      </c>
      <c r="S85" s="30">
        <v>110</v>
      </c>
      <c r="T85" s="30" t="s">
        <v>22162</v>
      </c>
      <c r="AL85" s="104">
        <v>1.375</v>
      </c>
      <c r="AM85" s="104">
        <v>7.6050000000000004</v>
      </c>
      <c r="AN85" s="104">
        <v>6.3550000000000004</v>
      </c>
      <c r="AO85" s="104">
        <v>6.48</v>
      </c>
      <c r="AP85" s="104">
        <v>5.23</v>
      </c>
      <c r="AQ85" s="104">
        <v>8.1050000000000004</v>
      </c>
      <c r="AR85" s="104">
        <v>6.8550000000000004</v>
      </c>
    </row>
    <row r="86" spans="13:44">
      <c r="R86" s="30">
        <v>200</v>
      </c>
      <c r="S86" s="30">
        <v>140</v>
      </c>
      <c r="T86" s="30" t="s">
        <v>22161</v>
      </c>
      <c r="AL86" s="104">
        <v>1.75</v>
      </c>
      <c r="AM86" s="104">
        <v>7.98</v>
      </c>
      <c r="AN86" s="104">
        <v>6.73</v>
      </c>
      <c r="AO86" s="104">
        <v>6.73</v>
      </c>
      <c r="AP86" s="104">
        <v>5.48</v>
      </c>
      <c r="AQ86" s="104">
        <v>8.73</v>
      </c>
      <c r="AR86" s="104">
        <v>7.48</v>
      </c>
    </row>
    <row r="87" spans="13:44">
      <c r="AL87" s="104">
        <v>2</v>
      </c>
      <c r="AM87" s="104">
        <v>8.6050000000000004</v>
      </c>
      <c r="AN87" s="104">
        <v>7.3550000000000004</v>
      </c>
      <c r="AO87" s="104">
        <v>6.8550000000000004</v>
      </c>
      <c r="AP87" s="104">
        <v>5.6050000000000004</v>
      </c>
      <c r="AQ87" s="104">
        <v>9.1050000000000004</v>
      </c>
      <c r="AR87" s="104">
        <v>7.8550000000000004</v>
      </c>
    </row>
    <row r="88" spans="13:44">
      <c r="AL88" s="104">
        <v>2.5</v>
      </c>
      <c r="AM88" s="104">
        <v>9.3550000000000004</v>
      </c>
      <c r="AN88" s="104">
        <v>8.1050000000000004</v>
      </c>
      <c r="AO88" s="104">
        <v>7.1050000000000004</v>
      </c>
      <c r="AP88" s="104">
        <v>5.8550000000000004</v>
      </c>
      <c r="AQ88" s="104">
        <v>10.105</v>
      </c>
      <c r="AR88" s="104">
        <v>8.8550000000000004</v>
      </c>
    </row>
    <row r="89" spans="13:44">
      <c r="AL89" s="104">
        <v>8</v>
      </c>
    </row>
    <row r="90" spans="13:44">
      <c r="AL90" s="104">
        <v>1.375</v>
      </c>
      <c r="AM90" s="104">
        <v>7.6050000000000004</v>
      </c>
      <c r="AN90" s="104">
        <v>6.3550000000000004</v>
      </c>
      <c r="AO90" s="104">
        <v>6.48</v>
      </c>
      <c r="AP90" s="104">
        <v>5.23</v>
      </c>
      <c r="AQ90" s="104">
        <v>8.1050000000000004</v>
      </c>
      <c r="AR90" s="104">
        <v>6.8550000000000004</v>
      </c>
    </row>
    <row r="91" spans="13:44">
      <c r="AL91" s="104">
        <v>1.75</v>
      </c>
      <c r="AM91" s="104">
        <v>7.98</v>
      </c>
      <c r="AN91" s="104">
        <v>6.73</v>
      </c>
      <c r="AO91" s="104">
        <v>6.73</v>
      </c>
      <c r="AP91" s="104">
        <v>5.48</v>
      </c>
      <c r="AQ91" s="104">
        <v>8.73</v>
      </c>
      <c r="AR91" s="104">
        <v>7.48</v>
      </c>
    </row>
    <row r="92" spans="13:44">
      <c r="AL92" s="104">
        <v>2</v>
      </c>
      <c r="AM92" s="104">
        <v>8.6050000000000004</v>
      </c>
      <c r="AN92" s="104">
        <v>7.3550000000000004</v>
      </c>
      <c r="AO92" s="104">
        <v>6.8550000000000004</v>
      </c>
      <c r="AP92" s="104">
        <v>5.6050000000000004</v>
      </c>
      <c r="AQ92" s="104">
        <v>9.1050000000000004</v>
      </c>
      <c r="AR92" s="104">
        <v>7.8550000000000004</v>
      </c>
    </row>
    <row r="93" spans="13:44">
      <c r="AL93" s="104">
        <v>2.5</v>
      </c>
      <c r="AM93" s="104">
        <v>9.3550000000000004</v>
      </c>
      <c r="AN93" s="104">
        <v>8.1050000000000004</v>
      </c>
      <c r="AO93" s="104">
        <v>7.1050000000000004</v>
      </c>
      <c r="AP93" s="104">
        <v>5.8550000000000004</v>
      </c>
      <c r="AQ93" s="104">
        <v>10.105</v>
      </c>
      <c r="AR93" s="104">
        <v>8.8550000000000004</v>
      </c>
    </row>
  </sheetData>
  <mergeCells count="24">
    <mergeCell ref="A28:A32"/>
    <mergeCell ref="AA5:AE5"/>
    <mergeCell ref="A7:A8"/>
    <mergeCell ref="A9:A10"/>
    <mergeCell ref="A11:A13"/>
    <mergeCell ref="A17:A19"/>
    <mergeCell ref="A20:A23"/>
    <mergeCell ref="A24:A27"/>
    <mergeCell ref="A1:K1"/>
    <mergeCell ref="A2:K2"/>
    <mergeCell ref="A14:A16"/>
    <mergeCell ref="AZ41:BA41"/>
    <mergeCell ref="AV7:AW7"/>
    <mergeCell ref="AX7:AY7"/>
    <mergeCell ref="AZ7:BA7"/>
    <mergeCell ref="AV41:AW41"/>
    <mergeCell ref="AX41:AY41"/>
    <mergeCell ref="A33:A37"/>
    <mergeCell ref="AV6:BA6"/>
    <mergeCell ref="AG6:AJ6"/>
    <mergeCell ref="AM7:AN7"/>
    <mergeCell ref="AO7:AP7"/>
    <mergeCell ref="AQ7:AR7"/>
    <mergeCell ref="AM6:AR6"/>
  </mergeCells>
  <phoneticPr fontId="2" type="noConversion"/>
  <printOptions horizontalCentered="1" verticalCentered="1"/>
  <pageMargins left="0.25" right="0.25" top="0.25" bottom="0.25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R68"/>
  <sheetViews>
    <sheetView workbookViewId="0">
      <selection activeCell="G15" sqref="G15"/>
    </sheetView>
  </sheetViews>
  <sheetFormatPr defaultColWidth="9.08984375" defaultRowHeight="11.5"/>
  <cols>
    <col min="1" max="1" width="6" style="30" bestFit="1" customWidth="1"/>
    <col min="2" max="2" width="6.54296875" style="45" customWidth="1"/>
    <col min="3" max="3" width="10" style="30" customWidth="1"/>
    <col min="4" max="4" width="6.54296875" style="30" customWidth="1"/>
    <col min="5" max="5" width="7.36328125" style="30" customWidth="1"/>
    <col min="6" max="6" width="9.54296875" style="30" customWidth="1"/>
    <col min="7" max="7" width="11.08984375" style="30" customWidth="1"/>
    <col min="8" max="8" width="6.54296875" style="30" customWidth="1"/>
    <col min="9" max="9" width="7.36328125" style="30" customWidth="1"/>
    <col min="10" max="10" width="9.54296875" style="30" customWidth="1"/>
    <col min="11" max="14" width="9.08984375" style="47"/>
    <col min="15" max="15" width="14.453125" style="47" customWidth="1"/>
    <col min="16" max="16" width="9.08984375" style="47"/>
    <col min="17" max="17" width="10" style="47" customWidth="1"/>
    <col min="18" max="16384" width="9.08984375" style="47"/>
  </cols>
  <sheetData>
    <row r="1" spans="1:17">
      <c r="A1" s="592" t="s">
        <v>472</v>
      </c>
      <c r="B1" s="592"/>
      <c r="C1" s="592"/>
      <c r="D1" s="592"/>
      <c r="E1" s="592"/>
      <c r="F1" s="592"/>
      <c r="G1" s="592"/>
      <c r="H1" s="592"/>
      <c r="I1" s="592"/>
      <c r="J1" s="592"/>
      <c r="K1" s="592"/>
      <c r="L1" s="592"/>
      <c r="M1" s="592"/>
      <c r="N1" s="592"/>
      <c r="O1" s="592"/>
      <c r="P1" s="592"/>
    </row>
    <row r="2" spans="1:17">
      <c r="A2" s="592" t="s">
        <v>384</v>
      </c>
      <c r="B2" s="592"/>
      <c r="C2" s="592"/>
      <c r="D2" s="592"/>
      <c r="E2" s="592"/>
      <c r="F2" s="592"/>
      <c r="G2" s="592"/>
      <c r="H2" s="592"/>
      <c r="I2" s="592"/>
      <c r="J2" s="592"/>
      <c r="K2" s="592"/>
      <c r="L2" s="592"/>
      <c r="M2" s="592"/>
      <c r="N2" s="592"/>
      <c r="O2" s="592"/>
      <c r="P2" s="592"/>
    </row>
    <row r="3" spans="1:17">
      <c r="B3" s="30"/>
      <c r="K3" s="30"/>
      <c r="L3" s="30"/>
      <c r="M3" s="30"/>
      <c r="N3" s="30"/>
      <c r="O3" s="30"/>
      <c r="P3" s="30"/>
    </row>
    <row r="4" spans="1:17" ht="9" customHeight="1">
      <c r="A4" s="601" t="s">
        <v>440</v>
      </c>
      <c r="B4" s="601" t="s">
        <v>87</v>
      </c>
      <c r="C4" s="595" t="s">
        <v>540</v>
      </c>
      <c r="D4" s="595" t="s">
        <v>670</v>
      </c>
      <c r="E4" s="595"/>
      <c r="F4" s="595" t="s">
        <v>166</v>
      </c>
      <c r="G4" s="595"/>
      <c r="H4" s="595" t="s">
        <v>573</v>
      </c>
      <c r="I4" s="595"/>
      <c r="J4" s="595" t="s">
        <v>269</v>
      </c>
      <c r="K4" s="595" t="s">
        <v>440</v>
      </c>
      <c r="L4" s="595" t="s">
        <v>87</v>
      </c>
      <c r="M4" s="595" t="s">
        <v>265</v>
      </c>
      <c r="N4" s="598" t="s">
        <v>670</v>
      </c>
      <c r="O4" s="598" t="s">
        <v>84</v>
      </c>
      <c r="P4" s="598" t="s">
        <v>573</v>
      </c>
      <c r="Q4" s="595" t="s">
        <v>269</v>
      </c>
    </row>
    <row r="5" spans="1:17" ht="9" customHeight="1">
      <c r="A5" s="601"/>
      <c r="B5" s="601"/>
      <c r="C5" s="595"/>
      <c r="D5" s="595"/>
      <c r="E5" s="595"/>
      <c r="F5" s="595"/>
      <c r="G5" s="595"/>
      <c r="H5" s="595"/>
      <c r="I5" s="595"/>
      <c r="J5" s="595"/>
      <c r="K5" s="595"/>
      <c r="L5" s="595"/>
      <c r="M5" s="595"/>
      <c r="N5" s="598"/>
      <c r="O5" s="598"/>
      <c r="P5" s="598"/>
      <c r="Q5" s="595"/>
    </row>
    <row r="6" spans="1:17" ht="12.75" customHeight="1">
      <c r="A6" s="602"/>
      <c r="B6" s="602"/>
      <c r="C6" s="596"/>
      <c r="D6" s="597"/>
      <c r="E6" s="597"/>
      <c r="F6" s="597"/>
      <c r="G6" s="597"/>
      <c r="H6" s="597"/>
      <c r="I6" s="597"/>
      <c r="J6" s="600"/>
      <c r="K6" s="596"/>
      <c r="L6" s="596"/>
      <c r="M6" s="596"/>
      <c r="N6" s="599"/>
      <c r="O6" s="599"/>
      <c r="P6" s="599"/>
      <c r="Q6" s="596"/>
    </row>
    <row r="7" spans="1:17">
      <c r="A7" s="602"/>
      <c r="B7" s="602"/>
      <c r="C7" s="596"/>
      <c r="D7" s="30" t="s">
        <v>181</v>
      </c>
      <c r="E7" s="30" t="s">
        <v>448</v>
      </c>
      <c r="F7" s="30" t="s">
        <v>181</v>
      </c>
      <c r="G7" s="30" t="s">
        <v>448</v>
      </c>
      <c r="H7" s="30" t="s">
        <v>181</v>
      </c>
      <c r="I7" s="30" t="s">
        <v>448</v>
      </c>
      <c r="J7" s="600"/>
      <c r="K7" s="596"/>
      <c r="L7" s="596"/>
      <c r="M7" s="596"/>
      <c r="N7" s="599"/>
      <c r="O7" s="599"/>
      <c r="P7" s="599"/>
      <c r="Q7" s="596"/>
    </row>
    <row r="8" spans="1:17">
      <c r="A8" s="45">
        <v>1.5</v>
      </c>
      <c r="B8" s="45">
        <v>0.625</v>
      </c>
      <c r="C8" s="57">
        <v>14</v>
      </c>
      <c r="D8" s="30">
        <v>57</v>
      </c>
      <c r="E8" s="30">
        <v>44</v>
      </c>
      <c r="F8" s="30">
        <v>40</v>
      </c>
      <c r="G8" s="30">
        <v>6</v>
      </c>
      <c r="H8" s="57">
        <v>490</v>
      </c>
      <c r="I8" s="57">
        <v>16</v>
      </c>
      <c r="J8" s="50">
        <v>17</v>
      </c>
      <c r="K8" s="43">
        <v>1.5</v>
      </c>
      <c r="L8" s="104">
        <v>0.625</v>
      </c>
      <c r="M8" s="30" t="str">
        <f>IF(OR(Data!B$3="H",Data!B$3="MH",Data!B$3="HM",Data!B$3="W"),IF(K8=Data!B$4,IF(L8=Data!B$6,C8*Data!B$11,""),""),"")</f>
        <v/>
      </c>
      <c r="N8" s="30" t="str">
        <f>IF(Data!B$12&gt;0.1,IF(OR(Data!B$3="H",Data!B$3="MH",Data!B$3="HM",Data!B$3="W"),IF($K8=Data!B$4,IF($L8=Data!B$6,D8+E8*Data!B$12,""),""),""),"")</f>
        <v/>
      </c>
      <c r="O8" s="30" t="str">
        <f>IF(Data!B$17="Y",IF(OR(Data!B$3="H",Data!B$3="MH",Data!B$3="HM",Data!B$3="W"),IF($K8=Data!B$4,IF($L8=Data!B$6,F8+G8*Data!B$8,""),""),""),"")</f>
        <v/>
      </c>
      <c r="P8" s="30" t="str">
        <f>IF(Data!B$21="Y",IF(OR(Data!B$3="H",Data!B$3="MH",Data!B$3="HM",Data!B$3="W"),IF($K8=Data!B$4,IF($L8=Data!B$6,H8+I8*Data!B$8,""),""),""),"")</f>
        <v/>
      </c>
      <c r="Q8" s="30" t="str">
        <f>IF(OR(Data!B$3="H",Data!B$3="MH",Data!B$3="HM",Data!B$3="W"),IF($K8=Data!$B$4,IF($L8=Data!$B$6,J8*Data!$B$27,""),""),"")</f>
        <v/>
      </c>
    </row>
    <row r="9" spans="1:17">
      <c r="A9" s="45"/>
      <c r="B9" s="45">
        <v>1</v>
      </c>
      <c r="C9" s="116">
        <v>16</v>
      </c>
      <c r="D9" s="30">
        <v>67</v>
      </c>
      <c r="E9" s="30">
        <v>51</v>
      </c>
      <c r="F9" s="30">
        <v>72</v>
      </c>
      <c r="G9" s="30">
        <v>7</v>
      </c>
      <c r="H9" s="57">
        <v>490</v>
      </c>
      <c r="I9" s="57">
        <v>16</v>
      </c>
      <c r="J9" s="50">
        <v>18</v>
      </c>
      <c r="K9" s="43">
        <v>1.5</v>
      </c>
      <c r="L9" s="104">
        <v>1</v>
      </c>
      <c r="M9" s="30" t="str">
        <f>IF(OR(Data!B$3="H",Data!B$3="MH",Data!B$3="HM",Data!B$3="W"),IF(K9=Data!B$4,IF(L9=Data!B$6,C9*Data!B$11,""),""),"")</f>
        <v/>
      </c>
      <c r="N9" s="30" t="str">
        <f>IF(Data!B$12&gt;0.1,IF(OR(Data!B$3="H",Data!B$3="MH",Data!B$3="HM",Data!B$3="W"),IF($K9=Data!B$4,IF($L9=Data!B$6,D9+E9*Data!B$12,""),""),""),"")</f>
        <v/>
      </c>
      <c r="O9" s="30" t="str">
        <f>IF(Data!B$17="Y",IF(OR(Data!B$3="H",Data!B$3="MH",Data!B$3="HM",Data!B$3="W"),IF($K9=Data!B$4,IF($L9=Data!B$6,F9+G9*Data!B$8,""),""),""),"")</f>
        <v/>
      </c>
      <c r="P9" s="30" t="str">
        <f>IF(Data!B$21="Y",IF(OR(Data!B$3="H",Data!B$3="MH",Data!B$3="HM",Data!B$3="W"),IF($K9=Data!B$4,IF($L9=Data!B$6,H9+I9*Data!B$8,""),""),""),"")</f>
        <v/>
      </c>
      <c r="Q9" s="30" t="str">
        <f>IF(OR(Data!B$3="H",Data!B$3="MH",Data!B$3="HM",Data!B$3="W"),IF($K9=Data!$B$4,IF($L9=Data!$B$6,J9*Data!$B$27,""),""),"")</f>
        <v/>
      </c>
    </row>
    <row r="10" spans="1:17">
      <c r="A10" s="30">
        <v>2</v>
      </c>
      <c r="B10" s="45">
        <v>1</v>
      </c>
      <c r="C10" s="57">
        <v>16</v>
      </c>
      <c r="D10" s="30">
        <v>67</v>
      </c>
      <c r="E10" s="30">
        <v>50</v>
      </c>
      <c r="F10" s="30">
        <v>72</v>
      </c>
      <c r="G10" s="30">
        <v>7</v>
      </c>
      <c r="H10" s="57">
        <v>490</v>
      </c>
      <c r="I10" s="57">
        <v>16</v>
      </c>
      <c r="J10" s="50">
        <v>18</v>
      </c>
      <c r="K10" s="43">
        <v>2</v>
      </c>
      <c r="L10" s="104">
        <v>1</v>
      </c>
      <c r="M10" s="30" t="str">
        <f>IF(OR(Data!B$3="H",Data!B$3="MH",Data!B$3="HM",Data!B$3="W"),IF(K10=Data!B$4,IF(L10=Data!B$6,C10*Data!B$11,""),""),"")</f>
        <v/>
      </c>
      <c r="N10" s="30" t="str">
        <f>IF(Data!B$12&gt;0.1,IF(OR(Data!B$3="H",Data!B$3="MH",Data!B$3="HM",Data!B$3="W"),IF($K10=Data!B$4,IF($L10=Data!B$6,D10+E10*Data!B$12,""),""),""),"")</f>
        <v/>
      </c>
      <c r="O10" s="30" t="str">
        <f>IF(Data!B$17="Y",IF(OR(Data!B$3="H",Data!B$3="MH",Data!B$3="HM",Data!B$3="W"),IF($K10=Data!B$4,IF($L10=Data!B$6,F10+G10*Data!B$8,""),""),""),"")</f>
        <v/>
      </c>
      <c r="P10" s="30" t="str">
        <f>IF(Data!B$21="Y",IF(OR(Data!B$3="H",Data!B$3="MH",Data!B$3="HM",Data!B$3="W"),IF($K10=Data!B$4,IF($L10=Data!B$6,H10+I10*Data!B$8,""),""),""),"")</f>
        <v/>
      </c>
      <c r="Q10" s="30" t="str">
        <f>IF(OR(Data!B$3="H",Data!B$3="MH",Data!B$3="HM",Data!B$3="W"),IF($K10=Data!$B$4,IF($L10=Data!$B$6,J10*Data!$B$27,""),""),"")</f>
        <v/>
      </c>
    </row>
    <row r="11" spans="1:17">
      <c r="B11" s="45">
        <v>1.375</v>
      </c>
      <c r="C11" s="116">
        <v>18</v>
      </c>
      <c r="D11" s="30">
        <v>72</v>
      </c>
      <c r="E11" s="30">
        <v>63</v>
      </c>
      <c r="F11" s="30">
        <v>143</v>
      </c>
      <c r="G11" s="30">
        <v>10</v>
      </c>
      <c r="H11" s="57">
        <v>490</v>
      </c>
      <c r="I11" s="57">
        <v>16</v>
      </c>
      <c r="J11" s="50">
        <v>21</v>
      </c>
      <c r="K11" s="43">
        <v>2</v>
      </c>
      <c r="L11" s="104">
        <v>1.375</v>
      </c>
      <c r="M11" s="30" t="str">
        <f>IF(OR(Data!B$3="H",Data!B$3="MH",Data!B$3="HM",Data!B$3="W"),IF(K11=Data!B$4,IF(L11=Data!B$6,C11*Data!B$11,""),""),"")</f>
        <v/>
      </c>
      <c r="N11" s="30" t="str">
        <f>IF(Data!B$12&gt;0.1,IF(OR(Data!B$3="H",Data!B$3="MH",Data!B$3="HM",Data!B$3="W"),IF($K11=Data!B$4,IF($L11=Data!B$6,D11+E11*Data!B$12,""),""),""),"")</f>
        <v/>
      </c>
      <c r="O11" s="30" t="str">
        <f>IF(Data!B$17="Y",IF(OR(Data!B$3="H",Data!B$3="MH",Data!B$3="HM",Data!B$3="W"),IF($K11=Data!B$4,IF($L11=Data!B$6,F11+G11*Data!B$8,""),""),""),"")</f>
        <v/>
      </c>
      <c r="P11" s="30" t="str">
        <f>IF(Data!B$21="Y",IF(OR(Data!B$3="H",Data!B$3="MH",Data!B$3="HM",Data!B$3="W"),IF($K11=Data!B$4,IF($L11=Data!B$6,H11+I11*Data!B$8,""),""),""),"")</f>
        <v/>
      </c>
      <c r="Q11" s="30" t="str">
        <f>IF(OR(Data!B$3="H",Data!B$3="MH",Data!B$3="HM",Data!B$3="W"),IF($K11=Data!$B$4,IF($L11=Data!$B$6,J11*Data!$B$27,""),""),"")</f>
        <v/>
      </c>
    </row>
    <row r="12" spans="1:17">
      <c r="A12" s="45">
        <v>2.5</v>
      </c>
      <c r="B12" s="45">
        <v>1</v>
      </c>
      <c r="C12" s="57">
        <v>16</v>
      </c>
      <c r="D12" s="30">
        <v>72</v>
      </c>
      <c r="E12" s="30">
        <v>50</v>
      </c>
      <c r="F12" s="30">
        <v>72</v>
      </c>
      <c r="G12" s="30">
        <v>7</v>
      </c>
      <c r="H12" s="57">
        <v>490</v>
      </c>
      <c r="I12" s="57">
        <v>16</v>
      </c>
      <c r="J12" s="50">
        <v>18</v>
      </c>
      <c r="K12" s="43">
        <v>2.5</v>
      </c>
      <c r="L12" s="104">
        <v>1</v>
      </c>
      <c r="M12" s="30" t="str">
        <f>IF(OR(Data!B$3="H",Data!B$3="MH",Data!B$3="HM",Data!B$3="W"),IF(K12=Data!B$4,IF(L12=Data!B$6,C12*Data!B$11,""),""),"")</f>
        <v/>
      </c>
      <c r="N12" s="30" t="str">
        <f>IF(Data!B$12&gt;0.1,IF(OR(Data!B$3="H",Data!B$3="MH",Data!B$3="HM",Data!B$3="W"),IF($K12=Data!B$4,IF($L12=Data!B$6,D12+E12*Data!B$12,""),""),""),"")</f>
        <v/>
      </c>
      <c r="O12" s="30" t="str">
        <f>IF(Data!B$17="Y",IF(OR(Data!B$3="H",Data!B$3="MH",Data!B$3="HM",Data!B$3="W"),IF($K12=Data!B$4,IF($L12=Data!B$6,F12+G12*Data!B$8,""),""),""),"")</f>
        <v/>
      </c>
      <c r="P12" s="30" t="str">
        <f>IF(Data!B$21="Y",IF(OR(Data!B$3="H",Data!B$3="MH",Data!B$3="HM",Data!B$3="W"),IF($K12=Data!B$4,IF($L12=Data!B$6,H12+I12*Data!B$8,""),""),""),"")</f>
        <v/>
      </c>
      <c r="Q12" s="30" t="str">
        <f>IF(OR(Data!B$3="H",Data!B$3="MH",Data!B$3="HM",Data!B$3="W"),IF($K12=Data!$B$4,IF($L12=Data!$B$6,J12*Data!$B$27,""),""),"")</f>
        <v/>
      </c>
    </row>
    <row r="13" spans="1:17">
      <c r="B13" s="45">
        <v>1.375</v>
      </c>
      <c r="C13" s="57">
        <v>18</v>
      </c>
      <c r="D13" s="30">
        <v>73</v>
      </c>
      <c r="E13" s="30">
        <v>54</v>
      </c>
      <c r="F13" s="30">
        <v>143</v>
      </c>
      <c r="G13" s="30">
        <v>10</v>
      </c>
      <c r="H13" s="57">
        <v>490</v>
      </c>
      <c r="I13" s="57">
        <v>16</v>
      </c>
      <c r="J13" s="50">
        <v>21</v>
      </c>
      <c r="K13" s="43">
        <v>2.5</v>
      </c>
      <c r="L13" s="104">
        <v>1.375</v>
      </c>
      <c r="M13" s="30" t="str">
        <f>IF(OR(Data!B$3="H",Data!B$3="MH",Data!B$3="HM",Data!B$3="W"),IF(K13=Data!B$4,IF(L13=Data!B$6,C13*Data!B$11,""),""),"")</f>
        <v/>
      </c>
      <c r="N13" s="30" t="str">
        <f>IF(Data!B$12&gt;0.1,IF(OR(Data!B$3="H",Data!B$3="MH",Data!B$3="HM",Data!B$3="W"),IF($K13=Data!B$4,IF($L13=Data!B$6,D13+E13*Data!B$12,""),""),""),"")</f>
        <v/>
      </c>
      <c r="O13" s="30" t="str">
        <f>IF(Data!B$17="Y",IF(OR(Data!B$3="H",Data!B$3="MH",Data!B$3="HM",Data!B$3="W"),IF($K13=Data!B$4,IF($L13=Data!B$6,F13+G13*Data!B$8,""),""),""),"")</f>
        <v/>
      </c>
      <c r="P13" s="30" t="str">
        <f>IF(Data!B$21="Y",IF(OR(Data!B$3="H",Data!B$3="MH",Data!B$3="HM",Data!B$3="W"),IF($K13=Data!B$4,IF($L13=Data!B$6,H13+I13*Data!B$8,""),""),""),"")</f>
        <v/>
      </c>
      <c r="Q13" s="30" t="str">
        <f>IF(OR(Data!B$3="H",Data!B$3="MH",Data!B$3="HM",Data!B$3="W"),IF($K13=Data!$B$4,IF($L13=Data!$B$6,J13*Data!$B$27,""),""),"")</f>
        <v/>
      </c>
    </row>
    <row r="14" spans="1:17">
      <c r="A14" s="45"/>
      <c r="B14" s="45">
        <v>1.75</v>
      </c>
      <c r="C14" s="116">
        <v>19</v>
      </c>
      <c r="D14" s="30">
        <v>78</v>
      </c>
      <c r="E14" s="30">
        <v>63</v>
      </c>
      <c r="F14" s="30">
        <v>292</v>
      </c>
      <c r="G14" s="30">
        <v>11</v>
      </c>
      <c r="H14" s="57">
        <v>490</v>
      </c>
      <c r="I14" s="57">
        <v>16</v>
      </c>
      <c r="J14" s="50">
        <v>26</v>
      </c>
      <c r="K14" s="43">
        <v>2.5</v>
      </c>
      <c r="L14" s="104">
        <v>1.75</v>
      </c>
      <c r="M14" s="30" t="str">
        <f>IF(OR(Data!B$3="H",Data!B$3="MH",Data!B$3="HM",Data!B$3="W"),IF(K14=Data!B$4,IF(L14=Data!B$6,C14*Data!B$11,""),""),"")</f>
        <v/>
      </c>
      <c r="N14" s="30" t="str">
        <f>IF(Data!B$12&gt;0.1,IF(OR(Data!B$3="H",Data!B$3="MH",Data!B$3="HM",Data!B$3="W"),IF($K14=Data!B$4,IF($L14=Data!B$6,D14+E14*Data!B$12,""),""),""),"")</f>
        <v/>
      </c>
      <c r="O14" s="30" t="str">
        <f>IF(Data!B$17="Y",IF(OR(Data!B$3="H",Data!B$3="MH",Data!B$3="HM",Data!B$3="W"),IF($K14=Data!B$4,IF($L14=Data!B$6,F14+G14*Data!B$8,""),""),""),"")</f>
        <v/>
      </c>
      <c r="P14" s="30" t="str">
        <f>IF(Data!B$21="Y",IF(OR(Data!B$3="H",Data!B$3="MH",Data!B$3="HM",Data!B$3="W"),IF($K14=Data!B$4,IF($L14=Data!B$6,H14+I14*Data!B$8,""),""),""),"")</f>
        <v/>
      </c>
      <c r="Q14" s="30" t="str">
        <f>IF(OR(Data!B$3="H",Data!B$3="MH",Data!B$3="HM",Data!B$3="W"),IF($K14=Data!$B$4,IF($L14=Data!$B$6,J14*Data!$B$27,""),""),"")</f>
        <v/>
      </c>
    </row>
    <row r="15" spans="1:17">
      <c r="A15" s="45">
        <v>3.25</v>
      </c>
      <c r="B15" s="45">
        <v>1.375</v>
      </c>
      <c r="C15" s="57">
        <v>18</v>
      </c>
      <c r="D15" s="30">
        <v>78</v>
      </c>
      <c r="E15" s="30">
        <v>59</v>
      </c>
      <c r="F15" s="30">
        <v>143</v>
      </c>
      <c r="G15" s="30">
        <v>10</v>
      </c>
      <c r="H15" s="57">
        <v>490</v>
      </c>
      <c r="I15" s="57">
        <v>16</v>
      </c>
      <c r="J15" s="50">
        <v>21</v>
      </c>
      <c r="K15" s="43">
        <v>3.25</v>
      </c>
      <c r="L15" s="104">
        <v>1.375</v>
      </c>
      <c r="M15" s="30" t="str">
        <f>IF(OR(Data!B$3="H",Data!B$3="MH",Data!B$3="HM",Data!B$3="W"),IF(K15=Data!B$4,IF(L15=Data!B$6,C15*Data!B$11,""),""),"")</f>
        <v/>
      </c>
      <c r="N15" s="30" t="str">
        <f>IF(Data!B$12&gt;0.1,IF(OR(Data!B$3="H",Data!B$3="MH",Data!B$3="HM",Data!B$3="W"),IF($K15=Data!B$4,IF($L15=Data!B$6,D15+E15*Data!B$12,""),""),""),"")</f>
        <v/>
      </c>
      <c r="O15" s="30" t="str">
        <f>IF(Data!B$17="Y",IF(OR(Data!B$3="H",Data!B$3="MH",Data!B$3="HM",Data!B$3="W"),IF($K15=Data!B$4,IF($L15=Data!B$6,F15+G15*Data!B$8,""),""),""),"")</f>
        <v/>
      </c>
      <c r="P15" s="30" t="str">
        <f>IF(Data!B$21="Y",IF(OR(Data!B$3="H",Data!B$3="MH",Data!B$3="HM",Data!B$3="W"),IF($K15=Data!B$4,IF($L15=Data!B$6,H15+I15*Data!B$8,""),""),""),"")</f>
        <v/>
      </c>
      <c r="Q15" s="30" t="str">
        <f>IF(OR(Data!B$3="H",Data!B$3="MH",Data!B$3="HM",Data!B$3="W"),IF($K15=Data!$B$4,IF($L15=Data!$B$6,J15*Data!$B$27,""),""),"")</f>
        <v/>
      </c>
    </row>
    <row r="16" spans="1:17">
      <c r="B16" s="45">
        <v>1.75</v>
      </c>
      <c r="C16" s="57">
        <v>19</v>
      </c>
      <c r="D16" s="30">
        <v>82</v>
      </c>
      <c r="E16" s="30">
        <v>70</v>
      </c>
      <c r="F16" s="30">
        <v>292</v>
      </c>
      <c r="G16" s="30">
        <v>11</v>
      </c>
      <c r="H16" s="57">
        <v>490</v>
      </c>
      <c r="I16" s="57">
        <v>16</v>
      </c>
      <c r="J16" s="50">
        <v>26</v>
      </c>
      <c r="K16" s="43">
        <v>3.25</v>
      </c>
      <c r="L16" s="104">
        <v>1.75</v>
      </c>
      <c r="M16" s="30" t="str">
        <f>IF(OR(Data!B$3="H",Data!B$3="MH",Data!B$3="HM",Data!B$3="W"),IF(K16=Data!B$4,IF(L16=Data!B$6,C16*Data!B$11,""),""),"")</f>
        <v/>
      </c>
      <c r="N16" s="30" t="str">
        <f>IF(Data!B$12&gt;0.1,IF(OR(Data!B$3="H",Data!B$3="MH",Data!B$3="HM",Data!B$3="W"),IF($K16=Data!B$4,IF($L16=Data!B$6,D16+E16*Data!B$12,""),""),""),"")</f>
        <v/>
      </c>
      <c r="O16" s="30" t="str">
        <f>IF(Data!B$17="Y",IF(OR(Data!B$3="H",Data!B$3="MH",Data!B$3="HM",Data!B$3="W"),IF($K16=Data!B$4,IF($L16=Data!B$6,F16+G16*Data!B$8,""),""),""),"")</f>
        <v/>
      </c>
      <c r="P16" s="30" t="str">
        <f>IF(Data!B$21="Y",IF(OR(Data!B$3="H",Data!B$3="MH",Data!B$3="HM",Data!B$3="W"),IF($K16=Data!B$4,IF($L16=Data!B$6,H16+I16*Data!B$8,""),""),""),"")</f>
        <v/>
      </c>
      <c r="Q16" s="30" t="str">
        <f>IF(OR(Data!B$3="H",Data!B$3="MH",Data!B$3="HM",Data!B$3="W"),IF($K16=Data!$B$4,IF($L16=Data!$B$6,J16*Data!$B$27,""),""),"")</f>
        <v/>
      </c>
    </row>
    <row r="17" spans="1:17">
      <c r="A17" s="45"/>
      <c r="B17" s="45">
        <v>2</v>
      </c>
      <c r="C17" s="116">
        <v>20</v>
      </c>
      <c r="D17" s="30">
        <v>110</v>
      </c>
      <c r="E17" s="30">
        <v>91</v>
      </c>
      <c r="F17" s="30">
        <v>423</v>
      </c>
      <c r="G17" s="30">
        <v>13</v>
      </c>
      <c r="H17" s="57">
        <v>490</v>
      </c>
      <c r="I17" s="57">
        <v>16</v>
      </c>
      <c r="J17" s="50">
        <v>28</v>
      </c>
      <c r="K17" s="43">
        <v>3.25</v>
      </c>
      <c r="L17" s="104">
        <v>2</v>
      </c>
      <c r="M17" s="30" t="str">
        <f>IF(OR(Data!B$3="H",Data!B$3="MH",Data!B$3="HM",Data!B$3="W"),IF(K17=Data!B$4,IF(L17=Data!B$6,C17*Data!B$11,""),""),"")</f>
        <v/>
      </c>
      <c r="N17" s="30" t="str">
        <f>IF(Data!B$12&gt;0.1,IF(OR(Data!B$3="H",Data!B$3="MH",Data!B$3="HM",Data!B$3="W"),IF($K17=Data!B$4,IF($L17=Data!B$6,D17+E17*Data!B$12,""),""),""),"")</f>
        <v/>
      </c>
      <c r="O17" s="30" t="str">
        <f>IF(Data!B$17="Y",IF(OR(Data!B$3="H",Data!B$3="MH",Data!B$3="HM",Data!B$3="W"),IF($K17=Data!B$4,IF($L17=Data!B$6,F17+G17*Data!B$8,""),""),""),"")</f>
        <v/>
      </c>
      <c r="P17" s="30" t="str">
        <f>IF(Data!B$21="Y",IF(OR(Data!B$3="H",Data!B$3="MH",Data!B$3="HM",Data!B$3="W"),IF($K17=Data!B$4,IF($L17=Data!B$6,H17+I17*Data!B$8,""),""),""),"")</f>
        <v/>
      </c>
      <c r="Q17" s="30" t="str">
        <f>IF(OR(Data!B$3="H",Data!B$3="MH",Data!B$3="HM",Data!B$3="W"),IF($K17=Data!$B$4,IF($L17=Data!$B$6,J17*Data!$B$27,""),""),"")</f>
        <v/>
      </c>
    </row>
    <row r="18" spans="1:17">
      <c r="A18" s="30">
        <v>4</v>
      </c>
      <c r="B18" s="45">
        <v>1.75</v>
      </c>
      <c r="C18" s="57">
        <v>19</v>
      </c>
      <c r="D18" s="30">
        <v>98</v>
      </c>
      <c r="E18" s="30">
        <v>78</v>
      </c>
      <c r="F18" s="30">
        <v>292</v>
      </c>
      <c r="G18" s="30">
        <v>11</v>
      </c>
      <c r="H18" s="57">
        <v>490</v>
      </c>
      <c r="I18" s="57">
        <v>17</v>
      </c>
      <c r="J18" s="50">
        <v>26</v>
      </c>
      <c r="K18" s="43">
        <v>4</v>
      </c>
      <c r="L18" s="104">
        <v>1.75</v>
      </c>
      <c r="M18" s="30" t="str">
        <f>IF(OR(Data!B$3="H",Data!B$3="MH",Data!B$3="HM",Data!B$3="W"),IF(K18=Data!B$4,IF(L18=Data!B$6,C18*Data!B$11,""),""),"")</f>
        <v/>
      </c>
      <c r="N18" s="30" t="str">
        <f>IF(Data!B$12&gt;0.1,IF(OR(Data!B$3="H",Data!B$3="MH",Data!B$3="HM",Data!B$3="W"),IF($K18=Data!B$4,IF($L18=Data!B$6,D18+E18*Data!B$12,""),""),""),"")</f>
        <v/>
      </c>
      <c r="O18" s="30" t="str">
        <f>IF(Data!B$17="Y",IF(OR(Data!B$3="H",Data!B$3="MH",Data!B$3="HM",Data!B$3="W"),IF($K18=Data!B$4,IF($L18=Data!B$6,F18+G18*Data!B$8,""),""),""),"")</f>
        <v/>
      </c>
      <c r="P18" s="30" t="str">
        <f>IF(Data!B$21="Y",IF(OR(Data!B$3="H",Data!B$3="MH",Data!B$3="HM",Data!B$3="W"),IF($K18=Data!B$4,IF($L18=Data!B$6,H18+I18*Data!B$8,""),""),""),"")</f>
        <v/>
      </c>
      <c r="Q18" s="30" t="str">
        <f>IF(OR(Data!B$3="H",Data!B$3="MH",Data!B$3="HM",Data!B$3="W"),IF($K18=Data!$B$4,IF($L18=Data!$B$6,J18*Data!$B$27,""),""),"")</f>
        <v/>
      </c>
    </row>
    <row r="19" spans="1:17">
      <c r="B19" s="45">
        <v>2</v>
      </c>
      <c r="C19" s="57">
        <v>20</v>
      </c>
      <c r="D19" s="30">
        <v>107</v>
      </c>
      <c r="E19" s="30">
        <v>80</v>
      </c>
      <c r="F19" s="30">
        <v>423</v>
      </c>
      <c r="G19" s="30">
        <v>13</v>
      </c>
      <c r="H19" s="57">
        <v>490</v>
      </c>
      <c r="I19" s="57">
        <v>17</v>
      </c>
      <c r="J19" s="50">
        <v>28</v>
      </c>
      <c r="K19" s="43">
        <v>4</v>
      </c>
      <c r="L19" s="104">
        <v>2</v>
      </c>
      <c r="M19" s="30" t="str">
        <f>IF(OR(Data!B$3="H",Data!B$3="MH",Data!B$3="HM",Data!B$3="W"),IF(K19=Data!B$4,IF(L19=Data!B$6,C19*Data!B$11,""),""),"")</f>
        <v/>
      </c>
      <c r="N19" s="30" t="str">
        <f>IF(Data!B$12&gt;0.1,IF(OR(Data!B$3="H",Data!B$3="MH",Data!B$3="HM",Data!B$3="W"),IF($K19=Data!B$4,IF($L19=Data!B$6,D19+E19*Data!B$12,""),""),""),"")</f>
        <v/>
      </c>
      <c r="O19" s="30" t="str">
        <f>IF(Data!B$17="Y",IF(OR(Data!B$3="H",Data!B$3="MH",Data!B$3="HM",Data!B$3="W"),IF($K19=Data!B$4,IF($L19=Data!B$6,F19+G19*Data!B$8,""),""),""),"")</f>
        <v/>
      </c>
      <c r="P19" s="30" t="str">
        <f>IF(Data!B$21="Y",IF(OR(Data!B$3="H",Data!B$3="MH",Data!B$3="HM",Data!B$3="W"),IF($K19=Data!B$4,IF($L19=Data!B$6,H19+I19*Data!B$8,""),""),""),"")</f>
        <v/>
      </c>
      <c r="Q19" s="30" t="str">
        <f>IF(OR(Data!B$3="H",Data!B$3="MH",Data!B$3="HM",Data!B$3="W"),IF($K19=Data!$B$4,IF($L19=Data!$B$6,J19*Data!$B$27,""),""),"")</f>
        <v/>
      </c>
    </row>
    <row r="20" spans="1:17">
      <c r="B20" s="45">
        <v>2.5</v>
      </c>
      <c r="C20" s="116">
        <v>25</v>
      </c>
      <c r="D20" s="30">
        <v>118</v>
      </c>
      <c r="E20" s="30">
        <v>103</v>
      </c>
      <c r="F20" s="30">
        <v>805</v>
      </c>
      <c r="G20" s="30">
        <v>18</v>
      </c>
      <c r="H20" s="57">
        <v>490</v>
      </c>
      <c r="I20" s="57">
        <v>17</v>
      </c>
      <c r="J20" s="50">
        <v>30</v>
      </c>
      <c r="K20" s="43">
        <v>4</v>
      </c>
      <c r="L20" s="104">
        <v>2.5</v>
      </c>
      <c r="M20" s="30" t="str">
        <f>IF(OR(Data!B$3="H",Data!B$3="MH",Data!B$3="HM",Data!B$3="W"),IF(K20=Data!B$4,IF(L20=Data!B$6,C20*Data!B$11,""),""),"")</f>
        <v/>
      </c>
      <c r="N20" s="30" t="str">
        <f>IF(Data!B$12&gt;0.1,IF(OR(Data!B$3="H",Data!B$3="MH",Data!B$3="HM",Data!B$3="W"),IF($K20=Data!B$4,IF($L20=Data!B$6,D20+E20*Data!B$12,""),""),""),"")</f>
        <v/>
      </c>
      <c r="O20" s="30" t="str">
        <f>IF(Data!B$17="Y",IF(OR(Data!B$3="H",Data!B$3="MH",Data!B$3="HM",Data!B$3="W"),IF($K20=Data!B$4,IF($L20=Data!B$6,F20+G20*Data!B$8,""),""),""),"")</f>
        <v/>
      </c>
      <c r="P20" s="30" t="str">
        <f>IF(Data!B$21="Y",IF(OR(Data!B$3="H",Data!B$3="MH",Data!B$3="HM",Data!B$3="W"),IF($K20=Data!B$4,IF($L20=Data!B$6,H20+I20*Data!B$8,""),""),""),"")</f>
        <v/>
      </c>
      <c r="Q20" s="30" t="str">
        <f>IF(OR(Data!B$3="H",Data!B$3="MH",Data!B$3="HM",Data!B$3="W"),IF($K20=Data!$B$4,IF($L20=Data!$B$6,J20*Data!$B$27,""),""),"")</f>
        <v/>
      </c>
    </row>
    <row r="21" spans="1:17">
      <c r="A21" s="30">
        <v>5</v>
      </c>
      <c r="B21" s="45">
        <v>2</v>
      </c>
      <c r="C21" s="57">
        <v>20</v>
      </c>
      <c r="D21" s="30">
        <v>123</v>
      </c>
      <c r="E21" s="30">
        <v>100</v>
      </c>
      <c r="F21" s="30">
        <v>423</v>
      </c>
      <c r="G21" s="30">
        <v>13</v>
      </c>
      <c r="H21" s="57">
        <v>510</v>
      </c>
      <c r="I21" s="57">
        <v>17</v>
      </c>
      <c r="J21" s="50">
        <v>28</v>
      </c>
      <c r="K21" s="43">
        <v>5</v>
      </c>
      <c r="L21" s="104">
        <v>2</v>
      </c>
      <c r="M21" s="30">
        <f>IF(OR(Data!B$3="H",Data!B$3="MH",Data!B$3="HM",Data!B$3="W"),IF(K21=Data!B$4,IF(L21=Data!B$6,C21*Data!B$11,""),""),"")</f>
        <v>0</v>
      </c>
      <c r="N21" s="30" t="str">
        <f>IF(Data!B$12&gt;0.1,IF(OR(Data!B$3="H",Data!B$3="MH",Data!B$3="HM",Data!B$3="W"),IF($K21=Data!B$4,IF($L21=Data!B$6,D21+E21*Data!B$12,""),""),""),"")</f>
        <v/>
      </c>
      <c r="O21" s="30" t="str">
        <f>IF(Data!B$17="Y",IF(OR(Data!B$3="H",Data!B$3="MH",Data!B$3="HM",Data!B$3="W"),IF($K21=Data!B$4,IF($L21=Data!B$6,F21+G21*Data!B$8,""),""),""),"")</f>
        <v/>
      </c>
      <c r="P21" s="30" t="str">
        <f>IF(Data!B$21="Y",IF(OR(Data!B$3="H",Data!B$3="MH",Data!B$3="HM",Data!B$3="W"),IF($K21=Data!B$4,IF($L21=Data!B$6,H21+I21*Data!B$8,""),""),""),"")</f>
        <v/>
      </c>
      <c r="Q21" s="30">
        <f>IF(OR(Data!B$3="H",Data!B$3="MH",Data!B$3="HM",Data!B$3="W"),IF($K21=Data!$B$4,IF($L21=Data!$B$6,J21*Data!$B$27,""),""),"")</f>
        <v>0</v>
      </c>
    </row>
    <row r="22" spans="1:17">
      <c r="B22" s="45">
        <v>2.5</v>
      </c>
      <c r="C22" s="57">
        <v>25</v>
      </c>
      <c r="D22" s="30">
        <v>132</v>
      </c>
      <c r="E22" s="30">
        <v>111</v>
      </c>
      <c r="F22" s="30">
        <v>805</v>
      </c>
      <c r="G22" s="30">
        <v>18</v>
      </c>
      <c r="H22" s="57">
        <v>510</v>
      </c>
      <c r="I22" s="57">
        <v>17</v>
      </c>
      <c r="J22" s="50">
        <v>30</v>
      </c>
      <c r="K22" s="43">
        <v>5</v>
      </c>
      <c r="L22" s="104">
        <v>2.5</v>
      </c>
      <c r="M22" s="30" t="str">
        <f>IF(OR(Data!B$3="H",Data!B$3="MH",Data!B$3="HM",Data!B$3="W"),IF(K22=Data!B$4,IF(L22=Data!B$6,C22*Data!B$11,""),""),"")</f>
        <v/>
      </c>
      <c r="N22" s="30" t="str">
        <f>IF(Data!B$12&gt;0.1,IF(OR(Data!B$3="H",Data!B$3="MH",Data!B$3="HM",Data!B$3="W"),IF($K22=Data!B$4,IF($L22=Data!B$6,D22+E22*Data!B$12,""),""),""),"")</f>
        <v/>
      </c>
      <c r="O22" s="30" t="str">
        <f>IF(Data!B$17="Y",IF(OR(Data!B$3="H",Data!B$3="MH",Data!B$3="HM",Data!B$3="W"),IF($K22=Data!B$4,IF($L22=Data!B$6,F22+G22*Data!B$8,""),""),""),"")</f>
        <v/>
      </c>
      <c r="P22" s="30" t="str">
        <f>IF(Data!B$21="Y",IF(OR(Data!B$3="H",Data!B$3="MH",Data!B$3="HM",Data!B$3="W"),IF($K22=Data!B$4,IF($L22=Data!B$6,H22+I22*Data!B$8,""),""),""),"")</f>
        <v/>
      </c>
      <c r="Q22" s="30" t="str">
        <f>IF(OR(Data!B$3="H",Data!B$3="MH",Data!B$3="HM",Data!B$3="W"),IF($K22=Data!$B$4,IF($L22=Data!$B$6,J22*Data!$B$27,""),""),"")</f>
        <v/>
      </c>
    </row>
    <row r="23" spans="1:17">
      <c r="B23" s="45">
        <v>3</v>
      </c>
      <c r="C23" s="116">
        <v>40</v>
      </c>
      <c r="D23" s="30">
        <v>143</v>
      </c>
      <c r="E23" s="30">
        <v>131</v>
      </c>
      <c r="F23" s="30">
        <v>1234</v>
      </c>
      <c r="G23" s="30">
        <v>25</v>
      </c>
      <c r="H23" s="57">
        <v>510</v>
      </c>
      <c r="I23" s="57">
        <v>17</v>
      </c>
      <c r="J23" s="50">
        <v>58</v>
      </c>
      <c r="K23" s="43">
        <v>5</v>
      </c>
      <c r="L23" s="104">
        <v>3</v>
      </c>
      <c r="M23" s="30" t="str">
        <f>IF(OR(Data!B$3="H",Data!B$3="MH",Data!B$3="HM",Data!B$3="W"),IF(K23=Data!B$4,IF(L23=Data!B$6,C23*Data!B$11,""),""),"")</f>
        <v/>
      </c>
      <c r="N23" s="30" t="str">
        <f>IF(Data!B$12&gt;0.1,IF(OR(Data!B$3="H",Data!B$3="MH",Data!B$3="HM",Data!B$3="W"),IF($K23=Data!B$4,IF($L23=Data!B$6,D23+E23*Data!B$12,""),""),""),"")</f>
        <v/>
      </c>
      <c r="O23" s="30" t="str">
        <f>IF(Data!B$17="Y",IF(OR(Data!B$3="H",Data!B$3="MH",Data!B$3="HM",Data!B$3="W"),IF($K23=Data!B$4,IF($L23=Data!B$6,F23+G23*Data!B$8,""),""),""),"")</f>
        <v/>
      </c>
      <c r="P23" s="30" t="str">
        <f>IF(Data!B$21="Y",IF(OR(Data!B$3="H",Data!B$3="MH",Data!B$3="HM",Data!B$3="W"),IF($K23=Data!B$4,IF($L23=Data!B$6,H23+I23*Data!B$8,""),""),""),"")</f>
        <v/>
      </c>
      <c r="Q23" s="30" t="str">
        <f>IF(OR(Data!B$3="H",Data!B$3="MH",Data!B$3="HM",Data!B$3="W"),IF($K23=Data!$B$4,IF($L23=Data!$B$6,J23*Data!$B$27,""),""),"")</f>
        <v/>
      </c>
    </row>
    <row r="24" spans="1:17">
      <c r="B24" s="45">
        <v>3.5</v>
      </c>
      <c r="C24" s="116">
        <v>50</v>
      </c>
      <c r="D24" s="30">
        <v>153</v>
      </c>
      <c r="E24" s="30">
        <v>145</v>
      </c>
      <c r="F24" s="30">
        <v>1560</v>
      </c>
      <c r="G24" s="30">
        <v>32</v>
      </c>
      <c r="H24" s="57">
        <v>510</v>
      </c>
      <c r="I24" s="57">
        <v>17</v>
      </c>
      <c r="J24" s="50">
        <v>68</v>
      </c>
      <c r="K24" s="43">
        <v>5</v>
      </c>
      <c r="L24" s="104">
        <v>3.5</v>
      </c>
      <c r="M24" s="30" t="str">
        <f>IF(OR(Data!B$3="H",Data!B$3="MH",Data!B$3="HM",Data!B$3="W"),IF(K24=Data!B$4,IF(L24=Data!B$6,C24*Data!B$11,""),""),"")</f>
        <v/>
      </c>
      <c r="N24" s="30" t="str">
        <f>IF(Data!B$12&gt;0.1,IF(OR(Data!B$3="H",Data!B$3="MH",Data!B$3="HM",Data!B$3="W"),IF($K24=Data!B$4,IF($L24=Data!B$6,D24+E24*Data!B$12,""),""),""),"")</f>
        <v/>
      </c>
      <c r="O24" s="30" t="str">
        <f>IF(Data!B$17="Y",IF(OR(Data!B$3="H",Data!B$3="MH",Data!B$3="HM",Data!B$3="W"),IF($K24=Data!B$4,IF($L24=Data!B$6,F24+G24*Data!B$8,""),""),""),"")</f>
        <v/>
      </c>
      <c r="P24" s="30" t="str">
        <f>IF(Data!B$21="Y",IF(OR(Data!B$3="H",Data!B$3="MH",Data!B$3="HM",Data!B$3="W"),IF($K24=Data!B$4,IF($L24=Data!B$6,H24+I24*Data!B$8,""),""),""),"")</f>
        <v/>
      </c>
      <c r="Q24" s="30" t="str">
        <f>IF(OR(Data!B$3="H",Data!B$3="MH",Data!B$3="HM",Data!B$3="W"),IF($K24=Data!$B$4,IF($L24=Data!$B$6,J24*Data!$B$27,""),""),"")</f>
        <v/>
      </c>
    </row>
    <row r="25" spans="1:17">
      <c r="A25" s="30">
        <v>6</v>
      </c>
      <c r="B25" s="45">
        <v>2.5</v>
      </c>
      <c r="C25" s="57">
        <v>25</v>
      </c>
      <c r="D25" s="30">
        <v>139</v>
      </c>
      <c r="E25" s="30">
        <v>124</v>
      </c>
      <c r="F25" s="30">
        <v>805</v>
      </c>
      <c r="G25" s="30">
        <v>18</v>
      </c>
      <c r="H25" s="57">
        <v>510</v>
      </c>
      <c r="I25" s="57">
        <v>17</v>
      </c>
      <c r="J25" s="50">
        <v>30</v>
      </c>
      <c r="K25" s="43">
        <v>6</v>
      </c>
      <c r="L25" s="104">
        <v>2.5</v>
      </c>
      <c r="M25" s="30" t="str">
        <f>IF(OR(Data!B$3="H",Data!B$3="MH",Data!B$3="HM",Data!B$3="W"),IF(K25=Data!B$4,IF(L25=Data!B$6,C25*Data!B$11,""),""),"")</f>
        <v/>
      </c>
      <c r="N25" s="30" t="str">
        <f>IF(Data!B$12&gt;0.1,IF(OR(Data!B$3="H",Data!B$3="MH",Data!B$3="HM",Data!B$3="W"),IF($K25=Data!B$4,IF($L25=Data!B$6,D25+E25*Data!B$12,""),""),""),"")</f>
        <v/>
      </c>
      <c r="O25" s="30" t="str">
        <f>IF(Data!B$17="Y",IF(OR(Data!B$3="H",Data!B$3="MH",Data!B$3="HM",Data!B$3="W"),IF($K25=Data!B$4,IF($L25=Data!B$6,F25+G25*Data!B$8,""),""),""),"")</f>
        <v/>
      </c>
      <c r="P25" s="30" t="str">
        <f>IF(Data!B$21="Y",IF(OR(Data!B$3="H",Data!B$3="MH",Data!B$3="HM",Data!B$3="W"),IF($K25=Data!B$4,IF($L25=Data!B$6,H25+I25*Data!B$8,""),""),""),"")</f>
        <v/>
      </c>
      <c r="Q25" s="30" t="str">
        <f>IF(OR(Data!B$3="H",Data!B$3="MH",Data!B$3="HM",Data!B$3="W"),IF($K25=Data!$B$4,IF($L25=Data!$B$6,J25*Data!$B$27,""),""),"")</f>
        <v/>
      </c>
    </row>
    <row r="26" spans="1:17">
      <c r="B26" s="45">
        <v>3</v>
      </c>
      <c r="C26" s="57">
        <v>40</v>
      </c>
      <c r="D26" s="30">
        <v>157</v>
      </c>
      <c r="E26" s="30">
        <v>138</v>
      </c>
      <c r="F26" s="30">
        <v>1234</v>
      </c>
      <c r="G26" s="30">
        <v>25</v>
      </c>
      <c r="H26" s="57">
        <v>510</v>
      </c>
      <c r="I26" s="57">
        <v>17</v>
      </c>
      <c r="J26" s="50">
        <v>58</v>
      </c>
      <c r="K26" s="43">
        <v>6</v>
      </c>
      <c r="L26" s="104">
        <v>3</v>
      </c>
      <c r="M26" s="30" t="str">
        <f>IF(OR(Data!B$3="H",Data!B$3="MH",Data!B$3="HM",Data!B$3="W"),IF(K26=Data!B$4,IF(L26=Data!B$6,C26*Data!B$11,""),""),"")</f>
        <v/>
      </c>
      <c r="N26" s="30" t="str">
        <f>IF(Data!B$12&gt;0.1,IF(OR(Data!B$3="H",Data!B$3="MH",Data!B$3="HM",Data!B$3="W"),IF($K26=Data!B$4,IF($L26=Data!B$6,D26+E26*Data!B$12,""),""),""),"")</f>
        <v/>
      </c>
      <c r="O26" s="30" t="str">
        <f>IF(Data!B$17="Y",IF(OR(Data!B$3="H",Data!B$3="MH",Data!B$3="HM",Data!B$3="W"),IF($K26=Data!B$4,IF($L26=Data!B$6,F26+G26*Data!B$8,""),""),""),"")</f>
        <v/>
      </c>
      <c r="P26" s="30" t="str">
        <f>IF(Data!B$21="Y",IF(OR(Data!B$3="H",Data!B$3="MH",Data!B$3="HM",Data!B$3="W"),IF($K26=Data!B$4,IF($L26=Data!B$6,H26+I26*Data!B$8,""),""),""),"")</f>
        <v/>
      </c>
      <c r="Q26" s="30" t="str">
        <f>IF(OR(Data!B$3="H",Data!B$3="MH",Data!B$3="HM",Data!B$3="W"),IF($K26=Data!$B$4,IF($L26=Data!$B$6,J26*Data!$B$27,""),""),"")</f>
        <v/>
      </c>
    </row>
    <row r="27" spans="1:17">
      <c r="B27" s="45">
        <v>3.5</v>
      </c>
      <c r="C27" s="57">
        <v>50</v>
      </c>
      <c r="D27" s="30">
        <v>166</v>
      </c>
      <c r="E27" s="30">
        <v>159</v>
      </c>
      <c r="F27" s="30">
        <v>1560</v>
      </c>
      <c r="G27" s="30">
        <v>32</v>
      </c>
      <c r="H27" s="57">
        <v>510</v>
      </c>
      <c r="I27" s="57">
        <v>17</v>
      </c>
      <c r="J27" s="50">
        <v>68</v>
      </c>
      <c r="K27" s="43">
        <v>6</v>
      </c>
      <c r="L27" s="104">
        <v>3.5</v>
      </c>
      <c r="M27" s="30" t="str">
        <f>IF(OR(Data!B$3="H",Data!B$3="MH",Data!B$3="HM",Data!B$3="W"),IF(K27=Data!B$4,IF(L27=Data!B$6,C27*Data!B$11,""),""),"")</f>
        <v/>
      </c>
      <c r="N27" s="30" t="str">
        <f>IF(Data!B$12&gt;0.1,IF(OR(Data!B$3="H",Data!B$3="MH",Data!B$3="HM",Data!B$3="W"),IF($K27=Data!B$4,IF($L27=Data!B$6,D27+E27*Data!B$12,""),""),""),"")</f>
        <v/>
      </c>
      <c r="O27" s="30" t="str">
        <f>IF(Data!B$17="Y",IF(OR(Data!B$3="H",Data!B$3="MH",Data!B$3="HM",Data!B$3="W"),IF($K27=Data!B$4,IF($L27=Data!B$6,F27+G27*Data!B$8,""),""),""),"")</f>
        <v/>
      </c>
      <c r="P27" s="30" t="str">
        <f>IF(Data!B$21="Y",IF(OR(Data!B$3="H",Data!B$3="MH",Data!B$3="HM",Data!B$3="W"),IF($K27=Data!B$4,IF($L27=Data!B$6,H27+I27*Data!B$8,""),""),""),"")</f>
        <v/>
      </c>
      <c r="Q27" s="30" t="str">
        <f>IF(OR(Data!B$3="H",Data!B$3="MH",Data!B$3="HM",Data!B$3="W"),IF($K27=Data!$B$4,IF($L27=Data!$B$6,J27*Data!$B$27,""),""),"")</f>
        <v/>
      </c>
    </row>
    <row r="28" spans="1:17">
      <c r="B28" s="45">
        <v>4</v>
      </c>
      <c r="C28" s="116">
        <v>60</v>
      </c>
      <c r="D28" s="30">
        <v>182</v>
      </c>
      <c r="E28" s="30">
        <v>180</v>
      </c>
      <c r="F28" s="30">
        <v>1859</v>
      </c>
      <c r="G28" s="30">
        <v>44</v>
      </c>
      <c r="H28" s="57">
        <v>510</v>
      </c>
      <c r="I28" s="57">
        <v>17</v>
      </c>
      <c r="J28" s="50">
        <v>84</v>
      </c>
      <c r="K28" s="43">
        <v>6</v>
      </c>
      <c r="L28" s="104">
        <v>4</v>
      </c>
      <c r="M28" s="30" t="str">
        <f>IF(OR(Data!B$3="H",Data!B$3="MH",Data!B$3="HM",Data!B$3="W"),IF(K28=Data!B$4,IF(L28=Data!B$6,C28*Data!B$11,""),""),"")</f>
        <v/>
      </c>
      <c r="N28" s="30" t="str">
        <f>IF(Data!B$12&gt;0.1,IF(OR(Data!B$3="H",Data!B$3="MH",Data!B$3="HM",Data!B$3="W"),IF($K28=Data!B$4,IF($L28=Data!B$6,D28+E28*Data!B$12,""),""),""),"")</f>
        <v/>
      </c>
      <c r="O28" s="30" t="str">
        <f>IF(Data!B$17="Y",IF(OR(Data!B$3="H",Data!B$3="MH",Data!B$3="HM",Data!B$3="W"),IF($K28=Data!B$4,IF($L28=Data!B$6,F28+G28*Data!B$8,""),""),""),"")</f>
        <v/>
      </c>
      <c r="P28" s="30" t="str">
        <f>IF(Data!B$21="Y",IF(OR(Data!B$3="H",Data!B$3="MH",Data!B$3="HM",Data!B$3="W"),IF($K28=Data!B$4,IF($L28=Data!B$6,H28+I28*Data!B$8,""),""),""),"")</f>
        <v/>
      </c>
      <c r="Q28" s="30" t="str">
        <f>IF(OR(Data!B$3="H",Data!B$3="MH",Data!B$3="HM",Data!B$3="W"),IF($K28=Data!$B$4,IF($L28=Data!$B$6,J28*Data!$B$27,""),""),"")</f>
        <v/>
      </c>
    </row>
    <row r="29" spans="1:17">
      <c r="A29" s="30">
        <v>7</v>
      </c>
      <c r="B29" s="45">
        <v>3</v>
      </c>
      <c r="C29" s="57">
        <v>40</v>
      </c>
      <c r="D29" s="30">
        <v>159</v>
      </c>
      <c r="E29" s="30">
        <v>159</v>
      </c>
      <c r="F29" s="30">
        <v>1234</v>
      </c>
      <c r="G29" s="30">
        <v>25</v>
      </c>
      <c r="H29" s="57">
        <v>513</v>
      </c>
      <c r="I29" s="57">
        <v>18</v>
      </c>
      <c r="J29" s="50">
        <v>58</v>
      </c>
      <c r="K29" s="43">
        <v>7</v>
      </c>
      <c r="L29" s="104">
        <v>3</v>
      </c>
      <c r="M29" s="30" t="str">
        <f>IF(OR(Data!B$3="H",Data!B$3="MH",Data!B$3="HM",Data!B$3="W"),IF(K29=Data!B$4,IF(L29=Data!B$6,C29*Data!B$11,""),""),"")</f>
        <v/>
      </c>
      <c r="N29" s="30" t="str">
        <f>IF(Data!B$12&gt;0.1,IF(OR(Data!B$3="H",Data!B$3="MH",Data!B$3="HM",Data!B$3="W"),IF($K29=Data!B$4,IF($L29=Data!B$6,D29+E29*Data!B$12,""),""),""),"")</f>
        <v/>
      </c>
      <c r="O29" s="30" t="str">
        <f>IF(Data!B$17="Y",IF(OR(Data!B$3="H",Data!B$3="MH",Data!B$3="HM",Data!B$3="W"),IF($K29=Data!B$4,IF($L29=Data!B$6,F29+G29*Data!B$8,""),""),""),"")</f>
        <v/>
      </c>
      <c r="P29" s="30" t="str">
        <f>IF(Data!B$21="Y",IF(OR(Data!B$3="H",Data!B$3="MH",Data!B$3="HM",Data!B$3="W"),IF($K29=Data!B$4,IF($L29=Data!B$6,H29+I29*Data!B$8,""),""),""),"")</f>
        <v/>
      </c>
      <c r="Q29" s="30" t="str">
        <f>IF(OR(Data!B$3="H",Data!B$3="MH",Data!B$3="HM",Data!B$3="W"),IF($K29=Data!$B$4,IF($L29=Data!$B$6,J29*Data!$B$27,""),""),"")</f>
        <v/>
      </c>
    </row>
    <row r="30" spans="1:17">
      <c r="B30" s="45">
        <v>3.5</v>
      </c>
      <c r="C30" s="57">
        <v>50</v>
      </c>
      <c r="D30" s="30">
        <v>180</v>
      </c>
      <c r="E30" s="30">
        <v>175</v>
      </c>
      <c r="F30" s="30">
        <v>1560</v>
      </c>
      <c r="G30" s="30">
        <v>32</v>
      </c>
      <c r="H30" s="57">
        <v>513</v>
      </c>
      <c r="I30" s="57">
        <v>18</v>
      </c>
      <c r="J30" s="50">
        <v>68</v>
      </c>
      <c r="K30" s="43">
        <v>7</v>
      </c>
      <c r="L30" s="104">
        <v>3.5</v>
      </c>
      <c r="M30" s="30" t="str">
        <f>IF(OR(Data!B$3="H",Data!B$3="MH",Data!B$3="HM",Data!B$3="W"),IF(K30=Data!B$4,IF(L30=Data!B$6,C30*Data!B$11,""),""),"")</f>
        <v/>
      </c>
      <c r="N30" s="30" t="str">
        <f>IF(Data!B$12&gt;0.1,IF(OR(Data!B$3="H",Data!B$3="MH",Data!B$3="HM",Data!B$3="W"),IF($K30=Data!B$4,IF($L30=Data!B$6,D30+E30*Data!B$12,""),""),""),"")</f>
        <v/>
      </c>
      <c r="O30" s="30" t="str">
        <f>IF(Data!B$17="Y",IF(OR(Data!B$3="H",Data!B$3="MH",Data!B$3="HM",Data!B$3="W"),IF($K30=Data!B$4,IF($L30=Data!B$6,F30+G30*Data!B$8,""),""),""),"")</f>
        <v/>
      </c>
      <c r="P30" s="30" t="str">
        <f>IF(Data!B$21="Y",IF(OR(Data!B$3="H",Data!B$3="MH",Data!B$3="HM",Data!B$3="W"),IF($K30=Data!B$4,IF($L30=Data!B$6,H30+I30*Data!B$8,""),""),""),"")</f>
        <v/>
      </c>
      <c r="Q30" s="30" t="str">
        <f>IF(OR(Data!B$3="H",Data!B$3="MH",Data!B$3="HM",Data!B$3="W"),IF($K30=Data!$B$4,IF($L30=Data!$B$6,J30*Data!$B$27,""),""),"")</f>
        <v/>
      </c>
    </row>
    <row r="31" spans="1:17">
      <c r="B31" s="45">
        <v>4</v>
      </c>
      <c r="C31" s="57">
        <v>60</v>
      </c>
      <c r="D31" s="30">
        <v>196</v>
      </c>
      <c r="E31" s="30">
        <v>196</v>
      </c>
      <c r="F31" s="30">
        <v>1859</v>
      </c>
      <c r="G31" s="30">
        <v>44</v>
      </c>
      <c r="H31" s="57">
        <v>513</v>
      </c>
      <c r="I31" s="57">
        <v>18</v>
      </c>
      <c r="J31" s="50">
        <v>84</v>
      </c>
      <c r="K31" s="43">
        <v>7</v>
      </c>
      <c r="L31" s="104">
        <v>4</v>
      </c>
      <c r="M31" s="30" t="str">
        <f>IF(OR(Data!B$3="H",Data!B$3="MH",Data!B$3="HM",Data!B$3="W"),IF(K31=Data!B$4,IF(L31=Data!B$6,C31*Data!B$11,""),""),"")</f>
        <v/>
      </c>
      <c r="N31" s="30" t="str">
        <f>IF(Data!B$12&gt;0.1,IF(OR(Data!B$3="H",Data!B$3="MH",Data!B$3="HM",Data!B$3="W"),IF($K31=Data!B$4,IF($L31=Data!B$6,D31+E31*Data!B$12,""),""),""),"")</f>
        <v/>
      </c>
      <c r="O31" s="30" t="str">
        <f>IF(Data!B$17="Y",IF(OR(Data!B$3="H",Data!B$3="MH",Data!B$3="HM",Data!B$3="W"),IF($K31=Data!B$4,IF($L31=Data!B$6,F31+G31*Data!B$8,""),""),""),"")</f>
        <v/>
      </c>
      <c r="P31" s="30" t="str">
        <f>IF(Data!B$21="Y",IF(OR(Data!B$3="H",Data!B$3="MH",Data!B$3="HM",Data!B$3="W"),IF($K31=Data!B$4,IF($L31=Data!B$6,H31+I31*Data!B$8,""),""),""),"")</f>
        <v/>
      </c>
      <c r="Q31" s="30" t="str">
        <f>IF(OR(Data!B$3="H",Data!B$3="MH",Data!B$3="HM",Data!B$3="W"),IF($K31=Data!$B$4,IF($L31=Data!$B$6,J31*Data!$B$27,""),""),"")</f>
        <v/>
      </c>
    </row>
    <row r="32" spans="1:17">
      <c r="B32" s="45">
        <v>4.5</v>
      </c>
      <c r="C32" s="116">
        <v>79</v>
      </c>
      <c r="D32" s="30">
        <v>216</v>
      </c>
      <c r="E32" s="30">
        <v>224</v>
      </c>
      <c r="F32" s="30">
        <v>2982</v>
      </c>
      <c r="G32" s="30">
        <v>65</v>
      </c>
      <c r="H32" s="57">
        <v>513</v>
      </c>
      <c r="I32" s="57">
        <v>18</v>
      </c>
      <c r="J32" s="50">
        <v>101</v>
      </c>
      <c r="K32" s="43">
        <v>7</v>
      </c>
      <c r="L32" s="104">
        <v>4.5</v>
      </c>
      <c r="M32" s="30" t="str">
        <f>IF(OR(Data!B$3="H",Data!B$3="MH",Data!B$3="HM",Data!B$3="W"),IF(K32=Data!B$4,IF(L32=Data!B$6,C32*Data!B$11,""),""),"")</f>
        <v/>
      </c>
      <c r="N32" s="30" t="str">
        <f>IF(Data!B$12&gt;0.1,IF(OR(Data!B$3="H",Data!B$3="MH",Data!B$3="HM",Data!B$3="W"),IF($K32=Data!B$4,IF($L32=Data!B$6,D32+E32*Data!B$12,""),""),""),"")</f>
        <v/>
      </c>
      <c r="O32" s="30" t="str">
        <f>IF(Data!B$17="Y",IF(OR(Data!B$3="H",Data!B$3="MH",Data!B$3="HM",Data!B$3="W"),IF($K32=Data!B$4,IF($L32=Data!B$6,F32+G32*Data!B$8,""),""),""),"")</f>
        <v/>
      </c>
      <c r="P32" s="30" t="str">
        <f>IF(Data!B$21="Y",IF(OR(Data!B$3="H",Data!B$3="MH",Data!B$3="HM",Data!B$3="W"),IF($K32=Data!B$4,IF($L32=Data!B$6,H32+I32*Data!B$8,""),""),""),"")</f>
        <v/>
      </c>
      <c r="Q32" s="30" t="str">
        <f>IF(OR(Data!B$3="H",Data!B$3="MH",Data!B$3="HM",Data!B$3="W"),IF($K32=Data!$B$4,IF($L32=Data!$B$6,J32*Data!$B$27,""),""),"")</f>
        <v/>
      </c>
    </row>
    <row r="33" spans="1:17">
      <c r="B33" s="45">
        <v>5</v>
      </c>
      <c r="C33" s="116">
        <v>137</v>
      </c>
      <c r="D33" s="30">
        <v>236</v>
      </c>
      <c r="E33" s="30">
        <v>250</v>
      </c>
      <c r="F33" s="30">
        <v>3820</v>
      </c>
      <c r="G33" s="30">
        <v>78</v>
      </c>
      <c r="H33" s="57">
        <v>513</v>
      </c>
      <c r="I33" s="57">
        <v>18</v>
      </c>
      <c r="J33" s="50">
        <v>123</v>
      </c>
      <c r="K33" s="43">
        <v>7</v>
      </c>
      <c r="L33" s="104">
        <v>5</v>
      </c>
      <c r="M33" s="30" t="str">
        <f>IF(OR(Data!B$3="H",Data!B$3="MH",Data!B$3="HM",Data!B$3="W"),IF(K33=Data!B$4,IF(L33=Data!B$6,C33*Data!B$11,""),""),"")</f>
        <v/>
      </c>
      <c r="N33" s="30" t="str">
        <f>IF(Data!B$12&gt;0.1,IF(OR(Data!B$3="H",Data!B$3="MH",Data!B$3="HM",Data!B$3="W"),IF($K33=Data!B$4,IF($L33=Data!B$6,D33+E33*Data!B$12,""),""),""),"")</f>
        <v/>
      </c>
      <c r="O33" s="30" t="str">
        <f>IF(Data!B$17="Y",IF(OR(Data!B$3="H",Data!B$3="MH",Data!B$3="HM",Data!B$3="W"),IF($K33=Data!B$4,IF($L33=Data!B$6,F33+G33*Data!B$8,""),""),""),"")</f>
        <v/>
      </c>
      <c r="P33" s="30" t="str">
        <f>IF(Data!B$21="Y",IF(OR(Data!B$3="H",Data!B$3="MH",Data!B$3="HM",Data!B$3="W"),IF($K33=Data!B$4,IF($L33=Data!B$6,H33+I33*Data!B$8,""),""),""),"")</f>
        <v/>
      </c>
      <c r="Q33" s="30" t="str">
        <f>IF(OR(Data!B$3="H",Data!B$3="MH",Data!B$3="HM",Data!B$3="W"),IF($K33=Data!$B$4,IF($L33=Data!$B$6,J33*Data!$B$27,""),""),"")</f>
        <v/>
      </c>
    </row>
    <row r="34" spans="1:17">
      <c r="A34" s="30">
        <v>8</v>
      </c>
      <c r="B34" s="45">
        <v>3.5</v>
      </c>
      <c r="C34" s="57">
        <v>50</v>
      </c>
      <c r="D34" s="30">
        <v>209</v>
      </c>
      <c r="E34" s="30">
        <v>212</v>
      </c>
      <c r="F34" s="30">
        <v>1560</v>
      </c>
      <c r="G34" s="30">
        <v>32</v>
      </c>
      <c r="H34" s="57">
        <v>513</v>
      </c>
      <c r="I34" s="57">
        <v>20</v>
      </c>
      <c r="J34" s="50">
        <v>68</v>
      </c>
      <c r="K34" s="43">
        <v>8</v>
      </c>
      <c r="L34" s="104">
        <v>3.5</v>
      </c>
      <c r="M34" s="30" t="str">
        <f>IF(OR(Data!B$3="H",Data!B$3="MH",Data!B$3="HM",Data!B$3="W"),IF(K34=Data!B$4,IF(L34=Data!B$6,C34*Data!B$11,""),""),"")</f>
        <v/>
      </c>
      <c r="N34" s="30" t="str">
        <f>IF(Data!B$12&gt;0.1,IF(OR(Data!B$3="H",Data!B$3="MH",Data!B$3="HM",Data!B$3="W"),IF($K34=Data!B$4,IF($L34=Data!B$6,D34+E34*Data!B$12,""),""),""),"")</f>
        <v/>
      </c>
      <c r="O34" s="30" t="str">
        <f>IF(Data!B$17="Y",IF(OR(Data!B$3="H",Data!B$3="MH",Data!B$3="HM",Data!B$3="W"),IF($K34=Data!B$4,IF($L34=Data!B$6,F34+G34*Data!B$8,""),""),""),"")</f>
        <v/>
      </c>
      <c r="P34" s="30" t="str">
        <f>IF(Data!B$21="Y",IF(OR(Data!B$3="H",Data!B$3="MH",Data!B$3="HM",Data!B$3="W"),IF($K34=Data!B$4,IF($L34=Data!B$6,H34+I34*Data!B$8,""),""),""),"")</f>
        <v/>
      </c>
      <c r="Q34" s="30" t="str">
        <f>IF(OR(Data!B$3="H",Data!B$3="MH",Data!B$3="HM",Data!B$3="W"),IF($K34=Data!$B$4,IF($L34=Data!$B$6,J34*Data!$B$27,""),""),"")</f>
        <v/>
      </c>
    </row>
    <row r="35" spans="1:17">
      <c r="B35" s="45">
        <v>4</v>
      </c>
      <c r="C35" s="57">
        <v>60</v>
      </c>
      <c r="D35" s="30">
        <v>221</v>
      </c>
      <c r="E35" s="30">
        <v>226</v>
      </c>
      <c r="F35" s="30">
        <v>1859</v>
      </c>
      <c r="G35" s="30">
        <v>44</v>
      </c>
      <c r="H35" s="57">
        <v>513</v>
      </c>
      <c r="I35" s="57">
        <v>20</v>
      </c>
      <c r="J35" s="50">
        <v>84</v>
      </c>
      <c r="K35" s="43">
        <v>8</v>
      </c>
      <c r="L35" s="104">
        <v>4</v>
      </c>
      <c r="M35" s="30" t="str">
        <f>IF(OR(Data!B$3="H",Data!B$3="MH",Data!B$3="HM",Data!B$3="W"),IF(K35=Data!B$4,IF(L35=Data!B$6,C35*Data!B$11,""),""),"")</f>
        <v/>
      </c>
      <c r="N35" s="30" t="str">
        <f>IF(Data!B$12&gt;0.1,IF(OR(Data!B$3="H",Data!B$3="MH",Data!B$3="HM",Data!B$3="W"),IF($K35=Data!B$4,IF($L35=Data!B$6,D35+E35*Data!B$12,""),""),""),"")</f>
        <v/>
      </c>
      <c r="O35" s="30" t="str">
        <f>IF(Data!B$17="Y",IF(OR(Data!B$3="H",Data!B$3="MH",Data!B$3="HM",Data!B$3="W"),IF($K35=Data!B$4,IF($L35=Data!B$6,F35+G35*Data!B$8,""),""),""),"")</f>
        <v/>
      </c>
      <c r="P35" s="30" t="str">
        <f>IF(Data!B$21="Y",IF(OR(Data!B$3="H",Data!B$3="MH",Data!B$3="HM",Data!B$3="W"),IF($K35=Data!B$4,IF($L35=Data!B$6,H35+I35*Data!B$8,""),""),""),"")</f>
        <v/>
      </c>
      <c r="Q35" s="30" t="str">
        <f>IF(OR(Data!B$3="H",Data!B$3="MH",Data!B$3="HM",Data!B$3="W"),IF($K35=Data!$B$4,IF($L35=Data!$B$6,J35*Data!$B$27,""),""),"")</f>
        <v/>
      </c>
    </row>
    <row r="36" spans="1:17">
      <c r="B36" s="45">
        <v>4.5</v>
      </c>
      <c r="C36" s="57">
        <v>79</v>
      </c>
      <c r="D36" s="30">
        <v>256</v>
      </c>
      <c r="E36" s="30">
        <v>261</v>
      </c>
      <c r="F36" s="30">
        <v>2982</v>
      </c>
      <c r="G36" s="30">
        <v>65</v>
      </c>
      <c r="H36" s="57">
        <v>513</v>
      </c>
      <c r="I36" s="57">
        <v>20</v>
      </c>
      <c r="J36" s="50">
        <v>101</v>
      </c>
      <c r="K36" s="43">
        <v>8</v>
      </c>
      <c r="L36" s="104">
        <v>4.5</v>
      </c>
      <c r="M36" s="30" t="str">
        <f>IF(OR(Data!B$3="H",Data!B$3="MH",Data!B$3="HM",Data!B$3="W"),IF(K36=Data!B$4,IF(L36=Data!B$6,C36*Data!B$11,""),""),"")</f>
        <v/>
      </c>
      <c r="N36" s="30" t="str">
        <f>IF(Data!B$12&gt;0.1,IF(OR(Data!B$3="H",Data!B$3="MH",Data!B$3="HM",Data!B$3="W"),IF($K36=Data!B$4,IF($L36=Data!B$6,D36+E36*Data!B$12,""),""),""),"")</f>
        <v/>
      </c>
      <c r="O36" s="30" t="str">
        <f>IF(Data!B$17="Y",IF(OR(Data!B$3="H",Data!B$3="MH",Data!B$3="HM",Data!B$3="W"),IF($K36=Data!B$4,IF($L36=Data!B$6,F36+G36*Data!B$8,""),""),""),"")</f>
        <v/>
      </c>
      <c r="P36" s="30" t="str">
        <f>IF(Data!B$21="Y",IF(OR(Data!B$3="H",Data!B$3="MH",Data!B$3="HM",Data!B$3="W"),IF($K36=Data!B$4,IF($L36=Data!B$6,H36+I36*Data!B$8,""),""),""),"")</f>
        <v/>
      </c>
      <c r="Q36" s="30" t="str">
        <f>IF(OR(Data!B$3="H",Data!B$3="MH",Data!B$3="HM",Data!B$3="W"),IF($K36=Data!$B$4,IF($L36=Data!$B$6,J36*Data!$B$27,""),""),"")</f>
        <v/>
      </c>
    </row>
    <row r="37" spans="1:17" ht="12.75" customHeight="1">
      <c r="B37" s="45">
        <v>5</v>
      </c>
      <c r="C37" s="57">
        <v>137</v>
      </c>
      <c r="D37" s="30">
        <v>290</v>
      </c>
      <c r="E37" s="30">
        <v>289</v>
      </c>
      <c r="F37" s="30">
        <v>3820</v>
      </c>
      <c r="G37" s="30">
        <v>78</v>
      </c>
      <c r="H37" s="57">
        <v>513</v>
      </c>
      <c r="I37" s="57">
        <v>20</v>
      </c>
      <c r="J37" s="50">
        <v>123</v>
      </c>
      <c r="K37" s="43">
        <v>8</v>
      </c>
      <c r="L37" s="104">
        <v>5</v>
      </c>
      <c r="M37" s="30" t="str">
        <f>IF(OR(Data!B$3="H",Data!B$3="MH",Data!B$3="HM",Data!B$3="W"),IF(K37=Data!B$4,IF(L37=Data!B$6,C37*Data!B$11,""),""),"")</f>
        <v/>
      </c>
      <c r="N37" s="30" t="str">
        <f>IF(Data!B$12&gt;0.1,IF(OR(Data!B$3="H",Data!B$3="MH",Data!B$3="HM",Data!B$3="W"),IF($K37=Data!B$4,IF($L37=Data!B$6,D37+E37*Data!B$12,""),""),""),"")</f>
        <v/>
      </c>
      <c r="O37" s="30" t="str">
        <f>IF(Data!B$17="Y",IF(OR(Data!B$3="H",Data!B$3="MH",Data!B$3="HM",Data!B$3="W"),IF($K37=Data!B$4,IF($L37=Data!B$6,F37+G37*Data!B$8,""),""),""),"")</f>
        <v/>
      </c>
      <c r="P37" s="30" t="str">
        <f>IF(Data!B$21="Y",IF(OR(Data!B$3="H",Data!B$3="MH",Data!B$3="HM",Data!B$3="W"),IF($K37=Data!B$4,IF($L37=Data!B$6,H37+I37*Data!B$8,""),""),""),"")</f>
        <v/>
      </c>
      <c r="Q37" s="30" t="str">
        <f>IF(OR(Data!B$3="H",Data!B$3="MH",Data!B$3="HM",Data!B$3="W"),IF($K37=Data!$B$4,IF($L37=Data!$B$6,J37*Data!$B$27,""),""),"")</f>
        <v/>
      </c>
    </row>
    <row r="38" spans="1:17">
      <c r="B38" s="45">
        <v>5.5</v>
      </c>
      <c r="C38" s="116">
        <v>164</v>
      </c>
      <c r="D38" s="30">
        <v>292</v>
      </c>
      <c r="E38" s="30">
        <v>319</v>
      </c>
      <c r="F38" s="30">
        <v>4413</v>
      </c>
      <c r="G38" s="30">
        <v>84</v>
      </c>
      <c r="H38" s="57">
        <v>513</v>
      </c>
      <c r="I38" s="57">
        <v>20</v>
      </c>
      <c r="J38" s="50">
        <v>117</v>
      </c>
      <c r="K38" s="43">
        <v>8</v>
      </c>
      <c r="L38" s="104">
        <v>5.5</v>
      </c>
      <c r="M38" s="30" t="str">
        <f>IF(OR(Data!B$3="H",Data!B$3="MH",Data!B$3="HM",Data!B$3="W"),IF(K38=Data!B$4,IF(L38=Data!B$6,C38*Data!B$11,""),""),"")</f>
        <v/>
      </c>
      <c r="N38" s="30" t="str">
        <f>IF(Data!B$12&gt;0.1,IF(OR(Data!B$3="H",Data!B$3="MH",Data!B$3="HM",Data!B$3="W"),IF($K38=Data!B$4,IF($L38=Data!B$6,D38+E38*Data!B$12,""),""),""),"")</f>
        <v/>
      </c>
      <c r="O38" s="30" t="str">
        <f>IF(Data!B$17="Y",IF(OR(Data!B$3="H",Data!B$3="MH",Data!B$3="HM",Data!B$3="W"),IF($K38=Data!B$4,IF($L38=Data!B$6,F38+G38*Data!B$8,""),""),""),"")</f>
        <v/>
      </c>
      <c r="P38" s="30" t="str">
        <f>IF(Data!B$21="Y",IF(OR(Data!B$3="H",Data!B$3="MH",Data!B$3="HM",Data!B$3="W"),IF($K38=Data!B$4,IF($L38=Data!B$6,H38+I38*Data!B$8,""),""),""),"")</f>
        <v/>
      </c>
      <c r="Q38" s="30" t="str">
        <f>IF(OR(Data!B$3="H",Data!B$3="MH",Data!B$3="HM",Data!B$3="W"),IF($K38=Data!$B$4,IF($L38=Data!$B$6,J38*Data!$B$27,""),""),"")</f>
        <v/>
      </c>
    </row>
    <row r="39" spans="1:17">
      <c r="A39" s="44">
        <v>10</v>
      </c>
      <c r="B39" s="45">
        <v>4.5</v>
      </c>
      <c r="C39" s="57">
        <v>79</v>
      </c>
      <c r="D39" s="30">
        <v>449</v>
      </c>
      <c r="E39" s="30">
        <v>282</v>
      </c>
      <c r="F39" s="57">
        <v>2831</v>
      </c>
      <c r="G39" s="57">
        <v>42</v>
      </c>
      <c r="H39" s="57">
        <v>686</v>
      </c>
      <c r="I39" s="57">
        <v>26</v>
      </c>
      <c r="J39" s="50">
        <v>101</v>
      </c>
      <c r="K39" s="44">
        <v>10</v>
      </c>
      <c r="L39" s="43">
        <v>4.5</v>
      </c>
      <c r="M39" s="30" t="str">
        <f>IF(OR(Data!B$3="H",Data!B$3="MH",Data!B$3="HM",Data!B$3="W"),IF(K39=Data!B$4,IF(L39=Data!B$6,C39*Data!B$11,""),""),"")</f>
        <v/>
      </c>
      <c r="N39" s="30" t="str">
        <f>IF(Data!B$12&gt;0.1,IF(OR(Data!B$3="H",Data!B$3="MH",Data!B$3="HM",Data!B$3="W"),IF($K39=Data!B$4,IF($L39=Data!B$6,D39+E39*Data!B$12,""),""),""),"")</f>
        <v/>
      </c>
      <c r="O39" s="30" t="str">
        <f>IF(Data!B$17="Y",IF(OR(Data!B$3="H",Data!B$3="MH",Data!B$3="HM",Data!B$3="W"),IF($K39=Data!B$4,IF($L39=Data!B$6,F39+G39*Data!B$8,""),""),""),"")</f>
        <v/>
      </c>
      <c r="P39" s="30" t="str">
        <f>IF(Data!B$21="Y",IF(OR(Data!B$3="H",Data!B$3="MH",Data!B$3="HM",Data!B$3="W"),IF($K39=Data!B$4,IF($L39=Data!B$6,H39+I39*Data!B$8,""),""),""),"")</f>
        <v/>
      </c>
      <c r="Q39" s="30" t="str">
        <f>IF(OR(Data!B$3="H",Data!B$3="MH",Data!B$3="HM",Data!B$3="W"),IF($K39=Data!$B$4,IF($L39=Data!$B$6,J39*Data!$B$27,""),""),"")</f>
        <v/>
      </c>
    </row>
    <row r="40" spans="1:17">
      <c r="A40" s="44"/>
      <c r="B40" s="45">
        <v>5</v>
      </c>
      <c r="C40" s="57">
        <v>137</v>
      </c>
      <c r="D40" s="30">
        <v>473</v>
      </c>
      <c r="E40" s="30">
        <v>298</v>
      </c>
      <c r="F40" s="57">
        <v>3813</v>
      </c>
      <c r="G40" s="57">
        <v>54</v>
      </c>
      <c r="H40" s="57">
        <v>686</v>
      </c>
      <c r="I40" s="57">
        <v>26</v>
      </c>
      <c r="J40" s="50">
        <v>123</v>
      </c>
      <c r="K40" s="44">
        <v>10</v>
      </c>
      <c r="L40" s="43">
        <v>5</v>
      </c>
      <c r="M40" s="30" t="str">
        <f>IF(OR(Data!B$3="H",Data!B$3="MH",Data!B$3="HM",Data!B$3="W"),IF(K40=Data!B$4,IF(L40=Data!B$6,C40*Data!B$11,""),""),"")</f>
        <v/>
      </c>
      <c r="N40" s="30" t="str">
        <f>IF(Data!B$12&gt;0.1,IF(OR(Data!B$3="H",Data!B$3="MH",Data!B$3="HM",Data!B$3="W"),IF($K40=Data!B$4,IF($L40=Data!B$6,D40+E40*Data!B$12,""),""),""),"")</f>
        <v/>
      </c>
      <c r="O40" s="30" t="str">
        <f>IF(Data!B$17="Y",IF(OR(Data!B$3="H",Data!B$3="MH",Data!B$3="HM",Data!B$3="W"),IF($K40=Data!B$4,IF($L40=Data!B$6,F40+G40*Data!B$8,""),""),""),"")</f>
        <v/>
      </c>
      <c r="P40" s="30" t="str">
        <f>IF(Data!B$21="Y",IF(OR(Data!B$3="H",Data!B$3="MH",Data!B$3="HM",Data!B$3="W"),IF($K40=Data!B$4,IF($L40=Data!B$6,H40+I40*Data!B$8,""),""),""),"")</f>
        <v/>
      </c>
      <c r="Q40" s="30" t="str">
        <f>IF(OR(Data!B$3="H",Data!B$3="MH",Data!B$3="HM",Data!B$3="W"),IF($K40=Data!$B$4,IF($L40=Data!$B$6,J40*Data!$B$27,""),""),"")</f>
        <v/>
      </c>
    </row>
    <row r="41" spans="1:17">
      <c r="A41" s="44"/>
      <c r="B41" s="45">
        <v>5.5</v>
      </c>
      <c r="C41" s="57">
        <v>164</v>
      </c>
      <c r="D41" s="30">
        <v>486</v>
      </c>
      <c r="E41" s="30">
        <v>321</v>
      </c>
      <c r="F41" s="57">
        <v>4380</v>
      </c>
      <c r="G41" s="57">
        <v>58</v>
      </c>
      <c r="H41" s="57">
        <v>686</v>
      </c>
      <c r="I41" s="57">
        <v>26</v>
      </c>
      <c r="J41" s="50">
        <v>146</v>
      </c>
      <c r="K41" s="44">
        <v>10</v>
      </c>
      <c r="L41" s="43">
        <v>5.5</v>
      </c>
      <c r="M41" s="30" t="str">
        <f>IF(OR(Data!B$3="H",Data!B$3="MH",Data!B$3="HM",Data!B$3="W"),IF(K41=Data!B$4,IF(L41=Data!B$6,C41*Data!B$11,""),""),"")</f>
        <v/>
      </c>
      <c r="N41" s="30" t="str">
        <f>IF(Data!B$12&gt;0.1,IF(OR(Data!B$3="H",Data!B$3="MH",Data!B$3="HM",Data!B$3="W"),IF($K41=Data!B$4,IF($L41=Data!B$6,D41+E41*Data!B$12,""),""),""),"")</f>
        <v/>
      </c>
      <c r="O41" s="30" t="str">
        <f>IF(Data!B$17="Y",IF(OR(Data!B$3="H",Data!B$3="MH",Data!B$3="HM",Data!B$3="W"),IF($K41=Data!B$4,IF($L41=Data!B$6,F41+G41*Data!B$8,""),""),""),"")</f>
        <v/>
      </c>
      <c r="P41" s="30" t="str">
        <f>IF(Data!B$21="Y",IF(OR(Data!B$3="H",Data!B$3="MH",Data!B$3="HM",Data!B$3="W"),IF($K41=Data!B$4,IF($L41=Data!B$6,H41+I41*Data!B$8,""),""),""),"")</f>
        <v/>
      </c>
      <c r="Q41" s="30" t="str">
        <f>IF(OR(Data!B$3="H",Data!B$3="MH",Data!B$3="HM",Data!B$3="W"),IF($K41=Data!$B$4,IF($L41=Data!$B$6,J41*Data!$B$27,""),""),"")</f>
        <v/>
      </c>
    </row>
    <row r="42" spans="1:17">
      <c r="A42" s="44"/>
      <c r="B42" s="45">
        <v>7</v>
      </c>
      <c r="C42" s="57">
        <v>192</v>
      </c>
      <c r="D42" s="30">
        <v>590</v>
      </c>
      <c r="E42" s="30">
        <v>513</v>
      </c>
      <c r="F42" s="57">
        <v>6609</v>
      </c>
      <c r="G42" s="57">
        <v>84</v>
      </c>
      <c r="H42" s="57">
        <v>686</v>
      </c>
      <c r="I42" s="57">
        <v>26</v>
      </c>
      <c r="J42" s="57">
        <v>183</v>
      </c>
      <c r="K42" s="44">
        <v>10</v>
      </c>
      <c r="L42" s="43">
        <v>7</v>
      </c>
      <c r="M42" s="30" t="str">
        <f>IF(OR(Data!B$3="H",Data!B$3="MH",Data!B$3="HM",Data!B$3="W"),IF(K42=Data!B$4,IF(L42=Data!B$6,C42*Data!B$11,""),""),"")</f>
        <v/>
      </c>
      <c r="N42" s="30" t="str">
        <f>IF(Data!B$12&gt;0.1,IF(OR(Data!B$3="H",Data!B$3="MH",Data!B$3="HM",Data!B$3="W"),IF($K42=Data!B$4,IF($L42=Data!B$6,D42+E42*Data!B$12,""),""),""),"")</f>
        <v/>
      </c>
      <c r="O42" s="30" t="str">
        <f>IF(Data!B$17="Y",IF(OR(Data!B$3="H",Data!B$3="MH",Data!B$3="HM",Data!B$3="W"),IF($K42=Data!B$4,IF($L42=Data!B$6,F42+G42*Data!B$8,""),""),""),"")</f>
        <v/>
      </c>
      <c r="P42" s="30" t="str">
        <f>IF(Data!B$21="Y",IF(OR(Data!B$3="H",Data!B$3="MH",Data!B$3="HM",Data!B$3="W"),IF($K42=Data!B$4,IF($L42=Data!B$6,H42+I42*Data!B$8,""),""),""),"")</f>
        <v/>
      </c>
      <c r="Q42" s="30" t="str">
        <f>IF(OR(Data!B$3="H",Data!B$3="MH",Data!B$3="HM",Data!B$3="W"),IF($K42=Data!$B$4,IF($L42=Data!$B$6,J42*Data!$B$27,""),""),"")</f>
        <v/>
      </c>
    </row>
    <row r="43" spans="1:17">
      <c r="A43" s="44">
        <v>12</v>
      </c>
      <c r="B43" s="45">
        <v>5.5</v>
      </c>
      <c r="C43" s="57">
        <v>164</v>
      </c>
      <c r="D43" s="30">
        <v>473</v>
      </c>
      <c r="E43" s="30">
        <v>348</v>
      </c>
      <c r="F43" s="57">
        <v>4380</v>
      </c>
      <c r="G43" s="57">
        <v>58</v>
      </c>
      <c r="H43" s="57">
        <v>918</v>
      </c>
      <c r="I43" s="57">
        <v>36</v>
      </c>
      <c r="J43" s="57">
        <v>146</v>
      </c>
      <c r="K43" s="44">
        <v>12</v>
      </c>
      <c r="L43" s="43">
        <v>5.5</v>
      </c>
      <c r="M43" s="30" t="str">
        <f>IF(OR(Data!B$3="H",Data!B$3="MH",Data!B$3="HM",Data!B$3="W"),IF(K43=Data!B$4,IF(L43=Data!B$6,C43*Data!B$11,""),""),"")</f>
        <v/>
      </c>
      <c r="N43" s="30" t="str">
        <f>IF(Data!B$12&gt;0.1,IF(OR(Data!B$3="H",Data!B$3="MH",Data!B$3="HM",Data!B$3="W"),IF($K43=Data!B$4,IF($L43=Data!B$6,D43+E43*Data!B$12,""),""),""),"")</f>
        <v/>
      </c>
      <c r="O43" s="30" t="str">
        <f>IF(Data!B$17="Y",IF(OR(Data!B$3="H",Data!B$3="MH",Data!B$3="HM",Data!B$3="W"),IF($K43=Data!B$4,IF($L43=Data!B$6,F43+G43*Data!B$8,""),""),""),"")</f>
        <v/>
      </c>
      <c r="P43" s="30" t="str">
        <f>IF(Data!B$21="Y",IF(OR(Data!B$3="H",Data!B$3="MH",Data!B$3="HM",Data!B$3="W"),IF($K43=Data!B$4,IF($L43=Data!B$6,H43+I43*Data!B$8,""),""),""),"")</f>
        <v/>
      </c>
      <c r="Q43" s="30" t="str">
        <f>IF(OR(Data!B$3="H",Data!B$3="MH",Data!B$3="HM",Data!B$3="W"),IF($K43=Data!$B$4,IF($L43=Data!$B$6,J43*Data!$B$27,""),""),"")</f>
        <v/>
      </c>
    </row>
    <row r="44" spans="1:17">
      <c r="A44" s="44"/>
      <c r="B44" s="45">
        <v>7</v>
      </c>
      <c r="C44" s="57">
        <v>192</v>
      </c>
      <c r="D44" s="30">
        <v>590</v>
      </c>
      <c r="E44" s="30">
        <v>513</v>
      </c>
      <c r="F44" s="57">
        <v>6609</v>
      </c>
      <c r="G44" s="57">
        <v>84</v>
      </c>
      <c r="H44" s="57">
        <v>918</v>
      </c>
      <c r="I44" s="57">
        <v>36</v>
      </c>
      <c r="J44" s="57">
        <v>183</v>
      </c>
      <c r="K44" s="44">
        <v>12</v>
      </c>
      <c r="L44" s="43">
        <v>7</v>
      </c>
      <c r="M44" s="30" t="str">
        <f>IF(OR(Data!B$3="H",Data!B$3="MH",Data!B$3="HM",Data!B$3="W"),IF(K44=Data!B$4,IF(L44=Data!B$6,C44*Data!B$11,""),""),"")</f>
        <v/>
      </c>
      <c r="N44" s="30" t="str">
        <f>IF(Data!B$12&gt;0.1,IF(OR(Data!B$3="H",Data!B$3="MH",Data!B$3="HM",Data!B$3="W"),IF($K44=Data!B$4,IF($L44=Data!B$6,D44+E44*Data!B$12,""),""),""),"")</f>
        <v/>
      </c>
      <c r="O44" s="30" t="str">
        <f>IF(Data!B$17="Y",IF(OR(Data!B$3="H",Data!B$3="MH",Data!B$3="HM",Data!B$3="W"),IF($K44=Data!B$4,IF($L44=Data!B$6,F44+G44*Data!B$8,""),""),""),"")</f>
        <v/>
      </c>
      <c r="P44" s="30" t="str">
        <f>IF(Data!B$21="Y",IF(OR(Data!B$3="H",Data!B$3="MH",Data!B$3="HM",Data!B$3="W"),IF($K44=Data!B$4,IF($L44=Data!B$6,H44+I44*Data!B$8,""),""),""),"")</f>
        <v/>
      </c>
      <c r="Q44" s="30" t="str">
        <f>IF(OR(Data!B$3="H",Data!B$3="MH",Data!B$3="HM",Data!B$3="W"),IF($K44=Data!$B$4,IF($L44=Data!$B$6,J44*Data!$B$27,""),""),"")</f>
        <v/>
      </c>
    </row>
    <row r="45" spans="1:17">
      <c r="A45" s="44"/>
      <c r="B45" s="45">
        <v>8</v>
      </c>
      <c r="C45" s="57">
        <v>264</v>
      </c>
      <c r="D45" s="30">
        <v>665</v>
      </c>
      <c r="E45" s="30">
        <v>560</v>
      </c>
      <c r="F45" s="57">
        <v>10934</v>
      </c>
      <c r="G45" s="57">
        <v>136</v>
      </c>
      <c r="H45" s="57">
        <v>918</v>
      </c>
      <c r="I45" s="57">
        <v>36</v>
      </c>
      <c r="J45" s="57">
        <v>317</v>
      </c>
      <c r="K45" s="44">
        <v>12</v>
      </c>
      <c r="L45" s="43">
        <v>8</v>
      </c>
      <c r="M45" s="30" t="str">
        <f>IF(OR(Data!B$3="H",Data!B$3="MH",Data!B$3="HM",Data!B$3="W"),IF(K45=Data!B$4,IF(L45=Data!B$6,C45*Data!B$11,""),""),"")</f>
        <v/>
      </c>
      <c r="N45" s="30" t="str">
        <f>IF(Data!B$12&gt;0.1,IF(OR(Data!B$3="H",Data!B$3="MH",Data!B$3="HM",Data!B$3="W"),IF($K45=Data!B$4,IF($L45=Data!B$6,D45+E45*Data!B$12,""),""),""),"")</f>
        <v/>
      </c>
      <c r="O45" s="30" t="str">
        <f>IF(Data!B$17="Y",IF(OR(Data!B$3="H",Data!B$3="MH",Data!B$3="HM",Data!B$3="W"),IF($K45=Data!B$4,IF($L45=Data!B$6,F45+G45*Data!B$8,""),""),""),"")</f>
        <v/>
      </c>
      <c r="P45" s="30" t="str">
        <f>IF(Data!B$21="Y",IF(OR(Data!B$3="H",Data!B$3="MH",Data!B$3="HM",Data!B$3="W"),IF($K45=Data!B$4,IF($L45=Data!B$6,H45+I45*Data!B$8,""),""),""),"")</f>
        <v/>
      </c>
      <c r="Q45" s="30" t="str">
        <f>IF(OR(Data!B$3="H",Data!B$3="MH",Data!B$3="HM",Data!B$3="W"),IF($K45=Data!$B$4,IF($L45=Data!$B$6,J45*Data!$B$27,""),""),"")</f>
        <v/>
      </c>
    </row>
    <row r="46" spans="1:17">
      <c r="A46" s="44">
        <v>14</v>
      </c>
      <c r="B46" s="45">
        <v>8</v>
      </c>
      <c r="C46" s="57">
        <v>264</v>
      </c>
      <c r="D46" s="30">
        <v>665</v>
      </c>
      <c r="E46" s="30">
        <v>560</v>
      </c>
      <c r="F46" s="57">
        <v>10934</v>
      </c>
      <c r="G46" s="57">
        <v>136</v>
      </c>
      <c r="H46" s="57">
        <v>1230</v>
      </c>
      <c r="I46" s="57">
        <v>44</v>
      </c>
      <c r="J46" s="57">
        <v>317</v>
      </c>
      <c r="K46" s="44">
        <v>14</v>
      </c>
      <c r="L46" s="43">
        <v>8</v>
      </c>
      <c r="M46" s="30" t="str">
        <f>IF(OR(Data!B$3="H",Data!B$3="MH",Data!B$3="HM",Data!B$3="W"),IF(K46=Data!B$4,IF(L46=Data!B$6,C46*Data!B$11,""),""),"")</f>
        <v/>
      </c>
      <c r="N46" s="30" t="str">
        <f>IF(Data!B$12&gt;0.1,IF(OR(Data!B$3="H",Data!B$3="MH",Data!B$3="HM",Data!B$3="W"),IF($K46=Data!B$4,IF($L46=Data!B$6,D46+E46*Data!B$12,""),""),""),"")</f>
        <v/>
      </c>
      <c r="O46" s="30" t="str">
        <f>IF(Data!B$17="Y",IF(OR(Data!B$3="H",Data!B$3="MH",Data!B$3="HM",Data!B$3="W"),IF($K46=Data!B$4,IF($L46=Data!B$6,F46+G46*Data!B$8,""),""),""),"")</f>
        <v/>
      </c>
      <c r="P46" s="30" t="str">
        <f>IF(Data!B$21="Y",IF(OR(Data!B$3="H",Data!B$3="MH",Data!B$3="HM",Data!B$3="W"),IF($K46=Data!B$4,IF($L46=Data!B$6,H46+I46*Data!B$8,""),""),""),"")</f>
        <v/>
      </c>
      <c r="Q46" s="30" t="str">
        <f>IF(OR(Data!B$3="H",Data!B$3="MH",Data!B$3="HM",Data!B$3="W"),IF($K46=Data!$B$4,IF($L46=Data!$B$6,J46*Data!$B$27,""),""),"")</f>
        <v/>
      </c>
    </row>
    <row r="47" spans="1:17">
      <c r="A47" s="44"/>
      <c r="B47" s="45">
        <v>10</v>
      </c>
      <c r="C47" s="57">
        <v>344</v>
      </c>
      <c r="D47" s="30">
        <v>785</v>
      </c>
      <c r="E47" s="30">
        <v>699</v>
      </c>
      <c r="F47" s="57">
        <v>13531</v>
      </c>
      <c r="G47" s="57">
        <v>175</v>
      </c>
      <c r="H47" s="57">
        <v>1230</v>
      </c>
      <c r="I47" s="57">
        <v>44</v>
      </c>
      <c r="J47" s="57">
        <v>411</v>
      </c>
      <c r="K47" s="44">
        <v>14</v>
      </c>
      <c r="L47" s="43">
        <v>10</v>
      </c>
      <c r="M47" s="30" t="str">
        <f>IF(OR(Data!B$3="H",Data!B$3="MH",Data!B$3="HM",Data!B$3="W"),IF(K47=Data!B$4,IF(L47=Data!B$6,C47*Data!B$11,""),""),"")</f>
        <v/>
      </c>
      <c r="N47" s="30" t="str">
        <f>IF(Data!B$12&gt;0.1,IF(OR(Data!B$3="H",Data!B$3="MH",Data!B$3="HM",Data!B$3="W"),IF($K47=Data!B$4,IF($L47=Data!B$6,D47+E47*Data!B$12,""),""),""),"")</f>
        <v/>
      </c>
      <c r="O47" s="30" t="str">
        <f>IF(Data!B$17="Y",IF(OR(Data!B$3="H",Data!B$3="MH",Data!B$3="HM",Data!B$3="W"),IF($K47=Data!B$4,IF($L47=Data!B$6,F47+G47*Data!B$8,""),""),""),"")</f>
        <v/>
      </c>
      <c r="P47" s="30" t="str">
        <f>IF(Data!B$21="Y",IF(OR(Data!B$3="H",Data!B$3="MH",Data!B$3="HM",Data!B$3="W"),IF($K47=Data!B$4,IF($L47=Data!B$6,H47+I47*Data!B$8,""),""),""),"")</f>
        <v/>
      </c>
      <c r="Q47" s="30" t="str">
        <f>IF(OR(Data!B$3="H",Data!B$3="MH",Data!B$3="HM",Data!B$3="W"),IF($K47=Data!$B$4,IF($L47=Data!$B$6,J47*Data!$B$27,""),""),"")</f>
        <v/>
      </c>
    </row>
    <row r="48" spans="1:17">
      <c r="A48" s="44">
        <v>16</v>
      </c>
      <c r="B48" s="45">
        <v>8</v>
      </c>
      <c r="C48" s="57">
        <v>264</v>
      </c>
      <c r="D48" s="30">
        <v>1207</v>
      </c>
      <c r="E48" s="30">
        <v>706</v>
      </c>
      <c r="F48" s="57">
        <v>10934</v>
      </c>
      <c r="G48" s="57">
        <v>136</v>
      </c>
      <c r="H48" s="57">
        <v>1650</v>
      </c>
      <c r="I48" s="57">
        <v>58</v>
      </c>
      <c r="J48" s="57">
        <v>317</v>
      </c>
      <c r="K48" s="44">
        <v>16</v>
      </c>
      <c r="L48" s="43">
        <v>8</v>
      </c>
      <c r="M48" s="30" t="str">
        <f>IF(OR(Data!B$3="H",Data!B$3="MH",Data!B$3="HM",Data!B$3="W"),IF(K48=Data!B$4,IF(L48=Data!B$6,C48*Data!B$11,""),""),"")</f>
        <v/>
      </c>
      <c r="N48" s="30" t="str">
        <f>IF(Data!B$12&gt;0.1,IF(OR(Data!B$3="H",Data!B$3="MH",Data!B$3="HM",Data!B$3="W"),IF($K48=Data!B$4,IF($L48=Data!B$6,D48+E48*Data!B$12,""),""),""),"")</f>
        <v/>
      </c>
      <c r="O48" s="30" t="str">
        <f>IF(Data!B$17="Y",IF(OR(Data!B$3="H",Data!B$3="MH",Data!B$3="HM",Data!B$3="W"),IF($K48=Data!B$4,IF($L48=Data!B$6,F48+G48*Data!B$8,""),""),""),"")</f>
        <v/>
      </c>
      <c r="P48" s="30" t="str">
        <f>IF(Data!B$21="Y",IF(OR(Data!B$3="H",Data!B$3="MH",Data!B$3="HM",Data!B$3="W"),IF($K48=Data!B$4,IF($L48=Data!B$6,H48+I48*Data!B$8,""),""),""),"")</f>
        <v/>
      </c>
      <c r="Q48" s="30" t="str">
        <f>IF(OR(Data!B$3="H",Data!B$3="MH",Data!B$3="HM",Data!B$3="W"),IF($K48=Data!$B$4,IF($L48=Data!$B$6,J48*Data!$B$27,""),""),"")</f>
        <v/>
      </c>
    </row>
    <row r="49" spans="1:18">
      <c r="A49" s="44"/>
      <c r="B49" s="45">
        <v>10</v>
      </c>
      <c r="C49" s="57">
        <v>344</v>
      </c>
      <c r="D49" s="30">
        <v>1720</v>
      </c>
      <c r="E49" s="30">
        <v>870</v>
      </c>
      <c r="F49" s="57">
        <v>13531</v>
      </c>
      <c r="G49" s="57">
        <v>175</v>
      </c>
      <c r="H49" s="57">
        <v>1650</v>
      </c>
      <c r="I49" s="57">
        <v>58</v>
      </c>
      <c r="J49" s="57">
        <v>411</v>
      </c>
      <c r="K49" s="44">
        <v>16</v>
      </c>
      <c r="L49" s="43">
        <v>10</v>
      </c>
      <c r="M49" s="30" t="str">
        <f>IF(OR(Data!B$3="H",Data!B$3="MH",Data!B$3="HM",Data!B$3="W"),IF(K49=Data!B$4,IF(L49=Data!B$6,C49*Data!B$11,""),""),"")</f>
        <v/>
      </c>
      <c r="N49" s="30" t="str">
        <f>IF(Data!B$12&gt;0.1,IF(OR(Data!B$3="H",Data!B$3="MH",Data!B$3="HM",Data!B$3="W"),IF($K49=Data!B$4,IF($L49=Data!B$6,D49+E49*Data!B$12,""),""),""),"")</f>
        <v/>
      </c>
      <c r="O49" s="30" t="str">
        <f>IF(Data!B$17="Y",IF(OR(Data!B$3="H",Data!B$3="MH",Data!B$3="HM",Data!B$3="W"),IF($K49=Data!B$4,IF($L49=Data!B$6,F49+G49*Data!B$8,""),""),""),"")</f>
        <v/>
      </c>
      <c r="P49" s="30" t="str">
        <f>IF(Data!B$21="Y",IF(OR(Data!B$3="H",Data!B$3="MH",Data!B$3="HM",Data!B$3="W"),IF($K49=Data!B$4,IF($L49=Data!B$6,H49+I49*Data!B$8,""),""),""),"")</f>
        <v/>
      </c>
      <c r="Q49" s="30" t="str">
        <f>IF(OR(Data!B$3="H",Data!B$3="MH",Data!B$3="HM",Data!B$3="W"),IF($K49=Data!$B$4,IF($L49=Data!$B$6,J49*Data!$B$27,""),""),"")</f>
        <v/>
      </c>
    </row>
    <row r="50" spans="1:18">
      <c r="A50" s="44">
        <v>18</v>
      </c>
      <c r="B50" s="45">
        <v>8</v>
      </c>
      <c r="C50" s="57">
        <v>264</v>
      </c>
      <c r="D50" s="30">
        <v>1667</v>
      </c>
      <c r="E50" s="30">
        <v>818</v>
      </c>
      <c r="F50" s="57">
        <v>10934</v>
      </c>
      <c r="G50" s="57">
        <v>136</v>
      </c>
      <c r="H50" s="57">
        <v>2212</v>
      </c>
      <c r="I50" s="57">
        <v>74</v>
      </c>
      <c r="J50" s="57">
        <v>317</v>
      </c>
      <c r="K50" s="44">
        <v>18</v>
      </c>
      <c r="L50" s="43">
        <v>8</v>
      </c>
      <c r="M50" s="30" t="str">
        <f>IF(OR(Data!B$3="H",Data!B$3="MH",Data!B$3="HM",Data!B$3="W"),IF(K50=Data!B$4,IF(L50=Data!B$6,C50*Data!B$11,""),""),"")</f>
        <v/>
      </c>
      <c r="N50" s="30" t="str">
        <f>IF(Data!B$12&gt;0.1,IF(OR(Data!B$3="H",Data!B$3="MH",Data!B$3="HM",Data!B$3="W"),IF($K50=Data!B$4,IF($L50=Data!B$6,D50+E50*Data!B$12,""),""),""),"")</f>
        <v/>
      </c>
      <c r="O50" s="30" t="str">
        <f>IF(Data!B$17="Y",IF(OR(Data!B$3="H",Data!B$3="MH",Data!B$3="HM",Data!B$3="W"),IF($K50=Data!B$4,IF($L50=Data!B$6,F50+G50*Data!B$8,""),""),""),"")</f>
        <v/>
      </c>
      <c r="P50" s="30" t="str">
        <f>IF(Data!B$21="Y",IF(OR(Data!B$3="H",Data!B$3="MH",Data!B$3="HM",Data!B$3="W"),IF($K50=Data!B$4,IF($L50=Data!B$6,H50+I50*Data!B$8,""),""),""),"")</f>
        <v/>
      </c>
      <c r="Q50" s="30" t="str">
        <f>IF(OR(Data!B$3="H",Data!B$3="MH",Data!B$3="HM",Data!B$3="W"),IF($K50=Data!$B$4,IF($L50=Data!$B$6,J50*Data!$B$27,""),""),"")</f>
        <v/>
      </c>
    </row>
    <row r="51" spans="1:18">
      <c r="A51" s="44"/>
      <c r="B51" s="45">
        <v>10</v>
      </c>
      <c r="C51" s="57">
        <v>344</v>
      </c>
      <c r="D51" s="30">
        <v>1797</v>
      </c>
      <c r="E51" s="30">
        <v>924</v>
      </c>
      <c r="F51" s="57">
        <v>13531</v>
      </c>
      <c r="G51" s="57">
        <v>175</v>
      </c>
      <c r="H51" s="57">
        <v>2212</v>
      </c>
      <c r="I51" s="57">
        <v>74</v>
      </c>
      <c r="J51" s="57">
        <v>411</v>
      </c>
      <c r="K51" s="44">
        <v>18</v>
      </c>
      <c r="L51" s="43">
        <v>10</v>
      </c>
      <c r="M51" s="30" t="str">
        <f>IF(OR(Data!B$3="H",Data!B$3="MH",Data!B$3="HM",Data!B$3="W"),IF(K51=Data!B$4,IF(L51=Data!B$6,C51*Data!B$11,""),""),"")</f>
        <v/>
      </c>
      <c r="N51" s="30" t="str">
        <f>IF(Data!B$12&gt;0.1,IF(OR(Data!B$3="H",Data!B$3="MH",Data!B$3="HM",Data!B$3="W"),IF($K51=Data!B$4,IF($L51=Data!B$6,D51+E51*Data!B$12,""),""),""),"")</f>
        <v/>
      </c>
      <c r="O51" s="30" t="str">
        <f>IF(Data!B$17="Y",IF(OR(Data!B$3="H",Data!B$3="MH",Data!B$3="HM",Data!B$3="W"),IF($K51=Data!B$4,IF($L51=Data!B$6,F51+G51*Data!B$8,""),""),""),"")</f>
        <v/>
      </c>
      <c r="P51" s="30" t="str">
        <f>IF(Data!B$21="Y",IF(OR(Data!B$3="H",Data!B$3="MH",Data!B$3="HM",Data!B$3="W"),IF($K51=Data!B$4,IF($L51=Data!B$6,H51+I51*Data!B$8,""),""),""),"")</f>
        <v/>
      </c>
      <c r="Q51" s="30" t="str">
        <f>IF(OR(Data!B$3="H",Data!B$3="MH",Data!B$3="HM",Data!B$3="W"),IF($K51=Data!$B$4,IF($L51=Data!$B$6,J51*Data!$B$27,""),""),"")</f>
        <v/>
      </c>
    </row>
    <row r="52" spans="1:18">
      <c r="A52" s="44">
        <v>20</v>
      </c>
      <c r="B52" s="45">
        <v>10</v>
      </c>
      <c r="C52" s="57">
        <v>344</v>
      </c>
      <c r="D52" s="57">
        <v>1888</v>
      </c>
      <c r="E52" s="57">
        <v>983</v>
      </c>
      <c r="F52" s="57">
        <v>13531</v>
      </c>
      <c r="G52" s="57">
        <v>175</v>
      </c>
      <c r="H52" s="57">
        <v>2967</v>
      </c>
      <c r="I52" s="57">
        <v>98</v>
      </c>
      <c r="J52" s="57">
        <v>411</v>
      </c>
      <c r="K52" s="44">
        <v>20</v>
      </c>
      <c r="L52" s="43">
        <v>10</v>
      </c>
      <c r="M52" s="30" t="str">
        <f>IF(OR(Data!B$3="H",Data!B$3="MH",Data!B$3="HM",Data!B$3="W"),IF(K52=Data!B$4,IF(L52=Data!B$6,C52*Data!B$11,""),""),"")</f>
        <v/>
      </c>
      <c r="N52" s="30" t="str">
        <f>IF(Data!B$12&gt;0.1,IF(OR(Data!B$3="H",Data!B$3="MH",Data!B$3="HM",Data!B$3="W"),IF($K52=Data!B$4,IF($L52=Data!B$6,D52+E52*Data!B$12,""),""),""),"")</f>
        <v/>
      </c>
      <c r="O52" s="30" t="str">
        <f>IF(Data!B$17="Y",IF(OR(Data!B$3="H",Data!B$3="MH",Data!B$3="HM",Data!B$3="W"),IF($K52=Data!B$4,IF($L52=Data!B$6,F52+G52*Data!B$8,""),""),""),"")</f>
        <v/>
      </c>
      <c r="P52" s="30" t="str">
        <f>IF(Data!B$21="Y",IF(OR(Data!B$3="H",Data!B$3="MH",Data!B$3="HM",Data!B$3="W"),IF($K52=Data!B$4,IF($L52=Data!B$6,H52+I52*Data!B$8,""),""),""),"")</f>
        <v/>
      </c>
      <c r="Q52" s="30" t="str">
        <f>IF(OR(Data!B$3="H",Data!B$3="MH",Data!B$3="HM",Data!B$3="W"),IF($K52=Data!$B$4,IF($L52=Data!$B$6,J52*Data!$B$27,""),""),"")</f>
        <v/>
      </c>
    </row>
    <row r="53" spans="1:18">
      <c r="J53" s="57"/>
      <c r="K53" s="30"/>
      <c r="L53" s="45"/>
      <c r="M53" s="30">
        <f>SUM(M8:M52)</f>
        <v>0</v>
      </c>
      <c r="N53" s="30">
        <f>SUM(N8:N52)</f>
        <v>0</v>
      </c>
      <c r="O53" s="30">
        <f>SUM(O8:O52)</f>
        <v>0</v>
      </c>
      <c r="P53" s="30">
        <f>SUM(P8:P52)</f>
        <v>0</v>
      </c>
      <c r="Q53" s="30">
        <f>SUM(Q8:Q52)</f>
        <v>0</v>
      </c>
      <c r="R53" s="117">
        <f>SUM(M53:Q53)</f>
        <v>0</v>
      </c>
    </row>
    <row r="54" spans="1:18">
      <c r="J54" s="57"/>
      <c r="K54" s="30"/>
      <c r="L54" s="45"/>
      <c r="M54" s="30"/>
      <c r="N54" s="30"/>
      <c r="O54" s="30"/>
      <c r="P54" s="30"/>
    </row>
    <row r="55" spans="1:18">
      <c r="J55" s="57"/>
      <c r="K55" s="30"/>
      <c r="L55" s="45"/>
      <c r="M55" s="30"/>
      <c r="N55" s="30"/>
      <c r="O55" s="30"/>
      <c r="P55" s="30"/>
    </row>
    <row r="56" spans="1:18">
      <c r="J56" s="57"/>
      <c r="K56" s="30"/>
      <c r="L56" s="45"/>
      <c r="M56" s="30"/>
      <c r="N56" s="30"/>
      <c r="O56" s="30"/>
      <c r="P56" s="30"/>
    </row>
    <row r="57" spans="1:18">
      <c r="J57" s="57"/>
      <c r="K57" s="30"/>
      <c r="L57" s="45"/>
      <c r="M57" s="30"/>
      <c r="N57" s="30"/>
      <c r="O57" s="30"/>
      <c r="P57" s="30"/>
    </row>
    <row r="58" spans="1:18">
      <c r="J58" s="57"/>
      <c r="K58" s="30"/>
      <c r="L58" s="45"/>
      <c r="M58" s="30"/>
      <c r="N58" s="30"/>
      <c r="O58" s="30"/>
      <c r="P58" s="30"/>
    </row>
    <row r="59" spans="1:18">
      <c r="J59" s="57"/>
      <c r="K59" s="30"/>
      <c r="L59" s="45"/>
      <c r="M59" s="30"/>
      <c r="N59" s="30"/>
      <c r="O59" s="30"/>
      <c r="P59" s="30"/>
    </row>
    <row r="60" spans="1:18">
      <c r="J60" s="57"/>
      <c r="K60" s="30"/>
      <c r="L60" s="45"/>
      <c r="M60" s="30"/>
      <c r="N60" s="30"/>
      <c r="O60" s="30"/>
      <c r="P60" s="30"/>
    </row>
    <row r="61" spans="1:18">
      <c r="J61" s="57"/>
      <c r="K61" s="30"/>
      <c r="L61" s="45"/>
      <c r="M61" s="30"/>
      <c r="N61" s="30"/>
      <c r="O61" s="30"/>
      <c r="P61" s="30"/>
    </row>
    <row r="62" spans="1:18">
      <c r="J62" s="57"/>
      <c r="K62" s="30"/>
      <c r="L62" s="45"/>
      <c r="M62" s="30"/>
      <c r="N62" s="30"/>
      <c r="O62" s="30"/>
      <c r="P62" s="30"/>
    </row>
    <row r="63" spans="1:18">
      <c r="J63" s="57"/>
    </row>
    <row r="64" spans="1:18">
      <c r="J64" s="57"/>
    </row>
    <row r="65" spans="10:10">
      <c r="J65" s="57"/>
    </row>
    <row r="66" spans="10:10">
      <c r="J66" s="57"/>
    </row>
    <row r="67" spans="10:10">
      <c r="J67" s="57"/>
    </row>
    <row r="68" spans="10:10">
      <c r="J68" s="57"/>
    </row>
  </sheetData>
  <mergeCells count="18">
    <mergeCell ref="A1:J1"/>
    <mergeCell ref="A2:J2"/>
    <mergeCell ref="N4:N7"/>
    <mergeCell ref="O4:O7"/>
    <mergeCell ref="K1:P1"/>
    <mergeCell ref="K2:P2"/>
    <mergeCell ref="K4:K7"/>
    <mergeCell ref="J4:J7"/>
    <mergeCell ref="B4:B7"/>
    <mergeCell ref="L4:L7"/>
    <mergeCell ref="A4:A7"/>
    <mergeCell ref="M4:M7"/>
    <mergeCell ref="P4:P7"/>
    <mergeCell ref="C4:C7"/>
    <mergeCell ref="D4:E6"/>
    <mergeCell ref="F4:G6"/>
    <mergeCell ref="H4:I6"/>
    <mergeCell ref="Q4:Q7"/>
  </mergeCells>
  <phoneticPr fontId="0" type="noConversion"/>
  <printOptions horizontalCentered="1" verticalCentered="1"/>
  <pageMargins left="0.25" right="0.25" top="0.25" bottom="0.25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W123"/>
  <sheetViews>
    <sheetView workbookViewId="0">
      <selection activeCell="G8" sqref="G8:H52"/>
    </sheetView>
  </sheetViews>
  <sheetFormatPr defaultColWidth="9.08984375" defaultRowHeight="13"/>
  <cols>
    <col min="1" max="1" width="6" style="31" bestFit="1" customWidth="1"/>
    <col min="2" max="2" width="6.54296875" style="41" customWidth="1"/>
    <col min="3" max="3" width="10" style="31" customWidth="1"/>
    <col min="4" max="4" width="10.453125" style="31" customWidth="1"/>
    <col min="5" max="5" width="10" style="31" customWidth="1"/>
    <col min="6" max="6" width="9.54296875" style="31" customWidth="1"/>
    <col min="7" max="7" width="8.54296875" style="31" customWidth="1"/>
    <col min="8" max="8" width="7.81640625" style="31" customWidth="1"/>
    <col min="9" max="9" width="9" style="31" customWidth="1"/>
    <col min="10" max="10" width="9.54296875" style="31" customWidth="1"/>
    <col min="11" max="11" width="9" style="31" customWidth="1"/>
    <col min="12" max="12" width="11.453125" style="31" customWidth="1"/>
    <col min="13" max="16384" width="9.08984375" style="38"/>
  </cols>
  <sheetData>
    <row r="1" spans="1:23" ht="20">
      <c r="A1" s="603" t="s">
        <v>472</v>
      </c>
      <c r="B1" s="603"/>
      <c r="C1" s="603"/>
      <c r="D1" s="603"/>
      <c r="E1" s="603"/>
      <c r="F1" s="603"/>
      <c r="G1" s="603"/>
      <c r="H1" s="603"/>
      <c r="I1" s="603"/>
      <c r="J1" s="603"/>
      <c r="K1" s="113"/>
      <c r="L1" s="113"/>
      <c r="N1" s="603"/>
      <c r="O1" s="603"/>
      <c r="P1" s="603"/>
      <c r="Q1" s="603"/>
      <c r="R1" s="603"/>
      <c r="S1" s="603"/>
      <c r="T1" s="603"/>
      <c r="U1" s="603"/>
      <c r="V1" s="603"/>
      <c r="W1" s="603"/>
    </row>
    <row r="2" spans="1:23" ht="18">
      <c r="A2" s="608" t="s">
        <v>384</v>
      </c>
      <c r="B2" s="608"/>
      <c r="C2" s="608"/>
      <c r="D2" s="608"/>
      <c r="E2" s="608"/>
      <c r="F2" s="608"/>
      <c r="G2" s="608"/>
      <c r="H2" s="608"/>
      <c r="I2" s="608"/>
      <c r="J2" s="608"/>
      <c r="K2" s="114"/>
      <c r="L2" s="114"/>
      <c r="N2" s="604"/>
      <c r="O2" s="604"/>
      <c r="P2" s="604"/>
      <c r="Q2" s="604"/>
      <c r="R2" s="604"/>
      <c r="S2" s="604"/>
      <c r="T2" s="604"/>
      <c r="U2" s="604"/>
      <c r="V2" s="604"/>
      <c r="W2" s="604"/>
    </row>
    <row r="3" spans="1:23" ht="10.5" customHeight="1">
      <c r="A3" s="115"/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N3" s="115"/>
      <c r="O3" s="115"/>
      <c r="P3" s="115"/>
      <c r="Q3" s="115"/>
      <c r="R3" s="115"/>
      <c r="S3" s="115"/>
      <c r="T3" s="115"/>
      <c r="U3" s="115"/>
      <c r="V3" s="115"/>
      <c r="W3" s="115"/>
    </row>
    <row r="4" spans="1:23" ht="9" customHeight="1">
      <c r="A4" s="609" t="s">
        <v>440</v>
      </c>
      <c r="B4" s="609" t="s">
        <v>87</v>
      </c>
      <c r="C4" s="606" t="s">
        <v>615</v>
      </c>
      <c r="D4" s="606" t="s">
        <v>0</v>
      </c>
      <c r="E4" s="475" t="s">
        <v>390</v>
      </c>
      <c r="F4" s="475" t="s">
        <v>449</v>
      </c>
      <c r="G4" s="606" t="s">
        <v>492</v>
      </c>
      <c r="H4" s="606"/>
      <c r="I4" s="475" t="s">
        <v>731</v>
      </c>
      <c r="J4" s="475" t="s">
        <v>39488</v>
      </c>
      <c r="K4" s="475" t="s">
        <v>456</v>
      </c>
      <c r="L4" s="606" t="s">
        <v>440</v>
      </c>
      <c r="M4" s="606" t="s">
        <v>87</v>
      </c>
      <c r="N4" s="606" t="s">
        <v>615</v>
      </c>
      <c r="O4" s="606" t="s">
        <v>0</v>
      </c>
      <c r="P4" s="475" t="s">
        <v>390</v>
      </c>
      <c r="Q4" s="475" t="s">
        <v>449</v>
      </c>
      <c r="R4" s="475" t="s">
        <v>492</v>
      </c>
      <c r="S4" s="475" t="s">
        <v>731</v>
      </c>
      <c r="T4" s="475" t="s">
        <v>456</v>
      </c>
    </row>
    <row r="5" spans="1:23" ht="7.5" customHeight="1">
      <c r="A5" s="610"/>
      <c r="B5" s="610"/>
      <c r="C5" s="607"/>
      <c r="D5" s="607"/>
      <c r="E5" s="605"/>
      <c r="F5" s="605"/>
      <c r="G5" s="611"/>
      <c r="H5" s="611"/>
      <c r="I5" s="605"/>
      <c r="J5" s="605"/>
      <c r="K5" s="605"/>
      <c r="L5" s="607"/>
      <c r="M5" s="607"/>
      <c r="N5" s="607"/>
      <c r="O5" s="607"/>
      <c r="P5" s="605"/>
      <c r="Q5" s="605"/>
      <c r="R5" s="605"/>
      <c r="S5" s="605"/>
      <c r="T5" s="605"/>
    </row>
    <row r="6" spans="1:23" ht="5.25" customHeight="1">
      <c r="A6" s="610"/>
      <c r="B6" s="610"/>
      <c r="C6" s="607"/>
      <c r="D6" s="607"/>
      <c r="E6" s="605"/>
      <c r="F6" s="605"/>
      <c r="G6" s="611"/>
      <c r="H6" s="611"/>
      <c r="I6" s="605"/>
      <c r="J6" s="605"/>
      <c r="K6" s="605"/>
      <c r="L6" s="607"/>
      <c r="M6" s="607"/>
      <c r="N6" s="607"/>
      <c r="O6" s="607"/>
      <c r="P6" s="605"/>
      <c r="Q6" s="605"/>
      <c r="R6" s="605"/>
      <c r="S6" s="605"/>
      <c r="T6" s="605"/>
    </row>
    <row r="7" spans="1:23">
      <c r="A7" s="610"/>
      <c r="B7" s="610"/>
      <c r="C7" s="607"/>
      <c r="D7" s="607"/>
      <c r="E7" s="605"/>
      <c r="F7" s="605"/>
      <c r="G7" s="31" t="s">
        <v>227</v>
      </c>
      <c r="H7" s="31" t="s">
        <v>698</v>
      </c>
      <c r="I7" s="605"/>
      <c r="J7" s="605"/>
      <c r="K7" s="605"/>
      <c r="L7" s="607"/>
      <c r="M7" s="607"/>
      <c r="N7" s="607"/>
      <c r="O7" s="607"/>
      <c r="P7" s="605"/>
      <c r="Q7" s="605"/>
      <c r="R7" s="605"/>
      <c r="S7" s="605"/>
      <c r="T7" s="605"/>
    </row>
    <row r="8" spans="1:23">
      <c r="A8" s="41">
        <v>1.5</v>
      </c>
      <c r="B8" s="41">
        <v>0.625</v>
      </c>
      <c r="C8" s="31">
        <v>374</v>
      </c>
      <c r="D8" s="31">
        <v>173</v>
      </c>
      <c r="E8" s="31">
        <v>823</v>
      </c>
      <c r="F8" s="31">
        <v>84</v>
      </c>
      <c r="G8" s="31">
        <v>22</v>
      </c>
      <c r="H8" s="31">
        <v>120</v>
      </c>
      <c r="I8" s="31">
        <v>92</v>
      </c>
      <c r="K8" s="31">
        <v>599</v>
      </c>
      <c r="L8" s="60">
        <v>1.5</v>
      </c>
      <c r="M8" s="49">
        <v>0.625</v>
      </c>
      <c r="N8" s="31" t="str">
        <f>IF(Data!B$20="Y",IF(OR(Data!B$3="H",Data!B$3="MH",Data!B$3="HM",Data!B$3="W"),IF($L8=Data!B$4,IF($M8=Data!B$6,C8,""),""),""),"")</f>
        <v/>
      </c>
      <c r="O8" s="31" t="str">
        <f>IF(Data!$B$23&gt;0.1,IF(OR(Data!B$3="H",Data!B$3="MH",Data!B$3="HM",Data!B$3="W"),IF($L8=Data!$B$4,IF($M8=Data!$B$6,D8*Data!B$23,""),""),""),"")</f>
        <v/>
      </c>
      <c r="P8" s="31" t="str">
        <f>IF(Data!$B$19&gt;0.01,IF(OR(Data!B$3="H",Data!B$3="MH",Data!B$3="HM",Data!B$3="W"),IF($L8=Data!$B$4,IF($M8=Data!$B$6,E8*Data!B$19,""),""),""),"")</f>
        <v/>
      </c>
      <c r="Q8" s="31" t="str">
        <f>IF(Data!$B$15="Y",IF(OR(Data!B$3="H",Data!B$3="MH",Data!B$3="HM",Data!B$3="W"),IF($L8=Data!$B$4,IF($M8=Data!$B$6,F8,""),""),""),"")</f>
        <v/>
      </c>
      <c r="R8" s="31" t="str">
        <f>IF(AND($L8=Data!$B$4,$M8=Data!$B$6,Data!B$10="V"),G8+H8,"")</f>
        <v/>
      </c>
      <c r="S8" s="31" t="str">
        <f>IF(Data!$B$13&gt;0.1,IF(OR(Data!B$3="H",Data!B$3="MH",Data!B$3="HM",Data!B$3="W"),IF($L8=Data!$B$4,IF($M8=Data!$B$6,I8*Data!B$13,""),""),""),"")</f>
        <v/>
      </c>
      <c r="T8" s="38" t="str">
        <f>IF(Data!B$3="HM",IF($L8=Data!$B$4,IF($M8=Data!$B$6,K8,""),""),"")</f>
        <v/>
      </c>
    </row>
    <row r="9" spans="1:23">
      <c r="A9" s="41"/>
      <c r="B9" s="41">
        <v>1</v>
      </c>
      <c r="C9" s="54">
        <v>448</v>
      </c>
      <c r="D9" s="54">
        <v>173</v>
      </c>
      <c r="E9" s="31">
        <v>823</v>
      </c>
      <c r="F9" s="31">
        <v>88</v>
      </c>
      <c r="G9" s="31">
        <v>34</v>
      </c>
      <c r="H9" s="31">
        <v>120</v>
      </c>
      <c r="I9" s="31">
        <v>92</v>
      </c>
      <c r="K9" s="31">
        <v>599</v>
      </c>
      <c r="L9" s="60">
        <v>1.5</v>
      </c>
      <c r="M9" s="49">
        <v>1</v>
      </c>
      <c r="N9" s="31" t="str">
        <f>IF(Data!B$20="Y",IF(OR(Data!B$3="H",Data!B$3="MH",Data!B$3="HM",Data!B$3="W"),IF($L9=Data!B$4,IF($M9=Data!B$6,C9,""),""),""),"")</f>
        <v/>
      </c>
      <c r="O9" s="31" t="str">
        <f>IF(Data!$B$23&gt;0.1,IF(OR(Data!B$3="H",Data!B$3="MH",Data!B$3="HM",Data!B$3="W"),IF($L9=Data!$B$4,IF($M9=Data!$B$6,D9*Data!B$23,""),""),""),"")</f>
        <v/>
      </c>
      <c r="P9" s="31" t="str">
        <f>IF(Data!$B$19&gt;0.01,IF(OR(Data!B$3="H",Data!B$3="MH",Data!B$3="HM",Data!B$3="W"),IF($L9=Data!$B$4,IF($M9=Data!$B$6,E9*Data!B$19,""),""),""),"")</f>
        <v/>
      </c>
      <c r="Q9" s="31" t="str">
        <f>IF(Data!$B$15="Y",IF(OR(Data!B$3="H",Data!B$3="MH",Data!B$3="HM",Data!B$3="W"),IF($L9=Data!$B$4,IF($M9=Data!$B$6,F9,""),""),""),"")</f>
        <v/>
      </c>
      <c r="R9" s="31" t="str">
        <f>IF(AND($L9=Data!$B$4,$M9=Data!$B$6,Data!B$10="V"),G9+H9,"")</f>
        <v/>
      </c>
      <c r="S9" s="31" t="str">
        <f>IF(Data!$B$13&gt;0.1,IF(OR(Data!B$3="H",Data!B$3="MH",Data!B$3="HM",Data!B$3="W"),IF($L9=Data!$B$4,IF($M9=Data!$B$6,I9*Data!B$13,""),""),""),"")</f>
        <v/>
      </c>
      <c r="T9" s="38" t="str">
        <f>IF(Data!B$3="HM",IF($L9=Data!$B$4,IF($M9=Data!$B$6,K9,""),""),"")</f>
        <v/>
      </c>
    </row>
    <row r="10" spans="1:23">
      <c r="A10" s="31">
        <v>2</v>
      </c>
      <c r="B10" s="41">
        <v>1</v>
      </c>
      <c r="C10" s="31">
        <v>448</v>
      </c>
      <c r="D10" s="31">
        <v>182</v>
      </c>
      <c r="E10" s="31">
        <v>823</v>
      </c>
      <c r="F10" s="31">
        <v>88</v>
      </c>
      <c r="G10" s="31">
        <v>34</v>
      </c>
      <c r="H10" s="31">
        <v>135</v>
      </c>
      <c r="I10" s="31">
        <v>95</v>
      </c>
      <c r="K10" s="31">
        <v>699</v>
      </c>
      <c r="L10" s="60">
        <v>2</v>
      </c>
      <c r="M10" s="49">
        <v>1</v>
      </c>
      <c r="N10" s="31" t="str">
        <f>IF(Data!B$20="Y",IF(OR(Data!B$3="H",Data!B$3="MH",Data!B$3="HM",Data!B$3="W"),IF($L10=Data!B$4,IF($M10=Data!B$6,C10,""),""),""),"")</f>
        <v/>
      </c>
      <c r="O10" s="31" t="str">
        <f>IF(Data!$B$23&gt;0.1,IF(OR(Data!B$3="H",Data!B$3="MH",Data!B$3="HM",Data!B$3="W"),IF($L10=Data!$B$4,IF($M10=Data!$B$6,D10*Data!B$23,""),""),""),"")</f>
        <v/>
      </c>
      <c r="P10" s="31" t="str">
        <f>IF(Data!$B$19&gt;0.01,IF(OR(Data!B$3="H",Data!B$3="MH",Data!B$3="HM",Data!B$3="W"),IF($L10=Data!$B$4,IF($M10=Data!$B$6,E10*Data!B$19,""),""),""),"")</f>
        <v/>
      </c>
      <c r="Q10" s="31" t="str">
        <f>IF(Data!$B$15="Y",IF(OR(Data!B$3="H",Data!B$3="MH",Data!B$3="HM",Data!B$3="W"),IF($L10=Data!$B$4,IF($M10=Data!$B$6,F10,""),""),""),"")</f>
        <v/>
      </c>
      <c r="R10" s="31" t="str">
        <f>IF(AND($L10=Data!$B$4,$M10=Data!$B$6,Data!B$10="V"),G10+H10,"")</f>
        <v/>
      </c>
      <c r="S10" s="31" t="str">
        <f>IF(Data!$B$13&gt;0.1,IF(OR(Data!B$3="H",Data!B$3="MH",Data!B$3="HM",Data!B$3="W"),IF($L10=Data!$B$4,IF($M10=Data!$B$6,I10*Data!B$13,""),""),""),"")</f>
        <v/>
      </c>
      <c r="T10" s="38" t="str">
        <f>IF(Data!B$3="HM",IF($L10=Data!$B$4,IF($M10=Data!$B$6,K10,""),""),"")</f>
        <v/>
      </c>
    </row>
    <row r="11" spans="1:23">
      <c r="B11" s="41">
        <v>1.375</v>
      </c>
      <c r="C11" s="54">
        <v>457</v>
      </c>
      <c r="D11" s="31">
        <v>182</v>
      </c>
      <c r="E11" s="31">
        <v>823</v>
      </c>
      <c r="F11" s="31">
        <v>113</v>
      </c>
      <c r="G11" s="31">
        <v>56</v>
      </c>
      <c r="H11" s="31">
        <v>135</v>
      </c>
      <c r="I11" s="31">
        <v>95</v>
      </c>
      <c r="K11" s="31">
        <v>699</v>
      </c>
      <c r="L11" s="60">
        <v>2</v>
      </c>
      <c r="M11" s="49">
        <v>1.375</v>
      </c>
      <c r="N11" s="31" t="str">
        <f>IF(Data!B$20="Y",IF(OR(Data!B$3="H",Data!B$3="MH",Data!B$3="HM",Data!B$3="W"),IF($L11=Data!B$4,IF($M11=Data!B$6,C11,""),""),""),"")</f>
        <v/>
      </c>
      <c r="O11" s="31" t="str">
        <f>IF(Data!$B$23&gt;0.1,IF(OR(Data!B$3="H",Data!B$3="MH",Data!B$3="HM",Data!B$3="W"),IF($L11=Data!$B$4,IF($M11=Data!$B$6,D11*Data!B$23,""),""),""),"")</f>
        <v/>
      </c>
      <c r="P11" s="31" t="str">
        <f>IF(Data!$B$19&gt;0.01,IF(OR(Data!B$3="H",Data!B$3="MH",Data!B$3="HM",Data!B$3="W"),IF($L11=Data!$B$4,IF($M11=Data!$B$6,E11*Data!B$19,""),""),""),"")</f>
        <v/>
      </c>
      <c r="Q11" s="31" t="str">
        <f>IF(Data!$B$15="Y",IF(OR(Data!B$3="H",Data!B$3="MH",Data!B$3="HM",Data!B$3="W"),IF($L11=Data!$B$4,IF($M11=Data!$B$6,F11,""),""),""),"")</f>
        <v/>
      </c>
      <c r="R11" s="31" t="str">
        <f>IF(AND($L11=Data!$B$4,$M11=Data!$B$6,Data!B$10="V"),G11+H11,"")</f>
        <v/>
      </c>
      <c r="S11" s="31" t="str">
        <f>IF(Data!$B$13&gt;0.1,IF(OR(Data!B$3="H",Data!B$3="MH",Data!B$3="HM",Data!B$3="W"),IF($L11=Data!$B$4,IF($M11=Data!$B$6,I11*Data!B$13,""),""),""),"")</f>
        <v/>
      </c>
      <c r="T11" s="38" t="str">
        <f>IF(Data!B$3="HM",IF($L11=Data!$B$4,IF($M11=Data!$B$6,K11,""),""),"")</f>
        <v/>
      </c>
    </row>
    <row r="12" spans="1:23">
      <c r="A12" s="41">
        <v>2.5</v>
      </c>
      <c r="B12" s="41">
        <v>1</v>
      </c>
      <c r="C12" s="31">
        <v>448</v>
      </c>
      <c r="D12" s="31">
        <v>188</v>
      </c>
      <c r="E12" s="31">
        <v>823</v>
      </c>
      <c r="F12" s="31">
        <v>88</v>
      </c>
      <c r="G12" s="31">
        <v>34</v>
      </c>
      <c r="H12" s="31">
        <v>170</v>
      </c>
      <c r="I12" s="31">
        <v>100</v>
      </c>
      <c r="K12" s="31">
        <v>863</v>
      </c>
      <c r="L12" s="60">
        <v>2.5</v>
      </c>
      <c r="M12" s="49">
        <v>1</v>
      </c>
      <c r="N12" s="31" t="str">
        <f>IF(Data!B$20="Y",IF(OR(Data!B$3="H",Data!B$3="MH",Data!B$3="HM",Data!B$3="W"),IF($L12=Data!B$4,IF($M12=Data!B$6,C12,""),""),""),"")</f>
        <v/>
      </c>
      <c r="O12" s="31" t="str">
        <f>IF(Data!$B$23&gt;0.1,IF(OR(Data!B$3="H",Data!B$3="MH",Data!B$3="HM",Data!B$3="W"),IF($L12=Data!$B$4,IF($M12=Data!$B$6,D12*Data!B$23,""),""),""),"")</f>
        <v/>
      </c>
      <c r="P12" s="31" t="str">
        <f>IF(Data!$B$19&gt;0.01,IF(OR(Data!B$3="H",Data!B$3="MH",Data!B$3="HM",Data!B$3="W"),IF($L12=Data!$B$4,IF($M12=Data!$B$6,E12*Data!B$19,""),""),""),"")</f>
        <v/>
      </c>
      <c r="Q12" s="31" t="str">
        <f>IF(Data!$B$15="Y",IF(OR(Data!B$3="H",Data!B$3="MH",Data!B$3="HM",Data!B$3="W"),IF($L12=Data!$B$4,IF($M12=Data!$B$6,F12,""),""),""),"")</f>
        <v/>
      </c>
      <c r="R12" s="31" t="str">
        <f>IF(AND($L12=Data!$B$4,$M12=Data!$B$6,Data!B$10="V"),G12+H12,"")</f>
        <v/>
      </c>
      <c r="S12" s="31" t="str">
        <f>IF(Data!$B$13&gt;0.1,IF(OR(Data!B$3="H",Data!B$3="MH",Data!B$3="HM",Data!B$3="W"),IF($L12=Data!$B$4,IF($M12=Data!$B$6,I12*Data!B$13,""),""),""),"")</f>
        <v/>
      </c>
      <c r="T12" s="38" t="str">
        <f>IF(Data!B$3="HM",IF($L12=Data!$B$4,IF($M12=Data!$B$6,K12,""),""),"")</f>
        <v/>
      </c>
    </row>
    <row r="13" spans="1:23">
      <c r="B13" s="41">
        <v>1.375</v>
      </c>
      <c r="C13" s="31">
        <v>457</v>
      </c>
      <c r="D13" s="31">
        <v>188</v>
      </c>
      <c r="E13" s="31">
        <v>823</v>
      </c>
      <c r="F13" s="31">
        <v>113</v>
      </c>
      <c r="G13" s="31">
        <v>56</v>
      </c>
      <c r="H13" s="31">
        <v>170</v>
      </c>
      <c r="I13" s="31">
        <v>100</v>
      </c>
      <c r="K13" s="31">
        <v>863</v>
      </c>
      <c r="L13" s="60">
        <v>2.5</v>
      </c>
      <c r="M13" s="49">
        <v>1.375</v>
      </c>
      <c r="N13" s="31" t="str">
        <f>IF(Data!B$20="Y",IF(OR(Data!B$3="H",Data!B$3="MH",Data!B$3="HM",Data!B$3="W"),IF($L13=Data!B$4,IF($M13=Data!B$6,C13,""),""),""),"")</f>
        <v/>
      </c>
      <c r="O13" s="31" t="str">
        <f>IF(Data!$B$23&gt;0.1,IF(OR(Data!B$3="H",Data!B$3="MH",Data!B$3="HM",Data!B$3="W"),IF($L13=Data!$B$4,IF($M13=Data!$B$6,D13*Data!B$23,""),""),""),"")</f>
        <v/>
      </c>
      <c r="P13" s="31" t="str">
        <f>IF(Data!$B$19&gt;0.01,IF(OR(Data!B$3="H",Data!B$3="MH",Data!B$3="HM",Data!B$3="W"),IF($L13=Data!$B$4,IF($M13=Data!$B$6,E13*Data!B$19,""),""),""),"")</f>
        <v/>
      </c>
      <c r="Q13" s="31" t="str">
        <f>IF(Data!$B$15="Y",IF(OR(Data!B$3="H",Data!B$3="MH",Data!B$3="HM",Data!B$3="W"),IF($L13=Data!$B$4,IF($M13=Data!$B$6,F13,""),""),""),"")</f>
        <v/>
      </c>
      <c r="R13" s="31" t="str">
        <f>IF(AND($L13=Data!$B$4,$M13=Data!$B$6,Data!B$10="V"),G13+H13,"")</f>
        <v/>
      </c>
      <c r="S13" s="31" t="str">
        <f>IF(Data!$B$13&gt;0.1,IF(OR(Data!B$3="H",Data!B$3="MH",Data!B$3="HM",Data!B$3="W"),IF($L13=Data!$B$4,IF($M13=Data!$B$6,I13*Data!B$13,""),""),""),"")</f>
        <v/>
      </c>
      <c r="T13" s="38" t="str">
        <f>IF(Data!B$3="HM",IF($L13=Data!$B$4,IF($M13=Data!$B$6,K13,""),""),"")</f>
        <v/>
      </c>
    </row>
    <row r="14" spans="1:23">
      <c r="A14" s="41"/>
      <c r="B14" s="41">
        <v>1.75</v>
      </c>
      <c r="C14" s="54">
        <v>468</v>
      </c>
      <c r="D14" s="31">
        <v>188</v>
      </c>
      <c r="E14" s="31">
        <v>823</v>
      </c>
      <c r="F14" s="31">
        <v>155</v>
      </c>
      <c r="G14" s="31">
        <v>70</v>
      </c>
      <c r="H14" s="31">
        <v>170</v>
      </c>
      <c r="I14" s="31">
        <v>100</v>
      </c>
      <c r="K14" s="31">
        <v>863</v>
      </c>
      <c r="L14" s="60">
        <v>2.5</v>
      </c>
      <c r="M14" s="49">
        <v>1.75</v>
      </c>
      <c r="N14" s="31" t="str">
        <f>IF(Data!B$20="Y",IF(OR(Data!B$3="H",Data!B$3="MH",Data!B$3="HM",Data!B$3="W"),IF($L14=Data!B$4,IF($M14=Data!B$6,C14,""),""),""),"")</f>
        <v/>
      </c>
      <c r="O14" s="31" t="str">
        <f>IF(Data!$B$23&gt;0.1,IF(OR(Data!B$3="H",Data!B$3="MH",Data!B$3="HM",Data!B$3="W"),IF($L14=Data!$B$4,IF($M14=Data!$B$6,D14*Data!B$23,""),""),""),"")</f>
        <v/>
      </c>
      <c r="P14" s="31" t="str">
        <f>IF(Data!$B$19&gt;0.01,IF(OR(Data!B$3="H",Data!B$3="MH",Data!B$3="HM",Data!B$3="W"),IF($L14=Data!$B$4,IF($M14=Data!$B$6,E14*Data!B$19,""),""),""),"")</f>
        <v/>
      </c>
      <c r="Q14" s="31" t="str">
        <f>IF(Data!$B$15="Y",IF(OR(Data!B$3="H",Data!B$3="MH",Data!B$3="HM",Data!B$3="W"),IF($L14=Data!$B$4,IF($M14=Data!$B$6,F14,""),""),""),"")</f>
        <v/>
      </c>
      <c r="R14" s="31" t="str">
        <f>IF(AND($L14=Data!$B$4,$M14=Data!$B$6,Data!B$10="V"),G14+H14,"")</f>
        <v/>
      </c>
      <c r="S14" s="31" t="str">
        <f>IF(Data!$B$13&gt;0.1,IF(OR(Data!B$3="H",Data!B$3="MH",Data!B$3="HM",Data!B$3="W"),IF($L14=Data!$B$4,IF($M14=Data!$B$6,I14*Data!B$13,""),""),""),"")</f>
        <v/>
      </c>
      <c r="T14" s="38" t="str">
        <f>IF(Data!B$3="HM",IF($L14=Data!$B$4,IF($M14=Data!$B$6,K14,""),""),"")</f>
        <v/>
      </c>
    </row>
    <row r="15" spans="1:23">
      <c r="A15" s="41">
        <v>3.25</v>
      </c>
      <c r="B15" s="41">
        <v>1.375</v>
      </c>
      <c r="C15" s="31">
        <v>457</v>
      </c>
      <c r="D15" s="31">
        <v>198</v>
      </c>
      <c r="E15" s="31">
        <v>823</v>
      </c>
      <c r="F15" s="31">
        <v>113</v>
      </c>
      <c r="G15" s="31">
        <v>56</v>
      </c>
      <c r="H15" s="31">
        <v>190</v>
      </c>
      <c r="I15" s="31">
        <v>105</v>
      </c>
      <c r="K15" s="31">
        <v>979</v>
      </c>
      <c r="L15" s="60">
        <v>3.25</v>
      </c>
      <c r="M15" s="49">
        <v>1.375</v>
      </c>
      <c r="N15" s="31" t="str">
        <f>IF(Data!B$20="Y",IF(OR(Data!B$3="H",Data!B$3="MH",Data!B$3="HM",Data!B$3="W"),IF($L15=Data!B$4,IF($M15=Data!B$6,C15,""),""),""),"")</f>
        <v/>
      </c>
      <c r="O15" s="31" t="str">
        <f>IF(Data!$B$23&gt;0.1,IF(OR(Data!B$3="H",Data!B$3="MH",Data!B$3="HM",Data!B$3="W"),IF($L15=Data!$B$4,IF($M15=Data!$B$6,D15*Data!B$23,""),""),""),"")</f>
        <v/>
      </c>
      <c r="P15" s="31" t="str">
        <f>IF(Data!$B$19&gt;0.01,IF(OR(Data!B$3="H",Data!B$3="MH",Data!B$3="HM",Data!B$3="W"),IF($L15=Data!$B$4,IF($M15=Data!$B$6,E15*Data!B$19,""),""),""),"")</f>
        <v/>
      </c>
      <c r="Q15" s="31" t="str">
        <f>IF(Data!$B$15="Y",IF(OR(Data!B$3="H",Data!B$3="MH",Data!B$3="HM",Data!B$3="W"),IF($L15=Data!$B$4,IF($M15=Data!$B$6,F15,""),""),""),"")</f>
        <v/>
      </c>
      <c r="R15" s="31" t="str">
        <f>IF(AND($L15=Data!$B$4,$M15=Data!$B$6,Data!B$10="V"),G15+H15,"")</f>
        <v/>
      </c>
      <c r="S15" s="31" t="str">
        <f>IF(Data!$B$13&gt;0.1,IF(OR(Data!B$3="H",Data!B$3="MH",Data!B$3="HM",Data!B$3="W"),IF($L15=Data!$B$4,IF($M15=Data!$B$6,I15*Data!B$13,""),""),""),"")</f>
        <v/>
      </c>
      <c r="T15" s="38" t="str">
        <f>IF(Data!B$3="HM",IF($L15=Data!$B$4,IF($M15=Data!$B$6,K15,""),""),"")</f>
        <v/>
      </c>
    </row>
    <row r="16" spans="1:23">
      <c r="B16" s="41">
        <v>1.75</v>
      </c>
      <c r="C16" s="31">
        <v>468</v>
      </c>
      <c r="D16" s="31">
        <v>198</v>
      </c>
      <c r="E16" s="31">
        <v>823</v>
      </c>
      <c r="F16" s="31">
        <v>155</v>
      </c>
      <c r="G16" s="31">
        <v>70</v>
      </c>
      <c r="H16" s="31">
        <v>190</v>
      </c>
      <c r="I16" s="31">
        <v>105</v>
      </c>
      <c r="K16" s="31">
        <v>979</v>
      </c>
      <c r="L16" s="60">
        <v>3.25</v>
      </c>
      <c r="M16" s="49">
        <v>1.75</v>
      </c>
      <c r="N16" s="31" t="str">
        <f>IF(Data!B$20="Y",IF(OR(Data!B$3="H",Data!B$3="MH",Data!B$3="HM",Data!B$3="W"),IF($L16=Data!B$4,IF($M16=Data!B$6,C16,""),""),""),"")</f>
        <v/>
      </c>
      <c r="O16" s="31" t="str">
        <f>IF(Data!$B$23&gt;0.1,IF(OR(Data!B$3="H",Data!B$3="MH",Data!B$3="HM",Data!B$3="W"),IF($L16=Data!$B$4,IF($M16=Data!$B$6,D16*Data!B$23,""),""),""),"")</f>
        <v/>
      </c>
      <c r="P16" s="31" t="str">
        <f>IF(Data!$B$19&gt;0.01,IF(OR(Data!B$3="H",Data!B$3="MH",Data!B$3="HM",Data!B$3="W"),IF($L16=Data!$B$4,IF($M16=Data!$B$6,E16*Data!B$19,""),""),""),"")</f>
        <v/>
      </c>
      <c r="Q16" s="31" t="str">
        <f>IF(Data!$B$15="Y",IF(OR(Data!B$3="H",Data!B$3="MH",Data!B$3="HM",Data!B$3="W"),IF($L16=Data!$B$4,IF($M16=Data!$B$6,F16,""),""),""),"")</f>
        <v/>
      </c>
      <c r="R16" s="31" t="str">
        <f>IF(AND($L16=Data!$B$4,$M16=Data!$B$6,Data!B$10="V"),G16+H16,"")</f>
        <v/>
      </c>
      <c r="S16" s="31" t="str">
        <f>IF(Data!$B$13&gt;0.1,IF(OR(Data!B$3="H",Data!B$3="MH",Data!B$3="HM",Data!B$3="W"),IF($L16=Data!$B$4,IF($M16=Data!$B$6,I16*Data!B$13,""),""),""),"")</f>
        <v/>
      </c>
      <c r="T16" s="38" t="str">
        <f>IF(Data!B$3="HM",IF($L16=Data!$B$4,IF($M16=Data!$B$6,K16,""),""),"")</f>
        <v/>
      </c>
    </row>
    <row r="17" spans="1:20">
      <c r="A17" s="41"/>
      <c r="B17" s="41">
        <v>2</v>
      </c>
      <c r="C17" s="54">
        <v>478</v>
      </c>
      <c r="D17" s="54">
        <v>198</v>
      </c>
      <c r="E17" s="31">
        <v>823</v>
      </c>
      <c r="F17" s="31">
        <v>236</v>
      </c>
      <c r="G17" s="31">
        <v>96</v>
      </c>
      <c r="H17" s="31">
        <v>190</v>
      </c>
      <c r="I17" s="31">
        <v>105</v>
      </c>
      <c r="K17" s="31">
        <v>979</v>
      </c>
      <c r="L17" s="60">
        <v>3.25</v>
      </c>
      <c r="M17" s="49">
        <v>2</v>
      </c>
      <c r="N17" s="31" t="str">
        <f>IF(Data!B$20="Y",IF(OR(Data!B$3="H",Data!B$3="MH",Data!B$3="HM",Data!B$3="W"),IF($L17=Data!B$4,IF($M17=Data!B$6,C17,""),""),""),"")</f>
        <v/>
      </c>
      <c r="O17" s="31" t="str">
        <f>IF(Data!$B$23&gt;0.1,IF(OR(Data!B$3="H",Data!B$3="MH",Data!B$3="HM",Data!B$3="W"),IF($L17=Data!$B$4,IF($M17=Data!$B$6,D17*Data!B$23,""),""),""),"")</f>
        <v/>
      </c>
      <c r="P17" s="31" t="str">
        <f>IF(Data!$B$19&gt;0.01,IF(OR(Data!B$3="H",Data!B$3="MH",Data!B$3="HM",Data!B$3="W"),IF($L17=Data!$B$4,IF($M17=Data!$B$6,E17*Data!B$19,""),""),""),"")</f>
        <v/>
      </c>
      <c r="Q17" s="31" t="str">
        <f>IF(Data!$B$15="Y",IF(OR(Data!B$3="H",Data!B$3="MH",Data!B$3="HM",Data!B$3="W"),IF($L17=Data!$B$4,IF($M17=Data!$B$6,F17,""),""),""),"")</f>
        <v/>
      </c>
      <c r="R17" s="31" t="str">
        <f>IF(AND($L17=Data!$B$4,$M17=Data!$B$6,Data!B$10="V"),G17+H17,"")</f>
        <v/>
      </c>
      <c r="S17" s="31" t="str">
        <f>IF(Data!$B$13&gt;0.1,IF(OR(Data!B$3="H",Data!B$3="MH",Data!B$3="HM",Data!B$3="W"),IF($L17=Data!$B$4,IF($M17=Data!$B$6,I17*Data!B$13,""),""),""),"")</f>
        <v/>
      </c>
      <c r="T17" s="38" t="str">
        <f>IF(Data!B$3="HM",IF($L17=Data!$B$4,IF($M17=Data!$B$6,K17,""),""),"")</f>
        <v/>
      </c>
    </row>
    <row r="18" spans="1:20">
      <c r="A18" s="31">
        <v>4</v>
      </c>
      <c r="B18" s="41">
        <v>1.75</v>
      </c>
      <c r="C18" s="31">
        <v>468</v>
      </c>
      <c r="D18" s="31">
        <v>208</v>
      </c>
      <c r="E18" s="31">
        <v>823</v>
      </c>
      <c r="F18" s="31">
        <v>155</v>
      </c>
      <c r="G18" s="31">
        <v>70</v>
      </c>
      <c r="H18" s="31">
        <v>230</v>
      </c>
      <c r="I18" s="31">
        <v>116</v>
      </c>
      <c r="K18" s="31">
        <v>1141</v>
      </c>
      <c r="L18" s="60">
        <v>4</v>
      </c>
      <c r="M18" s="49">
        <v>1.75</v>
      </c>
      <c r="N18" s="31" t="str">
        <f>IF(Data!B$20="Y",IF(OR(Data!B$3="H",Data!B$3="MH",Data!B$3="HM",Data!B$3="W"),IF($L18=Data!B$4,IF($M18=Data!B$6,C18,""),""),""),"")</f>
        <v/>
      </c>
      <c r="O18" s="31" t="str">
        <f>IF(Data!$B$23&gt;0.1,IF(OR(Data!B$3="H",Data!B$3="MH",Data!B$3="HM",Data!B$3="W"),IF($L18=Data!$B$4,IF($M18=Data!$B$6,D18*Data!B$23,""),""),""),"")</f>
        <v/>
      </c>
      <c r="P18" s="31" t="str">
        <f>IF(Data!$B$19&gt;0.01,IF(OR(Data!B$3="H",Data!B$3="MH",Data!B$3="HM",Data!B$3="W"),IF($L18=Data!$B$4,IF($M18=Data!$B$6,E18*Data!B$19,""),""),""),"")</f>
        <v/>
      </c>
      <c r="Q18" s="31" t="str">
        <f>IF(Data!$B$15="Y",IF(OR(Data!B$3="H",Data!B$3="MH",Data!B$3="HM",Data!B$3="W"),IF($L18=Data!$B$4,IF($M18=Data!$B$6,F18,""),""),""),"")</f>
        <v/>
      </c>
      <c r="R18" s="31" t="str">
        <f>IF(AND($L18=Data!$B$4,$M18=Data!$B$6,Data!B$10="V"),G18+H18,"")</f>
        <v/>
      </c>
      <c r="S18" s="31" t="str">
        <f>IF(Data!$B$13&gt;0.1,IF(OR(Data!B$3="H",Data!B$3="MH",Data!B$3="HM",Data!B$3="W"),IF($L18=Data!$B$4,IF($M18=Data!$B$6,I18*Data!B$13,""),""),""),"")</f>
        <v/>
      </c>
      <c r="T18" s="38" t="str">
        <f>IF(Data!B$3="HM",IF($L18=Data!$B$4,IF($M18=Data!$B$6,K18,""),""),"")</f>
        <v/>
      </c>
    </row>
    <row r="19" spans="1:20">
      <c r="B19" s="41">
        <v>2</v>
      </c>
      <c r="C19" s="31">
        <v>478</v>
      </c>
      <c r="D19" s="31">
        <v>208</v>
      </c>
      <c r="E19" s="31">
        <v>823</v>
      </c>
      <c r="F19" s="31">
        <v>236</v>
      </c>
      <c r="G19" s="31">
        <v>96</v>
      </c>
      <c r="H19" s="31">
        <v>230</v>
      </c>
      <c r="I19" s="31">
        <v>116</v>
      </c>
      <c r="K19" s="31">
        <v>1141</v>
      </c>
      <c r="L19" s="60">
        <v>4</v>
      </c>
      <c r="M19" s="49">
        <v>2</v>
      </c>
      <c r="N19" s="31" t="str">
        <f>IF(Data!B$20="Y",IF(OR(Data!B$3="H",Data!B$3="MH",Data!B$3="HM",Data!B$3="W"),IF($L19=Data!B$4,IF($M19=Data!B$6,C19,""),""),""),"")</f>
        <v/>
      </c>
      <c r="O19" s="31" t="str">
        <f>IF(Data!$B$23&gt;0.1,IF(OR(Data!B$3="H",Data!B$3="MH",Data!B$3="HM",Data!B$3="W"),IF($L19=Data!$B$4,IF($M19=Data!$B$6,D19*Data!B$23,""),""),""),"")</f>
        <v/>
      </c>
      <c r="P19" s="31" t="str">
        <f>IF(Data!$B$19&gt;0.01,IF(OR(Data!B$3="H",Data!B$3="MH",Data!B$3="HM",Data!B$3="W"),IF($L19=Data!$B$4,IF($M19=Data!$B$6,E19*Data!B$19,""),""),""),"")</f>
        <v/>
      </c>
      <c r="Q19" s="31" t="str">
        <f>IF(Data!$B$15="Y",IF(OR(Data!B$3="H",Data!B$3="MH",Data!B$3="HM",Data!B$3="W"),IF($L19=Data!$B$4,IF($M19=Data!$B$6,F19,""),""),""),"")</f>
        <v/>
      </c>
      <c r="R19" s="31" t="str">
        <f>IF(AND($L19=Data!$B$4,$M19=Data!$B$6,Data!B$10="V"),G19+H19,"")</f>
        <v/>
      </c>
      <c r="S19" s="31" t="str">
        <f>IF(Data!$B$13&gt;0.1,IF(OR(Data!B$3="H",Data!B$3="MH",Data!B$3="HM",Data!B$3="W"),IF($L19=Data!$B$4,IF($M19=Data!$B$6,I19*Data!B$13,""),""),""),"")</f>
        <v/>
      </c>
      <c r="T19" s="38" t="str">
        <f>IF(Data!B$3="HM",IF($L19=Data!$B$4,IF($M19=Data!$B$6,K19,""),""),"")</f>
        <v/>
      </c>
    </row>
    <row r="20" spans="1:20">
      <c r="B20" s="41">
        <v>2.5</v>
      </c>
      <c r="C20" s="54">
        <v>483</v>
      </c>
      <c r="D20" s="31">
        <v>208</v>
      </c>
      <c r="E20" s="31">
        <v>823</v>
      </c>
      <c r="F20" s="31">
        <v>422</v>
      </c>
      <c r="G20" s="31">
        <v>189</v>
      </c>
      <c r="H20" s="31">
        <v>230</v>
      </c>
      <c r="I20" s="31">
        <v>116</v>
      </c>
      <c r="K20" s="31">
        <v>1141</v>
      </c>
      <c r="L20" s="60">
        <v>4</v>
      </c>
      <c r="M20" s="49">
        <v>2.5</v>
      </c>
      <c r="N20" s="31" t="str">
        <f>IF(Data!B$20="Y",IF(OR(Data!B$3="H",Data!B$3="MH",Data!B$3="HM",Data!B$3="W"),IF($L20=Data!B$4,IF($M20=Data!B$6,C20,""),""),""),"")</f>
        <v/>
      </c>
      <c r="O20" s="31" t="str">
        <f>IF(Data!$B$23&gt;0.1,IF(OR(Data!B$3="H",Data!B$3="MH",Data!B$3="HM",Data!B$3="W"),IF($L20=Data!$B$4,IF($M20=Data!$B$6,D20*Data!B$23,""),""),""),"")</f>
        <v/>
      </c>
      <c r="P20" s="31" t="str">
        <f>IF(Data!$B$19&gt;0.01,IF(OR(Data!B$3="H",Data!B$3="MH",Data!B$3="HM",Data!B$3="W"),IF($L20=Data!$B$4,IF($M20=Data!$B$6,E20*Data!B$19,""),""),""),"")</f>
        <v/>
      </c>
      <c r="Q20" s="31" t="str">
        <f>IF(Data!$B$15="Y",IF(OR(Data!B$3="H",Data!B$3="MH",Data!B$3="HM",Data!B$3="W"),IF($L20=Data!$B$4,IF($M20=Data!$B$6,F20,""),""),""),"")</f>
        <v/>
      </c>
      <c r="R20" s="31" t="str">
        <f>IF(AND($L20=Data!$B$4,$M20=Data!$B$6,Data!B$10="V"),G20+H20,"")</f>
        <v/>
      </c>
      <c r="S20" s="31" t="str">
        <f>IF(Data!$B$13&gt;0.1,IF(OR(Data!B$3="H",Data!B$3="MH",Data!B$3="HM",Data!B$3="W"),IF($L20=Data!$B$4,IF($M20=Data!$B$6,I20*Data!B$13,""),""),""),"")</f>
        <v/>
      </c>
      <c r="T20" s="38" t="str">
        <f>IF(Data!B$3="HM",IF($L20=Data!$B$4,IF($M20=Data!$B$6,K20,""),""),"")</f>
        <v/>
      </c>
    </row>
    <row r="21" spans="1:20">
      <c r="A21" s="31">
        <v>5</v>
      </c>
      <c r="B21" s="41">
        <v>2</v>
      </c>
      <c r="C21" s="31">
        <v>478</v>
      </c>
      <c r="D21" s="31">
        <v>218</v>
      </c>
      <c r="E21" s="31">
        <v>823</v>
      </c>
      <c r="F21" s="31">
        <v>236</v>
      </c>
      <c r="G21" s="31">
        <v>96</v>
      </c>
      <c r="H21" s="31">
        <v>450</v>
      </c>
      <c r="I21" s="31">
        <v>120</v>
      </c>
      <c r="K21" s="31">
        <v>1548</v>
      </c>
      <c r="L21" s="60">
        <v>5</v>
      </c>
      <c r="M21" s="49">
        <v>2</v>
      </c>
      <c r="N21" s="31" t="str">
        <f>IF(Data!B$20="Y",IF(OR(Data!B$3="H",Data!B$3="MH",Data!B$3="HM",Data!B$3="W"),IF($L21=Data!B$4,IF($M21=Data!B$6,C21,""),""),""),"")</f>
        <v/>
      </c>
      <c r="O21" s="31" t="str">
        <f>IF(Data!$B$23&gt;0.1,IF(OR(Data!B$3="H",Data!B$3="MH",Data!B$3="HM",Data!B$3="W"),IF($L21=Data!$B$4,IF($M21=Data!$B$6,D21*Data!B$23,""),""),""),"")</f>
        <v/>
      </c>
      <c r="P21" s="31" t="str">
        <f>IF(Data!$B$19&gt;0.01,IF(OR(Data!B$3="H",Data!B$3="MH",Data!B$3="HM",Data!B$3="W"),IF($L21=Data!$B$4,IF($M21=Data!$B$6,E21*Data!B$19,""),""),""),"")</f>
        <v/>
      </c>
      <c r="Q21" s="31" t="str">
        <f>IF(Data!$B$15="Y",IF(OR(Data!B$3="H",Data!B$3="MH",Data!B$3="HM",Data!B$3="W"),IF($L21=Data!$B$4,IF($M21=Data!$B$6,F21,""),""),""),"")</f>
        <v/>
      </c>
      <c r="R21" s="31" t="str">
        <f>IF(AND($L21=Data!$B$4,$M21=Data!$B$6,Data!B$10="V"),G21+H21,"")</f>
        <v/>
      </c>
      <c r="S21" s="31" t="str">
        <f>IF(Data!$B$13&gt;0.1,IF(OR(Data!B$3="H",Data!B$3="MH",Data!B$3="HM",Data!B$3="W"),IF($L21=Data!$B$4,IF($M21=Data!$B$6,I21*Data!B$13,""),""),""),"")</f>
        <v/>
      </c>
      <c r="T21" s="38" t="str">
        <f>IF(Data!B$3="HM",IF($L21=Data!$B$4,IF($M21=Data!$B$6,K21,""),""),"")</f>
        <v/>
      </c>
    </row>
    <row r="22" spans="1:20">
      <c r="B22" s="41">
        <v>2.5</v>
      </c>
      <c r="C22" s="31">
        <v>483</v>
      </c>
      <c r="D22" s="31">
        <v>218</v>
      </c>
      <c r="E22" s="31">
        <v>823</v>
      </c>
      <c r="F22" s="31">
        <v>422</v>
      </c>
      <c r="G22" s="31">
        <v>189</v>
      </c>
      <c r="H22" s="31">
        <v>450</v>
      </c>
      <c r="I22" s="31">
        <v>120</v>
      </c>
      <c r="K22" s="31">
        <v>1548</v>
      </c>
      <c r="L22" s="60">
        <v>5</v>
      </c>
      <c r="M22" s="49">
        <v>2.5</v>
      </c>
      <c r="N22" s="31" t="str">
        <f>IF(Data!B$20="Y",IF(OR(Data!B$3="H",Data!B$3="MH",Data!B$3="HM",Data!B$3="W"),IF($L22=Data!B$4,IF($M22=Data!B$6,C22,""),""),""),"")</f>
        <v/>
      </c>
      <c r="O22" s="31" t="str">
        <f>IF(Data!$B$23&gt;0.1,IF(OR(Data!B$3="H",Data!B$3="MH",Data!B$3="HM",Data!B$3="W"),IF($L22=Data!$B$4,IF($M22=Data!$B$6,D22*Data!B$23,""),""),""),"")</f>
        <v/>
      </c>
      <c r="P22" s="31" t="str">
        <f>IF(Data!$B$19&gt;0.01,IF(OR(Data!B$3="H",Data!B$3="MH",Data!B$3="HM",Data!B$3="W"),IF($L22=Data!$B$4,IF($M22=Data!$B$6,E22*Data!B$19,""),""),""),"")</f>
        <v/>
      </c>
      <c r="Q22" s="31" t="str">
        <f>IF(Data!$B$15="Y",IF(OR(Data!B$3="H",Data!B$3="MH",Data!B$3="HM",Data!B$3="W"),IF($L22=Data!$B$4,IF($M22=Data!$B$6,F22,""),""),""),"")</f>
        <v/>
      </c>
      <c r="R22" s="31" t="str">
        <f>IF(AND($L22=Data!$B$4,$M22=Data!$B$6,Data!B$10="V"),G22+H22,"")</f>
        <v/>
      </c>
      <c r="S22" s="31" t="str">
        <f>IF(Data!$B$13&gt;0.1,IF(OR(Data!B$3="H",Data!B$3="MH",Data!B$3="HM",Data!B$3="W"),IF($L22=Data!$B$4,IF($M22=Data!$B$6,I22*Data!B$13,""),""),""),"")</f>
        <v/>
      </c>
      <c r="T22" s="38" t="str">
        <f>IF(Data!B$3="HM",IF($L22=Data!$B$4,IF($M22=Data!$B$6,K22,""),""),"")</f>
        <v/>
      </c>
    </row>
    <row r="23" spans="1:20">
      <c r="B23" s="41">
        <v>3</v>
      </c>
      <c r="C23" s="54">
        <v>513</v>
      </c>
      <c r="D23" s="54">
        <v>218</v>
      </c>
      <c r="E23" s="31">
        <v>823</v>
      </c>
      <c r="F23" s="31">
        <v>466</v>
      </c>
      <c r="G23" s="31">
        <v>248</v>
      </c>
      <c r="H23" s="31">
        <v>450</v>
      </c>
      <c r="I23" s="31">
        <v>120</v>
      </c>
      <c r="K23" s="31">
        <v>1548</v>
      </c>
      <c r="L23" s="60">
        <v>5</v>
      </c>
      <c r="M23" s="49">
        <v>3</v>
      </c>
      <c r="N23" s="31" t="str">
        <f>IF(Data!B$20="Y",IF(OR(Data!B$3="H",Data!B$3="MH",Data!B$3="HM",Data!B$3="W"),IF($L23=Data!B$4,IF($M23=Data!B$6,C23,""),""),""),"")</f>
        <v/>
      </c>
      <c r="O23" s="31" t="str">
        <f>IF(Data!$B$23&gt;0.1,IF(OR(Data!B$3="H",Data!B$3="MH",Data!B$3="HM",Data!B$3="W"),IF($L23=Data!$B$4,IF($M23=Data!$B$6,D23*Data!B$23,""),""),""),"")</f>
        <v/>
      </c>
      <c r="P23" s="31" t="str">
        <f>IF(Data!$B$19&gt;0.01,IF(OR(Data!B$3="H",Data!B$3="MH",Data!B$3="HM",Data!B$3="W"),IF($L23=Data!$B$4,IF($M23=Data!$B$6,E23*Data!B$19,""),""),""),"")</f>
        <v/>
      </c>
      <c r="Q23" s="31" t="str">
        <f>IF(Data!$B$15="Y",IF(OR(Data!B$3="H",Data!B$3="MH",Data!B$3="HM",Data!B$3="W"),IF($L23=Data!$B$4,IF($M23=Data!$B$6,F23,""),""),""),"")</f>
        <v/>
      </c>
      <c r="R23" s="31" t="str">
        <f>IF(AND($L23=Data!$B$4,$M23=Data!$B$6,Data!B$10="V"),G23+H23,"")</f>
        <v/>
      </c>
      <c r="S23" s="31" t="str">
        <f>IF(Data!$B$13&gt;0.1,IF(OR(Data!B$3="H",Data!B$3="MH",Data!B$3="HM",Data!B$3="W"),IF($L23=Data!$B$4,IF($M23=Data!$B$6,I23*Data!B$13,""),""),""),"")</f>
        <v/>
      </c>
      <c r="T23" s="38" t="str">
        <f>IF(Data!B$3="HM",IF($L23=Data!$B$4,IF($M23=Data!$B$6,K23,""),""),"")</f>
        <v/>
      </c>
    </row>
    <row r="24" spans="1:20">
      <c r="B24" s="41">
        <v>3.5</v>
      </c>
      <c r="C24" s="54">
        <v>541</v>
      </c>
      <c r="D24" s="31">
        <v>218</v>
      </c>
      <c r="E24" s="31">
        <v>823</v>
      </c>
      <c r="F24" s="31">
        <v>651</v>
      </c>
      <c r="G24" s="31">
        <v>292</v>
      </c>
      <c r="H24" s="31">
        <v>450</v>
      </c>
      <c r="I24" s="31">
        <v>120</v>
      </c>
      <c r="K24" s="31">
        <v>1548</v>
      </c>
      <c r="L24" s="60">
        <v>5</v>
      </c>
      <c r="M24" s="49">
        <v>3.5</v>
      </c>
      <c r="N24" s="31" t="str">
        <f>IF(Data!B$20="Y",IF(OR(Data!B$3="H",Data!B$3="MH",Data!B$3="HM",Data!B$3="W"),IF($L24=Data!B$4,IF($M24=Data!B$6,C24,""),""),""),"")</f>
        <v/>
      </c>
      <c r="O24" s="31" t="str">
        <f>IF(Data!$B$23&gt;0.1,IF(OR(Data!B$3="H",Data!B$3="MH",Data!B$3="HM",Data!B$3="W"),IF($L24=Data!$B$4,IF($M24=Data!$B$6,D24*Data!B$23,""),""),""),"")</f>
        <v/>
      </c>
      <c r="P24" s="31" t="str">
        <f>IF(Data!$B$19&gt;0.01,IF(OR(Data!B$3="H",Data!B$3="MH",Data!B$3="HM",Data!B$3="W"),IF($L24=Data!$B$4,IF($M24=Data!$B$6,E24*Data!B$19,""),""),""),"")</f>
        <v/>
      </c>
      <c r="Q24" s="31" t="str">
        <f>IF(Data!$B$15="Y",IF(OR(Data!B$3="H",Data!B$3="MH",Data!B$3="HM",Data!B$3="W"),IF($L24=Data!$B$4,IF($M24=Data!$B$6,F24,""),""),""),"")</f>
        <v/>
      </c>
      <c r="R24" s="31" t="str">
        <f>IF(AND($L24=Data!$B$4,$M24=Data!$B$6,Data!B$10="V"),G24+H24,"")</f>
        <v/>
      </c>
      <c r="S24" s="31" t="str">
        <f>IF(Data!$B$13&gt;0.1,IF(OR(Data!B$3="H",Data!B$3="MH",Data!B$3="HM",Data!B$3="W"),IF($L24=Data!$B$4,IF($M24=Data!$B$6,I24*Data!B$13,""),""),""),"")</f>
        <v/>
      </c>
      <c r="T24" s="38" t="str">
        <f>IF(Data!B$3="HM",IF($L24=Data!$B$4,IF($M24=Data!$B$6,K24,""),""),"")</f>
        <v/>
      </c>
    </row>
    <row r="25" spans="1:20">
      <c r="A25" s="31">
        <v>6</v>
      </c>
      <c r="B25" s="41">
        <v>2.5</v>
      </c>
      <c r="C25" s="31">
        <v>483</v>
      </c>
      <c r="D25" s="31">
        <v>229</v>
      </c>
      <c r="E25" s="31">
        <v>823</v>
      </c>
      <c r="F25" s="31">
        <v>422</v>
      </c>
      <c r="G25" s="31">
        <v>189</v>
      </c>
      <c r="H25" s="31">
        <v>550</v>
      </c>
      <c r="I25" s="31">
        <v>130</v>
      </c>
      <c r="K25" s="31">
        <v>1757</v>
      </c>
      <c r="L25" s="60">
        <v>6</v>
      </c>
      <c r="M25" s="49">
        <v>2.5</v>
      </c>
      <c r="N25" s="31" t="str">
        <f>IF(Data!B$20="Y",IF(OR(Data!B$3="H",Data!B$3="MH",Data!B$3="HM",Data!B$3="W"),IF($L25=Data!B$4,IF($M25=Data!B$6,C25,""),""),""),"")</f>
        <v/>
      </c>
      <c r="O25" s="31" t="str">
        <f>IF(Data!$B$23&gt;0.1,IF(OR(Data!B$3="H",Data!B$3="MH",Data!B$3="HM",Data!B$3="W"),IF($L25=Data!$B$4,IF($M25=Data!$B$6,D25*Data!B$23,""),""),""),"")</f>
        <v/>
      </c>
      <c r="P25" s="31" t="str">
        <f>IF(Data!$B$19&gt;0.01,IF(OR(Data!B$3="H",Data!B$3="MH",Data!B$3="HM",Data!B$3="W"),IF($L25=Data!$B$4,IF($M25=Data!$B$6,E25*Data!B$19,""),""),""),"")</f>
        <v/>
      </c>
      <c r="Q25" s="31" t="str">
        <f>IF(Data!$B$15="Y",IF(OR(Data!B$3="H",Data!B$3="MH",Data!B$3="HM",Data!B$3="W"),IF($L25=Data!$B$4,IF($M25=Data!$B$6,F25,""),""),""),"")</f>
        <v/>
      </c>
      <c r="R25" s="31" t="str">
        <f>IF(AND($L25=Data!$B$4,$M25=Data!$B$6,Data!B$10="V"),G25+H25,"")</f>
        <v/>
      </c>
      <c r="S25" s="31" t="str">
        <f>IF(Data!$B$13&gt;0.1,IF(OR(Data!B$3="H",Data!B$3="MH",Data!B$3="HM",Data!B$3="W"),IF($L25=Data!$B$4,IF($M25=Data!$B$6,I25*Data!B$13,""),""),""),"")</f>
        <v/>
      </c>
      <c r="T25" s="38" t="str">
        <f>IF(Data!B$3="HM",IF($L25=Data!$B$4,IF($M25=Data!$B$6,K25,""),""),"")</f>
        <v/>
      </c>
    </row>
    <row r="26" spans="1:20">
      <c r="B26" s="41">
        <v>3</v>
      </c>
      <c r="C26" s="31">
        <v>513</v>
      </c>
      <c r="D26" s="31">
        <v>229</v>
      </c>
      <c r="E26" s="31">
        <v>823</v>
      </c>
      <c r="F26" s="31">
        <v>466</v>
      </c>
      <c r="G26" s="31">
        <v>242</v>
      </c>
      <c r="H26" s="31">
        <v>550</v>
      </c>
      <c r="I26" s="31">
        <v>130</v>
      </c>
      <c r="K26" s="31">
        <v>1757</v>
      </c>
      <c r="L26" s="60">
        <v>6</v>
      </c>
      <c r="M26" s="49">
        <v>3</v>
      </c>
      <c r="N26" s="31" t="str">
        <f>IF(Data!B$20="Y",IF(OR(Data!B$3="H",Data!B$3="MH",Data!B$3="HM",Data!B$3="W"),IF($L26=Data!B$4,IF($M26=Data!B$6,C26,""),""),""),"")</f>
        <v/>
      </c>
      <c r="O26" s="31" t="str">
        <f>IF(Data!$B$23&gt;0.1,IF(OR(Data!B$3="H",Data!B$3="MH",Data!B$3="HM",Data!B$3="W"),IF($L26=Data!$B$4,IF($M26=Data!$B$6,D26*Data!B$23,""),""),""),"")</f>
        <v/>
      </c>
      <c r="P26" s="31" t="str">
        <f>IF(Data!$B$19&gt;0.01,IF(OR(Data!B$3="H",Data!B$3="MH",Data!B$3="HM",Data!B$3="W"),IF($L26=Data!$B$4,IF($M26=Data!$B$6,E26*Data!B$19,""),""),""),"")</f>
        <v/>
      </c>
      <c r="Q26" s="31" t="str">
        <f>IF(Data!$B$15="Y",IF(OR(Data!B$3="H",Data!B$3="MH",Data!B$3="HM",Data!B$3="W"),IF($L26=Data!$B$4,IF($M26=Data!$B$6,F26,""),""),""),"")</f>
        <v/>
      </c>
      <c r="R26" s="31" t="str">
        <f>IF(AND($L26=Data!$B$4,$M26=Data!$B$6,Data!B$10="V"),G26+H26,"")</f>
        <v/>
      </c>
      <c r="S26" s="31" t="str">
        <f>IF(Data!$B$13&gt;0.1,IF(OR(Data!B$3="H",Data!B$3="MH",Data!B$3="HM",Data!B$3="W"),IF($L26=Data!$B$4,IF($M26=Data!$B$6,I26*Data!B$13,""),""),""),"")</f>
        <v/>
      </c>
      <c r="T26" s="38" t="str">
        <f>IF(Data!B$3="HM",IF($L26=Data!$B$4,IF($M26=Data!$B$6,K26,""),""),"")</f>
        <v/>
      </c>
    </row>
    <row r="27" spans="1:20">
      <c r="B27" s="41">
        <v>3.5</v>
      </c>
      <c r="C27" s="31">
        <v>558</v>
      </c>
      <c r="D27" s="31">
        <v>229</v>
      </c>
      <c r="E27" s="31">
        <v>823</v>
      </c>
      <c r="F27" s="31">
        <v>651</v>
      </c>
      <c r="G27" s="31">
        <v>292</v>
      </c>
      <c r="H27" s="31">
        <v>550</v>
      </c>
      <c r="I27" s="31">
        <v>130</v>
      </c>
      <c r="K27" s="31">
        <v>1757</v>
      </c>
      <c r="L27" s="60">
        <v>6</v>
      </c>
      <c r="M27" s="49">
        <v>3.5</v>
      </c>
      <c r="N27" s="31" t="str">
        <f>IF(Data!B$20="Y",IF(OR(Data!B$3="H",Data!B$3="MH",Data!B$3="HM",Data!B$3="W"),IF($L27=Data!B$4,IF($M27=Data!B$6,C27,""),""),""),"")</f>
        <v/>
      </c>
      <c r="O27" s="31" t="str">
        <f>IF(Data!$B$23&gt;0.1,IF(OR(Data!B$3="H",Data!B$3="MH",Data!B$3="HM",Data!B$3="W"),IF($L27=Data!$B$4,IF($M27=Data!$B$6,D27*Data!B$23,""),""),""),"")</f>
        <v/>
      </c>
      <c r="P27" s="31" t="str">
        <f>IF(Data!$B$19&gt;0.01,IF(OR(Data!B$3="H",Data!B$3="MH",Data!B$3="HM",Data!B$3="W"),IF($L27=Data!$B$4,IF($M27=Data!$B$6,E27*Data!B$19,""),""),""),"")</f>
        <v/>
      </c>
      <c r="Q27" s="31" t="str">
        <f>IF(Data!$B$15="Y",IF(OR(Data!B$3="H",Data!B$3="MH",Data!B$3="HM",Data!B$3="W"),IF($L27=Data!$B$4,IF($M27=Data!$B$6,F27,""),""),""),"")</f>
        <v/>
      </c>
      <c r="R27" s="31" t="str">
        <f>IF(AND($L27=Data!$B$4,$M27=Data!$B$6,Data!B$10="V"),G27+H27,"")</f>
        <v/>
      </c>
      <c r="S27" s="31" t="str">
        <f>IF(Data!$B$13&gt;0.1,IF(OR(Data!B$3="H",Data!B$3="MH",Data!B$3="HM",Data!B$3="W"),IF($L27=Data!$B$4,IF($M27=Data!$B$6,I27*Data!B$13,""),""),""),"")</f>
        <v/>
      </c>
      <c r="T27" s="38" t="str">
        <f>IF(Data!B$3="HM",IF($L27=Data!$B$4,IF($M27=Data!$B$6,K27,""),""),"")</f>
        <v/>
      </c>
    </row>
    <row r="28" spans="1:20">
      <c r="B28" s="41">
        <v>4</v>
      </c>
      <c r="C28" s="54">
        <v>587</v>
      </c>
      <c r="D28" s="54">
        <v>229</v>
      </c>
      <c r="E28" s="31">
        <v>823</v>
      </c>
      <c r="F28" s="31">
        <v>716</v>
      </c>
      <c r="G28" s="31">
        <v>343</v>
      </c>
      <c r="H28" s="31">
        <v>550</v>
      </c>
      <c r="I28" s="31">
        <v>130</v>
      </c>
      <c r="K28" s="31">
        <v>1757</v>
      </c>
      <c r="L28" s="60">
        <v>6</v>
      </c>
      <c r="M28" s="49">
        <v>4</v>
      </c>
      <c r="N28" s="31" t="str">
        <f>IF(Data!B$20="Y",IF(OR(Data!B$3="H",Data!B$3="MH",Data!B$3="HM",Data!B$3="W"),IF($L28=Data!B$4,IF($M28=Data!B$6,C28,""),""),""),"")</f>
        <v/>
      </c>
      <c r="O28" s="31" t="str">
        <f>IF(Data!$B$23&gt;0.1,IF(OR(Data!B$3="H",Data!B$3="MH",Data!B$3="HM",Data!B$3="W"),IF($L28=Data!$B$4,IF($M28=Data!$B$6,D28*Data!B$23,""),""),""),"")</f>
        <v/>
      </c>
      <c r="P28" s="31" t="str">
        <f>IF(Data!$B$19&gt;0.01,IF(OR(Data!B$3="H",Data!B$3="MH",Data!B$3="HM",Data!B$3="W"),IF($L28=Data!$B$4,IF($M28=Data!$B$6,E28*Data!B$19,""),""),""),"")</f>
        <v/>
      </c>
      <c r="Q28" s="31" t="str">
        <f>IF(Data!$B$15="Y",IF(OR(Data!B$3="H",Data!B$3="MH",Data!B$3="HM",Data!B$3="W"),IF($L28=Data!$B$4,IF($M28=Data!$B$6,F28,""),""),""),"")</f>
        <v/>
      </c>
      <c r="R28" s="31" t="str">
        <f>IF(AND($L28=Data!$B$4,$M28=Data!$B$6,Data!B$10="V"),G28+H28,"")</f>
        <v/>
      </c>
      <c r="S28" s="31" t="str">
        <f>IF(Data!$B$13&gt;0.1,IF(OR(Data!B$3="H",Data!B$3="MH",Data!B$3="HM",Data!B$3="W"),IF($L28=Data!$B$4,IF($M28=Data!$B$6,I28*Data!B$13,""),""),""),"")</f>
        <v/>
      </c>
      <c r="T28" s="38" t="str">
        <f>IF(Data!B$3="HM",IF($L28=Data!$B$4,IF($M28=Data!$B$6,K28,""),""),"")</f>
        <v/>
      </c>
    </row>
    <row r="29" spans="1:20">
      <c r="A29" s="31">
        <v>7</v>
      </c>
      <c r="B29" s="41">
        <v>3</v>
      </c>
      <c r="C29" s="31">
        <v>513</v>
      </c>
      <c r="D29" s="31">
        <v>238</v>
      </c>
      <c r="E29" s="31">
        <v>823</v>
      </c>
      <c r="F29" s="31">
        <v>466</v>
      </c>
      <c r="G29" s="31">
        <v>242</v>
      </c>
      <c r="H29" s="31">
        <v>647</v>
      </c>
      <c r="I29" s="31">
        <v>142</v>
      </c>
      <c r="K29" s="31">
        <v>1929</v>
      </c>
      <c r="L29" s="60">
        <v>7</v>
      </c>
      <c r="M29" s="49">
        <v>3</v>
      </c>
      <c r="N29" s="31" t="str">
        <f>IF(Data!B$20="Y",IF(OR(Data!B$3="H",Data!B$3="MH",Data!B$3="HM",Data!B$3="W"),IF($L29=Data!B$4,IF($M29=Data!B$6,C29,""),""),""),"")</f>
        <v/>
      </c>
      <c r="O29" s="31" t="str">
        <f>IF(Data!$B$23&gt;0.1,IF(OR(Data!B$3="H",Data!B$3="MH",Data!B$3="HM",Data!B$3="W"),IF($L29=Data!$B$4,IF($M29=Data!$B$6,D29*Data!B$23,""),""),""),"")</f>
        <v/>
      </c>
      <c r="P29" s="31" t="str">
        <f>IF(Data!$B$19&gt;0.01,IF(OR(Data!B$3="H",Data!B$3="MH",Data!B$3="HM",Data!B$3="W"),IF($L29=Data!$B$4,IF($M29=Data!$B$6,E29*Data!B$19,""),""),""),"")</f>
        <v/>
      </c>
      <c r="Q29" s="31" t="str">
        <f>IF(Data!$B$15="Y",IF(OR(Data!B$3="H",Data!B$3="MH",Data!B$3="HM",Data!B$3="W"),IF($L29=Data!$B$4,IF($M29=Data!$B$6,F29,""),""),""),"")</f>
        <v/>
      </c>
      <c r="R29" s="31" t="str">
        <f>IF(AND($L29=Data!$B$4,$M29=Data!$B$6,Data!B$10="V"),G29+H29,"")</f>
        <v/>
      </c>
      <c r="S29" s="31" t="str">
        <f>IF(Data!$B$13&gt;0.1,IF(OR(Data!B$3="H",Data!B$3="MH",Data!B$3="HM",Data!B$3="W"),IF($L29=Data!$B$4,IF($M29=Data!$B$6,I29*Data!B$13,""),""),""),"")</f>
        <v/>
      </c>
      <c r="T29" s="38" t="str">
        <f>IF(Data!B$3="HM",IF($L29=Data!$B$4,IF($M29=Data!$B$6,K29,""),""),"")</f>
        <v/>
      </c>
    </row>
    <row r="30" spans="1:20">
      <c r="B30" s="41">
        <v>3.5</v>
      </c>
      <c r="C30" s="31">
        <v>558</v>
      </c>
      <c r="D30" s="31">
        <v>238</v>
      </c>
      <c r="E30" s="31">
        <v>823</v>
      </c>
      <c r="F30" s="31">
        <v>651</v>
      </c>
      <c r="G30" s="31">
        <v>292</v>
      </c>
      <c r="H30" s="31">
        <v>647</v>
      </c>
      <c r="I30" s="31">
        <v>142</v>
      </c>
      <c r="K30" s="31">
        <v>1929</v>
      </c>
      <c r="L30" s="60">
        <v>7</v>
      </c>
      <c r="M30" s="49">
        <v>3.5</v>
      </c>
      <c r="N30" s="31" t="str">
        <f>IF(Data!B$20="Y",IF(OR(Data!B$3="H",Data!B$3="MH",Data!B$3="HM",Data!B$3="W"),IF($L30=Data!B$4,IF($M30=Data!B$6,C30,""),""),""),"")</f>
        <v/>
      </c>
      <c r="O30" s="31" t="str">
        <f>IF(Data!$B$23&gt;0.1,IF(OR(Data!B$3="H",Data!B$3="MH",Data!B$3="HM",Data!B$3="W"),IF($L30=Data!$B$4,IF($M30=Data!$B$6,D30*Data!B$23,""),""),""),"")</f>
        <v/>
      </c>
      <c r="P30" s="31" t="str">
        <f>IF(Data!$B$19&gt;0.01,IF(OR(Data!B$3="H",Data!B$3="MH",Data!B$3="HM",Data!B$3="W"),IF($L30=Data!$B$4,IF($M30=Data!$B$6,E30*Data!B$19,""),""),""),"")</f>
        <v/>
      </c>
      <c r="Q30" s="31" t="str">
        <f>IF(Data!$B$15="Y",IF(OR(Data!B$3="H",Data!B$3="MH",Data!B$3="HM",Data!B$3="W"),IF($L30=Data!$B$4,IF($M30=Data!$B$6,F30,""),""),""),"")</f>
        <v/>
      </c>
      <c r="R30" s="31" t="str">
        <f>IF(AND($L30=Data!$B$4,$M30=Data!$B$6,Data!B$10="V"),G30+H30,"")</f>
        <v/>
      </c>
      <c r="S30" s="31" t="str">
        <f>IF(Data!$B$13&gt;0.1,IF(OR(Data!B$3="H",Data!B$3="MH",Data!B$3="HM",Data!B$3="W"),IF($L30=Data!$B$4,IF($M30=Data!$B$6,I30*Data!B$13,""),""),""),"")</f>
        <v/>
      </c>
      <c r="T30" s="38" t="str">
        <f>IF(Data!B$3="HM",IF($L30=Data!$B$4,IF($M30=Data!$B$6,K30,""),""),"")</f>
        <v/>
      </c>
    </row>
    <row r="31" spans="1:20">
      <c r="B31" s="41">
        <v>4</v>
      </c>
      <c r="C31" s="31">
        <v>605</v>
      </c>
      <c r="D31" s="31">
        <v>238</v>
      </c>
      <c r="E31" s="31">
        <v>823</v>
      </c>
      <c r="F31" s="31">
        <v>716</v>
      </c>
      <c r="G31" s="31">
        <v>343</v>
      </c>
      <c r="H31" s="31">
        <v>647</v>
      </c>
      <c r="I31" s="31">
        <v>142</v>
      </c>
      <c r="K31" s="31">
        <v>1929</v>
      </c>
      <c r="L31" s="60">
        <v>7</v>
      </c>
      <c r="M31" s="49">
        <v>4</v>
      </c>
      <c r="N31" s="31" t="str">
        <f>IF(Data!B$20="Y",IF(OR(Data!B$3="H",Data!B$3="MH",Data!B$3="HM",Data!B$3="W"),IF($L31=Data!B$4,IF($M31=Data!B$6,C31,""),""),""),"")</f>
        <v/>
      </c>
      <c r="O31" s="31" t="str">
        <f>IF(Data!$B$23&gt;0.1,IF(OR(Data!B$3="H",Data!B$3="MH",Data!B$3="HM",Data!B$3="W"),IF($L31=Data!$B$4,IF($M31=Data!$B$6,D31*Data!B$23,""),""),""),"")</f>
        <v/>
      </c>
      <c r="P31" s="31" t="str">
        <f>IF(Data!$B$19&gt;0.01,IF(OR(Data!B$3="H",Data!B$3="MH",Data!B$3="HM",Data!B$3="W"),IF($L31=Data!$B$4,IF($M31=Data!$B$6,E31*Data!B$19,""),""),""),"")</f>
        <v/>
      </c>
      <c r="Q31" s="31" t="str">
        <f>IF(Data!$B$15="Y",IF(OR(Data!B$3="H",Data!B$3="MH",Data!B$3="HM",Data!B$3="W"),IF($L31=Data!$B$4,IF($M31=Data!$B$6,F31,""),""),""),"")</f>
        <v/>
      </c>
      <c r="R31" s="31" t="str">
        <f>IF(AND($L31=Data!$B$4,$M31=Data!$B$6,Data!B$10="V"),G31+H31,"")</f>
        <v/>
      </c>
      <c r="S31" s="31" t="str">
        <f>IF(Data!$B$13&gt;0.1,IF(OR(Data!B$3="H",Data!B$3="MH",Data!B$3="HM",Data!B$3="W"),IF($L31=Data!$B$4,IF($M31=Data!$B$6,I31*Data!B$13,""),""),""),"")</f>
        <v/>
      </c>
      <c r="T31" s="38" t="str">
        <f>IF(Data!B$3="HM",IF($L31=Data!$B$4,IF($M31=Data!$B$6,K31,""),""),"")</f>
        <v/>
      </c>
    </row>
    <row r="32" spans="1:20">
      <c r="B32" s="41">
        <v>4.5</v>
      </c>
      <c r="C32" s="54">
        <v>765</v>
      </c>
      <c r="D32" s="54">
        <v>238</v>
      </c>
      <c r="E32" s="31">
        <v>823</v>
      </c>
      <c r="F32" s="31">
        <v>786</v>
      </c>
      <c r="G32" s="31">
        <v>390</v>
      </c>
      <c r="H32" s="31">
        <v>647</v>
      </c>
      <c r="I32" s="31">
        <v>142</v>
      </c>
      <c r="K32" s="31">
        <v>1929</v>
      </c>
      <c r="L32" s="60">
        <v>7</v>
      </c>
      <c r="M32" s="49">
        <v>4.5</v>
      </c>
      <c r="N32" s="31" t="str">
        <f>IF(Data!B$20="Y",IF(OR(Data!B$3="H",Data!B$3="MH",Data!B$3="HM",Data!B$3="W"),IF($L32=Data!B$4,IF($M32=Data!B$6,C32,""),""),""),"")</f>
        <v/>
      </c>
      <c r="O32" s="31" t="str">
        <f>IF(Data!$B$23&gt;0.1,IF(OR(Data!B$3="H",Data!B$3="MH",Data!B$3="HM",Data!B$3="W"),IF($L32=Data!$B$4,IF($M32=Data!$B$6,D32*Data!B$23,""),""),""),"")</f>
        <v/>
      </c>
      <c r="P32" s="31" t="str">
        <f>IF(Data!$B$19&gt;0.01,IF(OR(Data!B$3="H",Data!B$3="MH",Data!B$3="HM",Data!B$3="W"),IF($L32=Data!$B$4,IF($M32=Data!$B$6,E32*Data!B$19,""),""),""),"")</f>
        <v/>
      </c>
      <c r="Q32" s="31" t="str">
        <f>IF(Data!$B$15="Y",IF(OR(Data!B$3="H",Data!B$3="MH",Data!B$3="HM",Data!B$3="W"),IF($L32=Data!$B$4,IF($M32=Data!$B$6,F32,""),""),""),"")</f>
        <v/>
      </c>
      <c r="R32" s="31" t="str">
        <f>IF(AND($L32=Data!$B$4,$M32=Data!$B$6,Data!B$10="V"),G32+H32,"")</f>
        <v/>
      </c>
      <c r="S32" s="31" t="str">
        <f>IF(Data!$B$13&gt;0.1,IF(OR(Data!B$3="H",Data!B$3="MH",Data!B$3="HM",Data!B$3="W"),IF($L32=Data!$B$4,IF($M32=Data!$B$6,I32*Data!B$13,""),""),""),"")</f>
        <v/>
      </c>
      <c r="T32" s="38" t="str">
        <f>IF(Data!B$3="HM",IF($L32=Data!$B$4,IF($M32=Data!$B$6,K32,""),""),"")</f>
        <v/>
      </c>
    </row>
    <row r="33" spans="1:20">
      <c r="B33" s="41">
        <v>5</v>
      </c>
      <c r="C33" s="54">
        <v>882</v>
      </c>
      <c r="D33" s="54">
        <v>238</v>
      </c>
      <c r="E33" s="31">
        <v>823</v>
      </c>
      <c r="F33" s="31">
        <v>865</v>
      </c>
      <c r="G33" s="31">
        <v>450</v>
      </c>
      <c r="H33" s="31">
        <v>647</v>
      </c>
      <c r="I33" s="31">
        <v>142</v>
      </c>
      <c r="K33" s="31">
        <v>1929</v>
      </c>
      <c r="L33" s="60">
        <v>7</v>
      </c>
      <c r="M33" s="49">
        <v>5</v>
      </c>
      <c r="N33" s="31" t="str">
        <f>IF(Data!B$20="Y",IF(OR(Data!B$3="H",Data!B$3="MH",Data!B$3="HM",Data!B$3="W"),IF($L33=Data!B$4,IF($M33=Data!B$6,C33,""),""),""),"")</f>
        <v/>
      </c>
      <c r="O33" s="31" t="str">
        <f>IF(Data!$B$23&gt;0.1,IF(OR(Data!B$3="H",Data!B$3="MH",Data!B$3="HM",Data!B$3="W"),IF($L33=Data!$B$4,IF($M33=Data!$B$6,D33*Data!B$23,""),""),""),"")</f>
        <v/>
      </c>
      <c r="P33" s="31" t="str">
        <f>IF(Data!$B$19&gt;0.01,IF(OR(Data!B$3="H",Data!B$3="MH",Data!B$3="HM",Data!B$3="W"),IF($L33=Data!$B$4,IF($M33=Data!$B$6,E33*Data!B$19,""),""),""),"")</f>
        <v/>
      </c>
      <c r="Q33" s="31" t="str">
        <f>IF(Data!$B$15="Y",IF(OR(Data!B$3="H",Data!B$3="MH",Data!B$3="HM",Data!B$3="W"),IF($L33=Data!$B$4,IF($M33=Data!$B$6,F33,""),""),""),"")</f>
        <v/>
      </c>
      <c r="R33" s="31" t="str">
        <f>IF(AND($L33=Data!$B$4,$M33=Data!$B$6,Data!B$10="V"),G33+H33,"")</f>
        <v/>
      </c>
      <c r="S33" s="31" t="str">
        <f>IF(Data!$B$13&gt;0.1,IF(OR(Data!B$3="H",Data!B$3="MH",Data!B$3="HM",Data!B$3="W"),IF($L33=Data!$B$4,IF($M33=Data!$B$6,I33*Data!B$13,""),""),""),"")</f>
        <v/>
      </c>
      <c r="T33" s="38" t="str">
        <f>IF(Data!B$3="HM",IF($L33=Data!$B$4,IF($M33=Data!$B$6,K33,""),""),"")</f>
        <v/>
      </c>
    </row>
    <row r="34" spans="1:20">
      <c r="A34" s="31">
        <v>8</v>
      </c>
      <c r="B34" s="41">
        <v>3.5</v>
      </c>
      <c r="C34" s="31">
        <v>558</v>
      </c>
      <c r="D34" s="31">
        <v>249</v>
      </c>
      <c r="E34" s="31">
        <v>823</v>
      </c>
      <c r="F34" s="31">
        <v>651</v>
      </c>
      <c r="G34" s="31">
        <v>292</v>
      </c>
      <c r="H34" s="31">
        <v>863</v>
      </c>
      <c r="I34" s="31">
        <v>151</v>
      </c>
      <c r="K34" s="31">
        <v>2518</v>
      </c>
      <c r="L34" s="60">
        <v>8</v>
      </c>
      <c r="M34" s="49">
        <v>3.5</v>
      </c>
      <c r="N34" s="31" t="str">
        <f>IF(Data!B$20="Y",IF(OR(Data!B$3="H",Data!B$3="MH",Data!B$3="HM",Data!B$3="W"),IF($L34=Data!B$4,IF($M34=Data!B$6,C34,""),""),""),"")</f>
        <v/>
      </c>
      <c r="O34" s="31" t="str">
        <f>IF(Data!$B$23&gt;0.1,IF(OR(Data!B$3="H",Data!B$3="MH",Data!B$3="HM",Data!B$3="W"),IF($L34=Data!$B$4,IF($M34=Data!$B$6,D34*Data!B$23,""),""),""),"")</f>
        <v/>
      </c>
      <c r="P34" s="31" t="str">
        <f>IF(Data!$B$19&gt;0.01,IF(OR(Data!B$3="H",Data!B$3="MH",Data!B$3="HM",Data!B$3="W"),IF($L34=Data!$B$4,IF($M34=Data!$B$6,E34*Data!B$19,""),""),""),"")</f>
        <v/>
      </c>
      <c r="Q34" s="31" t="str">
        <f>IF(Data!$B$15="Y",IF(OR(Data!B$3="H",Data!B$3="MH",Data!B$3="HM",Data!B$3="W"),IF($L34=Data!$B$4,IF($M34=Data!$B$6,F34,""),""),""),"")</f>
        <v/>
      </c>
      <c r="R34" s="31" t="str">
        <f>IF(AND($L34=Data!$B$4,$M34=Data!$B$6,Data!B$10="V"),G34+H34,"")</f>
        <v/>
      </c>
      <c r="S34" s="31" t="str">
        <f>IF(Data!$B$13&gt;0.1,IF(OR(Data!B$3="H",Data!B$3="MH",Data!B$3="HM",Data!B$3="W"),IF($L34=Data!$B$4,IF($M34=Data!$B$6,I34*Data!B$13,""),""),""),"")</f>
        <v/>
      </c>
      <c r="T34" s="38" t="str">
        <f>IF(Data!B$3="HM",IF($L34=Data!$B$4,IF($M34=Data!$B$6,K34,""),""),"")</f>
        <v/>
      </c>
    </row>
    <row r="35" spans="1:20">
      <c r="B35" s="41">
        <v>4</v>
      </c>
      <c r="C35" s="31">
        <v>605</v>
      </c>
      <c r="D35" s="31">
        <v>249</v>
      </c>
      <c r="E35" s="31">
        <v>823</v>
      </c>
      <c r="F35" s="31">
        <v>716</v>
      </c>
      <c r="G35" s="31">
        <v>343</v>
      </c>
      <c r="H35" s="31">
        <v>863</v>
      </c>
      <c r="I35" s="31">
        <v>151</v>
      </c>
      <c r="K35" s="31">
        <v>2518</v>
      </c>
      <c r="L35" s="60">
        <v>8</v>
      </c>
      <c r="M35" s="49">
        <v>4</v>
      </c>
      <c r="N35" s="31" t="str">
        <f>IF(Data!B$20="Y",IF(OR(Data!B$3="H",Data!B$3="MH",Data!B$3="HM",Data!B$3="W"),IF($L35=Data!B$4,IF($M35=Data!B$6,C35,""),""),""),"")</f>
        <v/>
      </c>
      <c r="O35" s="31" t="str">
        <f>IF(Data!$B$23&gt;0.1,IF(OR(Data!B$3="H",Data!B$3="MH",Data!B$3="HM",Data!B$3="W"),IF($L35=Data!$B$4,IF($M35=Data!$B$6,D35*Data!B$23,""),""),""),"")</f>
        <v/>
      </c>
      <c r="P35" s="31" t="str">
        <f>IF(Data!$B$19&gt;0.01,IF(OR(Data!B$3="H",Data!B$3="MH",Data!B$3="HM",Data!B$3="W"),IF($L35=Data!$B$4,IF($M35=Data!$B$6,E35*Data!B$19,""),""),""),"")</f>
        <v/>
      </c>
      <c r="Q35" s="31" t="str">
        <f>IF(Data!$B$15="Y",IF(OR(Data!B$3="H",Data!B$3="MH",Data!B$3="HM",Data!B$3="W"),IF($L35=Data!$B$4,IF($M35=Data!$B$6,F35,""),""),""),"")</f>
        <v/>
      </c>
      <c r="R35" s="31" t="str">
        <f>IF(AND($L35=Data!$B$4,$M35=Data!$B$6,Data!B$10="V"),G35+H35,"")</f>
        <v/>
      </c>
      <c r="S35" s="31" t="str">
        <f>IF(Data!$B$13&gt;0.1,IF(OR(Data!B$3="H",Data!B$3="MH",Data!B$3="HM",Data!B$3="W"),IF($L35=Data!$B$4,IF($M35=Data!$B$6,I35*Data!B$13,""),""),""),"")</f>
        <v/>
      </c>
      <c r="T35" s="38" t="str">
        <f>IF(Data!B$3="HM",IF($L35=Data!$B$4,IF($M35=Data!$B$6,K35,""),""),"")</f>
        <v/>
      </c>
    </row>
    <row r="36" spans="1:20">
      <c r="B36" s="41">
        <v>4.5</v>
      </c>
      <c r="C36" s="31">
        <v>765</v>
      </c>
      <c r="D36" s="31">
        <v>249</v>
      </c>
      <c r="E36" s="31">
        <v>823</v>
      </c>
      <c r="F36" s="31">
        <v>786</v>
      </c>
      <c r="G36" s="31">
        <v>390</v>
      </c>
      <c r="H36" s="31">
        <v>863</v>
      </c>
      <c r="I36" s="31">
        <v>151</v>
      </c>
      <c r="K36" s="31">
        <v>2518</v>
      </c>
      <c r="L36" s="60">
        <v>8</v>
      </c>
      <c r="M36" s="49">
        <v>4.5</v>
      </c>
      <c r="N36" s="31" t="str">
        <f>IF(Data!B$20="Y",IF(OR(Data!B$3="H",Data!B$3="MH",Data!B$3="HM",Data!B$3="W"),IF($L36=Data!B$4,IF($M36=Data!B$6,C36,""),""),""),"")</f>
        <v/>
      </c>
      <c r="O36" s="31" t="str">
        <f>IF(Data!$B$23&gt;0.1,IF(OR(Data!B$3="H",Data!B$3="MH",Data!B$3="HM",Data!B$3="W"),IF($L36=Data!$B$4,IF($M36=Data!$B$6,D36*Data!B$23,""),""),""),"")</f>
        <v/>
      </c>
      <c r="P36" s="31" t="str">
        <f>IF(Data!$B$19&gt;0.01,IF(OR(Data!B$3="H",Data!B$3="MH",Data!B$3="HM",Data!B$3="W"),IF($L36=Data!$B$4,IF($M36=Data!$B$6,E36*Data!B$19,""),""),""),"")</f>
        <v/>
      </c>
      <c r="Q36" s="31" t="str">
        <f>IF(Data!$B$15="Y",IF(OR(Data!B$3="H",Data!B$3="MH",Data!B$3="HM",Data!B$3="W"),IF($L36=Data!$B$4,IF($M36=Data!$B$6,F36,""),""),""),"")</f>
        <v/>
      </c>
      <c r="R36" s="31" t="str">
        <f>IF(AND($L36=Data!$B$4,$M36=Data!$B$6,Data!B$10="V"),G36+H36,"")</f>
        <v/>
      </c>
      <c r="S36" s="31" t="str">
        <f>IF(Data!$B$13&gt;0.1,IF(OR(Data!B$3="H",Data!B$3="MH",Data!B$3="HM",Data!B$3="W"),IF($L36=Data!$B$4,IF($M36=Data!$B$6,I36*Data!B$13,""),""),""),"")</f>
        <v/>
      </c>
      <c r="T36" s="38" t="str">
        <f>IF(Data!B$3="HM",IF($L36=Data!$B$4,IF($M36=Data!$B$6,K36,""),""),"")</f>
        <v/>
      </c>
    </row>
    <row r="37" spans="1:20">
      <c r="B37" s="41">
        <v>5</v>
      </c>
      <c r="C37" s="31">
        <v>882</v>
      </c>
      <c r="D37" s="31">
        <v>249</v>
      </c>
      <c r="E37" s="31">
        <v>823</v>
      </c>
      <c r="F37" s="31">
        <v>865</v>
      </c>
      <c r="G37" s="31">
        <v>450</v>
      </c>
      <c r="H37" s="31">
        <v>863</v>
      </c>
      <c r="I37" s="31">
        <v>151</v>
      </c>
      <c r="J37" s="39"/>
      <c r="K37" s="31">
        <v>2518</v>
      </c>
      <c r="L37" s="60">
        <v>8</v>
      </c>
      <c r="M37" s="49">
        <v>5</v>
      </c>
      <c r="N37" s="31" t="str">
        <f>IF(Data!B$20="Y",IF(OR(Data!B$3="H",Data!B$3="MH",Data!B$3="HM",Data!B$3="W"),IF($L37=Data!B$4,IF($M37=Data!B$6,C37,""),""),""),"")</f>
        <v/>
      </c>
      <c r="O37" s="31" t="str">
        <f>IF(Data!$B$23&gt;0.1,IF(OR(Data!B$3="H",Data!B$3="MH",Data!B$3="HM",Data!B$3="W"),IF($L37=Data!$B$4,IF($M37=Data!$B$6,D37*Data!B$23,""),""),""),"")</f>
        <v/>
      </c>
      <c r="P37" s="31" t="str">
        <f>IF(Data!$B$19&gt;0.01,IF(OR(Data!B$3="H",Data!B$3="MH",Data!B$3="HM",Data!B$3="W"),IF($L37=Data!$B$4,IF($M37=Data!$B$6,E37*Data!B$19,""),""),""),"")</f>
        <v/>
      </c>
      <c r="Q37" s="31" t="str">
        <f>IF(Data!$B$15="Y",IF(OR(Data!B$3="H",Data!B$3="MH",Data!B$3="HM",Data!B$3="W"),IF($L37=Data!$B$4,IF($M37=Data!$B$6,F37,""),""),""),"")</f>
        <v/>
      </c>
      <c r="R37" s="31" t="str">
        <f>IF(AND($L37=Data!$B$4,$M37=Data!$B$6,Data!B$10="V"),G37+H37,"")</f>
        <v/>
      </c>
      <c r="S37" s="31" t="str">
        <f>IF(Data!$B$13&gt;0.1,IF(OR(Data!B$3="H",Data!B$3="MH",Data!B$3="HM",Data!B$3="W"),IF($L37=Data!$B$4,IF($M37=Data!$B$6,I37*Data!B$13,""),""),""),"")</f>
        <v/>
      </c>
      <c r="T37" s="38" t="str">
        <f>IF(Data!B$3="HM",IF($L37=Data!$B$4,IF($M37=Data!$B$6,K37,""),""),"")</f>
        <v/>
      </c>
    </row>
    <row r="38" spans="1:20">
      <c r="B38" s="41">
        <v>5.5</v>
      </c>
      <c r="C38" s="54">
        <v>1017</v>
      </c>
      <c r="D38" s="54">
        <v>249</v>
      </c>
      <c r="E38" s="31">
        <v>823</v>
      </c>
      <c r="F38" s="31">
        <v>953</v>
      </c>
      <c r="G38" s="31">
        <v>500</v>
      </c>
      <c r="H38" s="31">
        <v>863</v>
      </c>
      <c r="I38" s="31">
        <v>151</v>
      </c>
      <c r="J38" s="39"/>
      <c r="K38" s="31">
        <v>2518</v>
      </c>
      <c r="L38" s="60">
        <v>8</v>
      </c>
      <c r="M38" s="49">
        <v>5.5</v>
      </c>
      <c r="N38" s="31" t="str">
        <f>IF(Data!B$20="Y",IF(OR(Data!B$3="H",Data!B$3="MH",Data!B$3="HM",Data!B$3="W"),IF($L38=Data!B$4,IF($M38=Data!B$6,C38,""),""),""),"")</f>
        <v/>
      </c>
      <c r="O38" s="31" t="str">
        <f>IF(Data!$B$23&gt;0.1,IF(OR(Data!B$3="H",Data!B$3="MH",Data!B$3="HM",Data!B$3="W"),IF($L38=Data!$B$4,IF($M38=Data!$B$6,D38*Data!B$23,""),""),""),"")</f>
        <v/>
      </c>
      <c r="P38" s="31" t="str">
        <f>IF(Data!$B$19&gt;0.01,IF(OR(Data!B$3="H",Data!B$3="MH",Data!B$3="HM",Data!B$3="W"),IF($L38=Data!$B$4,IF($M38=Data!$B$6,E38*Data!B$19,""),""),""),"")</f>
        <v/>
      </c>
      <c r="Q38" s="31" t="str">
        <f>IF(Data!$B$15="Y",IF(OR(Data!B$3="H",Data!B$3="MH",Data!B$3="HM",Data!B$3="W"),IF($L38=Data!$B$4,IF($M38=Data!$B$6,F38,""),""),""),"")</f>
        <v/>
      </c>
      <c r="R38" s="31" t="str">
        <f>IF(AND($L38=Data!$B$4,$M38=Data!$B$6,Data!B$10="V"),G38+H38,"")</f>
        <v/>
      </c>
      <c r="S38" s="31" t="str">
        <f>IF(Data!$B$13&gt;0.1,IF(OR(Data!B$3="H",Data!B$3="MH",Data!B$3="HM",Data!B$3="W"),IF($L38=Data!$B$4,IF($M38=Data!$B$6,I38*Data!B$13,""),""),""),"")</f>
        <v/>
      </c>
      <c r="T38" s="38" t="str">
        <f>IF(Data!B$3="HM",IF($L38=Data!$B$4,IF($M38=Data!$B$6,K38,""),""),"")</f>
        <v/>
      </c>
    </row>
    <row r="39" spans="1:20">
      <c r="A39" s="44">
        <v>10</v>
      </c>
      <c r="B39" s="45">
        <v>4.5</v>
      </c>
      <c r="C39" s="32">
        <v>765</v>
      </c>
      <c r="D39" s="32">
        <v>306</v>
      </c>
      <c r="E39" s="32">
        <v>1048</v>
      </c>
      <c r="F39" s="32">
        <v>786</v>
      </c>
      <c r="G39" s="32">
        <v>390</v>
      </c>
      <c r="H39" s="32">
        <v>1042</v>
      </c>
      <c r="I39" s="32">
        <v>173</v>
      </c>
      <c r="J39" s="32"/>
      <c r="K39" s="31">
        <v>3272</v>
      </c>
      <c r="L39" s="44">
        <v>10</v>
      </c>
      <c r="M39" s="45">
        <v>4.5</v>
      </c>
      <c r="N39" s="31" t="str">
        <f>IF(Data!B$20="Y",IF(OR(Data!B$3="H",Data!B$3="MH",Data!B$3="HM",Data!B$3="W"),IF($L39=Data!B$4,IF($M39=Data!B$6,C39,""),""),""),"")</f>
        <v/>
      </c>
      <c r="O39" s="31" t="str">
        <f>IF(Data!$B$23&gt;0.1,IF(OR(Data!B$3="H",Data!B$3="MH",Data!B$3="HM",Data!B$3="W"),IF($L39=Data!$B$4,IF($M39=Data!$B$6,D39*Data!B$23,""),""),""),"")</f>
        <v/>
      </c>
      <c r="P39" s="31" t="str">
        <f>IF(Data!$B$19&gt;0.01,IF(OR(Data!B$3="H",Data!B$3="MH",Data!B$3="HM",Data!B$3="W"),IF($L39=Data!$B$4,IF($M39=Data!$B$6,E39*Data!B$19,""),""),""),"")</f>
        <v/>
      </c>
      <c r="Q39" s="31" t="str">
        <f>IF(Data!$B$15="Y",IF(OR(Data!B$3="H",Data!B$3="MH",Data!B$3="HM",Data!B$3="W"),IF($L39=Data!$B$4,IF($M39=Data!$B$6,F39,""),""),""),"")</f>
        <v/>
      </c>
      <c r="R39" s="31" t="str">
        <f>IF(AND($L39=Data!$B$4,$M39=Data!$B$6,Data!B$10="V"),G39+H39,"")</f>
        <v/>
      </c>
      <c r="S39" s="31" t="str">
        <f>IF(Data!$B$13&gt;0.1,IF(OR(Data!B$3="H",Data!B$3="MH",Data!B$3="HM",Data!B$3="W"),IF($L39=Data!$B$4,IF($M39=Data!$B$6,I39*Data!B$13,""),""),""),"")</f>
        <v/>
      </c>
      <c r="T39" s="38" t="str">
        <f>IF(Data!B$3="HM",IF($L39=Data!$B$4,IF($M39=Data!$B$6,K39,""),""),"")</f>
        <v/>
      </c>
    </row>
    <row r="40" spans="1:20">
      <c r="A40" s="44"/>
      <c r="B40" s="45">
        <v>5</v>
      </c>
      <c r="C40" s="31">
        <v>882</v>
      </c>
      <c r="D40" s="32">
        <v>306</v>
      </c>
      <c r="E40" s="31">
        <v>1071</v>
      </c>
      <c r="F40" s="31">
        <v>865</v>
      </c>
      <c r="G40" s="31">
        <v>450</v>
      </c>
      <c r="H40" s="31">
        <v>1042</v>
      </c>
      <c r="I40" s="31">
        <v>173</v>
      </c>
      <c r="J40" s="32"/>
      <c r="K40" s="31">
        <v>3272</v>
      </c>
      <c r="L40" s="44">
        <v>10</v>
      </c>
      <c r="M40" s="45">
        <v>5</v>
      </c>
      <c r="N40" s="31" t="str">
        <f>IF(Data!B$20="Y",IF(OR(Data!B$3="H",Data!B$3="MH",Data!B$3="HM",Data!B$3="W"),IF($L40=Data!B$4,IF($M40=Data!B$6,C40,""),""),""),"")</f>
        <v/>
      </c>
      <c r="O40" s="31" t="str">
        <f>IF(Data!$B$23&gt;0.1,IF(OR(Data!B$3="H",Data!B$3="MH",Data!B$3="HM",Data!B$3="W"),IF($L40=Data!$B$4,IF($M40=Data!$B$6,D40*Data!B$23,""),""),""),"")</f>
        <v/>
      </c>
      <c r="P40" s="31" t="str">
        <f>IF(Data!$B$19&gt;0.01,IF(OR(Data!B$3="H",Data!B$3="MH",Data!B$3="HM",Data!B$3="W"),IF($L40=Data!$B$4,IF($M40=Data!$B$6,E40*Data!B$19,""),""),""),"")</f>
        <v/>
      </c>
      <c r="Q40" s="31" t="str">
        <f>IF(Data!$B$15="Y",IF(OR(Data!B$3="H",Data!B$3="MH",Data!B$3="HM",Data!B$3="W"),IF($L40=Data!$B$4,IF($M40=Data!$B$6,F40,""),""),""),"")</f>
        <v/>
      </c>
      <c r="R40" s="31" t="str">
        <f>IF(AND($L40=Data!$B$4,$M40=Data!$B$6,Data!B$10="V"),G40+H40,"")</f>
        <v/>
      </c>
      <c r="S40" s="31" t="str">
        <f>IF(Data!$B$13&gt;0.1,IF(OR(Data!B$3="H",Data!B$3="MH",Data!B$3="HM",Data!B$3="W"),IF($L40=Data!$B$4,IF($M40=Data!$B$6,I40*Data!B$13,""),""),""),"")</f>
        <v/>
      </c>
      <c r="T40" s="38" t="str">
        <f>IF(Data!B$3="HM",IF($L40=Data!$B$4,IF($M40=Data!$B$6,K40,""),""),"")</f>
        <v/>
      </c>
    </row>
    <row r="41" spans="1:20">
      <c r="A41" s="44"/>
      <c r="B41" s="45">
        <v>5.5</v>
      </c>
      <c r="C41" s="31">
        <v>1017</v>
      </c>
      <c r="D41" s="32">
        <v>306</v>
      </c>
      <c r="E41" s="31">
        <v>1092</v>
      </c>
      <c r="F41" s="31">
        <v>953</v>
      </c>
      <c r="G41" s="31">
        <v>500</v>
      </c>
      <c r="H41" s="31">
        <v>1042</v>
      </c>
      <c r="I41" s="31">
        <v>173</v>
      </c>
      <c r="J41" s="32"/>
      <c r="K41" s="31">
        <v>3272</v>
      </c>
      <c r="L41" s="44">
        <v>10</v>
      </c>
      <c r="M41" s="45">
        <v>5.5</v>
      </c>
      <c r="N41" s="31" t="str">
        <f>IF(Data!B$20="Y",IF(OR(Data!B$3="H",Data!B$3="MH",Data!B$3="HM",Data!B$3="W"),IF($L41=Data!B$4,IF($M41=Data!B$6,C41,""),""),""),"")</f>
        <v/>
      </c>
      <c r="O41" s="31" t="str">
        <f>IF(Data!$B$23&gt;0.1,IF(OR(Data!B$3="H",Data!B$3="MH",Data!B$3="HM",Data!B$3="W"),IF($L41=Data!$B$4,IF($M41=Data!$B$6,D41*Data!B$23,""),""),""),"")</f>
        <v/>
      </c>
      <c r="P41" s="31" t="str">
        <f>IF(Data!$B$19&gt;0.01,IF(OR(Data!B$3="H",Data!B$3="MH",Data!B$3="HM",Data!B$3="W"),IF($L41=Data!$B$4,IF($M41=Data!$B$6,E41*Data!B$19,""),""),""),"")</f>
        <v/>
      </c>
      <c r="Q41" s="31" t="str">
        <f>IF(Data!$B$15="Y",IF(OR(Data!B$3="H",Data!B$3="MH",Data!B$3="HM",Data!B$3="W"),IF($L41=Data!$B$4,IF($M41=Data!$B$6,F41,""),""),""),"")</f>
        <v/>
      </c>
      <c r="R41" s="31" t="str">
        <f>IF(AND($L41=Data!$B$4,$M41=Data!$B$6,Data!B$10="V"),G41+H41,"")</f>
        <v/>
      </c>
      <c r="S41" s="31" t="str">
        <f>IF(Data!$B$13&gt;0.1,IF(OR(Data!B$3="H",Data!B$3="MH",Data!B$3="HM",Data!B$3="W"),IF($L41=Data!$B$4,IF($M41=Data!$B$6,I41*Data!B$13,""),""),""),"")</f>
        <v/>
      </c>
      <c r="T41" s="38" t="str">
        <f>IF(Data!B$3="HM",IF($L41=Data!$B$4,IF($M41=Data!$B$6,K41,""),""),"")</f>
        <v/>
      </c>
    </row>
    <row r="42" spans="1:20">
      <c r="A42" s="44"/>
      <c r="B42" s="45">
        <v>7</v>
      </c>
      <c r="C42" s="31">
        <v>1176</v>
      </c>
      <c r="D42" s="32">
        <v>306</v>
      </c>
      <c r="E42" s="31">
        <v>1115</v>
      </c>
      <c r="F42" s="31">
        <v>2218</v>
      </c>
      <c r="G42" s="31">
        <v>535</v>
      </c>
      <c r="H42" s="31">
        <v>1042</v>
      </c>
      <c r="I42" s="31">
        <v>173</v>
      </c>
      <c r="J42" s="32"/>
      <c r="K42" s="31">
        <v>3272</v>
      </c>
      <c r="L42" s="44">
        <v>10</v>
      </c>
      <c r="M42" s="45">
        <v>7</v>
      </c>
      <c r="N42" s="31" t="str">
        <f>IF(Data!B$20="Y",IF(OR(Data!B$3="H",Data!B$3="MH",Data!B$3="HM",Data!B$3="W"),IF($L42=Data!B$4,IF($M42=Data!B$6,C42,""),""),""),"")</f>
        <v/>
      </c>
      <c r="O42" s="31" t="str">
        <f>IF(Data!$B$23&gt;0.1,IF(OR(Data!B$3="H",Data!B$3="MH",Data!B$3="HM",Data!B$3="W"),IF($L42=Data!$B$4,IF($M42=Data!$B$6,D42*Data!B$23,""),""),""),"")</f>
        <v/>
      </c>
      <c r="P42" s="31" t="str">
        <f>IF(Data!$B$19&gt;0.01,IF(OR(Data!B$3="H",Data!B$3="MH",Data!B$3="HM",Data!B$3="W"),IF($L42=Data!$B$4,IF($M42=Data!$B$6,E42*Data!B$19,""),""),""),"")</f>
        <v/>
      </c>
      <c r="Q42" s="31" t="str">
        <f>IF(Data!$B$15="Y",IF(OR(Data!B$3="H",Data!B$3="MH",Data!B$3="HM",Data!B$3="W"),IF($L42=Data!$B$4,IF($M42=Data!$B$6,F42,""),""),""),"")</f>
        <v/>
      </c>
      <c r="R42" s="31" t="str">
        <f>IF(AND($L42=Data!$B$4,$M42=Data!$B$6,Data!B$10="V"),G42+H42,"")</f>
        <v/>
      </c>
      <c r="S42" s="31" t="str">
        <f>IF(Data!$B$13&gt;0.1,IF(OR(Data!B$3="H",Data!B$3="MH",Data!B$3="HM",Data!B$3="W"),IF($L42=Data!$B$4,IF($M42=Data!$B$6,I42*Data!B$13,""),""),""),"")</f>
        <v/>
      </c>
      <c r="T42" s="38" t="str">
        <f>IF(Data!B$3="HM",IF($L42=Data!$B$4,IF($M42=Data!$B$6,K42,""),""),"")</f>
        <v/>
      </c>
    </row>
    <row r="43" spans="1:20">
      <c r="A43" s="44">
        <v>12</v>
      </c>
      <c r="B43" s="45">
        <v>5.5</v>
      </c>
      <c r="C43" s="31">
        <v>1017</v>
      </c>
      <c r="D43" s="31">
        <v>377</v>
      </c>
      <c r="E43" s="31">
        <v>1448</v>
      </c>
      <c r="F43" s="31">
        <v>953</v>
      </c>
      <c r="G43" s="31">
        <v>500</v>
      </c>
      <c r="H43" s="31">
        <v>1335</v>
      </c>
      <c r="I43" s="31">
        <v>189</v>
      </c>
      <c r="K43" s="31">
        <v>4253</v>
      </c>
      <c r="L43" s="44">
        <v>12</v>
      </c>
      <c r="M43" s="45">
        <v>5.5</v>
      </c>
      <c r="N43" s="31" t="str">
        <f>IF(Data!B$20="Y",IF(OR(Data!B$3="H",Data!B$3="MH",Data!B$3="HM",Data!B$3="W"),IF($L43=Data!B$4,IF($M43=Data!B$6,C43,""),""),""),"")</f>
        <v/>
      </c>
      <c r="O43" s="31" t="str">
        <f>IF(Data!$B$23&gt;0.1,IF(OR(Data!B$3="H",Data!B$3="MH",Data!B$3="HM",Data!B$3="W"),IF($L43=Data!$B$4,IF($M43=Data!$B$6,D43*Data!B$23,""),""),""),"")</f>
        <v/>
      </c>
      <c r="P43" s="31" t="str">
        <f>IF(Data!$B$19&gt;0.01,IF(OR(Data!B$3="H",Data!B$3="MH",Data!B$3="HM",Data!B$3="W"),IF($L43=Data!$B$4,IF($M43=Data!$B$6,E43*Data!B$19,""),""),""),"")</f>
        <v/>
      </c>
      <c r="Q43" s="31" t="str">
        <f>IF(Data!$B$15="Y",IF(OR(Data!B$3="H",Data!B$3="MH",Data!B$3="HM",Data!B$3="W"),IF($L43=Data!$B$4,IF($M43=Data!$B$6,F43,""),""),""),"")</f>
        <v/>
      </c>
      <c r="R43" s="31" t="str">
        <f>IF(AND($L43=Data!$B$4,$M43=Data!$B$6,Data!B$10="V"),G43+H43,"")</f>
        <v/>
      </c>
      <c r="S43" s="31" t="str">
        <f>IF(Data!$B$13&gt;0.1,IF(OR(Data!B$3="H",Data!B$3="MH",Data!B$3="HM",Data!B$3="W"),IF($L43=Data!$B$4,IF($M43=Data!$B$6,I43*Data!B$13,""),""),""),"")</f>
        <v/>
      </c>
      <c r="T43" s="38" t="str">
        <f>IF(Data!B$3="HM",IF($L43=Data!$B$4,IF($M43=Data!$B$6,K43,""),""),"")</f>
        <v/>
      </c>
    </row>
    <row r="44" spans="1:20">
      <c r="A44" s="44"/>
      <c r="B44" s="45">
        <v>7</v>
      </c>
      <c r="C44" s="31">
        <v>1176</v>
      </c>
      <c r="D44" s="31">
        <v>377</v>
      </c>
      <c r="E44" s="31">
        <v>1475</v>
      </c>
      <c r="F44" s="31">
        <v>2218</v>
      </c>
      <c r="G44" s="31">
        <v>535</v>
      </c>
      <c r="H44" s="31">
        <v>1335</v>
      </c>
      <c r="I44" s="31">
        <v>189</v>
      </c>
      <c r="K44" s="31">
        <v>4253</v>
      </c>
      <c r="L44" s="44">
        <v>12</v>
      </c>
      <c r="M44" s="45">
        <v>7</v>
      </c>
      <c r="N44" s="31" t="str">
        <f>IF(Data!B$20="Y",IF(OR(Data!B$3="H",Data!B$3="MH",Data!B$3="HM",Data!B$3="W"),IF($L44=Data!B$4,IF($M44=Data!B$6,C44,""),""),""),"")</f>
        <v/>
      </c>
      <c r="O44" s="31" t="str">
        <f>IF(Data!$B$23&gt;0.1,IF(OR(Data!B$3="H",Data!B$3="MH",Data!B$3="HM",Data!B$3="W"),IF($L44=Data!$B$4,IF($M44=Data!$B$6,D44*Data!B$23,""),""),""),"")</f>
        <v/>
      </c>
      <c r="P44" s="31" t="str">
        <f>IF(Data!$B$19&gt;0.01,IF(OR(Data!B$3="H",Data!B$3="MH",Data!B$3="HM",Data!B$3="W"),IF($L44=Data!$B$4,IF($M44=Data!$B$6,E44*Data!B$19,""),""),""),"")</f>
        <v/>
      </c>
      <c r="Q44" s="31" t="str">
        <f>IF(Data!$B$15="Y",IF(OR(Data!B$3="H",Data!B$3="MH",Data!B$3="HM",Data!B$3="W"),IF($L44=Data!$B$4,IF($M44=Data!$B$6,F44,""),""),""),"")</f>
        <v/>
      </c>
      <c r="R44" s="31" t="str">
        <f>IF(AND($L44=Data!$B$4,$M44=Data!$B$6,Data!B$10="V"),G44+H44,"")</f>
        <v/>
      </c>
      <c r="S44" s="31" t="str">
        <f>IF(Data!$B$13&gt;0.1,IF(OR(Data!B$3="H",Data!B$3="MH",Data!B$3="HM",Data!B$3="W"),IF($L44=Data!$B$4,IF($M44=Data!$B$6,I44*Data!B$13,""),""),""),"")</f>
        <v/>
      </c>
      <c r="T44" s="38" t="str">
        <f>IF(Data!B$3="HM",IF($L44=Data!$B$4,IF($M44=Data!$B$6,K44,""),""),"")</f>
        <v/>
      </c>
    </row>
    <row r="45" spans="1:20">
      <c r="A45" s="44"/>
      <c r="B45" s="45">
        <v>8</v>
      </c>
      <c r="C45" s="31">
        <v>1411</v>
      </c>
      <c r="D45" s="31">
        <v>377</v>
      </c>
      <c r="E45" s="31">
        <v>1505</v>
      </c>
      <c r="F45" s="31">
        <v>2771</v>
      </c>
      <c r="G45" s="31">
        <v>700</v>
      </c>
      <c r="H45" s="31">
        <v>1335</v>
      </c>
      <c r="I45" s="31">
        <v>189</v>
      </c>
      <c r="K45" s="31">
        <v>4253</v>
      </c>
      <c r="L45" s="44">
        <v>12</v>
      </c>
      <c r="M45" s="45">
        <v>8</v>
      </c>
      <c r="N45" s="31" t="str">
        <f>IF(Data!B$20="Y",IF(OR(Data!B$3="H",Data!B$3="MH",Data!B$3="HM",Data!B$3="W"),IF($L45=Data!B$4,IF($M45=Data!B$6,C45,""),""),""),"")</f>
        <v/>
      </c>
      <c r="O45" s="31" t="str">
        <f>IF(Data!$B$23&gt;0.1,IF(OR(Data!B$3="H",Data!B$3="MH",Data!B$3="HM",Data!B$3="W"),IF($L45=Data!$B$4,IF($M45=Data!$B$6,D45*Data!B$23,""),""),""),"")</f>
        <v/>
      </c>
      <c r="P45" s="31" t="str">
        <f>IF(Data!$B$19&gt;0.01,IF(OR(Data!B$3="H",Data!B$3="MH",Data!B$3="HM",Data!B$3="W"),IF($L45=Data!$B$4,IF($M45=Data!$B$6,E45*Data!B$19,""),""),""),"")</f>
        <v/>
      </c>
      <c r="Q45" s="31" t="str">
        <f>IF(Data!$B$15="Y",IF(OR(Data!B$3="H",Data!B$3="MH",Data!B$3="HM",Data!B$3="W"),IF($L45=Data!$B$4,IF($M45=Data!$B$6,F45,""),""),""),"")</f>
        <v/>
      </c>
      <c r="R45" s="31" t="str">
        <f>IF(AND($L45=Data!$B$4,$M45=Data!$B$6,Data!B$10="V"),G45+H45,"")</f>
        <v/>
      </c>
      <c r="S45" s="31" t="str">
        <f>IF(Data!$B$13&gt;0.1,IF(OR(Data!B$3="H",Data!B$3="MH",Data!B$3="HM",Data!B$3="W"),IF($L45=Data!$B$4,IF($M45=Data!$B$6,I45*Data!B$13,""),""),""),"")</f>
        <v/>
      </c>
      <c r="T45" s="38" t="str">
        <f>IF(Data!B$3="HM",IF($L45=Data!$B$4,IF($M45=Data!$B$6,K45,""),""),"")</f>
        <v/>
      </c>
    </row>
    <row r="46" spans="1:20">
      <c r="A46" s="44">
        <v>14</v>
      </c>
      <c r="B46" s="45">
        <v>8</v>
      </c>
      <c r="C46" s="31">
        <v>1411</v>
      </c>
      <c r="D46" s="31">
        <v>460</v>
      </c>
      <c r="E46" s="31">
        <v>1956</v>
      </c>
      <c r="F46" s="31">
        <v>2688</v>
      </c>
      <c r="G46" s="31">
        <v>700</v>
      </c>
      <c r="H46" s="31">
        <v>1519</v>
      </c>
      <c r="I46" s="31">
        <v>319</v>
      </c>
      <c r="K46" s="31">
        <v>5527</v>
      </c>
      <c r="L46" s="44">
        <v>14</v>
      </c>
      <c r="M46" s="45">
        <v>8</v>
      </c>
      <c r="N46" s="31" t="str">
        <f>IF(Data!B$20="Y",IF(OR(Data!B$3="H",Data!B$3="MH",Data!B$3="HM",Data!B$3="W"),IF($L46=Data!B$4,IF($M46=Data!B$6,C46,""),""),""),"")</f>
        <v/>
      </c>
      <c r="O46" s="31" t="str">
        <f>IF(Data!$B$23&gt;0.1,IF(OR(Data!B$3="H",Data!B$3="MH",Data!B$3="HM",Data!B$3="W"),IF($L46=Data!$B$4,IF($M46=Data!$B$6,D46*Data!B$23,""),""),""),"")</f>
        <v/>
      </c>
      <c r="P46" s="31" t="str">
        <f>IF(Data!$B$19&gt;0.01,IF(OR(Data!B$3="H",Data!B$3="MH",Data!B$3="HM",Data!B$3="W"),IF($L46=Data!$B$4,IF($M46=Data!$B$6,E46*Data!B$19,""),""),""),"")</f>
        <v/>
      </c>
      <c r="Q46" s="31" t="str">
        <f>IF(Data!$B$15="Y",IF(OR(Data!B$3="H",Data!B$3="MH",Data!B$3="HM",Data!B$3="W"),IF($L46=Data!$B$4,IF($M46=Data!$B$6,F46,""),""),""),"")</f>
        <v/>
      </c>
      <c r="R46" s="31" t="str">
        <f>IF(AND($L46=Data!$B$4,$M46=Data!$B$6,Data!B$10="V"),G46+H46,"")</f>
        <v/>
      </c>
      <c r="S46" s="31" t="str">
        <f>IF(Data!$B$13&gt;0.1,IF(OR(Data!B$3="H",Data!B$3="MH",Data!B$3="HM",Data!B$3="W"),IF($L46=Data!$B$4,IF($M46=Data!$B$6,I46*Data!B$13,""),""),""),"")</f>
        <v/>
      </c>
      <c r="T46" s="38" t="str">
        <f>IF(Data!B$3="HM",IF($L46=Data!$B$4,IF($M46=Data!$B$6,K46,""),""),"")</f>
        <v/>
      </c>
    </row>
    <row r="47" spans="1:20">
      <c r="A47" s="44"/>
      <c r="B47" s="45">
        <v>10</v>
      </c>
      <c r="C47" s="31">
        <v>1733</v>
      </c>
      <c r="D47" s="31">
        <v>460</v>
      </c>
      <c r="E47" s="31">
        <v>1993</v>
      </c>
      <c r="F47" s="31">
        <v>4154</v>
      </c>
      <c r="G47" s="31">
        <v>900</v>
      </c>
      <c r="H47" s="31">
        <v>1519</v>
      </c>
      <c r="I47" s="31">
        <v>319</v>
      </c>
      <c r="K47" s="31">
        <v>5527</v>
      </c>
      <c r="L47" s="44">
        <v>14</v>
      </c>
      <c r="M47" s="45">
        <v>10</v>
      </c>
      <c r="N47" s="31" t="str">
        <f>IF(Data!B$20="Y",IF(OR(Data!B$3="H",Data!B$3="MH",Data!B$3="HM",Data!B$3="W"),IF($L47=Data!B$4,IF($M47=Data!B$6,C47,""),""),""),"")</f>
        <v/>
      </c>
      <c r="O47" s="31" t="str">
        <f>IF(Data!$B$23&gt;0.1,IF(OR(Data!B$3="H",Data!B$3="MH",Data!B$3="HM",Data!B$3="W"),IF($L47=Data!$B$4,IF($M47=Data!$B$6,D47*Data!B$23,""),""),""),"")</f>
        <v/>
      </c>
      <c r="P47" s="31" t="str">
        <f>IF(Data!$B$19&gt;0.01,IF(OR(Data!B$3="H",Data!B$3="MH",Data!B$3="HM",Data!B$3="W"),IF($L47=Data!$B$4,IF($M47=Data!$B$6,E47*Data!B$19,""),""),""),"")</f>
        <v/>
      </c>
      <c r="Q47" s="31" t="str">
        <f>IF(Data!$B$15="Y",IF(OR(Data!B$3="H",Data!B$3="MH",Data!B$3="HM",Data!B$3="W"),IF($L47=Data!$B$4,IF($M47=Data!$B$6,F47,""),""),""),"")</f>
        <v/>
      </c>
      <c r="R47" s="31" t="str">
        <f>IF(AND($L47=Data!$B$4,$M47=Data!$B$6,Data!B$10="V"),G47+H47,"")</f>
        <v/>
      </c>
      <c r="S47" s="31" t="str">
        <f>IF(Data!$B$13&gt;0.1,IF(OR(Data!B$3="H",Data!B$3="MH",Data!B$3="HM",Data!B$3="W"),IF($L47=Data!$B$4,IF($M47=Data!$B$6,I47*Data!B$13,""),""),""),"")</f>
        <v/>
      </c>
      <c r="T47" s="38" t="str">
        <f>IF(Data!B$3="HM",IF($L47=Data!$B$4,IF($M47=Data!$B$6,K47,""),""),"")</f>
        <v/>
      </c>
    </row>
    <row r="48" spans="1:20">
      <c r="A48" s="44">
        <v>16</v>
      </c>
      <c r="B48" s="45">
        <v>8</v>
      </c>
      <c r="C48" s="31">
        <v>1411</v>
      </c>
      <c r="D48" s="31">
        <v>566</v>
      </c>
      <c r="E48" s="31">
        <v>2591</v>
      </c>
      <c r="F48" s="31">
        <v>2771</v>
      </c>
      <c r="G48" s="31">
        <v>700</v>
      </c>
      <c r="H48" s="31">
        <v>2067</v>
      </c>
      <c r="I48" s="31">
        <v>353</v>
      </c>
      <c r="K48" s="31">
        <v>7185</v>
      </c>
      <c r="L48" s="44">
        <v>16</v>
      </c>
      <c r="M48" s="45">
        <v>8</v>
      </c>
      <c r="N48" s="31" t="str">
        <f>IF(Data!B$20="Y",IF(OR(Data!B$3="H",Data!B$3="MH",Data!B$3="HM",Data!B$3="W"),IF($L48=Data!B$4,IF($M48=Data!B$6,C48,""),""),""),"")</f>
        <v/>
      </c>
      <c r="O48" s="31" t="str">
        <f>IF(Data!$B$23&gt;0.1,IF(OR(Data!B$3="H",Data!B$3="MH",Data!B$3="HM",Data!B$3="W"),IF($L48=Data!$B$4,IF($M48=Data!$B$6,D48*Data!B$23,""),""),""),"")</f>
        <v/>
      </c>
      <c r="P48" s="31" t="str">
        <f>IF(Data!$B$19&gt;0.01,IF(OR(Data!B$3="H",Data!B$3="MH",Data!B$3="HM",Data!B$3="W"),IF($L48=Data!$B$4,IF($M48=Data!$B$6,E48*Data!B$19,""),""),""),"")</f>
        <v/>
      </c>
      <c r="Q48" s="31" t="str">
        <f>IF(Data!$B$15="Y",IF(OR(Data!B$3="H",Data!B$3="MH",Data!B$3="HM",Data!B$3="W"),IF($L48=Data!$B$4,IF($M48=Data!$B$6,F48,""),""),""),"")</f>
        <v/>
      </c>
      <c r="R48" s="31" t="str">
        <f>IF(AND($L48=Data!$B$4,$M48=Data!$B$6,Data!B$10="V"),G48+H48,"")</f>
        <v/>
      </c>
      <c r="S48" s="31" t="str">
        <f>IF(Data!$B$13&gt;0.1,IF(OR(Data!B$3="H",Data!B$3="MH",Data!B$3="HM",Data!B$3="W"),IF($L48=Data!$B$4,IF($M48=Data!$B$6,I48*Data!B$13,""),""),""),"")</f>
        <v/>
      </c>
      <c r="T48" s="38" t="str">
        <f>IF(Data!B$3="HM",IF($L48=Data!$B$4,IF($M48=Data!$B$6,K48,""),""),"")</f>
        <v/>
      </c>
    </row>
    <row r="49" spans="1:20">
      <c r="A49" s="44"/>
      <c r="B49" s="45">
        <v>10</v>
      </c>
      <c r="C49" s="31">
        <v>1733</v>
      </c>
      <c r="D49" s="31">
        <v>566</v>
      </c>
      <c r="E49" s="31">
        <v>2642</v>
      </c>
      <c r="F49" s="31">
        <v>4154</v>
      </c>
      <c r="G49" s="31">
        <v>900</v>
      </c>
      <c r="H49" s="31">
        <v>2067</v>
      </c>
      <c r="I49" s="31">
        <v>353</v>
      </c>
      <c r="K49" s="31">
        <v>7185</v>
      </c>
      <c r="L49" s="44">
        <v>16</v>
      </c>
      <c r="M49" s="45">
        <v>10</v>
      </c>
      <c r="N49" s="31" t="str">
        <f>IF(Data!B$20="Y",IF(OR(Data!B$3="H",Data!B$3="MH",Data!B$3="HM",Data!B$3="W"),IF($L49=Data!B$4,IF($M49=Data!B$6,C49,""),""),""),"")</f>
        <v/>
      </c>
      <c r="O49" s="31" t="str">
        <f>IF(Data!$B$23&gt;0.1,IF(OR(Data!B$3="H",Data!B$3="MH",Data!B$3="HM",Data!B$3="W"),IF($L49=Data!$B$4,IF($M49=Data!$B$6,D49*Data!B$23,""),""),""),"")</f>
        <v/>
      </c>
      <c r="P49" s="31" t="str">
        <f>IF(Data!$B$19&gt;0.01,IF(OR(Data!B$3="H",Data!B$3="MH",Data!B$3="HM",Data!B$3="W"),IF($L49=Data!$B$4,IF($M49=Data!$B$6,E49*Data!B$19,""),""),""),"")</f>
        <v/>
      </c>
      <c r="Q49" s="31" t="str">
        <f>IF(Data!$B$15="Y",IF(OR(Data!B$3="H",Data!B$3="MH",Data!B$3="HM",Data!B$3="W"),IF($L49=Data!$B$4,IF($M49=Data!$B$6,F49,""),""),""),"")</f>
        <v/>
      </c>
      <c r="R49" s="31" t="str">
        <f>IF(AND($L49=Data!$B$4,$M49=Data!$B$6,Data!B$10="V"),G49+H49,"")</f>
        <v/>
      </c>
      <c r="S49" s="31" t="str">
        <f>IF(Data!$B$13&gt;0.1,IF(OR(Data!B$3="H",Data!B$3="MH",Data!B$3="HM",Data!B$3="W"),IF($L49=Data!$B$4,IF($M49=Data!$B$6,I49*Data!B$13,""),""),""),"")</f>
        <v/>
      </c>
      <c r="T49" s="38" t="str">
        <f>IF(Data!B$3="HM",IF($L49=Data!$B$4,IF($M49=Data!$B$6,K49,""),""),"")</f>
        <v/>
      </c>
    </row>
    <row r="50" spans="1:20">
      <c r="A50" s="44">
        <v>18</v>
      </c>
      <c r="B50" s="45">
        <v>8</v>
      </c>
      <c r="C50" s="31">
        <v>1411</v>
      </c>
      <c r="D50" s="31">
        <v>698</v>
      </c>
      <c r="E50" s="31">
        <v>3433</v>
      </c>
      <c r="F50" s="31">
        <v>2771</v>
      </c>
      <c r="G50" s="31">
        <v>700</v>
      </c>
      <c r="H50" s="31">
        <v>2796</v>
      </c>
      <c r="I50" s="31">
        <v>457</v>
      </c>
      <c r="K50" s="31">
        <v>9339</v>
      </c>
      <c r="L50" s="44">
        <v>18</v>
      </c>
      <c r="M50" s="45">
        <v>8</v>
      </c>
      <c r="N50" s="31" t="str">
        <f>IF(Data!B$20="Y",IF(OR(Data!B$3="H",Data!B$3="MH",Data!B$3="HM",Data!B$3="W"),IF($L50=Data!B$4,IF($M50=Data!B$6,C50,""),""),""),"")</f>
        <v/>
      </c>
      <c r="O50" s="31" t="str">
        <f>IF(Data!$B$23&gt;0.1,IF(OR(Data!B$3="H",Data!B$3="MH",Data!B$3="HM",Data!B$3="W"),IF($L50=Data!$B$4,IF($M50=Data!$B$6,D50*Data!B$23,""),""),""),"")</f>
        <v/>
      </c>
      <c r="P50" s="31" t="str">
        <f>IF(Data!$B$19&gt;0.01,IF(OR(Data!B$3="H",Data!B$3="MH",Data!B$3="HM",Data!B$3="W"),IF($L50=Data!$B$4,IF($M50=Data!$B$6,E50*Data!B$19,""),""),""),"")</f>
        <v/>
      </c>
      <c r="Q50" s="31" t="str">
        <f>IF(Data!$B$15="Y",IF(OR(Data!B$3="H",Data!B$3="MH",Data!B$3="HM",Data!B$3="W"),IF($L50=Data!$B$4,IF($M50=Data!$B$6,F50,""),""),""),"")</f>
        <v/>
      </c>
      <c r="R50" s="31" t="str">
        <f>IF(AND($L50=Data!$B$4,$M50=Data!$B$6,Data!B$10="V"),G50+H50,"")</f>
        <v/>
      </c>
      <c r="S50" s="31" t="str">
        <f>IF(Data!$B$13&gt;0.1,IF(OR(Data!B$3="H",Data!B$3="MH",Data!B$3="HM",Data!B$3="W"),IF($L50=Data!$B$4,IF($M50=Data!$B$6,I50*Data!B$13,""),""),""),"")</f>
        <v/>
      </c>
      <c r="T50" s="38" t="str">
        <f>IF(Data!B$3="HM",IF($L50=Data!$B$4,IF($M50=Data!$B$6,K50,""),""),"")</f>
        <v/>
      </c>
    </row>
    <row r="51" spans="1:20">
      <c r="A51" s="44"/>
      <c r="B51" s="45">
        <v>10</v>
      </c>
      <c r="C51" s="31">
        <v>1733</v>
      </c>
      <c r="D51" s="31">
        <v>698</v>
      </c>
      <c r="E51" s="31">
        <v>3501</v>
      </c>
      <c r="F51" s="31">
        <v>4154</v>
      </c>
      <c r="G51" s="31">
        <v>900</v>
      </c>
      <c r="H51" s="31">
        <v>2796</v>
      </c>
      <c r="I51" s="31">
        <v>457</v>
      </c>
      <c r="K51" s="31">
        <v>9339</v>
      </c>
      <c r="L51" s="44">
        <v>18</v>
      </c>
      <c r="M51" s="45">
        <v>10</v>
      </c>
      <c r="N51" s="31" t="str">
        <f>IF(Data!B$20="Y",IF(OR(Data!B$3="H",Data!B$3="MH",Data!B$3="HM",Data!B$3="W"),IF($L51=Data!B$4,IF($M51=Data!B$6,C51,""),""),""),"")</f>
        <v/>
      </c>
      <c r="O51" s="31" t="str">
        <f>IF(Data!$B$23&gt;0.1,IF(OR(Data!B$3="H",Data!B$3="MH",Data!B$3="HM",Data!B$3="W"),IF($L51=Data!$B$4,IF($M51=Data!$B$6,D51*Data!B$23,""),""),""),"")</f>
        <v/>
      </c>
      <c r="P51" s="31" t="str">
        <f>IF(Data!$B$19&gt;0.01,IF(OR(Data!B$3="H",Data!B$3="MH",Data!B$3="HM",Data!B$3="W"),IF($L51=Data!$B$4,IF($M51=Data!$B$6,E51*Data!B$19,""),""),""),"")</f>
        <v/>
      </c>
      <c r="Q51" s="31" t="str">
        <f>IF(Data!$B$15="Y",IF(OR(Data!B$3="H",Data!B$3="MH",Data!B$3="HM",Data!B$3="W"),IF($L51=Data!$B$4,IF($M51=Data!$B$6,F51,""),""),""),"")</f>
        <v/>
      </c>
      <c r="R51" s="31" t="str">
        <f>IF(AND($L51=Data!$B$4,$M51=Data!$B$6,Data!B$10="V"),G51+H51,"")</f>
        <v/>
      </c>
      <c r="S51" s="31" t="str">
        <f>IF(Data!$B$13&gt;0.1,IF(OR(Data!B$3="H",Data!B$3="MH",Data!B$3="HM",Data!B$3="W"),IF($L51=Data!$B$4,IF($M51=Data!$B$6,I51*Data!B$13,""),""),""),"")</f>
        <v/>
      </c>
      <c r="T51" s="38" t="str">
        <f>IF(Data!B$3="HM",IF($L51=Data!$B$4,IF($M51=Data!$B$6,K51,""),""),"")</f>
        <v/>
      </c>
    </row>
    <row r="52" spans="1:20">
      <c r="A52" s="44">
        <v>20</v>
      </c>
      <c r="B52" s="45">
        <v>10</v>
      </c>
      <c r="C52" s="31">
        <v>1733</v>
      </c>
      <c r="D52" s="31">
        <v>853</v>
      </c>
      <c r="E52" s="31">
        <v>4549</v>
      </c>
      <c r="F52" s="31">
        <v>4154</v>
      </c>
      <c r="G52" s="31">
        <v>900</v>
      </c>
      <c r="H52" s="31">
        <v>3669</v>
      </c>
      <c r="I52" s="31">
        <v>590</v>
      </c>
      <c r="K52" s="31">
        <v>12137</v>
      </c>
      <c r="L52" s="44">
        <v>20</v>
      </c>
      <c r="M52" s="45">
        <v>10</v>
      </c>
      <c r="N52" s="31" t="str">
        <f>IF(Data!B$20="Y",IF(OR(Data!B$3="H",Data!B$3="MH",Data!B$3="HM",Data!B$3="W"),IF($L52=Data!B$4,IF($M52=Data!B$6,C52,""),""),""),"")</f>
        <v/>
      </c>
      <c r="O52" s="31" t="str">
        <f>IF(Data!$B$23&gt;0.1,IF(OR(Data!B$3="H",Data!B$3="MH",Data!B$3="HM",Data!B$3="W"),IF($L52=Data!$B$4,IF($M52=Data!$B$6,D52*Data!B$23,""),""),""),"")</f>
        <v/>
      </c>
      <c r="P52" s="31" t="str">
        <f>IF(Data!$B$19&gt;0.01,IF(OR(Data!B$3="H",Data!B$3="MH",Data!B$3="HM",Data!B$3="W"),IF($L52=Data!$B$4,IF($M52=Data!$B$6,E52*Data!B$19,""),""),""),"")</f>
        <v/>
      </c>
      <c r="Q52" s="31" t="str">
        <f>IF(Data!$B$15="Y",IF(OR(Data!B$3="H",Data!B$3="MH",Data!B$3="HM",Data!B$3="W"),IF($L52=Data!$B$4,IF($M52=Data!$B$6,F52,""),""),""),"")</f>
        <v/>
      </c>
      <c r="R52" s="31" t="str">
        <f>IF(AND($L52=Data!$B$4,$M52=Data!$B$6,Data!B$10="V"),G52+H52,"")</f>
        <v/>
      </c>
      <c r="S52" s="31" t="str">
        <f>IF(Data!$B$13&gt;0.1,IF(OR(Data!B$3="H",Data!B$3="MH",Data!B$3="HM",Data!B$3="W"),IF($L52=Data!$B$4,IF($M52=Data!$B$6,I52*Data!B$13,""),""),""),"")</f>
        <v/>
      </c>
      <c r="T52" s="38" t="str">
        <f>IF(Data!B$3="HM",IF($L52=Data!$B$4,IF($M52=Data!$B$6,K52,""),""),"")</f>
        <v/>
      </c>
    </row>
    <row r="53" spans="1:20">
      <c r="N53" s="31">
        <f t="shared" ref="N53:S53" si="0">SUM(N8:N52)</f>
        <v>0</v>
      </c>
      <c r="O53" s="31">
        <f t="shared" si="0"/>
        <v>0</v>
      </c>
      <c r="P53" s="31">
        <f t="shared" si="0"/>
        <v>0</v>
      </c>
      <c r="Q53" s="31">
        <f t="shared" si="0"/>
        <v>0</v>
      </c>
      <c r="R53" s="31">
        <f t="shared" si="0"/>
        <v>0</v>
      </c>
      <c r="S53" s="31">
        <f t="shared" si="0"/>
        <v>0</v>
      </c>
      <c r="T53" s="32">
        <f>SUM(N53:S53)+T54</f>
        <v>0</v>
      </c>
    </row>
    <row r="54" spans="1:20">
      <c r="T54" s="38">
        <f>SUM(T8:T52)</f>
        <v>0</v>
      </c>
    </row>
    <row r="80" ht="13.5" customHeight="1"/>
    <row r="81" ht="13.5" customHeight="1"/>
    <row r="82" ht="13.5" customHeight="1"/>
    <row r="83" ht="13.5" customHeight="1"/>
    <row r="84" ht="13.5" customHeight="1"/>
    <row r="85" ht="12.75" customHeight="1"/>
    <row r="86" ht="13.5" customHeight="1"/>
    <row r="87" ht="13.5" customHeight="1"/>
    <row r="88" ht="12.75" customHeight="1"/>
    <row r="89" ht="13.5" customHeight="1"/>
    <row r="90" ht="13.5" customHeight="1"/>
    <row r="91" ht="12.75" customHeight="1"/>
    <row r="92" ht="13.5" customHeight="1"/>
    <row r="93" ht="13.5" customHeight="1"/>
    <row r="94" ht="12.75" customHeight="1"/>
    <row r="95" ht="12.75" customHeight="1"/>
    <row r="96" ht="13.5" customHeight="1"/>
    <row r="97" ht="13.5" customHeight="1"/>
    <row r="98" ht="12.75" customHeight="1"/>
    <row r="99" ht="12.75" customHeight="1"/>
    <row r="100" ht="13.5" customHeight="1"/>
    <row r="101" ht="13.5" customHeight="1"/>
    <row r="102" ht="12.75" customHeight="1"/>
    <row r="103" ht="12.75" customHeight="1"/>
    <row r="104" ht="12.75" customHeight="1"/>
    <row r="105" ht="13.5" customHeight="1"/>
    <row r="106" ht="13.5" customHeight="1"/>
    <row r="107" ht="12.75" customHeight="1"/>
    <row r="108" ht="12.75" customHeight="1"/>
    <row r="109" ht="12.75" customHeight="1"/>
    <row r="110" ht="13.5" customHeight="1"/>
    <row r="111" ht="13.5" customHeight="1"/>
    <row r="112" ht="12.75" customHeight="1"/>
    <row r="113" ht="12.75" customHeight="1"/>
    <row r="114" ht="13.5" customHeight="1"/>
    <row r="115" ht="13.5" customHeight="1"/>
    <row r="116" ht="12.7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</sheetData>
  <mergeCells count="23">
    <mergeCell ref="K4:K7"/>
    <mergeCell ref="M4:M7"/>
    <mergeCell ref="L4:L7"/>
    <mergeCell ref="A1:J1"/>
    <mergeCell ref="A2:J2"/>
    <mergeCell ref="A4:A7"/>
    <mergeCell ref="B4:B7"/>
    <mergeCell ref="C4:C7"/>
    <mergeCell ref="I4:I7"/>
    <mergeCell ref="D4:D7"/>
    <mergeCell ref="J4:J7"/>
    <mergeCell ref="E4:E7"/>
    <mergeCell ref="F4:F7"/>
    <mergeCell ref="G4:H6"/>
    <mergeCell ref="N1:W1"/>
    <mergeCell ref="N2:W2"/>
    <mergeCell ref="Q4:Q7"/>
    <mergeCell ref="R4:R7"/>
    <mergeCell ref="N4:N7"/>
    <mergeCell ref="O4:O7"/>
    <mergeCell ref="T4:T7"/>
    <mergeCell ref="S4:S7"/>
    <mergeCell ref="P4:P7"/>
  </mergeCells>
  <phoneticPr fontId="0" type="noConversion"/>
  <printOptions horizontalCentered="1" verticalCentered="1"/>
  <pageMargins left="0.25" right="0.25" top="0.25" bottom="0.25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A111"/>
  <sheetViews>
    <sheetView topLeftCell="F1" workbookViewId="0">
      <selection activeCell="R8" sqref="R8"/>
    </sheetView>
  </sheetViews>
  <sheetFormatPr defaultColWidth="9.08984375" defaultRowHeight="13"/>
  <cols>
    <col min="1" max="1" width="8.54296875" style="31" customWidth="1"/>
    <col min="2" max="2" width="8.54296875" style="41" customWidth="1"/>
    <col min="3" max="3" width="12.54296875" style="31" customWidth="1"/>
    <col min="4" max="4" width="11" style="31" customWidth="1"/>
    <col min="5" max="5" width="8.08984375" style="31" customWidth="1"/>
    <col min="6" max="6" width="9.54296875" style="31" customWidth="1"/>
    <col min="7" max="7" width="11.08984375" style="31" customWidth="1"/>
    <col min="8" max="8" width="6.54296875" style="31" customWidth="1"/>
    <col min="9" max="9" width="10.54296875" style="31" customWidth="1"/>
    <col min="10" max="16384" width="9.08984375" style="38"/>
  </cols>
  <sheetData>
    <row r="1" spans="1:20">
      <c r="A1" s="474" t="s">
        <v>472</v>
      </c>
      <c r="B1" s="474"/>
      <c r="C1" s="474"/>
      <c r="D1" s="474"/>
      <c r="E1" s="474"/>
      <c r="F1" s="474"/>
      <c r="G1" s="474"/>
      <c r="H1" s="474"/>
      <c r="I1" s="474"/>
      <c r="K1" s="474"/>
      <c r="L1" s="474"/>
      <c r="M1" s="474"/>
      <c r="N1" s="474"/>
      <c r="O1" s="474"/>
      <c r="P1" s="474"/>
      <c r="Q1" s="474"/>
    </row>
    <row r="2" spans="1:20">
      <c r="A2" s="474" t="s">
        <v>384</v>
      </c>
      <c r="B2" s="474"/>
      <c r="C2" s="474"/>
      <c r="D2" s="474"/>
      <c r="E2" s="474"/>
      <c r="F2" s="474"/>
      <c r="G2" s="474"/>
      <c r="H2" s="474"/>
      <c r="I2" s="474"/>
      <c r="K2" s="474"/>
      <c r="L2" s="474"/>
      <c r="M2" s="474"/>
      <c r="N2" s="474"/>
      <c r="O2" s="474"/>
      <c r="P2" s="474"/>
      <c r="Q2" s="474"/>
    </row>
    <row r="3" spans="1:20">
      <c r="B3" s="31"/>
      <c r="K3" s="31"/>
      <c r="L3" s="31"/>
      <c r="M3" s="31"/>
      <c r="N3" s="31"/>
      <c r="O3" s="31"/>
      <c r="P3" s="31"/>
      <c r="Q3" s="31"/>
    </row>
    <row r="4" spans="1:20" ht="9" customHeight="1">
      <c r="A4" s="606" t="s">
        <v>440</v>
      </c>
      <c r="B4" s="606" t="s">
        <v>87</v>
      </c>
      <c r="C4" s="606" t="s">
        <v>467</v>
      </c>
      <c r="D4" s="606" t="s">
        <v>864</v>
      </c>
      <c r="E4" s="606" t="s">
        <v>281</v>
      </c>
      <c r="F4" s="606" t="s">
        <v>22200</v>
      </c>
      <c r="G4" s="606"/>
      <c r="H4" s="606"/>
      <c r="I4" s="606" t="s">
        <v>20266</v>
      </c>
      <c r="K4" s="606" t="s">
        <v>440</v>
      </c>
      <c r="L4" s="606" t="s">
        <v>87</v>
      </c>
      <c r="M4" s="606" t="s">
        <v>658</v>
      </c>
      <c r="N4" s="606" t="s">
        <v>626</v>
      </c>
      <c r="O4" s="475" t="s">
        <v>281</v>
      </c>
      <c r="P4" s="475" t="s">
        <v>22200</v>
      </c>
      <c r="Q4" s="475" t="s">
        <v>39491</v>
      </c>
    </row>
    <row r="5" spans="1:20" ht="12.75" customHeight="1">
      <c r="A5" s="607"/>
      <c r="B5" s="607"/>
      <c r="C5" s="607"/>
      <c r="D5" s="607"/>
      <c r="E5" s="606"/>
      <c r="F5" s="611"/>
      <c r="G5" s="611"/>
      <c r="H5" s="606"/>
      <c r="I5" s="606"/>
      <c r="J5" s="38" t="s">
        <v>73</v>
      </c>
      <c r="K5" s="607"/>
      <c r="L5" s="607"/>
      <c r="M5" s="607"/>
      <c r="N5" s="607"/>
      <c r="O5" s="605"/>
      <c r="P5" s="605"/>
      <c r="Q5" s="605"/>
      <c r="R5" s="38" t="s">
        <v>73</v>
      </c>
    </row>
    <row r="6" spans="1:20" ht="12.75" customHeight="1">
      <c r="A6" s="607"/>
      <c r="B6" s="607"/>
      <c r="C6" s="607"/>
      <c r="D6" s="607"/>
      <c r="E6" s="606"/>
      <c r="F6" s="611"/>
      <c r="G6" s="611"/>
      <c r="H6" s="606"/>
      <c r="I6" s="606"/>
      <c r="J6" s="38" t="s">
        <v>74</v>
      </c>
      <c r="K6" s="607"/>
      <c r="L6" s="607"/>
      <c r="M6" s="607"/>
      <c r="N6" s="607"/>
      <c r="O6" s="605"/>
      <c r="P6" s="605"/>
      <c r="Q6" s="605"/>
      <c r="R6" s="38" t="s">
        <v>74</v>
      </c>
    </row>
    <row r="7" spans="1:20">
      <c r="A7" s="607"/>
      <c r="B7" s="607"/>
      <c r="C7" s="607"/>
      <c r="D7" s="607"/>
      <c r="E7" s="606"/>
      <c r="F7" s="31" t="s">
        <v>181</v>
      </c>
      <c r="G7" s="31" t="s">
        <v>448</v>
      </c>
      <c r="H7" s="606"/>
      <c r="I7" s="606"/>
      <c r="K7" s="607"/>
      <c r="L7" s="607"/>
      <c r="M7" s="607"/>
      <c r="N7" s="607"/>
      <c r="O7" s="605"/>
      <c r="P7" s="605"/>
      <c r="Q7" s="605"/>
    </row>
    <row r="8" spans="1:20">
      <c r="A8" s="41">
        <v>1.5</v>
      </c>
      <c r="B8" s="41">
        <v>0.625</v>
      </c>
      <c r="C8" s="110">
        <v>223</v>
      </c>
      <c r="D8" s="32">
        <v>11</v>
      </c>
      <c r="E8" s="32">
        <v>38</v>
      </c>
      <c r="F8" s="32">
        <v>900.90000000000009</v>
      </c>
      <c r="G8" s="32">
        <v>41.4375</v>
      </c>
      <c r="H8" s="32"/>
      <c r="I8" s="32">
        <v>37</v>
      </c>
      <c r="J8" s="32">
        <v>943</v>
      </c>
      <c r="K8" s="60">
        <v>1.5</v>
      </c>
      <c r="L8" s="49">
        <v>0.625</v>
      </c>
      <c r="M8" s="39" t="str">
        <f>IF(AND(K8=Data!B$4,L8=Data!B$6,Data!$D$2="F"),C8,"")</f>
        <v/>
      </c>
      <c r="N8" s="31" t="str">
        <f>IF(Data!$B$25&gt;0.1,IF(OR(Data!$B$3="H",Data!$B$3="MH",Data!B$3="HM",Data!B$3="W"),IF($K8=Data!$B$4,IF($L8=Data!$B$6,D8*4*Data!B$25,""),""),""),"")</f>
        <v/>
      </c>
      <c r="O8" s="31" t="str">
        <f>IF(Data!$B$10="C",IF(OR(Data!$B$3="H",Data!$B$3="MH",Data!B$3="HM",Data!B$3="W"),IF($K8=Data!$B$4,IF($L8=Data!$B$6,E8,""),""),""),"")</f>
        <v/>
      </c>
      <c r="P8" s="31" t="str">
        <f>IF(Data!$B$16="Y",IF(OR(Data!$B$3="H",Data!$B$3="MH",Data!B$3="HM",Data!B$3="W"),IF($K8=Data!$B$4,IF($L8=Data!$B$6,F8+Data!B$8*G8,""),""),""),"")</f>
        <v/>
      </c>
      <c r="Q8" s="31" t="str">
        <f>IF(Data!$B$10="L",IF($K8=Data!$B$4,IF($L8=Data!$B$6,I8,""),""),"")</f>
        <v/>
      </c>
      <c r="R8" s="38" t="str">
        <f>IF($K8=Data!$B$4,IF($L8=Data!$B$6,J8*Data!I$58,""),"")</f>
        <v/>
      </c>
      <c r="T8" s="112"/>
    </row>
    <row r="9" spans="1:20">
      <c r="A9" s="41"/>
      <c r="B9" s="41">
        <v>1</v>
      </c>
      <c r="C9" s="110">
        <v>223</v>
      </c>
      <c r="D9" s="111">
        <v>11</v>
      </c>
      <c r="E9" s="32">
        <v>38</v>
      </c>
      <c r="F9" s="32">
        <v>900.90000000000009</v>
      </c>
      <c r="G9" s="32">
        <v>41.4375</v>
      </c>
      <c r="H9" s="32"/>
      <c r="I9" s="32">
        <v>37</v>
      </c>
      <c r="J9" s="32">
        <v>943</v>
      </c>
      <c r="K9" s="60">
        <v>1.5</v>
      </c>
      <c r="L9" s="49">
        <v>1</v>
      </c>
      <c r="M9" s="39" t="str">
        <f>IF(AND(K9=Data!B$4,L9=Data!B$6,Data!$D$2="F"),C9,"")</f>
        <v/>
      </c>
      <c r="N9" s="31" t="str">
        <f>IF(Data!$B$25&gt;0.1,IF(OR(Data!$B$3="H",Data!$B$3="MH",Data!B$3="HM",Data!B$3="W"),IF($K9=Data!$B$4,IF($L9=Data!$B$6,D9*4*Data!B$25,""),""),""),"")</f>
        <v/>
      </c>
      <c r="O9" s="31" t="str">
        <f>IF(Data!$B$10="C",IF(OR(Data!$B$3="H",Data!$B$3="MH",Data!B$3="HM",Data!B$3="W"),IF($K9=Data!$B$4,IF($L9=Data!$B$6,E9,""),""),""),"")</f>
        <v/>
      </c>
      <c r="P9" s="31" t="str">
        <f>IF(Data!$B$16="Y",IF(OR(Data!$B$3="H",Data!$B$3="MH",Data!B$3="HM",Data!B$3="W"),IF($K9=Data!$B$4,IF($L9=Data!$B$6,F9+Data!B$8*G9,""),""),""),"")</f>
        <v/>
      </c>
      <c r="Q9" s="31" t="str">
        <f>IF(Data!$B$10="L",IF($K9=Data!$B$4,IF($L9=Data!$B$6,I9,""),""),"")</f>
        <v/>
      </c>
      <c r="R9" s="38" t="str">
        <f>IF($K9=Data!$B$4,IF($L9=Data!$B$6,J9*Data!I$58,""),"")</f>
        <v/>
      </c>
      <c r="T9" s="112"/>
    </row>
    <row r="10" spans="1:20">
      <c r="A10" s="31">
        <v>2</v>
      </c>
      <c r="B10" s="41">
        <v>1</v>
      </c>
      <c r="C10" s="110">
        <v>229</v>
      </c>
      <c r="D10" s="32">
        <v>12</v>
      </c>
      <c r="E10" s="32">
        <v>49</v>
      </c>
      <c r="F10" s="32">
        <v>900.90000000000009</v>
      </c>
      <c r="G10" s="32">
        <v>41.4375</v>
      </c>
      <c r="H10" s="32"/>
      <c r="I10" s="32">
        <v>44</v>
      </c>
      <c r="J10" s="32">
        <v>992</v>
      </c>
      <c r="K10" s="60">
        <v>2</v>
      </c>
      <c r="L10" s="49">
        <v>1</v>
      </c>
      <c r="M10" s="39" t="str">
        <f>IF(AND(K10=Data!B$4,L10=Data!B$6,Data!$D$2="F"),C10,"")</f>
        <v/>
      </c>
      <c r="N10" s="31" t="str">
        <f>IF(Data!$B$25&gt;0.1,IF(OR(Data!$B$3="H",Data!$B$3="MH",Data!B$3="HM",Data!B$3="W"),IF($K10=Data!$B$4,IF($L10=Data!$B$6,D10*4*Data!B$25,""),""),""),"")</f>
        <v/>
      </c>
      <c r="O10" s="31" t="str">
        <f>IF(Data!$B$10="C",IF(OR(Data!$B$3="H",Data!$B$3="MH",Data!B$3="HM",Data!B$3="W"),IF($K10=Data!$B$4,IF($L10=Data!$B$6,E10,""),""),""),"")</f>
        <v/>
      </c>
      <c r="P10" s="31" t="str">
        <f>IF(Data!$B$16="Y",IF(OR(Data!$B$3="H",Data!$B$3="MH",Data!B$3="HM",Data!B$3="W"),IF($K10=Data!$B$4,IF($L10=Data!$B$6,F10+Data!B$8*G10,""),""),""),"")</f>
        <v/>
      </c>
      <c r="Q10" s="31" t="str">
        <f>IF(Data!$B$10="L",IF($K10=Data!$B$4,IF($L10=Data!$B$6,I10,""),""),"")</f>
        <v/>
      </c>
      <c r="R10" s="38" t="str">
        <f>IF($K10=Data!$B$4,IF($L10=Data!$B$6,J10*Data!I$58,""),"")</f>
        <v/>
      </c>
      <c r="T10" s="112"/>
    </row>
    <row r="11" spans="1:20">
      <c r="B11" s="41">
        <v>1.375</v>
      </c>
      <c r="C11" s="110">
        <v>229</v>
      </c>
      <c r="D11" s="32">
        <v>12</v>
      </c>
      <c r="E11" s="32">
        <v>49</v>
      </c>
      <c r="F11" s="32">
        <v>900.90000000000009</v>
      </c>
      <c r="G11" s="32">
        <v>41.4375</v>
      </c>
      <c r="H11" s="32"/>
      <c r="I11" s="32">
        <v>44</v>
      </c>
      <c r="J11" s="32">
        <v>992</v>
      </c>
      <c r="K11" s="60">
        <v>2</v>
      </c>
      <c r="L11" s="49">
        <v>1.375</v>
      </c>
      <c r="M11" s="39" t="str">
        <f>IF(AND(K11=Data!B$4,L11=Data!B$6,Data!$D$2="F"),C11,"")</f>
        <v/>
      </c>
      <c r="N11" s="31" t="str">
        <f>IF(Data!$B$25&gt;0.1,IF(OR(Data!$B$3="H",Data!$B$3="MH",Data!B$3="HM",Data!B$3="W"),IF($K11=Data!$B$4,IF($L11=Data!$B$6,D11*4*Data!B$25,""),""),""),"")</f>
        <v/>
      </c>
      <c r="O11" s="31" t="str">
        <f>IF(Data!$B$10="C",IF(OR(Data!$B$3="H",Data!$B$3="MH",Data!B$3="HM",Data!B$3="W"),IF($K11=Data!$B$4,IF($L11=Data!$B$6,E11,""),""),""),"")</f>
        <v/>
      </c>
      <c r="P11" s="31" t="str">
        <f>IF(Data!$B$16="Y",IF(OR(Data!$B$3="H",Data!$B$3="MH",Data!B$3="HM",Data!B$3="W"),IF($K11=Data!$B$4,IF($L11=Data!$B$6,F11+Data!B$8*G11,""),""),""),"")</f>
        <v/>
      </c>
      <c r="Q11" s="31" t="str">
        <f>IF(Data!$B$10="L",IF($K11=Data!$B$4,IF($L11=Data!$B$6,I11,""),""),"")</f>
        <v/>
      </c>
      <c r="R11" s="38" t="str">
        <f>IF($K11=Data!$B$4,IF($L11=Data!$B$6,J11*Data!I$58,""),"")</f>
        <v/>
      </c>
      <c r="T11" s="112"/>
    </row>
    <row r="12" spans="1:20">
      <c r="A12" s="41">
        <v>2.5</v>
      </c>
      <c r="B12" s="41">
        <v>1</v>
      </c>
      <c r="C12" s="32">
        <v>229</v>
      </c>
      <c r="D12" s="32">
        <v>12</v>
      </c>
      <c r="E12" s="32">
        <v>56</v>
      </c>
      <c r="F12" s="32">
        <v>940.50000000000011</v>
      </c>
      <c r="G12" s="32">
        <v>46.3125</v>
      </c>
      <c r="H12" s="32"/>
      <c r="I12" s="32">
        <v>48</v>
      </c>
      <c r="J12" s="32">
        <v>1048</v>
      </c>
      <c r="K12" s="60">
        <v>2.5</v>
      </c>
      <c r="L12" s="49">
        <v>1</v>
      </c>
      <c r="M12" s="39" t="str">
        <f>IF(AND(K12=Data!B$4,L12=Data!B$6,Data!$D$2="F"),C12,"")</f>
        <v/>
      </c>
      <c r="N12" s="31" t="str">
        <f>IF(Data!$B$25&gt;0.1,IF(OR(Data!$B$3="H",Data!$B$3="MH",Data!B$3="HM",Data!B$3="W"),IF($K12=Data!$B$4,IF($L12=Data!$B$6,D12*4*Data!B$25,""),""),""),"")</f>
        <v/>
      </c>
      <c r="O12" s="31" t="str">
        <f>IF(Data!$B$10="C",IF(OR(Data!$B$3="H",Data!$B$3="MH",Data!B$3="HM",Data!B$3="W"),IF($K12=Data!$B$4,IF($L12=Data!$B$6,E12,""),""),""),"")</f>
        <v/>
      </c>
      <c r="P12" s="31" t="str">
        <f>IF(Data!$B$16="Y",IF(OR(Data!$B$3="H",Data!$B$3="MH",Data!B$3="HM",Data!B$3="W"),IF($K12=Data!$B$4,IF($L12=Data!$B$6,F12+Data!B$8*G12,""),""),""),"")</f>
        <v/>
      </c>
      <c r="Q12" s="31" t="str">
        <f>IF(Data!$B$10="L",IF($K12=Data!$B$4,IF($L12=Data!$B$6,I12,""),""),"")</f>
        <v/>
      </c>
      <c r="R12" s="38" t="str">
        <f>IF($K12=Data!$B$4,IF($L12=Data!$B$6,J12*Data!I$58,""),"")</f>
        <v/>
      </c>
      <c r="T12" s="112"/>
    </row>
    <row r="13" spans="1:20">
      <c r="B13" s="41">
        <v>1.375</v>
      </c>
      <c r="C13" s="32">
        <v>229</v>
      </c>
      <c r="D13" s="32">
        <v>12</v>
      </c>
      <c r="E13" s="32">
        <v>56</v>
      </c>
      <c r="F13" s="32">
        <v>940.50000000000011</v>
      </c>
      <c r="G13" s="32">
        <v>46.3125</v>
      </c>
      <c r="H13" s="32"/>
      <c r="I13" s="32">
        <v>48</v>
      </c>
      <c r="J13" s="32">
        <v>1048</v>
      </c>
      <c r="K13" s="60">
        <v>2.5</v>
      </c>
      <c r="L13" s="49">
        <v>1.375</v>
      </c>
      <c r="M13" s="39" t="str">
        <f>IF(AND(K13=Data!B$4,L13=Data!B$6,Data!$D$2="F"),C13,"")</f>
        <v/>
      </c>
      <c r="N13" s="31" t="str">
        <f>IF(Data!$B$25&gt;0.1,IF(OR(Data!$B$3="H",Data!$B$3="MH",Data!B$3="HM",Data!B$3="W"),IF($K13=Data!$B$4,IF($L13=Data!$B$6,D13*4*Data!B$25,""),""),""),"")</f>
        <v/>
      </c>
      <c r="O13" s="31" t="str">
        <f>IF(Data!$B$10="C",IF(OR(Data!$B$3="H",Data!$B$3="MH",Data!B$3="HM",Data!B$3="W"),IF($K13=Data!$B$4,IF($L13=Data!$B$6,E13,""),""),""),"")</f>
        <v/>
      </c>
      <c r="P13" s="31" t="str">
        <f>IF(Data!$B$16="Y",IF(OR(Data!$B$3="H",Data!$B$3="MH",Data!B$3="HM",Data!B$3="W"),IF($K13=Data!$B$4,IF($L13=Data!$B$6,F13+Data!B$8*G13,""),""),""),"")</f>
        <v/>
      </c>
      <c r="Q13" s="31" t="str">
        <f>IF(Data!$B$10="L",IF($K13=Data!$B$4,IF($L13=Data!$B$6,I13,""),""),"")</f>
        <v/>
      </c>
      <c r="R13" s="38" t="str">
        <f>IF($K13=Data!$B$4,IF($L13=Data!$B$6,J13*Data!I$58,""),"")</f>
        <v/>
      </c>
      <c r="T13" s="112"/>
    </row>
    <row r="14" spans="1:20">
      <c r="A14" s="41"/>
      <c r="B14" s="41">
        <v>1.75</v>
      </c>
      <c r="C14" s="32">
        <v>229</v>
      </c>
      <c r="D14" s="32">
        <v>12</v>
      </c>
      <c r="E14" s="32">
        <v>56</v>
      </c>
      <c r="F14" s="32">
        <v>940.50000000000011</v>
      </c>
      <c r="G14" s="32">
        <v>46.3125</v>
      </c>
      <c r="H14" s="32"/>
      <c r="I14" s="32">
        <v>48</v>
      </c>
      <c r="J14" s="32">
        <v>1048</v>
      </c>
      <c r="K14" s="60">
        <v>2.5</v>
      </c>
      <c r="L14" s="49">
        <v>1.75</v>
      </c>
      <c r="M14" s="39" t="str">
        <f>IF(AND(K14=Data!B$4,L14=Data!B$6,Data!$D$2="F"),C14,"")</f>
        <v/>
      </c>
      <c r="N14" s="31" t="str">
        <f>IF(Data!$B$25&gt;0.1,IF(OR(Data!$B$3="H",Data!$B$3="MH",Data!B$3="HM",Data!B$3="W"),IF($K14=Data!$B$4,IF($L14=Data!$B$6,D14*4*Data!B$25,""),""),""),"")</f>
        <v/>
      </c>
      <c r="O14" s="31" t="str">
        <f>IF(Data!$B$10="C",IF(OR(Data!$B$3="H",Data!$B$3="MH",Data!B$3="HM",Data!B$3="W"),IF($K14=Data!$B$4,IF($L14=Data!$B$6,E14,""),""),""),"")</f>
        <v/>
      </c>
      <c r="P14" s="31" t="str">
        <f>IF(Data!$B$16="Y",IF(OR(Data!$B$3="H",Data!$B$3="MH",Data!B$3="HM",Data!B$3="W"),IF($K14=Data!$B$4,IF($L14=Data!$B$6,F14+Data!B$8*G14,""),""),""),"")</f>
        <v/>
      </c>
      <c r="Q14" s="31" t="str">
        <f>IF(Data!$B$10="L",IF($K14=Data!$B$4,IF($L14=Data!$B$6,I14,""),""),"")</f>
        <v/>
      </c>
      <c r="R14" s="38" t="str">
        <f>IF($K14=Data!$B$4,IF($L14=Data!$B$6,J14*Data!I$58,""),"")</f>
        <v/>
      </c>
      <c r="T14" s="112"/>
    </row>
    <row r="15" spans="1:20">
      <c r="A15" s="41">
        <v>3.25</v>
      </c>
      <c r="B15" s="41">
        <v>1.375</v>
      </c>
      <c r="C15" s="32">
        <v>229</v>
      </c>
      <c r="D15" s="32">
        <v>12</v>
      </c>
      <c r="E15" s="32">
        <v>73</v>
      </c>
      <c r="F15" s="32">
        <v>940.50000000000011</v>
      </c>
      <c r="G15" s="32">
        <v>46.3125</v>
      </c>
      <c r="H15" s="32"/>
      <c r="I15" s="32">
        <v>67</v>
      </c>
      <c r="J15" s="32">
        <v>1106</v>
      </c>
      <c r="K15" s="60">
        <v>3.25</v>
      </c>
      <c r="L15" s="49">
        <v>1.375</v>
      </c>
      <c r="M15" s="39" t="str">
        <f>IF(AND(K15=Data!B$4,L15=Data!B$6,Data!$D$2="F"),C15,"")</f>
        <v/>
      </c>
      <c r="N15" s="31" t="str">
        <f>IF(Data!$B$25&gt;0.1,IF(OR(Data!$B$3="H",Data!$B$3="MH",Data!B$3="HM",Data!B$3="W"),IF($K15=Data!$B$4,IF($L15=Data!$B$6,D15*4*Data!B$25,""),""),""),"")</f>
        <v/>
      </c>
      <c r="O15" s="31" t="str">
        <f>IF(Data!$B$10="C",IF(OR(Data!$B$3="H",Data!$B$3="MH",Data!B$3="HM",Data!B$3="W"),IF($K15=Data!$B$4,IF($L15=Data!$B$6,E15,""),""),""),"")</f>
        <v/>
      </c>
      <c r="P15" s="31" t="str">
        <f>IF(Data!$B$16="Y",IF(OR(Data!$B$3="H",Data!$B$3="MH",Data!B$3="HM",Data!B$3="W"),IF($K15=Data!$B$4,IF($L15=Data!$B$6,F15+Data!B$8*G15,""),""),""),"")</f>
        <v/>
      </c>
      <c r="Q15" s="31" t="str">
        <f>IF(Data!$B$10="L",IF($K15=Data!$B$4,IF($L15=Data!$B$6,I15,""),""),"")</f>
        <v/>
      </c>
      <c r="R15" s="38" t="str">
        <f>IF($K15=Data!$B$4,IF($L15=Data!$B$6,J15*Data!I$58,""),"")</f>
        <v/>
      </c>
      <c r="T15" s="112"/>
    </row>
    <row r="16" spans="1:20">
      <c r="B16" s="41">
        <v>1.75</v>
      </c>
      <c r="C16" s="32">
        <v>229</v>
      </c>
      <c r="D16" s="32">
        <v>12</v>
      </c>
      <c r="E16" s="32">
        <v>73</v>
      </c>
      <c r="F16" s="32">
        <v>940.50000000000011</v>
      </c>
      <c r="G16" s="32">
        <v>46.3125</v>
      </c>
      <c r="H16" s="32"/>
      <c r="I16" s="32">
        <v>67</v>
      </c>
      <c r="J16" s="32">
        <v>1106</v>
      </c>
      <c r="K16" s="60">
        <v>3.25</v>
      </c>
      <c r="L16" s="49">
        <v>1.75</v>
      </c>
      <c r="M16" s="39" t="str">
        <f>IF(AND(K16=Data!B$4,L16=Data!B$6,Data!$D$2="F"),C16,"")</f>
        <v/>
      </c>
      <c r="N16" s="31" t="str">
        <f>IF(Data!$B$25&gt;0.1,IF(OR(Data!$B$3="H",Data!$B$3="MH",Data!B$3="HM",Data!B$3="W"),IF($K16=Data!$B$4,IF($L16=Data!$B$6,D16*4*Data!B$25,""),""),""),"")</f>
        <v/>
      </c>
      <c r="O16" s="31" t="str">
        <f>IF(Data!$B$10="C",IF(OR(Data!$B$3="H",Data!$B$3="MH",Data!B$3="HM",Data!B$3="W"),IF($K16=Data!$B$4,IF($L16=Data!$B$6,E16,""),""),""),"")</f>
        <v/>
      </c>
      <c r="P16" s="31" t="str">
        <f>IF(Data!$B$16="Y",IF(OR(Data!$B$3="H",Data!$B$3="MH",Data!B$3="HM",Data!B$3="W"),IF($K16=Data!$B$4,IF($L16=Data!$B$6,F16+Data!B$8*G16,""),""),""),"")</f>
        <v/>
      </c>
      <c r="Q16" s="31" t="str">
        <f>IF(Data!$B$10="L",IF($K16=Data!$B$4,IF($L16=Data!$B$6,I16,""),""),"")</f>
        <v/>
      </c>
      <c r="R16" s="38" t="str">
        <f>IF($K16=Data!$B$4,IF($L16=Data!$B$6,J16*Data!I$58,""),"")</f>
        <v/>
      </c>
      <c r="T16" s="112"/>
    </row>
    <row r="17" spans="1:20">
      <c r="A17" s="41"/>
      <c r="B17" s="41">
        <v>2</v>
      </c>
      <c r="C17" s="32">
        <v>229</v>
      </c>
      <c r="D17" s="32">
        <v>12</v>
      </c>
      <c r="E17" s="32">
        <v>73</v>
      </c>
      <c r="F17" s="32">
        <v>940.50000000000011</v>
      </c>
      <c r="G17" s="32">
        <v>46.3125</v>
      </c>
      <c r="H17" s="32"/>
      <c r="I17" s="32">
        <v>67</v>
      </c>
      <c r="J17" s="32">
        <v>1106</v>
      </c>
      <c r="K17" s="60">
        <v>3.25</v>
      </c>
      <c r="L17" s="49">
        <v>2</v>
      </c>
      <c r="M17" s="39" t="str">
        <f>IF(AND(K17=Data!B$4,L17=Data!B$6,Data!$D$2="F"),C17,"")</f>
        <v/>
      </c>
      <c r="N17" s="31" t="str">
        <f>IF(Data!$B$25&gt;0.1,IF(OR(Data!$B$3="H",Data!$B$3="MH",Data!B$3="HM",Data!B$3="W"),IF($K17=Data!$B$4,IF($L17=Data!$B$6,D17*4*Data!B$25,""),""),""),"")</f>
        <v/>
      </c>
      <c r="O17" s="31" t="str">
        <f>IF(Data!$B$10="C",IF(OR(Data!$B$3="H",Data!$B$3="MH",Data!B$3="HM",Data!B$3="W"),IF($K17=Data!$B$4,IF($L17=Data!$B$6,E17,""),""),""),"")</f>
        <v/>
      </c>
      <c r="P17" s="31" t="str">
        <f>IF(Data!$B$16="Y",IF(OR(Data!$B$3="H",Data!$B$3="MH",Data!B$3="HM",Data!B$3="W"),IF($K17=Data!$B$4,IF($L17=Data!$B$6,F17+Data!B$8*G17,""),""),""),"")</f>
        <v/>
      </c>
      <c r="Q17" s="31" t="str">
        <f>IF(Data!$B$10="L",IF($K17=Data!$B$4,IF($L17=Data!$B$6,I17,""),""),"")</f>
        <v/>
      </c>
      <c r="R17" s="38" t="str">
        <f>IF($K17=Data!$B$4,IF($L17=Data!$B$6,J17*Data!I$58,""),"")</f>
        <v/>
      </c>
      <c r="T17" s="112"/>
    </row>
    <row r="18" spans="1:20">
      <c r="A18" s="31">
        <v>4</v>
      </c>
      <c r="B18" s="41">
        <v>1.75</v>
      </c>
      <c r="C18" s="32">
        <v>229</v>
      </c>
      <c r="D18" s="32">
        <v>12</v>
      </c>
      <c r="E18" s="32">
        <v>92</v>
      </c>
      <c r="F18" s="32">
        <v>1425.6000000000001</v>
      </c>
      <c r="G18" s="32">
        <v>56.0625</v>
      </c>
      <c r="H18" s="32"/>
      <c r="I18" s="32">
        <v>78</v>
      </c>
      <c r="J18" s="32">
        <v>1215</v>
      </c>
      <c r="K18" s="60">
        <v>4</v>
      </c>
      <c r="L18" s="49">
        <v>1.75</v>
      </c>
      <c r="M18" s="39" t="str">
        <f>IF(AND(K18=Data!B$4,L18=Data!B$6,Data!$D$2="F"),C18,"")</f>
        <v/>
      </c>
      <c r="N18" s="31" t="str">
        <f>IF(Data!$B$25&gt;0.1,IF(OR(Data!$B$3="H",Data!$B$3="MH",Data!B$3="HM",Data!B$3="W"),IF($K18=Data!$B$4,IF($L18=Data!$B$6,D18*4*Data!B$25,""),""),""),"")</f>
        <v/>
      </c>
      <c r="O18" s="31" t="str">
        <f>IF(Data!$B$10="C",IF(OR(Data!$B$3="H",Data!$B$3="MH",Data!B$3="HM",Data!B$3="W"),IF($K18=Data!$B$4,IF($L18=Data!$B$6,E18,""),""),""),"")</f>
        <v/>
      </c>
      <c r="P18" s="31" t="str">
        <f>IF(Data!$B$16="Y",IF(OR(Data!$B$3="H",Data!$B$3="MH",Data!B$3="HM",Data!B$3="W"),IF($K18=Data!$B$4,IF($L18=Data!$B$6,F18+Data!B$8*G18,""),""),""),"")</f>
        <v/>
      </c>
      <c r="Q18" s="31" t="str">
        <f>IF(Data!$B$10="L",IF($K18=Data!$B$4,IF($L18=Data!$B$6,I18,""),""),"")</f>
        <v/>
      </c>
      <c r="R18" s="38" t="str">
        <f>IF($K18=Data!$B$4,IF($L18=Data!$B$6,J18*Data!I$58,""),"")</f>
        <v/>
      </c>
      <c r="T18" s="112"/>
    </row>
    <row r="19" spans="1:20">
      <c r="B19" s="41">
        <v>2</v>
      </c>
      <c r="C19" s="32">
        <v>229</v>
      </c>
      <c r="D19" s="32">
        <v>12</v>
      </c>
      <c r="E19" s="32">
        <v>92</v>
      </c>
      <c r="F19" s="32">
        <v>1425.6000000000001</v>
      </c>
      <c r="G19" s="32">
        <v>56.0625</v>
      </c>
      <c r="H19" s="32"/>
      <c r="I19" s="32">
        <v>78</v>
      </c>
      <c r="J19" s="32">
        <v>1215</v>
      </c>
      <c r="K19" s="60">
        <v>4</v>
      </c>
      <c r="L19" s="49">
        <v>2</v>
      </c>
      <c r="M19" s="39" t="str">
        <f>IF(AND(K19=Data!B$4,L19=Data!B$6,Data!$D$2="F"),C19,"")</f>
        <v/>
      </c>
      <c r="N19" s="31" t="str">
        <f>IF(Data!$B$25&gt;0.1,IF(OR(Data!$B$3="H",Data!$B$3="MH",Data!B$3="HM",Data!B$3="W"),IF($K19=Data!$B$4,IF($L19=Data!$B$6,D19*4*Data!B$25,""),""),""),"")</f>
        <v/>
      </c>
      <c r="O19" s="31" t="str">
        <f>IF(Data!$B$10="C",IF(OR(Data!$B$3="H",Data!$B$3="MH",Data!B$3="HM",Data!B$3="W"),IF($K19=Data!$B$4,IF($L19=Data!$B$6,E19,""),""),""),"")</f>
        <v/>
      </c>
      <c r="P19" s="31" t="str">
        <f>IF(Data!$B$16="Y",IF(OR(Data!$B$3="H",Data!$B$3="MH",Data!B$3="HM",Data!B$3="W"),IF($K19=Data!$B$4,IF($L19=Data!$B$6,F19+Data!B$8*G19,""),""),""),"")</f>
        <v/>
      </c>
      <c r="Q19" s="31" t="str">
        <f>IF(Data!$B$10="L",IF($K19=Data!$B$4,IF($L19=Data!$B$6,I19,""),""),"")</f>
        <v/>
      </c>
      <c r="R19" s="38" t="str">
        <f>IF($K19=Data!$B$4,IF($L19=Data!$B$6,J19*Data!I$58,""),"")</f>
        <v/>
      </c>
      <c r="T19" s="112"/>
    </row>
    <row r="20" spans="1:20">
      <c r="B20" s="41">
        <v>2.5</v>
      </c>
      <c r="C20" s="32">
        <v>229</v>
      </c>
      <c r="D20" s="32">
        <v>12</v>
      </c>
      <c r="E20" s="32">
        <v>92</v>
      </c>
      <c r="F20" s="32">
        <v>1425.6000000000001</v>
      </c>
      <c r="G20" s="32">
        <v>56.0625</v>
      </c>
      <c r="H20" s="32"/>
      <c r="I20" s="32">
        <v>78</v>
      </c>
      <c r="J20" s="32">
        <v>1215</v>
      </c>
      <c r="K20" s="60">
        <v>4</v>
      </c>
      <c r="L20" s="49">
        <v>2.5</v>
      </c>
      <c r="M20" s="39" t="str">
        <f>IF(AND(K20=Data!B$4,L20=Data!B$6,Data!$D$2="F"),C20,"")</f>
        <v/>
      </c>
      <c r="N20" s="31" t="str">
        <f>IF(Data!$B$25&gt;0.1,IF(OR(Data!$B$3="H",Data!$B$3="MH",Data!B$3="HM",Data!B$3="W"),IF($K20=Data!$B$4,IF($L20=Data!$B$6,D20*4*Data!B$25,""),""),""),"")</f>
        <v/>
      </c>
      <c r="O20" s="31" t="str">
        <f>IF(Data!$B$10="C",IF(OR(Data!$B$3="H",Data!$B$3="MH",Data!B$3="HM",Data!B$3="W"),IF($K20=Data!$B$4,IF($L20=Data!$B$6,E20,""),""),""),"")</f>
        <v/>
      </c>
      <c r="P20" s="31" t="str">
        <f>IF(Data!$B$16="Y",IF(OR(Data!$B$3="H",Data!$B$3="MH",Data!B$3="HM",Data!B$3="W"),IF($K20=Data!$B$4,IF($L20=Data!$B$6,F20+Data!B$8*G20,""),""),""),"")</f>
        <v/>
      </c>
      <c r="Q20" s="31" t="str">
        <f>IF(Data!$B$10="L",IF($K20=Data!$B$4,IF($L20=Data!$B$6,I20,""),""),"")</f>
        <v/>
      </c>
      <c r="R20" s="38" t="str">
        <f>IF($K20=Data!$B$4,IF($L20=Data!$B$6,J20*Data!I$58,""),"")</f>
        <v/>
      </c>
      <c r="T20" s="112"/>
    </row>
    <row r="21" spans="1:20">
      <c r="A21" s="31">
        <v>5</v>
      </c>
      <c r="B21" s="41">
        <v>2</v>
      </c>
      <c r="C21" s="32">
        <v>229</v>
      </c>
      <c r="D21" s="32">
        <v>13</v>
      </c>
      <c r="E21" s="32">
        <v>110</v>
      </c>
      <c r="F21" s="32">
        <v>1485.0000000000002</v>
      </c>
      <c r="G21" s="32">
        <v>56.0625</v>
      </c>
      <c r="H21" s="32"/>
      <c r="I21" s="32">
        <v>101</v>
      </c>
      <c r="J21" s="32">
        <v>1258</v>
      </c>
      <c r="K21" s="60">
        <v>5</v>
      </c>
      <c r="L21" s="49">
        <v>2</v>
      </c>
      <c r="M21" s="39" t="str">
        <f>IF(AND(K21=Data!B$4,L21=Data!B$6,Data!$D$2="F"),C21,"")</f>
        <v/>
      </c>
      <c r="N21" s="31" t="str">
        <f>IF(Data!$B$25&gt;0.1,IF(OR(Data!$B$3="H",Data!$B$3="MH",Data!B$3="HM",Data!B$3="W"),IF($K21=Data!$B$4,IF($L21=Data!$B$6,D21*4*Data!B$25,""),""),""),"")</f>
        <v/>
      </c>
      <c r="O21" s="31" t="str">
        <f>IF(Data!$B$10="C",IF(OR(Data!$B$3="H",Data!$B$3="MH",Data!B$3="HM",Data!B$3="W"),IF($K21=Data!$B$4,IF($L21=Data!$B$6,E21,""),""),""),"")</f>
        <v/>
      </c>
      <c r="P21" s="31" t="str">
        <f>IF(Data!$B$16="Y",IF(OR(Data!$B$3="H",Data!$B$3="MH",Data!B$3="HM",Data!B$3="W"),IF($K21=Data!$B$4,IF($L21=Data!$B$6,F21+Data!B$8*G21,""),""),""),"")</f>
        <v/>
      </c>
      <c r="Q21" s="31" t="str">
        <f>IF(Data!$B$10="L",IF($K21=Data!$B$4,IF($L21=Data!$B$6,I21,""),""),"")</f>
        <v/>
      </c>
      <c r="R21" s="38">
        <f>IF($K21=Data!$B$4,IF($L21=Data!$B$6,J21*Data!I$58,""),"")</f>
        <v>0</v>
      </c>
      <c r="T21" s="112"/>
    </row>
    <row r="22" spans="1:20">
      <c r="B22" s="41">
        <v>2.5</v>
      </c>
      <c r="C22" s="32">
        <v>229</v>
      </c>
      <c r="D22" s="32">
        <v>13</v>
      </c>
      <c r="E22" s="32">
        <v>110</v>
      </c>
      <c r="F22" s="32">
        <v>1485.0000000000002</v>
      </c>
      <c r="G22" s="32">
        <v>56.0625</v>
      </c>
      <c r="H22" s="32"/>
      <c r="I22" s="32">
        <v>101</v>
      </c>
      <c r="J22" s="32">
        <v>1258</v>
      </c>
      <c r="K22" s="60">
        <v>5</v>
      </c>
      <c r="L22" s="49">
        <v>2.5</v>
      </c>
      <c r="M22" s="39" t="str">
        <f>IF(AND(K22=Data!B$4,L22=Data!B$6,Data!$D$2="F"),C22,"")</f>
        <v/>
      </c>
      <c r="N22" s="31" t="str">
        <f>IF(Data!$B$25&gt;0.1,IF(OR(Data!$B$3="H",Data!$B$3="MH",Data!B$3="HM",Data!B$3="W"),IF($K22=Data!$B$4,IF($L22=Data!$B$6,D22*4*Data!B$25,""),""),""),"")</f>
        <v/>
      </c>
      <c r="O22" s="31" t="str">
        <f>IF(Data!$B$10="C",IF(OR(Data!$B$3="H",Data!$B$3="MH",Data!B$3="HM",Data!B$3="W"),IF($K22=Data!$B$4,IF($L22=Data!$B$6,E22,""),""),""),"")</f>
        <v/>
      </c>
      <c r="P22" s="31" t="str">
        <f>IF(Data!$B$16="Y",IF(OR(Data!$B$3="H",Data!$B$3="MH",Data!B$3="HM",Data!B$3="W"),IF($K22=Data!$B$4,IF($L22=Data!$B$6,F22+Data!B$8*G22,""),""),""),"")</f>
        <v/>
      </c>
      <c r="Q22" s="31" t="str">
        <f>IF(Data!$B$10="L",IF($K22=Data!$B$4,IF($L22=Data!$B$6,I22,""),""),"")</f>
        <v/>
      </c>
      <c r="R22" s="38" t="str">
        <f>IF($K22=Data!$B$4,IF($L22=Data!$B$6,J22*Data!I$58,""),"")</f>
        <v/>
      </c>
      <c r="T22" s="112"/>
    </row>
    <row r="23" spans="1:20">
      <c r="B23" s="41">
        <v>3</v>
      </c>
      <c r="C23" s="32">
        <v>229</v>
      </c>
      <c r="D23" s="111">
        <v>13</v>
      </c>
      <c r="E23" s="32">
        <v>110</v>
      </c>
      <c r="F23" s="32">
        <v>1485.0000000000002</v>
      </c>
      <c r="G23" s="32">
        <v>56.0625</v>
      </c>
      <c r="H23" s="32"/>
      <c r="I23" s="32">
        <v>101</v>
      </c>
      <c r="J23" s="32">
        <v>1258</v>
      </c>
      <c r="K23" s="60">
        <v>5</v>
      </c>
      <c r="L23" s="49">
        <v>3</v>
      </c>
      <c r="M23" s="39" t="str">
        <f>IF(AND(K23=Data!B$4,L23=Data!B$6,Data!$D$2="F"),C23,"")</f>
        <v/>
      </c>
      <c r="N23" s="31" t="str">
        <f>IF(Data!$B$25&gt;0.1,IF(OR(Data!$B$3="H",Data!$B$3="MH",Data!B$3="HM",Data!B$3="W"),IF($K23=Data!$B$4,IF($L23=Data!$B$6,D23*4*Data!B$25,""),""),""),"")</f>
        <v/>
      </c>
      <c r="O23" s="31" t="str">
        <f>IF(Data!$B$10="C",IF(OR(Data!$B$3="H",Data!$B$3="MH",Data!B$3="HM",Data!B$3="W"),IF($K23=Data!$B$4,IF($L23=Data!$B$6,E23,""),""),""),"")</f>
        <v/>
      </c>
      <c r="P23" s="31" t="str">
        <f>IF(Data!$B$16="Y",IF(OR(Data!$B$3="H",Data!$B$3="MH",Data!B$3="HM",Data!B$3="W"),IF($K23=Data!$B$4,IF($L23=Data!$B$6,F23+Data!B$8*G23,""),""),""),"")</f>
        <v/>
      </c>
      <c r="Q23" s="31" t="str">
        <f>IF(Data!$B$10="L",IF($K23=Data!$B$4,IF($L23=Data!$B$6,I23,""),""),"")</f>
        <v/>
      </c>
      <c r="R23" s="38" t="str">
        <f>IF($K23=Data!$B$4,IF($L23=Data!$B$6,J23*Data!I$58,""),"")</f>
        <v/>
      </c>
      <c r="T23" s="112"/>
    </row>
    <row r="24" spans="1:20">
      <c r="B24" s="41">
        <v>3.5</v>
      </c>
      <c r="C24" s="32">
        <v>229</v>
      </c>
      <c r="D24" s="32">
        <v>13</v>
      </c>
      <c r="E24" s="32">
        <v>110</v>
      </c>
      <c r="F24" s="32">
        <v>1485.0000000000002</v>
      </c>
      <c r="G24" s="32">
        <v>56.0625</v>
      </c>
      <c r="H24" s="32"/>
      <c r="I24" s="32">
        <v>101</v>
      </c>
      <c r="J24" s="32">
        <v>1258</v>
      </c>
      <c r="K24" s="60">
        <v>5</v>
      </c>
      <c r="L24" s="49">
        <v>3.5</v>
      </c>
      <c r="M24" s="39" t="str">
        <f>IF(AND(K24=Data!B$4,L24=Data!B$6,Data!$D$2="F"),C24,"")</f>
        <v/>
      </c>
      <c r="N24" s="31" t="str">
        <f>IF(Data!$B$25&gt;0.1,IF(OR(Data!$B$3="H",Data!$B$3="MH",Data!B$3="HM",Data!B$3="W"),IF($K24=Data!$B$4,IF($L24=Data!$B$6,D24*4*Data!B$25,""),""),""),"")</f>
        <v/>
      </c>
      <c r="O24" s="31" t="str">
        <f>IF(Data!$B$10="C",IF(OR(Data!$B$3="H",Data!$B$3="MH",Data!B$3="HM",Data!B$3="W"),IF($K24=Data!$B$4,IF($L24=Data!$B$6,E24,""),""),""),"")</f>
        <v/>
      </c>
      <c r="P24" s="31" t="str">
        <f>IF(Data!$B$16="Y",IF(OR(Data!$B$3="H",Data!$B$3="MH",Data!B$3="HM",Data!B$3="W"),IF($K24=Data!$B$4,IF($L24=Data!$B$6,F24+Data!B$8*G24,""),""),""),"")</f>
        <v/>
      </c>
      <c r="Q24" s="31" t="str">
        <f>IF(Data!$B$10="L",IF($K24=Data!$B$4,IF($L24=Data!$B$6,I24,""),""),"")</f>
        <v/>
      </c>
      <c r="R24" s="38" t="str">
        <f>IF($K24=Data!$B$4,IF($L24=Data!$B$6,J24*Data!I$58,""),"")</f>
        <v/>
      </c>
      <c r="T24" s="112"/>
    </row>
    <row r="25" spans="1:20">
      <c r="A25" s="31">
        <v>6</v>
      </c>
      <c r="B25" s="41">
        <v>2.5</v>
      </c>
      <c r="C25" s="32">
        <v>248</v>
      </c>
      <c r="D25" s="32">
        <v>18</v>
      </c>
      <c r="E25" s="32">
        <v>123</v>
      </c>
      <c r="F25" s="32">
        <v>2989.8</v>
      </c>
      <c r="G25" s="32">
        <v>63.375</v>
      </c>
      <c r="H25" s="32"/>
      <c r="I25" s="32">
        <v>120</v>
      </c>
      <c r="J25" s="32">
        <v>1300</v>
      </c>
      <c r="K25" s="60">
        <v>6</v>
      </c>
      <c r="L25" s="49">
        <v>2.5</v>
      </c>
      <c r="M25" s="39" t="str">
        <f>IF(AND(K25=Data!B$4,L25=Data!B$6,Data!$D$2="F"),C25,"")</f>
        <v/>
      </c>
      <c r="N25" s="31" t="str">
        <f>IF(Data!$B$25&gt;0.1,IF(OR(Data!$B$3="H",Data!$B$3="MH",Data!B$3="HM",Data!B$3="W"),IF($K25=Data!$B$4,IF($L25=Data!$B$6,D25*4*Data!B$25,""),""),""),"")</f>
        <v/>
      </c>
      <c r="O25" s="31" t="str">
        <f>IF(Data!$B$10="C",IF(OR(Data!$B$3="H",Data!$B$3="MH",Data!B$3="HM",Data!B$3="W"),IF($K25=Data!$B$4,IF($L25=Data!$B$6,E25,""),""),""),"")</f>
        <v/>
      </c>
      <c r="P25" s="31" t="str">
        <f>IF(Data!$B$16="Y",IF(OR(Data!$B$3="H",Data!$B$3="MH",Data!B$3="HM",Data!B$3="W"),IF($K25=Data!$B$4,IF($L25=Data!$B$6,F25+Data!B$8*G25,""),""),""),"")</f>
        <v/>
      </c>
      <c r="Q25" s="31" t="str">
        <f>IF(Data!$B$10="L",IF($K25=Data!$B$4,IF($L25=Data!$B$6,I25,""),""),"")</f>
        <v/>
      </c>
      <c r="R25" s="38" t="str">
        <f>IF($K25=Data!$B$4,IF($L25=Data!$B$6,J25*Data!I$58,""),"")</f>
        <v/>
      </c>
      <c r="T25" s="112"/>
    </row>
    <row r="26" spans="1:20">
      <c r="B26" s="41">
        <v>3</v>
      </c>
      <c r="C26" s="32">
        <v>248</v>
      </c>
      <c r="D26" s="32">
        <v>18</v>
      </c>
      <c r="E26" s="32">
        <v>123</v>
      </c>
      <c r="F26" s="32">
        <v>2989.8</v>
      </c>
      <c r="G26" s="32">
        <v>63.375</v>
      </c>
      <c r="H26" s="32"/>
      <c r="I26" s="32">
        <v>120</v>
      </c>
      <c r="J26" s="32">
        <v>1300</v>
      </c>
      <c r="K26" s="60">
        <v>6</v>
      </c>
      <c r="L26" s="49">
        <v>3</v>
      </c>
      <c r="M26" s="39" t="str">
        <f>IF(AND(K26=Data!B$4,L26=Data!B$6,Data!$D$2="F"),C26,"")</f>
        <v/>
      </c>
      <c r="N26" s="31" t="str">
        <f>IF(Data!$B$25&gt;0.1,IF(OR(Data!$B$3="H",Data!$B$3="MH",Data!B$3="HM",Data!B$3="W"),IF($K26=Data!$B$4,IF($L26=Data!$B$6,D26*4*Data!B$25,""),""),""),"")</f>
        <v/>
      </c>
      <c r="O26" s="31" t="str">
        <f>IF(Data!$B$10="C",IF(OR(Data!$B$3="H",Data!$B$3="MH",Data!B$3="HM",Data!B$3="W"),IF($K26=Data!$B$4,IF($L26=Data!$B$6,E26,""),""),""),"")</f>
        <v/>
      </c>
      <c r="P26" s="31" t="str">
        <f>IF(Data!$B$16="Y",IF(OR(Data!$B$3="H",Data!$B$3="MH",Data!B$3="HM",Data!B$3="W"),IF($K26=Data!$B$4,IF($L26=Data!$B$6,F26+Data!B$8*G26,""),""),""),"")</f>
        <v/>
      </c>
      <c r="Q26" s="31" t="str">
        <f>IF(Data!$B$10="L",IF($K26=Data!$B$4,IF($L26=Data!$B$6,I26,""),""),"")</f>
        <v/>
      </c>
      <c r="R26" s="38" t="str">
        <f>IF($K26=Data!$B$4,IF($L26=Data!$B$6,J26*Data!I$58,""),"")</f>
        <v/>
      </c>
      <c r="T26" s="112"/>
    </row>
    <row r="27" spans="1:20">
      <c r="B27" s="41">
        <v>3.5</v>
      </c>
      <c r="C27" s="32">
        <v>248</v>
      </c>
      <c r="D27" s="32">
        <v>18</v>
      </c>
      <c r="E27" s="32">
        <v>123</v>
      </c>
      <c r="F27" s="32">
        <v>2989.8</v>
      </c>
      <c r="G27" s="32">
        <v>63.375</v>
      </c>
      <c r="H27" s="32"/>
      <c r="I27" s="32">
        <v>120</v>
      </c>
      <c r="J27" s="32">
        <v>1300</v>
      </c>
      <c r="K27" s="60">
        <v>6</v>
      </c>
      <c r="L27" s="49">
        <v>3.5</v>
      </c>
      <c r="M27" s="39" t="str">
        <f>IF(AND(K27=Data!B$4,L27=Data!B$6,Data!$D$2="F"),C27,"")</f>
        <v/>
      </c>
      <c r="N27" s="31" t="str">
        <f>IF(Data!$B$25&gt;0.1,IF(OR(Data!$B$3="H",Data!$B$3="MH",Data!B$3="HM",Data!B$3="W"),IF($K27=Data!$B$4,IF($L27=Data!$B$6,D27*4*Data!B$25,""),""),""),"")</f>
        <v/>
      </c>
      <c r="O27" s="31" t="str">
        <f>IF(Data!$B$10="C",IF(OR(Data!$B$3="H",Data!$B$3="MH",Data!B$3="HM",Data!B$3="W"),IF($K27=Data!$B$4,IF($L27=Data!$B$6,E27,""),""),""),"")</f>
        <v/>
      </c>
      <c r="P27" s="31" t="str">
        <f>IF(Data!$B$16="Y",IF(OR(Data!$B$3="H",Data!$B$3="MH",Data!B$3="HM",Data!B$3="W"),IF($K27=Data!$B$4,IF($L27=Data!$B$6,F27+Data!B$8*G27,""),""),""),"")</f>
        <v/>
      </c>
      <c r="Q27" s="31" t="str">
        <f>IF(Data!$B$10="L",IF($K27=Data!$B$4,IF($L27=Data!$B$6,I27,""),""),"")</f>
        <v/>
      </c>
      <c r="R27" s="38" t="str">
        <f>IF($K27=Data!$B$4,IF($L27=Data!$B$6,J27*Data!I$58,""),"")</f>
        <v/>
      </c>
      <c r="T27" s="112"/>
    </row>
    <row r="28" spans="1:20">
      <c r="B28" s="41">
        <v>4</v>
      </c>
      <c r="C28" s="32">
        <v>248</v>
      </c>
      <c r="D28" s="111">
        <v>18</v>
      </c>
      <c r="E28" s="32">
        <v>123</v>
      </c>
      <c r="F28" s="32">
        <v>2989.8</v>
      </c>
      <c r="G28" s="32">
        <v>63.375</v>
      </c>
      <c r="H28" s="32"/>
      <c r="I28" s="32">
        <v>120</v>
      </c>
      <c r="J28" s="32">
        <v>1300</v>
      </c>
      <c r="K28" s="60">
        <v>6</v>
      </c>
      <c r="L28" s="49">
        <v>4</v>
      </c>
      <c r="M28" s="39" t="str">
        <f>IF(AND(K28=Data!B$4,L28=Data!B$6,Data!$D$2="F"),C28,"")</f>
        <v/>
      </c>
      <c r="N28" s="31" t="str">
        <f>IF(Data!$B$25&gt;0.1,IF(OR(Data!$B$3="H",Data!$B$3="MH",Data!B$3="HM",Data!B$3="W"),IF($K28=Data!$B$4,IF($L28=Data!$B$6,D28*4*Data!B$25,""),""),""),"")</f>
        <v/>
      </c>
      <c r="O28" s="31" t="str">
        <f>IF(Data!$B$10="C",IF(OR(Data!$B$3="H",Data!$B$3="MH",Data!B$3="HM",Data!B$3="W"),IF($K28=Data!$B$4,IF($L28=Data!$B$6,E28,""),""),""),"")</f>
        <v/>
      </c>
      <c r="P28" s="31" t="str">
        <f>IF(Data!$B$16="Y",IF(OR(Data!$B$3="H",Data!$B$3="MH",Data!B$3="HM",Data!B$3="W"),IF($K28=Data!$B$4,IF($L28=Data!$B$6,F28+Data!B$8*G28,""),""),""),"")</f>
        <v/>
      </c>
      <c r="Q28" s="31" t="str">
        <f>IF(Data!$B$10="L",IF($K28=Data!$B$4,IF($L28=Data!$B$6,I28,""),""),"")</f>
        <v/>
      </c>
      <c r="R28" s="38" t="str">
        <f>IF($K28=Data!$B$4,IF($L28=Data!$B$6,J28*Data!I$58,""),"")</f>
        <v/>
      </c>
      <c r="T28" s="112"/>
    </row>
    <row r="29" spans="1:20" ht="12.75" customHeight="1">
      <c r="A29" s="31">
        <v>7</v>
      </c>
      <c r="B29" s="41">
        <v>3</v>
      </c>
      <c r="C29" s="32">
        <v>284</v>
      </c>
      <c r="D29" s="32">
        <v>19</v>
      </c>
      <c r="E29" s="32">
        <v>141</v>
      </c>
      <c r="F29" s="110">
        <v>3653.1000000000004</v>
      </c>
      <c r="G29" s="110">
        <v>78</v>
      </c>
      <c r="H29" s="32"/>
      <c r="I29" s="32">
        <v>243</v>
      </c>
      <c r="J29" s="32">
        <v>1487</v>
      </c>
      <c r="K29" s="60">
        <v>7</v>
      </c>
      <c r="L29" s="49">
        <v>3</v>
      </c>
      <c r="M29" s="39" t="str">
        <f>IF(AND(K29=Data!B$4,L29=Data!B$6,Data!$D$2="F"),C29,"")</f>
        <v/>
      </c>
      <c r="N29" s="31" t="str">
        <f>IF(Data!$B$25&gt;0.1,IF(OR(Data!$B$3="H",Data!$B$3="MH",Data!B$3="HM",Data!B$3="W"),IF($K29=Data!$B$4,IF($L29=Data!$B$6,D29*4*Data!B$25,""),""),""),"")</f>
        <v/>
      </c>
      <c r="O29" s="31" t="str">
        <f>IF(Data!$B$10="C",IF(OR(Data!$B$3="H",Data!$B$3="MH",Data!B$3="HM",Data!B$3="W"),IF($K29=Data!$B$4,IF($L29=Data!$B$6,E29,""),""),""),"")</f>
        <v/>
      </c>
      <c r="P29" s="31" t="str">
        <f>IF(Data!$B$16="Y",IF(OR(Data!$B$3="H",Data!$B$3="MH",Data!B$3="HM",Data!B$3="W"),IF($K29=Data!$B$4,IF($L29=Data!$B$6,F29+Data!B$8*G29,""),""),""),"")</f>
        <v/>
      </c>
      <c r="Q29" s="31" t="str">
        <f>IF(Data!$B$10="L",IF($K29=Data!$B$4,IF($L29=Data!$B$6,I29,""),""),"")</f>
        <v/>
      </c>
      <c r="R29" s="38" t="str">
        <f>IF($K29=Data!$B$4,IF($L29=Data!$B$6,J29*Data!I$58,""),"")</f>
        <v/>
      </c>
      <c r="T29" s="112"/>
    </row>
    <row r="30" spans="1:20">
      <c r="B30" s="41">
        <v>3.5</v>
      </c>
      <c r="C30" s="32">
        <v>284</v>
      </c>
      <c r="D30" s="32">
        <v>19</v>
      </c>
      <c r="E30" s="32">
        <v>141</v>
      </c>
      <c r="F30" s="110">
        <v>3653.1000000000004</v>
      </c>
      <c r="G30" s="110">
        <v>78</v>
      </c>
      <c r="H30" s="32"/>
      <c r="I30" s="32">
        <v>243</v>
      </c>
      <c r="J30" s="32">
        <v>1487</v>
      </c>
      <c r="K30" s="60">
        <v>7</v>
      </c>
      <c r="L30" s="49">
        <v>3.5</v>
      </c>
      <c r="M30" s="39" t="str">
        <f>IF(AND(K30=Data!B$4,L30=Data!B$6,Data!$D$2="F"),C30,"")</f>
        <v/>
      </c>
      <c r="N30" s="31" t="str">
        <f>IF(Data!$B$25&gt;0.1,IF(OR(Data!$B$3="H",Data!$B$3="MH",Data!B$3="HM",Data!B$3="W"),IF($K30=Data!$B$4,IF($L30=Data!$B$6,D30*4*Data!B$25,""),""),""),"")</f>
        <v/>
      </c>
      <c r="O30" s="31" t="str">
        <f>IF(Data!$B$10="C",IF(OR(Data!$B$3="H",Data!$B$3="MH",Data!B$3="HM",Data!B$3="W"),IF($K30=Data!$B$4,IF($L30=Data!$B$6,E30,""),""),""),"")</f>
        <v/>
      </c>
      <c r="P30" s="31" t="str">
        <f>IF(Data!$B$16="Y",IF(OR(Data!$B$3="H",Data!$B$3="MH",Data!B$3="HM",Data!B$3="W"),IF($K30=Data!$B$4,IF($L30=Data!$B$6,F30+Data!B$8*G30,""),""),""),"")</f>
        <v/>
      </c>
      <c r="Q30" s="31" t="str">
        <f>IF(Data!$B$10="L",IF($K30=Data!$B$4,IF($L30=Data!$B$6,I30,""),""),"")</f>
        <v/>
      </c>
      <c r="R30" s="38" t="str">
        <f>IF($K30=Data!$B$4,IF($L30=Data!$B$6,J30*Data!I$58,""),"")</f>
        <v/>
      </c>
      <c r="T30" s="112"/>
    </row>
    <row r="31" spans="1:20">
      <c r="B31" s="41">
        <v>4</v>
      </c>
      <c r="C31" s="32">
        <v>284</v>
      </c>
      <c r="D31" s="32">
        <v>19</v>
      </c>
      <c r="E31" s="32">
        <v>141</v>
      </c>
      <c r="F31" s="110">
        <v>3653.1000000000004</v>
      </c>
      <c r="G31" s="110">
        <v>78</v>
      </c>
      <c r="H31" s="32"/>
      <c r="I31" s="32">
        <v>243</v>
      </c>
      <c r="J31" s="32">
        <v>1487</v>
      </c>
      <c r="K31" s="60">
        <v>7</v>
      </c>
      <c r="L31" s="49">
        <v>4</v>
      </c>
      <c r="M31" s="39" t="str">
        <f>IF(AND(K31=Data!B$4,L31=Data!B$6,Data!$D$2="F"),C31,"")</f>
        <v/>
      </c>
      <c r="N31" s="31" t="str">
        <f>IF(Data!$B$25&gt;0.1,IF(OR(Data!$B$3="H",Data!$B$3="MH",Data!B$3="HM",Data!B$3="W"),IF($K31=Data!$B$4,IF($L31=Data!$B$6,D31*4*Data!B$25,""),""),""),"")</f>
        <v/>
      </c>
      <c r="O31" s="31" t="str">
        <f>IF(Data!$B$10="C",IF(OR(Data!$B$3="H",Data!$B$3="MH",Data!B$3="HM",Data!B$3="W"),IF($K31=Data!$B$4,IF($L31=Data!$B$6,E31,""),""),""),"")</f>
        <v/>
      </c>
      <c r="P31" s="31" t="str">
        <f>IF(Data!$B$16="Y",IF(OR(Data!$B$3="H",Data!$B$3="MH",Data!B$3="HM",Data!B$3="W"),IF($K31=Data!$B$4,IF($L31=Data!$B$6,F31+Data!B$8*G31,""),""),""),"")</f>
        <v/>
      </c>
      <c r="Q31" s="31" t="str">
        <f>IF(Data!$B$10="L",IF($K31=Data!$B$4,IF($L31=Data!$B$6,I31,""),""),"")</f>
        <v/>
      </c>
      <c r="R31" s="38" t="str">
        <f>IF($K31=Data!$B$4,IF($L31=Data!$B$6,J31*Data!I$58,""),"")</f>
        <v/>
      </c>
      <c r="T31" s="112"/>
    </row>
    <row r="32" spans="1:20">
      <c r="B32" s="41">
        <v>4.5</v>
      </c>
      <c r="C32" s="32">
        <v>284</v>
      </c>
      <c r="D32" s="111">
        <v>19</v>
      </c>
      <c r="E32" s="32">
        <v>141</v>
      </c>
      <c r="F32" s="110">
        <v>3653.1000000000004</v>
      </c>
      <c r="G32" s="110">
        <v>78</v>
      </c>
      <c r="H32" s="32"/>
      <c r="I32" s="32">
        <v>243</v>
      </c>
      <c r="J32" s="32">
        <v>1487</v>
      </c>
      <c r="K32" s="60">
        <v>7</v>
      </c>
      <c r="L32" s="49">
        <v>4.5</v>
      </c>
      <c r="M32" s="39" t="str">
        <f>IF(AND(K32=Data!B$4,L32=Data!B$6,Data!$D$2="F"),C32,"")</f>
        <v/>
      </c>
      <c r="N32" s="31" t="str">
        <f>IF(Data!$B$25&gt;0.1,IF(OR(Data!$B$3="H",Data!$B$3="MH",Data!B$3="HM",Data!B$3="W"),IF($K32=Data!$B$4,IF($L32=Data!$B$6,D32*4*Data!B$25,""),""),""),"")</f>
        <v/>
      </c>
      <c r="O32" s="31" t="str">
        <f>IF(Data!$B$10="C",IF(OR(Data!$B$3="H",Data!$B$3="MH",Data!B$3="HM",Data!B$3="W"),IF($K32=Data!$B$4,IF($L32=Data!$B$6,E32,""),""),""),"")</f>
        <v/>
      </c>
      <c r="P32" s="31" t="str">
        <f>IF(Data!$B$16="Y",IF(OR(Data!$B$3="H",Data!$B$3="MH",Data!B$3="HM",Data!B$3="W"),IF($K32=Data!$B$4,IF($L32=Data!$B$6,F32+Data!B$8*G32,""),""),""),"")</f>
        <v/>
      </c>
      <c r="Q32" s="31" t="str">
        <f>IF(Data!$B$10="L",IF($K32=Data!$B$4,IF($L32=Data!$B$6,I32,""),""),"")</f>
        <v/>
      </c>
      <c r="R32" s="38" t="str">
        <f>IF($K32=Data!$B$4,IF($L32=Data!$B$6,J32*Data!I$58,""),"")</f>
        <v/>
      </c>
      <c r="T32" s="112"/>
    </row>
    <row r="33" spans="1:27">
      <c r="B33" s="41">
        <v>5</v>
      </c>
      <c r="C33" s="32">
        <v>284</v>
      </c>
      <c r="D33" s="111">
        <v>19</v>
      </c>
      <c r="E33" s="32">
        <v>141</v>
      </c>
      <c r="F33" s="110">
        <v>3653.1000000000004</v>
      </c>
      <c r="G33" s="110">
        <v>78</v>
      </c>
      <c r="H33" s="32"/>
      <c r="I33" s="32">
        <v>243</v>
      </c>
      <c r="J33" s="32">
        <v>1487</v>
      </c>
      <c r="K33" s="60">
        <v>7</v>
      </c>
      <c r="L33" s="49">
        <v>5</v>
      </c>
      <c r="M33" s="39" t="str">
        <f>IF(AND(K33=Data!B$4,L33=Data!B$6,Data!$D$2="F"),C33,"")</f>
        <v/>
      </c>
      <c r="N33" s="31" t="str">
        <f>IF(Data!$B$25&gt;0.1,IF(OR(Data!$B$3="H",Data!$B$3="MH",Data!B$3="HM",Data!B$3="W"),IF($K33=Data!$B$4,IF($L33=Data!$B$6,D33*4*Data!B$25,""),""),""),"")</f>
        <v/>
      </c>
      <c r="O33" s="31" t="str">
        <f>IF(Data!$B$10="C",IF(OR(Data!$B$3="H",Data!$B$3="MH",Data!B$3="HM",Data!B$3="W"),IF($K33=Data!$B$4,IF($L33=Data!$B$6,E33,""),""),""),"")</f>
        <v/>
      </c>
      <c r="P33" s="31" t="str">
        <f>IF(Data!$B$16="Y",IF(OR(Data!$B$3="H",Data!$B$3="MH",Data!B$3="HM",Data!B$3="W"),IF($K33=Data!$B$4,IF($L33=Data!$B$6,F33+Data!B$8*G33,""),""),""),"")</f>
        <v/>
      </c>
      <c r="Q33" s="31" t="str">
        <f>IF(Data!$B$10="L",IF($K33=Data!$B$4,IF($L33=Data!$B$6,I33,""),""),"")</f>
        <v/>
      </c>
      <c r="R33" s="38" t="str">
        <f>IF($K33=Data!$B$4,IF($L33=Data!$B$6,J33*Data!I$58,""),"")</f>
        <v/>
      </c>
      <c r="T33" s="112"/>
    </row>
    <row r="34" spans="1:27">
      <c r="A34" s="31">
        <v>8</v>
      </c>
      <c r="B34" s="41">
        <v>3.5</v>
      </c>
      <c r="C34" s="32">
        <v>296</v>
      </c>
      <c r="D34" s="32">
        <v>23</v>
      </c>
      <c r="E34" s="32">
        <v>176</v>
      </c>
      <c r="F34" s="110">
        <v>5494.5</v>
      </c>
      <c r="G34" s="110">
        <v>117</v>
      </c>
      <c r="H34" s="32"/>
      <c r="I34" s="32">
        <v>277</v>
      </c>
      <c r="J34" s="32">
        <v>1641</v>
      </c>
      <c r="K34" s="60">
        <v>8</v>
      </c>
      <c r="L34" s="49">
        <v>3.5</v>
      </c>
      <c r="M34" s="39" t="str">
        <f>IF(AND(K34=Data!B$4,L34=Data!B$6,Data!$D$2="F"),C34,"")</f>
        <v/>
      </c>
      <c r="N34" s="31" t="str">
        <f>IF(Data!$B$25&gt;0.1,IF(OR(Data!$B$3="H",Data!$B$3="MH",Data!B$3="HM",Data!B$3="W"),IF($K34=Data!$B$4,IF($L34=Data!$B$6,D34*4*Data!B$25,""),""),""),"")</f>
        <v/>
      </c>
      <c r="O34" s="31" t="str">
        <f>IF(Data!$B$10="C",IF(OR(Data!$B$3="H",Data!$B$3="MH",Data!B$3="HM",Data!B$3="W"),IF($K34=Data!$B$4,IF($L34=Data!$B$6,E34,""),""),""),"")</f>
        <v/>
      </c>
      <c r="P34" s="31" t="str">
        <f>IF(Data!$B$16="Y",IF(OR(Data!$B$3="H",Data!$B$3="MH",Data!B$3="HM",Data!B$3="W"),IF($K34=Data!$B$4,IF($L34=Data!$B$6,F34+Data!B$8*G34,""),""),""),"")</f>
        <v/>
      </c>
      <c r="Q34" s="31" t="str">
        <f>IF(Data!$B$10="L",IF($K34=Data!$B$4,IF($L34=Data!$B$6,I34,""),""),"")</f>
        <v/>
      </c>
      <c r="R34" s="38" t="str">
        <f>IF($K34=Data!$B$4,IF($L34=Data!$B$6,J34*Data!I$58,""),"")</f>
        <v/>
      </c>
      <c r="T34" s="112"/>
    </row>
    <row r="35" spans="1:27">
      <c r="B35" s="41">
        <v>4</v>
      </c>
      <c r="C35" s="32">
        <v>296</v>
      </c>
      <c r="D35" s="32">
        <v>23</v>
      </c>
      <c r="E35" s="32">
        <v>176</v>
      </c>
      <c r="F35" s="110">
        <v>5494.5</v>
      </c>
      <c r="G35" s="110">
        <v>117</v>
      </c>
      <c r="H35" s="32"/>
      <c r="I35" s="32">
        <v>277</v>
      </c>
      <c r="J35" s="32">
        <v>1641</v>
      </c>
      <c r="K35" s="60">
        <v>8</v>
      </c>
      <c r="L35" s="49">
        <v>4</v>
      </c>
      <c r="M35" s="39" t="str">
        <f>IF(AND(K35=Data!B$4,L35=Data!B$6,Data!$D$2="F"),C35,"")</f>
        <v/>
      </c>
      <c r="N35" s="31" t="str">
        <f>IF(Data!$B$25&gt;0.1,IF(OR(Data!$B$3="H",Data!$B$3="MH",Data!B$3="HM",Data!B$3="W"),IF($K35=Data!$B$4,IF($L35=Data!$B$6,D35*4*Data!B$25,""),""),""),"")</f>
        <v/>
      </c>
      <c r="O35" s="31" t="str">
        <f>IF(Data!$B$10="C",IF(OR(Data!$B$3="H",Data!$B$3="MH",Data!B$3="HM",Data!B$3="W"),IF($K35=Data!$B$4,IF($L35=Data!$B$6,E35,""),""),""),"")</f>
        <v/>
      </c>
      <c r="P35" s="31" t="str">
        <f>IF(Data!$B$16="Y",IF(OR(Data!$B$3="H",Data!$B$3="MH",Data!B$3="HM",Data!B$3="W"),IF($K35=Data!$B$4,IF($L35=Data!$B$6,F35+Data!B$8*G35,""),""),""),"")</f>
        <v/>
      </c>
      <c r="Q35" s="31" t="str">
        <f>IF(Data!$B$10="L",IF($K35=Data!$B$4,IF($L35=Data!$B$6,I35,""),""),"")</f>
        <v/>
      </c>
      <c r="R35" s="38" t="str">
        <f>IF($K35=Data!$B$4,IF($L35=Data!$B$6,J35*Data!I$58,""),"")</f>
        <v/>
      </c>
      <c r="T35" s="112"/>
    </row>
    <row r="36" spans="1:27">
      <c r="B36" s="41">
        <v>4.5</v>
      </c>
      <c r="C36" s="32">
        <v>296</v>
      </c>
      <c r="D36" s="32">
        <v>23</v>
      </c>
      <c r="E36" s="32">
        <v>176</v>
      </c>
      <c r="F36" s="110">
        <v>5494.5</v>
      </c>
      <c r="G36" s="110">
        <v>117</v>
      </c>
      <c r="H36" s="32"/>
      <c r="I36" s="32">
        <v>277</v>
      </c>
      <c r="J36" s="32">
        <v>1641</v>
      </c>
      <c r="K36" s="60">
        <v>8</v>
      </c>
      <c r="L36" s="49">
        <v>4.5</v>
      </c>
      <c r="M36" s="39" t="str">
        <f>IF(AND(K36=Data!B$4,L36=Data!B$6,Data!$D$2="F"),C36,"")</f>
        <v/>
      </c>
      <c r="N36" s="31" t="str">
        <f>IF(Data!$B$25&gt;0.1,IF(OR(Data!$B$3="H",Data!$B$3="MH",Data!B$3="HM",Data!B$3="W"),IF($K36=Data!$B$4,IF($L36=Data!$B$6,D36*4*Data!B$25,""),""),""),"")</f>
        <v/>
      </c>
      <c r="O36" s="31" t="str">
        <f>IF(Data!$B$10="C",IF(OR(Data!$B$3="H",Data!$B$3="MH",Data!B$3="HM",Data!B$3="W"),IF($K36=Data!$B$4,IF($L36=Data!$B$6,E36,""),""),""),"")</f>
        <v/>
      </c>
      <c r="P36" s="31" t="str">
        <f>IF(Data!$B$16="Y",IF(OR(Data!$B$3="H",Data!$B$3="MH",Data!B$3="HM",Data!B$3="W"),IF($K36=Data!$B$4,IF($L36=Data!$B$6,F36+Data!B$8*G36,""),""),""),"")</f>
        <v/>
      </c>
      <c r="Q36" s="31" t="str">
        <f>IF(Data!$B$10="L",IF($K36=Data!$B$4,IF($L36=Data!$B$6,I36,""),""),"")</f>
        <v/>
      </c>
      <c r="R36" s="38" t="str">
        <f>IF($K36=Data!$B$4,IF($L36=Data!$B$6,J36*Data!I$58,""),"")</f>
        <v/>
      </c>
      <c r="T36" s="112"/>
    </row>
    <row r="37" spans="1:27">
      <c r="B37" s="41">
        <v>5</v>
      </c>
      <c r="C37" s="32">
        <v>296</v>
      </c>
      <c r="D37" s="32">
        <v>23</v>
      </c>
      <c r="E37" s="32">
        <v>176</v>
      </c>
      <c r="F37" s="110">
        <v>5494.5</v>
      </c>
      <c r="G37" s="110">
        <v>117</v>
      </c>
      <c r="H37" s="32"/>
      <c r="I37" s="53">
        <v>277</v>
      </c>
      <c r="J37" s="32">
        <v>1641</v>
      </c>
      <c r="K37" s="60">
        <v>8</v>
      </c>
      <c r="L37" s="49">
        <v>5</v>
      </c>
      <c r="M37" s="39" t="str">
        <f>IF(AND(K37=Data!B$4,L37=Data!B$6,Data!$D$2="F"),C37,"")</f>
        <v/>
      </c>
      <c r="N37" s="31" t="str">
        <f>IF(Data!$B$25&gt;0.1,IF(OR(Data!$B$3="H",Data!$B$3="MH",Data!B$3="HM",Data!B$3="W"),IF($K37=Data!$B$4,IF($L37=Data!$B$6,D37*4*Data!B$25,""),""),""),"")</f>
        <v/>
      </c>
      <c r="O37" s="31" t="str">
        <f>IF(Data!$B$10="C",IF(OR(Data!$B$3="H",Data!$B$3="MH",Data!B$3="HM",Data!B$3="W"),IF($K37=Data!$B$4,IF($L37=Data!$B$6,E37,""),""),""),"")</f>
        <v/>
      </c>
      <c r="P37" s="31" t="str">
        <f>IF(Data!$B$16="Y",IF(OR(Data!$B$3="H",Data!$B$3="MH",Data!B$3="HM",Data!B$3="W"),IF($K37=Data!$B$4,IF($L37=Data!$B$6,F37+Data!B$8*G37,""),""),""),"")</f>
        <v/>
      </c>
      <c r="Q37" s="31" t="str">
        <f>IF(Data!$B$10="L",IF($K37=Data!$B$4,IF($L37=Data!$B$6,I37,""),""),"")</f>
        <v/>
      </c>
      <c r="R37" s="38" t="str">
        <f>IF($K37=Data!$B$4,IF($L37=Data!$B$6,J37*Data!I$58,""),"")</f>
        <v/>
      </c>
      <c r="T37" s="112"/>
    </row>
    <row r="38" spans="1:27">
      <c r="B38" s="41">
        <v>5.5</v>
      </c>
      <c r="C38" s="32">
        <v>296</v>
      </c>
      <c r="D38" s="111">
        <v>23</v>
      </c>
      <c r="E38" s="32">
        <v>176</v>
      </c>
      <c r="F38" s="110">
        <v>5494.5</v>
      </c>
      <c r="G38" s="110">
        <v>117</v>
      </c>
      <c r="H38" s="32"/>
      <c r="I38" s="53">
        <v>277</v>
      </c>
      <c r="J38" s="32">
        <v>1641</v>
      </c>
      <c r="K38" s="60">
        <v>8</v>
      </c>
      <c r="L38" s="49">
        <v>5.5</v>
      </c>
      <c r="M38" s="39" t="str">
        <f>IF(AND(K38=Data!B$4,L38=Data!B$6,Data!$D$2="F"),C38,"")</f>
        <v/>
      </c>
      <c r="N38" s="31" t="str">
        <f>IF(Data!$B$25&gt;0.1,IF(OR(Data!$B$3="H",Data!$B$3="MH",Data!B$3="HM",Data!B$3="W"),IF($K38=Data!$B$4,IF($L38=Data!$B$6,D38*4*Data!B$25,""),""),""),"")</f>
        <v/>
      </c>
      <c r="O38" s="31" t="str">
        <f>IF(Data!$B$10="C",IF(OR(Data!$B$3="H",Data!$B$3="MH",Data!B$3="HM",Data!B$3="W"),IF($K38=Data!$B$4,IF($L38=Data!$B$6,E38,""),""),""),"")</f>
        <v/>
      </c>
      <c r="P38" s="31" t="str">
        <f>IF(Data!$B$16="Y",IF(OR(Data!$B$3="H",Data!$B$3="MH",Data!B$3="HM",Data!B$3="W"),IF($K38=Data!$B$4,IF($L38=Data!$B$6,F38+Data!B$8*G38,""),""),""),"")</f>
        <v/>
      </c>
      <c r="Q38" s="31" t="str">
        <f>IF(Data!$B$10="L",IF($K38=Data!$B$4,IF($L38=Data!$B$6,I38,""),""),"")</f>
        <v/>
      </c>
      <c r="R38" s="38" t="str">
        <f>IF($K38=Data!$B$4,IF($L38=Data!$B$6,J38*Data!I$58,""),"")</f>
        <v/>
      </c>
      <c r="T38" s="112"/>
    </row>
    <row r="39" spans="1:27">
      <c r="A39" s="44">
        <v>10</v>
      </c>
      <c r="B39" s="45">
        <v>4.5</v>
      </c>
      <c r="C39" s="32">
        <v>322</v>
      </c>
      <c r="D39" s="32">
        <v>26</v>
      </c>
      <c r="E39" s="32">
        <v>208</v>
      </c>
      <c r="F39" s="32">
        <v>6642.9000000000005</v>
      </c>
      <c r="G39" s="32">
        <v>131.625</v>
      </c>
      <c r="H39" s="32"/>
      <c r="I39" s="32">
        <v>370</v>
      </c>
      <c r="J39" s="32">
        <v>2025</v>
      </c>
      <c r="K39" s="44">
        <v>10</v>
      </c>
      <c r="L39" s="45">
        <v>4.5</v>
      </c>
      <c r="M39" s="39" t="str">
        <f>IF(AND(K39=Data!B$4,L39=Data!B$6,Data!$D$2="F"),C39,"")</f>
        <v/>
      </c>
      <c r="N39" s="31" t="str">
        <f>IF(Data!$B$25&gt;0.1,IF(OR(Data!$B$3="H",Data!$B$3="MH",Data!B$3="HM",Data!B$3="W"),IF($K39=Data!$B$4,IF($L39=Data!$B$6,D39*4*Data!B$25,""),""),""),"")</f>
        <v/>
      </c>
      <c r="O39" s="31" t="str">
        <f>IF(Data!$B$10="C",IF(OR(Data!$B$3="H",Data!$B$3="MH",Data!B$3="HM",Data!B$3="W"),IF($K39=Data!$B$4,IF($L39=Data!$B$6,E39,""),""),""),"")</f>
        <v/>
      </c>
      <c r="P39" s="31" t="str">
        <f>IF(Data!$B$16="Y",IF(OR(Data!$B$3="H",Data!$B$3="MH",Data!B$3="HM",Data!B$3="W"),IF($K39=Data!$B$4,IF($L39=Data!$B$6,F39+Data!B$8*G39,""),""),""),"")</f>
        <v/>
      </c>
      <c r="Q39" s="31" t="str">
        <f>IF(Data!$B$10="L",IF($K39=Data!$B$4,IF($L39=Data!$B$6,I39,""),""),"")</f>
        <v/>
      </c>
      <c r="R39" s="38" t="str">
        <f>IF($K39=Data!$B$4,IF($L39=Data!$B$6,J39*Data!I$58,""),"")</f>
        <v/>
      </c>
      <c r="T39" s="112"/>
    </row>
    <row r="40" spans="1:27" s="31" customFormat="1">
      <c r="A40" s="44"/>
      <c r="B40" s="45">
        <v>5</v>
      </c>
      <c r="C40" s="32">
        <v>322</v>
      </c>
      <c r="D40" s="32">
        <v>26</v>
      </c>
      <c r="E40" s="32">
        <v>208</v>
      </c>
      <c r="F40" s="32">
        <v>6642.9000000000005</v>
      </c>
      <c r="G40" s="32">
        <v>131.625</v>
      </c>
      <c r="H40" s="32"/>
      <c r="I40" s="32">
        <v>370</v>
      </c>
      <c r="J40" s="32">
        <v>2025</v>
      </c>
      <c r="K40" s="44">
        <v>10</v>
      </c>
      <c r="L40" s="45">
        <v>5</v>
      </c>
      <c r="M40" s="39" t="str">
        <f>IF(AND(K40=Data!B$4,L40=Data!B$6,Data!$D$2="F"),C40,"")</f>
        <v/>
      </c>
      <c r="N40" s="31" t="str">
        <f>IF(Data!$B$25&gt;0.1,IF(OR(Data!$B$3="H",Data!$B$3="MH",Data!B$3="HM",Data!B$3="W"),IF($K40=Data!$B$4,IF($L40=Data!$B$6,D40*4*Data!B$25,""),""),""),"")</f>
        <v/>
      </c>
      <c r="O40" s="31" t="str">
        <f>IF(Data!$B$10="C",IF(OR(Data!$B$3="H",Data!$B$3="MH",Data!B$3="HM",Data!B$3="W"),IF($K40=Data!$B$4,IF($L40=Data!$B$6,E40,""),""),""),"")</f>
        <v/>
      </c>
      <c r="P40" s="31" t="str">
        <f>IF(Data!$B$16="Y",IF(OR(Data!$B$3="H",Data!$B$3="MH",Data!B$3="HM",Data!B$3="W"),IF($K40=Data!$B$4,IF($L40=Data!$B$6,F40+Data!B$8*G40,""),""),""),"")</f>
        <v/>
      </c>
      <c r="Q40" s="31" t="str">
        <f>IF(Data!$B$10="L",IF($K40=Data!$B$4,IF($L40=Data!$B$6,I40,""),""),"")</f>
        <v/>
      </c>
      <c r="R40" s="31" t="str">
        <f>IF($K40=Data!$B$4,IF($L40=Data!$B$6,J40*Data!I$58,""),"")</f>
        <v/>
      </c>
      <c r="S40" s="38"/>
      <c r="T40" s="112"/>
      <c r="U40" s="38"/>
      <c r="V40" s="38"/>
      <c r="W40" s="38"/>
      <c r="X40" s="38"/>
      <c r="Y40" s="38"/>
      <c r="Z40" s="38"/>
      <c r="AA40" s="38"/>
    </row>
    <row r="41" spans="1:27">
      <c r="A41" s="44"/>
      <c r="B41" s="45">
        <v>5.5</v>
      </c>
      <c r="C41" s="32">
        <v>322</v>
      </c>
      <c r="D41" s="32">
        <v>26</v>
      </c>
      <c r="E41" s="32">
        <v>208</v>
      </c>
      <c r="F41" s="32">
        <v>6642.9000000000005</v>
      </c>
      <c r="G41" s="32">
        <v>131.625</v>
      </c>
      <c r="H41" s="32"/>
      <c r="I41" s="32">
        <v>370</v>
      </c>
      <c r="J41" s="32">
        <v>2025</v>
      </c>
      <c r="K41" s="44">
        <v>10</v>
      </c>
      <c r="L41" s="45">
        <v>5.5</v>
      </c>
      <c r="M41" s="39" t="str">
        <f>IF(AND(K41=Data!B$4,L41=Data!B$6,Data!$D$2="F"),C41,"")</f>
        <v/>
      </c>
      <c r="N41" s="31" t="str">
        <f>IF(Data!$B$25&gt;0.1,IF(OR(Data!$B$3="H",Data!$B$3="MH",Data!B$3="HM",Data!B$3="W"),IF($K41=Data!$B$4,IF($L41=Data!$B$6,D41*4*Data!B$25,""),""),""),"")</f>
        <v/>
      </c>
      <c r="O41" s="31" t="str">
        <f>IF(Data!$B$10="C",IF(OR(Data!$B$3="H",Data!$B$3="MH",Data!B$3="HM",Data!B$3="W"),IF($K41=Data!$B$4,IF($L41=Data!$B$6,E41,""),""),""),"")</f>
        <v/>
      </c>
      <c r="P41" s="31" t="str">
        <f>IF(Data!$B$16="Y",IF(OR(Data!$B$3="H",Data!$B$3="MH",Data!B$3="HM",Data!B$3="W"),IF($K41=Data!$B$4,IF($L41=Data!$B$6,F41+Data!B$8*G41,""),""),""),"")</f>
        <v/>
      </c>
      <c r="Q41" s="31" t="str">
        <f>IF(Data!$B$10="L",IF($K41=Data!$B$4,IF($L41=Data!$B$6,I41,""),""),"")</f>
        <v/>
      </c>
      <c r="R41" s="38" t="str">
        <f>IF($K41=Data!$B$4,IF($L41=Data!$B$6,J41*Data!I$58,""),"")</f>
        <v/>
      </c>
      <c r="T41" s="112"/>
    </row>
    <row r="42" spans="1:27">
      <c r="A42" s="44"/>
      <c r="B42" s="45">
        <v>7</v>
      </c>
      <c r="C42" s="32">
        <v>322</v>
      </c>
      <c r="D42" s="32">
        <v>26</v>
      </c>
      <c r="E42" s="32">
        <v>208</v>
      </c>
      <c r="F42" s="32">
        <v>6642.9000000000005</v>
      </c>
      <c r="G42" s="32">
        <v>131.625</v>
      </c>
      <c r="H42" s="32"/>
      <c r="I42" s="32">
        <v>370</v>
      </c>
      <c r="J42" s="32">
        <v>2025</v>
      </c>
      <c r="K42" s="44">
        <v>10</v>
      </c>
      <c r="L42" s="45">
        <v>7</v>
      </c>
      <c r="M42" s="39" t="str">
        <f>IF(AND(K42=Data!B$4,L42=Data!B$6,Data!$D$2="F"),C42,"")</f>
        <v/>
      </c>
      <c r="N42" s="31" t="str">
        <f>IF(Data!$B$25&gt;0.1,IF(OR(Data!$B$3="H",Data!$B$3="MH",Data!B$3="HM",Data!B$3="W"),IF($K42=Data!$B$4,IF($L42=Data!$B$6,D42*4*Data!B$25,""),""),""),"")</f>
        <v/>
      </c>
      <c r="O42" s="31" t="str">
        <f>IF(Data!$B$10="C",IF(OR(Data!$B$3="H",Data!$B$3="MH",Data!B$3="HM",Data!B$3="W"),IF($K42=Data!$B$4,IF($L42=Data!$B$6,E42,""),""),""),"")</f>
        <v/>
      </c>
      <c r="P42" s="31" t="str">
        <f>IF(Data!$B$16="Y",IF(OR(Data!$B$3="H",Data!$B$3="MH",Data!B$3="HM",Data!B$3="W"),IF($K42=Data!$B$4,IF($L42=Data!$B$6,F42+Data!B$8*G42,""),""),""),"")</f>
        <v/>
      </c>
      <c r="Q42" s="31" t="str">
        <f>IF(Data!$B$10="L",IF($K42=Data!$B$4,IF($L42=Data!$B$6,I42,""),""),"")</f>
        <v/>
      </c>
      <c r="R42" s="38" t="str">
        <f>IF($K42=Data!$B$4,IF($L42=Data!$B$6,J42*Data!I$58,""),"")</f>
        <v/>
      </c>
      <c r="T42" s="112"/>
    </row>
    <row r="43" spans="1:27">
      <c r="A43" s="44">
        <v>12</v>
      </c>
      <c r="B43" s="45">
        <v>5.5</v>
      </c>
      <c r="C43" s="32">
        <v>322</v>
      </c>
      <c r="D43" s="32">
        <v>37</v>
      </c>
      <c r="E43" s="32">
        <v>262</v>
      </c>
      <c r="F43" s="32">
        <v>8632.8000000000011</v>
      </c>
      <c r="G43" s="32">
        <v>168.1875</v>
      </c>
      <c r="H43" s="32"/>
      <c r="I43" s="32">
        <v>476</v>
      </c>
      <c r="J43" s="32">
        <v>2498</v>
      </c>
      <c r="K43" s="44">
        <v>12</v>
      </c>
      <c r="L43" s="45">
        <v>5.5</v>
      </c>
      <c r="M43" s="39" t="str">
        <f>IF(AND(K43=Data!B$4,L43=Data!B$6,Data!$D$2="F"),C43,"")</f>
        <v/>
      </c>
      <c r="N43" s="31" t="str">
        <f>IF(Data!$B$25&gt;0.1,IF(OR(Data!$B$3="H",Data!$B$3="MH",Data!B$3="HM",Data!B$3="W"),IF($K43=Data!$B$4,IF($L43=Data!$B$6,D43*4*Data!B$25,""),""),""),"")</f>
        <v/>
      </c>
      <c r="O43" s="31" t="str">
        <f>IF(Data!$B$10="C",IF(OR(Data!$B$3="H",Data!$B$3="MH",Data!B$3="HM",Data!B$3="W"),IF($K43=Data!$B$4,IF($L43=Data!$B$6,E43,""),""),""),"")</f>
        <v/>
      </c>
      <c r="P43" s="31" t="str">
        <f>IF(Data!$B$16="Y",IF(OR(Data!$B$3="H",Data!$B$3="MH",Data!B$3="HM",Data!B$3="W"),IF($K43=Data!$B$4,IF($L43=Data!$B$6,F43+Data!B$8*G43,""),""),""),"")</f>
        <v/>
      </c>
      <c r="Q43" s="31" t="str">
        <f>IF(Data!$B$10="L",IF($K43=Data!$B$4,IF($L43=Data!$B$6,I43,""),""),"")</f>
        <v/>
      </c>
      <c r="R43" s="38" t="str">
        <f>IF($K43=Data!$B$4,IF($L43=Data!$B$6,J43*Data!I$58,""),"")</f>
        <v/>
      </c>
      <c r="T43" s="112"/>
    </row>
    <row r="44" spans="1:27">
      <c r="A44" s="44"/>
      <c r="B44" s="45">
        <v>7</v>
      </c>
      <c r="C44" s="32">
        <v>322</v>
      </c>
      <c r="D44" s="32">
        <v>37</v>
      </c>
      <c r="E44" s="32">
        <v>262</v>
      </c>
      <c r="F44" s="32">
        <v>8632.8000000000011</v>
      </c>
      <c r="G44" s="32">
        <v>168.1875</v>
      </c>
      <c r="H44" s="32"/>
      <c r="I44" s="32">
        <v>476</v>
      </c>
      <c r="J44" s="32">
        <v>2498</v>
      </c>
      <c r="K44" s="44">
        <v>12</v>
      </c>
      <c r="L44" s="45">
        <v>7</v>
      </c>
      <c r="M44" s="39" t="str">
        <f>IF(AND(K44=Data!B$4,L44=Data!B$6,Data!$D$2="F"),C44,"")</f>
        <v/>
      </c>
      <c r="N44" s="31" t="str">
        <f>IF(Data!$B$25&gt;0.1,IF(OR(Data!$B$3="H",Data!$B$3="MH",Data!B$3="HM",Data!B$3="W"),IF($K44=Data!$B$4,IF($L44=Data!$B$6,D44*4*Data!B$25,""),""),""),"")</f>
        <v/>
      </c>
      <c r="O44" s="31" t="str">
        <f>IF(Data!$B$10="C",IF(OR(Data!$B$3="H",Data!$B$3="MH",Data!B$3="HM",Data!B$3="W"),IF($K44=Data!$B$4,IF($L44=Data!$B$6,E44,""),""),""),"")</f>
        <v/>
      </c>
      <c r="P44" s="31" t="str">
        <f>IF(Data!$B$16="Y",IF(OR(Data!$B$3="H",Data!$B$3="MH",Data!B$3="HM",Data!B$3="W"),IF($K44=Data!$B$4,IF($L44=Data!$B$6,F44+Data!B$8*G44,""),""),""),"")</f>
        <v/>
      </c>
      <c r="Q44" s="31" t="str">
        <f>IF(Data!$B$10="L",IF($K44=Data!$B$4,IF($L44=Data!$B$6,I44,""),""),"")</f>
        <v/>
      </c>
      <c r="R44" s="38" t="str">
        <f>IF($K44=Data!$B$4,IF($L44=Data!$B$6,J44*Data!I$58,""),"")</f>
        <v/>
      </c>
      <c r="T44" s="112"/>
    </row>
    <row r="45" spans="1:27">
      <c r="A45" s="44"/>
      <c r="B45" s="45">
        <v>8</v>
      </c>
      <c r="C45" s="32">
        <v>322</v>
      </c>
      <c r="D45" s="32">
        <v>37</v>
      </c>
      <c r="E45" s="32">
        <v>262</v>
      </c>
      <c r="F45" s="32">
        <v>8632.8000000000011</v>
      </c>
      <c r="G45" s="32">
        <v>168.1875</v>
      </c>
      <c r="H45" s="32"/>
      <c r="I45" s="32">
        <v>476</v>
      </c>
      <c r="J45" s="32">
        <v>2498</v>
      </c>
      <c r="K45" s="44">
        <v>12</v>
      </c>
      <c r="L45" s="45">
        <v>8</v>
      </c>
      <c r="M45" s="39" t="str">
        <f>IF(AND(K45=Data!B$4,L45=Data!B$6,Data!$D$2="F"),C45,"")</f>
        <v/>
      </c>
      <c r="N45" s="31" t="str">
        <f>IF(Data!$B$25&gt;0.1,IF(OR(Data!$B$3="H",Data!$B$3="MH",Data!B$3="HM",Data!B$3="W"),IF($K45=Data!$B$4,IF($L45=Data!$B$6,D45*4*Data!B$25,""),""),""),"")</f>
        <v/>
      </c>
      <c r="O45" s="31" t="str">
        <f>IF(Data!$B$10="C",IF(OR(Data!$B$3="H",Data!$B$3="MH",Data!B$3="HM",Data!B$3="W"),IF($K45=Data!$B$4,IF($L45=Data!$B$6,E45,""),""),""),"")</f>
        <v/>
      </c>
      <c r="P45" s="31" t="str">
        <f>IF(Data!$B$16="Y",IF(OR(Data!$B$3="H",Data!$B$3="MH",Data!B$3="HM",Data!B$3="W"),IF($K45=Data!$B$4,IF($L45=Data!$B$6,F45+Data!B$8*G45,""),""),""),"")</f>
        <v/>
      </c>
      <c r="Q45" s="31" t="str">
        <f>IF(Data!$B$10="L",IF($K45=Data!$B$4,IF($L45=Data!$B$6,I45,""),""),"")</f>
        <v/>
      </c>
      <c r="R45" s="38" t="str">
        <f>IF($K45=Data!$B$4,IF($L45=Data!$B$6,J45*Data!I$58,""),"")</f>
        <v/>
      </c>
      <c r="T45" s="112"/>
    </row>
    <row r="46" spans="1:27">
      <c r="A46" s="44">
        <v>14</v>
      </c>
      <c r="B46" s="45">
        <v>8</v>
      </c>
      <c r="C46" s="32">
        <v>322</v>
      </c>
      <c r="D46" s="32">
        <v>49</v>
      </c>
      <c r="E46" s="32">
        <v>450</v>
      </c>
      <c r="F46" s="32">
        <v>11167.2</v>
      </c>
      <c r="G46" s="32">
        <v>216.9375</v>
      </c>
      <c r="H46" s="32"/>
      <c r="I46" s="32">
        <v>540</v>
      </c>
      <c r="J46" s="32">
        <v>3081</v>
      </c>
      <c r="K46" s="44">
        <v>14</v>
      </c>
      <c r="L46" s="45">
        <v>8</v>
      </c>
      <c r="M46" s="39" t="str">
        <f>IF(AND(K46=Data!B$4,L46=Data!B$6,Data!$D$2="F"),C46,"")</f>
        <v/>
      </c>
      <c r="N46" s="31" t="str">
        <f>IF(Data!$B$25&gt;0.1,IF(OR(Data!$B$3="H",Data!$B$3="MH",Data!B$3="HM",Data!B$3="W"),IF($K46=Data!$B$4,IF($L46=Data!$B$6,D46*4*Data!B$25,""),""),""),"")</f>
        <v/>
      </c>
      <c r="O46" s="31" t="str">
        <f>IF(Data!$B$10="C",IF(OR(Data!$B$3="H",Data!$B$3="MH",Data!B$3="HM",Data!B$3="W"),IF($K46=Data!$B$4,IF($L46=Data!$B$6,E46,""),""),""),"")</f>
        <v/>
      </c>
      <c r="P46" s="31" t="str">
        <f>IF(Data!$B$16="Y",IF(OR(Data!$B$3="H",Data!$B$3="MH",Data!B$3="HM",Data!B$3="W"),IF($K46=Data!$B$4,IF($L46=Data!$B$6,F46+Data!B$8*G46,""),""),""),"")</f>
        <v/>
      </c>
      <c r="Q46" s="31" t="str">
        <f>IF(Data!$B$10="L",IF($K46=Data!$B$4,IF($L46=Data!$B$6,I46,""),""),"")</f>
        <v/>
      </c>
      <c r="R46" s="38" t="str">
        <f>IF($K46=Data!$B$4,IF($L46=Data!$B$6,J46*Data!I$58,""),"")</f>
        <v/>
      </c>
      <c r="T46" s="112"/>
    </row>
    <row r="47" spans="1:27">
      <c r="A47" s="44"/>
      <c r="B47" s="45">
        <v>10</v>
      </c>
      <c r="C47" s="32">
        <v>322</v>
      </c>
      <c r="D47" s="32">
        <v>49</v>
      </c>
      <c r="E47" s="32">
        <v>450</v>
      </c>
      <c r="F47" s="32">
        <v>11167.2</v>
      </c>
      <c r="G47" s="32">
        <v>216.9375</v>
      </c>
      <c r="H47" s="32"/>
      <c r="I47" s="32">
        <v>540</v>
      </c>
      <c r="J47" s="32">
        <v>3081</v>
      </c>
      <c r="K47" s="44">
        <v>14</v>
      </c>
      <c r="L47" s="45">
        <v>10</v>
      </c>
      <c r="M47" s="39" t="str">
        <f>IF(AND(K47=Data!B$4,L47=Data!B$6,Data!$D$2="F"),C47,"")</f>
        <v/>
      </c>
      <c r="N47" s="31" t="str">
        <f>IF(Data!$B$25&gt;0.1,IF(OR(Data!$B$3="H",Data!$B$3="MH",Data!B$3="HM",Data!B$3="W"),IF($K47=Data!$B$4,IF($L47=Data!$B$6,D47*4*Data!B$25,""),""),""),"")</f>
        <v/>
      </c>
      <c r="O47" s="31" t="str">
        <f>IF(Data!$B$10="C",IF(OR(Data!$B$3="H",Data!$B$3="MH",Data!B$3="HM",Data!B$3="W"),IF($K47=Data!$B$4,IF($L47=Data!$B$6,E47,""),""),""),"")</f>
        <v/>
      </c>
      <c r="P47" s="31" t="str">
        <f>IF(Data!$B$16="Y",IF(OR(Data!$B$3="H",Data!$B$3="MH",Data!B$3="HM",Data!B$3="W"),IF($K47=Data!$B$4,IF($L47=Data!$B$6,F47+Data!B$8*G47,""),""),""),"")</f>
        <v/>
      </c>
      <c r="Q47" s="31" t="str">
        <f>IF(Data!$B$10="L",IF($K47=Data!$B$4,IF($L47=Data!$B$6,I47,""),""),"")</f>
        <v/>
      </c>
      <c r="R47" s="38" t="str">
        <f>IF($K47=Data!$B$4,IF($L47=Data!$B$6,J47*Data!I$58,""),"")</f>
        <v/>
      </c>
      <c r="T47" s="112"/>
    </row>
    <row r="48" spans="1:27">
      <c r="A48" s="44">
        <v>16</v>
      </c>
      <c r="B48" s="45">
        <v>8</v>
      </c>
      <c r="C48" s="32">
        <v>322</v>
      </c>
      <c r="D48" s="32">
        <v>61</v>
      </c>
      <c r="E48" s="32">
        <v>582</v>
      </c>
      <c r="F48" s="32">
        <v>14513.400000000001</v>
      </c>
      <c r="G48" s="32">
        <v>270.5625</v>
      </c>
      <c r="H48" s="32"/>
      <c r="I48" s="32">
        <v>737</v>
      </c>
      <c r="J48" s="32">
        <v>3803</v>
      </c>
      <c r="K48" s="44">
        <v>16</v>
      </c>
      <c r="L48" s="45">
        <v>8</v>
      </c>
      <c r="M48" s="39" t="str">
        <f>IF(AND(K48=Data!B$4,L48=Data!B$6,Data!$D$2="F"),C48,"")</f>
        <v/>
      </c>
      <c r="N48" s="31" t="str">
        <f>IF(Data!$B$25&gt;0.1,IF(OR(Data!$B$3="H",Data!$B$3="MH",Data!B$3="HM",Data!B$3="W"),IF($K48=Data!$B$4,IF($L48=Data!$B$6,D48*4*Data!B$25,""),""),""),"")</f>
        <v/>
      </c>
      <c r="O48" s="31" t="str">
        <f>IF(Data!$B$10="C",IF(OR(Data!$B$3="H",Data!$B$3="MH",Data!B$3="HM",Data!B$3="W"),IF($K48=Data!$B$4,IF($L48=Data!$B$6,E48,""),""),""),"")</f>
        <v/>
      </c>
      <c r="P48" s="31" t="str">
        <f>IF(Data!$B$16="Y",IF(OR(Data!$B$3="H",Data!$B$3="MH",Data!B$3="HM",Data!B$3="W"),IF($K48=Data!$B$4,IF($L48=Data!$B$6,F48+Data!B$8*G48,""),""),""),"")</f>
        <v/>
      </c>
      <c r="Q48" s="31" t="str">
        <f>IF(Data!$B$10="L",IF($K48=Data!$B$4,IF($L48=Data!$B$6,I48,""),""),"")</f>
        <v/>
      </c>
      <c r="R48" s="38" t="str">
        <f>IF($K48=Data!$B$4,IF($L48=Data!$B$6,J48*Data!I$58,""),"")</f>
        <v/>
      </c>
      <c r="T48" s="112"/>
    </row>
    <row r="49" spans="1:20">
      <c r="A49" s="44"/>
      <c r="B49" s="45">
        <v>10</v>
      </c>
      <c r="C49" s="32">
        <v>322</v>
      </c>
      <c r="D49" s="32">
        <v>61</v>
      </c>
      <c r="E49" s="32">
        <v>582</v>
      </c>
      <c r="F49" s="32">
        <v>14513.400000000001</v>
      </c>
      <c r="G49" s="32">
        <v>270.5625</v>
      </c>
      <c r="H49" s="32"/>
      <c r="I49" s="32">
        <v>737</v>
      </c>
      <c r="J49" s="32">
        <v>3803</v>
      </c>
      <c r="K49" s="44">
        <v>16</v>
      </c>
      <c r="L49" s="45">
        <v>10</v>
      </c>
      <c r="M49" s="39" t="str">
        <f>IF(AND(K49=Data!B$4,L49=Data!B$6,Data!$D$2="F"),C49,"")</f>
        <v/>
      </c>
      <c r="N49" s="31" t="str">
        <f>IF(Data!$B$25&gt;0.1,IF(OR(Data!$B$3="H",Data!$B$3="MH",Data!B$3="HM",Data!B$3="W"),IF($K49=Data!$B$4,IF($L49=Data!$B$6,D49*4*Data!B$25,""),""),""),"")</f>
        <v/>
      </c>
      <c r="O49" s="31" t="str">
        <f>IF(Data!$B$10="C",IF(OR(Data!$B$3="H",Data!$B$3="MH",Data!B$3="HM",Data!B$3="W"),IF($K49=Data!$B$4,IF($L49=Data!$B$6,E49,""),""),""),"")</f>
        <v/>
      </c>
      <c r="P49" s="31" t="str">
        <f>IF(Data!$B$16="Y",IF(OR(Data!$B$3="H",Data!$B$3="MH",Data!B$3="HM",Data!B$3="W"),IF($K49=Data!$B$4,IF($L49=Data!$B$6,F49+Data!B$8*G49,""),""),""),"")</f>
        <v/>
      </c>
      <c r="Q49" s="31" t="str">
        <f>IF(Data!$B$10="L",IF($K49=Data!$B$4,IF($L49=Data!$B$6,I49,""),""),"")</f>
        <v/>
      </c>
      <c r="R49" s="38" t="str">
        <f>IF($K49=Data!$B$4,IF($L49=Data!$B$6,J49*Data!I$58,""),"")</f>
        <v/>
      </c>
      <c r="T49" s="112"/>
    </row>
    <row r="50" spans="1:20">
      <c r="A50" s="44">
        <v>18</v>
      </c>
      <c r="B50" s="45">
        <v>8</v>
      </c>
      <c r="C50" s="32">
        <v>322</v>
      </c>
      <c r="D50" s="32">
        <v>78</v>
      </c>
      <c r="E50" s="32">
        <v>752</v>
      </c>
      <c r="F50" s="32">
        <v>18839.7</v>
      </c>
      <c r="G50" s="32">
        <v>348.5625</v>
      </c>
      <c r="H50" s="32"/>
      <c r="I50" s="32">
        <v>977</v>
      </c>
      <c r="J50" s="32">
        <v>4691</v>
      </c>
      <c r="K50" s="44">
        <v>18</v>
      </c>
      <c r="L50" s="45">
        <v>8</v>
      </c>
      <c r="M50" s="39" t="str">
        <f>IF(AND(K50=Data!B$4,L50=Data!B$6,Data!$D$2="F"),C50,"")</f>
        <v/>
      </c>
      <c r="N50" s="31" t="str">
        <f>IF(Data!$B$25&gt;0.1,IF(OR(Data!$B$3="H",Data!$B$3="MH",Data!B$3="HM",Data!B$3="W"),IF($K50=Data!$B$4,IF($L50=Data!$B$6,D50*4*Data!B$25,""),""),""),"")</f>
        <v/>
      </c>
      <c r="O50" s="31" t="str">
        <f>IF(Data!$B$10="C",IF(OR(Data!$B$3="H",Data!$B$3="MH",Data!B$3="HM",Data!B$3="W"),IF($K50=Data!$B$4,IF($L50=Data!$B$6,E50,""),""),""),"")</f>
        <v/>
      </c>
      <c r="P50" s="31" t="str">
        <f>IF(Data!$B$16="Y",IF(OR(Data!$B$3="H",Data!$B$3="MH",Data!B$3="HM",Data!B$3="W"),IF($K50=Data!$B$4,IF($L50=Data!$B$6,F50+Data!B$8*G50,""),""),""),"")</f>
        <v/>
      </c>
      <c r="Q50" s="31" t="str">
        <f>IF(Data!$B$10="L",IF($K50=Data!$B$4,IF($L50=Data!$B$6,I50,""),""),"")</f>
        <v/>
      </c>
      <c r="R50" s="38" t="str">
        <f>IF($K50=Data!$B$4,IF($L50=Data!$B$6,J50*Data!I$58,""),"")</f>
        <v/>
      </c>
      <c r="T50" s="112"/>
    </row>
    <row r="51" spans="1:20">
      <c r="A51" s="44"/>
      <c r="B51" s="45">
        <v>10</v>
      </c>
      <c r="C51" s="32">
        <v>322</v>
      </c>
      <c r="D51" s="32">
        <v>78</v>
      </c>
      <c r="E51" s="32">
        <v>752</v>
      </c>
      <c r="F51" s="32">
        <v>18839.7</v>
      </c>
      <c r="G51" s="32">
        <v>348.5625</v>
      </c>
      <c r="H51" s="32"/>
      <c r="I51" s="32">
        <v>977</v>
      </c>
      <c r="J51" s="32">
        <v>4691</v>
      </c>
      <c r="K51" s="44">
        <v>18</v>
      </c>
      <c r="L51" s="45">
        <v>10</v>
      </c>
      <c r="M51" s="39" t="str">
        <f>IF(AND(K51=Data!B$4,L51=Data!B$6,Data!$D$2="F"),C51,"")</f>
        <v/>
      </c>
      <c r="N51" s="31" t="str">
        <f>IF(Data!$B$25&gt;0.1,IF(OR(Data!$B$3="H",Data!$B$3="MH",Data!B$3="HM",Data!B$3="W"),IF($K51=Data!$B$4,IF($L51=Data!$B$6,D51*4*Data!B$25,""),""),""),"")</f>
        <v/>
      </c>
      <c r="O51" s="31" t="str">
        <f>IF(Data!$B$10="C",IF(OR(Data!$B$3="H",Data!$B$3="MH",Data!B$3="HM",Data!B$3="W"),IF($K51=Data!$B$4,IF($L51=Data!$B$6,E51,""),""),""),"")</f>
        <v/>
      </c>
      <c r="P51" s="31" t="str">
        <f>IF(Data!$B$16="Y",IF(OR(Data!$B$3="H",Data!$B$3="MH",Data!B$3="HM",Data!B$3="W"),IF($K51=Data!$B$4,IF($L51=Data!$B$6,F51+Data!B$8*G51,""),""),""),"")</f>
        <v/>
      </c>
      <c r="Q51" s="31" t="str">
        <f>IF(Data!$B$10="L",IF($K51=Data!$B$4,IF($L51=Data!$B$6,I51,""),""),"")</f>
        <v/>
      </c>
      <c r="R51" s="38" t="str">
        <f>IF($K51=Data!$B$4,IF($L51=Data!$B$6,J51*Data!I$58,""),"")</f>
        <v/>
      </c>
      <c r="T51" s="112"/>
    </row>
    <row r="52" spans="1:20">
      <c r="A52" s="44">
        <v>20</v>
      </c>
      <c r="B52" s="45">
        <v>10</v>
      </c>
      <c r="C52" s="32">
        <v>322</v>
      </c>
      <c r="D52" s="32">
        <v>98</v>
      </c>
      <c r="E52" s="32">
        <v>977</v>
      </c>
      <c r="F52" s="32">
        <v>24482.7</v>
      </c>
      <c r="G52" s="32">
        <v>443.625</v>
      </c>
      <c r="H52" s="32"/>
      <c r="I52" s="32">
        <v>1305</v>
      </c>
      <c r="J52" s="32">
        <v>5788</v>
      </c>
      <c r="K52" s="44">
        <v>20</v>
      </c>
      <c r="L52" s="45">
        <v>10</v>
      </c>
      <c r="M52" s="39" t="str">
        <f>IF(AND(K52=Data!B$4,L52=Data!B$6,Data!$D$2="F"),C52,"")</f>
        <v/>
      </c>
      <c r="N52" s="31" t="str">
        <f>IF(Data!$B$25&gt;0.1,IF(OR(Data!$B$3="H",Data!$B$3="MH",Data!B$3="HM",Data!B$3="W"),IF($K52=Data!$B$4,IF($L52=Data!$B$6,D52*4*Data!B$25,""),""),""),"")</f>
        <v/>
      </c>
      <c r="O52" s="31" t="str">
        <f>IF(Data!$B$10="C",IF(OR(Data!$B$3="H",Data!$B$3="MH",Data!B$3="HM",Data!B$3="W"),IF($K52=Data!$B$4,IF($L52=Data!$B$6,E52,""),""),""),"")</f>
        <v/>
      </c>
      <c r="P52" s="31" t="str">
        <f>IF(Data!$B$16="Y",IF(OR(Data!$B$3="H",Data!$B$3="MH",Data!B$3="HM",Data!B$3="W"),IF($K52=Data!$B$4,IF($L52=Data!$B$6,F52+Data!B$8*G52,""),""),""),"")</f>
        <v/>
      </c>
      <c r="Q52" s="31" t="str">
        <f>IF(Data!$B$10="L",IF($K52=Data!$B$4,IF($L52=Data!$B$6,I52,""),""),"")</f>
        <v/>
      </c>
      <c r="R52" s="38" t="str">
        <f>IF($K52=Data!$B$4,IF($L52=Data!$B$6,J52*Data!I$58,""),"")</f>
        <v/>
      </c>
      <c r="T52" s="112"/>
    </row>
    <row r="53" spans="1:20">
      <c r="H53" s="32"/>
      <c r="K53" s="31"/>
      <c r="L53" s="41"/>
      <c r="M53" s="32">
        <f>SUM(M8:M52)</f>
        <v>0</v>
      </c>
      <c r="N53" s="32">
        <f>SUM(N8:N52)</f>
        <v>0</v>
      </c>
      <c r="O53" s="32">
        <f>SUM(O8:O52)</f>
        <v>0</v>
      </c>
      <c r="P53" s="32">
        <f>SUM(P8:P52)</f>
        <v>0</v>
      </c>
      <c r="Q53" s="32">
        <f>SUM(Q8:Q52)</f>
        <v>0</v>
      </c>
      <c r="R53" s="112">
        <f>SUM(M53:Q53)+R54</f>
        <v>0</v>
      </c>
      <c r="T53" s="112"/>
    </row>
    <row r="54" spans="1:20">
      <c r="K54" s="31"/>
      <c r="L54" s="41"/>
      <c r="M54" s="31"/>
      <c r="N54" s="31"/>
      <c r="O54" s="31"/>
      <c r="P54" s="31"/>
      <c r="Q54" s="31"/>
      <c r="R54" s="38">
        <f>SUM(R8:R52)</f>
        <v>0</v>
      </c>
    </row>
    <row r="55" spans="1:20">
      <c r="K55" s="31"/>
      <c r="L55" s="41"/>
      <c r="M55" s="31"/>
      <c r="N55" s="31"/>
      <c r="O55" s="31"/>
      <c r="P55" s="31"/>
      <c r="Q55" s="31"/>
    </row>
    <row r="56" spans="1:20">
      <c r="K56" s="31"/>
      <c r="L56" s="41"/>
      <c r="M56" s="31"/>
      <c r="N56" s="31"/>
      <c r="O56" s="31"/>
      <c r="P56" s="31"/>
      <c r="Q56" s="31"/>
    </row>
    <row r="57" spans="1:20">
      <c r="K57" s="31"/>
      <c r="L57" s="41"/>
      <c r="M57" s="31"/>
      <c r="N57" s="31"/>
      <c r="O57" s="31"/>
      <c r="P57" s="31"/>
      <c r="Q57" s="31"/>
    </row>
    <row r="58" spans="1:20">
      <c r="K58" s="31"/>
      <c r="L58" s="41"/>
      <c r="M58" s="31"/>
      <c r="N58" s="31"/>
      <c r="O58" s="31"/>
      <c r="P58" s="31"/>
      <c r="Q58" s="31"/>
    </row>
    <row r="59" spans="1:20">
      <c r="K59" s="31"/>
      <c r="L59" s="41"/>
      <c r="M59" s="31"/>
      <c r="N59" s="31"/>
      <c r="O59" s="31"/>
      <c r="P59" s="31"/>
      <c r="Q59" s="31"/>
    </row>
    <row r="68" ht="13.5" customHeight="1"/>
    <row r="69" ht="13.5" customHeight="1"/>
    <row r="70" ht="13.5" customHeight="1"/>
    <row r="71" ht="13.5" customHeight="1"/>
    <row r="72" ht="13.5" customHeight="1"/>
    <row r="73" ht="12.75" customHeight="1"/>
    <row r="74" ht="13.5" customHeight="1"/>
    <row r="75" ht="13.5" customHeight="1"/>
    <row r="76" ht="12.75" customHeight="1"/>
    <row r="77" ht="13.5" customHeight="1"/>
    <row r="78" ht="13.5" customHeight="1"/>
    <row r="79" ht="12.75" customHeight="1"/>
    <row r="80" ht="13.5" customHeight="1"/>
    <row r="81" ht="13.5" customHeight="1"/>
    <row r="82" ht="12.75" customHeight="1"/>
    <row r="83" ht="12.75" customHeight="1"/>
    <row r="84" ht="13.5" customHeight="1"/>
    <row r="85" ht="13.5" customHeight="1"/>
    <row r="86" ht="12.75" customHeight="1"/>
    <row r="87" ht="12.75" customHeight="1"/>
    <row r="88" ht="13.5" customHeight="1"/>
    <row r="89" ht="13.5" customHeight="1"/>
    <row r="90" ht="12.75" customHeight="1"/>
    <row r="91" ht="12.75" customHeight="1"/>
    <row r="92" ht="12.75" customHeight="1"/>
    <row r="93" ht="13.5" customHeight="1"/>
    <row r="94" ht="13.5" customHeight="1"/>
    <row r="95" ht="12.75" customHeight="1"/>
    <row r="96" ht="12.75" customHeight="1"/>
    <row r="97" ht="12.75" customHeight="1"/>
    <row r="98" ht="13.5" customHeight="1"/>
    <row r="99" ht="13.5" customHeight="1"/>
    <row r="100" ht="12.75" customHeight="1"/>
    <row r="101" ht="12.75" customHeight="1"/>
    <row r="102" ht="13.5" customHeight="1"/>
    <row r="103" ht="13.5" customHeight="1"/>
    <row r="104" ht="12.7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</sheetData>
  <mergeCells count="19">
    <mergeCell ref="K1:Q1"/>
    <mergeCell ref="K2:Q2"/>
    <mergeCell ref="K4:K7"/>
    <mergeCell ref="L4:L7"/>
    <mergeCell ref="M4:M7"/>
    <mergeCell ref="N4:N7"/>
    <mergeCell ref="P4:P7"/>
    <mergeCell ref="O4:O7"/>
    <mergeCell ref="Q4:Q7"/>
    <mergeCell ref="F4:G6"/>
    <mergeCell ref="A1:I1"/>
    <mergeCell ref="A2:I2"/>
    <mergeCell ref="D4:D7"/>
    <mergeCell ref="A4:A7"/>
    <mergeCell ref="B4:B7"/>
    <mergeCell ref="C4:C7"/>
    <mergeCell ref="E4:E7"/>
    <mergeCell ref="H4:H7"/>
    <mergeCell ref="I4:I7"/>
  </mergeCells>
  <phoneticPr fontId="0" type="noConversion"/>
  <printOptions horizontalCentered="1" verticalCentered="1"/>
  <pageMargins left="0.5" right="0.5" top="0.25" bottom="0.25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AA002-1925-4636-815B-4F5DDD040AC5}">
  <sheetPr codeName="Sheet21"/>
  <dimension ref="A1:AX68"/>
  <sheetViews>
    <sheetView showGridLines="0" workbookViewId="0">
      <selection activeCell="E30" sqref="A25:E30"/>
    </sheetView>
  </sheetViews>
  <sheetFormatPr defaultColWidth="9.08984375" defaultRowHeight="11.5"/>
  <cols>
    <col min="1" max="1" width="6" style="30" bestFit="1" customWidth="1"/>
    <col min="2" max="2" width="7.453125" style="45" customWidth="1"/>
    <col min="3" max="3" width="9.36328125" style="30" customWidth="1"/>
    <col min="4" max="4" width="9.36328125" style="30" bestFit="1" customWidth="1"/>
    <col min="5" max="5" width="7.36328125" style="30" customWidth="1"/>
    <col min="6" max="6" width="7.81640625" style="30" customWidth="1"/>
    <col min="7" max="7" width="9.54296875" style="30" customWidth="1"/>
    <col min="8" max="8" width="7.54296875" style="30" customWidth="1"/>
    <col min="9" max="9" width="8.54296875" style="30" customWidth="1"/>
    <col min="10" max="10" width="9.08984375" style="30"/>
    <col min="11" max="11" width="6.36328125" style="30" bestFit="1" customWidth="1"/>
    <col min="12" max="12" width="6.36328125" style="45" bestFit="1" customWidth="1"/>
    <col min="13" max="13" width="9.36328125" style="30" customWidth="1"/>
    <col min="14" max="14" width="9.36328125" style="30" bestFit="1" customWidth="1"/>
    <col min="15" max="15" width="7.36328125" style="30" customWidth="1"/>
    <col min="16" max="16" width="9.81640625" style="30" customWidth="1"/>
    <col min="17" max="18" width="6.54296875" style="30" customWidth="1"/>
    <col min="19" max="20" width="7.54296875" style="30" customWidth="1"/>
    <col min="21" max="21" width="8.54296875" style="30" customWidth="1"/>
    <col min="22" max="22" width="10.54296875" style="30" customWidth="1"/>
    <col min="23" max="34" width="9.08984375" style="30"/>
    <col min="35" max="36" width="5.54296875" style="30" bestFit="1" customWidth="1"/>
    <col min="37" max="40" width="6.54296875" style="30" bestFit="1" customWidth="1"/>
    <col min="41" max="41" width="9" style="30" customWidth="1"/>
    <col min="42" max="42" width="6.54296875" style="30" customWidth="1"/>
    <col min="43" max="43" width="11.453125" style="30" bestFit="1" customWidth="1"/>
    <col min="44" max="45" width="7.81640625" style="30" bestFit="1" customWidth="1"/>
    <col min="46" max="49" width="6.54296875" style="30" bestFit="1" customWidth="1"/>
    <col min="50" max="16384" width="9.08984375" style="30"/>
  </cols>
  <sheetData>
    <row r="1" spans="1:50">
      <c r="A1" s="592" t="s">
        <v>472</v>
      </c>
      <c r="B1" s="592"/>
      <c r="C1" s="592"/>
      <c r="D1" s="592"/>
      <c r="E1" s="592"/>
      <c r="F1" s="592"/>
      <c r="G1" s="592"/>
      <c r="H1" s="592"/>
      <c r="I1" s="592"/>
      <c r="L1" s="30"/>
    </row>
    <row r="2" spans="1:50">
      <c r="A2" s="592" t="s">
        <v>22181</v>
      </c>
      <c r="B2" s="592"/>
      <c r="C2" s="592"/>
      <c r="D2" s="592"/>
      <c r="E2" s="592"/>
      <c r="F2" s="592"/>
      <c r="G2" s="592"/>
      <c r="H2" s="592"/>
      <c r="I2" s="592"/>
      <c r="L2" s="30"/>
    </row>
    <row r="3" spans="1:50">
      <c r="B3" s="30"/>
      <c r="I3" s="100"/>
      <c r="L3" s="30"/>
      <c r="U3" s="100"/>
    </row>
    <row r="4" spans="1:50">
      <c r="E4" s="34"/>
      <c r="F4" s="34"/>
      <c r="G4" s="34"/>
      <c r="P4" s="34"/>
      <c r="Q4" s="34"/>
      <c r="R4" s="34"/>
    </row>
    <row r="5" spans="1:50">
      <c r="E5" s="34"/>
      <c r="F5" s="34"/>
      <c r="G5" s="34"/>
      <c r="P5" s="34"/>
      <c r="Q5" s="34"/>
      <c r="R5" s="34"/>
      <c r="W5" s="592"/>
      <c r="X5" s="592"/>
      <c r="Y5" s="592"/>
      <c r="Z5" s="592"/>
      <c r="AA5" s="592"/>
    </row>
    <row r="6" spans="1:50" ht="68.25" customHeight="1">
      <c r="A6" s="34" t="s">
        <v>633</v>
      </c>
      <c r="B6" s="101" t="s">
        <v>632</v>
      </c>
      <c r="C6" s="34" t="s">
        <v>103</v>
      </c>
      <c r="D6" s="34" t="s">
        <v>186</v>
      </c>
      <c r="E6" s="34" t="s">
        <v>77</v>
      </c>
      <c r="F6" s="34" t="s">
        <v>97</v>
      </c>
      <c r="G6" s="34"/>
      <c r="H6" s="34" t="s">
        <v>22171</v>
      </c>
      <c r="I6" s="34" t="s">
        <v>571</v>
      </c>
      <c r="K6" s="34" t="s">
        <v>633</v>
      </c>
      <c r="L6" s="101" t="s">
        <v>632</v>
      </c>
      <c r="M6" s="34" t="s">
        <v>420</v>
      </c>
      <c r="N6" s="34" t="s">
        <v>397</v>
      </c>
      <c r="O6" s="34"/>
      <c r="P6" s="34" t="s">
        <v>75</v>
      </c>
      <c r="Q6" s="34" t="s">
        <v>527</v>
      </c>
      <c r="R6" s="34"/>
      <c r="S6" s="34"/>
      <c r="T6" s="34"/>
      <c r="U6" s="34"/>
      <c r="V6" s="33"/>
      <c r="W6" s="33"/>
      <c r="X6" s="34"/>
      <c r="Y6" s="34"/>
      <c r="Z6" s="34"/>
      <c r="AA6" s="34"/>
      <c r="AC6" s="592"/>
      <c r="AD6" s="592"/>
      <c r="AE6" s="592"/>
      <c r="AF6" s="592"/>
      <c r="AI6" s="592"/>
      <c r="AJ6" s="592"/>
      <c r="AK6" s="592"/>
      <c r="AL6" s="592"/>
      <c r="AM6" s="592"/>
      <c r="AN6" s="592"/>
      <c r="AR6" s="592"/>
      <c r="AS6" s="592"/>
      <c r="AT6" s="592"/>
      <c r="AU6" s="592"/>
      <c r="AV6" s="592"/>
      <c r="AW6" s="592"/>
    </row>
    <row r="7" spans="1:50" ht="13.5" customHeight="1">
      <c r="A7" s="377">
        <v>40</v>
      </c>
      <c r="B7" s="102">
        <v>25</v>
      </c>
      <c r="C7" s="30" t="s">
        <v>22168</v>
      </c>
      <c r="E7" s="103">
        <v>2901</v>
      </c>
      <c r="F7" s="103">
        <v>3293</v>
      </c>
      <c r="G7" s="103"/>
      <c r="H7" s="434">
        <v>0.75</v>
      </c>
      <c r="I7" s="30">
        <v>350</v>
      </c>
      <c r="K7" s="57">
        <v>40</v>
      </c>
      <c r="L7" s="57">
        <v>25</v>
      </c>
      <c r="M7" s="30" t="s">
        <v>22168</v>
      </c>
      <c r="O7" s="30" t="str">
        <f>IF(Data!B$3="IMH",IF(K7=Data!B$4,IF(L7=Data!B$6,SUM(P7:R7),""),""),"")</f>
        <v/>
      </c>
      <c r="P7" s="30">
        <f>IF(OR("MF1"=Data!B$5,"MF2"=Data!B$5,"MF5"=Data!B$5,"MF6"=Data!B$5,"MS3"=Data!B$5,"MP1"=Data!B$5,"MP3"=Data!B$5,"MS2"=Data!B$5,"ME5"=Data!B$5,"ME6"=Data!B$5),E7,"")</f>
        <v>2901</v>
      </c>
      <c r="Q7" s="30" t="str">
        <f>IF(OR("MT4"=Data!B$5,"MPU3"=Data!B$5,"MS7"=Data!B$5,"MT1"=Data!B$5,"MT2"=Data!B$5,"ME3"=Data!B$5,"ME4"=Data!B$5),F7,"")</f>
        <v/>
      </c>
      <c r="S7" s="30" t="str">
        <f>IF(OR(O7="",O7=0),"",IF(Data!B$7="BE",I7*2,IF(OR(Data!B$7="CE",Data!B$7="RE"),I7,0))+H7*(ROUNDUP(Data!B$8,0.1)))</f>
        <v/>
      </c>
      <c r="AM7" s="592"/>
      <c r="AN7" s="592"/>
      <c r="AQ7" s="104"/>
      <c r="AR7" s="592"/>
      <c r="AS7" s="592"/>
      <c r="AT7" s="592"/>
      <c r="AU7" s="592"/>
      <c r="AV7" s="592"/>
      <c r="AW7" s="592"/>
    </row>
    <row r="8" spans="1:50" ht="14.25" customHeight="1">
      <c r="A8" s="377">
        <v>40</v>
      </c>
      <c r="B8" s="102">
        <v>28</v>
      </c>
      <c r="C8" s="105" t="s">
        <v>22168</v>
      </c>
      <c r="D8" s="105"/>
      <c r="E8" s="103">
        <v>3364</v>
      </c>
      <c r="F8" s="103">
        <v>3802</v>
      </c>
      <c r="G8" s="103"/>
      <c r="H8" s="434">
        <v>1.05</v>
      </c>
      <c r="I8" s="30">
        <v>350</v>
      </c>
      <c r="K8" s="57">
        <v>40</v>
      </c>
      <c r="L8" s="57">
        <v>28</v>
      </c>
      <c r="M8" s="105" t="s">
        <v>22168</v>
      </c>
      <c r="N8" s="105"/>
      <c r="O8" s="30" t="str">
        <f>IF(Data!B$3="IMH",IF(K8=Data!B$4,IF(L8=Data!B$6,SUM(P8:R8),""),""),"")</f>
        <v/>
      </c>
      <c r="P8" s="30">
        <f>IF(OR("MF1"=Data!B$5,"MF2"=Data!B$5,"MF5"=Data!B$5,"MF6"=Data!B$5,"MS3"=Data!B$5,"MP1"=Data!B$5,"MP3"=Data!B$5,"MS2"=Data!B$5,"ME5"=Data!B$5,"ME6"=Data!B$5),E8,"")</f>
        <v>3364</v>
      </c>
      <c r="Q8" s="30" t="str">
        <f>IF(OR("MT4"=Data!B$5,"MPU3"=Data!B$5,"MS7"=Data!B$5,"MT1"=Data!B$5,"MT2"=Data!B$5,"ME3"=Data!B$5,"ME4"=Data!B$5),F8,"")</f>
        <v/>
      </c>
      <c r="S8" s="30" t="str">
        <f>IF(OR(O8="",O8=0),"",IF(Data!B$7="BE",I8*2,IF(OR(Data!B$7="CE",Data!B$7="RE"),I8,0))+H8*(ROUNDUP(Data!B$8,0.1)))</f>
        <v/>
      </c>
      <c r="AM8" s="104"/>
      <c r="AN8" s="104"/>
      <c r="AO8" s="104"/>
      <c r="AP8" s="104"/>
      <c r="AQ8" s="104"/>
      <c r="AR8" s="104"/>
      <c r="AS8" s="104"/>
      <c r="AT8" s="104"/>
      <c r="AU8" s="104"/>
      <c r="AV8" s="104"/>
      <c r="AW8" s="104"/>
      <c r="AX8" s="104"/>
    </row>
    <row r="9" spans="1:50">
      <c r="A9" s="106">
        <v>50</v>
      </c>
      <c r="B9" s="102">
        <v>32</v>
      </c>
      <c r="C9" s="30" t="s">
        <v>22167</v>
      </c>
      <c r="E9" s="103">
        <v>2558</v>
      </c>
      <c r="F9" s="103">
        <v>3203</v>
      </c>
      <c r="G9" s="103"/>
      <c r="H9" s="434">
        <v>0.8</v>
      </c>
      <c r="I9" s="30">
        <v>350</v>
      </c>
      <c r="K9" s="57">
        <v>50</v>
      </c>
      <c r="L9" s="57">
        <v>32</v>
      </c>
      <c r="M9" s="30" t="s">
        <v>22167</v>
      </c>
      <c r="O9" s="30" t="str">
        <f>IF(Data!B$3="IMH",IF(K9=Data!B$4,IF(L9=Data!B$6,SUM(P9:R9),""),""),"")</f>
        <v/>
      </c>
      <c r="P9" s="30">
        <f>IF(OR("MF1"=Data!B$5,"MF2"=Data!B$5,"MF5"=Data!B$5,"MF6"=Data!B$5,"MS3"=Data!B$5,"MP1"=Data!B$5,"MP3"=Data!B$5,"MS2"=Data!B$5,"ME5"=Data!B$5,"ME6"=Data!B$5),E9,"")</f>
        <v>2558</v>
      </c>
      <c r="Q9" s="30" t="str">
        <f>IF(OR("MT4"=Data!B$5,"MPU3"=Data!B$5,"MS7"=Data!B$5,"MT1"=Data!B$5,"MT2"=Data!B$5,"ME3"=Data!B$5,"ME4"=Data!B$5),F9,"")</f>
        <v/>
      </c>
      <c r="S9" s="30" t="str">
        <f>IF(OR(O9="",O9=0),"",IF(Data!B$7="BE",I9*2,IF(OR(Data!B$7="CE",Data!B$7="RE"),I9,0))+H9*(ROUNDUP(Data!B$8,0.1)))</f>
        <v/>
      </c>
      <c r="AM9" s="104"/>
      <c r="AN9" s="104"/>
      <c r="AO9" s="104"/>
      <c r="AP9" s="104"/>
      <c r="AQ9" s="104"/>
      <c r="AR9" s="104"/>
      <c r="AS9" s="104"/>
      <c r="AT9" s="104"/>
      <c r="AU9" s="104"/>
      <c r="AV9" s="104"/>
      <c r="AW9" s="104"/>
      <c r="AX9" s="104"/>
    </row>
    <row r="10" spans="1:50">
      <c r="A10" s="106">
        <v>50</v>
      </c>
      <c r="B10" s="102">
        <v>36</v>
      </c>
      <c r="C10" s="107" t="s">
        <v>22167</v>
      </c>
      <c r="E10" s="103">
        <v>3027</v>
      </c>
      <c r="F10" s="103">
        <v>3623</v>
      </c>
      <c r="G10" s="103"/>
      <c r="H10" s="434">
        <v>1.1000000000000001</v>
      </c>
      <c r="I10" s="30">
        <v>350</v>
      </c>
      <c r="K10" s="57">
        <v>50</v>
      </c>
      <c r="L10" s="57">
        <v>36</v>
      </c>
      <c r="M10" s="107" t="s">
        <v>22167</v>
      </c>
      <c r="O10" s="30" t="str">
        <f>IF(Data!B$3="IMH",IF(K10=Data!B$4,IF(L10=Data!B$6,SUM(P10:R10),""),""),"")</f>
        <v/>
      </c>
      <c r="P10" s="30">
        <f>IF(OR("MF1"=Data!B$5,"MF2"=Data!B$5,"MF5"=Data!B$5,"MF6"=Data!B$5,"MS3"=Data!B$5,"MP1"=Data!B$5,"MP3"=Data!B$5,"MS2"=Data!B$5,"ME5"=Data!B$5,"ME6"=Data!B$5),E10,"")</f>
        <v>3027</v>
      </c>
      <c r="Q10" s="30" t="str">
        <f>IF(OR("MT4"=Data!B$5,"MPU3"=Data!B$5,"MS7"=Data!B$5,"MT1"=Data!B$5,"MT2"=Data!B$5,"ME3"=Data!B$5,"ME4"=Data!B$5),F10,"")</f>
        <v/>
      </c>
      <c r="S10" s="30" t="str">
        <f>IF(OR(O10="",O10=0),"",IF(Data!B$7="BE",I10*2,IF(OR(Data!B$7="CE",Data!B$7="RE"),I10,0))+H10*(ROUNDUP(Data!B$8,0.1)))</f>
        <v/>
      </c>
      <c r="AO10" s="104"/>
      <c r="AQ10" s="104"/>
      <c r="AV10" s="104"/>
      <c r="AW10" s="104"/>
      <c r="AX10" s="104"/>
    </row>
    <row r="11" spans="1:50">
      <c r="A11" s="377">
        <v>63</v>
      </c>
      <c r="B11" s="102">
        <v>40</v>
      </c>
      <c r="C11" s="30" t="s">
        <v>22166</v>
      </c>
      <c r="E11" s="103">
        <v>3027</v>
      </c>
      <c r="F11" s="103">
        <v>3806</v>
      </c>
      <c r="G11" s="103"/>
      <c r="H11" s="434">
        <v>1.1499999999999999</v>
      </c>
      <c r="I11" s="30">
        <v>350</v>
      </c>
      <c r="K11" s="57">
        <v>63</v>
      </c>
      <c r="L11" s="57">
        <v>40</v>
      </c>
      <c r="M11" s="30" t="s">
        <v>22166</v>
      </c>
      <c r="O11" s="30" t="str">
        <f>IF(Data!B$3="IMH",IF(K11=Data!B$4,IF(L11=Data!B$6,SUM(P11:R11),""),""),"")</f>
        <v/>
      </c>
      <c r="P11" s="30">
        <f>IF(OR("MF1"=Data!B$5,"MF2"=Data!B$5,"MF5"=Data!B$5,"MF6"=Data!B$5,"MS3"=Data!B$5,"MP1"=Data!B$5,"MP3"=Data!B$5,"MS2"=Data!B$5,"ME5"=Data!B$5,"ME6"=Data!B$5),E11,"")</f>
        <v>3027</v>
      </c>
      <c r="Q11" s="30" t="str">
        <f>IF(OR("MT4"=Data!B$5,"MPU3"=Data!B$5,"MS7"=Data!B$5,"MT1"=Data!B$5,"MT2"=Data!B$5,"ME3"=Data!B$5,"ME4"=Data!B$5),F11,"")</f>
        <v/>
      </c>
      <c r="S11" s="30" t="str">
        <f>IF(OR(O11="",O11=0),"",IF(Data!B$7="BE",I11*2,IF(OR(Data!B$7="CE",Data!B$7="RE"),I11,0))+H11*(ROUNDUP(Data!B$8,0.1)))</f>
        <v/>
      </c>
      <c r="AM11" s="104"/>
      <c r="AN11" s="104"/>
      <c r="AO11" s="104"/>
      <c r="AQ11" s="104"/>
      <c r="AR11" s="104"/>
      <c r="AS11" s="104"/>
      <c r="AT11" s="104"/>
      <c r="AU11" s="104"/>
      <c r="AV11" s="104"/>
      <c r="AW11" s="104"/>
      <c r="AX11" s="104"/>
    </row>
    <row r="12" spans="1:50">
      <c r="A12" s="377">
        <v>63</v>
      </c>
      <c r="B12" s="102">
        <v>45</v>
      </c>
      <c r="C12" s="30" t="s">
        <v>22166</v>
      </c>
      <c r="E12" s="103">
        <v>3348</v>
      </c>
      <c r="F12" s="103">
        <v>4090</v>
      </c>
      <c r="G12" s="103"/>
      <c r="H12" s="434">
        <v>1.2</v>
      </c>
      <c r="I12" s="30">
        <v>350</v>
      </c>
      <c r="K12" s="57">
        <v>63</v>
      </c>
      <c r="L12" s="57">
        <v>45</v>
      </c>
      <c r="M12" s="30" t="s">
        <v>22166</v>
      </c>
      <c r="O12" s="30" t="str">
        <f>IF(Data!B$3="IMH",IF(K12=Data!B$4,IF(L12=Data!B$6,SUM(P12:R12),""),""),"")</f>
        <v/>
      </c>
      <c r="P12" s="30">
        <f>IF(OR("MF1"=Data!B$5,"MF2"=Data!B$5,"MF5"=Data!B$5,"MF6"=Data!B$5,"MS3"=Data!B$5,"MP1"=Data!B$5,"MP3"=Data!B$5,"MS2"=Data!B$5,"ME5"=Data!B$5,"ME6"=Data!B$5),E12,"")</f>
        <v>3348</v>
      </c>
      <c r="Q12" s="30" t="str">
        <f>IF(OR("MT4"=Data!B$5,"MPU3"=Data!B$5,"MS7"=Data!B$5,"MT1"=Data!B$5,"MT2"=Data!B$5,"ME3"=Data!B$5,"ME4"=Data!B$5),F12,"")</f>
        <v/>
      </c>
      <c r="S12" s="30" t="str">
        <f>IF(OR(O12="",O12=0),"",IF(Data!B$7="BE",I12*2,IF(OR(Data!B$7="CE",Data!B$7="RE"),I12,0))+H12*(ROUNDUP(Data!B$8,0.1)))</f>
        <v/>
      </c>
      <c r="AM12" s="104"/>
      <c r="AN12" s="104"/>
      <c r="AO12" s="104"/>
      <c r="AP12" s="104"/>
      <c r="AQ12" s="104"/>
      <c r="AR12" s="104"/>
      <c r="AS12" s="104"/>
      <c r="AT12" s="104"/>
      <c r="AU12" s="104"/>
      <c r="AV12" s="104"/>
      <c r="AW12" s="104"/>
      <c r="AX12" s="104"/>
    </row>
    <row r="13" spans="1:50">
      <c r="A13" s="377">
        <v>80</v>
      </c>
      <c r="B13" s="102">
        <v>50</v>
      </c>
      <c r="C13" s="105" t="s">
        <v>22165</v>
      </c>
      <c r="E13" s="103">
        <v>3842</v>
      </c>
      <c r="F13" s="103">
        <v>4581</v>
      </c>
      <c r="G13" s="103"/>
      <c r="H13" s="434">
        <v>1.25</v>
      </c>
      <c r="I13" s="30">
        <v>350</v>
      </c>
      <c r="K13" s="57">
        <v>80</v>
      </c>
      <c r="L13" s="57">
        <v>50</v>
      </c>
      <c r="M13" s="105" t="s">
        <v>22165</v>
      </c>
      <c r="O13" s="30" t="str">
        <f>IF(Data!B$3="IMH",IF(K13=Data!B$4,IF(L13=Data!B$6,SUM(P13:R13),""),""),"")</f>
        <v/>
      </c>
      <c r="P13" s="30">
        <f>IF(OR("MF1"=Data!B$5,"MF2"=Data!B$5,"MF5"=Data!B$5,"MF6"=Data!B$5,"MS3"=Data!B$5,"MP1"=Data!B$5,"MP3"=Data!B$5,"MS2"=Data!B$5,"ME5"=Data!B$5,"ME6"=Data!B$5),E13,"")</f>
        <v>3842</v>
      </c>
      <c r="Q13" s="30" t="str">
        <f>IF(OR("MT4"=Data!B$5,"MPU3"=Data!B$5,"MS7"=Data!B$5,"MT1"=Data!B$5,"MT2"=Data!B$5,"ME3"=Data!B$5,"ME4"=Data!B$5),F13,"")</f>
        <v/>
      </c>
      <c r="S13" s="30" t="str">
        <f>IF(OR(O13="",O13=0),"",IF(Data!B$7="BE",I13*2,IF(OR(Data!B$7="CE",Data!B$7="RE"),I13,0))+H13*(ROUNDUP(Data!B$8,0.1)))</f>
        <v/>
      </c>
      <c r="AM13" s="104"/>
      <c r="AN13" s="104"/>
      <c r="AO13" s="104"/>
      <c r="AP13" s="104"/>
      <c r="AQ13" s="104"/>
      <c r="AV13" s="104"/>
      <c r="AW13" s="104"/>
      <c r="AX13" s="104"/>
    </row>
    <row r="14" spans="1:50">
      <c r="A14" s="377">
        <v>80</v>
      </c>
      <c r="B14" s="102">
        <v>56</v>
      </c>
      <c r="C14" s="30" t="s">
        <v>22165</v>
      </c>
      <c r="E14" s="103">
        <v>3416</v>
      </c>
      <c r="F14" s="103">
        <v>4090</v>
      </c>
      <c r="G14" s="103"/>
      <c r="H14" s="434">
        <v>1.25</v>
      </c>
      <c r="I14" s="30">
        <v>350</v>
      </c>
      <c r="K14" s="57">
        <v>80</v>
      </c>
      <c r="L14" s="57">
        <v>56</v>
      </c>
      <c r="M14" s="30" t="s">
        <v>22165</v>
      </c>
      <c r="O14" s="30" t="str">
        <f>IF(Data!B$3="IMH",IF(K14=Data!B$4,IF(L14=Data!B$6,SUM(P14:R14),""),""),"")</f>
        <v/>
      </c>
      <c r="P14" s="30">
        <f>IF(OR("MF1"=Data!B$5,"MF2"=Data!B$5,"MF5"=Data!B$5,"MF6"=Data!B$5,"MS3"=Data!B$5,"MP1"=Data!B$5,"MP3"=Data!B$5,"MS2"=Data!B$5,"ME5"=Data!B$5,"ME6"=Data!B$5),E14,"")</f>
        <v>3416</v>
      </c>
      <c r="Q14" s="30" t="str">
        <f>IF(OR("MT4"=Data!B$5,"MPU3"=Data!B$5,"MS7"=Data!B$5,"MT1"=Data!B$5,"MT2"=Data!B$5,"ME3"=Data!B$5,"ME4"=Data!B$5),F14,"")</f>
        <v/>
      </c>
      <c r="S14" s="30" t="str">
        <f>IF(OR(O14="",O14=0),"",IF(Data!B$7="BE",I14*2,IF(OR(Data!B$7="CE",Data!B$7="RE"),I14,0))+H14*(ROUNDUP(Data!B$8,0.1)))</f>
        <v/>
      </c>
      <c r="AO14" s="104"/>
      <c r="AP14" s="104"/>
      <c r="AQ14" s="104"/>
      <c r="AR14" s="104"/>
      <c r="AS14" s="104"/>
      <c r="AT14" s="104"/>
      <c r="AU14" s="104"/>
      <c r="AV14" s="104"/>
      <c r="AW14" s="104"/>
      <c r="AX14" s="104"/>
    </row>
    <row r="15" spans="1:50">
      <c r="A15" s="377">
        <v>100</v>
      </c>
      <c r="B15" s="102">
        <v>63</v>
      </c>
      <c r="C15" s="30" t="s">
        <v>22164</v>
      </c>
      <c r="E15" s="103">
        <v>4090</v>
      </c>
      <c r="F15" s="103">
        <v>4856</v>
      </c>
      <c r="G15" s="103"/>
      <c r="H15" s="434">
        <v>1.35</v>
      </c>
      <c r="I15" s="30">
        <v>350</v>
      </c>
      <c r="K15" s="57">
        <v>100</v>
      </c>
      <c r="L15" s="57">
        <v>63</v>
      </c>
      <c r="M15" s="30" t="s">
        <v>22164</v>
      </c>
      <c r="O15" s="30" t="str">
        <f>IF(Data!B$3="IMH",IF(K15=Data!B$4,IF(L15=Data!B$6,SUM(P15:R15),""),""),"")</f>
        <v/>
      </c>
      <c r="P15" s="30">
        <f>IF(OR("MF1"=Data!B$5,"MF2"=Data!B$5,"MF5"=Data!B$5,"MF6"=Data!B$5,"MS3"=Data!B$5,"MP1"=Data!B$5,"MP3"=Data!B$5,"MS2"=Data!B$5,"ME5"=Data!B$5,"ME6"=Data!B$5),E15,"")</f>
        <v>4090</v>
      </c>
      <c r="Q15" s="30" t="str">
        <f>IF(OR("MT4"=Data!B$5,"MPU3"=Data!B$5,"MS7"=Data!B$5,"MT1"=Data!B$5,"MT2"=Data!B$5,"ME3"=Data!B$5,"ME4"=Data!B$5),F15,"")</f>
        <v/>
      </c>
      <c r="S15" s="30" t="str">
        <f>IF(OR(O15="",O15=0),"",IF(Data!B$7="BE",I15*2,IF(OR(Data!B$7="CE",Data!B$7="RE"),I15,0))+H15*(ROUNDUP(Data!B$8,0.1)))</f>
        <v/>
      </c>
      <c r="AM15" s="104"/>
      <c r="AN15" s="104"/>
      <c r="AO15" s="104"/>
      <c r="AQ15" s="104"/>
      <c r="AR15" s="104"/>
      <c r="AS15" s="104"/>
      <c r="AT15" s="104"/>
      <c r="AU15" s="104"/>
      <c r="AV15" s="104"/>
      <c r="AW15" s="104"/>
      <c r="AX15" s="104"/>
    </row>
    <row r="16" spans="1:50">
      <c r="A16" s="377">
        <v>100</v>
      </c>
      <c r="B16" s="102">
        <v>70</v>
      </c>
      <c r="C16" s="105" t="s">
        <v>22164</v>
      </c>
      <c r="D16" s="105"/>
      <c r="E16" s="103">
        <v>4446</v>
      </c>
      <c r="F16" s="103">
        <v>5224</v>
      </c>
      <c r="G16" s="103"/>
      <c r="H16" s="434">
        <v>1.35</v>
      </c>
      <c r="I16" s="30">
        <v>350</v>
      </c>
      <c r="K16" s="57">
        <v>100</v>
      </c>
      <c r="L16" s="57">
        <v>70</v>
      </c>
      <c r="M16" s="105" t="s">
        <v>22164</v>
      </c>
      <c r="N16" s="105"/>
      <c r="O16" s="30" t="str">
        <f>IF(Data!B$3="IMH",IF(K16=Data!B$4,IF(L16=Data!B$6,SUM(P16:R16),""),""),"")</f>
        <v/>
      </c>
      <c r="P16" s="30">
        <f>IF(OR("MF1"=Data!B$5,"MF2"=Data!B$5,"MF5"=Data!B$5,"MF6"=Data!B$5,"MS3"=Data!B$5,"MP1"=Data!B$5,"MP3"=Data!B$5,"MS2"=Data!B$5,"ME5"=Data!B$5,"ME6"=Data!B$5),E16,"")</f>
        <v>4446</v>
      </c>
      <c r="Q16" s="30" t="str">
        <f>IF(OR("MT4"=Data!B$5,"MPU3"=Data!B$5,"MS7"=Data!B$5,"MT1"=Data!B$5,"MT2"=Data!B$5,"ME3"=Data!B$5,"ME4"=Data!B$5),F16,"")</f>
        <v/>
      </c>
      <c r="S16" s="30" t="str">
        <f>IF(OR(O16="",O16=0),"",IF(Data!B$7="BE",I16*2,IF(OR(Data!B$7="CE",Data!B$7="RE"),I16,0))+H16*(ROUNDUP(Data!B$8,0.1)))</f>
        <v/>
      </c>
      <c r="AM16" s="104"/>
      <c r="AN16" s="104"/>
      <c r="AO16" s="104"/>
      <c r="AQ16" s="104"/>
      <c r="AR16" s="104"/>
      <c r="AS16" s="104"/>
      <c r="AT16" s="104"/>
      <c r="AU16" s="104"/>
      <c r="AV16" s="104"/>
      <c r="AW16" s="104"/>
      <c r="AX16" s="104"/>
    </row>
    <row r="17" spans="1:50">
      <c r="A17" s="106">
        <v>125</v>
      </c>
      <c r="B17" s="102">
        <v>80</v>
      </c>
      <c r="C17" s="30" t="s">
        <v>22163</v>
      </c>
      <c r="E17" s="103">
        <v>4246</v>
      </c>
      <c r="F17" s="103">
        <v>5238</v>
      </c>
      <c r="G17" s="103"/>
      <c r="H17" s="434">
        <v>1.65</v>
      </c>
      <c r="I17" s="30">
        <v>350</v>
      </c>
      <c r="K17" s="57">
        <v>125</v>
      </c>
      <c r="L17" s="57">
        <v>80</v>
      </c>
      <c r="M17" s="30" t="s">
        <v>22163</v>
      </c>
      <c r="O17" s="30" t="str">
        <f>IF(Data!B$3="IMH",IF(K17=Data!B$4,IF(L17=Data!B$6,SUM(P17:R17),""),""),"")</f>
        <v/>
      </c>
      <c r="P17" s="30">
        <f>IF(OR("MF1"=Data!B$5,"MF2"=Data!B$5,"MF5"=Data!B$5,"MF6"=Data!B$5,"MS3"=Data!B$5,"MP1"=Data!B$5,"MP3"=Data!B$5,"MS2"=Data!B$5,"ME5"=Data!B$5,"ME6"=Data!B$5),E17,"")</f>
        <v>4246</v>
      </c>
      <c r="Q17" s="30" t="str">
        <f>IF(OR("MT4"=Data!B$5,"MPU3"=Data!B$5,"MS7"=Data!B$5,"MT1"=Data!B$5,"MT2"=Data!B$5,"ME3"=Data!B$5,"ME4"=Data!B$5),F17,"")</f>
        <v/>
      </c>
      <c r="S17" s="30" t="str">
        <f>IF(OR(O17="",O17=0),"",IF(Data!B$7="BE",I17*2,IF(OR(Data!B$7="CE",Data!B$7="RE"),I17,0))+H17*(ROUNDUP(Data!B$8,0.1)))</f>
        <v/>
      </c>
      <c r="AM17" s="104"/>
      <c r="AN17" s="104"/>
      <c r="AO17" s="104"/>
      <c r="AP17" s="104"/>
      <c r="AQ17" s="104"/>
      <c r="AV17" s="104"/>
      <c r="AW17" s="104"/>
      <c r="AX17" s="104"/>
    </row>
    <row r="18" spans="1:50">
      <c r="A18" s="106">
        <v>125</v>
      </c>
      <c r="B18" s="102">
        <v>90</v>
      </c>
      <c r="C18" s="30" t="s">
        <v>22163</v>
      </c>
      <c r="E18" s="103">
        <v>4906</v>
      </c>
      <c r="F18" s="103">
        <v>5948</v>
      </c>
      <c r="G18" s="103"/>
      <c r="H18" s="434">
        <v>1.65</v>
      </c>
      <c r="I18" s="30">
        <v>350</v>
      </c>
      <c r="K18" s="57">
        <v>125</v>
      </c>
      <c r="L18" s="57">
        <v>90</v>
      </c>
      <c r="M18" s="30" t="s">
        <v>22163</v>
      </c>
      <c r="O18" s="30" t="str">
        <f>IF(Data!B$3="IMH",IF(K18=Data!B$4,IF(L18=Data!B$6,SUM(P18:R18),""),""),"")</f>
        <v/>
      </c>
      <c r="P18" s="30">
        <f>IF(OR("MF1"=Data!B$5,"MF2"=Data!B$5,"MF5"=Data!B$5,"MF6"=Data!B$5,"MS3"=Data!B$5,"MP1"=Data!B$5,"MP3"=Data!B$5,"MS2"=Data!B$5,"ME5"=Data!B$5,"ME6"=Data!B$5),E18,"")</f>
        <v>4906</v>
      </c>
      <c r="Q18" s="30" t="str">
        <f>IF(OR("MT4"=Data!B$5,"MPU3"=Data!B$5,"MS7"=Data!B$5,"MT1"=Data!B$5,"MT2"=Data!B$5,"ME3"=Data!B$5,"ME4"=Data!B$5),F18,"")</f>
        <v/>
      </c>
      <c r="S18" s="30" t="str">
        <f>IF(OR(O18="",O18=0),"",IF(Data!B$7="BE",I18*2,IF(OR(Data!B$7="CE",Data!B$7="RE"),I18,0))+H18*(ROUNDUP(Data!B$8,0.1)))</f>
        <v/>
      </c>
      <c r="AM18" s="104"/>
      <c r="AN18" s="104"/>
      <c r="AO18" s="104"/>
      <c r="AP18" s="104"/>
      <c r="AQ18" s="104"/>
      <c r="AR18" s="104"/>
      <c r="AS18" s="104"/>
      <c r="AT18" s="104"/>
      <c r="AU18" s="104"/>
      <c r="AV18" s="104"/>
      <c r="AW18" s="104"/>
      <c r="AX18" s="104"/>
    </row>
    <row r="19" spans="1:50">
      <c r="A19" s="106">
        <v>160</v>
      </c>
      <c r="B19" s="102">
        <v>100</v>
      </c>
      <c r="C19" s="105" t="s">
        <v>22162</v>
      </c>
      <c r="E19" s="103">
        <v>5291</v>
      </c>
      <c r="F19" s="103">
        <v>6365</v>
      </c>
      <c r="G19" s="103"/>
      <c r="H19" s="434">
        <v>1.65</v>
      </c>
      <c r="I19" s="30">
        <v>350</v>
      </c>
      <c r="K19" s="57">
        <v>160</v>
      </c>
      <c r="L19" s="57">
        <v>100</v>
      </c>
      <c r="M19" s="105" t="s">
        <v>22162</v>
      </c>
      <c r="O19" s="30" t="str">
        <f>IF(Data!B$3="IMH",IF(K19=Data!B$4,IF(L19=Data!B$6,SUM(P19:R19),""),""),"")</f>
        <v/>
      </c>
      <c r="P19" s="30">
        <f>IF(OR("MF1"=Data!B$5,"MF2"=Data!B$5,"MF5"=Data!B$5,"MF6"=Data!B$5,"MS3"=Data!B$5,"MP1"=Data!B$5,"MP3"=Data!B$5,"MS2"=Data!B$5,"ME5"=Data!B$5,"ME6"=Data!B$5),E19,"")</f>
        <v>5291</v>
      </c>
      <c r="Q19" s="30" t="str">
        <f>IF(OR("MT4"=Data!B$5,"MPU3"=Data!B$5,"MS7"=Data!B$5,"MT1"=Data!B$5,"MT2"=Data!B$5,"ME3"=Data!B$5,"ME4"=Data!B$5),F19,"")</f>
        <v/>
      </c>
      <c r="S19" s="30" t="str">
        <f>IF(OR(O19="",O19=0),"",IF(Data!B$7="BE",I19*2,IF(OR(Data!B$7="CE",Data!B$7="RE"),I19,0))+H19*(ROUNDUP(Data!B$8,0.1)))</f>
        <v/>
      </c>
      <c r="AO19" s="104"/>
      <c r="AP19" s="104"/>
      <c r="AQ19" s="104"/>
      <c r="AR19" s="104"/>
      <c r="AS19" s="104"/>
      <c r="AT19" s="104"/>
      <c r="AU19" s="104"/>
      <c r="AV19" s="104"/>
      <c r="AW19" s="104"/>
      <c r="AX19" s="104"/>
    </row>
    <row r="20" spans="1:50">
      <c r="A20" s="106">
        <v>160</v>
      </c>
      <c r="B20" s="102">
        <v>110</v>
      </c>
      <c r="C20" s="105" t="s">
        <v>22162</v>
      </c>
      <c r="E20" s="103">
        <v>5134</v>
      </c>
      <c r="F20" s="103">
        <v>6213</v>
      </c>
      <c r="G20" s="103"/>
      <c r="H20" s="434">
        <v>2</v>
      </c>
      <c r="I20" s="30">
        <v>350</v>
      </c>
      <c r="K20" s="57">
        <v>160</v>
      </c>
      <c r="L20" s="57">
        <v>110</v>
      </c>
      <c r="M20" s="30" t="s">
        <v>22162</v>
      </c>
      <c r="O20" s="30" t="str">
        <f>IF(Data!B$3="IMH",IF(K20=Data!B$4,IF(L20=Data!B$6,SUM(P20:R20),""),""),"")</f>
        <v/>
      </c>
      <c r="P20" s="30">
        <f>IF(OR("MF1"=Data!B$5,"MF2"=Data!B$5,"MF5"=Data!B$5,"MF6"=Data!B$5,"MS3"=Data!B$5,"MP1"=Data!B$5,"MP3"=Data!B$5,"MS2"=Data!B$5,"ME5"=Data!B$5,"ME6"=Data!B$5),E20,"")</f>
        <v>5134</v>
      </c>
      <c r="Q20" s="30" t="str">
        <f>IF(OR("MT4"=Data!B$5,"MPU3"=Data!B$5,"MS7"=Data!B$5,"MT1"=Data!B$5,"MT2"=Data!B$5,"ME3"=Data!B$5,"ME4"=Data!B$5),F20,"")</f>
        <v/>
      </c>
      <c r="S20" s="30" t="str">
        <f>IF(OR(O20="",O20=0),"",IF(Data!B$7="BE",I20*2,IF(OR(Data!B$7="CE",Data!B$7="RE"),I20,0))+H20*(ROUNDUP(Data!B$8,0.1)))</f>
        <v/>
      </c>
      <c r="AM20" s="104"/>
      <c r="AN20" s="104"/>
      <c r="AO20" s="104"/>
      <c r="AP20" s="104"/>
      <c r="AQ20" s="104"/>
      <c r="AR20" s="104"/>
      <c r="AS20" s="104"/>
      <c r="AT20" s="104"/>
      <c r="AU20" s="104"/>
      <c r="AV20" s="104"/>
      <c r="AW20" s="104"/>
      <c r="AX20" s="104"/>
    </row>
    <row r="21" spans="1:50">
      <c r="A21" s="106">
        <v>200</v>
      </c>
      <c r="B21" s="102">
        <v>125</v>
      </c>
      <c r="C21" s="30" t="s">
        <v>22161</v>
      </c>
      <c r="E21" s="103">
        <v>5847</v>
      </c>
      <c r="F21" s="103">
        <v>6944</v>
      </c>
      <c r="G21" s="103"/>
      <c r="H21" s="434">
        <v>2.25</v>
      </c>
      <c r="I21" s="30">
        <v>350</v>
      </c>
      <c r="K21" s="57">
        <v>200</v>
      </c>
      <c r="L21" s="57">
        <v>125</v>
      </c>
      <c r="M21" s="30" t="s">
        <v>22161</v>
      </c>
      <c r="O21" s="30" t="str">
        <f>IF(Data!B$3="IMH",IF(K21=Data!B$4,IF(L21=Data!B$6,SUM(P21:R21),""),""),"")</f>
        <v/>
      </c>
      <c r="P21" s="30">
        <f>IF(OR("MF1"=Data!B$5,"MF2"=Data!B$5,"MF5"=Data!B$5,"MF6"=Data!B$5,"MS3"=Data!B$5,"MP1"=Data!B$5,"MP3"=Data!B$5,"MS2"=Data!B$5,"ME5"=Data!B$5,"ME6"=Data!B$5),E21,"")</f>
        <v>5847</v>
      </c>
      <c r="Q21" s="30" t="str">
        <f>IF(OR("MT4"=Data!B$5,"MPU3"=Data!B$5,"MS7"=Data!B$5,"MT1"=Data!B$5,"MT2"=Data!B$5,"ME3"=Data!B$5,"ME4"=Data!B$5),F21,"")</f>
        <v/>
      </c>
      <c r="S21" s="30" t="str">
        <f>IF(OR(O21="",O21=0),"",IF(Data!B$7="BE",I21*2,IF(OR(Data!B$7="CE",Data!B$7="RE"),I21,0))+H21*(ROUNDUP(Data!B$8,0.1)))</f>
        <v/>
      </c>
      <c r="AM21" s="104"/>
      <c r="AN21" s="104"/>
      <c r="AO21" s="104"/>
      <c r="AQ21" s="104"/>
      <c r="AV21" s="104"/>
      <c r="AW21" s="104"/>
      <c r="AX21" s="104"/>
    </row>
    <row r="22" spans="1:50">
      <c r="A22" s="106">
        <v>200</v>
      </c>
      <c r="B22" s="102">
        <v>140</v>
      </c>
      <c r="C22" s="105" t="s">
        <v>22161</v>
      </c>
      <c r="D22" s="105"/>
      <c r="E22" s="103">
        <v>6356</v>
      </c>
      <c r="F22" s="103">
        <v>7444</v>
      </c>
      <c r="G22" s="103"/>
      <c r="H22" s="434">
        <v>2.4</v>
      </c>
      <c r="I22" s="30">
        <v>350</v>
      </c>
      <c r="K22" s="57">
        <v>200</v>
      </c>
      <c r="L22" s="57">
        <v>140</v>
      </c>
      <c r="M22" s="105" t="s">
        <v>22161</v>
      </c>
      <c r="N22" s="105"/>
      <c r="O22" s="30" t="str">
        <f>IF(Data!B$3="IMH",IF(K22=Data!B$4,IF(L22=Data!B$6,SUM(P22:R22),""),""),"")</f>
        <v/>
      </c>
      <c r="P22" s="30">
        <f>IF(OR("MF1"=Data!B$5,"MF2"=Data!B$5,"MF5"=Data!B$5,"MF6"=Data!B$5,"MS3"=Data!B$5,"MP1"=Data!B$5,"MP3"=Data!B$5,"MS2"=Data!B$5,"ME5"=Data!B$5,"ME6"=Data!B$5),E22,"")</f>
        <v>6356</v>
      </c>
      <c r="Q22" s="30" t="str">
        <f>IF(OR("MT4"=Data!B$5,"MPU3"=Data!B$5,"MS7"=Data!B$5,"MT1"=Data!B$5,"MT2"=Data!B$5,"ME3"=Data!B$5,"ME4"=Data!B$5),F22,"")</f>
        <v/>
      </c>
      <c r="S22" s="30" t="str">
        <f>IF(OR(O22="",O22=0),"",IF(Data!B$7="BE",I22*2,IF(OR(Data!B$7="CE",Data!B$7="RE"),I22,0))+H22*(ROUNDUP(Data!B$8,0.1)))</f>
        <v/>
      </c>
      <c r="AM22" s="104"/>
      <c r="AN22" s="104"/>
      <c r="AO22" s="104"/>
      <c r="AQ22" s="104"/>
      <c r="AR22" s="104"/>
      <c r="AS22" s="104"/>
      <c r="AT22" s="104"/>
      <c r="AU22" s="104"/>
      <c r="AV22" s="104"/>
      <c r="AW22" s="104"/>
      <c r="AX22" s="104"/>
    </row>
    <row r="23" spans="1:50">
      <c r="A23" s="106">
        <v>250</v>
      </c>
      <c r="B23" s="102">
        <v>160</v>
      </c>
      <c r="C23" s="105" t="s">
        <v>22179</v>
      </c>
      <c r="E23" s="103">
        <v>6670</v>
      </c>
      <c r="F23" s="103">
        <v>7756</v>
      </c>
      <c r="G23" s="103"/>
      <c r="H23" s="434">
        <v>2.8</v>
      </c>
      <c r="I23" s="30">
        <v>350</v>
      </c>
      <c r="K23" s="57">
        <v>250</v>
      </c>
      <c r="L23" s="57">
        <v>160</v>
      </c>
      <c r="M23" s="105" t="s">
        <v>22179</v>
      </c>
      <c r="O23" s="30" t="str">
        <f>IF(Data!B$3="IMH",IF(K23=Data!B$4,IF(L23=Data!B$6,SUM(P23:R23),""),""),"")</f>
        <v/>
      </c>
      <c r="P23" s="30">
        <f>IF(OR("MF1"=Data!B$5,"MF2"=Data!B$5,"MF5"=Data!B$5,"MF6"=Data!B$5,"MS3"=Data!B$5,"MP1"=Data!B$5,"MP3"=Data!B$5,"MS2"=Data!B$5,"ME5"=Data!B$5,"ME6"=Data!B$5),E23,"")</f>
        <v>6670</v>
      </c>
      <c r="Q23" s="30" t="str">
        <f>IF(OR("MT4"=Data!B$5,"MPU3"=Data!B$5,"MS7"=Data!B$5,"MT1"=Data!B$5,"MT2"=Data!B$5,"ME3"=Data!B$5,"ME4"=Data!B$5),F23,"")</f>
        <v/>
      </c>
      <c r="S23" s="30" t="str">
        <f>IF(OR(O23="",O23=0),"",IF(Data!B$7="BE",I23*2,IF(OR(Data!B$7="CE",Data!B$7="RE"),I23,0))+H23*(ROUNDUP(Data!B$8,0.1)))</f>
        <v/>
      </c>
      <c r="AM23" s="104"/>
      <c r="AN23" s="104"/>
      <c r="AO23" s="104"/>
      <c r="AP23" s="104"/>
      <c r="AQ23" s="104"/>
      <c r="AR23" s="104"/>
      <c r="AS23" s="104"/>
      <c r="AT23" s="104"/>
      <c r="AU23" s="104"/>
      <c r="AV23" s="104"/>
      <c r="AW23" s="104"/>
      <c r="AX23" s="104"/>
    </row>
    <row r="24" spans="1:50">
      <c r="A24" s="106">
        <v>250</v>
      </c>
      <c r="B24" s="102">
        <v>180</v>
      </c>
      <c r="C24" s="30" t="s">
        <v>22179</v>
      </c>
      <c r="E24" s="103">
        <v>6416</v>
      </c>
      <c r="F24" s="103">
        <v>7234</v>
      </c>
      <c r="G24" s="103"/>
      <c r="H24" s="434">
        <v>2.4</v>
      </c>
      <c r="I24" s="30">
        <v>350</v>
      </c>
      <c r="K24" s="57">
        <v>250</v>
      </c>
      <c r="L24" s="57">
        <v>180</v>
      </c>
      <c r="M24" s="30" t="s">
        <v>22179</v>
      </c>
      <c r="O24" s="30" t="str">
        <f>IF(Data!B$3="IMH",IF(K24=Data!B$4,IF(L24=Data!B$6,SUM(P24:R24),""),""),"")</f>
        <v/>
      </c>
      <c r="P24" s="30">
        <f>IF(OR("MF1"=Data!B$5,"MF2"=Data!B$5,"MF5"=Data!B$5,"MF6"=Data!B$5,"MS3"=Data!B$5,"MP1"=Data!B$5,"MP3"=Data!B$5,"MS2"=Data!B$5,"ME5"=Data!B$5,"ME6"=Data!B$5),E24,"")</f>
        <v>6416</v>
      </c>
      <c r="Q24" s="30" t="str">
        <f>IF(OR("MT4"=Data!B$5,"MPU3"=Data!B$5,"MS7"=Data!B$5,"MT1"=Data!B$5,"MT2"=Data!B$5,"ME3"=Data!B$5,"ME4"=Data!B$5),F24,"")</f>
        <v/>
      </c>
      <c r="S24" s="30" t="str">
        <f>IF(OR(O24="",O24=0),"",IF(Data!B$7="BE",I24*2,IF(OR(Data!B$7="CE",Data!B$7="RE"),I24,0))+H24*(ROUNDUP(Data!B$8,0.1)))</f>
        <v/>
      </c>
      <c r="AO24" s="104"/>
      <c r="AP24" s="104"/>
      <c r="AQ24" s="104"/>
      <c r="AR24" s="104"/>
      <c r="AS24" s="104"/>
      <c r="AT24" s="104"/>
      <c r="AU24" s="104"/>
      <c r="AV24" s="104"/>
      <c r="AW24" s="104"/>
      <c r="AX24" s="104"/>
    </row>
    <row r="25" spans="1:50">
      <c r="A25" s="106">
        <v>320</v>
      </c>
      <c r="B25" s="102">
        <v>200</v>
      </c>
      <c r="C25" s="30" t="s">
        <v>22180</v>
      </c>
      <c r="E25" s="103">
        <v>7666</v>
      </c>
      <c r="F25" s="103">
        <v>8481</v>
      </c>
      <c r="G25" s="103"/>
      <c r="H25" s="434">
        <v>2.7</v>
      </c>
      <c r="I25" s="30">
        <v>350</v>
      </c>
      <c r="J25" s="108"/>
      <c r="K25" s="57">
        <v>320</v>
      </c>
      <c r="L25" s="57">
        <v>200</v>
      </c>
      <c r="M25" s="30" t="s">
        <v>22180</v>
      </c>
      <c r="O25" s="30" t="str">
        <f>IF(Data!B$3="IMH",IF(K25=Data!B$4,IF(L25=Data!B$6,SUM(P25:R25),""),""),"")</f>
        <v/>
      </c>
      <c r="P25" s="30">
        <f>IF(OR("MF1"=Data!B$5,"MF2"=Data!B$5,"MF5"=Data!B$5,"MF6"=Data!B$5,"MS3"=Data!B$5,"MP1"=Data!B$5,"MP3"=Data!B$5,"MS2"=Data!B$5,"ME5"=Data!B$5,"ME6"=Data!B$5),E25,"")</f>
        <v>7666</v>
      </c>
      <c r="Q25" s="30" t="str">
        <f>IF(OR("MT4"=Data!B$5,"MPU3"=Data!B$5,"MS7"=Data!B$5,"MT1"=Data!B$5,"MT2"=Data!B$5,"ME3"=Data!B$5,"ME4"=Data!B$5),F25,"")</f>
        <v/>
      </c>
      <c r="S25" s="30" t="str">
        <f>IF(OR(O25="",O25=0),"",IF(Data!B$7="BE",I25*2,IF(OR(Data!B$7="CE",Data!B$7="RE"),I25,0))+H25*(ROUNDUP(Data!B$8,0.1)))</f>
        <v/>
      </c>
      <c r="AM25" s="104"/>
      <c r="AN25" s="104"/>
      <c r="AO25" s="104"/>
      <c r="AP25" s="104"/>
      <c r="AQ25" s="104"/>
      <c r="AV25" s="104"/>
      <c r="AW25" s="104"/>
      <c r="AX25" s="104"/>
    </row>
    <row r="26" spans="1:50">
      <c r="A26" s="106">
        <v>320</v>
      </c>
      <c r="B26" s="102">
        <v>220</v>
      </c>
      <c r="C26" s="30" t="s">
        <v>22180</v>
      </c>
      <c r="E26" s="103">
        <v>8195</v>
      </c>
      <c r="F26" s="103">
        <v>9023</v>
      </c>
      <c r="G26" s="103"/>
      <c r="H26" s="434">
        <v>2.9</v>
      </c>
      <c r="I26" s="30">
        <v>350</v>
      </c>
      <c r="J26" s="108"/>
      <c r="K26" s="57">
        <v>320</v>
      </c>
      <c r="L26" s="57">
        <v>220</v>
      </c>
      <c r="M26" s="30" t="s">
        <v>22180</v>
      </c>
      <c r="O26" s="30" t="str">
        <f>IF(Data!B$3="IMH",IF(K26=Data!B$4,IF(L26=Data!B$6,SUM(P26:R26),""),""),"")</f>
        <v/>
      </c>
      <c r="P26" s="30">
        <f>IF(OR("MF1"=Data!B$5,"MF2"=Data!B$5,"MF5"=Data!B$5,"MF6"=Data!B$5,"MS3"=Data!B$5,"MP1"=Data!B$5,"MP3"=Data!B$5,"MS2"=Data!B$5,"ME5"=Data!B$5,"ME6"=Data!B$5),E26,"")</f>
        <v>8195</v>
      </c>
      <c r="Q26" s="30" t="str">
        <f>IF(OR("MT4"=Data!B$5,"MPU3"=Data!B$5,"MS7"=Data!B$5,"MT1"=Data!B$5,"MT2"=Data!B$5,"ME3"=Data!B$5,"ME4"=Data!B$5),F26,"")</f>
        <v/>
      </c>
      <c r="S26" s="30" t="str">
        <f>IF(OR(O26="",O26=0),"",IF(Data!B$7="BE",I26*2,IF(OR(Data!B$7="CE",Data!B$7="RE"),I26,0))+H26*(ROUNDUP(Data!B$8,0.1)))</f>
        <v/>
      </c>
      <c r="AM26" s="104"/>
      <c r="AN26" s="104"/>
      <c r="AO26" s="104"/>
      <c r="AP26" s="104"/>
      <c r="AQ26" s="104"/>
      <c r="AR26" s="104"/>
      <c r="AS26" s="104"/>
      <c r="AT26" s="104"/>
      <c r="AU26" s="104"/>
      <c r="AV26" s="104"/>
      <c r="AW26" s="104"/>
      <c r="AX26" s="104"/>
    </row>
    <row r="27" spans="1:50">
      <c r="O27" s="30">
        <f>SUM(O7:O26)</f>
        <v>0</v>
      </c>
      <c r="S27" s="30">
        <f>SUM(S7:S26)</f>
        <v>0</v>
      </c>
      <c r="AH27" s="104"/>
      <c r="AQ27" s="104"/>
      <c r="AV27" s="104"/>
      <c r="AW27" s="104"/>
    </row>
    <row r="28" spans="1:50">
      <c r="S28" s="30">
        <f>S27+O27</f>
        <v>0</v>
      </c>
      <c r="AH28" s="104"/>
      <c r="AI28" s="104"/>
      <c r="AJ28" s="104"/>
      <c r="AK28" s="104"/>
      <c r="AL28" s="104"/>
      <c r="AM28" s="104"/>
      <c r="AN28" s="104"/>
      <c r="AP28" s="104"/>
      <c r="AQ28" s="104"/>
      <c r="AV28" s="104"/>
      <c r="AW28" s="104"/>
    </row>
    <row r="29" spans="1:50">
      <c r="AH29" s="104"/>
      <c r="AI29" s="104"/>
      <c r="AJ29" s="104"/>
      <c r="AK29" s="104"/>
      <c r="AL29" s="104"/>
      <c r="AM29" s="104"/>
      <c r="AN29" s="104"/>
      <c r="AP29" s="104"/>
      <c r="AQ29" s="104"/>
      <c r="AV29" s="104"/>
      <c r="AW29" s="104"/>
    </row>
    <row r="30" spans="1:50">
      <c r="AH30" s="104"/>
      <c r="AP30" s="104"/>
      <c r="AQ30" s="104"/>
      <c r="AV30" s="104"/>
      <c r="AW30" s="104"/>
    </row>
    <row r="31" spans="1:50">
      <c r="AH31" s="104"/>
      <c r="AI31" s="104"/>
      <c r="AJ31" s="104"/>
      <c r="AK31" s="104"/>
      <c r="AL31" s="104"/>
      <c r="AM31" s="104"/>
      <c r="AN31" s="104"/>
      <c r="AP31" s="104"/>
      <c r="AQ31" s="104"/>
      <c r="AV31" s="104"/>
      <c r="AW31" s="104"/>
    </row>
    <row r="32" spans="1:50">
      <c r="AH32" s="104"/>
      <c r="AI32" s="104"/>
      <c r="AJ32" s="104"/>
      <c r="AK32" s="104"/>
      <c r="AL32" s="104"/>
      <c r="AM32" s="104"/>
      <c r="AN32" s="104"/>
      <c r="AQ32" s="104"/>
      <c r="AV32" s="104"/>
      <c r="AW32" s="104"/>
    </row>
    <row r="33" spans="34:49">
      <c r="AH33" s="104"/>
      <c r="AI33" s="104"/>
      <c r="AJ33" s="104"/>
      <c r="AK33" s="104"/>
      <c r="AL33" s="104"/>
      <c r="AM33" s="104"/>
      <c r="AN33" s="104"/>
      <c r="AQ33" s="104"/>
      <c r="AV33" s="104"/>
      <c r="AW33" s="104"/>
    </row>
    <row r="34" spans="34:49">
      <c r="AH34" s="104"/>
      <c r="AQ34" s="104"/>
      <c r="AV34" s="104"/>
      <c r="AW34" s="104"/>
    </row>
    <row r="35" spans="34:49">
      <c r="AH35" s="104"/>
      <c r="AI35" s="104"/>
      <c r="AJ35" s="104"/>
      <c r="AK35" s="104"/>
      <c r="AL35" s="104"/>
      <c r="AM35" s="104"/>
      <c r="AN35" s="104"/>
      <c r="AQ35" s="104"/>
      <c r="AV35" s="104"/>
      <c r="AW35" s="104"/>
    </row>
    <row r="36" spans="34:49">
      <c r="AH36" s="104"/>
      <c r="AI36" s="104"/>
      <c r="AJ36" s="104"/>
      <c r="AK36" s="104"/>
      <c r="AL36" s="104"/>
      <c r="AM36" s="104"/>
      <c r="AN36" s="104"/>
      <c r="AQ36" s="104"/>
      <c r="AV36" s="104"/>
      <c r="AW36" s="104"/>
    </row>
    <row r="37" spans="34:49">
      <c r="AH37" s="104"/>
      <c r="AI37" s="104"/>
      <c r="AJ37" s="104"/>
      <c r="AK37" s="104"/>
      <c r="AL37" s="104"/>
      <c r="AM37" s="104"/>
      <c r="AN37" s="104"/>
      <c r="AQ37" s="104"/>
      <c r="AV37" s="104"/>
      <c r="AW37" s="104"/>
    </row>
    <row r="38" spans="34:49">
      <c r="AH38" s="104"/>
      <c r="AI38" s="104"/>
      <c r="AJ38" s="104"/>
      <c r="AK38" s="104"/>
      <c r="AL38" s="104"/>
      <c r="AM38" s="104"/>
      <c r="AN38" s="104"/>
      <c r="AQ38" s="104"/>
      <c r="AV38" s="104"/>
      <c r="AW38" s="104"/>
    </row>
    <row r="39" spans="34:49">
      <c r="AH39" s="104"/>
      <c r="AQ39" s="104"/>
      <c r="AV39" s="104"/>
      <c r="AW39" s="104"/>
    </row>
    <row r="40" spans="34:49">
      <c r="AH40" s="104"/>
      <c r="AI40" s="104"/>
      <c r="AJ40" s="104"/>
      <c r="AK40" s="104"/>
      <c r="AL40" s="104"/>
      <c r="AM40" s="104"/>
      <c r="AN40" s="104"/>
      <c r="AQ40" s="104"/>
      <c r="AV40" s="104"/>
      <c r="AW40" s="104"/>
    </row>
    <row r="41" spans="34:49">
      <c r="AH41" s="104"/>
      <c r="AI41" s="104"/>
      <c r="AJ41" s="104"/>
      <c r="AK41" s="104"/>
      <c r="AL41" s="104"/>
      <c r="AM41" s="104"/>
      <c r="AN41" s="104"/>
      <c r="AQ41" s="104"/>
      <c r="AV41" s="104"/>
      <c r="AW41" s="104"/>
    </row>
    <row r="42" spans="34:49">
      <c r="AH42" s="104"/>
      <c r="AI42" s="104"/>
      <c r="AJ42" s="104"/>
      <c r="AK42" s="104"/>
      <c r="AL42" s="104"/>
      <c r="AM42" s="104"/>
      <c r="AN42" s="104"/>
      <c r="AQ42" s="104"/>
      <c r="AV42" s="104"/>
      <c r="AW42" s="104"/>
    </row>
    <row r="43" spans="34:49">
      <c r="AH43" s="104"/>
      <c r="AI43" s="104"/>
      <c r="AJ43" s="104"/>
      <c r="AK43" s="104"/>
      <c r="AL43" s="104"/>
      <c r="AM43" s="104"/>
      <c r="AN43" s="104"/>
      <c r="AQ43" s="104"/>
      <c r="AV43" s="104"/>
      <c r="AW43" s="104"/>
    </row>
    <row r="44" spans="34:49">
      <c r="AH44" s="104"/>
      <c r="AQ44" s="104"/>
      <c r="AV44" s="104"/>
      <c r="AW44" s="104"/>
    </row>
    <row r="45" spans="34:49">
      <c r="AH45" s="104"/>
      <c r="AI45" s="104"/>
      <c r="AJ45" s="104"/>
      <c r="AK45" s="104"/>
      <c r="AL45" s="104"/>
      <c r="AM45" s="104"/>
      <c r="AN45" s="104"/>
      <c r="AQ45" s="104"/>
      <c r="AV45" s="104"/>
      <c r="AW45" s="104"/>
    </row>
    <row r="46" spans="34:49">
      <c r="AH46" s="104"/>
      <c r="AI46" s="104"/>
      <c r="AJ46" s="104"/>
      <c r="AK46" s="104"/>
      <c r="AL46" s="104"/>
      <c r="AM46" s="104"/>
      <c r="AN46" s="104"/>
      <c r="AQ46" s="104"/>
      <c r="AV46" s="104"/>
      <c r="AW46" s="104"/>
    </row>
    <row r="47" spans="34:49">
      <c r="AH47" s="104"/>
      <c r="AI47" s="104"/>
      <c r="AJ47" s="104"/>
      <c r="AK47" s="104"/>
      <c r="AL47" s="104"/>
      <c r="AM47" s="104"/>
      <c r="AN47" s="104"/>
      <c r="AQ47" s="104"/>
      <c r="AV47" s="104"/>
      <c r="AW47" s="104"/>
    </row>
    <row r="48" spans="34:49">
      <c r="AH48" s="104"/>
      <c r="AI48" s="104"/>
      <c r="AJ48" s="104"/>
      <c r="AK48" s="104"/>
      <c r="AL48" s="104"/>
      <c r="AM48" s="104"/>
      <c r="AN48" s="104"/>
      <c r="AQ48" s="104"/>
    </row>
    <row r="49" spans="34:40">
      <c r="AH49" s="104"/>
    </row>
    <row r="50" spans="34:40">
      <c r="AH50" s="104"/>
      <c r="AI50" s="104"/>
      <c r="AJ50" s="104"/>
      <c r="AK50" s="104"/>
      <c r="AL50" s="104"/>
      <c r="AM50" s="104"/>
      <c r="AN50" s="104"/>
    </row>
    <row r="51" spans="34:40">
      <c r="AH51" s="104"/>
      <c r="AI51" s="104"/>
      <c r="AJ51" s="104"/>
      <c r="AK51" s="104"/>
      <c r="AL51" s="104"/>
      <c r="AM51" s="104"/>
      <c r="AN51" s="104"/>
    </row>
    <row r="52" spans="34:40">
      <c r="AH52" s="104"/>
      <c r="AI52" s="104"/>
      <c r="AJ52" s="104"/>
      <c r="AK52" s="104"/>
      <c r="AL52" s="104"/>
      <c r="AM52" s="104"/>
      <c r="AN52" s="104"/>
    </row>
    <row r="53" spans="34:40">
      <c r="AH53" s="104"/>
      <c r="AI53" s="104"/>
      <c r="AJ53" s="104"/>
      <c r="AK53" s="104"/>
      <c r="AL53" s="104"/>
      <c r="AM53" s="104"/>
      <c r="AN53" s="104"/>
    </row>
    <row r="54" spans="34:40">
      <c r="AH54" s="104"/>
    </row>
    <row r="55" spans="34:40">
      <c r="AH55" s="104"/>
      <c r="AI55" s="104"/>
      <c r="AJ55" s="104"/>
      <c r="AK55" s="104"/>
      <c r="AL55" s="104"/>
      <c r="AM55" s="104"/>
      <c r="AN55" s="104"/>
    </row>
    <row r="56" spans="34:40">
      <c r="AH56" s="104"/>
      <c r="AI56" s="104"/>
      <c r="AJ56" s="104"/>
      <c r="AK56" s="104"/>
      <c r="AL56" s="104"/>
      <c r="AM56" s="104"/>
      <c r="AN56" s="104"/>
    </row>
    <row r="57" spans="34:40">
      <c r="AH57" s="104"/>
      <c r="AI57" s="104"/>
      <c r="AJ57" s="104"/>
      <c r="AK57" s="104"/>
      <c r="AL57" s="104"/>
      <c r="AM57" s="104"/>
      <c r="AN57" s="104"/>
    </row>
    <row r="58" spans="34:40">
      <c r="AH58" s="104"/>
      <c r="AI58" s="104"/>
      <c r="AJ58" s="104"/>
      <c r="AK58" s="104"/>
      <c r="AL58" s="104"/>
      <c r="AM58" s="104"/>
      <c r="AN58" s="104"/>
    </row>
    <row r="59" spans="34:40">
      <c r="AH59" s="104"/>
    </row>
    <row r="60" spans="34:40">
      <c r="AH60" s="104"/>
      <c r="AI60" s="104"/>
      <c r="AJ60" s="104"/>
      <c r="AK60" s="104"/>
      <c r="AL60" s="104"/>
      <c r="AM60" s="104"/>
      <c r="AN60" s="104"/>
    </row>
    <row r="61" spans="34:40">
      <c r="AH61" s="104"/>
      <c r="AI61" s="104"/>
      <c r="AJ61" s="104"/>
      <c r="AK61" s="104"/>
      <c r="AL61" s="104"/>
      <c r="AM61" s="104"/>
      <c r="AN61" s="104"/>
    </row>
    <row r="62" spans="34:40">
      <c r="AH62" s="104"/>
      <c r="AI62" s="104"/>
      <c r="AJ62" s="104"/>
      <c r="AK62" s="104"/>
      <c r="AL62" s="104"/>
      <c r="AM62" s="104"/>
      <c r="AN62" s="104"/>
    </row>
    <row r="63" spans="34:40">
      <c r="AH63" s="104"/>
      <c r="AI63" s="104"/>
      <c r="AJ63" s="104"/>
      <c r="AK63" s="104"/>
      <c r="AL63" s="104"/>
      <c r="AM63" s="104"/>
      <c r="AN63" s="104"/>
    </row>
    <row r="64" spans="34:40">
      <c r="AH64" s="104"/>
    </row>
    <row r="65" spans="34:40">
      <c r="AH65" s="104"/>
      <c r="AI65" s="104"/>
      <c r="AJ65" s="104"/>
      <c r="AK65" s="104"/>
      <c r="AL65" s="104"/>
      <c r="AM65" s="104"/>
      <c r="AN65" s="104"/>
    </row>
    <row r="66" spans="34:40">
      <c r="AH66" s="104"/>
      <c r="AI66" s="104"/>
      <c r="AJ66" s="104"/>
      <c r="AK66" s="104"/>
      <c r="AL66" s="104"/>
      <c r="AM66" s="104"/>
      <c r="AN66" s="104"/>
    </row>
    <row r="67" spans="34:40">
      <c r="AH67" s="104"/>
      <c r="AI67" s="104"/>
      <c r="AJ67" s="104"/>
      <c r="AK67" s="104"/>
      <c r="AL67" s="104"/>
      <c r="AM67" s="104"/>
      <c r="AN67" s="104"/>
    </row>
    <row r="68" spans="34:40">
      <c r="AH68" s="104"/>
      <c r="AI68" s="104"/>
      <c r="AJ68" s="104"/>
      <c r="AK68" s="104"/>
      <c r="AL68" s="104"/>
      <c r="AM68" s="104"/>
      <c r="AN68" s="104"/>
    </row>
  </sheetData>
  <mergeCells count="10">
    <mergeCell ref="AM7:AN7"/>
    <mergeCell ref="AR7:AS7"/>
    <mergeCell ref="AT7:AU7"/>
    <mergeCell ref="AV7:AW7"/>
    <mergeCell ref="A1:I1"/>
    <mergeCell ref="A2:I2"/>
    <mergeCell ref="W5:AA5"/>
    <mergeCell ref="AC6:AF6"/>
    <mergeCell ref="AI6:AN6"/>
    <mergeCell ref="AR6:AW6"/>
  </mergeCells>
  <phoneticPr fontId="2" type="noConversion"/>
  <printOptions horizontalCentered="1" verticalCentered="1"/>
  <pageMargins left="0.25" right="0.25" top="0.25" bottom="0.25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/>
  <dimension ref="A1:AX93"/>
  <sheetViews>
    <sheetView showGridLines="0" workbookViewId="0">
      <selection activeCell="A7" sqref="A7:A8"/>
    </sheetView>
  </sheetViews>
  <sheetFormatPr defaultColWidth="9.08984375" defaultRowHeight="11.5"/>
  <cols>
    <col min="1" max="1" width="6" style="30" bestFit="1" customWidth="1"/>
    <col min="2" max="2" width="7.453125" style="45" customWidth="1"/>
    <col min="3" max="3" width="9.36328125" style="30" customWidth="1"/>
    <col min="4" max="4" width="9.36328125" style="30" bestFit="1" customWidth="1"/>
    <col min="5" max="5" width="7.36328125" style="30" customWidth="1"/>
    <col min="6" max="6" width="7.81640625" style="30" customWidth="1"/>
    <col min="7" max="7" width="9.54296875" style="30" customWidth="1"/>
    <col min="8" max="8" width="7.54296875" style="30" customWidth="1"/>
    <col min="9" max="9" width="8.54296875" style="30" customWidth="1"/>
    <col min="10" max="10" width="9.08984375" style="30"/>
    <col min="11" max="11" width="6.36328125" style="30" bestFit="1" customWidth="1"/>
    <col min="12" max="12" width="6.36328125" style="45" bestFit="1" customWidth="1"/>
    <col min="13" max="13" width="9.36328125" style="30" customWidth="1"/>
    <col min="14" max="14" width="9.36328125" style="30" bestFit="1" customWidth="1"/>
    <col min="15" max="15" width="7.36328125" style="30" customWidth="1"/>
    <col min="16" max="16" width="9.81640625" style="30" customWidth="1"/>
    <col min="17" max="18" width="6.54296875" style="30" customWidth="1"/>
    <col min="19" max="20" width="7.54296875" style="30" customWidth="1"/>
    <col min="21" max="21" width="8.54296875" style="30" customWidth="1"/>
    <col min="22" max="22" width="10.54296875" style="30" customWidth="1"/>
    <col min="23" max="34" width="9.08984375" style="30"/>
    <col min="35" max="36" width="5.54296875" style="30" bestFit="1" customWidth="1"/>
    <col min="37" max="40" width="6.54296875" style="30" bestFit="1" customWidth="1"/>
    <col min="41" max="41" width="9" style="30" customWidth="1"/>
    <col min="42" max="42" width="6.54296875" style="30" customWidth="1"/>
    <col min="43" max="43" width="11.453125" style="30" bestFit="1" customWidth="1"/>
    <col min="44" max="45" width="7.81640625" style="30" bestFit="1" customWidth="1"/>
    <col min="46" max="49" width="6.54296875" style="30" bestFit="1" customWidth="1"/>
    <col min="50" max="16384" width="9.08984375" style="30"/>
  </cols>
  <sheetData>
    <row r="1" spans="1:50">
      <c r="A1" s="592" t="s">
        <v>472</v>
      </c>
      <c r="B1" s="592"/>
      <c r="C1" s="592"/>
      <c r="D1" s="592"/>
      <c r="E1" s="592"/>
      <c r="F1" s="592"/>
      <c r="G1" s="592"/>
      <c r="H1" s="592"/>
      <c r="I1" s="592"/>
      <c r="L1" s="30"/>
    </row>
    <row r="2" spans="1:50">
      <c r="A2" s="592" t="s">
        <v>159</v>
      </c>
      <c r="B2" s="592"/>
      <c r="C2" s="592"/>
      <c r="D2" s="592"/>
      <c r="E2" s="592"/>
      <c r="F2" s="592"/>
      <c r="G2" s="592"/>
      <c r="H2" s="592"/>
      <c r="I2" s="592"/>
      <c r="L2" s="30"/>
    </row>
    <row r="3" spans="1:50">
      <c r="B3" s="30"/>
      <c r="I3" s="100"/>
      <c r="L3" s="30"/>
      <c r="U3" s="100"/>
    </row>
    <row r="4" spans="1:50">
      <c r="E4" s="34"/>
      <c r="F4" s="34"/>
      <c r="G4" s="34"/>
      <c r="P4" s="34"/>
      <c r="Q4" s="34"/>
      <c r="R4" s="34"/>
    </row>
    <row r="5" spans="1:50">
      <c r="E5" s="34"/>
      <c r="F5" s="34"/>
      <c r="G5" s="34"/>
      <c r="P5" s="34"/>
      <c r="Q5" s="34"/>
      <c r="R5" s="34"/>
      <c r="W5" s="592"/>
      <c r="X5" s="592"/>
      <c r="Y5" s="592"/>
      <c r="Z5" s="592"/>
      <c r="AA5" s="592"/>
    </row>
    <row r="6" spans="1:50" ht="68.25" customHeight="1">
      <c r="A6" s="34" t="s">
        <v>633</v>
      </c>
      <c r="B6" s="101" t="s">
        <v>632</v>
      </c>
      <c r="C6" s="34" t="s">
        <v>103</v>
      </c>
      <c r="D6" s="34" t="s">
        <v>186</v>
      </c>
      <c r="E6" s="34" t="s">
        <v>77</v>
      </c>
      <c r="F6" s="34" t="s">
        <v>97</v>
      </c>
      <c r="G6" s="34"/>
      <c r="H6" s="34" t="s">
        <v>616</v>
      </c>
      <c r="I6" s="34" t="s">
        <v>571</v>
      </c>
      <c r="K6" s="34" t="s">
        <v>633</v>
      </c>
      <c r="L6" s="101" t="s">
        <v>632</v>
      </c>
      <c r="M6" s="34" t="s">
        <v>420</v>
      </c>
      <c r="N6" s="34" t="s">
        <v>397</v>
      </c>
      <c r="O6" s="34"/>
      <c r="P6" s="34" t="s">
        <v>75</v>
      </c>
      <c r="Q6" s="34" t="s">
        <v>527</v>
      </c>
      <c r="R6" s="34"/>
      <c r="S6" s="34"/>
      <c r="T6" s="34"/>
      <c r="U6" s="34"/>
      <c r="V6" s="33"/>
      <c r="W6" s="33"/>
      <c r="X6" s="34"/>
      <c r="Y6" s="34"/>
      <c r="Z6" s="34"/>
      <c r="AA6" s="34"/>
      <c r="AC6" s="592"/>
      <c r="AD6" s="592"/>
      <c r="AE6" s="592"/>
      <c r="AF6" s="592"/>
      <c r="AI6" s="592"/>
      <c r="AJ6" s="592"/>
      <c r="AK6" s="592"/>
      <c r="AL6" s="592"/>
      <c r="AM6" s="592"/>
      <c r="AN6" s="592"/>
      <c r="AR6" s="592"/>
      <c r="AS6" s="592"/>
      <c r="AT6" s="592"/>
      <c r="AU6" s="592"/>
      <c r="AV6" s="592"/>
      <c r="AW6" s="592"/>
    </row>
    <row r="7" spans="1:50" ht="13.5" customHeight="1">
      <c r="A7" s="612">
        <v>1.5</v>
      </c>
      <c r="B7" s="102">
        <v>0.625</v>
      </c>
      <c r="C7" s="30" t="s">
        <v>607</v>
      </c>
      <c r="D7" s="30" t="s">
        <v>189</v>
      </c>
      <c r="E7" s="103">
        <v>2538</v>
      </c>
      <c r="F7" s="103">
        <v>2882</v>
      </c>
      <c r="G7" s="103"/>
      <c r="H7" s="103">
        <v>16</v>
      </c>
      <c r="I7" s="30">
        <v>296</v>
      </c>
      <c r="K7" s="43">
        <v>1.5</v>
      </c>
      <c r="L7" s="104">
        <v>0.625</v>
      </c>
      <c r="M7" s="30" t="s">
        <v>607</v>
      </c>
      <c r="N7" s="30" t="s">
        <v>189</v>
      </c>
      <c r="O7" s="30" t="str">
        <f>IF(Data!B$3="MH",IF(K7=Data!B$4,IF(L7=Data!B$6,SUM(P7:R7),""),""),"")</f>
        <v/>
      </c>
      <c r="P7" s="30">
        <f>IF(OR("MF1"=Data!B$5,"MF2"=Data!B$5,"MF5"=Data!B$5,"MF6"=Data!B$5,"MS3"=Data!B$5,"MP1"=Data!B$5,"MP3"=Data!B$5,"MS2"=Data!B$5,"ME5"=Data!B$5,"ME6"=Data!B$5),E7,"")</f>
        <v>2538</v>
      </c>
      <c r="Q7" s="30" t="str">
        <f>IF(OR("MT4"=Data!B$5,"MPU3"=Data!B$5,"MS7"=Data!B$5,"MT1"=Data!B$5,"MT2"=Data!B$5,"ME3"=Data!B$5,"ME4"=Data!B$5),F7,"")</f>
        <v/>
      </c>
      <c r="S7" s="30" t="str">
        <f>IF(OR(O7="",O7=0),"",IF(Data!B$7="BE",I7*2,IF(OR(Data!B$7="CE",Data!B$7="RE"),I7,0))+H7*(ROUNDUP(Data!B$8,0.1)))</f>
        <v/>
      </c>
      <c r="AM7" s="592"/>
      <c r="AN7" s="592"/>
      <c r="AQ7" s="104"/>
      <c r="AR7" s="592"/>
      <c r="AS7" s="592"/>
      <c r="AT7" s="592"/>
      <c r="AU7" s="592"/>
      <c r="AV7" s="592"/>
      <c r="AW7" s="592"/>
    </row>
    <row r="8" spans="1:50" ht="14.25" customHeight="1">
      <c r="A8" s="612"/>
      <c r="B8" s="102">
        <v>1</v>
      </c>
      <c r="C8" s="105" t="s">
        <v>856</v>
      </c>
      <c r="D8" s="105" t="s">
        <v>392</v>
      </c>
      <c r="E8" s="103">
        <v>2944</v>
      </c>
      <c r="F8" s="103">
        <v>3327</v>
      </c>
      <c r="G8" s="103"/>
      <c r="H8" s="103">
        <v>23</v>
      </c>
      <c r="I8" s="30">
        <v>296</v>
      </c>
      <c r="K8" s="43">
        <v>1.5</v>
      </c>
      <c r="L8" s="104">
        <v>1</v>
      </c>
      <c r="M8" s="105" t="s">
        <v>856</v>
      </c>
      <c r="N8" s="105" t="s">
        <v>392</v>
      </c>
      <c r="O8" s="30" t="str">
        <f>IF(Data!B$3="MH",IF(K8=Data!B$4,IF(L8=Data!B$6,SUM(P8:R8),""),""),"")</f>
        <v/>
      </c>
      <c r="P8" s="30">
        <f>IF(OR("MF1"=Data!B$5,"MF2"=Data!B$5,"MF5"=Data!B$5,"MF6"=Data!B$5,"MS3"=Data!B$5,"MP1"=Data!B$5,"MP3"=Data!B$5,"MS2"=Data!B$5,"ME5"=Data!B$5,"ME6"=Data!B$5),E8,"")</f>
        <v>2944</v>
      </c>
      <c r="Q8" s="30" t="str">
        <f>IF(OR("MT4"=Data!B$5,"MPU3"=Data!B$5,"MS7"=Data!B$5,"MT1"=Data!B$5,"MT2"=Data!B$5,"ME3"=Data!B$5,"ME4"=Data!B$5),F8,"")</f>
        <v/>
      </c>
      <c r="S8" s="30" t="str">
        <f>IF(OR(O8="",O8=0),"",IF(Data!B$7="BE",I8*2,IF(OR(Data!B$7="CE",Data!B$7="RE"),I8,0))+H8*(ROUNDUP(Data!B$8,0.1)))</f>
        <v/>
      </c>
      <c r="AM8" s="104"/>
      <c r="AN8" s="104"/>
      <c r="AO8" s="104"/>
      <c r="AP8" s="104"/>
      <c r="AQ8" s="104"/>
      <c r="AR8" s="104"/>
      <c r="AS8" s="104"/>
      <c r="AT8" s="104"/>
      <c r="AU8" s="104"/>
      <c r="AV8" s="104"/>
      <c r="AW8" s="104"/>
      <c r="AX8" s="104"/>
    </row>
    <row r="9" spans="1:50">
      <c r="A9" s="613">
        <v>2</v>
      </c>
      <c r="B9" s="102">
        <v>1</v>
      </c>
      <c r="C9" s="30" t="s">
        <v>856</v>
      </c>
      <c r="D9" s="30" t="s">
        <v>392</v>
      </c>
      <c r="E9" s="103">
        <v>2238</v>
      </c>
      <c r="F9" s="103">
        <v>2803</v>
      </c>
      <c r="G9" s="103"/>
      <c r="H9" s="103">
        <v>17</v>
      </c>
      <c r="I9" s="30">
        <v>296</v>
      </c>
      <c r="K9" s="43">
        <v>2</v>
      </c>
      <c r="L9" s="104">
        <v>1</v>
      </c>
      <c r="M9" s="30" t="s">
        <v>856</v>
      </c>
      <c r="N9" s="30" t="s">
        <v>392</v>
      </c>
      <c r="O9" s="30" t="str">
        <f>IF(Data!B$3="MH",IF(K9=Data!B$4,IF(L9=Data!B$6,SUM(P9:R9),""),""),"")</f>
        <v/>
      </c>
      <c r="P9" s="30">
        <f>IF(OR("MF1"=Data!B$5,"MF2"=Data!B$5,"MF5"=Data!B$5,"MF6"=Data!B$5,"MS3"=Data!B$5,"MP1"=Data!B$5,"MP3"=Data!B$5,"MS2"=Data!B$5,"ME5"=Data!B$5,"ME6"=Data!B$5),E9,"")</f>
        <v>2238</v>
      </c>
      <c r="Q9" s="30" t="str">
        <f>IF(OR("MT4"=Data!B$5,"MPU3"=Data!B$5,"MS7"=Data!B$5,"MT1"=Data!B$5,"MT2"=Data!B$5,"ME3"=Data!B$5,"ME4"=Data!B$5),F9,"")</f>
        <v/>
      </c>
      <c r="S9" s="30" t="str">
        <f>IF(OR(O9="",O9=0),"",IF(Data!B$7="BE",I9*2,IF(OR(Data!B$7="CE",Data!B$7="RE"),I9,0))+H9*(ROUNDUP(Data!B$8,0.1)))</f>
        <v/>
      </c>
      <c r="AM9" s="104"/>
      <c r="AN9" s="104"/>
      <c r="AO9" s="104"/>
      <c r="AP9" s="104"/>
      <c r="AQ9" s="104"/>
      <c r="AR9" s="104"/>
      <c r="AS9" s="104"/>
      <c r="AT9" s="104"/>
      <c r="AU9" s="104"/>
      <c r="AV9" s="104"/>
      <c r="AW9" s="104"/>
      <c r="AX9" s="104"/>
    </row>
    <row r="10" spans="1:50">
      <c r="A10" s="613"/>
      <c r="B10" s="102">
        <v>1.375</v>
      </c>
      <c r="C10" s="107" t="s">
        <v>857</v>
      </c>
      <c r="D10" s="30" t="s">
        <v>858</v>
      </c>
      <c r="E10" s="103">
        <v>2649</v>
      </c>
      <c r="F10" s="103">
        <v>3170</v>
      </c>
      <c r="G10" s="103"/>
      <c r="H10" s="103">
        <v>24</v>
      </c>
      <c r="I10" s="30">
        <v>296</v>
      </c>
      <c r="K10" s="43">
        <v>2</v>
      </c>
      <c r="L10" s="104">
        <v>1.375</v>
      </c>
      <c r="M10" s="107" t="s">
        <v>857</v>
      </c>
      <c r="N10" s="30" t="s">
        <v>858</v>
      </c>
      <c r="O10" s="30" t="str">
        <f>IF(Data!B$3="MH",IF(K10=Data!B$4,IF(L10=Data!B$6,SUM(P10:R10),""),""),"")</f>
        <v/>
      </c>
      <c r="P10" s="30">
        <f>IF(OR("MF1"=Data!B$5,"MF2"=Data!B$5,"MF5"=Data!B$5,"MF6"=Data!B$5,"MS3"=Data!B$5,"MP1"=Data!B$5,"MP3"=Data!B$5,"MS2"=Data!B$5,"ME5"=Data!B$5,"ME6"=Data!B$5),E10,"")</f>
        <v>2649</v>
      </c>
      <c r="Q10" s="30" t="str">
        <f>IF(OR("MT4"=Data!B$5,"MPU3"=Data!B$5,"MS7"=Data!B$5,"MT1"=Data!B$5,"MT2"=Data!B$5,"ME3"=Data!B$5,"ME4"=Data!B$5),F10,"")</f>
        <v/>
      </c>
      <c r="S10" s="30" t="str">
        <f>IF(OR(O10="",O10=0),"",IF(Data!B$7="BE",I10*2,IF(OR(Data!B$7="CE",Data!B$7="RE"),I10,0))+H10*(ROUNDUP(Data!B$8,0.1)))</f>
        <v/>
      </c>
      <c r="AO10" s="104"/>
      <c r="AQ10" s="104"/>
      <c r="AV10" s="104"/>
      <c r="AW10" s="104"/>
      <c r="AX10" s="104"/>
    </row>
    <row r="11" spans="1:50">
      <c r="A11" s="612">
        <v>2.5</v>
      </c>
      <c r="B11" s="102">
        <v>1</v>
      </c>
      <c r="C11" s="30" t="s">
        <v>856</v>
      </c>
      <c r="D11" s="30" t="s">
        <v>392</v>
      </c>
      <c r="E11" s="103">
        <v>2649</v>
      </c>
      <c r="F11" s="103">
        <v>3330</v>
      </c>
      <c r="G11" s="103"/>
      <c r="H11" s="103">
        <v>25</v>
      </c>
      <c r="I11" s="30">
        <v>296</v>
      </c>
      <c r="K11" s="43">
        <v>2.5</v>
      </c>
      <c r="L11" s="104">
        <v>1</v>
      </c>
      <c r="M11" s="30" t="s">
        <v>856</v>
      </c>
      <c r="N11" s="30" t="s">
        <v>392</v>
      </c>
      <c r="O11" s="30" t="str">
        <f>IF(Data!B$3="MH",IF(K11=Data!B$4,IF(L11=Data!B$6,SUM(P11:R11),""),""),"")</f>
        <v/>
      </c>
      <c r="P11" s="30">
        <f>IF(OR("MF1"=Data!B$5,"MF2"=Data!B$5,"MF5"=Data!B$5,"MF6"=Data!B$5,"MS3"=Data!B$5,"MP1"=Data!B$5,"MP3"=Data!B$5,"MS2"=Data!B$5,"ME5"=Data!B$5,"ME6"=Data!B$5),E11,"")</f>
        <v>2649</v>
      </c>
      <c r="Q11" s="30" t="str">
        <f>IF(OR("MT4"=Data!B$5,"MPU3"=Data!B$5,"MS7"=Data!B$5,"MT1"=Data!B$5,"MT2"=Data!B$5,"ME3"=Data!B$5,"ME4"=Data!B$5),F11,"")</f>
        <v/>
      </c>
      <c r="S11" s="30" t="str">
        <f>IF(OR(O11="",O11=0),"",IF(Data!B$7="BE",I11*2,IF(OR(Data!B$7="CE",Data!B$7="RE"),I11,0))+H11*(ROUNDUP(Data!B$8,0.1)))</f>
        <v/>
      </c>
      <c r="AM11" s="104"/>
      <c r="AN11" s="104"/>
      <c r="AO11" s="104"/>
      <c r="AQ11" s="104"/>
      <c r="AR11" s="104"/>
      <c r="AS11" s="104"/>
      <c r="AT11" s="104"/>
      <c r="AU11" s="104"/>
      <c r="AV11" s="104"/>
      <c r="AW11" s="104"/>
      <c r="AX11" s="104"/>
    </row>
    <row r="12" spans="1:50">
      <c r="A12" s="612"/>
      <c r="B12" s="102">
        <v>1.375</v>
      </c>
      <c r="C12" s="30" t="s">
        <v>857</v>
      </c>
      <c r="D12" s="30" t="s">
        <v>858</v>
      </c>
      <c r="E12" s="103">
        <v>2930</v>
      </c>
      <c r="F12" s="103">
        <v>3579</v>
      </c>
      <c r="G12" s="103"/>
      <c r="H12" s="103">
        <v>26</v>
      </c>
      <c r="I12" s="30">
        <v>296</v>
      </c>
      <c r="K12" s="43">
        <v>2.5</v>
      </c>
      <c r="L12" s="104">
        <v>1.375</v>
      </c>
      <c r="M12" s="30" t="s">
        <v>857</v>
      </c>
      <c r="N12" s="30" t="s">
        <v>858</v>
      </c>
      <c r="O12" s="30" t="str">
        <f>IF(Data!B$3="MH",IF(K12=Data!B$4,IF(L12=Data!B$6,SUM(P12:R12),""),""),"")</f>
        <v/>
      </c>
      <c r="P12" s="30">
        <f>IF(OR("MF1"=Data!B$5,"MF2"=Data!B$5,"MF5"=Data!B$5,"MF6"=Data!B$5,"MS3"=Data!B$5,"MP1"=Data!B$5,"MP3"=Data!B$5,"MS2"=Data!B$5,"ME5"=Data!B$5,"ME6"=Data!B$5),E12,"")</f>
        <v>2930</v>
      </c>
      <c r="Q12" s="30" t="str">
        <f>IF(OR("MT4"=Data!B$5,"MPU3"=Data!B$5,"MS7"=Data!B$5,"MT1"=Data!B$5,"MT2"=Data!B$5,"ME3"=Data!B$5,"ME4"=Data!B$5),F12,"")</f>
        <v/>
      </c>
      <c r="S12" s="30" t="str">
        <f>IF(OR(O12="",O12=0),"",IF(Data!B$7="BE",I12*2,IF(OR(Data!B$7="CE",Data!B$7="RE"),I12,0))+H12*(ROUNDUP(Data!B$8,0.1)))</f>
        <v/>
      </c>
      <c r="AM12" s="104"/>
      <c r="AN12" s="104"/>
      <c r="AO12" s="104"/>
      <c r="AP12" s="104"/>
      <c r="AQ12" s="104"/>
      <c r="AR12" s="104"/>
      <c r="AS12" s="104"/>
      <c r="AT12" s="104"/>
      <c r="AU12" s="104"/>
      <c r="AV12" s="104"/>
      <c r="AW12" s="104"/>
      <c r="AX12" s="104"/>
    </row>
    <row r="13" spans="1:50">
      <c r="A13" s="612"/>
      <c r="B13" s="102">
        <v>1.75</v>
      </c>
      <c r="C13" s="105" t="s">
        <v>858</v>
      </c>
      <c r="D13" s="30" t="s">
        <v>521</v>
      </c>
      <c r="E13" s="103">
        <v>3362</v>
      </c>
      <c r="F13" s="103">
        <v>4008</v>
      </c>
      <c r="G13" s="103"/>
      <c r="H13" s="103">
        <v>27</v>
      </c>
      <c r="I13" s="30">
        <v>296</v>
      </c>
      <c r="K13" s="43">
        <v>2.5</v>
      </c>
      <c r="L13" s="104">
        <v>1.75</v>
      </c>
      <c r="M13" s="105" t="s">
        <v>858</v>
      </c>
      <c r="N13" s="30" t="s">
        <v>521</v>
      </c>
      <c r="O13" s="30" t="str">
        <f>IF(Data!B$3="MH",IF(K13=Data!B$4,IF(L13=Data!B$6,SUM(P13:R13),""),""),"")</f>
        <v/>
      </c>
      <c r="P13" s="30">
        <f>IF(OR("MF1"=Data!B$5,"MF2"=Data!B$5,"MF5"=Data!B$5,"MF6"=Data!B$5,"MS3"=Data!B$5,"MP1"=Data!B$5,"MP3"=Data!B$5,"MS2"=Data!B$5,"ME5"=Data!B$5,"ME6"=Data!B$5),E13,"")</f>
        <v>3362</v>
      </c>
      <c r="Q13" s="30" t="str">
        <f>IF(OR("MT4"=Data!B$5,"MPU3"=Data!B$5,"MS7"=Data!B$5,"MT1"=Data!B$5,"MT2"=Data!B$5,"ME3"=Data!B$5,"ME4"=Data!B$5),F13,"")</f>
        <v/>
      </c>
      <c r="S13" s="30" t="str">
        <f>IF(OR(O13="",O13=0),"",IF(Data!B$7="BE",I13*2,IF(OR(Data!B$7="CE",Data!B$7="RE"),I13,0))+H13*(ROUNDUP(Data!B$8,0.1)))</f>
        <v/>
      </c>
      <c r="AM13" s="104"/>
      <c r="AN13" s="104"/>
      <c r="AO13" s="104"/>
      <c r="AP13" s="104"/>
      <c r="AQ13" s="104"/>
      <c r="AV13" s="104"/>
      <c r="AW13" s="104"/>
      <c r="AX13" s="104"/>
    </row>
    <row r="14" spans="1:50">
      <c r="A14" s="612">
        <v>3.25</v>
      </c>
      <c r="B14" s="102">
        <v>1.375</v>
      </c>
      <c r="C14" s="30" t="s">
        <v>857</v>
      </c>
      <c r="D14" s="30" t="s">
        <v>858</v>
      </c>
      <c r="E14" s="103">
        <v>2989</v>
      </c>
      <c r="F14" s="103">
        <v>3579</v>
      </c>
      <c r="G14" s="103"/>
      <c r="H14" s="103">
        <v>27</v>
      </c>
      <c r="I14" s="30">
        <v>296</v>
      </c>
      <c r="K14" s="43">
        <v>3.25</v>
      </c>
      <c r="L14" s="104">
        <v>1.375</v>
      </c>
      <c r="M14" s="30" t="s">
        <v>857</v>
      </c>
      <c r="N14" s="30" t="s">
        <v>858</v>
      </c>
      <c r="O14" s="30" t="str">
        <f>IF(Data!B$3="MH",IF(K14=Data!B$4,IF(L14=Data!B$6,SUM(P14:R14),""),""),"")</f>
        <v/>
      </c>
      <c r="P14" s="30">
        <f>IF(OR("MF1"=Data!B$5,"MF2"=Data!B$5,"MF5"=Data!B$5,"MF6"=Data!B$5,"MS3"=Data!B$5,"MP1"=Data!B$5,"MP3"=Data!B$5,"MS2"=Data!B$5,"ME5"=Data!B$5,"ME6"=Data!B$5),E14,"")</f>
        <v>2989</v>
      </c>
      <c r="Q14" s="30" t="str">
        <f>IF(OR("MT4"=Data!B$5,"MPU3"=Data!B$5,"MS7"=Data!B$5,"MT1"=Data!B$5,"MT2"=Data!B$5,"ME3"=Data!B$5,"ME4"=Data!B$5),F14,"")</f>
        <v/>
      </c>
      <c r="S14" s="30" t="str">
        <f>IF(OR(O14="",O14=0),"",IF(Data!B$7="BE",I14*2,IF(OR(Data!B$7="CE",Data!B$7="RE"),I14,0))+H14*(ROUNDUP(Data!B$8,0.1)))</f>
        <v/>
      </c>
      <c r="AO14" s="104"/>
      <c r="AP14" s="104"/>
      <c r="AQ14" s="104"/>
      <c r="AR14" s="104"/>
      <c r="AS14" s="104"/>
      <c r="AT14" s="104"/>
      <c r="AU14" s="104"/>
      <c r="AV14" s="104"/>
      <c r="AW14" s="104"/>
      <c r="AX14" s="104"/>
    </row>
    <row r="15" spans="1:50">
      <c r="A15" s="612"/>
      <c r="B15" s="102">
        <v>1.75</v>
      </c>
      <c r="C15" s="30" t="s">
        <v>858</v>
      </c>
      <c r="D15" s="30" t="s">
        <v>521</v>
      </c>
      <c r="E15" s="103">
        <v>3579</v>
      </c>
      <c r="F15" s="103">
        <v>4249</v>
      </c>
      <c r="G15" s="103"/>
      <c r="H15" s="103">
        <v>29</v>
      </c>
      <c r="I15" s="30">
        <v>296</v>
      </c>
      <c r="K15" s="43">
        <v>3.25</v>
      </c>
      <c r="L15" s="104">
        <v>1.75</v>
      </c>
      <c r="M15" s="30" t="s">
        <v>858</v>
      </c>
      <c r="N15" s="30" t="s">
        <v>521</v>
      </c>
      <c r="O15" s="30" t="str">
        <f>IF(Data!B$3="MH",IF(K15=Data!B$4,IF(L15=Data!B$6,SUM(P15:R15),""),""),"")</f>
        <v/>
      </c>
      <c r="P15" s="30">
        <f>IF(OR("MF1"=Data!B$5,"MF2"=Data!B$5,"MF5"=Data!B$5,"MF6"=Data!B$5,"MS3"=Data!B$5,"MP1"=Data!B$5,"MP3"=Data!B$5,"MS2"=Data!B$5,"ME5"=Data!B$5,"ME6"=Data!B$5),E15,"")</f>
        <v>3579</v>
      </c>
      <c r="Q15" s="30" t="str">
        <f>IF(OR("MT4"=Data!B$5,"MPU3"=Data!B$5,"MS7"=Data!B$5,"MT1"=Data!B$5,"MT2"=Data!B$5,"ME3"=Data!B$5,"ME4"=Data!B$5),F15,"")</f>
        <v/>
      </c>
      <c r="S15" s="30" t="str">
        <f>IF(OR(O15="",O15=0),"",IF(Data!B$7="BE",I15*2,IF(OR(Data!B$7="CE",Data!B$7="RE"),I15,0))+H15*(ROUNDUP(Data!B$8,0.1)))</f>
        <v/>
      </c>
      <c r="AM15" s="104"/>
      <c r="AN15" s="104"/>
      <c r="AO15" s="104"/>
      <c r="AQ15" s="104"/>
      <c r="AR15" s="104"/>
      <c r="AS15" s="104"/>
      <c r="AT15" s="104"/>
      <c r="AU15" s="104"/>
      <c r="AV15" s="104"/>
      <c r="AW15" s="104"/>
      <c r="AX15" s="104"/>
    </row>
    <row r="16" spans="1:50">
      <c r="A16" s="612"/>
      <c r="B16" s="102">
        <v>2</v>
      </c>
      <c r="C16" s="105" t="s">
        <v>521</v>
      </c>
      <c r="D16" s="105" t="s">
        <v>602</v>
      </c>
      <c r="E16" s="103">
        <v>3891</v>
      </c>
      <c r="F16" s="103">
        <v>4571</v>
      </c>
      <c r="G16" s="103"/>
      <c r="H16" s="103">
        <v>29</v>
      </c>
      <c r="I16" s="30">
        <v>296</v>
      </c>
      <c r="K16" s="43">
        <v>3.25</v>
      </c>
      <c r="L16" s="104">
        <v>2</v>
      </c>
      <c r="M16" s="105" t="s">
        <v>521</v>
      </c>
      <c r="N16" s="105" t="s">
        <v>602</v>
      </c>
      <c r="O16" s="30" t="str">
        <f>IF(Data!B$3="MH",IF(K16=Data!B$4,IF(L16=Data!B$6,SUM(P16:R16),""),""),"")</f>
        <v/>
      </c>
      <c r="P16" s="30">
        <f>IF(OR("MF1"=Data!B$5,"MF2"=Data!B$5,"MF5"=Data!B$5,"MF6"=Data!B$5,"MS3"=Data!B$5,"MP1"=Data!B$5,"MP3"=Data!B$5,"MS2"=Data!B$5,"ME5"=Data!B$5,"ME6"=Data!B$5),E16,"")</f>
        <v>3891</v>
      </c>
      <c r="Q16" s="30" t="str">
        <f>IF(OR("MT4"=Data!B$5,"MPU3"=Data!B$5,"MS7"=Data!B$5,"MT1"=Data!B$5,"MT2"=Data!B$5,"ME3"=Data!B$5,"ME4"=Data!B$5),F16,"")</f>
        <v/>
      </c>
      <c r="S16" s="30" t="str">
        <f>IF(OR(O16="",O16=0),"",IF(Data!B$7="BE",I16*2,IF(OR(Data!B$7="CE",Data!B$7="RE"),I16,0))+H16*(ROUNDUP(Data!B$8,0.1)))</f>
        <v/>
      </c>
      <c r="AM16" s="104"/>
      <c r="AN16" s="104"/>
      <c r="AO16" s="104"/>
      <c r="AQ16" s="104"/>
      <c r="AR16" s="104"/>
      <c r="AS16" s="104"/>
      <c r="AT16" s="104"/>
      <c r="AU16" s="104"/>
      <c r="AV16" s="104"/>
      <c r="AW16" s="104"/>
      <c r="AX16" s="104"/>
    </row>
    <row r="17" spans="1:50">
      <c r="A17" s="613">
        <v>4</v>
      </c>
      <c r="B17" s="102">
        <v>1.75</v>
      </c>
      <c r="C17" s="30" t="s">
        <v>858</v>
      </c>
      <c r="D17" s="30" t="s">
        <v>521</v>
      </c>
      <c r="E17" s="103">
        <v>3715</v>
      </c>
      <c r="F17" s="103">
        <v>4584</v>
      </c>
      <c r="G17" s="103"/>
      <c r="H17" s="103">
        <v>35</v>
      </c>
      <c r="I17" s="30">
        <v>296</v>
      </c>
      <c r="K17" s="43">
        <v>4</v>
      </c>
      <c r="L17" s="104">
        <v>1.75</v>
      </c>
      <c r="M17" s="30" t="s">
        <v>858</v>
      </c>
      <c r="N17" s="30" t="s">
        <v>521</v>
      </c>
      <c r="O17" s="30" t="str">
        <f>IF(Data!B$3="MH",IF(K17=Data!B$4,IF(L17=Data!B$6,SUM(P17:R17),""),""),"")</f>
        <v/>
      </c>
      <c r="P17" s="30">
        <f>IF(OR("MF1"=Data!B$5,"MF2"=Data!B$5,"MF5"=Data!B$5,"MF6"=Data!B$5,"MS3"=Data!B$5,"MP1"=Data!B$5,"MP3"=Data!B$5,"MS2"=Data!B$5,"ME5"=Data!B$5,"ME6"=Data!B$5),E17,"")</f>
        <v>3715</v>
      </c>
      <c r="Q17" s="30" t="str">
        <f>IF(OR("MT4"=Data!B$5,"MPU3"=Data!B$5,"MS7"=Data!B$5,"MT1"=Data!B$5,"MT2"=Data!B$5,"ME3"=Data!B$5,"ME4"=Data!B$5),F17,"")</f>
        <v/>
      </c>
      <c r="S17" s="30" t="str">
        <f>IF(OR(O17="",O17=0),"",IF(Data!B$7="BE",I17*2,IF(OR(Data!B$7="CE",Data!B$7="RE"),I17,0))+H17*(ROUNDUP(Data!B$8,0.1)))</f>
        <v/>
      </c>
      <c r="AM17" s="104"/>
      <c r="AN17" s="104"/>
      <c r="AO17" s="104"/>
      <c r="AP17" s="104"/>
      <c r="AQ17" s="104"/>
      <c r="AV17" s="104"/>
      <c r="AW17" s="104"/>
      <c r="AX17" s="104"/>
    </row>
    <row r="18" spans="1:50">
      <c r="A18" s="613"/>
      <c r="B18" s="102">
        <v>2</v>
      </c>
      <c r="C18" s="30" t="s">
        <v>521</v>
      </c>
      <c r="D18" s="30" t="s">
        <v>602</v>
      </c>
      <c r="E18" s="103">
        <v>4293</v>
      </c>
      <c r="F18" s="103">
        <v>5204</v>
      </c>
      <c r="G18" s="103"/>
      <c r="H18" s="103">
        <v>35</v>
      </c>
      <c r="I18" s="30">
        <v>296</v>
      </c>
      <c r="K18" s="43">
        <v>4</v>
      </c>
      <c r="L18" s="104">
        <v>2</v>
      </c>
      <c r="M18" s="30" t="s">
        <v>521</v>
      </c>
      <c r="N18" s="30" t="s">
        <v>602</v>
      </c>
      <c r="O18" s="30" t="str">
        <f>IF(Data!B$3="MH",IF(K18=Data!B$4,IF(L18=Data!B$6,SUM(P18:R18),""),""),"")</f>
        <v/>
      </c>
      <c r="P18" s="30">
        <f>IF(OR("MF1"=Data!B$5,"MF2"=Data!B$5,"MF5"=Data!B$5,"MF6"=Data!B$5,"MS3"=Data!B$5,"MP1"=Data!B$5,"MP3"=Data!B$5,"MS2"=Data!B$5,"ME5"=Data!B$5,"ME6"=Data!B$5),E18,"")</f>
        <v>4293</v>
      </c>
      <c r="Q18" s="30" t="str">
        <f>IF(OR("MT4"=Data!B$5,"MPU3"=Data!B$5,"MS7"=Data!B$5,"MT1"=Data!B$5,"MT2"=Data!B$5,"ME3"=Data!B$5,"ME4"=Data!B$5),F18,"")</f>
        <v/>
      </c>
      <c r="S18" s="30" t="str">
        <f>IF(OR(O18="",O18=0),"",IF(Data!B$7="BE",I18*2,IF(OR(Data!B$7="CE",Data!B$7="RE"),I18,0))+H18*(ROUNDUP(Data!B$8,0.1)))</f>
        <v/>
      </c>
      <c r="AM18" s="104"/>
      <c r="AN18" s="104"/>
      <c r="AO18" s="104"/>
      <c r="AP18" s="104"/>
      <c r="AQ18" s="104"/>
      <c r="AR18" s="104"/>
      <c r="AS18" s="104"/>
      <c r="AT18" s="104"/>
      <c r="AU18" s="104"/>
      <c r="AV18" s="104"/>
      <c r="AW18" s="104"/>
      <c r="AX18" s="104"/>
    </row>
    <row r="19" spans="1:50">
      <c r="A19" s="613"/>
      <c r="B19" s="102">
        <v>2.5</v>
      </c>
      <c r="C19" s="105" t="s">
        <v>619</v>
      </c>
      <c r="D19" s="30" t="s">
        <v>721</v>
      </c>
      <c r="E19" s="103">
        <v>4630</v>
      </c>
      <c r="F19" s="103">
        <v>5570</v>
      </c>
      <c r="G19" s="103"/>
      <c r="H19" s="103">
        <v>35</v>
      </c>
      <c r="I19" s="30">
        <v>296</v>
      </c>
      <c r="K19" s="43">
        <v>4</v>
      </c>
      <c r="L19" s="104">
        <v>2.5</v>
      </c>
      <c r="M19" s="105" t="s">
        <v>619</v>
      </c>
      <c r="N19" s="30" t="s">
        <v>721</v>
      </c>
      <c r="O19" s="30" t="str">
        <f>IF(Data!B$3="MH",IF(K19=Data!B$4,IF(L19=Data!B$6,SUM(P19:R19),""),""),"")</f>
        <v/>
      </c>
      <c r="P19" s="30">
        <f>IF(OR("MF1"=Data!B$5,"MF2"=Data!B$5,"MF5"=Data!B$5,"MF6"=Data!B$5,"MS3"=Data!B$5,"MP1"=Data!B$5,"MP3"=Data!B$5,"MS2"=Data!B$5,"ME5"=Data!B$5,"ME6"=Data!B$5),E19,"")</f>
        <v>4630</v>
      </c>
      <c r="Q19" s="30" t="str">
        <f>IF(OR("MT4"=Data!B$5,"MPU3"=Data!B$5,"MS7"=Data!B$5,"MT1"=Data!B$5,"MT2"=Data!B$5,"ME3"=Data!B$5,"ME4"=Data!B$5),F19,"")</f>
        <v/>
      </c>
      <c r="S19" s="30" t="str">
        <f>IF(OR(O19="",O19=0),"",IF(Data!B$7="BE",I19*2,IF(OR(Data!B$7="CE",Data!B$7="RE"),I19,0))+H19*(ROUNDUP(Data!B$8,0.1)))</f>
        <v/>
      </c>
      <c r="AO19" s="104"/>
      <c r="AP19" s="104"/>
      <c r="AQ19" s="104"/>
      <c r="AR19" s="104"/>
      <c r="AS19" s="104"/>
      <c r="AT19" s="104"/>
      <c r="AU19" s="104"/>
      <c r="AV19" s="104"/>
      <c r="AW19" s="104"/>
      <c r="AX19" s="104"/>
    </row>
    <row r="20" spans="1:50">
      <c r="A20" s="613">
        <v>5</v>
      </c>
      <c r="B20" s="102">
        <v>2</v>
      </c>
      <c r="C20" s="30" t="s">
        <v>521</v>
      </c>
      <c r="D20" s="30" t="s">
        <v>602</v>
      </c>
      <c r="E20" s="103">
        <v>4492</v>
      </c>
      <c r="F20" s="103">
        <v>5436</v>
      </c>
      <c r="G20" s="103"/>
      <c r="H20" s="103">
        <v>42</v>
      </c>
      <c r="I20" s="30">
        <v>296</v>
      </c>
      <c r="K20" s="43">
        <v>5</v>
      </c>
      <c r="L20" s="104">
        <v>2</v>
      </c>
      <c r="M20" s="30" t="s">
        <v>521</v>
      </c>
      <c r="N20" s="30" t="s">
        <v>602</v>
      </c>
      <c r="O20" s="30" t="str">
        <f>IF(Data!B$3="MH",IF(K20=Data!B$4,IF(L20=Data!B$6,SUM(P20:R20),""),""),"")</f>
        <v/>
      </c>
      <c r="P20" s="30">
        <f>IF(OR("MF1"=Data!B$5,"MF2"=Data!B$5,"MF5"=Data!B$5,"MF6"=Data!B$5,"MS3"=Data!B$5,"MP1"=Data!B$5,"MP3"=Data!B$5,"MS2"=Data!B$5,"ME5"=Data!B$5,"ME6"=Data!B$5),E20,"")</f>
        <v>4492</v>
      </c>
      <c r="Q20" s="30" t="str">
        <f>IF(OR("MT4"=Data!B$5,"MPU3"=Data!B$5,"MS7"=Data!B$5,"MT1"=Data!B$5,"MT2"=Data!B$5,"ME3"=Data!B$5,"ME4"=Data!B$5),F20,"")</f>
        <v/>
      </c>
      <c r="S20" s="30" t="str">
        <f>IF(OR(O20="",O20=0),"",IF(Data!B$7="BE",I20*2,IF(OR(Data!B$7="CE",Data!B$7="RE"),I20,0))+H20*(ROUNDUP(Data!B$8,0.1)))</f>
        <v/>
      </c>
      <c r="AM20" s="104"/>
      <c r="AN20" s="104"/>
      <c r="AO20" s="104"/>
      <c r="AP20" s="104"/>
      <c r="AQ20" s="104"/>
      <c r="AR20" s="104"/>
      <c r="AS20" s="104"/>
      <c r="AT20" s="104"/>
      <c r="AU20" s="104"/>
      <c r="AV20" s="104"/>
      <c r="AW20" s="104"/>
      <c r="AX20" s="104"/>
    </row>
    <row r="21" spans="1:50">
      <c r="A21" s="613"/>
      <c r="B21" s="102">
        <v>2.5</v>
      </c>
      <c r="C21" s="30" t="s">
        <v>619</v>
      </c>
      <c r="D21" s="30" t="s">
        <v>721</v>
      </c>
      <c r="E21" s="103">
        <v>5116</v>
      </c>
      <c r="F21" s="103">
        <v>6076</v>
      </c>
      <c r="G21" s="103"/>
      <c r="H21" s="103">
        <v>48</v>
      </c>
      <c r="I21" s="30">
        <v>296</v>
      </c>
      <c r="K21" s="43">
        <v>5</v>
      </c>
      <c r="L21" s="104">
        <v>2.5</v>
      </c>
      <c r="M21" s="30" t="s">
        <v>619</v>
      </c>
      <c r="N21" s="30" t="s">
        <v>721</v>
      </c>
      <c r="O21" s="30" t="str">
        <f>IF(Data!B$3="MH",IF(K21=Data!B$4,IF(L21=Data!B$6,SUM(P21:R21),""),""),"")</f>
        <v/>
      </c>
      <c r="P21" s="30">
        <f>IF(OR("MF1"=Data!B$5,"MF2"=Data!B$5,"MF5"=Data!B$5,"MF6"=Data!B$5,"MS3"=Data!B$5,"MP1"=Data!B$5,"MP3"=Data!B$5,"MS2"=Data!B$5,"ME5"=Data!B$5,"ME6"=Data!B$5),E21,"")</f>
        <v>5116</v>
      </c>
      <c r="Q21" s="30" t="str">
        <f>IF(OR("MT4"=Data!B$5,"MPU3"=Data!B$5,"MS7"=Data!B$5,"MT1"=Data!B$5,"MT2"=Data!B$5,"ME3"=Data!B$5,"ME4"=Data!B$5),F21,"")</f>
        <v/>
      </c>
      <c r="S21" s="30" t="str">
        <f>IF(OR(O21="",O21=0),"",IF(Data!B$7="BE",I21*2,IF(OR(Data!B$7="CE",Data!B$7="RE"),I21,0))+H21*(ROUNDUP(Data!B$8,0.1)))</f>
        <v/>
      </c>
      <c r="AM21" s="104"/>
      <c r="AN21" s="104"/>
      <c r="AO21" s="104"/>
      <c r="AQ21" s="104"/>
      <c r="AV21" s="104"/>
      <c r="AW21" s="104"/>
      <c r="AX21" s="104"/>
    </row>
    <row r="22" spans="1:50">
      <c r="A22" s="613"/>
      <c r="B22" s="102">
        <v>3</v>
      </c>
      <c r="C22" s="105" t="s">
        <v>721</v>
      </c>
      <c r="D22" s="105" t="s">
        <v>860</v>
      </c>
      <c r="E22" s="103">
        <v>5561</v>
      </c>
      <c r="F22" s="103">
        <v>6514</v>
      </c>
      <c r="G22" s="103"/>
      <c r="H22" s="103">
        <v>51</v>
      </c>
      <c r="I22" s="30">
        <v>296</v>
      </c>
      <c r="K22" s="43">
        <v>5</v>
      </c>
      <c r="L22" s="104">
        <v>3</v>
      </c>
      <c r="M22" s="105" t="s">
        <v>721</v>
      </c>
      <c r="N22" s="105" t="s">
        <v>860</v>
      </c>
      <c r="O22" s="30" t="str">
        <f>IF(Data!B$3="MH",IF(K22=Data!B$4,IF(L22=Data!B$6,SUM(P22:R22),""),""),"")</f>
        <v/>
      </c>
      <c r="P22" s="30">
        <f>IF(OR("MF1"=Data!B$5,"MF2"=Data!B$5,"MF5"=Data!B$5,"MF6"=Data!B$5,"MS3"=Data!B$5,"MP1"=Data!B$5,"MP3"=Data!B$5,"MS2"=Data!B$5,"ME5"=Data!B$5,"ME6"=Data!B$5),E22,"")</f>
        <v>5561</v>
      </c>
      <c r="Q22" s="30" t="str">
        <f>IF(OR("MT4"=Data!B$5,"MPU3"=Data!B$5,"MS7"=Data!B$5,"MT1"=Data!B$5,"MT2"=Data!B$5,"ME3"=Data!B$5,"ME4"=Data!B$5),F22,"")</f>
        <v/>
      </c>
      <c r="S22" s="30" t="str">
        <f>IF(OR(O22="",O22=0),"",IF(Data!B$7="BE",I22*2,IF(OR(Data!B$7="CE",Data!B$7="RE"),I22,0))+H22*(ROUNDUP(Data!B$8,0.1)))</f>
        <v/>
      </c>
      <c r="AM22" s="104"/>
      <c r="AN22" s="104"/>
      <c r="AO22" s="104"/>
      <c r="AQ22" s="104"/>
      <c r="AR22" s="104"/>
      <c r="AS22" s="104"/>
      <c r="AT22" s="104"/>
      <c r="AU22" s="104"/>
      <c r="AV22" s="104"/>
      <c r="AW22" s="104"/>
      <c r="AX22" s="104"/>
    </row>
    <row r="23" spans="1:50">
      <c r="A23" s="613"/>
      <c r="B23" s="102">
        <v>3.5</v>
      </c>
      <c r="C23" s="105" t="s">
        <v>722</v>
      </c>
      <c r="D23" s="30" t="s">
        <v>302</v>
      </c>
      <c r="E23" s="103">
        <v>5836</v>
      </c>
      <c r="F23" s="103">
        <v>6787</v>
      </c>
      <c r="G23" s="103"/>
      <c r="H23" s="103">
        <v>59</v>
      </c>
      <c r="I23" s="30">
        <v>296</v>
      </c>
      <c r="K23" s="43">
        <v>5</v>
      </c>
      <c r="L23" s="104">
        <v>3.5</v>
      </c>
      <c r="M23" s="105" t="s">
        <v>722</v>
      </c>
      <c r="N23" s="30" t="s">
        <v>302</v>
      </c>
      <c r="O23" s="30" t="str">
        <f>IF(Data!B$3="MH",IF(K23=Data!B$4,IF(L23=Data!B$6,SUM(P23:R23),""),""),"")</f>
        <v/>
      </c>
      <c r="P23" s="30">
        <f>IF(OR("MF1"=Data!B$5,"MF2"=Data!B$5,"MF5"=Data!B$5,"MF6"=Data!B$5,"MS3"=Data!B$5,"MP1"=Data!B$5,"MP3"=Data!B$5,"MS2"=Data!B$5,"ME5"=Data!B$5,"ME6"=Data!B$5),E23,"")</f>
        <v>5836</v>
      </c>
      <c r="Q23" s="30" t="str">
        <f>IF(OR("MT4"=Data!B$5,"MPU3"=Data!B$5,"MS7"=Data!B$5,"MT1"=Data!B$5,"MT2"=Data!B$5,"ME3"=Data!B$5,"ME4"=Data!B$5),F23,"")</f>
        <v/>
      </c>
      <c r="S23" s="30" t="str">
        <f>IF(OR(O23="",O23=0),"",IF(Data!B$7="BE",I23*2,IF(OR(Data!B$7="CE",Data!B$7="RE"),I23,0))+H23*(ROUNDUP(Data!B$8,0.1)))</f>
        <v/>
      </c>
      <c r="AM23" s="104"/>
      <c r="AN23" s="104"/>
      <c r="AO23" s="104"/>
      <c r="AP23" s="104"/>
      <c r="AQ23" s="104"/>
      <c r="AR23" s="104"/>
      <c r="AS23" s="104"/>
      <c r="AT23" s="104"/>
      <c r="AU23" s="104"/>
      <c r="AV23" s="104"/>
      <c r="AW23" s="104"/>
      <c r="AX23" s="104"/>
    </row>
    <row r="24" spans="1:50">
      <c r="A24" s="613">
        <v>6</v>
      </c>
      <c r="B24" s="102">
        <v>2.5</v>
      </c>
      <c r="C24" s="30" t="s">
        <v>619</v>
      </c>
      <c r="D24" s="30" t="s">
        <v>721</v>
      </c>
      <c r="E24" s="103">
        <v>5614</v>
      </c>
      <c r="F24" s="103">
        <v>6330</v>
      </c>
      <c r="G24" s="103"/>
      <c r="H24" s="103">
        <v>51</v>
      </c>
      <c r="I24" s="30">
        <v>296</v>
      </c>
      <c r="K24" s="43">
        <v>6</v>
      </c>
      <c r="L24" s="104">
        <v>2.5</v>
      </c>
      <c r="M24" s="30" t="s">
        <v>619</v>
      </c>
      <c r="N24" s="30" t="s">
        <v>721</v>
      </c>
      <c r="O24" s="30" t="str">
        <f>IF(Data!B$3="MH",IF(K24=Data!B$4,IF(L24=Data!B$6,SUM(P24:R24),""),""),"")</f>
        <v/>
      </c>
      <c r="P24" s="30">
        <f>IF(OR("MF1"=Data!B$5,"MF2"=Data!B$5,"MF5"=Data!B$5,"MF6"=Data!B$5,"MS3"=Data!B$5,"MP1"=Data!B$5,"MP3"=Data!B$5,"MS2"=Data!B$5,"ME5"=Data!B$5,"ME6"=Data!B$5),E24,"")</f>
        <v>5614</v>
      </c>
      <c r="Q24" s="30" t="str">
        <f>IF(OR("MT4"=Data!B$5,"MPU3"=Data!B$5,"MS7"=Data!B$5,"MT1"=Data!B$5,"MT2"=Data!B$5,"ME3"=Data!B$5,"ME4"=Data!B$5),F24,"")</f>
        <v/>
      </c>
      <c r="S24" s="30" t="str">
        <f>IF(OR(O24="",O24=0),"",IF(Data!B$7="BE",I24*2,IF(OR(Data!B$7="CE",Data!B$7="RE"),I24,0))+H24*(ROUNDUP(Data!B$8,0.1)))</f>
        <v/>
      </c>
      <c r="AO24" s="104"/>
      <c r="AP24" s="104"/>
      <c r="AQ24" s="104"/>
      <c r="AR24" s="104"/>
      <c r="AS24" s="104"/>
      <c r="AT24" s="104"/>
      <c r="AU24" s="104"/>
      <c r="AV24" s="104"/>
      <c r="AW24" s="104"/>
      <c r="AX24" s="104"/>
    </row>
    <row r="25" spans="1:50">
      <c r="A25" s="613"/>
      <c r="B25" s="102">
        <v>3</v>
      </c>
      <c r="C25" s="30" t="s">
        <v>721</v>
      </c>
      <c r="D25" s="30" t="s">
        <v>860</v>
      </c>
      <c r="E25" s="103">
        <v>6708</v>
      </c>
      <c r="F25" s="103">
        <v>7421</v>
      </c>
      <c r="G25" s="103"/>
      <c r="H25" s="103">
        <v>57</v>
      </c>
      <c r="I25" s="30">
        <v>296</v>
      </c>
      <c r="J25" s="108"/>
      <c r="K25" s="43">
        <v>6</v>
      </c>
      <c r="L25" s="104">
        <v>3</v>
      </c>
      <c r="M25" s="30" t="s">
        <v>721</v>
      </c>
      <c r="N25" s="30" t="s">
        <v>860</v>
      </c>
      <c r="O25" s="30" t="str">
        <f>IF(Data!B$3="MH",IF(K25=Data!B$4,IF(L25=Data!B$6,SUM(P25:R25),""),""),"")</f>
        <v/>
      </c>
      <c r="P25" s="30">
        <f>IF(OR("MF1"=Data!B$5,"MF2"=Data!B$5,"MF5"=Data!B$5,"MF6"=Data!B$5,"MS3"=Data!B$5,"MP1"=Data!B$5,"MP3"=Data!B$5,"MS2"=Data!B$5,"ME5"=Data!B$5,"ME6"=Data!B$5),E25,"")</f>
        <v>6708</v>
      </c>
      <c r="Q25" s="30" t="str">
        <f>IF(OR("MT4"=Data!B$5,"MPU3"=Data!B$5,"MS7"=Data!B$5,"MT1"=Data!B$5,"MT2"=Data!B$5,"ME3"=Data!B$5,"ME4"=Data!B$5),F25,"")</f>
        <v/>
      </c>
      <c r="S25" s="30" t="str">
        <f>IF(OR(O25="",O25=0),"",IF(Data!B$7="BE",I25*2,IF(OR(Data!B$7="CE",Data!B$7="RE"),I25,0))+H25*(ROUNDUP(Data!B$8,0.1)))</f>
        <v/>
      </c>
      <c r="AM25" s="104"/>
      <c r="AN25" s="104"/>
      <c r="AO25" s="104"/>
      <c r="AP25" s="104"/>
      <c r="AQ25" s="104"/>
      <c r="AV25" s="104"/>
      <c r="AW25" s="104"/>
      <c r="AX25" s="104"/>
    </row>
    <row r="26" spans="1:50">
      <c r="A26" s="613"/>
      <c r="B26" s="102">
        <v>3.5</v>
      </c>
      <c r="C26" s="30" t="s">
        <v>722</v>
      </c>
      <c r="D26" s="30" t="s">
        <v>302</v>
      </c>
      <c r="E26" s="103">
        <v>7171</v>
      </c>
      <c r="F26" s="103">
        <v>7895</v>
      </c>
      <c r="G26" s="103"/>
      <c r="H26" s="103">
        <v>61</v>
      </c>
      <c r="I26" s="30">
        <v>296</v>
      </c>
      <c r="J26" s="108"/>
      <c r="K26" s="43">
        <v>6</v>
      </c>
      <c r="L26" s="104">
        <v>3.5</v>
      </c>
      <c r="M26" s="30" t="s">
        <v>722</v>
      </c>
      <c r="N26" s="30" t="s">
        <v>302</v>
      </c>
      <c r="O26" s="30" t="str">
        <f>IF(Data!B$3="MH",IF(K26=Data!B$4,IF(L26=Data!B$6,SUM(P26:R26),""),""),"")</f>
        <v/>
      </c>
      <c r="P26" s="30">
        <f>IF(OR("MF1"=Data!B$5,"MF2"=Data!B$5,"MF5"=Data!B$5,"MF6"=Data!B$5,"MS3"=Data!B$5,"MP1"=Data!B$5,"MP3"=Data!B$5,"MS2"=Data!B$5,"ME5"=Data!B$5,"ME6"=Data!B$5),E26,"")</f>
        <v>7171</v>
      </c>
      <c r="Q26" s="30" t="str">
        <f>IF(OR("MT4"=Data!B$5,"MPU3"=Data!B$5,"MS7"=Data!B$5,"MT1"=Data!B$5,"MT2"=Data!B$5,"ME3"=Data!B$5,"ME4"=Data!B$5),F26,"")</f>
        <v/>
      </c>
      <c r="S26" s="30" t="str">
        <f>IF(OR(O26="",O26=0),"",IF(Data!B$7="BE",I26*2,IF(OR(Data!B$7="CE",Data!B$7="RE"),I26,0))+H26*(ROUNDUP(Data!B$8,0.1)))</f>
        <v/>
      </c>
      <c r="AM26" s="104"/>
      <c r="AN26" s="104"/>
      <c r="AO26" s="104"/>
      <c r="AP26" s="104"/>
      <c r="AQ26" s="104"/>
      <c r="AR26" s="104"/>
      <c r="AS26" s="104"/>
      <c r="AT26" s="104"/>
      <c r="AU26" s="104"/>
      <c r="AV26" s="104"/>
      <c r="AW26" s="104"/>
      <c r="AX26" s="104"/>
    </row>
    <row r="27" spans="1:50">
      <c r="A27" s="613"/>
      <c r="B27" s="102">
        <v>4</v>
      </c>
      <c r="C27" s="107" t="s">
        <v>373</v>
      </c>
      <c r="D27" s="105" t="s">
        <v>446</v>
      </c>
      <c r="E27" s="103">
        <v>7720</v>
      </c>
      <c r="F27" s="103">
        <v>8432</v>
      </c>
      <c r="G27" s="103"/>
      <c r="H27" s="103">
        <v>67</v>
      </c>
      <c r="I27" s="30">
        <v>296</v>
      </c>
      <c r="J27" s="108"/>
      <c r="K27" s="43">
        <v>6</v>
      </c>
      <c r="L27" s="104">
        <v>4</v>
      </c>
      <c r="M27" s="107" t="s">
        <v>373</v>
      </c>
      <c r="N27" s="105" t="s">
        <v>446</v>
      </c>
      <c r="O27" s="30" t="str">
        <f>IF(Data!B$3="MH",IF(K27=Data!B$4,IF(L27=Data!B$6,SUM(P27:R27),""),""),"")</f>
        <v/>
      </c>
      <c r="P27" s="30">
        <f>IF(OR("MF1"=Data!B$5,"MF2"=Data!B$5,"MF5"=Data!B$5,"MF6"=Data!B$5,"MS3"=Data!B$5,"MP1"=Data!B$5,"MP3"=Data!B$5,"MS2"=Data!B$5,"ME5"=Data!B$5,"ME6"=Data!B$5),E27,"")</f>
        <v>7720</v>
      </c>
      <c r="Q27" s="30" t="str">
        <f>IF(OR("MT4"=Data!B$5,"MPU3"=Data!B$5,"MS7"=Data!B$5,"MT1"=Data!B$5,"MT2"=Data!B$5,"ME3"=Data!B$5,"ME4"=Data!B$5),F27,"")</f>
        <v/>
      </c>
      <c r="S27" s="30" t="str">
        <f>IF(OR(O27="",O27=0),"",IF(Data!B$7="BE",I27*2,IF(OR(Data!B$7="CE",Data!B$7="RE"),I27,0))+H27*(ROUNDUP(Data!B$8,0.1)))</f>
        <v/>
      </c>
      <c r="AM27" s="104"/>
      <c r="AN27" s="104"/>
      <c r="AO27" s="104"/>
      <c r="AQ27" s="104"/>
      <c r="AR27" s="104"/>
      <c r="AS27" s="104"/>
      <c r="AT27" s="104"/>
      <c r="AU27" s="104"/>
      <c r="AV27" s="104"/>
      <c r="AW27" s="104"/>
      <c r="AX27" s="104"/>
    </row>
    <row r="28" spans="1:50">
      <c r="A28" s="613">
        <v>7</v>
      </c>
      <c r="B28" s="102">
        <v>3</v>
      </c>
      <c r="C28" s="30" t="s">
        <v>721</v>
      </c>
      <c r="D28" s="30" t="s">
        <v>860</v>
      </c>
      <c r="E28" s="103">
        <v>7747</v>
      </c>
      <c r="F28" s="103">
        <v>8449</v>
      </c>
      <c r="G28" s="103"/>
      <c r="H28" s="103">
        <v>59</v>
      </c>
      <c r="I28" s="30">
        <v>336</v>
      </c>
      <c r="J28" s="108"/>
      <c r="K28" s="43">
        <v>7</v>
      </c>
      <c r="L28" s="104">
        <v>3</v>
      </c>
      <c r="M28" s="30" t="s">
        <v>721</v>
      </c>
      <c r="N28" s="30" t="s">
        <v>860</v>
      </c>
      <c r="O28" s="30" t="str">
        <f>IF(Data!B$3="MH",IF(K28=Data!B$4,IF(L28=Data!B$6,SUM(P28:R28),""),""),"")</f>
        <v/>
      </c>
      <c r="P28" s="30">
        <f>IF(OR("MF1"=Data!B$5,"MF2"=Data!B$5,"MF5"=Data!B$5,"MF6"=Data!B$5,"MS3"=Data!B$5,"MP1"=Data!B$5,"MP3"=Data!B$5,"MS2"=Data!B$5,"ME5"=Data!B$5,"ME6"=Data!B$5),E28,"")</f>
        <v>7747</v>
      </c>
      <c r="Q28" s="30" t="str">
        <f>IF(OR("MT4"=Data!B$5,"MPU3"=Data!B$5,"MS7"=Data!B$5,"MT1"=Data!B$5,"MT2"=Data!B$5,"ME3"=Data!B$5,"ME4"=Data!B$5),F28,"")</f>
        <v/>
      </c>
      <c r="S28" s="30" t="str">
        <f>IF(OR(O28="",O28=0),"",IF(Data!B$7="BE",I28*2,IF(OR(Data!B$7="CE",Data!B$7="RE"),I28,0))+H28*(ROUNDUP(Data!B$8,0.1)))</f>
        <v/>
      </c>
      <c r="AM28" s="104"/>
      <c r="AN28" s="104"/>
      <c r="AO28" s="104"/>
      <c r="AR28" s="104"/>
      <c r="AS28" s="104"/>
      <c r="AT28" s="104"/>
      <c r="AU28" s="104"/>
      <c r="AV28" s="104"/>
      <c r="AW28" s="104"/>
      <c r="AX28" s="104"/>
    </row>
    <row r="29" spans="1:50">
      <c r="A29" s="613"/>
      <c r="B29" s="102">
        <v>3.5</v>
      </c>
      <c r="C29" s="30" t="s">
        <v>722</v>
      </c>
      <c r="D29" s="30" t="s">
        <v>302</v>
      </c>
      <c r="E29" s="103">
        <v>8503</v>
      </c>
      <c r="F29" s="103">
        <v>9192</v>
      </c>
      <c r="G29" s="103"/>
      <c r="H29" s="103">
        <v>67</v>
      </c>
      <c r="I29" s="30">
        <v>336</v>
      </c>
      <c r="J29" s="108"/>
      <c r="K29" s="43">
        <v>7</v>
      </c>
      <c r="L29" s="104">
        <v>3.5</v>
      </c>
      <c r="M29" s="30" t="s">
        <v>722</v>
      </c>
      <c r="N29" s="30" t="s">
        <v>302</v>
      </c>
      <c r="O29" s="30" t="str">
        <f>IF(Data!B$3="MH",IF(K29=Data!B$4,IF(L29=Data!B$6,SUM(P29:R29),""),""),"")</f>
        <v/>
      </c>
      <c r="P29" s="30">
        <f>IF(OR("MF1"=Data!B$5,"MF2"=Data!B$5,"MF5"=Data!B$5,"MF6"=Data!B$5,"MS3"=Data!B$5,"MP1"=Data!B$5,"MP3"=Data!B$5,"MS2"=Data!B$5,"ME5"=Data!B$5,"ME6"=Data!B$5),E29,"")</f>
        <v>8503</v>
      </c>
      <c r="Q29" s="30" t="str">
        <f>IF(OR("MT4"=Data!B$5,"MPU3"=Data!B$5,"MS7"=Data!B$5,"MT1"=Data!B$5,"MT2"=Data!B$5,"ME3"=Data!B$5,"ME4"=Data!B$5),F29,"")</f>
        <v/>
      </c>
      <c r="S29" s="30" t="str">
        <f>IF(OR(O29="",O29=0),"",IF(Data!B$7="BE",I29*2,IF(OR(Data!B$7="CE",Data!B$7="RE"),I29,0))+H29*(ROUNDUP(Data!B$8,0.1)))</f>
        <v/>
      </c>
      <c r="AO29" s="104"/>
      <c r="AP29" s="104"/>
      <c r="AR29" s="104"/>
      <c r="AS29" s="104"/>
      <c r="AT29" s="104"/>
      <c r="AU29" s="104"/>
      <c r="AV29" s="104"/>
      <c r="AW29" s="104"/>
      <c r="AX29" s="104"/>
    </row>
    <row r="30" spans="1:50">
      <c r="A30" s="613"/>
      <c r="B30" s="102">
        <v>4</v>
      </c>
      <c r="C30" s="30" t="s">
        <v>373</v>
      </c>
      <c r="D30" s="30" t="s">
        <v>446</v>
      </c>
      <c r="E30" s="103">
        <v>9064</v>
      </c>
      <c r="F30" s="103">
        <v>9751</v>
      </c>
      <c r="G30" s="103"/>
      <c r="H30" s="103">
        <v>69</v>
      </c>
      <c r="I30" s="30">
        <v>336</v>
      </c>
      <c r="J30" s="108"/>
      <c r="K30" s="43">
        <v>7</v>
      </c>
      <c r="L30" s="104">
        <v>4</v>
      </c>
      <c r="M30" s="30" t="s">
        <v>373</v>
      </c>
      <c r="N30" s="30" t="s">
        <v>446</v>
      </c>
      <c r="O30" s="30" t="str">
        <f>IF(Data!B$3="MH",IF(K30=Data!B$4,IF(L30=Data!B$6,SUM(P30:R30),""),""),"")</f>
        <v/>
      </c>
      <c r="P30" s="30">
        <f>IF(OR("MF1"=Data!B$5,"MF2"=Data!B$5,"MF5"=Data!B$5,"MF6"=Data!B$5,"MS3"=Data!B$5,"MP1"=Data!B$5,"MP3"=Data!B$5,"MS2"=Data!B$5,"ME5"=Data!B$5,"ME6"=Data!B$5),E30,"")</f>
        <v>9064</v>
      </c>
      <c r="Q30" s="30" t="str">
        <f>IF(OR("MT4"=Data!B$5,"MPU3"=Data!B$5,"MS7"=Data!B$5,"MT1"=Data!B$5,"MT2"=Data!B$5,"ME3"=Data!B$5,"ME4"=Data!B$5),F30,"")</f>
        <v/>
      </c>
      <c r="S30" s="30" t="str">
        <f>IF(OR(O30="",O30=0),"",IF(Data!B$7="BE",I30*2,IF(OR(Data!B$7="CE",Data!B$7="RE"),I30,0))+H30*(ROUNDUP(Data!B$8,0.1)))</f>
        <v/>
      </c>
      <c r="AM30" s="104"/>
      <c r="AN30" s="104"/>
      <c r="AO30" s="104"/>
      <c r="AP30" s="104"/>
      <c r="AQ30" s="104"/>
      <c r="AV30" s="104"/>
      <c r="AW30" s="104"/>
      <c r="AX30" s="104"/>
    </row>
    <row r="31" spans="1:50">
      <c r="A31" s="613"/>
      <c r="B31" s="102">
        <v>4.5</v>
      </c>
      <c r="C31" s="105" t="s">
        <v>302</v>
      </c>
      <c r="D31" s="105" t="s">
        <v>447</v>
      </c>
      <c r="E31" s="103">
        <v>9671</v>
      </c>
      <c r="F31" s="103">
        <v>10617</v>
      </c>
      <c r="G31" s="103"/>
      <c r="H31" s="103">
        <v>82</v>
      </c>
      <c r="I31" s="30">
        <v>336</v>
      </c>
      <c r="J31" s="108"/>
      <c r="K31" s="43">
        <v>7</v>
      </c>
      <c r="L31" s="104">
        <v>4.5</v>
      </c>
      <c r="M31" s="105" t="s">
        <v>302</v>
      </c>
      <c r="N31" s="105" t="s">
        <v>447</v>
      </c>
      <c r="O31" s="30" t="str">
        <f>IF(Data!B$3="MH",IF(K31=Data!B$4,IF(L31=Data!B$6,SUM(P31:R31),""),""),"")</f>
        <v/>
      </c>
      <c r="P31" s="30">
        <f>IF(OR("MF1"=Data!B$5,"MF2"=Data!B$5,"MF5"=Data!B$5,"MF6"=Data!B$5,"MS3"=Data!B$5,"MP1"=Data!B$5,"MP3"=Data!B$5,"MS2"=Data!B$5,"ME5"=Data!B$5,"ME6"=Data!B$5),E31,"")</f>
        <v>9671</v>
      </c>
      <c r="Q31" s="30" t="str">
        <f>IF(OR("MT4"=Data!B$5,"MPU3"=Data!B$5,"MS7"=Data!B$5,"MT1"=Data!B$5,"MT2"=Data!B$5,"ME3"=Data!B$5,"ME4"=Data!B$5),F31,"")</f>
        <v/>
      </c>
      <c r="S31" s="30" t="str">
        <f>IF(OR(O31="",O31=0),"",IF(Data!B$7="BE",I31*2,IF(OR(Data!B$7="CE",Data!B$7="RE"),I31,0))+H31*(ROUNDUP(Data!B$8,0.1)))</f>
        <v/>
      </c>
      <c r="AM31" s="104"/>
      <c r="AN31" s="104"/>
      <c r="AO31" s="104"/>
      <c r="AP31" s="104"/>
      <c r="AQ31" s="104"/>
      <c r="AR31" s="104"/>
      <c r="AS31" s="104"/>
      <c r="AT31" s="104"/>
      <c r="AU31" s="104"/>
      <c r="AV31" s="104"/>
      <c r="AW31" s="104"/>
      <c r="AX31" s="104"/>
    </row>
    <row r="32" spans="1:50">
      <c r="A32" s="613"/>
      <c r="B32" s="102">
        <v>5</v>
      </c>
      <c r="C32" s="105" t="s">
        <v>557</v>
      </c>
      <c r="D32" s="105" t="s">
        <v>495</v>
      </c>
      <c r="E32" s="103">
        <v>10416</v>
      </c>
      <c r="F32" s="103">
        <v>11865</v>
      </c>
      <c r="G32" s="103"/>
      <c r="H32" s="103">
        <v>86</v>
      </c>
      <c r="I32" s="30">
        <v>336</v>
      </c>
      <c r="J32" s="108"/>
      <c r="K32" s="43">
        <v>7</v>
      </c>
      <c r="L32" s="104">
        <v>5</v>
      </c>
      <c r="M32" s="105" t="s">
        <v>557</v>
      </c>
      <c r="N32" s="105" t="s">
        <v>495</v>
      </c>
      <c r="O32" s="30" t="str">
        <f>IF(Data!B$3="MH",IF(K32=Data!B$4,IF(L32=Data!B$6,SUM(P32:R32),""),""),"")</f>
        <v/>
      </c>
      <c r="P32" s="30">
        <f>IF(OR("MF1"=Data!B$5,"MF2"=Data!B$5,"MF5"=Data!B$5,"MF6"=Data!B$5,"MS3"=Data!B$5,"MP1"=Data!B$5,"MP3"=Data!B$5,"MS2"=Data!B$5,"ME5"=Data!B$5,"ME6"=Data!B$5),E32,"")</f>
        <v>10416</v>
      </c>
      <c r="Q32" s="30" t="str">
        <f>IF(OR("MT4"=Data!B$5,"MPU3"=Data!B$5,"MS7"=Data!B$5,"MT1"=Data!B$5,"MT2"=Data!B$5,"ME3"=Data!B$5,"ME4"=Data!B$5),F32,"")</f>
        <v/>
      </c>
      <c r="S32" s="30" t="str">
        <f>IF(OR(O32="",O32=0),"",IF(Data!B$7="BE",I32*2,IF(OR(Data!B$7="CE",Data!B$7="RE"),I32,0))+H32*(ROUNDUP(Data!B$8,0.1)))</f>
        <v/>
      </c>
      <c r="AM32" s="104"/>
      <c r="AN32" s="104"/>
      <c r="AO32" s="104"/>
      <c r="AP32" s="104"/>
      <c r="AQ32" s="104"/>
      <c r="AR32" s="104"/>
      <c r="AS32" s="104"/>
      <c r="AT32" s="104"/>
      <c r="AU32" s="104"/>
      <c r="AV32" s="104"/>
      <c r="AW32" s="104"/>
      <c r="AX32" s="104"/>
    </row>
    <row r="33" spans="1:50">
      <c r="A33" s="613">
        <v>8</v>
      </c>
      <c r="B33" s="102">
        <v>3.5</v>
      </c>
      <c r="C33" s="30" t="s">
        <v>722</v>
      </c>
      <c r="D33" s="30" t="s">
        <v>302</v>
      </c>
      <c r="E33" s="103">
        <v>8898</v>
      </c>
      <c r="F33" s="103">
        <v>9735</v>
      </c>
      <c r="G33" s="103"/>
      <c r="H33" s="103">
        <v>81</v>
      </c>
      <c r="I33" s="30">
        <v>372</v>
      </c>
      <c r="J33" s="108"/>
      <c r="K33" s="43">
        <v>8</v>
      </c>
      <c r="L33" s="104">
        <v>3.5</v>
      </c>
      <c r="M33" s="30" t="s">
        <v>722</v>
      </c>
      <c r="N33" s="30" t="s">
        <v>302</v>
      </c>
      <c r="O33" s="30" t="str">
        <f>IF(Data!B$3="MH",IF(K33=Data!B$4,IF(L33=Data!B$6,SUM(P33:R33),""),""),"")</f>
        <v/>
      </c>
      <c r="P33" s="30">
        <f>IF(OR("MF1"=Data!B$5,"MF2"=Data!B$5,"MF5"=Data!B$5,"MF6"=Data!B$5,"MS3"=Data!B$5,"MP1"=Data!B$5,"MP3"=Data!B$5,"MS2"=Data!B$5,"ME5"=Data!B$5,"ME6"=Data!B$5),E33,"")</f>
        <v>8898</v>
      </c>
      <c r="Q33" s="30" t="str">
        <f>IF(OR("MT4"=Data!B$5,"MPU3"=Data!B$5,"MS7"=Data!B$5,"MT1"=Data!B$5,"MT2"=Data!B$5,"ME3"=Data!B$5,"ME4"=Data!B$5),F33,"")</f>
        <v/>
      </c>
      <c r="S33" s="30" t="str">
        <f>IF(OR(O33="",O33=0),"",IF(Data!B$7="BE",I33*2,IF(OR(Data!B$7="CE",Data!B$7="RE"),I33,0))+H33*(ROUNDUP(Data!B$8,0.1)))</f>
        <v/>
      </c>
      <c r="AM33" s="104"/>
      <c r="AN33" s="104"/>
      <c r="AO33" s="104"/>
      <c r="AR33" s="104"/>
      <c r="AS33" s="104"/>
      <c r="AT33" s="104"/>
      <c r="AU33" s="104"/>
      <c r="AV33" s="104"/>
      <c r="AW33" s="104"/>
      <c r="AX33" s="104"/>
    </row>
    <row r="34" spans="1:50">
      <c r="A34" s="613"/>
      <c r="B34" s="102">
        <v>4</v>
      </c>
      <c r="C34" s="30" t="s">
        <v>373</v>
      </c>
      <c r="D34" s="30" t="s">
        <v>446</v>
      </c>
      <c r="E34" s="103">
        <v>10400</v>
      </c>
      <c r="F34" s="103">
        <v>11305</v>
      </c>
      <c r="G34" s="103"/>
      <c r="H34" s="103">
        <v>90</v>
      </c>
      <c r="I34" s="30">
        <v>372</v>
      </c>
      <c r="J34" s="108"/>
      <c r="K34" s="43">
        <v>8</v>
      </c>
      <c r="L34" s="104">
        <v>4</v>
      </c>
      <c r="M34" s="30" t="s">
        <v>373</v>
      </c>
      <c r="N34" s="30" t="s">
        <v>446</v>
      </c>
      <c r="O34" s="30" t="str">
        <f>IF(Data!B$3="MH",IF(K34=Data!B$4,IF(L34=Data!B$6,SUM(P34:R34),""),""),"")</f>
        <v/>
      </c>
      <c r="P34" s="30">
        <f>IF(OR("MF1"=Data!B$5,"MF2"=Data!B$5,"MF5"=Data!B$5,"MF6"=Data!B$5,"MS3"=Data!B$5,"MP1"=Data!B$5,"MP3"=Data!B$5,"MS2"=Data!B$5,"ME5"=Data!B$5,"ME6"=Data!B$5),E34,"")</f>
        <v>10400</v>
      </c>
      <c r="Q34" s="30" t="str">
        <f>IF(OR("MT4"=Data!B$5,"MPU3"=Data!B$5,"MS7"=Data!B$5,"MT1"=Data!B$5,"MT2"=Data!B$5,"ME3"=Data!B$5,"ME4"=Data!B$5),F34,"")</f>
        <v/>
      </c>
      <c r="S34" s="30" t="str">
        <f>IF(OR(O34="",O34=0),"",IF(Data!B$7="BE",I34*2,IF(OR(Data!B$7="CE",Data!B$7="RE"),I34,0))+H34*(ROUNDUP(Data!B$8,0.1)))</f>
        <v/>
      </c>
      <c r="AO34" s="104"/>
      <c r="AR34" s="104"/>
      <c r="AS34" s="104"/>
      <c r="AT34" s="104"/>
      <c r="AU34" s="104"/>
      <c r="AV34" s="104"/>
      <c r="AW34" s="104"/>
      <c r="AX34" s="104"/>
    </row>
    <row r="35" spans="1:50">
      <c r="A35" s="613"/>
      <c r="B35" s="102">
        <v>4.5</v>
      </c>
      <c r="C35" s="30" t="s">
        <v>302</v>
      </c>
      <c r="D35" s="30" t="s">
        <v>447</v>
      </c>
      <c r="E35" s="103">
        <v>10952</v>
      </c>
      <c r="F35" s="103">
        <v>11877</v>
      </c>
      <c r="G35" s="103"/>
      <c r="H35" s="103">
        <v>101</v>
      </c>
      <c r="I35" s="30">
        <v>372</v>
      </c>
      <c r="J35" s="108"/>
      <c r="K35" s="43">
        <v>8</v>
      </c>
      <c r="L35" s="104">
        <v>4.5</v>
      </c>
      <c r="M35" s="30" t="s">
        <v>302</v>
      </c>
      <c r="N35" s="30" t="s">
        <v>447</v>
      </c>
      <c r="O35" s="30" t="str">
        <f>IF(Data!B$3="MH",IF(K35=Data!B$4,IF(L35=Data!B$6,SUM(P35:R35),""),""),"")</f>
        <v/>
      </c>
      <c r="P35" s="30">
        <f>IF(OR("MF1"=Data!B$5,"MF2"=Data!B$5,"MF5"=Data!B$5,"MF6"=Data!B$5,"MS3"=Data!B$5,"MP1"=Data!B$5,"MP3"=Data!B$5,"MS2"=Data!B$5,"ME5"=Data!B$5,"ME6"=Data!B$5),E35,"")</f>
        <v>10952</v>
      </c>
      <c r="Q35" s="30" t="str">
        <f>IF(OR("MT4"=Data!B$5,"MPU3"=Data!B$5,"MS7"=Data!B$5,"MT1"=Data!B$5,"MT2"=Data!B$5,"ME3"=Data!B$5,"ME4"=Data!B$5),F35,"")</f>
        <v/>
      </c>
      <c r="S35" s="30" t="str">
        <f>IF(OR(O35="",O35=0),"",IF(Data!B$7="BE",I35*2,IF(OR(Data!B$7="CE",Data!B$7="RE"),I35,0))+H35*(ROUNDUP(Data!B$8,0.1)))</f>
        <v/>
      </c>
      <c r="AM35" s="104"/>
      <c r="AN35" s="104"/>
      <c r="AO35" s="104"/>
      <c r="AP35" s="104"/>
      <c r="AQ35" s="104"/>
      <c r="AV35" s="104"/>
      <c r="AW35" s="104"/>
      <c r="AX35" s="104"/>
    </row>
    <row r="36" spans="1:50">
      <c r="A36" s="613"/>
      <c r="B36" s="102">
        <v>5</v>
      </c>
      <c r="C36" s="30" t="s">
        <v>557</v>
      </c>
      <c r="D36" s="30" t="s">
        <v>495</v>
      </c>
      <c r="E36" s="103">
        <v>11633</v>
      </c>
      <c r="F36" s="103">
        <v>12518</v>
      </c>
      <c r="G36" s="103"/>
      <c r="H36" s="103">
        <v>108</v>
      </c>
      <c r="I36" s="30">
        <v>372</v>
      </c>
      <c r="J36" s="108"/>
      <c r="K36" s="43">
        <v>8</v>
      </c>
      <c r="L36" s="104">
        <v>5</v>
      </c>
      <c r="M36" s="30" t="s">
        <v>557</v>
      </c>
      <c r="N36" s="30" t="s">
        <v>495</v>
      </c>
      <c r="O36" s="30" t="str">
        <f>IF(Data!B$3="MH",IF(K36=Data!B$4,IF(L36=Data!B$6,SUM(P36:R36),""),""),"")</f>
        <v/>
      </c>
      <c r="P36" s="30">
        <f>IF(OR("MF1"=Data!B$5,"MF2"=Data!B$5,"MF5"=Data!B$5,"MF6"=Data!B$5,"MS3"=Data!B$5,"MP1"=Data!B$5,"MP3"=Data!B$5,"MS2"=Data!B$5,"ME5"=Data!B$5,"ME6"=Data!B$5),E36,"")</f>
        <v>11633</v>
      </c>
      <c r="Q36" s="30" t="str">
        <f>IF(OR("MT4"=Data!B$5,"MPU3"=Data!B$5,"MS7"=Data!B$5,"MT1"=Data!B$5,"MT2"=Data!B$5,"ME3"=Data!B$5,"ME4"=Data!B$5),F36,"")</f>
        <v/>
      </c>
      <c r="S36" s="30" t="str">
        <f>IF(OR(O36="",O36=0),"",IF(Data!B$7="BE",I36*2,IF(OR(Data!B$7="CE",Data!B$7="RE"),I36,0))+H36*(ROUNDUP(Data!B$8,0.1)))</f>
        <v/>
      </c>
      <c r="AM36" s="104"/>
      <c r="AN36" s="104"/>
      <c r="AO36" s="104"/>
      <c r="AP36" s="104"/>
      <c r="AQ36" s="104"/>
      <c r="AR36" s="104"/>
      <c r="AS36" s="104"/>
      <c r="AT36" s="104"/>
      <c r="AU36" s="104"/>
      <c r="AV36" s="104"/>
      <c r="AW36" s="104"/>
      <c r="AX36" s="104"/>
    </row>
    <row r="37" spans="1:50">
      <c r="A37" s="613"/>
      <c r="B37" s="102">
        <v>5.5</v>
      </c>
      <c r="C37" s="105" t="s">
        <v>211</v>
      </c>
      <c r="D37" s="105" t="s">
        <v>174</v>
      </c>
      <c r="E37" s="103">
        <v>12531</v>
      </c>
      <c r="F37" s="103">
        <v>13360</v>
      </c>
      <c r="G37" s="103"/>
      <c r="H37" s="103">
        <v>114</v>
      </c>
      <c r="I37" s="30">
        <v>372</v>
      </c>
      <c r="J37" s="108"/>
      <c r="K37" s="43">
        <v>8</v>
      </c>
      <c r="L37" s="104">
        <v>5.5</v>
      </c>
      <c r="M37" s="105" t="s">
        <v>211</v>
      </c>
      <c r="N37" s="105" t="s">
        <v>174</v>
      </c>
      <c r="O37" s="30" t="str">
        <f>IF(Data!B$3="MH",IF(K37=Data!B$4,IF(L37=Data!B$6,SUM(P37:R37),""),""),"")</f>
        <v/>
      </c>
      <c r="P37" s="30">
        <f>IF(OR("MF1"=Data!B$5,"MF2"=Data!B$5,"MF5"=Data!B$5,"MF6"=Data!B$5,"MS3"=Data!B$5,"MP1"=Data!B$5,"MP3"=Data!B$5,"MS2"=Data!B$5,"ME5"=Data!B$5,"ME6"=Data!B$5),E37,"")</f>
        <v>12531</v>
      </c>
      <c r="Q37" s="30" t="str">
        <f>IF(OR("MT4"=Data!B$5,"MPU3"=Data!B$5,"MS7"=Data!B$5,"MT1"=Data!B$5,"MT2"=Data!B$5,"ME3"=Data!B$5,"ME4"=Data!B$5),F37,"")</f>
        <v/>
      </c>
      <c r="S37" s="30" t="str">
        <f>IF(OR(O37="",O37=0),"",IF(Data!B$7="BE",I37*2,IF(OR(Data!B$7="CE",Data!B$7="RE"),I37,0))+H37*(ROUNDUP(Data!B$8,0.1)))</f>
        <v/>
      </c>
      <c r="AM37" s="104"/>
      <c r="AN37" s="104"/>
      <c r="AO37" s="104"/>
      <c r="AP37" s="104"/>
      <c r="AR37" s="104"/>
      <c r="AS37" s="104"/>
      <c r="AT37" s="104"/>
      <c r="AU37" s="104"/>
      <c r="AV37" s="104"/>
      <c r="AW37" s="104"/>
      <c r="AX37" s="104"/>
    </row>
    <row r="38" spans="1:50">
      <c r="A38" s="106">
        <v>10</v>
      </c>
      <c r="B38" s="45">
        <v>4.5</v>
      </c>
      <c r="C38" s="30" t="s">
        <v>302</v>
      </c>
      <c r="D38" s="30" t="s">
        <v>447</v>
      </c>
      <c r="E38" s="109">
        <v>16738</v>
      </c>
      <c r="F38" s="109">
        <v>18396</v>
      </c>
      <c r="G38" s="109"/>
      <c r="H38" s="109">
        <v>196</v>
      </c>
      <c r="I38" s="30">
        <v>473</v>
      </c>
      <c r="J38" s="108"/>
      <c r="K38" s="44">
        <v>10</v>
      </c>
      <c r="L38" s="45">
        <v>4.5</v>
      </c>
      <c r="M38" s="30" t="s">
        <v>302</v>
      </c>
      <c r="N38" s="30" t="s">
        <v>447</v>
      </c>
      <c r="O38" s="30" t="str">
        <f>IF(Data!B$3="MH",IF(K38=Data!B$4,IF(L38=Data!B$6,SUM(P38:R38),""),""),"")</f>
        <v/>
      </c>
      <c r="P38" s="30">
        <f>IF(OR("MF1"=Data!B$5,"MF2"=Data!B$5,"MF5"=Data!B$5,"MF6"=Data!B$5,"MS3"=Data!B$5,"MP1"=Data!B$5,"MP3"=Data!B$5,"MS2"=Data!B$5,"ME5"=Data!B$5,"ME6"=Data!B$5),E38,"")</f>
        <v>16738</v>
      </c>
      <c r="Q38" s="30" t="str">
        <f>IF(OR("MT4"=Data!B$5,"MPU3"=Data!B$5,"MS7"=Data!B$5,"MT1"=Data!B$5,"MT2"=Data!B$5,"ME3"=Data!B$5,"ME4"=Data!B$5),F38,"")</f>
        <v/>
      </c>
      <c r="S38" s="30" t="str">
        <f>IF(OR(O38="",O38=0),"",IF(Data!B$7="BE",I38*2,IF(OR(Data!B$7="CE",Data!B$7="RE"),I38,0))+H38*(ROUNDUP(Data!B$8,0.1)))</f>
        <v/>
      </c>
      <c r="AM38" s="104"/>
      <c r="AN38" s="104"/>
      <c r="AO38" s="104"/>
      <c r="AP38" s="104"/>
      <c r="AR38" s="104"/>
      <c r="AS38" s="104"/>
      <c r="AT38" s="104"/>
      <c r="AU38" s="104"/>
      <c r="AV38" s="104"/>
      <c r="AW38" s="104"/>
      <c r="AX38" s="104"/>
    </row>
    <row r="39" spans="1:50">
      <c r="A39" s="106"/>
      <c r="B39" s="45">
        <v>5</v>
      </c>
      <c r="C39" s="30" t="s">
        <v>557</v>
      </c>
      <c r="D39" s="30" t="s">
        <v>495</v>
      </c>
      <c r="E39" s="109">
        <v>18342</v>
      </c>
      <c r="F39" s="109">
        <v>19993</v>
      </c>
      <c r="G39" s="109"/>
      <c r="H39" s="109">
        <v>199</v>
      </c>
      <c r="I39" s="30">
        <v>473</v>
      </c>
      <c r="J39" s="108"/>
      <c r="K39" s="44">
        <v>10</v>
      </c>
      <c r="L39" s="45">
        <v>5</v>
      </c>
      <c r="M39" s="30" t="s">
        <v>557</v>
      </c>
      <c r="N39" s="30" t="s">
        <v>495</v>
      </c>
      <c r="O39" s="30" t="str">
        <f>IF(Data!B$3="MH",IF(K39=Data!B$4,IF(L39=Data!B$6,SUM(P39:R39),""),""),"")</f>
        <v/>
      </c>
      <c r="P39" s="30">
        <f>IF(OR("MF1"=Data!B$5,"MF2"=Data!B$5,"MF5"=Data!B$5,"MF6"=Data!B$5,"MS3"=Data!B$5,"MP1"=Data!B$5,"MP3"=Data!B$5,"MS2"=Data!B$5,"ME5"=Data!B$5,"ME6"=Data!B$5),E39,"")</f>
        <v>18342</v>
      </c>
      <c r="Q39" s="30" t="str">
        <f>IF(OR("MT4"=Data!B$5,"MPU3"=Data!B$5,"MS7"=Data!B$5,"MT1"=Data!B$5,"MT2"=Data!B$5,"ME3"=Data!B$5,"ME4"=Data!B$5),F39,"")</f>
        <v/>
      </c>
      <c r="S39" s="30" t="str">
        <f>IF(OR(O39="",O39=0),"",IF(Data!B$7="BE",I39*2,IF(OR(Data!B$7="CE",Data!B$7="RE"),I39,0))+H39*(ROUNDUP(Data!B$8,0.1)))</f>
        <v/>
      </c>
      <c r="AO39" s="104"/>
      <c r="AQ39" s="104"/>
      <c r="AX39" s="104"/>
    </row>
    <row r="40" spans="1:50">
      <c r="A40" s="106"/>
      <c r="B40" s="45">
        <v>5.5</v>
      </c>
      <c r="C40" s="105" t="s">
        <v>211</v>
      </c>
      <c r="D40" s="105" t="s">
        <v>174</v>
      </c>
      <c r="E40" s="109">
        <v>18741</v>
      </c>
      <c r="F40" s="109">
        <v>20618</v>
      </c>
      <c r="G40" s="109"/>
      <c r="H40" s="109">
        <v>212</v>
      </c>
      <c r="I40" s="30">
        <v>473</v>
      </c>
      <c r="K40" s="44">
        <v>10</v>
      </c>
      <c r="L40" s="45">
        <v>5.5</v>
      </c>
      <c r="M40" s="105" t="s">
        <v>211</v>
      </c>
      <c r="N40" s="105" t="s">
        <v>174</v>
      </c>
      <c r="O40" s="30" t="str">
        <f>IF(Data!B$3="MH",IF(K40=Data!B$4,IF(L40=Data!B$6,SUM(P40:R40),""),""),"")</f>
        <v/>
      </c>
      <c r="P40" s="30">
        <f>IF(OR("MF1"=Data!B$5,"MF2"=Data!B$5,"MF5"=Data!B$5,"MF6"=Data!B$5,"MS3"=Data!B$5,"MP1"=Data!B$5,"MP3"=Data!B$5,"MS2"=Data!B$5,"ME5"=Data!B$5,"ME6"=Data!B$5),E40,"")</f>
        <v>18741</v>
      </c>
      <c r="Q40" s="30" t="str">
        <f>IF(OR("MT4"=Data!B$5,"MPU3"=Data!B$5,"MS7"=Data!B$5,"MT1"=Data!B$5,"MT2"=Data!B$5,"ME3"=Data!B$5,"ME4"=Data!B$5),F40,"")</f>
        <v/>
      </c>
      <c r="S40" s="30" t="str">
        <f>IF(OR(O40="",O40=0),"",IF(Data!B$7="BE",I40*2,IF(OR(Data!B$7="CE",Data!B$7="RE"),I40,0))+H40*(ROUNDUP(Data!B$8,0.1)))</f>
        <v/>
      </c>
      <c r="AM40" s="104"/>
      <c r="AN40" s="104"/>
      <c r="AO40" s="104"/>
      <c r="AQ40" s="104"/>
    </row>
    <row r="41" spans="1:50">
      <c r="A41" s="106"/>
      <c r="B41" s="45">
        <v>7</v>
      </c>
      <c r="C41" s="30" t="s">
        <v>429</v>
      </c>
      <c r="D41" s="30" t="s">
        <v>466</v>
      </c>
      <c r="E41" s="109">
        <v>26572</v>
      </c>
      <c r="F41" s="109">
        <v>28245</v>
      </c>
      <c r="G41" s="109"/>
      <c r="H41" s="109">
        <v>284</v>
      </c>
      <c r="I41" s="30">
        <v>473</v>
      </c>
      <c r="K41" s="44">
        <v>10</v>
      </c>
      <c r="L41" s="45">
        <v>7</v>
      </c>
      <c r="M41" s="30" t="s">
        <v>429</v>
      </c>
      <c r="N41" s="30" t="s">
        <v>466</v>
      </c>
      <c r="O41" s="30" t="str">
        <f>IF(Data!B$3="MH",IF(K41=Data!B$4,IF(L41=Data!B$6,SUM(P41:R41),""),""),"")</f>
        <v/>
      </c>
      <c r="P41" s="30">
        <f>IF(OR("MF1"=Data!B$5,"MF2"=Data!B$5,"MF5"=Data!B$5,"MF6"=Data!B$5,"MS3"=Data!B$5,"MP1"=Data!B$5,"MP3"=Data!B$5,"MS2"=Data!B$5,"ME5"=Data!B$5,"ME6"=Data!B$5),E41,"")</f>
        <v>26572</v>
      </c>
      <c r="Q41" s="30" t="str">
        <f>IF(OR("MT4"=Data!B$5,"MPU3"=Data!B$5,"MS7"=Data!B$5,"MT1"=Data!B$5,"MT2"=Data!B$5,"ME3"=Data!B$5,"ME4"=Data!B$5),F41,"")</f>
        <v/>
      </c>
      <c r="S41" s="30" t="str">
        <f>IF(OR(O41="",O41=0),"",IF(Data!B$7="BE",I41*2,IF(OR(Data!B$7="CE",Data!B$7="RE"),I41,0))+H41*(ROUNDUP(Data!B$8,0.1)))</f>
        <v/>
      </c>
      <c r="AM41" s="104"/>
      <c r="AN41" s="104"/>
      <c r="AO41" s="104"/>
      <c r="AP41" s="104"/>
      <c r="AQ41" s="104"/>
      <c r="AR41" s="592"/>
      <c r="AS41" s="592"/>
      <c r="AT41" s="592"/>
      <c r="AU41" s="592"/>
      <c r="AV41" s="592"/>
      <c r="AW41" s="592"/>
    </row>
    <row r="42" spans="1:50">
      <c r="A42" s="106">
        <v>12</v>
      </c>
      <c r="B42" s="45">
        <v>5.5</v>
      </c>
      <c r="C42" s="105" t="s">
        <v>211</v>
      </c>
      <c r="D42" s="105" t="s">
        <v>174</v>
      </c>
      <c r="E42" s="109">
        <v>25302</v>
      </c>
      <c r="F42" s="109">
        <v>27385</v>
      </c>
      <c r="G42" s="109"/>
      <c r="H42" s="109">
        <v>294</v>
      </c>
      <c r="I42" s="30">
        <v>642</v>
      </c>
      <c r="K42" s="44">
        <v>12</v>
      </c>
      <c r="L42" s="45">
        <v>5.5</v>
      </c>
      <c r="M42" s="105" t="s">
        <v>211</v>
      </c>
      <c r="N42" s="105" t="s">
        <v>174</v>
      </c>
      <c r="O42" s="30" t="str">
        <f>IF(Data!B$3="MH",IF(K42=Data!B$4,IF(L42=Data!B$6,SUM(P42:R42),""),""),"")</f>
        <v/>
      </c>
      <c r="P42" s="30">
        <f>IF(OR("MF1"=Data!B$5,"MF2"=Data!B$5,"MF5"=Data!B$5,"MF6"=Data!B$5,"MS3"=Data!B$5,"MP1"=Data!B$5,"MP3"=Data!B$5,"MS2"=Data!B$5,"ME5"=Data!B$5,"ME6"=Data!B$5),E42,"")</f>
        <v>25302</v>
      </c>
      <c r="Q42" s="30" t="str">
        <f>IF(OR("MT4"=Data!B$5,"MPU3"=Data!B$5,"MS7"=Data!B$5,"MT1"=Data!B$5,"MT2"=Data!B$5,"ME3"=Data!B$5,"ME4"=Data!B$5),F42,"")</f>
        <v/>
      </c>
      <c r="S42" s="30" t="str">
        <f>IF(OR(O42="",O42=0),"",IF(Data!B$7="BE",I42*2,IF(OR(Data!B$7="CE",Data!B$7="RE"),I42,0))+H42*(ROUNDUP(Data!B$8,0.1)))</f>
        <v/>
      </c>
      <c r="AM42" s="104"/>
      <c r="AN42" s="104"/>
      <c r="AO42" s="104"/>
      <c r="AP42" s="104"/>
      <c r="AQ42" s="104"/>
      <c r="AV42" s="104"/>
      <c r="AW42" s="104"/>
    </row>
    <row r="43" spans="1:50">
      <c r="A43" s="106"/>
      <c r="B43" s="45">
        <v>7</v>
      </c>
      <c r="C43" s="30" t="s">
        <v>429</v>
      </c>
      <c r="D43" s="30" t="s">
        <v>466</v>
      </c>
      <c r="E43" s="109">
        <v>31451</v>
      </c>
      <c r="F43" s="109">
        <v>33174</v>
      </c>
      <c r="G43" s="109"/>
      <c r="H43" s="109">
        <v>326</v>
      </c>
      <c r="I43" s="30">
        <v>642</v>
      </c>
      <c r="K43" s="44">
        <v>12</v>
      </c>
      <c r="L43" s="45">
        <v>7</v>
      </c>
      <c r="M43" s="107" t="s">
        <v>430</v>
      </c>
      <c r="N43" s="30" t="s">
        <v>466</v>
      </c>
      <c r="O43" s="30" t="str">
        <f>IF(Data!B$3="MH",IF(K43=Data!B$4,IF(L43=Data!B$6,SUM(P43:R43),""),""),"")</f>
        <v/>
      </c>
      <c r="P43" s="30">
        <f>IF(OR("MF1"=Data!B$5,"MF2"=Data!B$5,"MF5"=Data!B$5,"MF6"=Data!B$5,"MS3"=Data!B$5,"MP1"=Data!B$5,"MP3"=Data!B$5,"MS2"=Data!B$5,"ME5"=Data!B$5,"ME6"=Data!B$5),E43,"")</f>
        <v>31451</v>
      </c>
      <c r="Q43" s="30" t="str">
        <f>IF(OR("MT4"=Data!B$5,"MPU3"=Data!B$5,"MS7"=Data!B$5,"MT1"=Data!B$5,"MT2"=Data!B$5,"ME3"=Data!B$5,"ME4"=Data!B$5),F43,"")</f>
        <v/>
      </c>
      <c r="S43" s="30" t="str">
        <f>IF(OR(O43="",O43=0),"",IF(Data!B$7="BE",I43*2,IF(OR(Data!B$7="CE",Data!B$7="RE"),I43,0))+H43*(ROUNDUP(Data!B$8,0.1)))</f>
        <v/>
      </c>
      <c r="AM43" s="104"/>
      <c r="AN43" s="104"/>
      <c r="AO43" s="104"/>
      <c r="AP43" s="104"/>
      <c r="AQ43" s="104"/>
      <c r="AV43" s="104"/>
      <c r="AW43" s="104"/>
    </row>
    <row r="44" spans="1:50">
      <c r="A44" s="106"/>
      <c r="B44" s="45">
        <v>8</v>
      </c>
      <c r="C44" s="30" t="s">
        <v>230</v>
      </c>
      <c r="D44" s="30" t="s">
        <v>556</v>
      </c>
      <c r="E44" s="109">
        <v>36336</v>
      </c>
      <c r="F44" s="109">
        <v>38137</v>
      </c>
      <c r="G44" s="109"/>
      <c r="H44" s="109">
        <v>376</v>
      </c>
      <c r="I44" s="30">
        <v>642</v>
      </c>
      <c r="K44" s="44">
        <v>12</v>
      </c>
      <c r="L44" s="45">
        <v>8</v>
      </c>
      <c r="M44" s="30" t="s">
        <v>230</v>
      </c>
      <c r="N44" s="30" t="s">
        <v>556</v>
      </c>
      <c r="O44" s="30" t="str">
        <f>IF(Data!B$3="MH",IF(K44=Data!B$4,IF(L44=Data!B$6,SUM(P44:R44),""),""),"")</f>
        <v/>
      </c>
      <c r="P44" s="30">
        <f>IF(OR("MF1"=Data!B$5,"MF2"=Data!B$5,"MF5"=Data!B$5,"MF6"=Data!B$5,"MS3"=Data!B$5,"MP1"=Data!B$5,"MP3"=Data!B$5,"MS2"=Data!B$5,"ME5"=Data!B$5,"ME6"=Data!B$5),E44,"")</f>
        <v>36336</v>
      </c>
      <c r="Q44" s="30" t="str">
        <f>IF(OR("MT4"=Data!B$5,"MPU3"=Data!B$5,"MS7"=Data!B$5,"MT1"=Data!B$5,"MT2"=Data!B$5,"ME3"=Data!B$5,"ME4"=Data!B$5),F44,"")</f>
        <v/>
      </c>
      <c r="S44" s="30" t="str">
        <f>IF(OR(O44="",O44=0),"",IF(Data!B$7="BE",I44*2,IF(OR(Data!B$7="CE",Data!B$7="RE"),I44,0))+H44*(ROUNDUP(Data!B$8,0.1)))</f>
        <v/>
      </c>
      <c r="AO44" s="104"/>
      <c r="AP44" s="104"/>
      <c r="AQ44" s="104"/>
      <c r="AV44" s="104"/>
      <c r="AW44" s="104"/>
    </row>
    <row r="45" spans="1:50">
      <c r="A45" s="106">
        <v>14</v>
      </c>
      <c r="B45" s="45">
        <v>8</v>
      </c>
      <c r="C45" s="30" t="s">
        <v>230</v>
      </c>
      <c r="D45" s="30" t="s">
        <v>556</v>
      </c>
      <c r="E45" s="109">
        <v>52084</v>
      </c>
      <c r="F45" s="109">
        <v>54100</v>
      </c>
      <c r="G45" s="109"/>
      <c r="H45" s="109">
        <v>408</v>
      </c>
      <c r="I45" s="30">
        <v>826</v>
      </c>
      <c r="K45" s="44">
        <v>14</v>
      </c>
      <c r="L45" s="45">
        <v>8</v>
      </c>
      <c r="M45" s="30" t="s">
        <v>230</v>
      </c>
      <c r="N45" s="30" t="s">
        <v>556</v>
      </c>
      <c r="O45" s="30" t="str">
        <f>IF(Data!B$3="MH",IF(K45=Data!B$4,IF(L45=Data!B$6,SUM(P45:R45),""),""),"")</f>
        <v/>
      </c>
      <c r="P45" s="30">
        <f>IF(OR("MF1"=Data!B$5,"MF2"=Data!B$5,"MF5"=Data!B$5,"MF6"=Data!B$5,"MS3"=Data!B$5,"MP1"=Data!B$5,"MP3"=Data!B$5,"MS2"=Data!B$5,"ME5"=Data!B$5,"ME6"=Data!B$5),E45,"")</f>
        <v>52084</v>
      </c>
      <c r="Q45" s="30" t="str">
        <f>IF(OR("MT4"=Data!B$5,"MPU3"=Data!B$5,"MS7"=Data!B$5,"MT1"=Data!B$5,"MT2"=Data!B$5,"ME3"=Data!B$5,"ME4"=Data!B$5),F45,"")</f>
        <v/>
      </c>
      <c r="S45" s="30" t="str">
        <f>IF(OR(O45="",O45=0),"",IF(Data!B$7="BE",I45*2,IF(OR(Data!B$7="CE",Data!B$7="RE"),I45,0))+H45*(ROUNDUP(Data!B$8,0.1)))</f>
        <v/>
      </c>
      <c r="AM45" s="104"/>
      <c r="AN45" s="104"/>
      <c r="AO45" s="104"/>
      <c r="AQ45" s="104"/>
      <c r="AV45" s="104"/>
      <c r="AW45" s="104"/>
    </row>
    <row r="46" spans="1:50">
      <c r="A46" s="106"/>
      <c r="B46" s="45">
        <v>10</v>
      </c>
      <c r="C46" s="30" t="s">
        <v>613</v>
      </c>
      <c r="D46" s="30" t="s">
        <v>322</v>
      </c>
      <c r="E46" s="109">
        <v>56954</v>
      </c>
      <c r="F46" s="109">
        <v>59913</v>
      </c>
      <c r="G46" s="109"/>
      <c r="H46" s="109">
        <v>492</v>
      </c>
      <c r="I46" s="30">
        <v>826</v>
      </c>
      <c r="K46" s="44">
        <v>14</v>
      </c>
      <c r="L46" s="45">
        <v>10</v>
      </c>
      <c r="M46" s="30" t="s">
        <v>613</v>
      </c>
      <c r="N46" s="30" t="s">
        <v>322</v>
      </c>
      <c r="O46" s="30" t="str">
        <f>IF(Data!B$3="MH",IF(K46=Data!B$4,IF(L46=Data!B$6,SUM(P46:R46),""),""),"")</f>
        <v/>
      </c>
      <c r="P46" s="30">
        <f>IF(OR("MF1"=Data!B$5,"MF2"=Data!B$5,"MF5"=Data!B$5,"MF6"=Data!B$5,"MS3"=Data!B$5,"MP1"=Data!B$5,"MP3"=Data!B$5,"MS2"=Data!B$5,"ME5"=Data!B$5,"ME6"=Data!B$5),E46,"")</f>
        <v>56954</v>
      </c>
      <c r="Q46" s="30" t="str">
        <f>IF(OR("MT4"=Data!B$5,"MPU3"=Data!B$5,"MS7"=Data!B$5,"MT1"=Data!B$5,"MT2"=Data!B$5,"ME3"=Data!B$5,"ME4"=Data!B$5),F46,"")</f>
        <v/>
      </c>
      <c r="S46" s="30" t="str">
        <f>IF(OR(O46="",O46=0),"",IF(Data!B$7="BE",I46*2,IF(OR(Data!B$7="CE",Data!B$7="RE"),I46,0))+H46*(ROUNDUP(Data!B$8,0.1)))</f>
        <v/>
      </c>
      <c r="AM46" s="104"/>
      <c r="AN46" s="104"/>
      <c r="AO46" s="104"/>
      <c r="AQ46" s="104"/>
      <c r="AV46" s="104"/>
      <c r="AW46" s="104"/>
    </row>
    <row r="47" spans="1:50">
      <c r="A47" s="106">
        <v>16</v>
      </c>
      <c r="B47" s="45">
        <v>8</v>
      </c>
      <c r="C47" s="30" t="s">
        <v>230</v>
      </c>
      <c r="D47" s="30" t="s">
        <v>556</v>
      </c>
      <c r="E47" s="109">
        <v>85263</v>
      </c>
      <c r="F47" s="109">
        <v>87003</v>
      </c>
      <c r="G47" s="109"/>
      <c r="H47" s="109">
        <v>464</v>
      </c>
      <c r="I47" s="30">
        <v>1399</v>
      </c>
      <c r="K47" s="44">
        <v>16</v>
      </c>
      <c r="L47" s="45">
        <v>8</v>
      </c>
      <c r="M47" s="30" t="s">
        <v>230</v>
      </c>
      <c r="N47" s="30" t="s">
        <v>556</v>
      </c>
      <c r="O47" s="30" t="str">
        <f>IF(Data!B$3="MH",IF(K47=Data!B$4,IF(L47=Data!B$6,SUM(P47:R47),""),""),"")</f>
        <v/>
      </c>
      <c r="P47" s="30">
        <f>IF(OR("MF1"=Data!B$5,"MF2"=Data!B$5,"MF5"=Data!B$5,"MF6"=Data!B$5,"MS3"=Data!B$5,"MP1"=Data!B$5,"MP3"=Data!B$5,"MS2"=Data!B$5,"ME5"=Data!B$5,"ME6"=Data!B$5),E47,"")</f>
        <v>85263</v>
      </c>
      <c r="Q47" s="30" t="str">
        <f>IF(OR("MT4"=Data!B$5,"MPU3"=Data!B$5,"MS7"=Data!B$5,"MT1"=Data!B$5,"MT2"=Data!B$5,"ME3"=Data!B$5,"ME4"=Data!B$5),F47,"")</f>
        <v/>
      </c>
      <c r="S47" s="30" t="str">
        <f>IF(OR(O47="",O47=0),"",IF(Data!B$7="BE",I47*2,IF(OR(Data!B$7="CE",Data!B$7="RE"),I47,0))+H47*(ROUNDUP(Data!B$8,0.1)))</f>
        <v/>
      </c>
      <c r="AH47" s="104"/>
      <c r="AI47" s="104"/>
      <c r="AJ47" s="104"/>
      <c r="AK47" s="104"/>
      <c r="AL47" s="104"/>
      <c r="AM47" s="104"/>
      <c r="AN47" s="104"/>
      <c r="AO47" s="104"/>
      <c r="AP47" s="104"/>
      <c r="AQ47" s="104"/>
      <c r="AV47" s="104"/>
      <c r="AW47" s="104"/>
    </row>
    <row r="48" spans="1:50">
      <c r="A48" s="106"/>
      <c r="B48" s="45">
        <v>10</v>
      </c>
      <c r="C48" s="30" t="s">
        <v>613</v>
      </c>
      <c r="D48" s="30" t="s">
        <v>322</v>
      </c>
      <c r="E48" s="109">
        <v>99557</v>
      </c>
      <c r="F48" s="109">
        <v>101589</v>
      </c>
      <c r="G48" s="109"/>
      <c r="H48" s="109">
        <v>623</v>
      </c>
      <c r="I48" s="30">
        <v>1399</v>
      </c>
      <c r="K48" s="44">
        <v>16</v>
      </c>
      <c r="L48" s="45">
        <v>10</v>
      </c>
      <c r="M48" s="30" t="s">
        <v>613</v>
      </c>
      <c r="N48" s="30" t="s">
        <v>322</v>
      </c>
      <c r="O48" s="30" t="str">
        <f>IF(Data!B$3="MH",IF(K48=Data!B$4,IF(L48=Data!B$6,SUM(P48:R48),""),""),"")</f>
        <v/>
      </c>
      <c r="P48" s="30">
        <f>IF(OR("MF1"=Data!B$5,"MF2"=Data!B$5,"MF5"=Data!B$5,"MF6"=Data!B$5,"MS3"=Data!B$5,"MP1"=Data!B$5,"MP3"=Data!B$5,"MS2"=Data!B$5,"ME5"=Data!B$5,"ME6"=Data!B$5),E48,"")</f>
        <v>99557</v>
      </c>
      <c r="Q48" s="30" t="str">
        <f>IF(OR("MT4"=Data!B$5,"MPU3"=Data!B$5,"MS7"=Data!B$5,"MT1"=Data!B$5,"MT2"=Data!B$5,"ME3"=Data!B$5,"ME4"=Data!B$5),F48,"")</f>
        <v/>
      </c>
      <c r="S48" s="30" t="str">
        <f>IF(OR(O48="",O48=0),"",IF(Data!B$7="BE",I48*2,IF(OR(Data!B$7="CE",Data!B$7="RE"),I48,0))+H48*(ROUNDUP(Data!B$8,0.1)))</f>
        <v/>
      </c>
      <c r="AH48" s="104"/>
      <c r="AI48" s="104"/>
      <c r="AJ48" s="104"/>
      <c r="AK48" s="104"/>
      <c r="AL48" s="104"/>
      <c r="AM48" s="104"/>
      <c r="AN48" s="104"/>
      <c r="AO48" s="104"/>
      <c r="AP48" s="104"/>
      <c r="AQ48" s="104"/>
      <c r="AV48" s="104"/>
      <c r="AW48" s="104"/>
    </row>
    <row r="49" spans="1:49">
      <c r="A49" s="106">
        <v>18</v>
      </c>
      <c r="B49" s="45">
        <v>8</v>
      </c>
      <c r="C49" s="30" t="s">
        <v>230</v>
      </c>
      <c r="D49" s="30" t="s">
        <v>556</v>
      </c>
      <c r="E49" s="109">
        <v>127637</v>
      </c>
      <c r="F49" s="109">
        <v>130243</v>
      </c>
      <c r="G49" s="109"/>
      <c r="H49" s="109">
        <v>609</v>
      </c>
      <c r="I49" s="30">
        <v>1621</v>
      </c>
      <c r="K49" s="44">
        <v>18</v>
      </c>
      <c r="L49" s="45">
        <v>8</v>
      </c>
      <c r="M49" s="30" t="s">
        <v>230</v>
      </c>
      <c r="N49" s="30" t="s">
        <v>556</v>
      </c>
      <c r="O49" s="30" t="str">
        <f>IF(Data!B$3="MH",IF(K49=Data!B$4,IF(L49=Data!B$6,SUM(P49:R49),""),""),"")</f>
        <v/>
      </c>
      <c r="P49" s="30">
        <f>IF(OR("MF1"=Data!B$5,"MF2"=Data!B$5,"MF5"=Data!B$5,"MF6"=Data!B$5,"MS3"=Data!B$5,"MP1"=Data!B$5,"MP3"=Data!B$5,"MS2"=Data!B$5,"ME5"=Data!B$5,"ME6"=Data!B$5),E49,"")</f>
        <v>127637</v>
      </c>
      <c r="Q49" s="30" t="str">
        <f>IF(OR("MT4"=Data!B$5,"MPU3"=Data!B$5,"MS7"=Data!B$5,"MT1"=Data!B$5,"MT2"=Data!B$5,"ME3"=Data!B$5,"ME4"=Data!B$5),F49,"")</f>
        <v/>
      </c>
      <c r="S49" s="30" t="str">
        <f>IF(OR(O49="",O49=0),"",IF(Data!B$7="BE",I49*2,IF(OR(Data!B$7="CE",Data!B$7="RE"),I49,0))+H49*(ROUNDUP(Data!B$8,0.1)))</f>
        <v/>
      </c>
      <c r="AO49" s="104"/>
      <c r="AP49" s="104"/>
      <c r="AQ49" s="104"/>
      <c r="AV49" s="104"/>
      <c r="AW49" s="104"/>
    </row>
    <row r="50" spans="1:49">
      <c r="A50" s="106"/>
      <c r="B50" s="45">
        <v>10</v>
      </c>
      <c r="C50" s="30" t="s">
        <v>613</v>
      </c>
      <c r="D50" s="30" t="s">
        <v>322</v>
      </c>
      <c r="E50" s="109">
        <v>136824</v>
      </c>
      <c r="F50" s="109">
        <v>139616</v>
      </c>
      <c r="G50" s="109"/>
      <c r="H50" s="109">
        <v>654</v>
      </c>
      <c r="I50" s="30">
        <v>1621</v>
      </c>
      <c r="K50" s="44">
        <v>18</v>
      </c>
      <c r="L50" s="45">
        <v>10</v>
      </c>
      <c r="M50" s="30" t="s">
        <v>613</v>
      </c>
      <c r="N50" s="30" t="s">
        <v>322</v>
      </c>
      <c r="O50" s="30" t="str">
        <f>IF(Data!B$3="MH",IF(K50=Data!B$4,IF(L50=Data!B$6,SUM(P50:R50),""),""),"")</f>
        <v/>
      </c>
      <c r="P50" s="30">
        <f>IF(OR("MF1"=Data!B$5,"MF2"=Data!B$5,"MF5"=Data!B$5,"MF6"=Data!B$5,"MS3"=Data!B$5,"MP1"=Data!B$5,"MP3"=Data!B$5,"MS2"=Data!B$5,"ME5"=Data!B$5,"ME6"=Data!B$5),E50,"")</f>
        <v>136824</v>
      </c>
      <c r="Q50" s="30" t="str">
        <f>IF(OR("MT4"=Data!B$5,"MPU3"=Data!B$5,"MS7"=Data!B$5,"MT1"=Data!B$5,"MT2"=Data!B$5,"ME3"=Data!B$5,"ME4"=Data!B$5),F50,"")</f>
        <v/>
      </c>
      <c r="S50" s="30" t="str">
        <f>IF(OR(O50="",O50=0),"",IF(Data!B$7="BE",I50*2,IF(OR(Data!B$7="CE",Data!B$7="RE"),I50,0))+H50*(ROUNDUP(Data!B$8,0.1)))</f>
        <v/>
      </c>
      <c r="AP50" s="104"/>
      <c r="AQ50" s="104"/>
      <c r="AV50" s="104"/>
      <c r="AW50" s="104"/>
    </row>
    <row r="51" spans="1:49">
      <c r="A51" s="106">
        <v>20</v>
      </c>
      <c r="B51" s="45">
        <v>10</v>
      </c>
      <c r="C51" s="30" t="s">
        <v>613</v>
      </c>
      <c r="D51" s="30" t="s">
        <v>322</v>
      </c>
      <c r="E51" s="109">
        <v>156736</v>
      </c>
      <c r="F51" s="109">
        <v>159931</v>
      </c>
      <c r="G51" s="109"/>
      <c r="H51" s="109">
        <v>815</v>
      </c>
      <c r="I51" s="30">
        <v>1772</v>
      </c>
      <c r="K51" s="44">
        <v>20</v>
      </c>
      <c r="L51" s="45">
        <v>10</v>
      </c>
      <c r="M51" s="30" t="s">
        <v>613</v>
      </c>
      <c r="N51" s="30" t="s">
        <v>322</v>
      </c>
      <c r="O51" s="30" t="str">
        <f>IF(Data!B$3="MH",IF(K51=Data!B$4,IF(L51=Data!B$6,SUM(P51:R51),""),""),"")</f>
        <v/>
      </c>
      <c r="P51" s="30">
        <f>IF(OR("MF1"=Data!B$5,"MF2"=Data!B$5,"MF5"=Data!B$5,"MF6"=Data!B$5,"MS3"=Data!B$5,"MP1"=Data!B$5,"MP3"=Data!B$5,"MS2"=Data!B$5,"ME5"=Data!B$5,"ME6"=Data!B$5),E51,"")</f>
        <v>156736</v>
      </c>
      <c r="Q51" s="30" t="str">
        <f>IF(OR("MT4"=Data!B$5,"MPU3"=Data!B$5,"MS7"=Data!B$5,"MT1"=Data!B$5,"MT2"=Data!B$5,"ME3"=Data!B$5,"ME4"=Data!B$5),F51,"")</f>
        <v/>
      </c>
      <c r="S51" s="30" t="str">
        <f>IF(OR(O51="",O51=0),"",IF(Data!B$7="BE",I51*2,IF(OR(Data!B$7="CE",Data!B$7="RE"),I51,0))+H51*(ROUNDUP(Data!B$8,0.1)))</f>
        <v/>
      </c>
      <c r="AQ51" s="104"/>
      <c r="AV51" s="104"/>
      <c r="AW51" s="104"/>
    </row>
    <row r="52" spans="1:49">
      <c r="O52" s="30">
        <f>SUM(O7:O51)</f>
        <v>0</v>
      </c>
      <c r="S52" s="30">
        <f>SUM(S7:S51)</f>
        <v>0</v>
      </c>
      <c r="AH52" s="104"/>
      <c r="AQ52" s="104"/>
      <c r="AV52" s="104"/>
      <c r="AW52" s="104"/>
    </row>
    <row r="53" spans="1:49">
      <c r="AH53" s="104"/>
      <c r="AI53" s="104"/>
      <c r="AJ53" s="104"/>
      <c r="AK53" s="104"/>
      <c r="AL53" s="104"/>
      <c r="AM53" s="104"/>
      <c r="AN53" s="104"/>
      <c r="AP53" s="104"/>
      <c r="AQ53" s="104"/>
      <c r="AV53" s="104"/>
      <c r="AW53" s="104"/>
    </row>
    <row r="54" spans="1:49">
      <c r="AH54" s="104"/>
      <c r="AI54" s="104"/>
      <c r="AJ54" s="104"/>
      <c r="AK54" s="104"/>
      <c r="AL54" s="104"/>
      <c r="AM54" s="104"/>
      <c r="AN54" s="104"/>
      <c r="AP54" s="104"/>
      <c r="AQ54" s="104"/>
      <c r="AV54" s="104"/>
      <c r="AW54" s="104"/>
    </row>
    <row r="55" spans="1:49">
      <c r="AH55" s="104"/>
      <c r="AP55" s="104"/>
      <c r="AQ55" s="104"/>
      <c r="AV55" s="104"/>
      <c r="AW55" s="104"/>
    </row>
    <row r="56" spans="1:49">
      <c r="AH56" s="104"/>
      <c r="AI56" s="104"/>
      <c r="AJ56" s="104"/>
      <c r="AK56" s="104"/>
      <c r="AL56" s="104"/>
      <c r="AM56" s="104"/>
      <c r="AN56" s="104"/>
      <c r="AP56" s="104"/>
      <c r="AQ56" s="104"/>
      <c r="AV56" s="104"/>
      <c r="AW56" s="104"/>
    </row>
    <row r="57" spans="1:49">
      <c r="AH57" s="104"/>
      <c r="AI57" s="104"/>
      <c r="AJ57" s="104"/>
      <c r="AK57" s="104"/>
      <c r="AL57" s="104"/>
      <c r="AM57" s="104"/>
      <c r="AN57" s="104"/>
      <c r="AQ57" s="104"/>
      <c r="AV57" s="104"/>
      <c r="AW57" s="104"/>
    </row>
    <row r="58" spans="1:49">
      <c r="AH58" s="104"/>
      <c r="AI58" s="104"/>
      <c r="AJ58" s="104"/>
      <c r="AK58" s="104"/>
      <c r="AL58" s="104"/>
      <c r="AM58" s="104"/>
      <c r="AN58" s="104"/>
      <c r="AQ58" s="104"/>
      <c r="AV58" s="104"/>
      <c r="AW58" s="104"/>
    </row>
    <row r="59" spans="1:49">
      <c r="AH59" s="104"/>
      <c r="AQ59" s="104"/>
      <c r="AV59" s="104"/>
      <c r="AW59" s="104"/>
    </row>
    <row r="60" spans="1:49">
      <c r="AH60" s="104"/>
      <c r="AI60" s="104"/>
      <c r="AJ60" s="104"/>
      <c r="AK60" s="104"/>
      <c r="AL60" s="104"/>
      <c r="AM60" s="104"/>
      <c r="AN60" s="104"/>
      <c r="AQ60" s="104"/>
      <c r="AV60" s="104"/>
      <c r="AW60" s="104"/>
    </row>
    <row r="61" spans="1:49">
      <c r="AH61" s="104"/>
      <c r="AI61" s="104"/>
      <c r="AJ61" s="104"/>
      <c r="AK61" s="104"/>
      <c r="AL61" s="104"/>
      <c r="AM61" s="104"/>
      <c r="AN61" s="104"/>
      <c r="AQ61" s="104"/>
      <c r="AV61" s="104"/>
      <c r="AW61" s="104"/>
    </row>
    <row r="62" spans="1:49">
      <c r="AH62" s="104"/>
      <c r="AI62" s="104"/>
      <c r="AJ62" s="104"/>
      <c r="AK62" s="104"/>
      <c r="AL62" s="104"/>
      <c r="AM62" s="104"/>
      <c r="AN62" s="104"/>
      <c r="AQ62" s="104"/>
      <c r="AV62" s="104"/>
      <c r="AW62" s="104"/>
    </row>
    <row r="63" spans="1:49">
      <c r="AH63" s="104"/>
      <c r="AI63" s="104"/>
      <c r="AJ63" s="104"/>
      <c r="AK63" s="104"/>
      <c r="AL63" s="104"/>
      <c r="AM63" s="104"/>
      <c r="AN63" s="104"/>
      <c r="AQ63" s="104"/>
      <c r="AV63" s="104"/>
      <c r="AW63" s="104"/>
    </row>
    <row r="64" spans="1:49">
      <c r="AH64" s="104"/>
      <c r="AQ64" s="104"/>
      <c r="AV64" s="104"/>
      <c r="AW64" s="104"/>
    </row>
    <row r="65" spans="34:49">
      <c r="AH65" s="104"/>
      <c r="AI65" s="104"/>
      <c r="AJ65" s="104"/>
      <c r="AK65" s="104"/>
      <c r="AL65" s="104"/>
      <c r="AM65" s="104"/>
      <c r="AN65" s="104"/>
      <c r="AQ65" s="104"/>
      <c r="AV65" s="104"/>
      <c r="AW65" s="104"/>
    </row>
    <row r="66" spans="34:49">
      <c r="AH66" s="104"/>
      <c r="AI66" s="104"/>
      <c r="AJ66" s="104"/>
      <c r="AK66" s="104"/>
      <c r="AL66" s="104"/>
      <c r="AM66" s="104"/>
      <c r="AN66" s="104"/>
      <c r="AQ66" s="104"/>
      <c r="AV66" s="104"/>
      <c r="AW66" s="104"/>
    </row>
    <row r="67" spans="34:49">
      <c r="AH67" s="104"/>
      <c r="AI67" s="104"/>
      <c r="AJ67" s="104"/>
      <c r="AK67" s="104"/>
      <c r="AL67" s="104"/>
      <c r="AM67" s="104"/>
      <c r="AN67" s="104"/>
      <c r="AQ67" s="104"/>
      <c r="AV67" s="104"/>
      <c r="AW67" s="104"/>
    </row>
    <row r="68" spans="34:49">
      <c r="AH68" s="104"/>
      <c r="AI68" s="104"/>
      <c r="AJ68" s="104"/>
      <c r="AK68" s="104"/>
      <c r="AL68" s="104"/>
      <c r="AM68" s="104"/>
      <c r="AN68" s="104"/>
      <c r="AQ68" s="104"/>
      <c r="AV68" s="104"/>
      <c r="AW68" s="104"/>
    </row>
    <row r="69" spans="34:49">
      <c r="AH69" s="104"/>
      <c r="AQ69" s="104"/>
      <c r="AV69" s="104"/>
      <c r="AW69" s="104"/>
    </row>
    <row r="70" spans="34:49">
      <c r="AH70" s="104"/>
      <c r="AI70" s="104"/>
      <c r="AJ70" s="104"/>
      <c r="AK70" s="104"/>
      <c r="AL70" s="104"/>
      <c r="AM70" s="104"/>
      <c r="AN70" s="104"/>
      <c r="AQ70" s="104"/>
      <c r="AV70" s="104"/>
      <c r="AW70" s="104"/>
    </row>
    <row r="71" spans="34:49">
      <c r="AH71" s="104"/>
      <c r="AI71" s="104"/>
      <c r="AJ71" s="104"/>
      <c r="AK71" s="104"/>
      <c r="AL71" s="104"/>
      <c r="AM71" s="104"/>
      <c r="AN71" s="104"/>
      <c r="AQ71" s="104"/>
      <c r="AV71" s="104"/>
      <c r="AW71" s="104"/>
    </row>
    <row r="72" spans="34:49">
      <c r="AH72" s="104"/>
      <c r="AI72" s="104"/>
      <c r="AJ72" s="104"/>
      <c r="AK72" s="104"/>
      <c r="AL72" s="104"/>
      <c r="AM72" s="104"/>
      <c r="AN72" s="104"/>
      <c r="AQ72" s="104"/>
      <c r="AV72" s="104"/>
      <c r="AW72" s="104"/>
    </row>
    <row r="73" spans="34:49">
      <c r="AH73" s="104"/>
      <c r="AI73" s="104"/>
      <c r="AJ73" s="104"/>
      <c r="AK73" s="104"/>
      <c r="AL73" s="104"/>
      <c r="AM73" s="104"/>
      <c r="AN73" s="104"/>
      <c r="AQ73" s="104"/>
    </row>
    <row r="74" spans="34:49">
      <c r="AH74" s="104"/>
    </row>
    <row r="75" spans="34:49">
      <c r="AH75" s="104"/>
      <c r="AI75" s="104"/>
      <c r="AJ75" s="104"/>
      <c r="AK75" s="104"/>
      <c r="AL75" s="104"/>
      <c r="AM75" s="104"/>
      <c r="AN75" s="104"/>
    </row>
    <row r="76" spans="34:49">
      <c r="AH76" s="104"/>
      <c r="AI76" s="104"/>
      <c r="AJ76" s="104"/>
      <c r="AK76" s="104"/>
      <c r="AL76" s="104"/>
      <c r="AM76" s="104"/>
      <c r="AN76" s="104"/>
    </row>
    <row r="77" spans="34:49">
      <c r="AH77" s="104"/>
      <c r="AI77" s="104"/>
      <c r="AJ77" s="104"/>
      <c r="AK77" s="104"/>
      <c r="AL77" s="104"/>
      <c r="AM77" s="104"/>
      <c r="AN77" s="104"/>
    </row>
    <row r="78" spans="34:49">
      <c r="AH78" s="104"/>
      <c r="AI78" s="104"/>
      <c r="AJ78" s="104"/>
      <c r="AK78" s="104"/>
      <c r="AL78" s="104"/>
      <c r="AM78" s="104"/>
      <c r="AN78" s="104"/>
    </row>
    <row r="79" spans="34:49">
      <c r="AH79" s="104"/>
    </row>
    <row r="80" spans="34:49">
      <c r="AH80" s="104"/>
      <c r="AI80" s="104"/>
      <c r="AJ80" s="104"/>
      <c r="AK80" s="104"/>
      <c r="AL80" s="104"/>
      <c r="AM80" s="104"/>
      <c r="AN80" s="104"/>
    </row>
    <row r="81" spans="34:40">
      <c r="AH81" s="104"/>
      <c r="AI81" s="104"/>
      <c r="AJ81" s="104"/>
      <c r="AK81" s="104"/>
      <c r="AL81" s="104"/>
      <c r="AM81" s="104"/>
      <c r="AN81" s="104"/>
    </row>
    <row r="82" spans="34:40">
      <c r="AH82" s="104"/>
      <c r="AI82" s="104"/>
      <c r="AJ82" s="104"/>
      <c r="AK82" s="104"/>
      <c r="AL82" s="104"/>
      <c r="AM82" s="104"/>
      <c r="AN82" s="104"/>
    </row>
    <row r="83" spans="34:40">
      <c r="AH83" s="104"/>
      <c r="AI83" s="104"/>
      <c r="AJ83" s="104"/>
      <c r="AK83" s="104"/>
      <c r="AL83" s="104"/>
      <c r="AM83" s="104"/>
      <c r="AN83" s="104"/>
    </row>
    <row r="84" spans="34:40">
      <c r="AH84" s="104"/>
    </row>
    <row r="85" spans="34:40">
      <c r="AH85" s="104"/>
      <c r="AI85" s="104"/>
      <c r="AJ85" s="104"/>
      <c r="AK85" s="104"/>
      <c r="AL85" s="104"/>
      <c r="AM85" s="104"/>
      <c r="AN85" s="104"/>
    </row>
    <row r="86" spans="34:40">
      <c r="AH86" s="104"/>
      <c r="AI86" s="104"/>
      <c r="AJ86" s="104"/>
      <c r="AK86" s="104"/>
      <c r="AL86" s="104"/>
      <c r="AM86" s="104"/>
      <c r="AN86" s="104"/>
    </row>
    <row r="87" spans="34:40">
      <c r="AH87" s="104"/>
      <c r="AI87" s="104"/>
      <c r="AJ87" s="104"/>
      <c r="AK87" s="104"/>
      <c r="AL87" s="104"/>
      <c r="AM87" s="104"/>
      <c r="AN87" s="104"/>
    </row>
    <row r="88" spans="34:40">
      <c r="AH88" s="104"/>
      <c r="AI88" s="104"/>
      <c r="AJ88" s="104"/>
      <c r="AK88" s="104"/>
      <c r="AL88" s="104"/>
      <c r="AM88" s="104"/>
      <c r="AN88" s="104"/>
    </row>
    <row r="89" spans="34:40">
      <c r="AH89" s="104"/>
    </row>
    <row r="90" spans="34:40">
      <c r="AH90" s="104"/>
      <c r="AI90" s="104"/>
      <c r="AJ90" s="104"/>
      <c r="AK90" s="104"/>
      <c r="AL90" s="104"/>
      <c r="AM90" s="104"/>
      <c r="AN90" s="104"/>
    </row>
    <row r="91" spans="34:40">
      <c r="AH91" s="104"/>
      <c r="AI91" s="104"/>
      <c r="AJ91" s="104"/>
      <c r="AK91" s="104"/>
      <c r="AL91" s="104"/>
      <c r="AM91" s="104"/>
      <c r="AN91" s="104"/>
    </row>
    <row r="92" spans="34:40">
      <c r="AH92" s="104"/>
      <c r="AI92" s="104"/>
      <c r="AJ92" s="104"/>
      <c r="AK92" s="104"/>
      <c r="AL92" s="104"/>
      <c r="AM92" s="104"/>
      <c r="AN92" s="104"/>
    </row>
    <row r="93" spans="34:40">
      <c r="AH93" s="104"/>
      <c r="AI93" s="104"/>
      <c r="AJ93" s="104"/>
      <c r="AK93" s="104"/>
      <c r="AL93" s="104"/>
      <c r="AM93" s="104"/>
      <c r="AN93" s="104"/>
    </row>
  </sheetData>
  <mergeCells count="22">
    <mergeCell ref="AV41:AW41"/>
    <mergeCell ref="A33:A37"/>
    <mergeCell ref="A17:A19"/>
    <mergeCell ref="A20:A23"/>
    <mergeCell ref="A24:A27"/>
    <mergeCell ref="A28:A32"/>
    <mergeCell ref="A1:I1"/>
    <mergeCell ref="A2:I2"/>
    <mergeCell ref="AR41:AS41"/>
    <mergeCell ref="AT41:AU41"/>
    <mergeCell ref="W5:AA5"/>
    <mergeCell ref="A7:A8"/>
    <mergeCell ref="AI6:AN6"/>
    <mergeCell ref="A9:A10"/>
    <mergeCell ref="AC6:AF6"/>
    <mergeCell ref="A11:A13"/>
    <mergeCell ref="A14:A16"/>
    <mergeCell ref="AV7:AW7"/>
    <mergeCell ref="AR6:AW6"/>
    <mergeCell ref="AM7:AN7"/>
    <mergeCell ref="AR7:AS7"/>
    <mergeCell ref="AT7:AU7"/>
  </mergeCells>
  <phoneticPr fontId="2" type="noConversion"/>
  <printOptions horizontalCentered="1" verticalCentered="1"/>
  <pageMargins left="0.25" right="0.25" top="0.25" bottom="0.25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199BB-4154-4E9F-A60C-0B17C5E2997F}">
  <sheetPr codeName="Sheet16"/>
  <dimension ref="A1:BB105"/>
  <sheetViews>
    <sheetView showGridLines="0" workbookViewId="0">
      <selection activeCell="A12" sqref="A12:A14"/>
    </sheetView>
  </sheetViews>
  <sheetFormatPr defaultColWidth="9.08984375" defaultRowHeight="11.5"/>
  <cols>
    <col min="1" max="1" width="6" style="30" bestFit="1" customWidth="1"/>
    <col min="2" max="2" width="7.453125" style="45" customWidth="1"/>
    <col min="3" max="3" width="9.36328125" style="30" customWidth="1"/>
    <col min="4" max="4" width="9.36328125" style="30" bestFit="1" customWidth="1"/>
    <col min="5" max="5" width="5.81640625" style="30" bestFit="1" customWidth="1"/>
    <col min="6" max="6" width="7.81640625" style="30" customWidth="1"/>
    <col min="7" max="7" width="9.54296875" style="30" customWidth="1"/>
    <col min="8" max="8" width="8.08984375" style="30" customWidth="1"/>
    <col min="9" max="9" width="8" style="30" customWidth="1"/>
    <col min="10" max="10" width="7.54296875" style="30" customWidth="1"/>
    <col min="11" max="11" width="8.54296875" style="30" customWidth="1"/>
    <col min="12" max="12" width="9.08984375" style="30"/>
    <col min="13" max="13" width="6.36328125" style="30" bestFit="1" customWidth="1"/>
    <col min="14" max="14" width="6.36328125" style="45" bestFit="1" customWidth="1"/>
    <col min="15" max="15" width="9.36328125" style="30" customWidth="1"/>
    <col min="16" max="16" width="9.36328125" style="30" bestFit="1" customWidth="1"/>
    <col min="17" max="17" width="7.36328125" style="30" customWidth="1"/>
    <col min="18" max="18" width="5.54296875" style="30" customWidth="1"/>
    <col min="19" max="19" width="7.81640625" style="30" customWidth="1"/>
    <col min="20" max="20" width="9.81640625" style="30" customWidth="1"/>
    <col min="21" max="22" width="6.54296875" style="30" customWidth="1"/>
    <col min="23" max="24" width="7.54296875" style="30" customWidth="1"/>
    <col min="25" max="25" width="8.54296875" style="30" customWidth="1"/>
    <col min="26" max="26" width="10.54296875" style="30" customWidth="1"/>
    <col min="27" max="38" width="9.08984375" style="30"/>
    <col min="39" max="40" width="5.54296875" style="30" bestFit="1" customWidth="1"/>
    <col min="41" max="44" width="6.54296875" style="30" bestFit="1" customWidth="1"/>
    <col min="45" max="45" width="9" style="30" customWidth="1"/>
    <col min="46" max="46" width="6.54296875" style="30" customWidth="1"/>
    <col min="47" max="47" width="11.453125" style="30" bestFit="1" customWidth="1"/>
    <col min="48" max="49" width="7.81640625" style="30" bestFit="1" customWidth="1"/>
    <col min="50" max="53" width="6.54296875" style="30" bestFit="1" customWidth="1"/>
    <col min="54" max="16384" width="9.08984375" style="30"/>
  </cols>
  <sheetData>
    <row r="1" spans="1:54">
      <c r="A1" s="592" t="s">
        <v>472</v>
      </c>
      <c r="B1" s="592"/>
      <c r="C1" s="592"/>
      <c r="D1" s="592"/>
      <c r="E1" s="592"/>
      <c r="F1" s="592"/>
      <c r="G1" s="592"/>
      <c r="H1" s="592"/>
      <c r="I1" s="592"/>
      <c r="J1" s="592"/>
      <c r="K1" s="592"/>
      <c r="N1" s="30"/>
    </row>
    <row r="2" spans="1:54">
      <c r="A2" s="592" t="s">
        <v>171</v>
      </c>
      <c r="B2" s="592"/>
      <c r="C2" s="592"/>
      <c r="D2" s="592"/>
      <c r="E2" s="592"/>
      <c r="F2" s="592"/>
      <c r="G2" s="592"/>
      <c r="H2" s="592"/>
      <c r="I2" s="592"/>
      <c r="J2" s="592"/>
      <c r="K2" s="592"/>
      <c r="N2" s="30"/>
    </row>
    <row r="3" spans="1:54">
      <c r="B3" s="30"/>
      <c r="K3" s="100"/>
      <c r="N3" s="30"/>
      <c r="Y3" s="100"/>
    </row>
    <row r="4" spans="1:54">
      <c r="E4" s="34"/>
      <c r="F4" s="34"/>
      <c r="G4" s="34"/>
      <c r="H4" s="34"/>
      <c r="I4" s="34"/>
      <c r="R4" s="34"/>
      <c r="S4" s="34"/>
      <c r="T4" s="34"/>
      <c r="U4" s="34"/>
      <c r="V4" s="34"/>
    </row>
    <row r="5" spans="1:54">
      <c r="E5" s="34"/>
      <c r="F5" s="34"/>
      <c r="G5" s="34"/>
      <c r="H5" s="34"/>
      <c r="I5" s="34"/>
      <c r="R5" s="34"/>
      <c r="S5" s="34"/>
      <c r="T5" s="34"/>
      <c r="U5" s="34"/>
      <c r="V5" s="34"/>
      <c r="Z5" s="30">
        <f>SUM(AF7:AF36)</f>
        <v>0</v>
      </c>
      <c r="AA5" s="592"/>
      <c r="AB5" s="592"/>
      <c r="AC5" s="592"/>
      <c r="AD5" s="592"/>
      <c r="AE5" s="592"/>
    </row>
    <row r="6" spans="1:54" ht="25.5" customHeight="1">
      <c r="A6" s="34" t="s">
        <v>633</v>
      </c>
      <c r="B6" s="101" t="s">
        <v>632</v>
      </c>
      <c r="C6" s="34" t="s">
        <v>103</v>
      </c>
      <c r="D6" s="34" t="s">
        <v>186</v>
      </c>
      <c r="E6" s="34" t="s">
        <v>530</v>
      </c>
      <c r="F6" s="34" t="s">
        <v>179</v>
      </c>
      <c r="G6" s="34" t="s">
        <v>75</v>
      </c>
      <c r="H6" s="34" t="s">
        <v>614</v>
      </c>
      <c r="I6" s="34"/>
      <c r="J6" s="34" t="s">
        <v>22171</v>
      </c>
      <c r="K6" s="34" t="s">
        <v>571</v>
      </c>
      <c r="M6" s="34" t="s">
        <v>633</v>
      </c>
      <c r="N6" s="101" t="s">
        <v>632</v>
      </c>
      <c r="O6" s="34" t="s">
        <v>420</v>
      </c>
      <c r="P6" s="34" t="s">
        <v>397</v>
      </c>
      <c r="Q6" s="34"/>
      <c r="R6" s="34" t="s">
        <v>530</v>
      </c>
      <c r="S6" s="34" t="s">
        <v>179</v>
      </c>
      <c r="T6" s="34" t="s">
        <v>75</v>
      </c>
      <c r="U6" s="34" t="s">
        <v>614</v>
      </c>
      <c r="V6" s="34"/>
      <c r="W6" s="34"/>
      <c r="X6" s="34"/>
      <c r="Y6" s="34"/>
      <c r="Z6" s="33" t="s">
        <v>545</v>
      </c>
      <c r="AA6" s="33" t="s">
        <v>360</v>
      </c>
      <c r="AB6" s="34" t="s">
        <v>22174</v>
      </c>
      <c r="AC6" s="34" t="s">
        <v>415</v>
      </c>
      <c r="AD6" s="34" t="s">
        <v>719</v>
      </c>
      <c r="AE6" s="34" t="s">
        <v>756</v>
      </c>
      <c r="AG6" s="592" t="s">
        <v>868</v>
      </c>
      <c r="AH6" s="592"/>
      <c r="AI6" s="592"/>
      <c r="AJ6" s="592"/>
      <c r="AM6" s="592" t="s">
        <v>869</v>
      </c>
      <c r="AN6" s="592"/>
      <c r="AO6" s="592"/>
      <c r="AP6" s="592"/>
      <c r="AQ6" s="592"/>
      <c r="AR6" s="592"/>
      <c r="AV6" s="592" t="s">
        <v>870</v>
      </c>
      <c r="AW6" s="592"/>
      <c r="AX6" s="592"/>
      <c r="AY6" s="592"/>
      <c r="AZ6" s="592"/>
      <c r="BA6" s="592"/>
    </row>
    <row r="7" spans="1:54">
      <c r="A7" s="617">
        <v>25</v>
      </c>
      <c r="B7" s="102">
        <v>12</v>
      </c>
      <c r="C7" s="30" t="s">
        <v>22159</v>
      </c>
      <c r="E7" s="30">
        <v>813</v>
      </c>
      <c r="F7" s="30">
        <v>875</v>
      </c>
      <c r="G7" s="30">
        <v>938</v>
      </c>
      <c r="H7" s="30">
        <v>1188</v>
      </c>
      <c r="I7" s="103"/>
      <c r="J7" s="30">
        <v>0.4</v>
      </c>
      <c r="K7" s="30">
        <v>140</v>
      </c>
      <c r="M7" s="43">
        <v>25</v>
      </c>
      <c r="N7" s="104">
        <v>12</v>
      </c>
      <c r="O7" s="30" t="s">
        <v>22159</v>
      </c>
      <c r="Q7" s="30" t="str">
        <f>IF(OR(Data!B$3="IH",Data!B$3="IHM"),IF(M7=Data!B$4,IF(N7=Data!B$6,SUM(R7:V7),""),""),"")</f>
        <v/>
      </c>
      <c r="R7" s="30" t="str">
        <f>IF(OR("MX0"=Data!B$5,"MX1"=Data!B$5,"MX2"=Data!B$5,"MX3"=Data!B$5),E7,"")</f>
        <v/>
      </c>
      <c r="S7" s="30">
        <f>IF(OR("MF1"=Data!B$5,"MF2"=Data!B$5,"MS4"=Data!B$5),F7,"")</f>
        <v>875</v>
      </c>
      <c r="T7" s="30" t="str">
        <f>IF(OR("MP1"=Data!B$5,"MP3"=Data!B$5,"MT1"=Data!B$5,"MT2"=Data!B$5,"MF5"=Data!B$5,"MF6"=Data!B$5,,"MS2"=Data!B$5,"ME5"=Data!B$5,"ME6"=Data!B$5),G7,"")</f>
        <v/>
      </c>
      <c r="U7" s="30" t="str">
        <f>IF(OR("MS3"=Data!B$5,"ME3"=Data!B$5,"ME4"=Data!B$5,"MP2"=Data!B$5,"MT4"=Data!B$5,"MPU3"=Data!B$5,"MS7"=Data!B$5),H7,"")</f>
        <v/>
      </c>
      <c r="W7" s="30" t="str">
        <f>IF(OR(Q7="",Q7=0),"",IF(Data!B$7="ABE",K7*4,IF(OR(Data!B$7="ACE",Data!B$7="ARE"),K7*2,IF(Data!B$7="BE",K7*2,IF(OR(Data!B$7="CE",Data!B$7="RE"),K7,0))))+J7*(ROUNDUP(Data!B$8,0.1)))</f>
        <v/>
      </c>
      <c r="X7" s="30">
        <v>25</v>
      </c>
      <c r="Y7" s="30">
        <v>12</v>
      </c>
      <c r="Z7" s="30">
        <f>ROUNDUP(E7*0.25,0)</f>
        <v>204</v>
      </c>
      <c r="AA7" s="30">
        <f>Z7+K7</f>
        <v>344</v>
      </c>
      <c r="AB7" s="43">
        <v>0.5</v>
      </c>
      <c r="AC7" s="30">
        <f>SUM(AJ7:AJ15)</f>
        <v>2.6880000000000002</v>
      </c>
      <c r="AD7" s="104">
        <f>AS49+BB39+Data!B11+Data!B27</f>
        <v>8.73</v>
      </c>
      <c r="AE7" s="30">
        <f>Data!B25</f>
        <v>0</v>
      </c>
      <c r="AF7" s="30" t="str">
        <f>IF(W7&lt;&gt;"",IF(Data!B$7="NC",Z7+(AB7*(Data!B$8+Data!B$11+Data!B$27)),IF(Data!B$7&lt;&gt;"NC",AA7+(AB7*(Data!B$8+Data!B$11+Data!B$27)))),"")</f>
        <v/>
      </c>
      <c r="AG7" s="30">
        <v>1.5</v>
      </c>
      <c r="AH7" s="30">
        <v>1.25</v>
      </c>
      <c r="AI7" s="30">
        <v>1.5629999999999999</v>
      </c>
      <c r="AJ7" s="30">
        <f>IF(Data!B$4=1.5,IF(OR(Data!$B$3="H",Data!$B$3="SH"),AI7,AH7),0)</f>
        <v>0</v>
      </c>
      <c r="AL7" s="104">
        <v>1.5</v>
      </c>
      <c r="AM7" s="592" t="s">
        <v>717</v>
      </c>
      <c r="AN7" s="592"/>
      <c r="AO7" s="592" t="s">
        <v>578</v>
      </c>
      <c r="AP7" s="592"/>
      <c r="AQ7" s="592" t="s">
        <v>526</v>
      </c>
      <c r="AR7" s="592"/>
      <c r="AU7" s="104">
        <v>1.5</v>
      </c>
      <c r="AV7" s="592" t="s">
        <v>717</v>
      </c>
      <c r="AW7" s="592"/>
      <c r="AX7" s="592" t="s">
        <v>578</v>
      </c>
      <c r="AY7" s="592"/>
      <c r="AZ7" s="592" t="s">
        <v>526</v>
      </c>
      <c r="BA7" s="592"/>
    </row>
    <row r="8" spans="1:54">
      <c r="A8" s="619"/>
      <c r="B8" s="102">
        <v>18</v>
      </c>
      <c r="C8" s="105" t="s">
        <v>22160</v>
      </c>
      <c r="D8" s="105"/>
      <c r="E8" s="30">
        <v>878</v>
      </c>
      <c r="F8" s="30">
        <v>945</v>
      </c>
      <c r="G8" s="30">
        <v>1013</v>
      </c>
      <c r="H8" s="30">
        <v>1283</v>
      </c>
      <c r="I8" s="103"/>
      <c r="J8" s="30">
        <v>0.48</v>
      </c>
      <c r="K8" s="30">
        <v>140</v>
      </c>
      <c r="M8" s="43">
        <v>25</v>
      </c>
      <c r="N8" s="104">
        <v>18</v>
      </c>
      <c r="O8" s="105" t="s">
        <v>22160</v>
      </c>
      <c r="P8" s="105"/>
      <c r="Q8" s="30" t="str">
        <f>IF(OR(Data!B$3="IH",Data!B$3="IHM"),IF(M8=Data!B$4,IF(N8=Data!B$6,SUM(R8:V8),""),""),"")</f>
        <v/>
      </c>
      <c r="R8" s="30" t="str">
        <f>IF(OR("MX0"=Data!B$5,"MX1"=Data!B$5,"MX2"=Data!B$5,"MX3"=Data!B$5),E8,"")</f>
        <v/>
      </c>
      <c r="S8" s="30">
        <f>IF(OR("MF1"=Data!B$5,"MF2"=Data!B$5,"MS4"=Data!B$5),F8,"")</f>
        <v>945</v>
      </c>
      <c r="T8" s="30" t="str">
        <f>IF(OR("MP1"=Data!B$5,"MP3"=Data!B$5,"MT1"=Data!B$5,"MT2"=Data!B$5,"MF5"=Data!B$5,"MF6"=Data!B$5,,"MS2"=Data!B$5,"ME5"=Data!B$5,"ME6"=Data!B$5),G8,"")</f>
        <v/>
      </c>
      <c r="U8" s="30" t="str">
        <f>IF(OR("MS3"=Data!B$5,"ME3"=Data!B$5,"ME4"=Data!B$5,"MP2"=Data!B$5,"MT4"=Data!B$5,"MPU3"=Data!B$5,"MS7"=Data!B$5),H8,"")</f>
        <v/>
      </c>
      <c r="W8" s="30" t="str">
        <f>IF(OR(Q8="",Q8=0),"",IF(Data!B$7="ABE",K8*4,IF(OR(Data!B$7="ACE",Data!B$7="ARE"),K8*2,IF(Data!B$7="BE",K8*2,IF(OR(Data!B$7="CE",Data!B$7="RE"),K8,0))))+J8*(ROUNDUP(Data!B$8,0.1)))</f>
        <v/>
      </c>
      <c r="Y8" s="30">
        <v>18</v>
      </c>
      <c r="Z8" s="30">
        <f t="shared" ref="Z8:Z23" si="0">ROUNDUP(E8*0.25,0)</f>
        <v>220</v>
      </c>
      <c r="AA8" s="30">
        <f t="shared" ref="AA8:AA35" si="1">Z8+K8</f>
        <v>360</v>
      </c>
      <c r="AB8" s="43">
        <v>0.5</v>
      </c>
      <c r="AC8" s="46"/>
      <c r="AF8" s="30" t="str">
        <f>IF(W8&lt;&gt;"",IF(Data!B$7="NC",Z8+(AB8*(Data!B$8+Data!B$11+Data!B$27)),IF(Data!B$7&lt;&gt;"NC",AA8+(AB8*(Data!B$8+Data!B$11+Data!B$27)))),"")</f>
        <v/>
      </c>
      <c r="AG8" s="30">
        <v>2</v>
      </c>
      <c r="AH8" s="30">
        <v>1.25</v>
      </c>
      <c r="AI8" s="30">
        <v>1.5629999999999999</v>
      </c>
      <c r="AJ8" s="30">
        <f>IF(Data!B$4=2,IF(OR(Data!$B$3="H",Data!$B$3="SH"),AI8,AH8),0)</f>
        <v>0</v>
      </c>
      <c r="AL8" s="104">
        <v>0.625</v>
      </c>
      <c r="AM8" s="104" t="str">
        <f>IF(AND(OR(Data!$B$3="A",Data!$B$3="LH",Data!$B$3="SA"),Data!$B$4=1.5,Data!$B$6=0.625),IF(AND(OR(Data!$B$7="be",Data!$B$7="ce"),Data!$D$15=4),AM53,""),"")</f>
        <v/>
      </c>
      <c r="AN8" s="104" t="str">
        <f>IF(AND(OR(Data!$B$3="A",Data!$B$3="LH",Data!$B$3="SA"),Data!$B$4=1.5,Data!$B$6=0.625),IF(AND(OR(Data!$B$7="RE",Data!$B$7="NC"),Data!$D$15=4),AN53,""),"")</f>
        <v/>
      </c>
      <c r="AO8" s="104" t="str">
        <f>IF(AND(OR(Data!$B$3="A",Data!$B$3="LH",Data!$B$3="SA"),Data!$B$4=1.5,Data!$B$6=0.625),IF(AND(OR(Data!$B$7="be",Data!$B$7="ce"),Data!$D$15=3),AO53,""),"")</f>
        <v/>
      </c>
      <c r="AP8" s="104" t="str">
        <f>IF(AND(OR(Data!$B$3="A",Data!$B$3="LH",Data!$B$3="SA"),Data!$B$4=1.5,Data!$B$6=0.625),IF(AND(OR(Data!$B$7="RE",Data!$B$7="NC"),Data!$D$15=3),AP53,""),"")</f>
        <v/>
      </c>
      <c r="AQ8" s="104" t="str">
        <f>IF(AND(OR(Data!$B$3="A",Data!$B$3="LH",Data!$B$3="SA"),Data!$B$4=1.5,Data!$B$6=0.625),IF(AND(OR(Data!$B$7="be",Data!$B$7="ce"),OR(Data!$D$15=1,Data!$D$15=2,Data!$D$15=6)),AQ53,""),"")</f>
        <v/>
      </c>
      <c r="AR8" s="104" t="str">
        <f>IF(AND(OR(Data!$B$3="A",Data!$B$3="LH",Data!$B$3="SA"),Data!$B$4=1.5,Data!$B$6=0.625),IF(AND(OR(Data!$B$7="re",Data!$B$7="nc"),OR(Data!$D$15=1,Data!$D$15=2,Data!$D$15=6)),AR53,""),"")</f>
        <v/>
      </c>
      <c r="AS8" s="104">
        <f>SUM(AM8:AR8)</f>
        <v>0</v>
      </c>
      <c r="AT8" s="104"/>
      <c r="AU8" s="104">
        <v>0.625</v>
      </c>
      <c r="AV8" s="104" t="str">
        <f>IF(AND(OR(Data!$B$3="H",Data!$B$3="SH"),Data!$B$4=1.5,Data!$B$6=0.625),IF(AND(OR(Data!$B$7="be",Data!$B$7="ce"),Data!$D$15=4),AV42,""),"")</f>
        <v/>
      </c>
      <c r="AW8" s="104" t="str">
        <f>IF(AND(OR(Data!$B$3="H",Data!$B$3="SH"),Data!$B$4=1.5,Data!$B$6=0.625),IF(AND(OR(Data!$B$7="RE",Data!$B$7="NC"),Data!$D$15=4),AW42,""),"")</f>
        <v/>
      </c>
      <c r="AX8" s="104" t="str">
        <f>IF(AND(OR(Data!$B$3="H",Data!$B$3="SH"),Data!$B$4=1.5,Data!$B$6=0.625),IF(AND(OR(Data!$B$7="be",Data!$B$7="ce"),Data!$D$15=3),AX42,""),"")</f>
        <v/>
      </c>
      <c r="AY8" s="104" t="str">
        <f>IF(AND(OR(Data!$B$3="H",Data!$B$3="SH"),Data!$B$4=1.5,Data!$B$6=0.625),IF(AND(OR(Data!$B$7="RE",Data!$B$7="NC"),Data!$D$15=3),AY42,""),"")</f>
        <v/>
      </c>
      <c r="AZ8" s="104" t="str">
        <f>IF(AND(OR(Data!$B$3="H",Data!$B$3="SH"),Data!$B$4=1.5,Data!$B$6=0.625),IF(AND(OR(Data!$B$7="be",Data!$B$7="ce"),OR(Data!$D$15=1,Data!$D$15=2,Data!$D$15=6)),AZ42,""),"")</f>
        <v/>
      </c>
      <c r="BA8" s="104" t="str">
        <f>IF(AND(OR(Data!$B$3="H",Data!$B$3="SH"),Data!$B$4=1.5,Data!$B$6=0.625),IF(AND(OR(Data!$B$7="re",Data!$B$7="nc"),OR(Data!$D$15=1,Data!$D$15=2,Data!$D$15=6)),BA42,""),"")</f>
        <v/>
      </c>
      <c r="BB8" s="104">
        <f t="shared" ref="BB8:BB38" si="2">SUM(AV8:BA8)</f>
        <v>0</v>
      </c>
    </row>
    <row r="9" spans="1:54">
      <c r="A9" s="614">
        <v>32</v>
      </c>
      <c r="B9" s="102">
        <v>14</v>
      </c>
      <c r="C9" s="30" t="s">
        <v>22170</v>
      </c>
      <c r="E9" s="30">
        <f t="shared" ref="E9:E35" si="3">ROUNDUP(E8*1.08,0)</f>
        <v>949</v>
      </c>
      <c r="F9" s="30">
        <v>1021</v>
      </c>
      <c r="G9" s="30">
        <f t="shared" ref="G9:G35" si="4">ROUNDUP(G8*1.08,0)</f>
        <v>1095</v>
      </c>
      <c r="H9" s="30">
        <f t="shared" ref="H9:H35" si="5">ROUNDUP(H8*1.08,0)</f>
        <v>1386</v>
      </c>
      <c r="I9" s="103"/>
      <c r="J9" s="30">
        <v>0.52</v>
      </c>
      <c r="K9" s="30">
        <v>153</v>
      </c>
      <c r="M9" s="43">
        <v>32</v>
      </c>
      <c r="N9" s="104">
        <v>14</v>
      </c>
      <c r="O9" s="30" t="s">
        <v>22170</v>
      </c>
      <c r="Q9" s="30" t="str">
        <f>IF(OR(Data!B$3="IH",Data!B$3="IHM"),IF(M9=Data!B$4,IF(N9=Data!B$6,SUM(R9:V9),""),""),"")</f>
        <v/>
      </c>
      <c r="R9" s="30" t="str">
        <f>IF(OR("MX0"=Data!B$5,"MX1"=Data!B$5,"MX2"=Data!B$5,"MX3"=Data!B$5),E9,"")</f>
        <v/>
      </c>
      <c r="S9" s="30">
        <f>IF(OR("MF1"=Data!B$5,"MF2"=Data!B$5,"MS4"=Data!B$5),F9,"")</f>
        <v>1021</v>
      </c>
      <c r="T9" s="30" t="str">
        <f>IF(OR("MP1"=Data!B$5,"MP3"=Data!B$5,"MT1"=Data!B$5,"MT2"=Data!B$5,"MF5"=Data!B$5,"MF6"=Data!B$5,,"MS2"=Data!B$5,"ME5"=Data!B$5,"ME6"=Data!B$5),G9,"")</f>
        <v/>
      </c>
      <c r="U9" s="30" t="str">
        <f>IF(OR("MS3"=Data!B$5,"ME3"=Data!B$5,"ME4"=Data!B$5,"MP2"=Data!B$5,"MT4"=Data!B$5,"MPU3"=Data!B$5,"MS7"=Data!B$5),H9,"")</f>
        <v/>
      </c>
      <c r="W9" s="30" t="str">
        <f>IF(OR(Q9="",Q9=0),"",IF(Data!B$7="ABE",K9*4,IF(OR(Data!B$7="ACE",Data!B$7="ARE"),K9*2,IF(Data!B$7="BE",K9*2,IF(OR(Data!B$7="CE",Data!B$7="RE"),K9,0))))+J9*(ROUNDUP(Data!B$8,0.1)))</f>
        <v/>
      </c>
      <c r="X9" s="30">
        <v>32</v>
      </c>
      <c r="Y9" s="30">
        <v>14</v>
      </c>
      <c r="Z9" s="30">
        <f t="shared" si="0"/>
        <v>238</v>
      </c>
      <c r="AA9" s="30">
        <f t="shared" si="1"/>
        <v>391</v>
      </c>
      <c r="AB9" s="43">
        <v>0.5</v>
      </c>
      <c r="AC9" s="46"/>
      <c r="AF9" s="30" t="str">
        <f>IF(W9&lt;&gt;"",IF(Data!B$7="NC",Z9+(AB9*(Data!B$8+Data!B$11+Data!B$27)),IF(Data!B$7&lt;&gt;"NC",AA9+(AB9*(Data!B$8+Data!B$11+Data!B$27)))),"")</f>
        <v/>
      </c>
      <c r="AG9" s="30">
        <v>2.5</v>
      </c>
      <c r="AH9" s="30">
        <v>1.375</v>
      </c>
      <c r="AI9" s="30">
        <v>1.6879999999999999</v>
      </c>
      <c r="AJ9" s="30">
        <f>IF(Data!B$4=2.5,IF(OR(Data!$B$3="H",Data!$B$3="SH"),AI9,AH9),0)</f>
        <v>0</v>
      </c>
      <c r="AL9" s="104">
        <v>1</v>
      </c>
      <c r="AM9" s="104" t="str">
        <f>IF(AND(OR(Data!$B$3="A",Data!$B$3="LH",Data!$B$3="SA"),Data!$B$4=1.5,Data!$B$6=1),IF(AND(OR(Data!$B$7="be",Data!$B$7="ce"),Data!$D$15=4),AM54,""),"")</f>
        <v/>
      </c>
      <c r="AN9" s="104" t="str">
        <f>IF(AND(OR(Data!$B$3="A",Data!$B$3="LH",Data!$B$3="SA"),Data!$B$4=1.5,Data!$B$6=1),IF(AND(OR(Data!$B$7="RE",Data!$B$7="NC"),Data!$D$15=4),AN54,""),"")</f>
        <v/>
      </c>
      <c r="AO9" s="104" t="str">
        <f>IF(AND(OR(Data!$B$3="A",Data!$B$3="LH",Data!$B$3="SA"),Data!$B$4=1.5,Data!$B$6=1),IF(AND(OR(Data!$B$7="be",Data!$B$7="ce"),Data!$D$15=3),AO54,""),"")</f>
        <v/>
      </c>
      <c r="AP9" s="104" t="str">
        <f>IF(AND(OR(Data!$B$3="A",Data!$B$3="LH",Data!$B$3="SA"),Data!$B$4=1.5,Data!$B$6=1),IF(AND(OR(Data!$B$7="RE",Data!$B$7="NC"),Data!$D$15=3),AP54,""),"")</f>
        <v/>
      </c>
      <c r="AQ9" s="104" t="str">
        <f>IF(AND(OR(Data!$B$3="A",Data!$B$3="LH",Data!$B$3="SA"),Data!$B$4=1.5,Data!$B$6=1),IF(AND(OR(Data!$B$7="be",Data!$B$7="ce"),OR(Data!$D$15=1,Data!$D$15=2,Data!$D$15=6,Data!$D$15=6)),AQ54,""),"")</f>
        <v/>
      </c>
      <c r="AR9" s="104" t="str">
        <f>IF(AND(OR(Data!$B$3="A",Data!$B$3="LH",Data!$B$3="SA"),Data!$B$4=1.5,Data!$B$6=1),IF(AND(OR(Data!$B$7="re",Data!$B$7="nc"),OR(Data!$D$15=1,Data!$D$15=2,Data!$D$15=6)),AR54,""),"")</f>
        <v/>
      </c>
      <c r="AS9" s="104">
        <f t="shared" ref="AS9:AS48" si="6">SUM(AM9:AR9)</f>
        <v>0</v>
      </c>
      <c r="AT9" s="104"/>
      <c r="AU9" s="104">
        <v>1</v>
      </c>
      <c r="AV9" s="104" t="str">
        <f>IF(AND(OR(Data!$B$3="H",Data!$B$3="SH"),Data!$B$4=1.5,Data!$B$6=1),IF(AND(OR(Data!$B$7="be",Data!$B$7="ce"),Data!$D$15=4),AV43,""),"")</f>
        <v/>
      </c>
      <c r="AW9" s="104" t="str">
        <f>IF(AND(OR(Data!$B$3="H",Data!$B$3="SH"),Data!$B$4=1.5,Data!$B$6=1),IF(AND(OR(Data!$B$7="RE",Data!$B$7="NC"),Data!$D$15=4),AW43,""),"")</f>
        <v/>
      </c>
      <c r="AX9" s="104" t="str">
        <f>IF(AND(OR(Data!$B$3="H",Data!$B$3="SH"),Data!$B$4=1.5,Data!$B$6=1),IF(AND(OR(Data!$B$7="be",Data!$B$7="ce"),Data!$D$15=3),AX43,""),"")</f>
        <v/>
      </c>
      <c r="AY9" s="104" t="str">
        <f>IF(AND(OR(Data!$B$3="H",Data!$B$3="SH"),Data!$B$4=1.5,Data!$B$6=1),IF(AND(OR(Data!$B$7="RE",Data!$B$7="NC"),Data!$D$15=3),AY43,""),"")</f>
        <v/>
      </c>
      <c r="AZ9" s="104" t="str">
        <f>IF(AND(OR(Data!$B$3="H",Data!$B$3="SH"),Data!$B$4=1.5,Data!$B$6=1),IF(AND(OR(Data!$B$7="be",Data!$B$7="ce"),OR(Data!$D$15=1,Data!$D$15=2,Data!$D$15=6)),AZ43,""),"")</f>
        <v/>
      </c>
      <c r="BA9" s="104" t="str">
        <f>IF(AND(OR(Data!$B$3="H",Data!$B$3="SH"),Data!$B$4=1.5,Data!$B$6=1),IF(AND(OR(Data!$B$7="re",Data!$B$7="nc"),OR(Data!$D$15=1,Data!$D$15=2)),BA43,""),"")</f>
        <v/>
      </c>
      <c r="BB9" s="104">
        <f t="shared" si="2"/>
        <v>0</v>
      </c>
    </row>
    <row r="10" spans="1:54">
      <c r="A10" s="615"/>
      <c r="B10" s="102">
        <v>18</v>
      </c>
      <c r="C10" s="107" t="s">
        <v>22160</v>
      </c>
      <c r="E10" s="30">
        <f t="shared" si="3"/>
        <v>1025</v>
      </c>
      <c r="F10" s="30">
        <v>1103</v>
      </c>
      <c r="G10" s="30">
        <f t="shared" si="4"/>
        <v>1183</v>
      </c>
      <c r="H10" s="30">
        <f t="shared" si="5"/>
        <v>1497</v>
      </c>
      <c r="I10" s="103"/>
      <c r="J10" s="30">
        <v>0.56000000000000005</v>
      </c>
      <c r="K10" s="30">
        <v>153</v>
      </c>
      <c r="M10" s="43">
        <v>32</v>
      </c>
      <c r="N10" s="104">
        <v>18</v>
      </c>
      <c r="O10" s="107" t="s">
        <v>22160</v>
      </c>
      <c r="Q10" s="30" t="str">
        <f>IF(OR(Data!B$3="IH",Data!B$3="IHM"),IF(M10=Data!B$4,IF(N10=Data!B$6,SUM(R10:V10),""),""),"")</f>
        <v/>
      </c>
      <c r="R10" s="30" t="str">
        <f>IF(OR("MX0"=Data!B$5,"MX1"=Data!B$5,"MX2"=Data!B$5,"MX3"=Data!B$5),E10,"")</f>
        <v/>
      </c>
      <c r="S10" s="30">
        <f>IF(OR("MF1"=Data!B$5,"MF2"=Data!B$5,"MS4"=Data!B$5),F10,"")</f>
        <v>1103</v>
      </c>
      <c r="T10" s="30" t="str">
        <f>IF(OR("MP1"=Data!B$5,"MP3"=Data!B$5,"MT1"=Data!B$5,"MT2"=Data!B$5,"MF5"=Data!B$5,"MF6"=Data!B$5,,"MS2"=Data!B$5,"ME5"=Data!B$5,"ME6"=Data!B$5),G10,"")</f>
        <v/>
      </c>
      <c r="U10" s="30" t="str">
        <f>IF(OR("MS3"=Data!B$5,"ME3"=Data!B$5,"ME4"=Data!B$5,"MP2"=Data!B$5,"MT4"=Data!B$5,"MPU3"=Data!B$5,"MS7"=Data!B$5),H10,"")</f>
        <v/>
      </c>
      <c r="W10" s="30" t="str">
        <f>IF(OR(Q10="",Q10=0),"",IF(Data!B$7="ABE",K10*4,IF(OR(Data!B$7="ACE",Data!B$7="ARE"),K10*2,IF(Data!B$7="BE",K10*2,IF(OR(Data!B$7="CE",Data!B$7="RE"),K10,0))))+J10*(ROUNDUP(Data!B$8,0.1)))</f>
        <v/>
      </c>
      <c r="Y10" s="30">
        <v>18</v>
      </c>
      <c r="Z10" s="30">
        <f t="shared" si="0"/>
        <v>257</v>
      </c>
      <c r="AA10" s="30">
        <f t="shared" si="1"/>
        <v>410</v>
      </c>
      <c r="AB10" s="43">
        <v>0.5</v>
      </c>
      <c r="AC10" s="46"/>
      <c r="AF10" s="30" t="str">
        <f>IF(W10&lt;&gt;"",IF(Data!B$7="NC",Z10+(AB10*(Data!B$8+Data!B$11+Data!B$27)),IF(Data!B$7&lt;&gt;"NC",AA10+(AB10*(Data!B$8+Data!B$11+Data!B$27)))),"")</f>
        <v/>
      </c>
      <c r="AG10" s="30">
        <v>3.25</v>
      </c>
      <c r="AH10" s="30">
        <v>1.375</v>
      </c>
      <c r="AI10" s="30">
        <v>1.9379999999999999</v>
      </c>
      <c r="AJ10" s="30">
        <f>IF(Data!B$4=3.25,IF(OR(Data!$B$3="H",Data!$B$3="SH"),AI10,AH10),0)</f>
        <v>0</v>
      </c>
      <c r="AL10" s="104">
        <v>2</v>
      </c>
      <c r="AS10" s="104"/>
      <c r="AU10" s="104">
        <v>2</v>
      </c>
      <c r="AZ10" s="104"/>
      <c r="BA10" s="104"/>
      <c r="BB10" s="104"/>
    </row>
    <row r="11" spans="1:54">
      <c r="A11" s="616"/>
      <c r="B11" s="102">
        <v>22</v>
      </c>
      <c r="C11" s="30" t="s">
        <v>22169</v>
      </c>
      <c r="E11" s="30">
        <f t="shared" si="3"/>
        <v>1107</v>
      </c>
      <c r="F11" s="30">
        <v>1192</v>
      </c>
      <c r="G11" s="30">
        <f t="shared" si="4"/>
        <v>1278</v>
      </c>
      <c r="H11" s="30">
        <f t="shared" si="5"/>
        <v>1617</v>
      </c>
      <c r="I11" s="103"/>
      <c r="J11" s="30">
        <v>0.56000000000000005</v>
      </c>
      <c r="K11" s="30">
        <v>173</v>
      </c>
      <c r="M11" s="43">
        <v>32</v>
      </c>
      <c r="N11" s="104">
        <v>22</v>
      </c>
      <c r="O11" s="30" t="s">
        <v>22169</v>
      </c>
      <c r="Q11" s="30" t="str">
        <f>IF(OR(Data!B$3="IH",Data!B$3="IHM"),IF(M11=Data!B$4,IF(N11=Data!B$6,SUM(R11:V11),""),""),"")</f>
        <v/>
      </c>
      <c r="R11" s="30" t="str">
        <f>IF(OR("MX0"=Data!B$5,"MX1"=Data!B$5,"MX2"=Data!B$5,"MX3"=Data!B$5),E11,"")</f>
        <v/>
      </c>
      <c r="S11" s="30">
        <f>IF(OR("MF1"=Data!B$5,"MF2"=Data!B$5,"MS4"=Data!B$5),F11,"")</f>
        <v>1192</v>
      </c>
      <c r="T11" s="30" t="str">
        <f>IF(OR("MP1"=Data!B$5,"MP3"=Data!B$5,"MT1"=Data!B$5,"MT2"=Data!B$5,"MF5"=Data!B$5,"MF6"=Data!B$5,,"MS2"=Data!B$5,"ME5"=Data!B$5,"ME6"=Data!B$5),G11,"")</f>
        <v/>
      </c>
      <c r="U11" s="30" t="str">
        <f>IF(OR("MS3"=Data!B$5,"ME3"=Data!B$5,"ME4"=Data!B$5,"MP2"=Data!B$5,"MT4"=Data!B$5,"MPU3"=Data!B$5,"MS7"=Data!B$5),H11,"")</f>
        <v/>
      </c>
      <c r="W11" s="30" t="str">
        <f>IF(OR(Q11="",Q11=0),"",IF(Data!B$7="ABE",K11*4,IF(OR(Data!B$7="ACE",Data!B$7="ARE"),K11*2,IF(Data!B$7="BE",K11*2,IF(OR(Data!B$7="CE",Data!B$7="RE"),K11,0))))+J11*(ROUNDUP(Data!B$8,0.1)))</f>
        <v/>
      </c>
      <c r="Y11" s="30">
        <v>22</v>
      </c>
      <c r="Z11" s="30">
        <f t="shared" si="0"/>
        <v>277</v>
      </c>
      <c r="AA11" s="30">
        <f t="shared" si="1"/>
        <v>450</v>
      </c>
      <c r="AB11" s="43">
        <v>0.5</v>
      </c>
      <c r="AC11" s="46"/>
      <c r="AF11" s="30" t="str">
        <f>IF(W11&lt;&gt;"",IF(Data!B$7="NC",Z11+(AB11*(Data!B$8+Data!B$11+Data!B$27)),IF(Data!B$7&lt;&gt;"NC",AA11+(AB11*(Data!B$8+Data!B$11+Data!B$27)))),"")</f>
        <v/>
      </c>
      <c r="AG11" s="30">
        <v>4</v>
      </c>
      <c r="AH11" s="30">
        <v>1.375</v>
      </c>
      <c r="AI11" s="30">
        <v>2.1880000000000002</v>
      </c>
      <c r="AJ11" s="30">
        <f>IF(Data!B$4=4,IF(OR(Data!$B$3="H",Data!$B$3="SH"),AI11,AH11),0)</f>
        <v>0</v>
      </c>
      <c r="AL11" s="104">
        <v>0.625</v>
      </c>
      <c r="AM11" s="104" t="str">
        <f>IF(AND(OR(Data!$B$3="A",Data!$B$3="LH",Data!$B$3="SA"),Data!$B$4=2,Data!$B$6=0.625),IF(AND(OR(Data!$B$7="be",Data!$B$7="ce"),Data!$D$15=4),AM56,""),"")</f>
        <v/>
      </c>
      <c r="AN11" s="104" t="str">
        <f>IF(AND(OR(Data!$B$3="A",Data!$B$3="LH",Data!$B$3="SA"),Data!$B$4=2,Data!$B$6=0.625),IF(AND(OR(Data!$B$7="RE",Data!$B$7="NC"),Data!$D$15=4),AN56,""),"")</f>
        <v/>
      </c>
      <c r="AO11" s="104" t="str">
        <f>IF(AND(OR(Data!$B$3="A",Data!$B$3="LH",Data!$B$3="SA"),Data!$B$4=2,Data!$B$6=0.625),IF(AND(OR(Data!$B$7="be",Data!$B$7="ce"),Data!$D$15=3),AO56,""),"")</f>
        <v/>
      </c>
      <c r="AP11" s="104" t="str">
        <f>IF(AND(OR(Data!$B$3="A",Data!$B$3="LH",Data!$B$3="SA"),Data!$B$4=2,Data!$B$6=0.625),IF(AND(OR(Data!$B$7="RE",Data!$B$7="NC"),Data!$D$15=3),AP56,""),"")</f>
        <v/>
      </c>
      <c r="AQ11" s="104" t="str">
        <f>IF(AND(OR(Data!$B$3="A",Data!$B$3="LH",Data!$B$3="SA"),Data!$B$4=2,Data!$B$6=0.625),IF(AND(OR(Data!$B$7="be",Data!$B$7="ce"),OR(Data!$D$15=1,Data!$D$15=2,Data!$D$15=6)),AQ56,""),"")</f>
        <v/>
      </c>
      <c r="AR11" s="104" t="str">
        <f>IF(AND(OR(Data!$B$3="A",Data!$B$3="LH",Data!$B$3="SA"),Data!$B$4=2,Data!$B$6=0.625),IF(AND(OR(Data!$B$7="re",Data!$B$7="nc"),OR(Data!$D$15=1,Data!$D$15=2,Data!$D$15=6)),AR56,""),"")</f>
        <v/>
      </c>
      <c r="AS11" s="104">
        <f t="shared" si="6"/>
        <v>0</v>
      </c>
      <c r="AU11" s="104">
        <v>1</v>
      </c>
      <c r="AV11" s="104" t="str">
        <f>IF(AND(OR(Data!$B$3="H",Data!$B$3="SH"),Data!$B$4=2,Data!$B$6=1),IF(AND(OR(Data!$B$7="be",Data!$B$7="ce"),Data!$D$15=4),AV45,""),"")</f>
        <v/>
      </c>
      <c r="AW11" s="104" t="str">
        <f>IF(AND(OR(Data!$B$3="H",Data!$B$3="SH"),Data!$B$4=2,Data!$B$6=1),IF(AND(OR(Data!$B$7="RE",Data!$B$7="NC"),Data!$D$15=4),AW45,""),"")</f>
        <v/>
      </c>
      <c r="AX11" s="104" t="str">
        <f>IF(AND(OR(Data!$B$3="H",Data!$B$3="SH"),Data!$B$4=2,Data!$B$6=1),IF(AND(OR(Data!$B$7="be",Data!$B$7="ce"),Data!$D$15=3),AX45,""),"")</f>
        <v/>
      </c>
      <c r="AY11" s="104" t="str">
        <f>IF(AND(OR(Data!$B$3="H",Data!$B$3="SH"),Data!$B$4=2,Data!$B$6=1),IF(AND(OR(Data!$B$7="RE",Data!$B$7="NC"),Data!$D$15=3),AY45,""),"")</f>
        <v/>
      </c>
      <c r="AZ11" s="104" t="str">
        <f>IF(AND(OR(Data!$B$3="H",Data!$B$3="SH"),Data!$B$4=2,Data!$B$6=1),IF(AND(OR(Data!$B$7="be",Data!$B$7="ce"),OR(Data!$D$15=1,Data!$D$15=2,Data!$D$15=6)),AZ45,""),"")</f>
        <v/>
      </c>
      <c r="BA11" s="104" t="str">
        <f>IF(AND(OR(Data!$B$3="H",Data!$B$3="SH"),Data!$B$4=2,Data!$B$6=1),IF(AND(OR(Data!$B$7="re",Data!$B$7="nc"),OR(Data!$D$15=1,Data!$D$15=2,Data!$D$15=6)),BA45,""),"")</f>
        <v/>
      </c>
      <c r="BB11" s="104">
        <f t="shared" si="2"/>
        <v>0</v>
      </c>
    </row>
    <row r="12" spans="1:54">
      <c r="A12" s="617">
        <v>40</v>
      </c>
      <c r="B12" s="102">
        <v>18</v>
      </c>
      <c r="C12" s="30" t="s">
        <v>22160</v>
      </c>
      <c r="E12" s="30">
        <f t="shared" si="3"/>
        <v>1196</v>
      </c>
      <c r="F12" s="30">
        <v>1288</v>
      </c>
      <c r="G12" s="30">
        <f t="shared" si="4"/>
        <v>1381</v>
      </c>
      <c r="H12" s="30">
        <f t="shared" si="5"/>
        <v>1747</v>
      </c>
      <c r="I12" s="103"/>
      <c r="J12" s="30">
        <v>0.6</v>
      </c>
      <c r="K12" s="30">
        <v>173</v>
      </c>
      <c r="M12" s="43">
        <v>40</v>
      </c>
      <c r="N12" s="104">
        <v>18</v>
      </c>
      <c r="O12" s="30" t="s">
        <v>22160</v>
      </c>
      <c r="Q12" s="30" t="str">
        <f>IF(OR(Data!B$3="IH",Data!B$3="IHM"),IF(M12=Data!B$4,IF(N12=Data!B$6,SUM(R12:V12),""),""),"")</f>
        <v/>
      </c>
      <c r="R12" s="30" t="str">
        <f>IF(OR("MX0"=Data!B$5,"MX1"=Data!B$5,"MX2"=Data!B$5,"MX3"=Data!B$5),E12,"")</f>
        <v/>
      </c>
      <c r="S12" s="30">
        <f>IF(OR("MF1"=Data!B$5,"MF2"=Data!B$5,"MS4"=Data!B$5),F12,"")</f>
        <v>1288</v>
      </c>
      <c r="T12" s="30" t="str">
        <f>IF(OR("MP1"=Data!B$5,"MP3"=Data!B$5,"MT1"=Data!B$5,"MT2"=Data!B$5,"MF5"=Data!B$5,"MF6"=Data!B$5,,"MS2"=Data!B$5,"ME5"=Data!B$5,"ME6"=Data!B$5),G12,"")</f>
        <v/>
      </c>
      <c r="U12" s="30" t="str">
        <f>IF(OR("MS3"=Data!B$5,"ME3"=Data!B$5,"ME4"=Data!B$5,"MP2"=Data!B$5,"MT4"=Data!B$5,"MPU3"=Data!B$5,"MS7"=Data!B$5),H12,"")</f>
        <v/>
      </c>
      <c r="W12" s="30" t="str">
        <f>IF(OR(Q12="",Q12=0),"",IF(Data!B$7="ABE",K12*4,IF(OR(Data!B$7="ACE",Data!B$7="ARE"),K12*2,IF(Data!B$7="BE",K12*2,IF(OR(Data!B$7="CE",Data!B$7="RE"),K12,0))))+J12*(ROUNDUP(Data!B$8,0.1)))</f>
        <v/>
      </c>
      <c r="X12" s="30">
        <v>40</v>
      </c>
      <c r="Y12" s="30">
        <v>18</v>
      </c>
      <c r="Z12" s="30">
        <f t="shared" si="0"/>
        <v>299</v>
      </c>
      <c r="AA12" s="30">
        <f t="shared" si="1"/>
        <v>472</v>
      </c>
      <c r="AB12" s="43">
        <v>0.5</v>
      </c>
      <c r="AC12" s="46"/>
      <c r="AF12" s="30" t="str">
        <f>IF(W12&lt;&gt;"",IF(Data!B$7="NC",Z12+(AB12*(Data!B$8+Data!B$11+Data!B$27)),IF(Data!B$7&lt;&gt;"NC",AA12+(AB12*(Data!B$8+Data!B$11+Data!B$27)))),"")</f>
        <v/>
      </c>
      <c r="AG12" s="30">
        <v>5</v>
      </c>
      <c r="AH12" s="30">
        <v>1.625</v>
      </c>
      <c r="AI12" s="30">
        <v>2.6880000000000002</v>
      </c>
      <c r="AJ12" s="30">
        <f>IF(Data!B$4=5,IF(OR(Data!$B$3="H",Data!$B$3="SH"),AI12,AH12),0)</f>
        <v>2.6880000000000002</v>
      </c>
      <c r="AL12" s="104">
        <v>1</v>
      </c>
      <c r="AM12" s="104" t="str">
        <f>IF(AND(OR(Data!$B$3="A",Data!$B$3="LH",Data!$B$3="SA"),Data!$B$4=2,Data!$B$6=1),IF(AND(OR(Data!$B$7="BE",Data!$B$7="ce"),Data!$D$15=4),AM57,""),"")</f>
        <v/>
      </c>
      <c r="AN12" s="104" t="str">
        <f>IF(AND(OR(Data!$B$3="A",Data!$B$3="LH",Data!$B$3="SA"),Data!$B$4=2,Data!$B$6=1),IF(AND(OR(Data!$B$7="RE",Data!$B$7="NC"),Data!$D$15=4),AN57,""),"")</f>
        <v/>
      </c>
      <c r="AO12" s="104" t="str">
        <f>IF(AND(OR(Data!$B$3="A",Data!$B$3="LH",Data!$B$3="SA"),Data!$B$4=2,Data!$B$6=1),IF(AND(OR(Data!$B$7="be",Data!$B$7="ce"),Data!$D$15=3),AO57,""),"")</f>
        <v/>
      </c>
      <c r="AP12" s="104" t="str">
        <f>IF(AND(OR(Data!$B$3="A",Data!$B$3="LH",Data!$B$3="SA"),Data!$B$4=2,Data!$B$6=1),IF(AND(OR(Data!$B$7="RE",Data!$B$7="NC"),Data!$D$15=3),AP57,""),"")</f>
        <v/>
      </c>
      <c r="AQ12" s="104" t="str">
        <f>IF(AND(OR(Data!$B$3="A",Data!$B$3="LH",Data!$B$3="SA"),Data!$B$4=2,Data!$B$6=1),IF(AND(OR(Data!$B$7="be",Data!$B$7="ce"),OR(Data!$D$15=1,Data!$D$15=2,Data!$D$15=6)),AQ57,""),"")</f>
        <v/>
      </c>
      <c r="AR12" s="104" t="str">
        <f>IF(AND(OR(Data!$B$3="A",Data!$B$3="LH",Data!$B$3="SA"),Data!$B$4=2,Data!$B$6=1),IF(AND(OR(Data!$B$7="re",Data!$B$7="nc"),OR(Data!$D$15=1,Data!$D$15=2,Data!$D$15=6)),AR57,""),"")</f>
        <v/>
      </c>
      <c r="AS12" s="104">
        <f t="shared" si="6"/>
        <v>0</v>
      </c>
      <c r="AT12" s="104"/>
      <c r="AU12" s="104">
        <v>1.375</v>
      </c>
      <c r="AV12" s="104" t="str">
        <f>IF(AND(OR(Data!$B$3="H",Data!$B$3="SH"),Data!$B$4=2,Data!$B$6=1.375),IF(AND(OR(Data!$B$7="be",Data!$B$7="ce"),Data!$D$15=4),AV46,""),"")</f>
        <v/>
      </c>
      <c r="AW12" s="104" t="str">
        <f>IF(AND(OR(Data!$B$3="H",Data!$B$3="SH"),Data!$B$4=2,Data!$B$6=1.375),IF(AND(OR(Data!$B$7="RE",Data!$B$7="NC"),Data!$D$15=4),AW46,""),"")</f>
        <v/>
      </c>
      <c r="AX12" s="104" t="str">
        <f>IF(AND(OR(Data!$B$3="H",Data!$B$3="SH"),Data!$B$4=2,Data!$B$6=1.375),IF(AND(OR(Data!$B$7="be",Data!$B$7="ce"),Data!$D$15=3),AX46,""),"")</f>
        <v/>
      </c>
      <c r="AY12" s="104" t="str">
        <f>IF(AND(OR(Data!$B$3="H",Data!$B$3="SH"),Data!$B$4=2,Data!$B$6=1.375),IF(AND(OR(Data!$B$7="RE",Data!$B$7="NC"),Data!$D$15=3),AY46,""),"")</f>
        <v/>
      </c>
      <c r="AZ12" s="104" t="str">
        <f>IF(AND(OR(Data!$B$3="H",Data!$B$3="SH"),Data!$B$4=2,Data!$B$6=1.375),IF(AND(OR(Data!$B$7="be",Data!$B$7="ce"),OR(Data!$D$15=1,Data!$D$15=2,Data!$D$15=6)),AZ46,""),"")</f>
        <v/>
      </c>
      <c r="BA12" s="104" t="str">
        <f>IF(AND(OR(Data!$B$3="H",Data!$B$3="SH"),Data!$B$4=2,Data!$B$6=1.375),IF(AND(OR(Data!$B$7="re",Data!$B$7="nc"),OR(Data!$D$15=1,Data!$D$15=2,Data!$D$15=6)),BA46,""),"")</f>
        <v/>
      </c>
      <c r="BB12" s="104">
        <f t="shared" si="2"/>
        <v>0</v>
      </c>
    </row>
    <row r="13" spans="1:54">
      <c r="A13" s="618"/>
      <c r="B13" s="102">
        <v>22</v>
      </c>
      <c r="C13" s="105" t="s">
        <v>22169</v>
      </c>
      <c r="E13" s="30">
        <f t="shared" si="3"/>
        <v>1292</v>
      </c>
      <c r="F13" s="30">
        <v>1392</v>
      </c>
      <c r="G13" s="30">
        <f t="shared" si="4"/>
        <v>1492</v>
      </c>
      <c r="H13" s="30">
        <f t="shared" si="5"/>
        <v>1887</v>
      </c>
      <c r="I13" s="103"/>
      <c r="J13" s="30">
        <v>0.72</v>
      </c>
      <c r="K13" s="30">
        <v>173</v>
      </c>
      <c r="M13" s="43">
        <v>40</v>
      </c>
      <c r="N13" s="104">
        <v>22</v>
      </c>
      <c r="O13" s="105" t="s">
        <v>22169</v>
      </c>
      <c r="Q13" s="30" t="str">
        <f>IF(OR(Data!B$3="IH",Data!B$3="IHM"),IF(M13=Data!B$4,IF(N13=Data!B$6,SUM(R13:V13),""),""),"")</f>
        <v/>
      </c>
      <c r="R13" s="30" t="str">
        <f>IF(OR("MX0"=Data!B$5,"MX1"=Data!B$5,"MX2"=Data!B$5,"MX3"=Data!B$5),E13,"")</f>
        <v/>
      </c>
      <c r="S13" s="30">
        <f>IF(OR("MF1"=Data!B$5,"MF2"=Data!B$5,"MS4"=Data!B$5),F13,"")</f>
        <v>1392</v>
      </c>
      <c r="T13" s="30" t="str">
        <f>IF(OR("MP1"=Data!B$5,"MP3"=Data!B$5,"MT1"=Data!B$5,"MT2"=Data!B$5,"MF5"=Data!B$5,"MF6"=Data!B$5,,"MS2"=Data!B$5,"ME5"=Data!B$5,"ME6"=Data!B$5),G13,"")</f>
        <v/>
      </c>
      <c r="U13" s="30" t="str">
        <f>IF(OR("MS3"=Data!B$5,"ME3"=Data!B$5,"ME4"=Data!B$5,"MP2"=Data!B$5,"MT4"=Data!B$5,"MPU3"=Data!B$5,"MS7"=Data!B$5),H13,"")</f>
        <v/>
      </c>
      <c r="W13" s="30" t="str">
        <f>IF(OR(Q13="",Q13=0),"",IF(Data!B$7="ABE",K13*4,IF(OR(Data!B$7="ACE",Data!B$7="ARE"),K13*2,IF(Data!B$7="BE",K13*2,IF(OR(Data!B$7="CE",Data!B$7="RE"),K13,0))))+J13*(ROUNDUP(Data!B$8,0.1)))</f>
        <v/>
      </c>
      <c r="Y13" s="30">
        <v>22</v>
      </c>
      <c r="Z13" s="30">
        <f t="shared" si="0"/>
        <v>323</v>
      </c>
      <c r="AA13" s="30">
        <f t="shared" si="1"/>
        <v>496</v>
      </c>
      <c r="AB13" s="43">
        <v>0.5</v>
      </c>
      <c r="AF13" s="30" t="str">
        <f>IF(W13&lt;&gt;"",IF(Data!B$7="NC",Z13+(AB13*(Data!B$8+Data!B$11+Data!B$27)),IF(Data!B$7&lt;&gt;"NC",AA13+(AB13*(Data!B$8+Data!B$11+Data!B$27)))),"")</f>
        <v/>
      </c>
      <c r="AG13" s="30">
        <v>6</v>
      </c>
      <c r="AH13" s="30">
        <v>1.625</v>
      </c>
      <c r="AI13" s="30">
        <v>3.0630000000000002</v>
      </c>
      <c r="AJ13" s="30">
        <f>IF(Data!B$4=6,IF(OR(Data!$B$3="H",Data!$B$3="SH"),AI13,AH13),0)</f>
        <v>0</v>
      </c>
      <c r="AL13" s="104">
        <v>1.375</v>
      </c>
      <c r="AM13" s="104" t="str">
        <f>IF(AND(OR(Data!$B$3="A",Data!$B$3="LH",Data!$B$3="SA"),Data!$B$4=2,Data!$B$6=1.375),IF(AND(OR(Data!$B$7="be",Data!$B$7="ce"),Data!$D$15=4),AM58,""),"")</f>
        <v/>
      </c>
      <c r="AN13" s="104" t="str">
        <f>IF(AND(OR(Data!$B$3="A",Data!$B$3="LH",Data!$B$3="SA"),Data!$B$4=2,Data!$B$6=1.375),IF(AND(OR(Data!$B$7="RE",Data!$B$7="NC"),Data!$D$15=4),AN58,""),"")</f>
        <v/>
      </c>
      <c r="AO13" s="104" t="str">
        <f>IF(AND(OR(Data!$B$3="A",Data!$B$3="LH",Data!$B$3="SA"),Data!$B$4=2,Data!$B$6=1.375),IF(AND(OR(Data!$B$7="be",Data!$B$7="ce"),Data!$D$15=3),AO58,""),"")</f>
        <v/>
      </c>
      <c r="AP13" s="104" t="str">
        <f>IF(AND(OR(Data!$B$3="A",Data!$B$3="LH",Data!$B$3="SA"),Data!$B$4=2,Data!$B$6=1.375),IF(AND(OR(Data!$B$7="RE",Data!$B$7="NC"),Data!$D$15=3),AP58,""),"")</f>
        <v/>
      </c>
      <c r="AQ13" s="104" t="str">
        <f>IF(AND(OR(Data!$B$3="A",Data!$B$3="LH",Data!$B$3="SA"),Data!$B$4=2,Data!$B$6=1.375),IF(AND(OR(Data!$B$7="be",Data!$B$7="ce"),OR(Data!$D$15=1,Data!$D$15=2,Data!$D$15=6)),AQ58,""),"")</f>
        <v/>
      </c>
      <c r="AR13" s="104" t="str">
        <f>IF(AND(OR(Data!$B$3="A",Data!$B$3="LH",Data!$B$3="SA"),Data!$B$4=2,Data!$B$6=1.375),IF(AND(OR(Data!$B$7="re",Data!$B$7="nc"),OR(Data!$D$15=1,Data!$D$15=2,Data!$D$15=6)),AR58,""),"")</f>
        <v/>
      </c>
      <c r="AS13" s="104">
        <f t="shared" si="6"/>
        <v>0</v>
      </c>
      <c r="AT13" s="104"/>
      <c r="AU13" s="104">
        <v>2.5</v>
      </c>
      <c r="AZ13" s="104"/>
      <c r="BA13" s="104"/>
      <c r="BB13" s="104"/>
    </row>
    <row r="14" spans="1:54">
      <c r="A14" s="619"/>
      <c r="B14" s="102">
        <v>28</v>
      </c>
      <c r="C14" s="30" t="s">
        <v>22168</v>
      </c>
      <c r="E14" s="30">
        <f t="shared" si="3"/>
        <v>1396</v>
      </c>
      <c r="F14" s="30">
        <v>1504</v>
      </c>
      <c r="G14" s="30">
        <f t="shared" si="4"/>
        <v>1612</v>
      </c>
      <c r="H14" s="30">
        <f t="shared" si="5"/>
        <v>2038</v>
      </c>
      <c r="I14" s="103"/>
      <c r="J14" s="30">
        <v>0.72</v>
      </c>
      <c r="K14" s="30">
        <v>200</v>
      </c>
      <c r="M14" s="43">
        <v>40</v>
      </c>
      <c r="N14" s="104">
        <v>28</v>
      </c>
      <c r="O14" s="30" t="s">
        <v>22168</v>
      </c>
      <c r="Q14" s="30" t="str">
        <f>IF(OR(Data!B$3="IH",Data!B$3="IHM"),IF(M14=Data!B$4,IF(N14=Data!B$6,SUM(R14:V14),""),""),"")</f>
        <v/>
      </c>
      <c r="R14" s="30" t="str">
        <f>IF(OR("MX0"=Data!B$5,"MX1"=Data!B$5,"MX2"=Data!B$5,"MX3"=Data!B$5),E14,"")</f>
        <v/>
      </c>
      <c r="S14" s="30">
        <f>IF(OR("MF1"=Data!B$5,"MF2"=Data!B$5,"MS4"=Data!B$5),F14,"")</f>
        <v>1504</v>
      </c>
      <c r="T14" s="30" t="str">
        <f>IF(OR("MP1"=Data!B$5,"MP3"=Data!B$5,"MT1"=Data!B$5,"MT2"=Data!B$5,"MF5"=Data!B$5,"MF6"=Data!B$5,,"MS2"=Data!B$5,"ME5"=Data!B$5,"ME6"=Data!B$5),G14,"")</f>
        <v/>
      </c>
      <c r="U14" s="30" t="str">
        <f>IF(OR("MS3"=Data!B$5,"ME3"=Data!B$5,"ME4"=Data!B$5,"MP2"=Data!B$5,"MT4"=Data!B$5,"MPU3"=Data!B$5,"MS7"=Data!B$5),H14,"")</f>
        <v/>
      </c>
      <c r="W14" s="30" t="str">
        <f>IF(OR(Q14="",Q14=0),"",IF(Data!B$7="ABE",K14*4,IF(OR(Data!B$7="ACE",Data!B$7="ARE"),K14*2,IF(Data!B$7="BE",K14*2,IF(OR(Data!B$7="CE",Data!B$7="RE"),K14,0))))+J14*(ROUNDUP(Data!B$8,0.1)))</f>
        <v/>
      </c>
      <c r="Y14" s="30">
        <v>28</v>
      </c>
      <c r="Z14" s="30">
        <f t="shared" si="0"/>
        <v>349</v>
      </c>
      <c r="AA14" s="30">
        <f t="shared" si="1"/>
        <v>549</v>
      </c>
      <c r="AB14" s="43">
        <v>0.5</v>
      </c>
      <c r="AF14" s="30" t="str">
        <f>IF(W14&lt;&gt;"",IF(Data!B$7="NC",Z14+(AB14*(Data!B$8+Data!B$11+Data!B$27)),IF(Data!B$7&lt;&gt;"NC",AA14+(AB14*(Data!B$8+Data!B$11+Data!B$27)))),"")</f>
        <v/>
      </c>
      <c r="AG14" s="30">
        <v>7</v>
      </c>
      <c r="AH14" s="30">
        <v>1.75</v>
      </c>
      <c r="AI14" s="30">
        <v>3.1880000000000002</v>
      </c>
      <c r="AJ14" s="30">
        <f>IF(Data!B$4=7,IF(OR(Data!$B$3="H",Data!$B$3="SH"),AI14,AH14),0)</f>
        <v>0</v>
      </c>
      <c r="AL14" s="104">
        <v>2.5</v>
      </c>
      <c r="AS14" s="104"/>
      <c r="AT14" s="104"/>
      <c r="AU14" s="104">
        <v>1</v>
      </c>
      <c r="AV14" s="104" t="str">
        <f>IF(AND(OR(Data!$B$3="H",Data!$B$3="SH"),Data!$B$4=2.5,Data!$B$6=1),IF(AND(OR(Data!$B$7="be",Data!$B$7="ce"),Data!$D$15=4),AV48,""),"")</f>
        <v/>
      </c>
      <c r="AW14" s="104" t="str">
        <f>IF(AND(OR(Data!$B$3="H",Data!$B$3="SH"),Data!$B$4=2.5,Data!$B$6=1),IF(AND(OR(Data!$B$7="RE",Data!$B$7="NC"),Data!$D$15=4),AW48,""),"")</f>
        <v/>
      </c>
      <c r="AX14" s="104" t="str">
        <f>IF(AND(OR(Data!$B$3="H",Data!$B$3="SH"),Data!$B$4=2.5,Data!$B$6=1),IF(AND(OR(Data!$B$7="be",Data!$B$7="ce"),Data!$D$15=3),AX48,""),"")</f>
        <v/>
      </c>
      <c r="AY14" s="104" t="str">
        <f>IF(AND(OR(Data!$B$3="H",Data!$B$3="SH"),Data!$B$4=2.5,Data!$B$6=1),IF(AND(OR(Data!$B$7="RE",Data!$B$7="NC"),Data!$D$15=3),AY48,""),"")</f>
        <v/>
      </c>
      <c r="AZ14" s="104" t="str">
        <f>IF(AND(OR(Data!$B$3="H",Data!$B$3="SH"),Data!$B$4=2.5,Data!$B$6=1),IF(AND(OR(Data!$B$7="be",Data!$B$7="ce"),OR(Data!$D$15=1,Data!$D$15=2,Data!$D$15=6)),AZ48,""),"")</f>
        <v/>
      </c>
      <c r="BA14" s="104" t="str">
        <f>IF(AND(OR(Data!$B$3="H",Data!$B$3="SH"),Data!$B$4=2.5,Data!$B$6=1),IF(AND(OR(Data!$B$7="re",Data!$B$7="nc"),OR(Data!$D$15=1,Data!$D$15=2,Data!$D$15=6)),BA48,""),"")</f>
        <v/>
      </c>
      <c r="BB14" s="104">
        <f t="shared" si="2"/>
        <v>0</v>
      </c>
    </row>
    <row r="15" spans="1:54">
      <c r="A15" s="617">
        <v>50</v>
      </c>
      <c r="B15" s="102">
        <v>22</v>
      </c>
      <c r="C15" s="30" t="s">
        <v>22169</v>
      </c>
      <c r="E15" s="30">
        <f t="shared" si="3"/>
        <v>1508</v>
      </c>
      <c r="F15" s="30">
        <v>1625</v>
      </c>
      <c r="G15" s="30">
        <f t="shared" si="4"/>
        <v>1741</v>
      </c>
      <c r="H15" s="30">
        <f t="shared" si="5"/>
        <v>2202</v>
      </c>
      <c r="I15" s="103"/>
      <c r="J15" s="30">
        <v>0.8</v>
      </c>
      <c r="K15" s="30">
        <v>200</v>
      </c>
      <c r="M15" s="43">
        <v>50</v>
      </c>
      <c r="N15" s="104">
        <v>22</v>
      </c>
      <c r="O15" s="30" t="s">
        <v>22169</v>
      </c>
      <c r="Q15" s="30" t="str">
        <f>IF(OR(Data!B$3="IH",Data!B$3="IHM"),IF(M15=Data!B$4,IF(N15=Data!B$6,SUM(R15:V15),""),""),"")</f>
        <v/>
      </c>
      <c r="R15" s="30" t="str">
        <f>IF(OR("MX0"=Data!B$5,"MX1"=Data!B$5,"MX2"=Data!B$5,"MX3"=Data!B$5),E15,"")</f>
        <v/>
      </c>
      <c r="S15" s="30">
        <f>IF(OR("MF1"=Data!B$5,"MF2"=Data!B$5,"MS4"=Data!B$5),F15,"")</f>
        <v>1625</v>
      </c>
      <c r="T15" s="30" t="str">
        <f>IF(OR("MP1"=Data!B$5,"MP3"=Data!B$5,"MT1"=Data!B$5,"MT2"=Data!B$5,"MF5"=Data!B$5,"MF6"=Data!B$5,,"MS2"=Data!B$5,"ME5"=Data!B$5,"ME6"=Data!B$5),G15,"")</f>
        <v/>
      </c>
      <c r="U15" s="30" t="str">
        <f>IF(OR("MS3"=Data!B$5,"ME3"=Data!B$5,"ME4"=Data!B$5,"MP2"=Data!B$5,"MT4"=Data!B$5,"MPU3"=Data!B$5,"MS7"=Data!B$5),H15,"")</f>
        <v/>
      </c>
      <c r="W15" s="30" t="str">
        <f>IF(OR(Q15="",Q15=0),"",IF(Data!B$7="ABE",K15*4,IF(OR(Data!B$7="ACE",Data!B$7="ARE"),K15*2,IF(Data!B$7="BE",K15*2,IF(OR(Data!B$7="CE",Data!B$7="RE"),K15,0))))+J15*(ROUNDUP(Data!B$8,0.1)))</f>
        <v/>
      </c>
      <c r="X15" s="30">
        <v>50</v>
      </c>
      <c r="Y15" s="30">
        <v>22</v>
      </c>
      <c r="Z15" s="30">
        <f t="shared" si="0"/>
        <v>377</v>
      </c>
      <c r="AA15" s="30">
        <f t="shared" si="1"/>
        <v>577</v>
      </c>
      <c r="AB15" s="43">
        <f t="shared" ref="AB15:AB35" si="7">ROUNDDOWN(J15*1.3,0)</f>
        <v>1</v>
      </c>
      <c r="AF15" s="30" t="str">
        <f>IF(W15&lt;&gt;"",IF(Data!B$7="NC",Z15+(AB15*(Data!B$8+Data!B$11+Data!B$27)),IF(Data!B$7&lt;&gt;"NC",AA15+(AB15*(Data!B$8+Data!B$11+Data!B$27)))),"")</f>
        <v/>
      </c>
      <c r="AG15" s="30">
        <v>8</v>
      </c>
      <c r="AH15" s="30">
        <v>1.75</v>
      </c>
      <c r="AI15" s="30">
        <v>3.6880000000000002</v>
      </c>
      <c r="AJ15" s="30">
        <f>IF(Data!B$4=8,IF(OR(Data!$B$3="H",Data!$B$3="SH"),AI15,AH15),0)</f>
        <v>0</v>
      </c>
      <c r="AL15" s="104">
        <v>0.625</v>
      </c>
      <c r="AM15" s="104" t="str">
        <f>IF(AND(OR(Data!$B$3="A",Data!$B$3="LH",Data!$B$3="SA"),Data!$B$4=2.5,Data!$B$6=0.625),IF(AND(OR(Data!$B$7="be",Data!$B$7="ce"),Data!$D$15=4),AM60,""),"")</f>
        <v/>
      </c>
      <c r="AN15" s="104" t="str">
        <f>IF(AND(OR(Data!$B$3="A",Data!$B$3="LH",Data!$B$3="SA"),Data!$B$4=2.5,Data!$B$6=0.625),IF(AND(OR(Data!$B$7="RE",Data!$B$7="NC"),Data!$D$15=4),AN60,""),"")</f>
        <v/>
      </c>
      <c r="AO15" s="104" t="str">
        <f>IF(AND(OR(Data!$B$3="A",Data!$B$3="LH",Data!$B$3="SA"),Data!$B$4=2.5,Data!$B$6=0.625),IF(AND(OR(Data!$B$7="be",Data!$B$7="ce"),Data!$D$15=3),AO60,""),"")</f>
        <v/>
      </c>
      <c r="AP15" s="104" t="str">
        <f>IF(AND(OR(Data!$B$3="A",Data!$B$3="LH",Data!$B$3="SA"),Data!$B$4=2.5,Data!$B$6=0.625),IF(AND(OR(Data!$B$7="RE",Data!$B$7="NC"),Data!$D$15=3),AP60,""),"")</f>
        <v/>
      </c>
      <c r="AQ15" s="104" t="str">
        <f>IF(AND(OR(Data!$B$3="A",Data!$B$3="LH",Data!$B$3="SA"),Data!$B$4=2.5,Data!$B$6=0.625),IF(AND(OR(Data!$B$7="be",Data!$B$7="ce"),OR(Data!$D$15=1,Data!$D$15=2,Data!$D$15=6)),AQ60,""),"")</f>
        <v/>
      </c>
      <c r="AR15" s="104" t="str">
        <f>IF(AND(OR(Data!$B$3="A",Data!$B$3="LH",Data!$B$3="SA"),Data!$B$4=2.5,Data!$B$6=0.625),IF(AND(OR(Data!$B$7="re",Data!$B$7="nc"),OR(Data!$D$15=1,Data!$D$15=2,Data!$D$15=6)),AR60,""),"")</f>
        <v/>
      </c>
      <c r="AS15" s="104">
        <f t="shared" si="6"/>
        <v>0</v>
      </c>
      <c r="AU15" s="104">
        <v>1.375</v>
      </c>
      <c r="AV15" s="104" t="str">
        <f>IF(AND(OR(Data!$B$3="H",Data!$B$3="SH"),Data!$B$4=2.5,Data!$B$6=1.375),IF(AND(OR(Data!$B$7="be",Data!$B$7="ce"),Data!$D$15=4),AV49,""),"")</f>
        <v/>
      </c>
      <c r="AW15" s="104" t="str">
        <f>IF(AND(OR(Data!$B$3="H",Data!$B$3="SH"),Data!$B$4=2.5,Data!$B$6=1.375),IF(AND(OR(Data!$B$7="RE",Data!$B$7="NC"),Data!$D$15=4),AW49,""),"")</f>
        <v/>
      </c>
      <c r="AX15" s="104" t="str">
        <f>IF(AND(OR(Data!$B$3="H",Data!$B$3="SH"),Data!$B$4=2.5,Data!$B$6=1.375),IF(AND(OR(Data!$B$7="be",Data!$B$7="ce"),Data!$D$15=3),AX49,""),"")</f>
        <v/>
      </c>
      <c r="AY15" s="104" t="str">
        <f>IF(AND(OR(Data!$B$3="H",Data!$B$3="SH"),Data!$B$4=2.5,Data!$B$6=1.375),IF(AND(OR(Data!$B$7="RE",Data!$B$7="NC"),Data!$D$15=3),AY49,""),"")</f>
        <v/>
      </c>
      <c r="AZ15" s="104" t="str">
        <f>IF(AND(OR(Data!$B$3="H",Data!$B$3="SH"),Data!$B$4=2.5,Data!$B$6=1.375),IF(AND(OR(Data!$B$7="be",Data!$B$7="ce"),OR(Data!$D$15=1,Data!$D$15=2,Data!$D$15=6)),AZ49,""),"")</f>
        <v/>
      </c>
      <c r="BA15" s="104" t="str">
        <f>IF(AND(OR(Data!$B$3="H",Data!$B$3="SH"),Data!$B$4=2.5,Data!$B$6=1.375),IF(AND(OR(Data!$B$7="re",Data!$B$7="nc"),OR(Data!$D$15=1,Data!$D$15=2,Data!$D$15=6)),BA49,""),"")</f>
        <v/>
      </c>
      <c r="BB15" s="104">
        <f t="shared" si="2"/>
        <v>0</v>
      </c>
    </row>
    <row r="16" spans="1:54">
      <c r="A16" s="618"/>
      <c r="B16" s="102">
        <v>28</v>
      </c>
      <c r="C16" s="105" t="s">
        <v>22168</v>
      </c>
      <c r="D16" s="105"/>
      <c r="E16" s="30">
        <f t="shared" si="3"/>
        <v>1629</v>
      </c>
      <c r="F16" s="30">
        <v>1755</v>
      </c>
      <c r="G16" s="30">
        <f t="shared" si="4"/>
        <v>1881</v>
      </c>
      <c r="H16" s="30">
        <f t="shared" si="5"/>
        <v>2379</v>
      </c>
      <c r="I16" s="103"/>
      <c r="J16" s="30">
        <v>0.92</v>
      </c>
      <c r="K16" s="30">
        <v>200</v>
      </c>
      <c r="M16" s="43">
        <v>50</v>
      </c>
      <c r="N16" s="104">
        <v>28</v>
      </c>
      <c r="O16" s="105" t="s">
        <v>22168</v>
      </c>
      <c r="P16" s="105"/>
      <c r="Q16" s="30" t="str">
        <f>IF(OR(Data!B$3="IH",Data!B$3="IHM"),IF(M16=Data!B$4,IF(N16=Data!B$6,SUM(R16:V16),""),""),"")</f>
        <v/>
      </c>
      <c r="R16" s="30" t="str">
        <f>IF(OR("MX0"=Data!B$5,"MX1"=Data!B$5,"MX2"=Data!B$5,"MX3"=Data!B$5),E16,"")</f>
        <v/>
      </c>
      <c r="S16" s="30">
        <f>IF(OR("MF1"=Data!B$5,"MF2"=Data!B$5,"MS4"=Data!B$5),F16,"")</f>
        <v>1755</v>
      </c>
      <c r="T16" s="30" t="str">
        <f>IF(OR("MP1"=Data!B$5,"MP3"=Data!B$5,"MT1"=Data!B$5,"MT2"=Data!B$5,"MF5"=Data!B$5,"MF6"=Data!B$5,,"MS2"=Data!B$5,"ME5"=Data!B$5,"ME6"=Data!B$5),G16,"")</f>
        <v/>
      </c>
      <c r="U16" s="30" t="str">
        <f>IF(OR("MS3"=Data!B$5,"ME3"=Data!B$5,"ME4"=Data!B$5,"MP2"=Data!B$5,"MT4"=Data!B$5,"MPU3"=Data!B$5,"MS7"=Data!B$5),H16,"")</f>
        <v/>
      </c>
      <c r="W16" s="30" t="str">
        <f>IF(OR(Q16="",Q16=0),"",IF(Data!B$7="ABE",K16*4,IF(OR(Data!B$7="ACE",Data!B$7="ARE"),K16*2,IF(Data!B$7="BE",K16*2,IF(OR(Data!B$7="CE",Data!B$7="RE"),K16,0))))+J16*(ROUNDUP(Data!B$8,0.1)))</f>
        <v/>
      </c>
      <c r="Y16" s="30">
        <v>28</v>
      </c>
      <c r="Z16" s="30">
        <f t="shared" si="0"/>
        <v>408</v>
      </c>
      <c r="AA16" s="30">
        <f t="shared" si="1"/>
        <v>608</v>
      </c>
      <c r="AB16" s="43">
        <f t="shared" si="7"/>
        <v>1</v>
      </c>
      <c r="AC16" s="104"/>
      <c r="AD16" s="104"/>
      <c r="AE16" s="104"/>
      <c r="AF16" s="30" t="str">
        <f>IF(W16&lt;&gt;"",IF(Data!B$7="NC",Z16+(AB16*(Data!B$8+Data!B$11+Data!B$27)),IF(Data!B$7&lt;&gt;"NC",AA16+(AB16*(Data!B$8+Data!B$11+Data!B$27)))),"")</f>
        <v/>
      </c>
      <c r="AG16" s="30">
        <v>10</v>
      </c>
      <c r="AL16" s="104">
        <v>1</v>
      </c>
      <c r="AM16" s="104" t="str">
        <f>IF(AND(OR(Data!$B$3="A",Data!$B$3="LH",Data!$B$3="SA"),Data!$B$4=2.5,Data!$B$6=1),IF(AND(OR(Data!$B$7="be",Data!$B$7="ce"),Data!$D$15=4),AM61,""),"")</f>
        <v/>
      </c>
      <c r="AN16" s="104" t="str">
        <f>IF(AND(OR(Data!$B$3="A",Data!$B$3="LH",Data!$B$3="SA"),Data!$B$4=2.5,Data!$B$6=1),IF(AND(OR(Data!$B$7="RE",Data!$B$7="NC"),Data!$D$15=4),AN61,""),"")</f>
        <v/>
      </c>
      <c r="AO16" s="104" t="str">
        <f>IF(AND(OR(Data!$B$3="A",Data!$B$3="LH",Data!$B$3="SA"),Data!$B$4=2.5,Data!$B$6=1),IF(AND(OR(Data!$B$7="be",Data!$B$7="ce"),Data!$D$15=3),AO61,""),"")</f>
        <v/>
      </c>
      <c r="AP16" s="104" t="str">
        <f>IF(AND(OR(Data!$B$3="A",Data!$B$3="LH",Data!$B$3="SA"),Data!$B$4=2.5,Data!$B$6=1),IF(AND(OR(Data!$B$7="RE",Data!$B$7="NC"),Data!$D$15=3),AP61,""),"")</f>
        <v/>
      </c>
      <c r="AQ16" s="104" t="str">
        <f>IF(AND(OR(Data!$B$3="A",Data!$B$3="LH",Data!$B$3="SA"),Data!$B$4=2.5,Data!$B$6=1),IF(AND(OR(Data!$B$7="be",Data!$B$7="ce"),OR(Data!$D$15=1,Data!$D$15=2,Data!$D$15=6)),AQ61,""),"")</f>
        <v/>
      </c>
      <c r="AR16" s="104" t="str">
        <f>IF(AND(OR(Data!$B$3="A",Data!$B$3="LH",Data!$B$3="SA"),Data!$B$4=2.5,Data!$B$6=1),IF(AND(OR(Data!$B$7="re",Data!$B$7="nc"),OR(Data!$D$15=1,Data!$D$15=2,Data!$D$15=6)),AR61,""),"")</f>
        <v/>
      </c>
      <c r="AS16" s="104">
        <f t="shared" si="6"/>
        <v>0</v>
      </c>
      <c r="AU16" s="104">
        <v>1.75</v>
      </c>
      <c r="AV16" s="104" t="str">
        <f>IF(AND(OR(Data!$B$3="H",Data!$B$3="SH"),Data!$B$4=2.5,Data!$B$6=1.75),IF(AND(OR(Data!$B$7="be",Data!$B$7="ce"),Data!$D$15=4),AV50,""),"")</f>
        <v/>
      </c>
      <c r="AW16" s="104" t="str">
        <f>IF(AND(OR(Data!$B$3="H",Data!$B$3="SH"),Data!$B$4=2.5,Data!$B$6=1.75),IF(AND(OR(Data!$B$7="RE",Data!$B$7="NC"),Data!$D$15=4),AW50,""),"")</f>
        <v/>
      </c>
      <c r="AX16" s="104" t="str">
        <f>IF(AND(OR(Data!$B$3="H",Data!$B$3="SH"),Data!$B$4=2.5,Data!$B$6=1.75),IF(AND(OR(Data!$B$7="be",Data!$B$7="ce"),Data!$D$15=3),AX50,""),"")</f>
        <v/>
      </c>
      <c r="AY16" s="104" t="str">
        <f>IF(AND(OR(Data!$B$3="H",Data!$B$3="SH"),Data!$B$4=2.5,Data!$B$6=1.75),IF(AND(OR(Data!$B$7="RE",Data!$B$7="NC"),Data!$D$15=3),AY50,""),"")</f>
        <v/>
      </c>
      <c r="AZ16" s="104" t="str">
        <f>IF(AND(OR(Data!$B$3="H",Data!$B$3="SH"),Data!$B$4=2.5,Data!$B$6=1.75),IF(AND(OR(Data!$B$7="be",Data!$B$7="ce"),OR(Data!$D$15=1,Data!$D$15=2,Data!$D$15=6)),AZ50,""),"")</f>
        <v/>
      </c>
      <c r="BA16" s="104" t="str">
        <f>IF(AND(OR(Data!$B$3="H",Data!$B$3="SH"),Data!$B$4=2.5,Data!$B$6=1.75),IF(AND(OR(Data!$B$7="re",Data!$B$7="nc"),OR(Data!$D$15=1,Data!$D$15=2,Data!$D$15=6)),BA50,""),"")</f>
        <v/>
      </c>
      <c r="BB16" s="104">
        <f t="shared" si="2"/>
        <v>0</v>
      </c>
    </row>
    <row r="17" spans="1:54">
      <c r="A17" s="619"/>
      <c r="B17" s="102">
        <v>36</v>
      </c>
      <c r="C17" s="30" t="s">
        <v>22167</v>
      </c>
      <c r="E17" s="30">
        <f t="shared" si="3"/>
        <v>1760</v>
      </c>
      <c r="F17" s="30">
        <v>1896</v>
      </c>
      <c r="G17" s="30">
        <f t="shared" si="4"/>
        <v>2032</v>
      </c>
      <c r="H17" s="30">
        <f t="shared" si="5"/>
        <v>2570</v>
      </c>
      <c r="I17" s="103"/>
      <c r="J17" s="30">
        <v>0.92</v>
      </c>
      <c r="K17" s="30">
        <v>234</v>
      </c>
      <c r="M17" s="43">
        <v>50</v>
      </c>
      <c r="N17" s="104">
        <v>36</v>
      </c>
      <c r="O17" s="30" t="s">
        <v>22167</v>
      </c>
      <c r="Q17" s="30" t="str">
        <f>IF(OR(Data!B$3="IH",Data!B$3="IHM"),IF(M17=Data!B$4,IF(N17=Data!B$6,SUM(R17:V17),""),""),"")</f>
        <v/>
      </c>
      <c r="R17" s="30" t="str">
        <f>IF(OR("MX0"=Data!B$5,"MX1"=Data!B$5,"MX2"=Data!B$5,"MX3"=Data!B$5),E17,"")</f>
        <v/>
      </c>
      <c r="S17" s="30">
        <f>IF(OR("MF1"=Data!B$5,"MF2"=Data!B$5,"MS4"=Data!B$5),F17,"")</f>
        <v>1896</v>
      </c>
      <c r="T17" s="30" t="str">
        <f>IF(OR("MP1"=Data!B$5,"MP3"=Data!B$5,"MT1"=Data!B$5,"MT2"=Data!B$5,"MF5"=Data!B$5,"MF6"=Data!B$5,,"MS2"=Data!B$5,"ME5"=Data!B$5,"ME6"=Data!B$5),G17,"")</f>
        <v/>
      </c>
      <c r="U17" s="30" t="str">
        <f>IF(OR("MS3"=Data!B$5,"ME3"=Data!B$5,"ME4"=Data!B$5,"MP2"=Data!B$5,"MT4"=Data!B$5,"MPU3"=Data!B$5,"MS7"=Data!B$5),H17,"")</f>
        <v/>
      </c>
      <c r="W17" s="30" t="str">
        <f>IF(OR(Q17="",Q17=0),"",IF(Data!B$7="ABE",K17*4,IF(OR(Data!B$7="ACE",Data!B$7="ARE"),K17*2,IF(Data!B$7="BE",K17*2,IF(OR(Data!B$7="CE",Data!B$7="RE"),K17,0))))+J17*(ROUNDUP(Data!B$8,0.1)))</f>
        <v/>
      </c>
      <c r="Y17" s="30">
        <v>36</v>
      </c>
      <c r="Z17" s="30">
        <f t="shared" si="0"/>
        <v>440</v>
      </c>
      <c r="AA17" s="30">
        <f t="shared" si="1"/>
        <v>674</v>
      </c>
      <c r="AB17" s="43">
        <f t="shared" si="7"/>
        <v>1</v>
      </c>
      <c r="AC17" s="104"/>
      <c r="AD17" s="104"/>
      <c r="AE17" s="104"/>
      <c r="AF17" s="30" t="str">
        <f>IF(W17&lt;&gt;"",IF(Data!B$7="NC",Z17+(AB17*(Data!B$8+Data!B$11+Data!B$27)),IF(Data!B$7&lt;&gt;"NC",AA17+(AB17*(Data!B$8+Data!B$11+Data!B$27)))),"")</f>
        <v/>
      </c>
      <c r="AG17" s="57">
        <v>12</v>
      </c>
      <c r="AL17" s="104">
        <v>1.375</v>
      </c>
      <c r="AM17" s="104" t="str">
        <f>IF(AND(OR(Data!$B$3="A",Data!$B$3="LH",Data!$B$3="SA"),Data!$B$4=2.5,Data!$B$6=1.375),IF(AND(OR(Data!$B$7="be",Data!$B$7="ce"),Data!$D$15=4),AM62,""),"")</f>
        <v/>
      </c>
      <c r="AN17" s="104" t="str">
        <f>IF(AND(OR(Data!$B$3="A",Data!$B$3="LH",Data!$B$3="SA"),Data!$B$4=2.5,Data!$B$6=1.375),IF(AND(OR(Data!$B$7="RE",Data!$B$7="NC"),Data!$D$15=4),AN62,""),"")</f>
        <v/>
      </c>
      <c r="AO17" s="104" t="str">
        <f>IF(AND(OR(Data!$B$3="A",Data!$B$3="LH",Data!$B$3="SA"),Data!$B$4=2.5,Data!$B$6=1.375),IF(AND(OR(Data!$B$7="be",Data!$B$7="ce"),Data!$D$15=3),AO62,""),"")</f>
        <v/>
      </c>
      <c r="AP17" s="104" t="str">
        <f>IF(AND(OR(Data!$B$3="A",Data!$B$3="LH",Data!$B$3="SA"),Data!$B$4=2.5,Data!$B$6=1.375),IF(AND(OR(Data!$B$7="RE",Data!$B$7="NC"),Data!$D$15=3),AP62,""),"")</f>
        <v/>
      </c>
      <c r="AQ17" s="104" t="str">
        <f>IF(AND(OR(Data!$B$3="A",Data!$B$3="LH",Data!$B$3="SA"),Data!$B$4=2.5,Data!$B$6=1.375),IF(AND(OR(Data!$B$7="be",Data!$B$7="ce"),OR(Data!$D$15=1,Data!$D$15=2,Data!$D$15=6)),AQ62,""),"")</f>
        <v/>
      </c>
      <c r="AR17" s="104" t="str">
        <f>IF(AND(OR(Data!$B$3="A",Data!$B$3="LH",Data!$B$3="SA"),Data!$B$4=2.5,Data!$B$6=1.375),IF(AND(OR(Data!$B$7="re",Data!$B$7="nc"),OR(Data!$D$15=1,Data!$D$15=2,Data!$D$15=6)),AR62,""),"")</f>
        <v/>
      </c>
      <c r="AS17" s="104">
        <f t="shared" si="6"/>
        <v>0</v>
      </c>
      <c r="AT17" s="104"/>
      <c r="AU17" s="104">
        <v>3.25</v>
      </c>
      <c r="AZ17" s="104"/>
      <c r="BA17" s="104"/>
      <c r="BB17" s="104"/>
    </row>
    <row r="18" spans="1:54">
      <c r="A18" s="614">
        <v>63</v>
      </c>
      <c r="B18" s="102">
        <v>28</v>
      </c>
      <c r="C18" s="30" t="s">
        <v>22168</v>
      </c>
      <c r="E18" s="30">
        <f t="shared" si="3"/>
        <v>1901</v>
      </c>
      <c r="F18" s="30">
        <v>2048</v>
      </c>
      <c r="G18" s="30">
        <f t="shared" si="4"/>
        <v>2195</v>
      </c>
      <c r="H18" s="30">
        <f t="shared" si="5"/>
        <v>2776</v>
      </c>
      <c r="I18" s="103"/>
      <c r="J18" s="30">
        <v>1.04</v>
      </c>
      <c r="K18" s="30">
        <v>234</v>
      </c>
      <c r="M18" s="43">
        <v>63</v>
      </c>
      <c r="N18" s="104">
        <v>28</v>
      </c>
      <c r="O18" s="30" t="s">
        <v>22168</v>
      </c>
      <c r="Q18" s="30" t="str">
        <f>IF(OR(Data!B$3="IH",Data!B$3="IHM"),IF(M18=Data!B$4,IF(N18=Data!B$6,SUM(R18:V18),""),""),"")</f>
        <v/>
      </c>
      <c r="R18" s="30" t="str">
        <f>IF(OR("MX0"=Data!B$5,"MX1"=Data!B$5,"MX2"=Data!B$5,"MX3"=Data!B$5),E18,"")</f>
        <v/>
      </c>
      <c r="S18" s="30">
        <f>IF(OR("MF1"=Data!B$5,"MF2"=Data!B$5,"MS4"=Data!B$5),F18,"")</f>
        <v>2048</v>
      </c>
      <c r="T18" s="30" t="str">
        <f>IF(OR("MP1"=Data!B$5,"MP3"=Data!B$5,"MT1"=Data!B$5,"MT2"=Data!B$5,"MF5"=Data!B$5,"MF6"=Data!B$5,,"MS2"=Data!B$5,"ME5"=Data!B$5,"ME6"=Data!B$5),G18,"")</f>
        <v/>
      </c>
      <c r="U18" s="30" t="str">
        <f>IF(OR("MS3"=Data!B$5,"ME3"=Data!B$5,"ME4"=Data!B$5,"MP2"=Data!B$5,"MT4"=Data!B$5,"MPU3"=Data!B$5,"MS7"=Data!B$5),H18,"")</f>
        <v/>
      </c>
      <c r="W18" s="30" t="str">
        <f>IF(OR(Q18="",Q18=0),"",IF(Data!B$7="ABE",K18*4,IF(OR(Data!B$7="ACE",Data!B$7="ARE"),K18*2,IF(Data!B$7="BE",K18*2,IF(OR(Data!B$7="CE",Data!B$7="RE"),K18,0))))+J18*(ROUNDUP(Data!B$8,0.1)))</f>
        <v/>
      </c>
      <c r="X18" s="30">
        <v>63</v>
      </c>
      <c r="Y18" s="30">
        <v>28</v>
      </c>
      <c r="Z18" s="30">
        <f t="shared" si="0"/>
        <v>476</v>
      </c>
      <c r="AA18" s="30">
        <f t="shared" si="1"/>
        <v>710</v>
      </c>
      <c r="AB18" s="43">
        <f t="shared" si="7"/>
        <v>1</v>
      </c>
      <c r="AF18" s="30" t="str">
        <f>IF(W18&lt;&gt;"",IF(Data!B$7="NC",Z18+(AB18*(Data!B$8+Data!B$11+Data!B$27)),IF(Data!B$7&lt;&gt;"NC",AA18+(AB18*(Data!B$8+Data!B$11+Data!B$27)))),"")</f>
        <v/>
      </c>
      <c r="AG18" s="57">
        <v>14</v>
      </c>
      <c r="AL18" s="104">
        <v>1.75</v>
      </c>
      <c r="AM18" s="104" t="str">
        <f>IF(AND(OR(Data!$B$3="A",Data!$B$3="LH",Data!$B$3="SA"),Data!$B$4=2.5,Data!$B$6=1.75),IF(AND(OR(Data!$B$7="be",Data!$B$7="ce"),Data!$D$15=4),AM63,""),"")</f>
        <v/>
      </c>
      <c r="AN18" s="104" t="str">
        <f>IF(AND(OR(Data!$B$3="A",Data!$B$3="LH",Data!$B$3="SA"),Data!$B$4=2.5,Data!$B$6=1.75),IF(AND(OR(Data!$B$7="RE",Data!$B$7="NC"),Data!$D$15=4),AN63,""),"")</f>
        <v/>
      </c>
      <c r="AO18" s="104" t="str">
        <f>IF(AND(OR(Data!$B$3="A",Data!$B$3="LH",Data!$B$3="SA"),Data!$B$4=2.5,Data!$B$6=1.75),IF(AND(OR(Data!$B$7="be",Data!$B$7="ce"),Data!$D$15=3),AO63,""),"")</f>
        <v/>
      </c>
      <c r="AP18" s="104" t="str">
        <f>IF(AND(OR(Data!$B$3="A",Data!$B$3="LH",Data!$B$3="SA"),Data!$B$4=2.5,Data!$B$6=1.75),IF(AND(OR(Data!$B$7="RE",Data!$B$7="NC"),Data!$D$15=3),AP63,""),"")</f>
        <v/>
      </c>
      <c r="AQ18" s="104" t="str">
        <f>IF(AND(OR(Data!$B$3="A",Data!$B$3="LH",Data!$B$3="SA"),Data!$B$4=2.5,Data!$B$6=1.75),IF(AND(OR(Data!$B$7="be",Data!$B$7="ce"),OR(Data!$D$15=1,Data!$D$15=2,Data!$D$15=6)),AQ63,""),"")</f>
        <v/>
      </c>
      <c r="AR18" s="104" t="str">
        <f>IF(AND(OR(Data!$B$3="A",Data!$B$3="LH",Data!$B$3="SA"),Data!$B$4=2.5,Data!$B$6=1.75),IF(AND(OR(Data!$B$7="re",Data!$B$7="nc"),OR(Data!$D$15=1,Data!$D$15=2,Data!$D$15=6)),AR63,""),"")</f>
        <v/>
      </c>
      <c r="AS18" s="104">
        <f t="shared" si="6"/>
        <v>0</v>
      </c>
      <c r="AT18" s="104"/>
      <c r="AU18" s="104">
        <v>1.375</v>
      </c>
      <c r="AV18" s="104" t="str">
        <f>IF(AND(OR(Data!$B$3="H",Data!$B$3="SH"),Data!$B$4=3.25,Data!$B$6=1.375),IF(AND(OR(Data!$B$7="be",Data!$B$7="ce"),Data!$D$15=4),AV52,""),"")</f>
        <v/>
      </c>
      <c r="AW18" s="104" t="str">
        <f>IF(AND(OR(Data!$B$3="H",Data!$B$3="SH"),Data!$B$4=3.25,Data!$B$6=1.375),IF(AND(OR(Data!$B$7="RE",Data!$B$7="NC"),Data!$D$15=4),AW52,""),"")</f>
        <v/>
      </c>
      <c r="AX18" s="104" t="str">
        <f>IF(AND(OR(Data!$B$3="H",Data!$B$3="SH"),Data!$B$4=3.25,Data!$B$6=1.375),IF(AND(OR(Data!$B$7="be",Data!$B$7="ce"),Data!$D$15=3),AX52,""),"")</f>
        <v/>
      </c>
      <c r="AY18" s="104" t="str">
        <f>IF(AND(OR(Data!$B$3="H",Data!$B$3="SH"),Data!$B$4=3.25,Data!$B$6=1.375),IF(AND(OR(Data!$B$7="RE",Data!$B$7="NC"),Data!$D$15=3),AY52,""),"")</f>
        <v/>
      </c>
      <c r="AZ18" s="104" t="str">
        <f>IF(AND(OR(Data!$B$3="H",Data!$B$3="SH"),Data!$B$4=3.25,Data!$B$6=1.375),IF(AND(OR(Data!$B$7="be",Data!$B$7="ce"),OR(Data!$D$15=1,Data!$D$15=2,Data!$D$15=6)),AZ52,""),"")</f>
        <v/>
      </c>
      <c r="BA18" s="104" t="str">
        <f>IF(AND(OR(Data!$B$3="H",Data!$B$3="SH"),Data!$B$4=3.25,Data!$B$6=1.375),IF(AND(OR(Data!$B$7="re",Data!$B$7="nc"),OR(Data!$D$15=1,Data!$D$15=2,Data!$D$15=6)),BA52,""),"")</f>
        <v/>
      </c>
      <c r="BB18" s="104">
        <f t="shared" si="2"/>
        <v>0</v>
      </c>
    </row>
    <row r="19" spans="1:54">
      <c r="A19" s="615"/>
      <c r="B19" s="102">
        <v>36</v>
      </c>
      <c r="C19" s="105" t="s">
        <v>22167</v>
      </c>
      <c r="E19" s="30">
        <f t="shared" si="3"/>
        <v>2054</v>
      </c>
      <c r="F19" s="30">
        <v>2212</v>
      </c>
      <c r="G19" s="30">
        <f t="shared" si="4"/>
        <v>2371</v>
      </c>
      <c r="H19" s="30">
        <f t="shared" si="5"/>
        <v>2999</v>
      </c>
      <c r="I19" s="103"/>
      <c r="J19" s="30">
        <v>1.1200000000000001</v>
      </c>
      <c r="K19" s="30">
        <v>234</v>
      </c>
      <c r="M19" s="43">
        <v>63</v>
      </c>
      <c r="N19" s="104">
        <v>36</v>
      </c>
      <c r="O19" s="105" t="s">
        <v>22167</v>
      </c>
      <c r="Q19" s="30" t="str">
        <f>IF(OR(Data!B$3="IH",Data!B$3="IHM"),IF(M19=Data!B$4,IF(N19=Data!B$6,SUM(R19:V19),""),""),"")</f>
        <v/>
      </c>
      <c r="R19" s="30" t="str">
        <f>IF(OR("MX0"=Data!B$5,"MX1"=Data!B$5,"MX2"=Data!B$5,"MX3"=Data!B$5),E19,"")</f>
        <v/>
      </c>
      <c r="S19" s="30">
        <f>IF(OR("MF1"=Data!B$5,"MF2"=Data!B$5,"MS4"=Data!B$5),F19,"")</f>
        <v>2212</v>
      </c>
      <c r="T19" s="30" t="str">
        <f>IF(OR("MP1"=Data!B$5,"MP3"=Data!B$5,"MT1"=Data!B$5,"MT2"=Data!B$5,"MF5"=Data!B$5,"MF6"=Data!B$5,,"MS2"=Data!B$5,"ME5"=Data!B$5,"ME6"=Data!B$5),G19,"")</f>
        <v/>
      </c>
      <c r="U19" s="30" t="str">
        <f>IF(OR("MS3"=Data!B$5,"ME3"=Data!B$5,"ME4"=Data!B$5,"MP2"=Data!B$5,"MT4"=Data!B$5,"MPU3"=Data!B$5,"MS7"=Data!B$5),H19,"")</f>
        <v/>
      </c>
      <c r="W19" s="30" t="str">
        <f>IF(OR(Q19="",Q19=0),"",IF(Data!B$7="ABE",K19*4,IF(OR(Data!B$7="ACE",Data!B$7="ARE"),K19*2,IF(Data!B$7="BE",K19*2,IF(OR(Data!B$7="CE",Data!B$7="RE"),K19,0))))+J19*(ROUNDUP(Data!B$8,0.1)))</f>
        <v/>
      </c>
      <c r="Y19" s="30">
        <v>36</v>
      </c>
      <c r="Z19" s="30">
        <f t="shared" si="0"/>
        <v>514</v>
      </c>
      <c r="AA19" s="30">
        <f t="shared" si="1"/>
        <v>748</v>
      </c>
      <c r="AB19" s="43">
        <f t="shared" si="7"/>
        <v>1</v>
      </c>
      <c r="AF19" s="30" t="str">
        <f>IF(W19&lt;&gt;"",IF(Data!B$7="NC",Z19+(AB19*(Data!B$8+Data!B$11+Data!B$27)),IF(Data!B$7&lt;&gt;"NC",AA19+(AB19*(Data!B$8+Data!B$11+Data!B$27)))),"")</f>
        <v/>
      </c>
      <c r="AG19" s="30">
        <v>16</v>
      </c>
      <c r="AL19" s="104">
        <v>3.25</v>
      </c>
      <c r="AS19" s="104"/>
      <c r="AT19" s="104"/>
      <c r="AU19" s="104">
        <v>1.75</v>
      </c>
      <c r="AV19" s="104" t="str">
        <f>IF(AND(OR(Data!$B$3="H",Data!$B$3="SH"),Data!$B$4=3.25,Data!$B$6=1.75),IF(AND(OR(Data!$B$7="be",Data!$B$7="ce"),Data!$D$15=4),AV53,""),"")</f>
        <v/>
      </c>
      <c r="AW19" s="104" t="str">
        <f>IF(AND(OR(Data!$B$3="H",Data!$B$3="SH"),Data!$B$4=3.25,Data!$B$6=1.75),IF(AND(OR(Data!$B$7="RE",Data!$B$7="NC"),Data!$D$15=4),AW53,""),"")</f>
        <v/>
      </c>
      <c r="AX19" s="104" t="str">
        <f>IF(AND(OR(Data!$B$3="H",Data!$B$3="SH"),Data!$B$4=3.25,Data!$B$6=1.75),IF(AND(OR(Data!$B$7="be",Data!$B$7="ce"),Data!$D$15=3),AX53,""),"")</f>
        <v/>
      </c>
      <c r="AY19" s="104" t="str">
        <f>IF(AND(OR(Data!$B$3="H",Data!$B$3="SH"),Data!$B$4=3.25,Data!$B$6=1.75),IF(AND(OR(Data!$B$7="RE",Data!$B$7="NC"),Data!$D$15=3),AY53,""),"")</f>
        <v/>
      </c>
      <c r="AZ19" s="104" t="str">
        <f>IF(AND(OR(Data!$B$3="H",Data!$B$3="SH"),Data!$B$4=3.25,Data!$B$6=1.75),IF(AND(OR(Data!$B$7="be",Data!$B$7="ce"),OR(Data!$D$15=1,Data!$D$15=2,Data!$D$15=6)),AZ53,""),"")</f>
        <v/>
      </c>
      <c r="BA19" s="104" t="str">
        <f>IF(AND(OR(Data!$B$3="H",Data!$B$3="SH"),Data!$B$4=3.25,Data!$B$6=1.75),IF(AND(OR(Data!$B$7="re",Data!$B$7="nc"),OR(Data!$D$15=1,Data!$D$15=2,Data!$D$15=6)),BA53,""),"")</f>
        <v/>
      </c>
      <c r="BB19" s="104">
        <f t="shared" si="2"/>
        <v>0</v>
      </c>
    </row>
    <row r="20" spans="1:54">
      <c r="A20" s="616"/>
      <c r="B20" s="102">
        <v>45</v>
      </c>
      <c r="C20" s="30" t="s">
        <v>22166</v>
      </c>
      <c r="E20" s="30">
        <f t="shared" si="3"/>
        <v>2219</v>
      </c>
      <c r="F20" s="30">
        <v>2389</v>
      </c>
      <c r="G20" s="30">
        <f t="shared" si="4"/>
        <v>2561</v>
      </c>
      <c r="H20" s="30">
        <f t="shared" si="5"/>
        <v>3239</v>
      </c>
      <c r="I20" s="103"/>
      <c r="J20" s="30">
        <v>1.24</v>
      </c>
      <c r="K20" s="30">
        <v>259</v>
      </c>
      <c r="M20" s="43">
        <v>63</v>
      </c>
      <c r="N20" s="104">
        <v>45</v>
      </c>
      <c r="O20" s="30" t="s">
        <v>22166</v>
      </c>
      <c r="Q20" s="30" t="str">
        <f>IF(OR(Data!B$3="IH",Data!B$3="IHM"),IF(M20=Data!B$4,IF(N20=Data!B$6,SUM(R20:V20),""),""),"")</f>
        <v/>
      </c>
      <c r="R20" s="30" t="str">
        <f>IF(OR("MX0"=Data!B$5,"MX1"=Data!B$5,"MX2"=Data!B$5,"MX3"=Data!B$5),E20,"")</f>
        <v/>
      </c>
      <c r="S20" s="30">
        <f>IF(OR("MF1"=Data!B$5,"MF2"=Data!B$5,"MS4"=Data!B$5),F20,"")</f>
        <v>2389</v>
      </c>
      <c r="T20" s="30" t="str">
        <f>IF(OR("MP1"=Data!B$5,"MP3"=Data!B$5,"MT1"=Data!B$5,"MT2"=Data!B$5,"MF5"=Data!B$5,"MF6"=Data!B$5,,"MS2"=Data!B$5,"ME5"=Data!B$5,"ME6"=Data!B$5),G20,"")</f>
        <v/>
      </c>
      <c r="U20" s="30" t="str">
        <f>IF(OR("MS3"=Data!B$5,"ME3"=Data!B$5,"ME4"=Data!B$5,"MP2"=Data!B$5,"MT4"=Data!B$5,"MPU3"=Data!B$5,"MS7"=Data!B$5),H20,"")</f>
        <v/>
      </c>
      <c r="W20" s="30" t="str">
        <f>IF(OR(Q20="",Q20=0),"",IF(Data!B$7="ABE",K20*4,IF(OR(Data!B$7="ACE",Data!B$7="ARE"),K20*2,IF(Data!B$7="BE",K20*2,IF(OR(Data!B$7="CE",Data!B$7="RE"),K20,0))))+J20*(ROUNDUP(Data!B$8,0.1)))</f>
        <v/>
      </c>
      <c r="Y20" s="30">
        <v>45</v>
      </c>
      <c r="Z20" s="30">
        <f t="shared" si="0"/>
        <v>555</v>
      </c>
      <c r="AA20" s="30">
        <f t="shared" si="1"/>
        <v>814</v>
      </c>
      <c r="AB20" s="43">
        <f t="shared" si="7"/>
        <v>1</v>
      </c>
      <c r="AF20" s="30" t="str">
        <f>IF(W20&lt;&gt;"",IF(Data!B$7="NC",Z20+(AB20*(Data!B$8+Data!B$11+Data!B$27)),IF(Data!B$7&lt;&gt;"NC",AA20+(AB20*(Data!B$8+Data!B$11+Data!B$27)))),"")</f>
        <v/>
      </c>
      <c r="AG20" s="30">
        <v>18</v>
      </c>
      <c r="AL20" s="104">
        <v>1</v>
      </c>
      <c r="AM20" s="104" t="str">
        <f>IF(AND(OR(Data!$B$3="A",Data!$B$3="LH",Data!$B$3="SA"),Data!$B$4=3.25,Data!$B$6=1),IF(AND(OR(Data!$B$7="be",Data!$B$7="ce"),Data!$D$15=4),AM65,""),"")</f>
        <v/>
      </c>
      <c r="AN20" s="104" t="str">
        <f>IF(AND(OR(Data!$B$3="A",Data!$B$3="LH",Data!$B$3="SA"),Data!$B$4=3.25,Data!$B$6=1),IF(AND(OR(Data!$B$7="RE",Data!$B$7="NC"),Data!$D$15=4),AN65,""),"")</f>
        <v/>
      </c>
      <c r="AO20" s="104" t="str">
        <f>IF(AND(OR(Data!$B$3="A",Data!$B$3="LH",Data!$B$3="SA"),Data!$B$4=3.25,Data!$B$6=1),IF(AND(OR(Data!$B$7="be",Data!$B$7="ce"),Data!$D$15=3),AO65,""),"")</f>
        <v/>
      </c>
      <c r="AP20" s="104" t="str">
        <f>IF(AND(OR(Data!$B$3="A",Data!$B$3="LH",Data!$B$3="SA"),Data!$B$4=3.25,Data!$B$6=1),IF(AND(OR(Data!$B$7="RE",Data!$B$7="NC"),Data!$D$15=3),AP65,""),"")</f>
        <v/>
      </c>
      <c r="AQ20" s="104" t="str">
        <f>IF(AND(OR(Data!$B$3="A",Data!$B$3="LH",Data!$B$3="SA"),Data!$B$4=3.25,Data!$B$6=1),IF(AND(OR(Data!$B$7="be",Data!$B$7="ce"),OR(Data!$D$15=1,Data!$D$15=2,Data!$D$15=6)),AQ65,""),"")</f>
        <v/>
      </c>
      <c r="AR20" s="104" t="str">
        <f>IF(AND(OR(Data!$B$3="A",Data!$B$3="LH",Data!$B$3="SA"),Data!$B$4=3.25,Data!$B$6=1),IF(AND(OR(Data!$B$7="re",Data!$B$7="nc"),OR(Data!$D$15=1,Data!$D$15=2,Data!$D$15=6)),AR65,""),"")</f>
        <v/>
      </c>
      <c r="AS20" s="104">
        <f t="shared" si="6"/>
        <v>0</v>
      </c>
      <c r="AT20" s="104"/>
      <c r="AU20" s="104">
        <v>2</v>
      </c>
      <c r="AV20" s="104" t="str">
        <f>IF(AND(OR(Data!$B$3="H",Data!$B$3="SH"),Data!$B$4=3.25,Data!$B$6=2),IF(AND(OR(Data!$B$7="be",Data!$B$7="ce"),Data!$D$15=4),AV54,""),"")</f>
        <v/>
      </c>
      <c r="AW20" s="104" t="str">
        <f>IF(AND(OR(Data!$B$3="H",Data!$B$3="SH"),Data!$B$4=3.25,Data!$B$6=2),IF(AND(OR(Data!$B$7="RE",Data!$B$7="NC"),Data!$D$15=4),AW54,""),"")</f>
        <v/>
      </c>
      <c r="AX20" s="104" t="str">
        <f>IF(AND(OR(Data!$B$3="H",Data!$B$3="SH"),Data!$B$4=3.25,Data!$B$6=2),IF(AND(OR(Data!$B$7="be",Data!$B$7="ce"),Data!$D$15=3),AX54,""),"")</f>
        <v/>
      </c>
      <c r="AY20" s="104" t="str">
        <f>IF(AND(OR(Data!$B$3="H",Data!$B$3="SH"),Data!$B$4=3.25,Data!$B$6=2),IF(AND(OR(Data!$B$7="RE",Data!$B$7="NC"),Data!$D$15=3),AY54,""),"")</f>
        <v/>
      </c>
      <c r="AZ20" s="104" t="str">
        <f>IF(AND(OR(Data!$B$3="H",Data!$B$3="SH"),Data!$B$4=3.25,Data!$B$6=2),IF(AND(OR(Data!$B$7="be",Data!$B$7="ce"),OR(Data!$D$15=1,Data!$D$15=2,Data!$D$15=6)),AZ54,""),"")</f>
        <v/>
      </c>
      <c r="BA20" s="104" t="str">
        <f>IF(AND(OR(Data!$B$3="H",Data!$B$3="SH"),Data!$B$4=3.25,Data!$B$6=2),IF(AND(OR(Data!$B$7="re",Data!$B$7="nc"),OR(Data!$D$15=1,Data!$D$15=2,Data!$D$15=6)),BA54,""),"")</f>
        <v/>
      </c>
      <c r="BB20" s="104">
        <f t="shared" si="2"/>
        <v>0</v>
      </c>
    </row>
    <row r="21" spans="1:54">
      <c r="A21" s="614">
        <v>80</v>
      </c>
      <c r="B21" s="102">
        <v>36</v>
      </c>
      <c r="C21" s="30" t="s">
        <v>22167</v>
      </c>
      <c r="E21" s="30">
        <f t="shared" si="3"/>
        <v>2397</v>
      </c>
      <c r="F21" s="30">
        <v>2581</v>
      </c>
      <c r="G21" s="30">
        <f t="shared" si="4"/>
        <v>2766</v>
      </c>
      <c r="H21" s="30">
        <f t="shared" si="5"/>
        <v>3499</v>
      </c>
      <c r="I21" s="103"/>
      <c r="J21" s="30">
        <v>1.4000000000000001</v>
      </c>
      <c r="K21" s="30">
        <v>259</v>
      </c>
      <c r="M21" s="43">
        <v>80</v>
      </c>
      <c r="N21" s="104">
        <v>36</v>
      </c>
      <c r="O21" s="30" t="s">
        <v>22167</v>
      </c>
      <c r="Q21" s="30" t="str">
        <f>IF(OR(Data!B$3="IH",Data!B$3="IHM"),IF(M21=Data!B$4,IF(N21=Data!B$6,SUM(R21:V21),""),""),"")</f>
        <v/>
      </c>
      <c r="R21" s="30" t="str">
        <f>IF(OR("MX0"=Data!B$5,"MX1"=Data!B$5,"MX2"=Data!B$5,"MX3"=Data!B$5),E21,"")</f>
        <v/>
      </c>
      <c r="S21" s="30">
        <f>IF(OR("MF1"=Data!B$5,"MF2"=Data!B$5,"MS4"=Data!B$5),F21,"")</f>
        <v>2581</v>
      </c>
      <c r="T21" s="30" t="str">
        <f>IF(OR("MP1"=Data!B$5,"MP3"=Data!B$5,"MT1"=Data!B$5,"MT2"=Data!B$5,"MF5"=Data!B$5,"MF6"=Data!B$5,,"MS2"=Data!B$5,"ME5"=Data!B$5,"ME6"=Data!B$5),G21,"")</f>
        <v/>
      </c>
      <c r="U21" s="30" t="str">
        <f>IF(OR("MS3"=Data!B$5,"ME3"=Data!B$5,"ME4"=Data!B$5,"MP2"=Data!B$5,"MT4"=Data!B$5,"MPU3"=Data!B$5,"MS7"=Data!B$5),H21,"")</f>
        <v/>
      </c>
      <c r="W21" s="30" t="str">
        <f>IF(OR(Q21="",Q21=0),"",IF(Data!B$7="ABE",K21*4,IF(OR(Data!B$7="ACE",Data!B$7="ARE"),K21*2,IF(Data!B$7="BE",K21*2,IF(OR(Data!B$7="CE",Data!B$7="RE"),K21,0))))+J21*(ROUNDUP(Data!B$8,0.1)))</f>
        <v/>
      </c>
      <c r="X21" s="30">
        <v>80</v>
      </c>
      <c r="Y21" s="30">
        <v>36</v>
      </c>
      <c r="Z21" s="30">
        <f t="shared" si="0"/>
        <v>600</v>
      </c>
      <c r="AA21" s="30">
        <f t="shared" si="1"/>
        <v>859</v>
      </c>
      <c r="AB21" s="43">
        <f t="shared" si="7"/>
        <v>1</v>
      </c>
      <c r="AF21" s="30" t="str">
        <f>IF(W21&lt;&gt;"",IF(Data!B$7="NC",Z21+(AB21*(Data!B$8+Data!B$11+Data!B$27)),IF(Data!B$7&lt;&gt;"NC",AA21+(AB21*(Data!B$8+Data!B$11+Data!B$27)))),"")</f>
        <v/>
      </c>
      <c r="AG21" s="30">
        <v>20</v>
      </c>
      <c r="AL21" s="104">
        <v>1.375</v>
      </c>
      <c r="AM21" s="104" t="str">
        <f>IF(AND(OR(Data!$B$3="A",Data!$B$3="LH",Data!$B$3="SA"),Data!$B$4=3.25,Data!$B$6=1.375),IF(AND(OR(Data!$B$7="be",Data!$B$7="ce"),Data!$D$15=4),AM66,""),"")</f>
        <v/>
      </c>
      <c r="AN21" s="104" t="str">
        <f>IF(AND(OR(Data!$B$3="A",Data!$B$3="LH",Data!$B$3="SA"),Data!$B$4=3.25,Data!$B$6=1.375),IF(AND(OR(Data!$B$7="RE",Data!$B$7="NC"),Data!$D$15=4),AN66,""),"")</f>
        <v/>
      </c>
      <c r="AO21" s="104" t="str">
        <f>IF(AND(OR(Data!$B$3="A",Data!$B$3="LH",Data!$B$3="SA"),Data!$B$4=3.25,Data!$B$6=1.375),IF(AND(OR(Data!$B$7="be",Data!$B$7="ce"),Data!$D$15=3),AO66,""),"")</f>
        <v/>
      </c>
      <c r="AP21" s="104" t="str">
        <f>IF(AND(OR(Data!$B$3="A",Data!$B$3="LH",Data!$B$3="SA"),Data!$B$4=3.25,Data!$B$6=1.375),IF(AND(OR(Data!$B$7="RE",Data!$B$7="NC"),Data!$D$15=3),AP66,""),"")</f>
        <v/>
      </c>
      <c r="AQ21" s="104" t="str">
        <f>IF(AND(OR(Data!$B$3="A",Data!$B$3="LH",Data!$B$3="SA"),Data!$B$4=3.25,Data!$B$6=1.375),IF(AND(OR(Data!$B$7="be",Data!$B$7="ce"),OR(Data!$D$15=1,Data!$D$15=2,Data!$D$15=6)),AQ66,""),"")</f>
        <v/>
      </c>
      <c r="AR21" s="104" t="str">
        <f>IF(AND(OR(Data!$B$3="A",Data!$B$3="LH",Data!$B$3="SA"),Data!$B$4=3.25,Data!$B$6=1.375),IF(AND(OR(Data!$B$7="re",Data!$B$7="nc"),OR(Data!$D$15=1,Data!$D$15=2,Data!$D$15=6)),AR66,""),"")</f>
        <v/>
      </c>
      <c r="AS21" s="104">
        <f t="shared" si="6"/>
        <v>0</v>
      </c>
      <c r="AU21" s="104">
        <v>4</v>
      </c>
      <c r="AZ21" s="104"/>
      <c r="BA21" s="104"/>
      <c r="BB21" s="104"/>
    </row>
    <row r="22" spans="1:54">
      <c r="A22" s="615"/>
      <c r="B22" s="102">
        <v>45</v>
      </c>
      <c r="C22" s="105" t="s">
        <v>22166</v>
      </c>
      <c r="D22" s="105"/>
      <c r="E22" s="30">
        <f t="shared" si="3"/>
        <v>2589</v>
      </c>
      <c r="F22" s="30">
        <v>2788</v>
      </c>
      <c r="G22" s="30">
        <f t="shared" si="4"/>
        <v>2988</v>
      </c>
      <c r="H22" s="30">
        <f t="shared" si="5"/>
        <v>3779</v>
      </c>
      <c r="I22" s="103"/>
      <c r="J22" s="30">
        <v>1.56</v>
      </c>
      <c r="K22" s="30">
        <v>259</v>
      </c>
      <c r="M22" s="43">
        <v>80</v>
      </c>
      <c r="N22" s="104">
        <v>45</v>
      </c>
      <c r="O22" s="105" t="s">
        <v>22166</v>
      </c>
      <c r="P22" s="105"/>
      <c r="Q22" s="30" t="str">
        <f>IF(OR(Data!B$3="IH",Data!B$3="IHM"),IF(M22=Data!B$4,IF(N22=Data!B$6,SUM(R22:V22),""),""),"")</f>
        <v/>
      </c>
      <c r="R22" s="30" t="str">
        <f>IF(OR("MX0"=Data!B$5,"MX1"=Data!B$5,"MX2"=Data!B$5,"MX3"=Data!B$5),E22,"")</f>
        <v/>
      </c>
      <c r="S22" s="30">
        <f>IF(OR("MF1"=Data!B$5,"MF2"=Data!B$5,"MS4"=Data!B$5),F22,"")</f>
        <v>2788</v>
      </c>
      <c r="T22" s="30" t="str">
        <f>IF(OR("MP1"=Data!B$5,"MP3"=Data!B$5,"MT1"=Data!B$5,"MT2"=Data!B$5,"MF5"=Data!B$5,"MF6"=Data!B$5,,"MS2"=Data!B$5,"ME5"=Data!B$5,"ME6"=Data!B$5),G22,"")</f>
        <v/>
      </c>
      <c r="U22" s="30" t="str">
        <f>IF(OR("MS3"=Data!B$5,"ME3"=Data!B$5,"ME4"=Data!B$5,"MP2"=Data!B$5,"MT4"=Data!B$5,"MPU3"=Data!B$5,"MS7"=Data!B$5),H22,"")</f>
        <v/>
      </c>
      <c r="W22" s="30" t="str">
        <f>IF(OR(Q22="",Q22=0),"",IF(Data!B$7="ABE",K22*4,IF(OR(Data!B$7="ACE",Data!B$7="ARE"),K22*2,IF(Data!B$7="BE",K22*2,IF(OR(Data!B$7="CE",Data!B$7="RE"),K22,0))))+J22*(ROUNDUP(Data!B$8,0.1)))</f>
        <v/>
      </c>
      <c r="Y22" s="30">
        <v>45</v>
      </c>
      <c r="Z22" s="30">
        <f t="shared" si="0"/>
        <v>648</v>
      </c>
      <c r="AA22" s="30">
        <f t="shared" si="1"/>
        <v>907</v>
      </c>
      <c r="AB22" s="43">
        <f t="shared" si="7"/>
        <v>2</v>
      </c>
      <c r="AF22" s="30" t="str">
        <f>IF(W22&lt;&gt;"",IF(Data!B$7="NC",Z22+(AB22*(Data!B$8+Data!B$11+Data!B$27)),IF(Data!B$7&lt;&gt;"NC",AA22+(AB22*(Data!B$8+Data!B$11+Data!B$27)))),"")</f>
        <v/>
      </c>
      <c r="AL22" s="104">
        <v>1.75</v>
      </c>
      <c r="AM22" s="104" t="str">
        <f>IF(AND(OR(Data!$B$3="A",Data!$B$3="LH",Data!$B$3="SA"),Data!$B$4=3.25,Data!$B$6=1.75),IF(AND(OR(Data!$B$7="be",Data!$B$7="ce"),Data!$D$15=4),AM67,""),"")</f>
        <v/>
      </c>
      <c r="AN22" s="104" t="str">
        <f>IF(AND(OR(Data!$B$3="A",Data!$B$3="LH",Data!$B$3="SA"),Data!$B$4=3.25,Data!$B$6=1.75),IF(AND(OR(Data!$B$7="RE",Data!$B$7="NC"),Data!$D$15=4),AN67,""),"")</f>
        <v/>
      </c>
      <c r="AO22" s="104" t="str">
        <f>IF(AND(OR(Data!$B$3="A",Data!$B$3="LH",Data!$B$3="SA"),Data!$B$4=3.25,Data!$B$6=1.75),IF(AND(OR(Data!$B$7="be",Data!$B$7="ce"),Data!$D$15=3),AO67,""),"")</f>
        <v/>
      </c>
      <c r="AP22" s="104" t="str">
        <f>IF(AND(OR(Data!$B$3="A",Data!$B$3="LH",Data!$B$3="SA"),Data!$B$4=3.25,Data!$B$6=1.75),IF(AND(OR(Data!$B$7="RE",Data!$B$7="NC"),Data!$D$15=3),AP67,""),"")</f>
        <v/>
      </c>
      <c r="AQ22" s="104" t="str">
        <f>IF(AND(OR(Data!$B$3="A",Data!$B$3="LH",Data!$B$3="SA"),Data!$B$4=3.25,Data!$B$6=1.75),IF(AND(OR(Data!$B$7="be",Data!$B$7="ce"),OR(Data!$D$15=1,Data!$D$15=2,Data!$D$15=6)),AQ67,""),"")</f>
        <v/>
      </c>
      <c r="AR22" s="104" t="str">
        <f>IF(AND(OR(Data!$B$3="A",Data!$B$3="LH",Data!$B$3="SA"),Data!$B$4=3.25,Data!$B$6=1.75),IF(AND(OR(Data!$B$7="re",Data!$B$7="nc"),OR(Data!$D$15=1,Data!$D$15=2,Data!$D$15=6)),AR67,""),"")</f>
        <v/>
      </c>
      <c r="AS22" s="104">
        <f t="shared" si="6"/>
        <v>0</v>
      </c>
      <c r="AU22" s="104">
        <v>1.75</v>
      </c>
      <c r="AV22" s="104" t="str">
        <f>IF(AND(OR(Data!$B$3="H",Data!$B$3="SH"),Data!$B$4=4,Data!$B$6=1.75),IF(AND(OR(Data!$B$7="be",Data!$B$7="ce"),Data!$D$15=4),AV56,""),"")</f>
        <v/>
      </c>
      <c r="AW22" s="104" t="str">
        <f>IF(AND(OR(Data!$B$3="H",Data!$B$3="SH"),Data!$B$4=4,Data!$B$6=1.75),IF(AND(OR(Data!$B$7="RE",Data!$B$7="NC"),Data!$D$15=4),AW56,""),"")</f>
        <v/>
      </c>
      <c r="AX22" s="104" t="str">
        <f>IF(AND(OR(Data!$B$3="H",Data!$B$3="SH"),Data!$B$4=4,Data!$B$6=1.75),IF(AND(OR(Data!$B$7="be",Data!$B$7="ce"),Data!$D$15=3),AX56,""),"")</f>
        <v/>
      </c>
      <c r="AY22" s="104" t="str">
        <f>IF(AND(OR(Data!$B$3="H",Data!$B$3="SH"),Data!$B$4=4,Data!$B$6=1.75),IF(AND(OR(Data!$B$7="RE",Data!$B$7="NC"),Data!$D$15=3),AY56,""),"")</f>
        <v/>
      </c>
      <c r="AZ22" s="104" t="str">
        <f>IF(AND(OR(Data!$B$3="H",Data!$B$3="SH"),Data!$B$4=4,Data!$B$6=1.75),IF(AND(OR(Data!$B$7="be",Data!$B$7="ce"),OR(Data!$D$15=1,Data!$D$15=2,Data!$D$15=6)),AZ56,""),"")</f>
        <v/>
      </c>
      <c r="BA22" s="104" t="str">
        <f>IF(AND(OR(Data!$B$3="H",Data!$B$3="SH"),Data!$B$4=4,Data!$B$6=1.75),IF(AND(OR(Data!$B$7="re",Data!$B$7="nc"),OR(Data!$D$15=1,Data!$D$15=2,Data!$D$15=6)),BA56,""),"")</f>
        <v/>
      </c>
      <c r="BB22" s="104">
        <f t="shared" si="2"/>
        <v>0</v>
      </c>
    </row>
    <row r="23" spans="1:54">
      <c r="A23" s="616"/>
      <c r="B23" s="102">
        <v>56</v>
      </c>
      <c r="C23" s="105" t="s">
        <v>22165</v>
      </c>
      <c r="E23" s="30">
        <f t="shared" si="3"/>
        <v>2797</v>
      </c>
      <c r="F23" s="30">
        <v>3012</v>
      </c>
      <c r="G23" s="30">
        <f t="shared" si="4"/>
        <v>3228</v>
      </c>
      <c r="H23" s="30">
        <f t="shared" si="5"/>
        <v>4082</v>
      </c>
      <c r="I23" s="103"/>
      <c r="J23" s="30">
        <v>1.8</v>
      </c>
      <c r="K23" s="30">
        <v>259</v>
      </c>
      <c r="M23" s="43">
        <v>80</v>
      </c>
      <c r="N23" s="104">
        <v>56</v>
      </c>
      <c r="O23" s="105" t="s">
        <v>22165</v>
      </c>
      <c r="Q23" s="30" t="str">
        <f>IF(OR(Data!B$3="IH",Data!B$3="IHM"),IF(M23=Data!B$4,IF(N23=Data!B$6,SUM(R23:V23),""),""),"")</f>
        <v/>
      </c>
      <c r="R23" s="30" t="str">
        <f>IF(OR("MX0"=Data!B$5,"MX1"=Data!B$5,"MX2"=Data!B$5,"MX3"=Data!B$5),E23,"")</f>
        <v/>
      </c>
      <c r="S23" s="30">
        <f>IF(OR("MF1"=Data!B$5,"MF2"=Data!B$5,"MS4"=Data!B$5),F23,"")</f>
        <v>3012</v>
      </c>
      <c r="T23" s="30" t="str">
        <f>IF(OR("MP1"=Data!B$5,"MP3"=Data!B$5,"MT1"=Data!B$5,"MT2"=Data!B$5,"MF5"=Data!B$5,"MF6"=Data!B$5,,"MS2"=Data!B$5,"ME5"=Data!B$5,"ME6"=Data!B$5),G23,"")</f>
        <v/>
      </c>
      <c r="U23" s="30" t="str">
        <f>IF(OR("MS3"=Data!B$5,"ME3"=Data!B$5,"ME4"=Data!B$5,"MP2"=Data!B$5,"MT4"=Data!B$5,"MPU3"=Data!B$5,"MS7"=Data!B$5),H23,"")</f>
        <v/>
      </c>
      <c r="W23" s="30" t="str">
        <f>IF(OR(Q23="",Q23=0),"",IF(Data!B$7="ABE",K23*4,IF(OR(Data!B$7="ACE",Data!B$7="ARE"),K23*2,IF(Data!B$7="BE",K23*2,IF(OR(Data!B$7="CE",Data!B$7="RE"),K23,0))))+J23*(ROUNDUP(Data!B$8,0.1)))</f>
        <v/>
      </c>
      <c r="Y23" s="30">
        <v>56</v>
      </c>
      <c r="Z23" s="30">
        <f t="shared" si="0"/>
        <v>700</v>
      </c>
      <c r="AA23" s="30">
        <f t="shared" si="1"/>
        <v>959</v>
      </c>
      <c r="AB23" s="43">
        <f t="shared" si="7"/>
        <v>2</v>
      </c>
      <c r="AF23" s="30" t="str">
        <f>IF(W23&lt;&gt;"",IF(Data!B$7="NC",Z23+(AB23*(Data!B$8+Data!B$11+Data!B$27)),IF(Data!B$7&lt;&gt;"NC",AA23+(AB23*(Data!B$8+Data!B$11+Data!B$27)))),"")</f>
        <v/>
      </c>
      <c r="AL23" s="104">
        <v>2</v>
      </c>
      <c r="AM23" s="104" t="str">
        <f>IF(AND(OR(Data!$B$3="A",Data!$B$3="LH",Data!$B$3="SA"),Data!$B$4=3.25,Data!$B$6=2),IF(AND(OR(Data!$B$7="be",Data!$B$7="ce"),Data!$D$15=4),AM68,""),"")</f>
        <v/>
      </c>
      <c r="AN23" s="104" t="str">
        <f>IF(AND(OR(Data!$B$3="A",Data!$B$3="LH",Data!$B$3="SA"),Data!$B$4=3.25,Data!$B$6=2),IF(AND(OR(Data!$B$7="RE",Data!$B$7="NC"),Data!$D$15=4),AN68,""),"")</f>
        <v/>
      </c>
      <c r="AO23" s="104" t="str">
        <f>IF(AND(OR(Data!$B$3="A",Data!$B$3="LH",Data!$B$3="SA"),Data!$B$4=3.25,Data!$B$6=2),IF(AND(OR(Data!$B$7="be",Data!$B$7="ce"),Data!$D$15=3),AO68,""),"")</f>
        <v/>
      </c>
      <c r="AP23" s="104" t="str">
        <f>IF(AND(OR(Data!$B$3="A",Data!$B$3="LH",Data!$B$3="SA"),Data!$B$4=3.25,Data!$B$6=2),IF(AND(OR(Data!$B$7="RE",Data!$B$7="NC"),Data!$D$15=3),AP68,""),"")</f>
        <v/>
      </c>
      <c r="AQ23" s="104" t="str">
        <f>IF(AND(OR(Data!$B$3="A",Data!$B$3="LH",Data!$B$3="SA"),Data!$B$4=3.25,Data!$B$6=2),IF(AND(OR(Data!$B$7="be",Data!$B$7="ce"),OR(Data!$D$15=1,Data!$D$15=2,Data!$D$15=6)),AQ68,""),"")</f>
        <v/>
      </c>
      <c r="AR23" s="104" t="str">
        <f>IF(AND(OR(Data!$B$3="A",Data!$B$3="LH",Data!$B$3="SA"),Data!$B$4=3.25,Data!$B$6=2),IF(AND(OR(Data!$B$7="re",Data!$B$7="nc"),OR(Data!$D$15=1,Data!$D$15=2,Data!$D$15=6)),AR68,""),"")</f>
        <v/>
      </c>
      <c r="AS23" s="104">
        <f t="shared" si="6"/>
        <v>0</v>
      </c>
      <c r="AT23" s="104"/>
      <c r="AU23" s="104">
        <v>2</v>
      </c>
      <c r="AV23" s="104" t="str">
        <f>IF(AND(OR(Data!$B$3="H",Data!$B$3="SH"),Data!$B$4=4,Data!$B$6=2),IF(AND(OR(Data!$B$7="be",Data!$B$7="ce"),Data!$D$15=4),AV57,""),"")</f>
        <v/>
      </c>
      <c r="AW23" s="104" t="str">
        <f>IF(AND(OR(Data!$B$3="H",Data!$B$3="SH"),Data!$B$4=4,Data!$B$6=2),IF(AND(OR(Data!$B$7="RE",Data!$B$7="NC"),Data!$D$15=4),AW57,""),"")</f>
        <v/>
      </c>
      <c r="AX23" s="104" t="str">
        <f>IF(AND(OR(Data!$B$3="H",Data!$B$3="SH"),Data!$B$4=4,Data!$B$6=2),IF(AND(OR(Data!$B$7="be",Data!$B$7="ce"),Data!$D$15=3),AX57,""),"")</f>
        <v/>
      </c>
      <c r="AY23" s="104" t="str">
        <f>IF(AND(OR(Data!$B$3="H",Data!$B$3="SH"),Data!$B$4=4,Data!$B$6=2),IF(AND(OR(Data!$B$7="RE",Data!$B$7="NC"),Data!$D$15=3),AY57,""),"")</f>
        <v/>
      </c>
      <c r="AZ23" s="104" t="str">
        <f>IF(AND(OR(Data!$B$3="H",Data!$B$3="SH"),Data!$B$4=4,Data!$B$6=2),IF(AND(OR(Data!$B$7="be",Data!$B$7="ce"),OR(Data!$D$15=1,Data!$D$15=2,Data!$D$15=6)),AZ57,""),"")</f>
        <v/>
      </c>
      <c r="BA23" s="104" t="str">
        <f>IF(AND(OR(Data!$B$3="H",Data!$B$3="SH"),Data!$B$4=4,Data!$B$6=2),IF(AND(OR(Data!$B$7="re",Data!$B$7="nc"),OR(Data!$D$15=1,Data!$D$15=2,Data!$D$15=6)),BA57,""),"")</f>
        <v/>
      </c>
      <c r="BB23" s="104">
        <f t="shared" si="2"/>
        <v>0</v>
      </c>
    </row>
    <row r="24" spans="1:54">
      <c r="A24" s="614">
        <v>100</v>
      </c>
      <c r="B24" s="102">
        <v>45</v>
      </c>
      <c r="C24" s="30" t="s">
        <v>22166</v>
      </c>
      <c r="E24" s="30">
        <f t="shared" si="3"/>
        <v>3021</v>
      </c>
      <c r="F24" s="30">
        <v>3253</v>
      </c>
      <c r="G24" s="30">
        <f t="shared" si="4"/>
        <v>3487</v>
      </c>
      <c r="H24" s="30">
        <f t="shared" si="5"/>
        <v>4409</v>
      </c>
      <c r="I24" s="103"/>
      <c r="J24" s="30">
        <v>1.56</v>
      </c>
      <c r="K24" s="30">
        <v>323</v>
      </c>
      <c r="M24" s="43">
        <v>100</v>
      </c>
      <c r="N24" s="104">
        <v>45</v>
      </c>
      <c r="O24" s="30" t="s">
        <v>22166</v>
      </c>
      <c r="Q24" s="30" t="str">
        <f>IF(OR(Data!B$3="IH",Data!B$3="IHM"),IF(M24=Data!B$4,IF(N24=Data!B$6,SUM(R24:V24),""),""),"")</f>
        <v/>
      </c>
      <c r="R24" s="30" t="str">
        <f>IF(OR("MX0"=Data!B$5,"MX1"=Data!B$5,"MX2"=Data!B$5,"MX3"=Data!B$5),E24,"")</f>
        <v/>
      </c>
      <c r="S24" s="30">
        <f>IF(OR("MF1"=Data!B$5,"MF2"=Data!B$5,"MS4"=Data!B$5),F24,"")</f>
        <v>3253</v>
      </c>
      <c r="T24" s="30" t="str">
        <f>IF(OR("MP1"=Data!B$5,"MP3"=Data!B$5,"MT1"=Data!B$5,"MT2"=Data!B$5,"MF5"=Data!B$5,"MF6"=Data!B$5,,"MS2"=Data!B$5,"ME5"=Data!B$5,"ME6"=Data!B$5),G24,"")</f>
        <v/>
      </c>
      <c r="U24" s="30" t="str">
        <f>IF(OR("MS3"=Data!B$5,"ME3"=Data!B$5,"ME4"=Data!B$5,"MP2"=Data!B$5,"MT4"=Data!B$5,"MPU3"=Data!B$5,"MS7"=Data!B$5),H24,"")</f>
        <v/>
      </c>
      <c r="W24" s="30" t="str">
        <f>IF(OR(Q24="",Q24=0),"",IF(Data!B$7="ABE",K24*4,IF(OR(Data!B$7="ACE",Data!B$7="ARE"),K24*2,IF(Data!B$7="BE",K24*2,IF(OR(Data!B$7="CE",Data!B$7="RE"),K24,0))))+J24*(ROUNDUP(Data!B$8,0.1)))</f>
        <v/>
      </c>
      <c r="X24" s="30">
        <v>100</v>
      </c>
      <c r="Y24" s="30">
        <v>45</v>
      </c>
      <c r="Z24" s="30">
        <f t="shared" ref="Z24:Z35" si="8">ROUNDUP(E24*0.25,0)</f>
        <v>756</v>
      </c>
      <c r="AA24" s="30">
        <f t="shared" si="1"/>
        <v>1079</v>
      </c>
      <c r="AB24" s="43">
        <f t="shared" si="7"/>
        <v>2</v>
      </c>
      <c r="AF24" s="30" t="str">
        <f>IF(W24&lt;&gt;"",IF(Data!B$7="NC",Z24+(AB24*(Data!B$8+Data!B$11+Data!B$27)),IF(Data!B$7&lt;&gt;"NC",AA24+(AB24*(Data!B$8+Data!B$11+Data!B$27)))),"")</f>
        <v/>
      </c>
      <c r="AL24" s="104">
        <v>4</v>
      </c>
      <c r="AS24" s="104"/>
      <c r="AT24" s="104"/>
      <c r="AU24" s="104">
        <v>2.5</v>
      </c>
      <c r="AV24" s="104" t="str">
        <f>IF(AND(OR(Data!$B$3="H",Data!$B$3="SH"),Data!$B$4=4,Data!$B$6=2.5),IF(AND(OR(Data!$B$7="be",Data!$B$7="ce"),Data!$D$15=4),AV58,""),"")</f>
        <v/>
      </c>
      <c r="AW24" s="104" t="str">
        <f>IF(AND(OR(Data!$B$3="H",Data!$B$3="SH"),Data!$B$4=4,Data!$B$6=2.5),IF(AND(OR(Data!$B$7="RE",Data!$B$7="NC"),Data!$D$15=4),AW58,""),"")</f>
        <v/>
      </c>
      <c r="AX24" s="104" t="str">
        <f>IF(AND(OR(Data!$B$3="H",Data!$B$3="SH"),Data!$B$4=4,Data!$B$6=2.5),IF(AND(OR(Data!$B$7="be",Data!$B$7="ce"),Data!$D$15=3),AX58,""),"")</f>
        <v/>
      </c>
      <c r="AY24" s="104" t="str">
        <f>IF(AND(OR(Data!$B$3="H",Data!$B$3="SH"),Data!$B$4=4,Data!$B$6=2.5),IF(AND(OR(Data!$B$7="RE",Data!$B$7="NC"),Data!$D$15=3),AY58,""),"")</f>
        <v/>
      </c>
      <c r="AZ24" s="104" t="str">
        <f>IF(AND(OR(Data!$B$3="H",Data!$B$3="SH"),Data!$B$4=4,Data!$B$6=2.5),IF(AND(OR(Data!$B$7="be",Data!$B$7="ce"),OR(Data!$D$15=1,Data!$D$15=2,Data!$D$15=6)),AZ58,""),"")</f>
        <v/>
      </c>
      <c r="BA24" s="104" t="str">
        <f>IF(AND(OR(Data!$B$3="H",Data!$B$3="SH"),Data!$B$4=4,Data!$B$6=2.5),IF(AND(OR(Data!$B$7="re",Data!$B$7="nc"),OR(Data!$D$15=1,Data!$D$15=2,Data!$D$15=6)),BA58,""),"")</f>
        <v/>
      </c>
      <c r="BB24" s="104">
        <f t="shared" si="2"/>
        <v>0</v>
      </c>
    </row>
    <row r="25" spans="1:54">
      <c r="A25" s="615"/>
      <c r="B25" s="102">
        <v>56</v>
      </c>
      <c r="C25" s="30" t="s">
        <v>22165</v>
      </c>
      <c r="E25" s="30">
        <f t="shared" si="3"/>
        <v>3263</v>
      </c>
      <c r="F25" s="30">
        <v>3514</v>
      </c>
      <c r="G25" s="30">
        <f t="shared" si="4"/>
        <v>3766</v>
      </c>
      <c r="H25" s="30">
        <f t="shared" si="5"/>
        <v>4762</v>
      </c>
      <c r="I25" s="103"/>
      <c r="J25" s="30">
        <v>1.8</v>
      </c>
      <c r="K25" s="30">
        <v>323</v>
      </c>
      <c r="M25" s="43">
        <v>100</v>
      </c>
      <c r="N25" s="104">
        <v>56</v>
      </c>
      <c r="O25" s="30" t="s">
        <v>22165</v>
      </c>
      <c r="Q25" s="30" t="str">
        <f>IF(OR(Data!B$3="IH",Data!B$3="IHM"),IF(M25=Data!B$4,IF(N25=Data!B$6,SUM(R25:V25),""),""),"")</f>
        <v/>
      </c>
      <c r="R25" s="30" t="str">
        <f>IF(OR("MX0"=Data!B$5,"MX1"=Data!B$5,"MX2"=Data!B$5,"MX3"=Data!B$5),E25,"")</f>
        <v/>
      </c>
      <c r="S25" s="30">
        <f>IF(OR("MF1"=Data!B$5,"MF2"=Data!B$5,"MS4"=Data!B$5),F25,"")</f>
        <v>3514</v>
      </c>
      <c r="T25" s="30" t="str">
        <f>IF(OR("MP1"=Data!B$5,"MP3"=Data!B$5,"MT1"=Data!B$5,"MT2"=Data!B$5,"MF5"=Data!B$5,"MF6"=Data!B$5,,"MS2"=Data!B$5,"ME5"=Data!B$5,"ME6"=Data!B$5),G25,"")</f>
        <v/>
      </c>
      <c r="U25" s="30" t="str">
        <f>IF(OR("MS3"=Data!B$5,"ME3"=Data!B$5,"ME4"=Data!B$5,"MP2"=Data!B$5,"MT4"=Data!B$5,"MPU3"=Data!B$5,"MS7"=Data!B$5),H25,"")</f>
        <v/>
      </c>
      <c r="W25" s="30" t="str">
        <f>IF(OR(Q25="",Q25=0),"",IF(Data!B$7="ABE",K25*4,IF(OR(Data!B$7="ACE",Data!B$7="ARE"),K25*2,IF(Data!B$7="BE",K25*2,IF(OR(Data!B$7="CE",Data!B$7="RE"),K25,0))))+J25*(ROUNDUP(Data!B$8,0.1)))</f>
        <v/>
      </c>
      <c r="Y25" s="30">
        <v>56</v>
      </c>
      <c r="Z25" s="30">
        <f t="shared" si="8"/>
        <v>816</v>
      </c>
      <c r="AA25" s="30">
        <f t="shared" si="1"/>
        <v>1139</v>
      </c>
      <c r="AB25" s="43">
        <f t="shared" si="7"/>
        <v>2</v>
      </c>
      <c r="AF25" s="30" t="str">
        <f>IF(W25&lt;&gt;"",IF(Data!B$7="NC",Z25+(AB25*(Data!B$8+Data!B$11+Data!B$27)),IF(Data!B$7&lt;&gt;"NC",AA25+(AB25*(Data!B$8+Data!B$11+Data!B$27)))),"")</f>
        <v/>
      </c>
      <c r="AL25" s="104">
        <v>1</v>
      </c>
      <c r="AM25" s="104" t="str">
        <f>IF(AND(OR(Data!$B$3="A",Data!$B$3="LH",Data!$B$3="SA"),Data!$B$4=4,Data!$B$6=1),IF(AND(OR(Data!$B$7="be",Data!$B$7="ce"),Data!$D$15=4),AM70,""),"")</f>
        <v/>
      </c>
      <c r="AN25" s="104" t="str">
        <f>IF(AND(OR(Data!$B$3="A",Data!$B$3="LH",Data!$B$3="SA"),Data!$B$4=4,Data!$B$6=1),IF(AND(OR(Data!$B$7="RE",Data!$B$7="NC"),Data!$D$15=4),AN70,""),"")</f>
        <v/>
      </c>
      <c r="AO25" s="104" t="str">
        <f>IF(AND(OR(Data!$B$3="A",Data!$B$3="LH",Data!$B$3="SA"),Data!$B$4=4,Data!$B$6=1),IF(AND(OR(Data!$B$7="be",Data!$B$7="ce"),Data!$D$15=3),AO70,""),"")</f>
        <v/>
      </c>
      <c r="AP25" s="104" t="str">
        <f>IF(AND(OR(Data!$B$3="A",Data!$B$3="LH",Data!$B$3="SA"),Data!$B$4=4,Data!$B$6=1),IF(AND(OR(Data!$B$7="RE",Data!$B$7="NC"),Data!$D$15=3),AP70,""),"")</f>
        <v/>
      </c>
      <c r="AQ25" s="104" t="str">
        <f>IF(AND(OR(Data!$B$3="A",Data!$B$3="LH",Data!$B$3="SA"),Data!$B$4=4,Data!$B$6=1),IF(AND(OR(Data!$B$7="be",Data!$B$7="ce"),OR(Data!$D$15=1,Data!$D$15=2,Data!$D$15=6)),AQ70,""),"")</f>
        <v/>
      </c>
      <c r="AR25" s="104" t="str">
        <f>IF(AND(OR(Data!$B$3="A",Data!$B$3="LH",Data!$B$3="SA"),Data!$B$4=4,Data!$B$6=1),IF(AND(OR(Data!$B$7="re",Data!$B$7="nc"),OR(Data!$D$15=1,Data!$D$15=2,Data!$D$15=6)),AR70,""),"")</f>
        <v/>
      </c>
      <c r="AS25" s="104">
        <f t="shared" si="6"/>
        <v>0</v>
      </c>
      <c r="AT25" s="104"/>
      <c r="AU25" s="104">
        <v>5</v>
      </c>
      <c r="AZ25" s="104"/>
      <c r="BA25" s="104"/>
      <c r="BB25" s="104"/>
    </row>
    <row r="26" spans="1:54">
      <c r="A26" s="616"/>
      <c r="B26" s="102">
        <v>70</v>
      </c>
      <c r="C26" s="30" t="s">
        <v>22164</v>
      </c>
      <c r="E26" s="30">
        <f t="shared" si="3"/>
        <v>3525</v>
      </c>
      <c r="F26" s="30">
        <v>3796</v>
      </c>
      <c r="G26" s="30">
        <f t="shared" si="4"/>
        <v>4068</v>
      </c>
      <c r="H26" s="30">
        <f t="shared" si="5"/>
        <v>5143</v>
      </c>
      <c r="I26" s="103"/>
      <c r="J26" s="30">
        <v>2.04</v>
      </c>
      <c r="K26" s="30">
        <v>323</v>
      </c>
      <c r="M26" s="43">
        <v>100</v>
      </c>
      <c r="N26" s="104">
        <v>70</v>
      </c>
      <c r="O26" s="30" t="s">
        <v>22164</v>
      </c>
      <c r="Q26" s="30" t="str">
        <f>IF(OR(Data!B$3="IH",Data!B$3="IHM"),IF(M26=Data!B$4,IF(N26=Data!B$6,SUM(R26:V26),""),""),"")</f>
        <v/>
      </c>
      <c r="R26" s="30" t="str">
        <f>IF(OR("MX0"=Data!B$5,"MX1"=Data!B$5,"MX2"=Data!B$5,"MX3"=Data!B$5),E26,"")</f>
        <v/>
      </c>
      <c r="S26" s="30">
        <f>IF(OR("MF1"=Data!B$5,"MF2"=Data!B$5,"MS4"=Data!B$5),F26,"")</f>
        <v>3796</v>
      </c>
      <c r="T26" s="30" t="str">
        <f>IF(OR("MP1"=Data!B$5,"MP3"=Data!B$5,"MT1"=Data!B$5,"MT2"=Data!B$5,"MF5"=Data!B$5,"MF6"=Data!B$5,,"MS2"=Data!B$5,"ME5"=Data!B$5,"ME6"=Data!B$5),G26,"")</f>
        <v/>
      </c>
      <c r="U26" s="30" t="str">
        <f>IF(OR("MS3"=Data!B$5,"ME3"=Data!B$5,"ME4"=Data!B$5,"MP2"=Data!B$5,"MT4"=Data!B$5,"MPU3"=Data!B$5,"MS7"=Data!B$5),H26,"")</f>
        <v/>
      </c>
      <c r="W26" s="30" t="str">
        <f>IF(OR(Q26="",Q26=0),"",IF(Data!B$7="ABE",K26*4,IF(OR(Data!B$7="ACE",Data!B$7="ARE"),K26*2,IF(Data!B$7="BE",K26*2,IF(OR(Data!B$7="CE",Data!B$7="RE"),K26,0))))+J26*(ROUNDUP(Data!B$8,0.1)))</f>
        <v/>
      </c>
      <c r="Y26" s="30">
        <v>70</v>
      </c>
      <c r="Z26" s="30">
        <f t="shared" si="8"/>
        <v>882</v>
      </c>
      <c r="AA26" s="30">
        <f t="shared" si="1"/>
        <v>1205</v>
      </c>
      <c r="AB26" s="43">
        <f t="shared" si="7"/>
        <v>2</v>
      </c>
      <c r="AF26" s="30" t="str">
        <f>IF(W26&lt;&gt;"",IF(Data!B$7="NC",Z26+(AB26*(Data!B$8+Data!B$11+Data!B$27)),IF(Data!B$7&lt;&gt;"NC",AA26+(AB26*(Data!B$8+Data!B$11+Data!B$27)))),"")</f>
        <v/>
      </c>
      <c r="AL26" s="104">
        <v>1.375</v>
      </c>
      <c r="AM26" s="104" t="str">
        <f>IF(AND(OR(Data!$B$3="A",Data!$B$3="LH",Data!$B$3="SA"),Data!$B$4=4,Data!$B$6=1.375),IF(AND(OR(Data!$B$7="be",Data!$B$7="ce"),Data!$D$15=4),AM71,""),"")</f>
        <v/>
      </c>
      <c r="AN26" s="104" t="str">
        <f>IF(AND(OR(Data!$B$3="A",Data!$B$3="LH",Data!$B$3="SA"),Data!$B$4=4,Data!$B$6=1.375),IF(AND(OR(Data!$B$7="RE",Data!$B$7="NC"),Data!$D$15=4),AN71,""),"")</f>
        <v/>
      </c>
      <c r="AO26" s="104" t="str">
        <f>IF(AND(OR(Data!$B$3="A",Data!$B$3="LH",Data!$B$3="SA"),Data!$B$4=4,Data!$B$6=1.375),IF(AND(OR(Data!$B$7="be",Data!$B$7="ce"),Data!$D$15=3),AO71,""),"")</f>
        <v/>
      </c>
      <c r="AP26" s="104" t="str">
        <f>IF(AND(OR(Data!$B$3="A",Data!$B$3="LH",Data!$B$3="SA"),Data!$B$4=4,Data!$B$6=1.375),IF(AND(OR(Data!$B$7="RE",Data!$B$7="NC"),Data!$D$15=3),AP71,""),"")</f>
        <v/>
      </c>
      <c r="AQ26" s="104" t="str">
        <f>IF(AND(OR(Data!$B$3="A",Data!$B$3="LH",Data!$B$3="SA"),Data!$B$4=4,Data!$B$6=1.375),IF(AND(OR(Data!$B$7="be",Data!$B$7="ce"),OR(Data!$D$15=1,Data!$D$15=2,Data!$D$15=6)),AQ71,""),"")</f>
        <v/>
      </c>
      <c r="AR26" s="104" t="str">
        <f>IF(AND(OR(Data!$B$3="A",Data!$B$3="LH",Data!$B$3="SA"),Data!$B$4=4,Data!$B$6=1.375),IF(AND(OR(Data!$B$7="re",Data!$B$7="nc"),OR(Data!$D$15=1,Data!$D$15=2,Data!$D$15=6)),AR71,""),"")</f>
        <v/>
      </c>
      <c r="AS26" s="104">
        <f t="shared" si="6"/>
        <v>0</v>
      </c>
      <c r="AT26" s="104"/>
      <c r="AU26" s="104">
        <v>2</v>
      </c>
      <c r="AV26" s="104" t="str">
        <f>IF(AND(OR(Data!$B$3="H",Data!$B$3="SH"),Data!$B$4=5,Data!$B$6=2),IF(AND(OR(Data!$B$7="be",Data!$B$7="ce"),Data!$D$15=4),AV60,""),"")</f>
        <v/>
      </c>
      <c r="AW26" s="104" t="str">
        <f>IF(AND(OR(Data!$B$3="H",Data!$B$3="SH"),Data!$B$4=5,Data!$B$6=2),IF(AND(OR(Data!$B$7="RE",Data!$B$7="NC"),Data!$D$15=4),AW60,""),"")</f>
        <v/>
      </c>
      <c r="AX26" s="104" t="str">
        <f>IF(AND(OR(Data!$B$3="H",Data!$B$3="SH"),Data!$B$4=5,Data!$B$6=2),IF(AND(OR(Data!$B$7="be",Data!$B$7="ce"),Data!$D$15=3),AX60,""),"")</f>
        <v/>
      </c>
      <c r="AY26" s="104" t="str">
        <f>IF(AND(OR(Data!$B$3="H",Data!$B$3="SH"),Data!$B$4=5,Data!$B$6=2),IF(AND(OR(Data!$B$7="RE",Data!$B$7="NC"),Data!$D$15=3),AY60,""),"")</f>
        <v/>
      </c>
      <c r="AZ26" s="104" t="str">
        <f>IF(AND(OR(Data!$B$3="H",Data!$B$3="SH"),Data!$B$4=5,Data!$B$6=2),IF(AND(OR(Data!$B$7="be",Data!$B$7="ce"),OR(Data!$D$15=1,Data!$D$15=2,Data!$D$15=6)),AZ60,""),"")</f>
        <v/>
      </c>
      <c r="BA26" s="104">
        <f>IF(AND(OR(Data!$B$3="H",Data!$B$3="SH"),Data!$B$4=5,Data!$B$6=2),IF(AND(OR(Data!$B$7="re",Data!$B$7="nc"),OR(Data!$D$15=1,Data!$D$15=2,Data!$D$15=6)),BA60,""),"")</f>
        <v>8.73</v>
      </c>
      <c r="BB26" s="104">
        <f t="shared" si="2"/>
        <v>8.73</v>
      </c>
    </row>
    <row r="27" spans="1:54">
      <c r="A27" s="614">
        <v>125</v>
      </c>
      <c r="B27" s="102">
        <v>56</v>
      </c>
      <c r="C27" s="107" t="s">
        <v>22165</v>
      </c>
      <c r="D27" s="105"/>
      <c r="E27" s="30">
        <f t="shared" si="3"/>
        <v>3807</v>
      </c>
      <c r="F27" s="30">
        <v>4100</v>
      </c>
      <c r="G27" s="30">
        <f t="shared" si="4"/>
        <v>4394</v>
      </c>
      <c r="H27" s="30">
        <f t="shared" si="5"/>
        <v>5555</v>
      </c>
      <c r="I27" s="103"/>
      <c r="J27" s="30">
        <v>2.2800000000000002</v>
      </c>
      <c r="K27" s="30">
        <v>323</v>
      </c>
      <c r="M27" s="43">
        <v>125</v>
      </c>
      <c r="N27" s="104">
        <v>56</v>
      </c>
      <c r="O27" s="107" t="s">
        <v>22165</v>
      </c>
      <c r="P27" s="105"/>
      <c r="Q27" s="30" t="str">
        <f>IF(OR(Data!B$3="IH",Data!B$3="IHM"),IF(M27=Data!B$4,IF(N27=Data!B$6,SUM(R27:V27),""),""),"")</f>
        <v/>
      </c>
      <c r="R27" s="30" t="str">
        <f>IF(OR("MX0"=Data!B$5,"MX1"=Data!B$5,"MX2"=Data!B$5,"MX3"=Data!B$5),E27,"")</f>
        <v/>
      </c>
      <c r="S27" s="30">
        <f>IF(OR("MF1"=Data!B$5,"MF2"=Data!B$5,"MS4"=Data!B$5),F27,"")</f>
        <v>4100</v>
      </c>
      <c r="T27" s="30" t="str">
        <f>IF(OR("MP1"=Data!B$5,"MP3"=Data!B$5,"MT1"=Data!B$5,"MT2"=Data!B$5,"MF5"=Data!B$5,"MF6"=Data!B$5,,"MS2"=Data!B$5,"ME5"=Data!B$5,"ME6"=Data!B$5),G27,"")</f>
        <v/>
      </c>
      <c r="U27" s="30" t="str">
        <f>IF(OR("MS3"=Data!B$5,"ME3"=Data!B$5,"ME4"=Data!B$5,"MP2"=Data!B$5,"MT4"=Data!B$5,"MPU3"=Data!B$5,"MS7"=Data!B$5),H27,"")</f>
        <v/>
      </c>
      <c r="W27" s="30" t="str">
        <f>IF(OR(Q27="",Q27=0),"",IF(Data!B$7="ABE",K27*4,IF(OR(Data!B$7="ACE",Data!B$7="ARE"),K27*2,IF(Data!B$7="BE",K27*2,IF(OR(Data!B$7="CE",Data!B$7="RE"),K27,0))))+J27*(ROUNDUP(Data!B$8,0.1)))</f>
        <v/>
      </c>
      <c r="X27" s="30">
        <v>125</v>
      </c>
      <c r="Y27" s="30">
        <v>56</v>
      </c>
      <c r="Z27" s="30">
        <f t="shared" si="8"/>
        <v>952</v>
      </c>
      <c r="AA27" s="30">
        <f t="shared" si="1"/>
        <v>1275</v>
      </c>
      <c r="AB27" s="43">
        <f t="shared" si="7"/>
        <v>2</v>
      </c>
      <c r="AF27" s="30" t="str">
        <f>IF(W27&lt;&gt;"",IF(Data!B$7="NC",Z27+(AB27*(Data!B$8+Data!B$11+Data!B$27)),IF(Data!B$7&lt;&gt;"NC",AA27+(AB27*(Data!B$8+Data!B$11+Data!B$27)))),"")</f>
        <v/>
      </c>
      <c r="AL27" s="104">
        <v>1.75</v>
      </c>
      <c r="AM27" s="104" t="str">
        <f>IF(AND(OR(Data!$B$3="A",Data!$B$3="LH",Data!$B$3="SA"),Data!$B$4=4,Data!$B$6=1.75),IF(AND(OR(Data!$B$7="be",Data!$B$7="ce"),Data!$D$15=4),AM72,""),"")</f>
        <v/>
      </c>
      <c r="AN27" s="104" t="str">
        <f>IF(AND(OR(Data!$B$3="A",Data!$B$3="LH",Data!$B$3="SA"),Data!$B$4=4,Data!$B$6=1.75),IF(AND(OR(Data!$B$7="RE",Data!$B$7="NC"),Data!$D$15=4),AN72,""),"")</f>
        <v/>
      </c>
      <c r="AO27" s="104" t="str">
        <f>IF(AND(OR(Data!$B$3="A",Data!$B$3="LH",Data!$B$3="SA"),Data!$B$4=4,Data!$B$6=1.75),IF(AND(OR(Data!$B$7="be",Data!$B$7="ce"),Data!$D$15=3),AO72,""),"")</f>
        <v/>
      </c>
      <c r="AP27" s="104" t="str">
        <f>IF(AND(OR(Data!$B$3="A",Data!$B$3="LH",Data!$B$3="SA"),Data!$B$4=4,Data!$B$6=1.75),IF(AND(OR(Data!$B$7="RE",Data!$B$7="NC"),Data!$D$15=3),AP72,""),"")</f>
        <v/>
      </c>
      <c r="AQ27" s="104" t="str">
        <f>IF(AND(OR(Data!$B$3="A",Data!$B$3="LH",Data!$B$3="SA"),Data!$B$4=4,Data!$B$6=1.75),IF(AND(OR(Data!$B$7="be",Data!$B$7="ce"),OR(Data!$D$15=1,Data!$D$15=2,Data!$D$15=6)),AQ72,""),"")</f>
        <v/>
      </c>
      <c r="AR27" s="104" t="str">
        <f>IF(AND(OR(Data!$B$3="A",Data!$B$3="LH",Data!$B$3="SA"),Data!$B$4=4,Data!$B$6=1.75),IF(AND(OR(Data!$B$7="re",Data!$B$7="nc"),OR(Data!$D$15=1,Data!$D$15=2,Data!$D$15=6)),AR72,""),"")</f>
        <v/>
      </c>
      <c r="AS27" s="104">
        <f t="shared" si="6"/>
        <v>0</v>
      </c>
      <c r="AU27" s="104">
        <v>2.5</v>
      </c>
      <c r="AV27" s="104" t="str">
        <f>IF(AND(OR(Data!$B$3="H",Data!$B$3="SH"),Data!$B$4=5,Data!$B$6=2.5),IF(AND(OR(Data!$B$7="be",Data!$B$7="ce"),Data!$D$15=4),AV61,""),"")</f>
        <v/>
      </c>
      <c r="AW27" s="104" t="str">
        <f>IF(AND(OR(Data!$B$3="H",Data!$B$3="SH"),Data!$B$4=5,Data!$B$6=2.5),IF(AND(OR(Data!$B$7="RE",Data!$B$7="NC"),Data!$D$15=4),AW61,""),"")</f>
        <v/>
      </c>
      <c r="AX27" s="104" t="str">
        <f>IF(AND(OR(Data!$B$3="H",Data!$B$3="SH"),Data!$B$4=5,Data!$B$6=2.5),IF(AND(OR(Data!$B$7="be",Data!$B$7="ce"),Data!$D$15=3),AX61,""),"")</f>
        <v/>
      </c>
      <c r="AY27" s="104" t="str">
        <f>IF(AND(OR(Data!$B$3="H",Data!$B$3="SH"),Data!$B$4=5,Data!$B$6=2.5),IF(AND(OR(Data!$B$7="RE",Data!$B$7="NC"),Data!$D$15=3),AY61,""),"")</f>
        <v/>
      </c>
      <c r="AZ27" s="104" t="str">
        <f>IF(AND(OR(Data!$B$3="H",Data!$B$3="SH"),Data!$B$4=5,Data!$B$6=2.5),IF(AND(OR(Data!$B$7="be",Data!$B$7="ce"),OR(Data!$D$15=1,Data!$D$15=2,Data!$D$15=6)),AZ61,""),"")</f>
        <v/>
      </c>
      <c r="BA27" s="104" t="str">
        <f>IF(AND(OR(Data!$B$3="H",Data!$B$3="SH"),Data!$B$4=5,Data!$B$6=2.5),IF(AND(OR(Data!$B$7="re",Data!$B$7="nc"),OR(Data!$D$15=1,Data!$D$15=2,Data!$D$15=6)),BA61,""),"")</f>
        <v/>
      </c>
      <c r="BB27" s="104">
        <f t="shared" si="2"/>
        <v>0</v>
      </c>
    </row>
    <row r="28" spans="1:54">
      <c r="A28" s="615"/>
      <c r="B28" s="102">
        <v>70</v>
      </c>
      <c r="C28" s="30" t="s">
        <v>22164</v>
      </c>
      <c r="E28" s="30">
        <f t="shared" si="3"/>
        <v>4112</v>
      </c>
      <c r="F28" s="30">
        <v>4428</v>
      </c>
      <c r="G28" s="30">
        <f t="shared" si="4"/>
        <v>4746</v>
      </c>
      <c r="H28" s="30">
        <f t="shared" si="5"/>
        <v>6000</v>
      </c>
      <c r="I28" s="103"/>
      <c r="J28" s="30">
        <v>2.08</v>
      </c>
      <c r="K28" s="30">
        <v>363</v>
      </c>
      <c r="M28" s="43">
        <v>125</v>
      </c>
      <c r="N28" s="104">
        <v>70</v>
      </c>
      <c r="O28" s="30" t="s">
        <v>22164</v>
      </c>
      <c r="Q28" s="30" t="str">
        <f>IF(OR(Data!B$3="IH",Data!B$3="IHM"),IF(M28=Data!B$4,IF(N28=Data!B$6,SUM(R28:V28),""),""),"")</f>
        <v/>
      </c>
      <c r="R28" s="30" t="str">
        <f>IF(OR("MX0"=Data!B$5,"MX1"=Data!B$5,"MX2"=Data!B$5,"MX3"=Data!B$5),E28,"")</f>
        <v/>
      </c>
      <c r="S28" s="30">
        <f>IF(OR("MF1"=Data!B$5,"MF2"=Data!B$5,"MS4"=Data!B$5),F28,"")</f>
        <v>4428</v>
      </c>
      <c r="T28" s="30" t="str">
        <f>IF(OR("MP1"=Data!B$5,"MP3"=Data!B$5,"MT1"=Data!B$5,"MT2"=Data!B$5,"MF5"=Data!B$5,"MF6"=Data!B$5,,"MS2"=Data!B$5,"ME5"=Data!B$5,"ME6"=Data!B$5),G28,"")</f>
        <v/>
      </c>
      <c r="U28" s="30" t="str">
        <f>IF(OR("MS3"=Data!B$5,"ME3"=Data!B$5,"ME4"=Data!B$5,"MP2"=Data!B$5,"MT4"=Data!B$5,"MPU3"=Data!B$5,"MS7"=Data!B$5),H28,"")</f>
        <v/>
      </c>
      <c r="W28" s="30" t="str">
        <f>IF(OR(Q28="",Q28=0),"",IF(Data!B$7="ABE",K28*4,IF(OR(Data!B$7="ACE",Data!B$7="ARE"),K28*2,IF(Data!B$7="BE",K28*2,IF(OR(Data!B$7="CE",Data!B$7="RE"),K28,0))))+J28*(ROUNDUP(Data!B$8,0.1)))</f>
        <v/>
      </c>
      <c r="Y28" s="30">
        <v>70</v>
      </c>
      <c r="Z28" s="30">
        <f t="shared" si="8"/>
        <v>1028</v>
      </c>
      <c r="AA28" s="30">
        <f t="shared" si="1"/>
        <v>1391</v>
      </c>
      <c r="AB28" s="43">
        <f t="shared" si="7"/>
        <v>2</v>
      </c>
      <c r="AF28" s="30" t="str">
        <f>IF(W28&lt;&gt;"",IF(Data!B$7="NC",Z28+(AB28*(Data!B$8+Data!B$11+Data!B$27)),IF(Data!B$7&lt;&gt;"NC",AA28+(AB28*(Data!B$8+Data!B$11+Data!B$27)))),"")</f>
        <v/>
      </c>
      <c r="AL28" s="104">
        <v>2</v>
      </c>
      <c r="AM28" s="104" t="str">
        <f>IF(AND(OR(Data!$B$3="A",Data!$B$3="LH",Data!$B$3="SA"),Data!$B$4=4,Data!$B$6=2),IF(AND(OR(Data!$B$7="be",Data!$B$7="ce"),Data!$D$15=4),AM73,""),"")</f>
        <v/>
      </c>
      <c r="AN28" s="104" t="str">
        <f>IF(AND(OR(Data!$B$3="A",Data!$B$3="LH",Data!$B$3="SA"),Data!$B$4=4,Data!$B$6=2),IF(AND(OR(Data!$B$7="RE",Data!$B$7="NC"),Data!$D$15=4),AN73,""),"")</f>
        <v/>
      </c>
      <c r="AO28" s="104" t="str">
        <f>IF(AND(OR(Data!$B$3="A",Data!$B$3="LH",Data!$B$3="SA"),Data!$B$4=4,Data!$B$6=2),IF(AND(OR(Data!$B$7="be",Data!$B$7="ce"),Data!$D$15=3),AO73,""),"")</f>
        <v/>
      </c>
      <c r="AP28" s="104" t="str">
        <f>IF(AND(OR(Data!$B$3="A",Data!$B$3="LH",Data!$B$3="SA"),Data!$B$4=4,Data!$B$6=2),IF(AND(OR(Data!$B$7="RE",Data!$B$7="NC"),Data!$D$15=3),AP73,""),"")</f>
        <v/>
      </c>
      <c r="AQ28" s="104" t="str">
        <f>IF(AND(OR(Data!$B$3="A",Data!$B$3="LH",Data!$B$3="SA"),Data!$B$4=4,Data!$B$6=2),IF(AND(OR(Data!$B$7="be",Data!$B$7="ce"),OR(Data!$D$15=1,Data!$D$15=2,Data!$D$15=6)),AQ73,""),"")</f>
        <v/>
      </c>
      <c r="AR28" s="104" t="str">
        <f>IF(AND(OR(Data!$B$3="A",Data!$B$3="LH",Data!$B$3="SA"),Data!$B$4=4,Data!$B$6=2),IF(AND(OR(Data!$B$7="re",Data!$B$7="nc"),OR(Data!$D$15=1,Data!$D$15=2,Data!$D$15=6)),AR73,""),"")</f>
        <v/>
      </c>
      <c r="AS28" s="104">
        <f t="shared" si="6"/>
        <v>0</v>
      </c>
      <c r="AU28" s="30">
        <v>3</v>
      </c>
      <c r="AV28" s="104" t="str">
        <f>IF(AND(OR(Data!$B$3="H",Data!$B$3="SH"),Data!$B$4=5,Data!$B$6=3),IF(AND(OR(Data!$B$7="be",Data!$B$7="ce"),Data!$D$15=4),AV62,""),"")</f>
        <v/>
      </c>
      <c r="AW28" s="104" t="str">
        <f>IF(AND(OR(Data!$B$3="H",Data!$B$3="SH"),Data!$B$4=5,Data!$B$6=3),IF(AND(OR(Data!$B$7="RE",Data!$B$7="NC"),Data!$D$15=4),AW62,""),"")</f>
        <v/>
      </c>
      <c r="AX28" s="104" t="str">
        <f>IF(AND(OR(Data!$B$3="H",Data!$B$3="SH"),Data!$B$4=5,Data!$B$6=3),IF(AND(OR(Data!$B$7="be",Data!$B$7="ce"),Data!$D$15=3),AX62,""),"")</f>
        <v/>
      </c>
      <c r="AY28" s="104" t="str">
        <f>IF(AND(OR(Data!$B$3="H",Data!$B$3="SH"),Data!$B$4=5,Data!$B$6=3),IF(AND(OR(Data!$B$7="RE",Data!$B$7="NC"),Data!$D$15=3),AY62,""),"")</f>
        <v/>
      </c>
      <c r="AZ28" s="104" t="str">
        <f>IF(AND(OR(Data!$B$3="H",Data!$B$3="SH"),Data!$B$4=5,Data!$B$6=3),IF(AND(OR(Data!$B$7="be",Data!$B$7="ce"),OR(Data!$D$15=1,Data!$D$15=2,Data!$D$15=6)),AZ62,""),"")</f>
        <v/>
      </c>
      <c r="BA28" s="104" t="str">
        <f>IF(AND(OR(Data!$B$3="H",Data!$B$3="SH"),Data!$B$4=5,Data!$B$6=3),IF(AND(OR(Data!$B$7="re",Data!$B$7="nc"),OR(Data!$D$15=1,Data!$D$15=2,Data!$D$15=6)),BA62,""),"")</f>
        <v/>
      </c>
      <c r="BB28" s="104">
        <f t="shared" si="2"/>
        <v>0</v>
      </c>
    </row>
    <row r="29" spans="1:54">
      <c r="A29" s="616"/>
      <c r="B29" s="102">
        <v>90</v>
      </c>
      <c r="C29" s="30" t="s">
        <v>22163</v>
      </c>
      <c r="E29" s="30">
        <f t="shared" si="3"/>
        <v>4441</v>
      </c>
      <c r="F29" s="30">
        <v>4783</v>
      </c>
      <c r="G29" s="30">
        <f t="shared" si="4"/>
        <v>5126</v>
      </c>
      <c r="H29" s="30">
        <f t="shared" si="5"/>
        <v>6480</v>
      </c>
      <c r="I29" s="103"/>
      <c r="J29" s="30">
        <v>2.2000000000000002</v>
      </c>
      <c r="K29" s="30">
        <v>363</v>
      </c>
      <c r="M29" s="43">
        <v>125</v>
      </c>
      <c r="N29" s="104">
        <v>90</v>
      </c>
      <c r="O29" s="30" t="s">
        <v>22163</v>
      </c>
      <c r="Q29" s="30" t="str">
        <f>IF(OR(Data!B$3="IH",Data!B$3="IHM"),IF(M29=Data!B$4,IF(N29=Data!B$6,SUM(R29:V29),""),""),"")</f>
        <v/>
      </c>
      <c r="R29" s="30" t="str">
        <f>IF(OR("MX0"=Data!B$5,"MX1"=Data!B$5,"MX2"=Data!B$5,"MX3"=Data!B$5),E29,"")</f>
        <v/>
      </c>
      <c r="S29" s="30">
        <f>IF(OR("MF1"=Data!B$5,"MF2"=Data!B$5,"MS4"=Data!B$5),F29,"")</f>
        <v>4783</v>
      </c>
      <c r="T29" s="30" t="str">
        <f>IF(OR("MP1"=Data!B$5,"MP3"=Data!B$5,"MT1"=Data!B$5,"MT2"=Data!B$5,"MF5"=Data!B$5,"MF6"=Data!B$5,,"MS2"=Data!B$5,"ME5"=Data!B$5,"ME6"=Data!B$5),G29,"")</f>
        <v/>
      </c>
      <c r="U29" s="30" t="str">
        <f>IF(OR("MS3"=Data!B$5,"ME3"=Data!B$5,"ME4"=Data!B$5,"MP2"=Data!B$5,"MT4"=Data!B$5,"MPU3"=Data!B$5,"MS7"=Data!B$5),H29,"")</f>
        <v/>
      </c>
      <c r="W29" s="30" t="str">
        <f>IF(OR(Q29="",Q29=0),"",IF(Data!B$7="ABE",K29*4,IF(OR(Data!B$7="ACE",Data!B$7="ARE"),K29*2,IF(Data!B$7="BE",K29*2,IF(OR(Data!B$7="CE",Data!B$7="RE"),K29,0))))+J29*(ROUNDUP(Data!B$8,0.1)))</f>
        <v/>
      </c>
      <c r="Y29" s="30">
        <v>90</v>
      </c>
      <c r="Z29" s="30">
        <f t="shared" si="8"/>
        <v>1111</v>
      </c>
      <c r="AA29" s="30">
        <f t="shared" si="1"/>
        <v>1474</v>
      </c>
      <c r="AB29" s="43">
        <f t="shared" si="7"/>
        <v>2</v>
      </c>
      <c r="AF29" s="30" t="str">
        <f>IF(W29&lt;&gt;"",IF(Data!B$7="NC",Z29+(AB29*(Data!B$8+Data!B$11+Data!B$27)),IF(Data!B$7&lt;&gt;"NC",AA29+(AB29*(Data!B$8+Data!B$11+Data!B$27)))),"")</f>
        <v/>
      </c>
      <c r="AL29" s="104">
        <v>5</v>
      </c>
      <c r="AS29" s="104"/>
      <c r="AT29" s="104"/>
      <c r="AU29" s="30">
        <v>3.5</v>
      </c>
      <c r="AV29" s="104" t="str">
        <f>IF(AND(OR(Data!$B$3="H",Data!$B$3="SH"),Data!$B$4=5,Data!$B$6=3.5),IF(AND(OR(Data!$B$7="be",Data!$B$7="ce"),Data!$D$15=4),AV63,""),"")</f>
        <v/>
      </c>
      <c r="AW29" s="104" t="str">
        <f>IF(AND(OR(Data!$B$3="H",Data!$B$3="SH"),Data!$B$4=5,Data!$B$6=3.5),IF(AND(OR(Data!$B$7="RE",Data!$B$7="NC"),Data!$D$15=4),AW63,""),"")</f>
        <v/>
      </c>
      <c r="AX29" s="104" t="str">
        <f>IF(AND(OR(Data!$B$3="H",Data!$B$3="SH"),Data!$B$4=5,Data!$B$6=3.5),IF(AND(OR(Data!$B$7="be",Data!$B$7="ce"),Data!$D$15=3),AX63,""),"")</f>
        <v/>
      </c>
      <c r="AY29" s="104" t="str">
        <f>IF(AND(OR(Data!$B$3="H",Data!$B$3="SH"),Data!$B$4=5,Data!$B$6=3.5),IF(AND(OR(Data!$B$7="RE",Data!$B$7="NC"),Data!$D$15=3),AY63,""),"")</f>
        <v/>
      </c>
      <c r="AZ29" s="104" t="str">
        <f>IF(AND(OR(Data!$B$3="H",Data!$B$3="SH"),Data!$B$4=5,Data!$B$6=3.5),IF(AND(OR(Data!$B$7="be",Data!$B$7="ce"),OR(Data!$D$15=1,Data!$D$15=2,Data!$D$15=6)),AZ63,""),"")</f>
        <v/>
      </c>
      <c r="BA29" s="104" t="str">
        <f>IF(AND(OR(Data!$B$3="H",Data!$B$3="SH"),Data!$B$4=5,Data!$B$6=3.5),IF(AND(OR(Data!$B$7="re",Data!$B$7="nc"),OR(Data!$D$15=1,Data!$D$15=2,Data!$D$15=6)),BA63,""),"")</f>
        <v/>
      </c>
      <c r="BB29" s="104">
        <f t="shared" si="2"/>
        <v>0</v>
      </c>
    </row>
    <row r="30" spans="1:54">
      <c r="A30" s="614">
        <v>160</v>
      </c>
      <c r="B30" s="102">
        <v>70</v>
      </c>
      <c r="C30" s="30" t="s">
        <v>22164</v>
      </c>
      <c r="E30" s="30">
        <f t="shared" si="3"/>
        <v>4797</v>
      </c>
      <c r="F30" s="30">
        <v>5166</v>
      </c>
      <c r="G30" s="30">
        <f t="shared" si="4"/>
        <v>5537</v>
      </c>
      <c r="H30" s="30">
        <f t="shared" si="5"/>
        <v>6999</v>
      </c>
      <c r="I30" s="103"/>
      <c r="J30" s="30">
        <v>2.48</v>
      </c>
      <c r="K30" s="30">
        <v>363</v>
      </c>
      <c r="M30" s="43">
        <v>160</v>
      </c>
      <c r="N30" s="104">
        <v>70</v>
      </c>
      <c r="O30" s="30" t="s">
        <v>22164</v>
      </c>
      <c r="Q30" s="30" t="str">
        <f>IF(OR(Data!B$3="IH",Data!B$3="IHM"),IF(M30=Data!B$4,IF(N30=Data!B$6,SUM(R30:V30),""),""),"")</f>
        <v/>
      </c>
      <c r="R30" s="30" t="str">
        <f>IF(OR("MX0"=Data!B$5,"MX1"=Data!B$5,"MX2"=Data!B$5,"MX3"=Data!B$5),E30,"")</f>
        <v/>
      </c>
      <c r="S30" s="30">
        <f>IF(OR("MF1"=Data!B$5,"MF2"=Data!B$5,"MS4"=Data!B$5),F30,"")</f>
        <v>5166</v>
      </c>
      <c r="T30" s="30" t="str">
        <f>IF(OR("MP1"=Data!B$5,"MP3"=Data!B$5,"MT1"=Data!B$5,"MT2"=Data!B$5,"MF5"=Data!B$5,"MF6"=Data!B$5,,"MS2"=Data!B$5,"ME5"=Data!B$5,"ME6"=Data!B$5),G30,"")</f>
        <v/>
      </c>
      <c r="U30" s="30" t="str">
        <f>IF(OR("MS3"=Data!B$5,"ME3"=Data!B$5,"ME4"=Data!B$5,"MP2"=Data!B$5,"MT4"=Data!B$5,"MPU3"=Data!B$5,"MS7"=Data!B$5),H30,"")</f>
        <v/>
      </c>
      <c r="W30" s="30" t="str">
        <f>IF(OR(Q30="",Q30=0),"",IF(Data!B$7="ABE",K30*4,IF(OR(Data!B$7="ACE",Data!B$7="ARE"),K30*2,IF(Data!B$7="BE",K30*2,IF(OR(Data!B$7="CE",Data!B$7="RE"),K30,0))))+J30*(ROUNDUP(Data!B$8,0.1)))</f>
        <v/>
      </c>
      <c r="X30" s="30">
        <v>160</v>
      </c>
      <c r="Y30" s="30">
        <v>70</v>
      </c>
      <c r="Z30" s="30">
        <f t="shared" si="8"/>
        <v>1200</v>
      </c>
      <c r="AA30" s="30">
        <f t="shared" si="1"/>
        <v>1563</v>
      </c>
      <c r="AB30" s="43">
        <f t="shared" si="7"/>
        <v>3</v>
      </c>
      <c r="AF30" s="30" t="str">
        <f>IF(W30&lt;&gt;"",IF(Data!B$7="NC",Z30+(AB30*(Data!B$8+Data!B$11+Data!B$27)),IF(Data!B$7&lt;&gt;"NC",AA30+(AB30*(Data!B$8+Data!B$11+Data!B$27)))),"")</f>
        <v/>
      </c>
      <c r="AL30" s="104">
        <v>1</v>
      </c>
      <c r="AM30" s="104" t="str">
        <f>IF(AND(OR(Data!$B$3="A",Data!$B$3="LH",Data!$B$3="SA"),Data!$B$4=5,Data!$B$6=1),IF(AND(OR(Data!$B$7="be",Data!$B$7="ce"),Data!$D$15=4),AM75,""),"")</f>
        <v/>
      </c>
      <c r="AN30" s="104" t="str">
        <f>IF(AND(OR(Data!$B$3="A",Data!$B$3="LH",Data!$B$3="SA"),Data!$B$4=5,Data!$B$6=1),IF(AND(OR(Data!$B$7="RE",Data!$B$7="NC"),Data!$D$15=4),AN75,""),"")</f>
        <v/>
      </c>
      <c r="AO30" s="104" t="str">
        <f>IF(AND(OR(Data!$B$3="A",Data!$B$3="LH",Data!$B$3="SA"),Data!$B$4=5,Data!$B$6=1),IF(AND(OR(Data!$B$7="be",Data!$B$7="ce"),Data!$D$15=3),AO75,""),"")</f>
        <v/>
      </c>
      <c r="AP30" s="104" t="str">
        <f>IF(AND(OR(Data!$B$3="A",Data!$B$3="LH",Data!$B$3="SA"),Data!$B$4=5,Data!$B$6=1),IF(AND(OR(Data!$B$7="RE",Data!$B$7="NC"),Data!$D$15=3),AP75,""),"")</f>
        <v/>
      </c>
      <c r="AQ30" s="104" t="str">
        <f>IF(AND(OR(Data!$B$3="A",Data!$B$3="LH",Data!$B$3="SA"),Data!$B$4=5,Data!$B$6=1),IF(AND(OR(Data!$B$7="be",Data!$B$7="ce"),OR(Data!$D$15=1,Data!$D$15=2,Data!$D$15=6)),AQ75,""),"")</f>
        <v/>
      </c>
      <c r="AR30" s="104" t="str">
        <f>IF(AND(OR(Data!$B$3="A",Data!$B$3="LH",Data!$B$3="SA"),Data!$B$4=5,Data!$B$6=1),IF(AND(OR(Data!$B$7="re",Data!$B$7="nc"),OR(Data!$D$15=1,Data!$D$15=2,Data!$D$15=6)),AR75,""),"")</f>
        <v/>
      </c>
      <c r="AS30" s="104">
        <f t="shared" si="6"/>
        <v>0</v>
      </c>
      <c r="AT30" s="104"/>
      <c r="AU30" s="104">
        <v>6</v>
      </c>
      <c r="AZ30" s="104"/>
      <c r="BA30" s="104"/>
      <c r="BB30" s="104"/>
    </row>
    <row r="31" spans="1:54">
      <c r="A31" s="615"/>
      <c r="B31" s="102">
        <v>90</v>
      </c>
      <c r="C31" s="105" t="s">
        <v>22163</v>
      </c>
      <c r="D31" s="105"/>
      <c r="E31" s="30">
        <f t="shared" si="3"/>
        <v>5181</v>
      </c>
      <c r="F31" s="30">
        <v>5580</v>
      </c>
      <c r="G31" s="30">
        <f t="shared" si="4"/>
        <v>5980</v>
      </c>
      <c r="H31" s="30">
        <f t="shared" si="5"/>
        <v>7559</v>
      </c>
      <c r="I31" s="103"/>
      <c r="J31" s="30">
        <v>2.8000000000000003</v>
      </c>
      <c r="K31" s="30">
        <v>363</v>
      </c>
      <c r="M31" s="43">
        <v>160</v>
      </c>
      <c r="N31" s="104">
        <v>90</v>
      </c>
      <c r="O31" s="105" t="s">
        <v>22163</v>
      </c>
      <c r="P31" s="105"/>
      <c r="Q31" s="30" t="str">
        <f>IF(OR(Data!B$3="IH",Data!B$3="IHM"),IF(M31=Data!B$4,IF(N31=Data!B$6,SUM(R31:V31),""),""),"")</f>
        <v/>
      </c>
      <c r="R31" s="30" t="str">
        <f>IF(OR("MX0"=Data!B$5,"MX1"=Data!B$5,"MX2"=Data!B$5,"MX3"=Data!B$5),E31,"")</f>
        <v/>
      </c>
      <c r="S31" s="30">
        <f>IF(OR("MF1"=Data!B$5,"MF2"=Data!B$5,"MS4"=Data!B$5),F31,"")</f>
        <v>5580</v>
      </c>
      <c r="T31" s="30" t="str">
        <f>IF(OR("MP1"=Data!B$5,"MP3"=Data!B$5,"MT1"=Data!B$5,"MT2"=Data!B$5,"MF5"=Data!B$5,"MF6"=Data!B$5,,"MS2"=Data!B$5,"ME5"=Data!B$5,"ME6"=Data!B$5),G31,"")</f>
        <v/>
      </c>
      <c r="U31" s="30" t="str">
        <f>IF(OR("MS3"=Data!B$5,"ME3"=Data!B$5,"ME4"=Data!B$5,"MP2"=Data!B$5,"MT4"=Data!B$5,"MPU3"=Data!B$5,"MS7"=Data!B$5),H31,"")</f>
        <v/>
      </c>
      <c r="W31" s="30" t="str">
        <f>IF(OR(Q31="",Q31=0),"",IF(Data!B$7="ABE",K31*4,IF(OR(Data!B$7="ACE",Data!B$7="ARE"),K31*2,IF(Data!B$7="BE",K31*2,IF(OR(Data!B$7="CE",Data!B$7="RE"),K31,0))))+J31*(ROUNDUP(Data!B$8,0.1)))</f>
        <v/>
      </c>
      <c r="Y31" s="30">
        <v>90</v>
      </c>
      <c r="Z31" s="30">
        <f t="shared" si="8"/>
        <v>1296</v>
      </c>
      <c r="AA31" s="30">
        <f t="shared" si="1"/>
        <v>1659</v>
      </c>
      <c r="AB31" s="43">
        <f t="shared" si="7"/>
        <v>3</v>
      </c>
      <c r="AF31" s="30" t="str">
        <f>IF(W31&lt;&gt;"",IF(Data!B$7="NC",Z31+(AB31*(Data!B$8+Data!B$11+Data!B$27)),IF(Data!B$7&lt;&gt;"NC",AA31+(AB31*(Data!B$8+Data!B$11+Data!B$27)))),"")</f>
        <v/>
      </c>
      <c r="AL31" s="104">
        <v>1.375</v>
      </c>
      <c r="AM31" s="104" t="str">
        <f>IF(AND(OR(Data!$B$3="A",Data!$B$3="LH",Data!$B$3="SA"),Data!$B$4=5,Data!$B$6=1.375),IF(AND(OR(Data!$B$7="be",Data!$B$7="ce"),Data!$D$15=4),AM76,""),"")</f>
        <v/>
      </c>
      <c r="AN31" s="104" t="str">
        <f>IF(AND(OR(Data!$B$3="A",Data!$B$3="LH",Data!$B$3="SA"),Data!$B$4=5,Data!$B$6=1.375),IF(AND(OR(Data!$B$7="RE",Data!$B$7="NC"),Data!$D$15=4),AN76,""),"")</f>
        <v/>
      </c>
      <c r="AO31" s="104" t="str">
        <f>IF(AND(OR(Data!$B$3="A",Data!$B$3="LH",Data!$B$3="SA"),Data!$B$4=5,Data!$B$6=1.375),IF(AND(OR(Data!$B$7="be",Data!$B$7="ce"),Data!$D$15=3),AO76,""),"")</f>
        <v/>
      </c>
      <c r="AP31" s="104" t="str">
        <f>IF(AND(OR(Data!$B$3="A",Data!$B$3="LH",Data!$B$3="SA"),Data!$B$4=5,Data!$B$6=1.375),IF(AND(OR(Data!$B$7="RE",Data!$B$7="NC"),Data!$D$15=3),AP76,""),"")</f>
        <v/>
      </c>
      <c r="AQ31" s="104" t="str">
        <f>IF(AND(OR(Data!$B$3="A",Data!$B$3="LH",Data!$B$3="SA"),Data!$B$4=5,Data!$B$6=1.375),IF(AND(OR(Data!$B$7="be",Data!$B$7="ce"),OR(Data!$D$15=1,Data!$D$15=2,Data!$D$15=6)),AQ76,""),"")</f>
        <v/>
      </c>
      <c r="AR31" s="104" t="str">
        <f>IF(AND(OR(Data!$B$3="A",Data!$B$3="LH",Data!$B$3="SA"),Data!$B$4=5,Data!$B$6=1.375),IF(AND(OR(Data!$B$7="re",Data!$B$7="nc"),OR(Data!$D$15=1,Data!$D$15=2,Data!$D$15=6)),AR76,""),"")</f>
        <v/>
      </c>
      <c r="AS31" s="104">
        <f t="shared" si="6"/>
        <v>0</v>
      </c>
      <c r="AT31" s="104"/>
      <c r="AU31" s="104">
        <v>2.5</v>
      </c>
      <c r="AV31" s="104" t="str">
        <f>IF(AND(OR(Data!$B$3="H",Data!$B$3="SH"),Data!$B$4=6,Data!$B$6=2.5),IF(AND(OR(Data!$B$7="be",Data!$B$7="ce"),Data!$D$15=4),AV65,""),"")</f>
        <v/>
      </c>
      <c r="AW31" s="104" t="str">
        <f>IF(AND(OR(Data!$B$3="H",Data!$B$3="SH"),Data!$B$4=6,Data!$B$6=2.5),IF(AND(OR(Data!$B$7="RE",Data!$B$7="NC"),Data!$D$15=4),AW65,""),"")</f>
        <v/>
      </c>
      <c r="AX31" s="104" t="str">
        <f>IF(AND(OR(Data!$B$3="H",Data!$B$3="SH"),Data!$B$4=6,Data!$B$6=2.5),IF(AND(OR(Data!$B$7="be",Data!$B$7="ce"),Data!$D$15=3),AX65,""),"")</f>
        <v/>
      </c>
      <c r="AY31" s="104" t="str">
        <f>IF(AND(OR(Data!$B$3="H",Data!$B$3="SH"),Data!$B$4=6,Data!$B$6=2.5),IF(AND(OR(Data!$B$7="RE",Data!$B$7="NC"),Data!$D$15=3),AY65,""),"")</f>
        <v/>
      </c>
      <c r="AZ31" s="104" t="str">
        <f>IF(AND(OR(Data!$B$3="H",Data!$B$3="SH"),Data!$B$4=6,Data!$B$6=2.5),IF(AND(OR(Data!$B$7="be",Data!$B$7="ce"),OR(Data!$D$15=1,Data!$D$15=2,Data!$D$15=6)),AZ65,""),"")</f>
        <v/>
      </c>
      <c r="BA31" s="104" t="str">
        <f>IF(AND(OR(Data!$B$3="H",Data!$B$3="SH"),Data!$B$4=6,Data!$B$6=2.5),IF(AND(OR(Data!$B$7="re",Data!$B$7="nc"),OR(Data!$D$15=1,Data!$D$15=2,Data!$D$15=6)),BA65,""),"")</f>
        <v/>
      </c>
      <c r="BB31" s="104">
        <f t="shared" si="2"/>
        <v>0</v>
      </c>
    </row>
    <row r="32" spans="1:54">
      <c r="A32" s="616"/>
      <c r="B32" s="102">
        <v>110</v>
      </c>
      <c r="C32" s="105" t="s">
        <v>22162</v>
      </c>
      <c r="D32" s="105"/>
      <c r="E32" s="30">
        <f t="shared" si="3"/>
        <v>5596</v>
      </c>
      <c r="F32" s="30">
        <v>6027</v>
      </c>
      <c r="G32" s="30">
        <f t="shared" si="4"/>
        <v>6459</v>
      </c>
      <c r="H32" s="30">
        <f t="shared" si="5"/>
        <v>8164</v>
      </c>
      <c r="I32" s="103"/>
      <c r="J32" s="30">
        <v>3</v>
      </c>
      <c r="K32" s="30">
        <v>363</v>
      </c>
      <c r="M32" s="43">
        <v>160</v>
      </c>
      <c r="N32" s="104">
        <v>110</v>
      </c>
      <c r="O32" s="105" t="s">
        <v>22162</v>
      </c>
      <c r="P32" s="105"/>
      <c r="Q32" s="30" t="str">
        <f>IF(OR(Data!B$3="IH",Data!B$3="IHM"),IF(M32=Data!B$4,IF(N32=Data!B$6,SUM(R32:V32),""),""),"")</f>
        <v/>
      </c>
      <c r="R32" s="30" t="str">
        <f>IF(OR("MX0"=Data!B$5,"MX1"=Data!B$5,"MX2"=Data!B$5,"MX3"=Data!B$5),E32,"")</f>
        <v/>
      </c>
      <c r="S32" s="30">
        <f>IF(OR("MF1"=Data!B$5,"MF2"=Data!B$5,"MS4"=Data!B$5),F32,"")</f>
        <v>6027</v>
      </c>
      <c r="T32" s="30" t="str">
        <f>IF(OR("MP1"=Data!B$5,"MP3"=Data!B$5,"MT1"=Data!B$5,"MT2"=Data!B$5,"MF5"=Data!B$5,"MF6"=Data!B$5,,"MS2"=Data!B$5,"ME5"=Data!B$5,"ME6"=Data!B$5),G32,"")</f>
        <v/>
      </c>
      <c r="U32" s="30" t="str">
        <f>IF(OR("MS3"=Data!B$5,"ME3"=Data!B$5,"ME4"=Data!B$5,"MP2"=Data!B$5,"MT4"=Data!B$5,"MPU3"=Data!B$5,"MS7"=Data!B$5),H32,"")</f>
        <v/>
      </c>
      <c r="W32" s="30" t="str">
        <f>IF(OR(Q32="",Q32=0),"",IF(Data!B$7="ABE",K32*4,IF(OR(Data!B$7="ACE",Data!B$7="ARE"),K32*2,IF(Data!B$7="BE",K32*2,IF(OR(Data!B$7="CE",Data!B$7="RE"),K32,0))))+J32*(ROUNDUP(Data!B$8,0.1)))</f>
        <v/>
      </c>
      <c r="Y32" s="30">
        <v>110</v>
      </c>
      <c r="Z32" s="30">
        <f t="shared" si="8"/>
        <v>1399</v>
      </c>
      <c r="AA32" s="30">
        <f t="shared" si="1"/>
        <v>1762</v>
      </c>
      <c r="AB32" s="43">
        <f t="shared" si="7"/>
        <v>3</v>
      </c>
      <c r="AF32" s="30" t="str">
        <f>IF(W32&lt;&gt;"",IF(Data!B$7="NC",Z32+(AB32*(Data!B$8+Data!B$11+Data!B$27)),IF(Data!B$7&lt;&gt;"NC",AA32+(AB32*(Data!B$8+Data!B$11+Data!B$27)))),"")</f>
        <v/>
      </c>
      <c r="AL32" s="104">
        <v>1.75</v>
      </c>
      <c r="AM32" s="104" t="str">
        <f>IF(AND(OR(Data!$B$3="A",Data!$B$3="LH",Data!$B$3="SA"),Data!$B$4=5,Data!$B$6=1.75),IF(AND(OR(Data!$B$7="be",Data!$B$7="ce"),Data!$D$15=4),AM77,""),"")</f>
        <v/>
      </c>
      <c r="AN32" s="104" t="str">
        <f>IF(AND(OR(Data!$B$3="A",Data!$B$3="LH",Data!$B$3="SA"),Data!$B$4=5,Data!$B$6=1.75),IF(AND(OR(Data!$B$7="RE",Data!$B$7="NC"),Data!$D$15=4),AN77,""),"")</f>
        <v/>
      </c>
      <c r="AO32" s="104" t="str">
        <f>IF(AND(OR(Data!$B$3="A",Data!$B$3="LH",Data!$B$3="SA"),Data!$B$4=5,Data!$B$6=1.75),IF(AND(OR(Data!$B$7="be",Data!$B$7="ce"),Data!$D$15=3),AO77,""),"")</f>
        <v/>
      </c>
      <c r="AP32" s="104" t="str">
        <f>IF(AND(OR(Data!$B$3="A",Data!$B$3="LH",Data!$B$3="SA"),Data!$B$4=5,Data!$B$6=1.75),IF(AND(OR(Data!$B$7="RE",Data!$B$7="NC"),Data!$D$15=3),AP77,""),"")</f>
        <v/>
      </c>
      <c r="AQ32" s="104" t="str">
        <f>IF(AND(OR(Data!$B$3="A",Data!$B$3="LH",Data!$B$3="SA"),Data!$B$4=5,Data!$B$6=1.75),IF(AND(OR(Data!$B$7="be",Data!$B$7="ce"),OR(Data!$D$15=1,Data!$D$15=2,Data!$D$15=6)),AQ77,""),"")</f>
        <v/>
      </c>
      <c r="AR32" s="104" t="str">
        <f>IF(AND(OR(Data!$B$3="A",Data!$B$3="LH",Data!$B$3="SA"),Data!$B$4=5,Data!$B$6=1.75),IF(AND(OR(Data!$B$7="re",Data!$B$7="nc"),OR(Data!$D$15=1,Data!$D$15=2,Data!$D$15=6)),AR77,""),"")</f>
        <v/>
      </c>
      <c r="AS32" s="104">
        <f t="shared" si="6"/>
        <v>0</v>
      </c>
      <c r="AT32" s="104"/>
      <c r="AU32" s="104">
        <v>3</v>
      </c>
      <c r="AV32" s="104" t="str">
        <f>IF(AND(OR(Data!$B$3="H",Data!$B$3="SH"),Data!$B$4=6,Data!$B$6=3),IF(AND(OR(Data!$B$7="be",Data!$B$7="ce"),Data!$D$15=4),AV66,""),"")</f>
        <v/>
      </c>
      <c r="AW32" s="104" t="str">
        <f>IF(AND(OR(Data!$B$3="H",Data!$B$3="SH"),Data!$B$4=6,Data!$B$6=3),IF(AND(OR(Data!$B$7="RE",Data!$B$7="NC"),Data!$D$15=4),AW66,""),"")</f>
        <v/>
      </c>
      <c r="AX32" s="104" t="str">
        <f>IF(AND(OR(Data!$B$3="H",Data!$B$3="SH"),Data!$B$4=6,Data!$B$6=3),IF(AND(OR(Data!$B$7="be",Data!$B$7="ce"),Data!$D$15=3),AX66,""),"")</f>
        <v/>
      </c>
      <c r="AY32" s="104" t="str">
        <f>IF(AND(OR(Data!$B$3="H",Data!$B$3="SH"),Data!$B$4=6,Data!$B$6=3),IF(AND(OR(Data!$B$7="RE",Data!$B$7="NC"),Data!$D$15=3),AY66,""),"")</f>
        <v/>
      </c>
      <c r="AZ32" s="104" t="str">
        <f>IF(AND(OR(Data!$B$3="H",Data!$B$3="SH"),Data!$B$4=6,Data!$B$6=3),IF(AND(OR(Data!$B$7="be",Data!$B$7="ce"),OR(Data!$D$15=1,Data!$D$15=2,Data!$D$15=6)),AZ66,""),"")</f>
        <v/>
      </c>
      <c r="BA32" s="104" t="str">
        <f>IF(AND(OR(Data!$B$3="H",Data!$B$3="SH"),Data!$B$4=6,Data!$B$6=3),IF(AND(OR(Data!$B$7="re",Data!$B$7="nc"),OR(Data!$D$15=1,Data!$D$15=2,Data!$D$15=6)),BA66,""),"")</f>
        <v/>
      </c>
      <c r="BB32" s="104">
        <f t="shared" si="2"/>
        <v>0</v>
      </c>
    </row>
    <row r="33" spans="1:54">
      <c r="A33" s="614">
        <v>200</v>
      </c>
      <c r="B33" s="102">
        <v>90</v>
      </c>
      <c r="C33" s="30" t="s">
        <v>22163</v>
      </c>
      <c r="E33" s="30">
        <f t="shared" si="3"/>
        <v>6044</v>
      </c>
      <c r="F33" s="30">
        <v>6510</v>
      </c>
      <c r="G33" s="30">
        <f t="shared" si="4"/>
        <v>6976</v>
      </c>
      <c r="H33" s="30">
        <f t="shared" si="5"/>
        <v>8818</v>
      </c>
      <c r="I33" s="103"/>
      <c r="J33" s="30">
        <v>2.7600000000000002</v>
      </c>
      <c r="K33" s="30">
        <v>394</v>
      </c>
      <c r="M33" s="43">
        <v>200</v>
      </c>
      <c r="N33" s="104">
        <v>90</v>
      </c>
      <c r="O33" s="30" t="s">
        <v>22163</v>
      </c>
      <c r="Q33" s="30" t="str">
        <f>IF(OR(Data!B$3="IH",Data!B$3="IHM"),IF(M33=Data!B$4,IF(N33=Data!B$6,SUM(R33:V33),""),""),"")</f>
        <v/>
      </c>
      <c r="R33" s="30" t="str">
        <f>IF(OR("MX0"=Data!B$5,"MX1"=Data!B$5,"MX2"=Data!B$5,"MX3"=Data!B$5),E33,"")</f>
        <v/>
      </c>
      <c r="S33" s="30">
        <f>IF(OR("MF1"=Data!B$5,"MF2"=Data!B$5,"MS4"=Data!B$5),F33,"")</f>
        <v>6510</v>
      </c>
      <c r="T33" s="30" t="str">
        <f>IF(OR("MP1"=Data!B$5,"MP3"=Data!B$5,"MT1"=Data!B$5,"MT2"=Data!B$5,"MF5"=Data!B$5,"MF6"=Data!B$5,,"MS2"=Data!B$5,"ME5"=Data!B$5,"ME6"=Data!B$5),G33,"")</f>
        <v/>
      </c>
      <c r="U33" s="30" t="str">
        <f>IF(OR("MS3"=Data!B$5,"ME3"=Data!B$5,"ME4"=Data!B$5,"MP2"=Data!B$5,"MT4"=Data!B$5,"MPU3"=Data!B$5,"MS7"=Data!B$5),H33,"")</f>
        <v/>
      </c>
      <c r="W33" s="30" t="str">
        <f>IF(OR(Q33="",Q33=0),"",IF(Data!B$7="ABE",K33*4,IF(OR(Data!B$7="ACE",Data!B$7="ARE"),K33*2,IF(Data!B$7="BE",K33*2,IF(OR(Data!B$7="CE",Data!B$7="RE"),K33,0))))+J33*(ROUNDUP(Data!B$8,0.1)))</f>
        <v/>
      </c>
      <c r="X33" s="30">
        <v>200</v>
      </c>
      <c r="Y33" s="30">
        <v>90</v>
      </c>
      <c r="Z33" s="30">
        <f t="shared" si="8"/>
        <v>1511</v>
      </c>
      <c r="AA33" s="30">
        <f t="shared" si="1"/>
        <v>1905</v>
      </c>
      <c r="AB33" s="43">
        <f t="shared" si="7"/>
        <v>3</v>
      </c>
      <c r="AF33" s="30" t="str">
        <f>IF(W33&lt;&gt;"",IF(Data!B$7="NC",Z33+(AB33*(Data!B$8+Data!B$11+Data!B$27)),IF(Data!B$7&lt;&gt;"NC",AA33+(AB33*(Data!B$8+Data!B$11+Data!B$27)))),"")</f>
        <v/>
      </c>
      <c r="AL33" s="104">
        <v>2</v>
      </c>
      <c r="AM33" s="104" t="str">
        <f>IF(AND(OR(Data!$B$3="A",Data!$B$3="LH",Data!$B$3="SA"),Data!$B$4=5,Data!$B$6=2),IF(AND(OR(Data!$B$7="be",Data!$B$7="ce"),Data!$D$15=4),AM78,""),"")</f>
        <v/>
      </c>
      <c r="AN33" s="104" t="str">
        <f>IF(AND(OR(Data!$B$3="A",Data!$B$3="LH",Data!$B$3="SA"),Data!$B$4=5,Data!$B$6=2),IF(AND(OR(Data!$B$7="RE",Data!$B$7="NC"),Data!$D$15=4),AN78,""),"")</f>
        <v/>
      </c>
      <c r="AO33" s="104" t="str">
        <f>IF(AND(OR(Data!$B$3="A",Data!$B$3="LH",Data!$B$3="SA"),Data!$B$4=5,Data!$B$6=2),IF(AND(OR(Data!$B$7="be",Data!$B$7="ce"),Data!$D$15=3),AO78,""),"")</f>
        <v/>
      </c>
      <c r="AP33" s="104" t="str">
        <f>IF(AND(OR(Data!$B$3="A",Data!$B$3="LH",Data!$B$3="SA"),Data!$B$4=5,Data!$B$6=2),IF(AND(OR(Data!$B$7="RE",Data!$B$7="NC"),Data!$D$15=3),AP78,""),"")</f>
        <v/>
      </c>
      <c r="AQ33" s="104" t="str">
        <f>IF(AND(OR(Data!$B$3="A",Data!$B$3="LH",Data!$B$3="SA"),Data!$B$4=5,Data!$B$6=2),IF(AND(OR(Data!$B$7="be",Data!$B$7="ce"),OR(Data!$D$15=1,Data!$D$15=2,Data!$D$15=6)),AQ78,""),"")</f>
        <v/>
      </c>
      <c r="AR33" s="104" t="str">
        <f>IF(AND(OR(Data!$B$3="A",Data!$B$3="LH",Data!$B$3="SA"),Data!$B$4=5,Data!$B$6=2),IF(AND(OR(Data!$B$7="re",Data!$B$7="nc"),OR(Data!$D$15=1,Data!$D$15=2,Data!$D$15=6)),AR78,""),"")</f>
        <v/>
      </c>
      <c r="AS33" s="104">
        <f t="shared" si="6"/>
        <v>0</v>
      </c>
      <c r="AU33" s="30">
        <v>3.5</v>
      </c>
      <c r="AV33" s="104" t="str">
        <f>IF(AND(OR(Data!$B$3="H",Data!$B$3="SH"),Data!$B$4=6,Data!$B$6=3.5),IF(AND(OR(Data!$B$7="be",Data!$B$7="ce"),Data!$D$15=4),AV67,""),"")</f>
        <v/>
      </c>
      <c r="AW33" s="104" t="str">
        <f>IF(AND(OR(Data!$B$3="H",Data!$B$3="SH"),Data!$B$4=6,Data!$B$6=3.5),IF(AND(OR(Data!$B$7="RE",Data!$B$7="NC"),Data!$D$15=4),AW67,""),"")</f>
        <v/>
      </c>
      <c r="AX33" s="104" t="str">
        <f>IF(AND(OR(Data!$B$3="H",Data!$B$3="SH"),Data!$B$4=6,Data!$B$6=3.5),IF(AND(OR(Data!$B$7="be",Data!$B$7="ce"),Data!$D$15=3),AX67,""),"")</f>
        <v/>
      </c>
      <c r="AY33" s="104" t="str">
        <f>IF(AND(OR(Data!$B$3="H",Data!$B$3="SH"),Data!$B$4=6,Data!$B$6=3.5),IF(AND(OR(Data!$B$7="RE",Data!$B$7="NC"),Data!$D$15=3),AY67,""),"")</f>
        <v/>
      </c>
      <c r="AZ33" s="104" t="str">
        <f>IF(AND(OR(Data!$B$3="H",Data!$B$3="SH"),Data!$B$4=6,Data!$B$6=3.5),IF(AND(OR(Data!$B$7="be",Data!$B$7="ce"),OR(Data!$D$15=1,Data!$D$15=2,Data!$D$15=6)),AZ67,""),"")</f>
        <v/>
      </c>
      <c r="BA33" s="104" t="str">
        <f>IF(AND(OR(Data!$B$3="H",Data!$B$3="SH"),Data!$B$4=6,Data!$B$6=3.5),IF(AND(OR(Data!$B$7="re",Data!$B$7="nc"),OR(Data!$D$15=1,Data!$D$15=2,Data!$D$15=6)),BA67,""),"")</f>
        <v/>
      </c>
      <c r="BB33" s="104">
        <f t="shared" si="2"/>
        <v>0</v>
      </c>
    </row>
    <row r="34" spans="1:54">
      <c r="A34" s="615"/>
      <c r="B34" s="102">
        <v>110</v>
      </c>
      <c r="C34" s="30" t="s">
        <v>22162</v>
      </c>
      <c r="E34" s="30">
        <f t="shared" si="3"/>
        <v>6528</v>
      </c>
      <c r="F34" s="30">
        <v>7031</v>
      </c>
      <c r="G34" s="30">
        <f t="shared" si="4"/>
        <v>7535</v>
      </c>
      <c r="H34" s="30">
        <f t="shared" si="5"/>
        <v>9524</v>
      </c>
      <c r="I34" s="103"/>
      <c r="J34" s="30">
        <v>2.96</v>
      </c>
      <c r="K34" s="30">
        <v>394</v>
      </c>
      <c r="M34" s="43">
        <v>200</v>
      </c>
      <c r="N34" s="104">
        <v>110</v>
      </c>
      <c r="O34" s="30" t="s">
        <v>22162</v>
      </c>
      <c r="Q34" s="30" t="str">
        <f>IF(OR(Data!B$3="IH",Data!B$3="IHM"),IF(M34=Data!B$4,IF(N34=Data!B$6,SUM(R34:V34),""),""),"")</f>
        <v/>
      </c>
      <c r="R34" s="30" t="str">
        <f>IF(OR("MX0"=Data!B$5,"MX1"=Data!B$5,"MX2"=Data!B$5,"MX3"=Data!B$5),E34,"")</f>
        <v/>
      </c>
      <c r="S34" s="30">
        <f>IF(OR("MF1"=Data!B$5,"MF2"=Data!B$5,"MS4"=Data!B$5),F34,"")</f>
        <v>7031</v>
      </c>
      <c r="T34" s="30" t="str">
        <f>IF(OR("MP1"=Data!B$5,"MP3"=Data!B$5,"MT1"=Data!B$5,"MT2"=Data!B$5,"MF5"=Data!B$5,"MF6"=Data!B$5,,"MS2"=Data!B$5,"ME5"=Data!B$5,"ME6"=Data!B$5),G34,"")</f>
        <v/>
      </c>
      <c r="U34" s="30" t="str">
        <f>IF(OR("MS3"=Data!B$5,"ME3"=Data!B$5,"ME4"=Data!B$5,"MP2"=Data!B$5,"MT4"=Data!B$5,"MPU3"=Data!B$5,"MS7"=Data!B$5),H34,"")</f>
        <v/>
      </c>
      <c r="W34" s="30" t="str">
        <f>IF(OR(Q34="",Q34=0),"",IF(Data!B$7="ABE",K34*4,IF(OR(Data!B$7="ACE",Data!B$7="ARE"),K34*2,IF(Data!B$7="BE",K34*2,IF(OR(Data!B$7="CE",Data!B$7="RE"),K34,0))))+J34*(ROUNDUP(Data!B$8,0.1)))</f>
        <v/>
      </c>
      <c r="Y34" s="30">
        <v>110</v>
      </c>
      <c r="Z34" s="30">
        <f t="shared" si="8"/>
        <v>1632</v>
      </c>
      <c r="AA34" s="30">
        <f t="shared" si="1"/>
        <v>2026</v>
      </c>
      <c r="AB34" s="43">
        <f t="shared" si="7"/>
        <v>3</v>
      </c>
      <c r="AF34" s="30" t="str">
        <f>IF(W34&lt;&gt;"",IF(Data!B$7="NC",Z34+(AB34*(Data!B$8+Data!B$11+Data!B$27)),IF(Data!B$7&lt;&gt;"NC",AA34+(AB34*(Data!B$8+Data!B$11+Data!B$27)))),"")</f>
        <v/>
      </c>
      <c r="AL34" s="104">
        <v>6</v>
      </c>
      <c r="AS34" s="104"/>
      <c r="AU34" s="30">
        <v>4</v>
      </c>
      <c r="AV34" s="104" t="str">
        <f>IF(AND(OR(Data!$B$3="H",Data!$B$3="SH"),Data!$B$4=6,Data!$B$6=4),IF(AND(OR(Data!$B$7="be",Data!$B$7="ce"),Data!$D$15=4),AV68,""),"")</f>
        <v/>
      </c>
      <c r="AW34" s="104" t="str">
        <f>IF(AND(OR(Data!$B$3="H",Data!$B$3="SH"),Data!$B$4=6,Data!$B$6=4),IF(AND(OR(Data!$B$7="RE",Data!$B$7="NC"),Data!$D$15=4),AW68,""),"")</f>
        <v/>
      </c>
      <c r="AX34" s="104" t="str">
        <f>IF(AND(OR(Data!$B$3="H",Data!$B$3="SH"),Data!$B$4=6,Data!$B$6=4),IF(AND(OR(Data!$B$7="be",Data!$B$7="ce"),Data!$D$15=3),AX68,""),"")</f>
        <v/>
      </c>
      <c r="AY34" s="104" t="str">
        <f>IF(AND(OR(Data!$B$3="H",Data!$B$3="SH"),Data!$B$4=6,Data!$B$6=4),IF(AND(OR(Data!$B$7="RE",Data!$B$7="NC"),Data!$D$15=3),AY68,""),"")</f>
        <v/>
      </c>
      <c r="AZ34" s="104" t="str">
        <f>IF(AND(OR(Data!$B$3="H",Data!$B$3="SH"),Data!$B$4=6,Data!$B$6=4),IF(AND(OR(Data!$B$7="be",Data!$B$7="ce"),OR(Data!$D$15=1,Data!$D$15=2,Data!$D$15=6)),AZ68,""),"")</f>
        <v/>
      </c>
      <c r="BA34" s="104" t="str">
        <f>IF(AND(OR(Data!$B$3="H",Data!$B$3="SH"),Data!$B$4=6,Data!$B$6=4),IF(AND(OR(Data!$B$7="re",Data!$B$7="nc"),OR(Data!$D$15=1,Data!$D$15=2,Data!$D$15=6)),BA68,""),"")</f>
        <v/>
      </c>
      <c r="BB34" s="104">
        <f t="shared" si="2"/>
        <v>0</v>
      </c>
    </row>
    <row r="35" spans="1:54">
      <c r="A35" s="616"/>
      <c r="B35" s="102">
        <v>140</v>
      </c>
      <c r="C35" s="30" t="s">
        <v>22161</v>
      </c>
      <c r="E35" s="30">
        <f t="shared" si="3"/>
        <v>7051</v>
      </c>
      <c r="F35" s="30">
        <v>7594</v>
      </c>
      <c r="G35" s="30">
        <f t="shared" si="4"/>
        <v>8138</v>
      </c>
      <c r="H35" s="30">
        <f t="shared" si="5"/>
        <v>10286</v>
      </c>
      <c r="I35" s="103"/>
      <c r="J35" s="30">
        <v>3.2</v>
      </c>
      <c r="K35" s="30">
        <v>394</v>
      </c>
      <c r="M35" s="43">
        <v>200</v>
      </c>
      <c r="N35" s="104">
        <v>140</v>
      </c>
      <c r="O35" s="30" t="s">
        <v>22161</v>
      </c>
      <c r="Q35" s="30" t="str">
        <f>IF(OR(Data!B$3="IH",Data!B$3="IHM"),IF(M35=Data!B$4,IF(N35=Data!B$6,SUM(R35:V35),""),""),"")</f>
        <v/>
      </c>
      <c r="R35" s="30" t="str">
        <f>IF(OR("MX0"=Data!B$5,"MX1"=Data!B$5,"MX2"=Data!B$5,"MX3"=Data!B$5),E35,"")</f>
        <v/>
      </c>
      <c r="S35" s="30">
        <f>IF(OR("MF1"=Data!B$5,"MF2"=Data!B$5,"MS4"=Data!B$5),F35,"")</f>
        <v>7594</v>
      </c>
      <c r="T35" s="30" t="str">
        <f>IF(OR("MP1"=Data!B$5,"MP3"=Data!B$5,"MT1"=Data!B$5,"MT2"=Data!B$5,"MF5"=Data!B$5,"MF6"=Data!B$5,,"MS2"=Data!B$5,"ME5"=Data!B$5,"ME6"=Data!B$5),G35,"")</f>
        <v/>
      </c>
      <c r="U35" s="30" t="str">
        <f>IF(OR("MS3"=Data!B$5,"ME3"=Data!B$5,"ME4"=Data!B$5,"MP2"=Data!B$5,"MT4"=Data!B$5,"MPU3"=Data!B$5,"MS7"=Data!B$5),H35,"")</f>
        <v/>
      </c>
      <c r="W35" s="30" t="str">
        <f>IF(OR(Q35="",Q35=0),"",IF(Data!B$7="ABE",K35*4,IF(OR(Data!B$7="ACE",Data!B$7="ARE"),K35*2,IF(Data!B$7="BE",K35*2,IF(OR(Data!B$7="CE",Data!B$7="RE"),K35,0))))+J35*(ROUNDUP(Data!B$8,0.1)))</f>
        <v/>
      </c>
      <c r="Y35" s="30">
        <v>140</v>
      </c>
      <c r="Z35" s="30">
        <f t="shared" si="8"/>
        <v>1763</v>
      </c>
      <c r="AA35" s="30">
        <f t="shared" si="1"/>
        <v>2157</v>
      </c>
      <c r="AB35" s="43">
        <f t="shared" si="7"/>
        <v>4</v>
      </c>
      <c r="AF35" s="30" t="str">
        <f>IF(W35&lt;&gt;"",IF(Data!B$7="NC",Z35+(AB35*(Data!B$8+Data!B$11+Data!B$27)),IF(Data!B$7&lt;&gt;"NC",AA35+(AB35*(Data!B$8+Data!B$11+Data!B$27)))),"")</f>
        <v/>
      </c>
      <c r="AL35" s="104">
        <v>1.375</v>
      </c>
      <c r="AM35" s="104" t="str">
        <f>IF(AND(OR(Data!$B$3="A",Data!$B$3="LH",Data!$B$3="SA"),Data!$B$4=6,Data!$B$6=1.375),IF(AND(OR(Data!$B$7="be",Data!$B$7="ce"),Data!$D$15=4),AM80,""),"")</f>
        <v/>
      </c>
      <c r="AN35" s="104" t="str">
        <f>IF(AND(OR(Data!$B$3="A",Data!$B$3="LH",Data!$B$3="SA"),Data!$B$4=6,Data!$B$6=1.375),IF(AND(OR(Data!$B$7="RE",Data!$B$7="NC"),Data!$D$15=4),AN80,""),"")</f>
        <v/>
      </c>
      <c r="AO35" s="104" t="str">
        <f>IF(AND(OR(Data!$B$3="A",Data!$B$3="LH",Data!$B$3="SA"),Data!$B$4=6,Data!$B$6=1.375),IF(AND(OR(Data!$B$7="be",Data!$B$7="ce"),Data!$D$15=3),AO80,""),"")</f>
        <v/>
      </c>
      <c r="AP35" s="104" t="str">
        <f>IF(AND(OR(Data!$B$3="A",Data!$B$3="LH",Data!$B$3="SA"),Data!$B$4=6,Data!$B$6=1.375),IF(AND(OR(Data!$B$7="RE",Data!$B$7="NC"),Data!$D$15=3),AP80,""),"")</f>
        <v/>
      </c>
      <c r="AQ35" s="104" t="str">
        <f>IF(AND(OR(Data!$B$3="A",Data!$B$3="LH",Data!$B$3="SA"),Data!$B$4=6,Data!$B$6=1.375),IF(AND(OR(Data!$B$7="be",Data!$B$7="ce"),OR(Data!$D$15=1,Data!$D$15=2,Data!$D$15=6)),AQ80,""),"")</f>
        <v/>
      </c>
      <c r="AR35" s="104" t="str">
        <f>IF(AND(OR(Data!$B$3="A",Data!$B$3="LH",Data!$B$3="SA"),Data!$B$4=6,Data!$B$6=1.375),IF(AND(OR(Data!$B$7="re",Data!$B$7="nc"),OR(Data!$D$15=1,Data!$D$15=2,Data!$D$15=6)),AR80,""),"")</f>
        <v/>
      </c>
      <c r="AS35" s="104">
        <f t="shared" si="6"/>
        <v>0</v>
      </c>
      <c r="AT35" s="104"/>
      <c r="AU35" s="104">
        <v>8</v>
      </c>
      <c r="AZ35" s="104"/>
      <c r="BA35" s="104"/>
      <c r="BB35" s="104"/>
    </row>
    <row r="36" spans="1:54">
      <c r="A36" s="378"/>
      <c r="B36" s="102"/>
      <c r="I36" s="103"/>
      <c r="M36" s="43"/>
      <c r="N36" s="104"/>
      <c r="Q36" s="30">
        <f>SUM(Q7:Q35)</f>
        <v>0</v>
      </c>
      <c r="W36" s="30">
        <f>SUM(W7:W35)</f>
        <v>0</v>
      </c>
      <c r="AL36" s="104">
        <v>1.75</v>
      </c>
      <c r="AM36" s="104" t="str">
        <f>IF(AND(OR(Data!$B$3="A",Data!$B$3="LH",Data!$B$3="SA"),Data!$B$4=6,Data!$B$6=1.75),IF(AND(OR(Data!$B$7="be",Data!$B$7="ce"),Data!$D$15=4),AM81,""),"")</f>
        <v/>
      </c>
      <c r="AN36" s="104" t="str">
        <f>IF(AND(OR(Data!$B$3="A",Data!$B$3="LH",Data!$B$3="SA"),Data!$B$4=6,Data!$B$6=1.75),IF(AND(OR(Data!$B$7="RE",Data!$B$7="NC"),Data!$D$15=4),AN81,""),"")</f>
        <v/>
      </c>
      <c r="AO36" s="104" t="str">
        <f>IF(AND(OR(Data!$B$3="A",Data!$B$3="LH",Data!$B$3="SA"),Data!$B$4=6,Data!$B$6=1.75),IF(AND(OR(Data!$B$7="be",Data!$B$7="ce"),Data!$D$15=3),AO81,""),"")</f>
        <v/>
      </c>
      <c r="AP36" s="104" t="str">
        <f>IF(AND(OR(Data!$B$3="A",Data!$B$3="LH",Data!$B$3="SA"),Data!$B$4=6,Data!$B$6=1.75),IF(AND(OR(Data!$B$7="RE",Data!$B$7="NC"),Data!$D$15=3),AP81,""),"")</f>
        <v/>
      </c>
      <c r="AQ36" s="104" t="str">
        <f>IF(AND(OR(Data!$B$3="A",Data!$B$3="LH",Data!$B$3="SA"),Data!$B$4=6,Data!$B$6=1.75),IF(AND(OR(Data!$B$7="be",Data!$B$7="ce"),OR(Data!$D$15=1,Data!$D$15=2,Data!$D$15=6)),AQ81,""),"")</f>
        <v/>
      </c>
      <c r="AR36" s="104" t="str">
        <f>IF(AND(OR(Data!$B$3="A",Data!$B$3="LH",Data!$B$3="SA"),Data!$B$4=6,Data!$B$6=1.75),IF(AND(OR(Data!$B$7="re",Data!$B$7="nc"),OR(Data!$D$15=1,Data!$D$15=2,Data!$D$15=6)),AR81,""),"")</f>
        <v/>
      </c>
      <c r="AS36" s="104">
        <f t="shared" si="6"/>
        <v>0</v>
      </c>
      <c r="AT36" s="104"/>
      <c r="AU36" s="104">
        <v>3.5</v>
      </c>
      <c r="AV36" s="104" t="str">
        <f>IF(AND(OR(Data!$B$3="H",Data!$B$3="SH"),Data!$B$4=8,Data!$B$6=3.5),IF(AND(OR(Data!$B$7="be",Data!$B$7="ce"),Data!$D$15=4),AV70,""),"")</f>
        <v/>
      </c>
      <c r="AW36" s="104" t="str">
        <f>IF(AND(OR(Data!$B$3="H",Data!$B$3="SH"),Data!$B$4=8,Data!$B$6=3.5),IF(AND(OR(Data!$B$7="RE",Data!$B$7="NC"),Data!$D$15=4),AW70,""),"")</f>
        <v/>
      </c>
      <c r="AX36" s="104" t="str">
        <f>IF(AND(OR(Data!$B$3="H",Data!$B$3="SH"),Data!$B$4=8,Data!$B$6=3.5),IF(AND(OR(Data!$B$7="be",Data!$B$7="ce"),Data!$D$15=3),AX70,""),"")</f>
        <v/>
      </c>
      <c r="AY36" s="104" t="str">
        <f>IF(AND(OR(Data!$B$3="H",Data!$B$3="SH"),Data!$B$4=8,Data!$B$6=3.5),IF(AND(OR(Data!$B$7="RE",Data!$B$7="NC"),Data!$D$15=3),AY70,""),"")</f>
        <v/>
      </c>
      <c r="AZ36" s="104" t="str">
        <f>IF(AND(OR(Data!$B$3="H",Data!$B$3="SH"),Data!$B$4=8,Data!$B$6=3.5),IF(AND(OR(Data!$B$7="be",Data!$B$7="ce"),OR(Data!$D$15=1,Data!$D$15=2,Data!$D$15=6)),AZ70,""),"")</f>
        <v/>
      </c>
      <c r="BA36" s="104" t="str">
        <f>IF(AND(OR(Data!$B$3="H",Data!$B$3="SH"),Data!$B$4=8,Data!$B$6=3.5),IF(AND(OR(Data!$B$7="re",Data!$B$7="nc"),OR(Data!$D$15=1,Data!$D$15=2,Data!$D$15=6)),BA70,""),"")</f>
        <v/>
      </c>
      <c r="BB36" s="104">
        <f t="shared" si="2"/>
        <v>0</v>
      </c>
    </row>
    <row r="37" spans="1:54">
      <c r="A37" s="378"/>
      <c r="B37" s="102"/>
      <c r="C37" s="105"/>
      <c r="D37" s="105"/>
      <c r="I37" s="103"/>
      <c r="M37" s="43"/>
      <c r="N37" s="104"/>
      <c r="O37" s="105"/>
      <c r="P37" s="105"/>
      <c r="AL37" s="104">
        <v>2</v>
      </c>
      <c r="AM37" s="104" t="str">
        <f>IF(AND(OR(Data!$B$3="A",Data!$B$3="LH",Data!$B$3="SA"),Data!$B$4=6,Data!$B$6=2),IF(AND(OR(Data!$B$7="be",Data!$B$7="ce"),Data!$D$15=4),AM82,""),"")</f>
        <v/>
      </c>
      <c r="AN37" s="104" t="str">
        <f>IF(AND(OR(Data!$B$3="A",Data!$B$3="LH",Data!$B$3="SA"),Data!$B$4=6,Data!$B$6=2),IF(AND(OR(Data!$B$7="RE",Data!$B$7="NC"),Data!$D$15=4),AN82,""),"")</f>
        <v/>
      </c>
      <c r="AO37" s="104" t="str">
        <f>IF(AND(OR(Data!$B$3="A",Data!$B$3="LH",Data!$B$3="SA"),Data!$B$4=6,Data!$B$6=2),IF(AND(OR(Data!$B$7="be",Data!$B$7="ce"),Data!$D$15=3),AO82,""),"")</f>
        <v/>
      </c>
      <c r="AP37" s="104" t="str">
        <f>IF(AND(OR(Data!$B$3="A",Data!$B$3="LH",Data!$B$3="SA"),Data!$B$4=6,Data!$B$6=2),IF(AND(OR(Data!$B$7="RE",Data!$B$7="NC"),Data!$D$15=3),AP82,""),"")</f>
        <v/>
      </c>
      <c r="AQ37" s="104" t="str">
        <f>IF(AND(OR(Data!$B$3="A",Data!$B$3="LH",Data!$B$3="SA"),Data!$B$4=6,Data!$B$6=2),IF(AND(OR(Data!$B$7="be",Data!$B$7="ce"),OR(Data!$D$15=1,Data!$D$15=2,Data!$D$15=6)),AQ82,""),"")</f>
        <v/>
      </c>
      <c r="AR37" s="104" t="str">
        <f>IF(AND(OR(Data!$B$3="A",Data!$B$3="LH",Data!$B$3="SA"),Data!$B$4=6,Data!$B$6=2),IF(AND(OR(Data!$B$7="re",Data!$B$7="nc"),OR(Data!$D$15=1,Data!$D$15=2,Data!$D$15=6)),AR82,""),"")</f>
        <v/>
      </c>
      <c r="AS37" s="104">
        <f t="shared" si="6"/>
        <v>0</v>
      </c>
      <c r="AT37" s="104"/>
      <c r="AU37" s="30">
        <v>4</v>
      </c>
      <c r="AV37" s="104" t="str">
        <f>IF(AND(OR(Data!$B$3="H",Data!$B$3="SH"),Data!$B$4=8,Data!$B$6=4),IF(AND(OR(Data!$B$7="be",Data!$B$7="ce"),Data!$D$15=4),AV71,""),"")</f>
        <v/>
      </c>
      <c r="AW37" s="104" t="str">
        <f>IF(AND(OR(Data!$B$3="H",Data!$B$3="SH"),Data!$B$4=8,Data!$B$6=4),IF(AND(OR(Data!$B$7="RE",Data!$B$7="NC"),Data!$D$15=4),AW71,""),"")</f>
        <v/>
      </c>
      <c r="AX37" s="104" t="str">
        <f>IF(AND(OR(Data!$B$3="H",Data!$B$3="SH"),Data!$B$4=8,Data!$B$6=4),IF(AND(OR(Data!$B$7="be",Data!$B$7="ce"),Data!$D$15=3),AX71,""),"")</f>
        <v/>
      </c>
      <c r="AY37" s="104" t="str">
        <f>IF(AND(OR(Data!$B$3="H",Data!$B$3="SH"),Data!$B$4=8,Data!$B$6=4),IF(AND(OR(Data!$B$7="RE",Data!$B$7="NC"),Data!$D$15=3),AY71,""),"")</f>
        <v/>
      </c>
      <c r="AZ37" s="104" t="str">
        <f>IF(AND(OR(Data!$B$3="H",Data!$B$3="SH"),Data!$B$4=8,Data!$B$6=4),IF(AND(OR(Data!$B$7="be",Data!$B$7="ce"),OR(Data!$D$15=1,Data!$D$15=2,Data!$D$15=6)),AZ71,""),"")</f>
        <v/>
      </c>
      <c r="BA37" s="104" t="str">
        <f>IF(AND(OR(Data!$B$3="H",Data!$B$3="SH"),Data!$B$4=8,Data!$B$6=4),IF(AND(OR(Data!$B$7="re",Data!$B$7="nc"),OR(Data!$D$15=1,Data!$D$15=2,Data!$D$15=6)),BA71,""),"")</f>
        <v/>
      </c>
      <c r="BB37" s="104">
        <f t="shared" si="2"/>
        <v>0</v>
      </c>
    </row>
    <row r="38" spans="1:54">
      <c r="A38" s="146"/>
      <c r="I38" s="109"/>
      <c r="M38" s="44"/>
      <c r="AL38" s="104">
        <v>2.5</v>
      </c>
      <c r="AM38" s="104" t="str">
        <f>IF(AND(OR(Data!$B$3="A",Data!$B$3="LH",Data!$B$3="SA"),Data!$B$4=6,Data!$B$6=2.5),IF(AND(OR(Data!$B$7="be",Data!$B$7="ce"),Data!$D$15=4),AM83,""),"")</f>
        <v/>
      </c>
      <c r="AN38" s="104" t="str">
        <f>IF(AND(OR(Data!$B$3="A",Data!$B$3="LH",Data!$B$3="SA"),Data!$B$4=6,Data!$B$6=2.5),IF(AND(OR(Data!$B$7="RE",Data!$B$7="NC"),Data!$D$15=4),AN83,""),"")</f>
        <v/>
      </c>
      <c r="AO38" s="104" t="str">
        <f>IF(AND(OR(Data!$B$3="A",Data!$B$3="LH",Data!$B$3="SA"),Data!$B$4=6,Data!$B$6=2.5),IF(AND(OR(Data!$B$7="be",Data!$B$7="ce"),Data!$D$15=3),AO83,""),"")</f>
        <v/>
      </c>
      <c r="AP38" s="104" t="str">
        <f>IF(AND(OR(Data!$B$3="A",Data!$B$3="LH",Data!$B$3="SA"),Data!$B$4=6,Data!$B$6=2.5),IF(AND(OR(Data!$B$7="RE",Data!$B$7="NC"),Data!$D$15=3),AP83,""),"")</f>
        <v/>
      </c>
      <c r="AQ38" s="104" t="str">
        <f>IF(AND(OR(Data!$B$3="A",Data!$B$3="LH",Data!$B$3="SA"),Data!$B$4=6,Data!$B$6=2.5),IF(AND(OR(Data!$B$7="be",Data!$B$7="ce"),OR(Data!$D$15=1,Data!$D$15=2,Data!$D$15=6)),AQ83,""),"")</f>
        <v/>
      </c>
      <c r="AR38" s="104" t="str">
        <f>IF(AND(OR(Data!$B$3="A",Data!$B$3="LH",Data!$B$3="SA"),Data!$B$4=6,Data!$B$6=2.5),IF(AND(OR(Data!$B$7="re",Data!$B$7="nc"),OR(Data!$D$15=1,Data!$D$15=2,Data!$D$15=6)),AR83,""),"")</f>
        <v/>
      </c>
      <c r="AS38" s="104">
        <f t="shared" si="6"/>
        <v>0</v>
      </c>
      <c r="AT38" s="104"/>
      <c r="AU38" s="30">
        <v>4.5</v>
      </c>
      <c r="AV38" s="104" t="str">
        <f>IF(AND(OR(Data!$B$3="H",Data!$B$3="SH"),Data!$B$4=8,Data!$B$6=4.5),IF(AND(OR(Data!$B$7="be",Data!$B$7="ce"),Data!$D$15=4),AV72,""),"")</f>
        <v/>
      </c>
      <c r="AW38" s="104" t="str">
        <f>IF(AND(OR(Data!$B$3="H",Data!$B$3="SH"),Data!$B$4=8,Data!$B$6=4.5),IF(AND(OR(Data!$B$7="RE",Data!$B$7="NC"),Data!$D$15=4),AW72,""),"")</f>
        <v/>
      </c>
      <c r="AX38" s="104" t="str">
        <f>IF(AND(OR(Data!$B$3="H",Data!$B$3="SH"),Data!$B$4=8,Data!$B$6=4.5),IF(AND(OR(Data!$B$7="be",Data!$B$7="ce"),Data!$D$15=3),AX72,""),"")</f>
        <v/>
      </c>
      <c r="AY38" s="104" t="str">
        <f>IF(AND(OR(Data!$B$3="H",Data!$B$3="SH"),Data!$B$4=8,Data!$B$6=4.5),IF(AND(OR(Data!$B$7="RE",Data!$B$7="NC"),Data!$D$15=3),AY72,""),"")</f>
        <v/>
      </c>
      <c r="AZ38" s="104" t="str">
        <f>IF(AND(OR(Data!$B$3="H",Data!$B$3="SH"),Data!$B$4=8,Data!$B$6=4.5),IF(AND(OR(Data!$B$7="be",Data!$B$7="ce"),OR(Data!$D$15=1,Data!$D$15=2,Data!$D$15=6)),AZ72,""),"")</f>
        <v/>
      </c>
      <c r="BA38" s="104" t="str">
        <f>IF(AND(OR(Data!$B$3="H",Data!$B$3="SH"),Data!$B$4=8,Data!$B$6=4.5),IF(AND(OR(Data!$B$7="re",Data!$B$7="nc"),OR(Data!$D$15=1,Data!$D$15=2,Data!$D$15=6)),BA72,""),"")</f>
        <v/>
      </c>
      <c r="BB38" s="104">
        <f t="shared" si="2"/>
        <v>0</v>
      </c>
    </row>
    <row r="39" spans="1:54">
      <c r="A39" s="146"/>
      <c r="I39" s="109"/>
      <c r="M39" s="44"/>
      <c r="AL39" s="104">
        <v>7</v>
      </c>
      <c r="AS39" s="104"/>
      <c r="AU39" s="104"/>
      <c r="BB39" s="104">
        <f>SUM(BB8:BB38)</f>
        <v>8.73</v>
      </c>
    </row>
    <row r="40" spans="1:54">
      <c r="A40" s="146"/>
      <c r="C40" s="105"/>
      <c r="D40" s="105"/>
      <c r="I40" s="109"/>
      <c r="M40" s="44"/>
      <c r="O40" s="105"/>
      <c r="P40" s="105"/>
      <c r="AL40" s="104">
        <v>1.375</v>
      </c>
      <c r="AM40" s="104" t="str">
        <f>IF(AND(OR(Data!$B$3="A",Data!$B$3="LH",Data!$B$3="SA"),Data!$B$4=7,Data!$B$6=1.375),IF(AND(OR(Data!$B$7="be",Data!$B$7="ce"),Data!$D$15=4),AM85,""),"")</f>
        <v/>
      </c>
      <c r="AN40" s="104" t="str">
        <f>IF(AND(OR(Data!$B$3="A",Data!$B$3="LH",Data!$B$3="SA"),Data!$B$4=7,Data!$B$6=1.375),IF(AND(OR(Data!$B$7="RE",Data!$B$7="NC"),Data!$D$15=4),AN85,""),"")</f>
        <v/>
      </c>
      <c r="AO40" s="104" t="str">
        <f>IF(AND(OR(Data!$B$3="A",Data!$B$3="LH",Data!$B$3="SA"),Data!$B$4=7,Data!$B$6=1.375),IF(AND(OR(Data!$B$7="be",Data!$B$7="ce"),Data!$D$15=3),AO85,""),"")</f>
        <v/>
      </c>
      <c r="AP40" s="104" t="str">
        <f>IF(AND(OR(Data!$B$3="A",Data!$B$3="LH",Data!$B$3="SA"),Data!$B$4=7,Data!$B$6=1.375),IF(AND(OR(Data!$B$7="RE",Data!$B$7="NC"),Data!$D$15=3),AP85,""),"")</f>
        <v/>
      </c>
      <c r="AQ40" s="104" t="str">
        <f>IF(AND(OR(Data!$B$3="A",Data!$B$3="LH",Data!$B$3="SA"),Data!$B$4=7,Data!$B$6=1.375),IF(AND(OR(Data!$B$7="be",Data!$B$7="ce"),OR(Data!$D$15=1,Data!$D$15=2,Data!$D$15=6)),AQ85,""),"")</f>
        <v/>
      </c>
      <c r="AR40" s="104" t="str">
        <f>IF(AND(OR(Data!$B$3="A",Data!$B$3="LH",Data!$B$3="SA"),Data!$B$4=7,Data!$B$6=1.375),IF(AND(OR(Data!$B$7="re",Data!$B$7="nc"),OR(Data!$D$15=1,Data!$D$15=2,Data!$D$15=6)),AR85,""),"")</f>
        <v/>
      </c>
      <c r="AS40" s="104">
        <f t="shared" si="6"/>
        <v>0</v>
      </c>
      <c r="AU40" s="104"/>
    </row>
    <row r="41" spans="1:54">
      <c r="A41" s="146"/>
      <c r="I41" s="109"/>
      <c r="M41" s="44"/>
      <c r="AL41" s="104">
        <v>1.75</v>
      </c>
      <c r="AM41" s="104" t="str">
        <f>IF(AND(OR(Data!$B$3="A",Data!$B$3="LH",Data!$B$3="SA"),Data!$B$4=7,Data!$B$6=1.75),IF(AND(OR(Data!$B$7="be",Data!$B$7="ce"),Data!$D$15=4),AM86,""),"")</f>
        <v/>
      </c>
      <c r="AN41" s="104" t="str">
        <f>IF(AND(OR(Data!$B$3="A",Data!$B$3="LH",Data!$B$3="SA"),Data!$B$4=7,Data!$B$6=1.75),IF(AND(OR(Data!$B$7="RE",Data!$B$7="NC"),Data!$D$15=4),AN86,""),"")</f>
        <v/>
      </c>
      <c r="AO41" s="104" t="str">
        <f>IF(AND(OR(Data!$B$3="A",Data!$B$3="LH",Data!$B$3="SA"),Data!$B$4=7,Data!$B$6=1.75),IF(AND(OR(Data!$B$7="be",Data!$B$7="ce"),Data!$D$15=3),AO86,""),"")</f>
        <v/>
      </c>
      <c r="AP41" s="104" t="str">
        <f>IF(AND(OR(Data!$B$3="A",Data!$B$3="LH",Data!$B$3="SA"),Data!$B$4=7,Data!$B$6=1.75),IF(AND(OR(Data!$B$7="RE",Data!$B$7="NC"),Data!$D$15=3),AP86,""),"")</f>
        <v/>
      </c>
      <c r="AQ41" s="104" t="str">
        <f>IF(AND(OR(Data!$B$3="A",Data!$B$3="LH",Data!$B$3="SA"),Data!$B$4=7,Data!$B$6=1.75),IF(AND(OR(Data!$B$7="be",Data!$B$7="ce"),OR(Data!$D$15=1,Data!$D$15=2,Data!$D$15=6)),AQ86,""),"")</f>
        <v/>
      </c>
      <c r="AR41" s="104" t="str">
        <f>IF(AND(OR(Data!$B$3="A",Data!$B$3="LH",Data!$B$3="SA"),Data!$B$4=7,Data!$B$6=1.75),IF(AND(OR(Data!$B$7="re",Data!$B$7="nc"),OR(Data!$D$15=1,Data!$D$15=2,Data!$D$15=6)),AR86,""),"")</f>
        <v/>
      </c>
      <c r="AS41" s="104">
        <f t="shared" si="6"/>
        <v>0</v>
      </c>
      <c r="AT41" s="104"/>
      <c r="AU41" s="104">
        <v>1.5</v>
      </c>
      <c r="AV41" s="592" t="s">
        <v>717</v>
      </c>
      <c r="AW41" s="592"/>
      <c r="AX41" s="592" t="s">
        <v>145</v>
      </c>
      <c r="AY41" s="592"/>
      <c r="AZ41" s="592" t="s">
        <v>526</v>
      </c>
      <c r="BA41" s="592"/>
    </row>
    <row r="42" spans="1:54">
      <c r="A42" s="146"/>
      <c r="C42" s="105"/>
      <c r="D42" s="105"/>
      <c r="I42" s="109"/>
      <c r="M42" s="44"/>
      <c r="O42" s="105"/>
      <c r="P42" s="105"/>
      <c r="AL42" s="104">
        <v>2</v>
      </c>
      <c r="AM42" s="104" t="str">
        <f>IF(AND(OR(Data!$B$3="A",Data!$B$3="LH",Data!$B$3="SA"),Data!$B$4=7,Data!$B$6=2),IF(AND(OR(Data!$B$7="be",Data!$B$7="ce"),Data!$D$15=4),AM87,""),"")</f>
        <v/>
      </c>
      <c r="AN42" s="104" t="str">
        <f>IF(AND(OR(Data!$B$3="A",Data!$B$3="LH",Data!$B$3="SA"),Data!$B$4=7,Data!$B$6=2),IF(AND(OR(Data!$B$7="RE",Data!$B$7="NC"),Data!$D$15=4),AN87,""),"")</f>
        <v/>
      </c>
      <c r="AO42" s="104" t="str">
        <f>IF(AND(OR(Data!$B$3="A",Data!$B$3="LH",Data!$B$3="SA"),Data!$B$4=7,Data!$B$6=2),IF(AND(OR(Data!$B$7="be",Data!$B$7="ce"),Data!$D$15=3),AO87,""),"")</f>
        <v/>
      </c>
      <c r="AP42" s="104" t="str">
        <f>IF(AND(OR(Data!$B$3="A",Data!$B$3="LH",Data!$B$3="SA"),Data!$B$4=7,Data!$B$6=2),IF(AND(OR(Data!$B$7="RE",Data!$B$7="NC"),Data!$D$15=3),AP87,""),"")</f>
        <v/>
      </c>
      <c r="AQ42" s="104" t="str">
        <f>IF(AND(OR(Data!$B$3="A",Data!$B$3="LH",Data!$B$3="SA"),Data!$B$4=7,Data!$B$6=2),IF(AND(OR(Data!$B$7="be",Data!$B$7="ce"),OR(Data!$D$15=1,Data!$D$15=2,Data!$D$15=6)),AQ87,""),"")</f>
        <v/>
      </c>
      <c r="AR42" s="104" t="str">
        <f>IF(AND(OR(Data!$B$3="A",Data!$B$3="LH",Data!$B$3="SA"),Data!$B$4=7,Data!$B$6=2),IF(AND(OR(Data!$B$7="re",Data!$B$7="nc"),OR(Data!$D$15=1,Data!$D$15=2,Data!$D$15=6)),AR87,""),"")</f>
        <v/>
      </c>
      <c r="AS42" s="104">
        <f t="shared" si="6"/>
        <v>0</v>
      </c>
      <c r="AT42" s="104"/>
      <c r="AU42" s="104">
        <v>0.625</v>
      </c>
      <c r="AV42" s="30">
        <v>5.875</v>
      </c>
      <c r="AW42" s="30">
        <v>4.8550000000000004</v>
      </c>
      <c r="AX42" s="30">
        <v>5.125</v>
      </c>
      <c r="AY42" s="30">
        <v>4.1050000000000004</v>
      </c>
      <c r="AZ42" s="104">
        <v>5.875</v>
      </c>
      <c r="BA42" s="104">
        <v>4.8550000000000004</v>
      </c>
    </row>
    <row r="43" spans="1:54">
      <c r="A43" s="146"/>
      <c r="I43" s="109"/>
      <c r="M43" s="44"/>
      <c r="O43" s="107"/>
      <c r="AL43" s="104">
        <v>2.5</v>
      </c>
      <c r="AM43" s="104" t="str">
        <f>IF(AND(OR(Data!$B$3="A",Data!$B$3="LH",Data!$B$3="SA"),Data!$B$4=7,Data!$B$6=2.5),IF(AND(OR(Data!$B$7="be",Data!$B$7="ce"),Data!$D$15=4),AM88,""),"")</f>
        <v/>
      </c>
      <c r="AN43" s="104" t="str">
        <f>IF(AND(OR(Data!$B$3="A",Data!$B$3="LH",Data!$B$3="SA"),Data!$B$4=7,Data!$B$6=2.5),IF(AND(OR(Data!$B$7="RE",Data!$B$7="NC"),Data!$D$15=4),AN88,""),"")</f>
        <v/>
      </c>
      <c r="AO43" s="104" t="str">
        <f>IF(AND(OR(Data!$B$3="A",Data!$B$3="LH",Data!$B$3="SA"),Data!$B$4=7,Data!$B$6=2.5),IF(AND(OR(Data!$B$7="be",Data!$B$7="ce"),Data!$D$15=3),AO88,""),"")</f>
        <v/>
      </c>
      <c r="AP43" s="104" t="str">
        <f>IF(AND(OR(Data!$B$3="A",Data!$B$3="LH",Data!$B$3="SA"),Data!$B$4=7,Data!$B$6=2.5),IF(AND(OR(Data!$B$7="RE",Data!$B$7="NC"),Data!$D$15=3),AP88,""),"")</f>
        <v/>
      </c>
      <c r="AQ43" s="104" t="str">
        <f>IF(AND(OR(Data!$B$3="A",Data!$B$3="LH",Data!$B$3="SA"),Data!$B$4=7,Data!$B$6=2.5),IF(AND(OR(Data!$B$7="be",Data!$B$7="ce"),OR(Data!$D$15=1,Data!$D$15=2,Data!$D$15=6)),AQ88,""),"")</f>
        <v/>
      </c>
      <c r="AR43" s="104" t="str">
        <f>IF(AND(OR(Data!$B$3="A",Data!$B$3="LH",Data!$B$3="SA"),Data!$B$4=7,Data!$B$6=2.5),IF(AND(OR(Data!$B$7="re",Data!$B$7="nc"),OR(Data!$D$15=1,Data!$D$15=2,Data!$D$15=6)),AR88,""),"")</f>
        <v/>
      </c>
      <c r="AS43" s="104">
        <f t="shared" si="6"/>
        <v>0</v>
      </c>
      <c r="AT43" s="104"/>
      <c r="AU43" s="104">
        <v>1</v>
      </c>
      <c r="AV43" s="30">
        <v>6.625</v>
      </c>
      <c r="AW43" s="30">
        <v>5.625</v>
      </c>
      <c r="AX43" s="30">
        <v>5.5</v>
      </c>
      <c r="AY43" s="30">
        <v>4.5</v>
      </c>
      <c r="AZ43" s="104">
        <v>6.625</v>
      </c>
      <c r="BA43" s="104">
        <v>5.625</v>
      </c>
    </row>
    <row r="44" spans="1:54">
      <c r="A44" s="146"/>
      <c r="I44" s="109"/>
      <c r="M44" s="44"/>
      <c r="AL44" s="104">
        <v>8</v>
      </c>
      <c r="AS44" s="104"/>
      <c r="AT44" s="104"/>
      <c r="AU44" s="104">
        <v>2</v>
      </c>
      <c r="AZ44" s="104"/>
      <c r="BA44" s="104"/>
    </row>
    <row r="45" spans="1:54">
      <c r="A45" s="146"/>
      <c r="I45" s="109"/>
      <c r="M45" s="44"/>
      <c r="AL45" s="104">
        <v>1.375</v>
      </c>
      <c r="AM45" s="104" t="str">
        <f>IF(AND(OR(Data!$B$3="A",Data!$B$3="LH",Data!$B$3="SA"),Data!$B$4=8,Data!$B$6=1.375),IF(AND(OR(Data!$B$7="be",Data!$B$7="ce"),Data!$D$15=4),AM90,""),"")</f>
        <v/>
      </c>
      <c r="AN45" s="104" t="str">
        <f>IF(AND(OR(Data!$B$3="A",Data!$B$3="LH",Data!$B$3="SA"),Data!$B$4=8,Data!$B$6=1.375),IF(AND(OR(Data!$B$7="RE",Data!$B$7="NC"),Data!$D$15=4),AN90,""),"")</f>
        <v/>
      </c>
      <c r="AO45" s="104" t="str">
        <f>IF(AND(OR(Data!$B$3="A",Data!$B$3="LH",Data!$B$3="SA"),Data!$B$4=8,Data!$B$6=1.375),IF(AND(OR(Data!$B$7="be",Data!$B$7="ce"),Data!$D$15=3),AO90,""),"")</f>
        <v/>
      </c>
      <c r="AP45" s="104" t="str">
        <f>IF(AND(OR(Data!$B$3="A",Data!$B$3="LH",Data!$B$3="SA"),Data!$B$4=8,Data!$B$6=1.375),IF(AND(OR(Data!$B$7="RE",Data!$B$7="NC"),Data!$D$15=3),AP90,""),"")</f>
        <v/>
      </c>
      <c r="AQ45" s="104" t="str">
        <f>IF(AND(OR(Data!$B$3="A",Data!$B$3="LH",Data!$B$3="SA"),Data!$B$4=8,Data!$B$6=1.375),IF(AND(OR(Data!$B$7="be",Data!$B$7="ce"),OR(Data!$D$15=1,Data!$D$15=2,Data!$D$15=6)),AQ90,""),"")</f>
        <v/>
      </c>
      <c r="AR45" s="104" t="str">
        <f>IF(AND(OR(Data!$B$3="A",Data!$B$3="LH",Data!$B$3="SA"),Data!$B$4=8,Data!$B$6=1.375),IF(AND(OR(Data!$B$7="re",Data!$B$7="nc"),OR(Data!$D$15=1,Data!$D$15=2,Data!$D$15=6)),AR90,""),"")</f>
        <v/>
      </c>
      <c r="AS45" s="104">
        <f t="shared" si="6"/>
        <v>0</v>
      </c>
      <c r="AU45" s="104">
        <v>1</v>
      </c>
      <c r="AV45" s="30">
        <v>6.625</v>
      </c>
      <c r="AW45" s="30">
        <v>5.6050000000000004</v>
      </c>
      <c r="AX45" s="30">
        <v>5.5</v>
      </c>
      <c r="AY45" s="30">
        <v>4.4800000000000004</v>
      </c>
      <c r="AZ45" s="104">
        <v>6.625</v>
      </c>
      <c r="BA45" s="104">
        <v>5.6050000000000004</v>
      </c>
    </row>
    <row r="46" spans="1:54">
      <c r="A46" s="146"/>
      <c r="I46" s="109"/>
      <c r="M46" s="44"/>
      <c r="AL46" s="104">
        <v>1.75</v>
      </c>
      <c r="AM46" s="104" t="str">
        <f>IF(AND(OR(Data!$B$3="A",Data!$B$3="LH",Data!$B$3="SA"),Data!$B$4=8,Data!$B$6=1.75),IF(AND(OR(Data!$B$7="be",Data!$B$7="ce"),Data!$D$15=4),AM91,""),"")</f>
        <v/>
      </c>
      <c r="AN46" s="104" t="str">
        <f>IF(AND(OR(Data!$B$3="A",Data!$B$3="LH",Data!$B$3="SA"),Data!$B$4=8,Data!$B$6=1.75),IF(AND(OR(Data!$B$7="RE",Data!$B$7="NC"),Data!$D$15=4),AN91,""),"")</f>
        <v/>
      </c>
      <c r="AO46" s="104" t="str">
        <f>IF(AND(OR(Data!$B$3="A",Data!$B$3="LH",Data!$B$3="SA"),Data!$B$4=8,Data!$B$6=1.75),IF(AND(OR(Data!$B$7="be",Data!$B$7="ce"),Data!$D$15=3),AO91,""),"")</f>
        <v/>
      </c>
      <c r="AP46" s="104" t="str">
        <f>IF(AND(OR(Data!$B$3="A",Data!$B$3="LH",Data!$B$3="SA"),Data!$B$4=8,Data!$B$6=1.75),IF(AND(OR(Data!$B$7="RE",Data!$B$7="NC"),Data!$D$15=3),AP91,""),"")</f>
        <v/>
      </c>
      <c r="AQ46" s="104" t="str">
        <f>IF(AND(OR(Data!$B$3="A",Data!$B$3="LH",Data!$B$3="SA"),Data!$B$4=8,Data!$B$6=1.75),IF(AND(OR(Data!$B$7="be",Data!$B$7="ce"),OR(Data!$D$15=1,Data!$D$15=2,Data!$D$15=6)),AQ91,""),"")</f>
        <v/>
      </c>
      <c r="AR46" s="104" t="str">
        <f>IF(AND(OR(Data!$B$3="A",Data!$B$3="LH",Data!$B$3="SA"),Data!$B$4=8,Data!$B$6=1.75),IF(AND(OR(Data!$B$7="re",Data!$B$7="nc"),OR(Data!$D$15=1,Data!$D$15=2,Data!$D$15=6)),AR91,""),"")</f>
        <v/>
      </c>
      <c r="AS46" s="104">
        <f t="shared" si="6"/>
        <v>0</v>
      </c>
      <c r="AU46" s="104">
        <v>1.375</v>
      </c>
      <c r="AV46" s="30">
        <v>6.875</v>
      </c>
      <c r="AW46" s="30">
        <v>5.875</v>
      </c>
      <c r="AX46" s="30">
        <v>5.75</v>
      </c>
      <c r="AY46" s="30">
        <v>4.75</v>
      </c>
      <c r="AZ46" s="104">
        <v>7.375</v>
      </c>
      <c r="BA46" s="104">
        <v>6.375</v>
      </c>
    </row>
    <row r="47" spans="1:54">
      <c r="A47" s="146"/>
      <c r="H47" s="109"/>
      <c r="I47" s="109"/>
      <c r="M47" s="44"/>
      <c r="AL47" s="104">
        <v>2</v>
      </c>
      <c r="AM47" s="104" t="str">
        <f>IF(AND(OR(Data!$B$3="A",Data!$B$3="LH",Data!$B$3="SA"),Data!$B$4=8,Data!$B$6=2),IF(AND(OR(Data!$B$7="be",Data!$B$7="ce"),Data!$D$15=4),AM92,""),"")</f>
        <v/>
      </c>
      <c r="AN47" s="104" t="str">
        <f>IF(AND(OR(Data!$B$3="A",Data!$B$3="LH",Data!$B$3="SA"),Data!$B$4=8,Data!$B$6=2),IF(AND(OR(Data!$B$7="RE",Data!$B$7="NC"),Data!$D$15=4),AN92,""),"")</f>
        <v/>
      </c>
      <c r="AO47" s="104" t="str">
        <f>IF(AND(OR(Data!$B$3="A",Data!$B$3="LH",Data!$B$3="SA"),Data!$B$4=8,Data!$B$6=2),IF(AND(OR(Data!$B$7="be",Data!$B$7="ce"),Data!$D$15=3),AO92,""),"")</f>
        <v/>
      </c>
      <c r="AP47" s="104" t="str">
        <f>IF(AND(OR(Data!$B$3="A",Data!$B$3="LH",Data!$B$3="SA"),Data!$B$4=8,Data!$B$6=2),IF(AND(OR(Data!$B$7="RE",Data!$B$7="NC"),Data!$D$15=3),AP92,""),"")</f>
        <v/>
      </c>
      <c r="AQ47" s="104" t="str">
        <f>IF(AND(OR(Data!$B$3="A",Data!$B$3="LH",Data!$B$3="SA"),Data!$B$4=8,Data!$B$6=2),IF(AND(OR(Data!$B$7="be",Data!$B$7="ce"),OR(Data!$D$15=1,Data!$D$15=2,Data!$D$15=6)),AQ92,""),"")</f>
        <v/>
      </c>
      <c r="AR47" s="104" t="str">
        <f>IF(AND(OR(Data!$B$3="A",Data!$B$3="LH",Data!$B$3="SA"),Data!$B$4=8,Data!$B$6=2),IF(AND(OR(Data!$B$7="re",Data!$B$7="nc"),OR(Data!$D$15=1,Data!$D$15=2,Data!$D$15=6)),AR92,""),"")</f>
        <v/>
      </c>
      <c r="AS47" s="104">
        <f t="shared" si="6"/>
        <v>0</v>
      </c>
      <c r="AT47" s="104"/>
      <c r="AU47" s="104">
        <v>2.5</v>
      </c>
      <c r="AZ47" s="104"/>
      <c r="BA47" s="104"/>
    </row>
    <row r="48" spans="1:54">
      <c r="A48" s="146"/>
      <c r="H48" s="109"/>
      <c r="I48" s="109"/>
      <c r="M48" s="44"/>
      <c r="AL48" s="104">
        <v>2.5</v>
      </c>
      <c r="AM48" s="104" t="str">
        <f>IF(AND(OR(Data!$B$3="A",Data!$B$3="LH",Data!$B$3="SA"),Data!$B$4=8,Data!$B$6=2.5),IF(AND(OR(Data!$B$7="be",Data!$B$7="ce"),Data!$D$15=4),AM93,""),"")</f>
        <v/>
      </c>
      <c r="AN48" s="104" t="str">
        <f>IF(AND(OR(Data!$B$3="A",Data!$B$3="LH",Data!$B$3="SA"),Data!$B$4=8,Data!$B$6=2.5),IF(AND(OR(Data!$B$7="RE",Data!$B$7="NC"),Data!$D$15=4),AN93,""),"")</f>
        <v/>
      </c>
      <c r="AO48" s="104" t="str">
        <f>IF(AND(OR(Data!$B$3="A",Data!$B$3="LH",Data!$B$3="SA"),Data!$B$4=8,Data!$B$6=2.5),IF(AND(OR(Data!$B$7="be",Data!$B$7="ce"),Data!$D$15=3),AO93,""),"")</f>
        <v/>
      </c>
      <c r="AP48" s="104" t="str">
        <f>IF(AND(OR(Data!$B$3="A",Data!$B$3="LH",Data!$B$3="SA"),Data!$B$4=8,Data!$B$6=2.5),IF(AND(OR(Data!$B$7="RE",Data!$B$7="NC"),Data!$D$15=3),AP93,""),"")</f>
        <v/>
      </c>
      <c r="AQ48" s="104" t="str">
        <f>IF(AND(OR(Data!$B$3="A",Data!$B$3="LH",Data!$B$3="SA"),Data!$B$4=8,Data!$B$6=2.5),IF(AND(OR(Data!$B$7="be",Data!$B$7="ce"),OR(Data!$D$15=1,Data!$D$15=2,Data!$D$15=6)),AQ93,""),"")</f>
        <v/>
      </c>
      <c r="AR48" s="104" t="str">
        <f>IF(AND(OR(Data!$B$3="A",Data!$B$3="LH",Data!$B$3="SA"),Data!$B$4=8,Data!$B$6=2.5),IF(AND(OR(Data!$B$7="re",Data!$B$7="nc"),OR(Data!$D$15=1,Data!$D$15=2,Data!$D$15=6)),AR93,""),"")</f>
        <v/>
      </c>
      <c r="AS48" s="104">
        <f t="shared" si="6"/>
        <v>0</v>
      </c>
      <c r="AT48" s="104"/>
      <c r="AU48" s="104">
        <v>1</v>
      </c>
      <c r="AV48" s="30">
        <v>6.75</v>
      </c>
      <c r="AW48" s="30">
        <v>5.73</v>
      </c>
      <c r="AX48" s="30">
        <v>5.625</v>
      </c>
      <c r="AY48" s="30">
        <v>4.6050000000000004</v>
      </c>
      <c r="AZ48" s="104">
        <v>6.75</v>
      </c>
      <c r="BA48" s="104">
        <v>5.73</v>
      </c>
    </row>
    <row r="49" spans="1:53">
      <c r="A49" s="146"/>
      <c r="H49" s="109"/>
      <c r="I49" s="109"/>
      <c r="M49" s="44"/>
      <c r="AS49" s="104">
        <f>SUM(AS8:AS48)</f>
        <v>0</v>
      </c>
      <c r="AT49" s="104"/>
      <c r="AU49" s="104">
        <v>1.375</v>
      </c>
      <c r="AV49" s="30">
        <v>7</v>
      </c>
      <c r="AW49" s="30">
        <v>5.98</v>
      </c>
      <c r="AX49" s="30">
        <v>5.875</v>
      </c>
      <c r="AY49" s="30">
        <v>4.8550000000000004</v>
      </c>
      <c r="AZ49" s="104">
        <v>7.5</v>
      </c>
      <c r="BA49" s="104">
        <v>6.48</v>
      </c>
    </row>
    <row r="50" spans="1:53">
      <c r="A50" s="146"/>
      <c r="H50" s="109"/>
      <c r="I50" s="109"/>
      <c r="M50" s="44"/>
      <c r="AT50" s="104"/>
      <c r="AU50" s="104">
        <v>1.75</v>
      </c>
      <c r="AV50" s="30">
        <v>7.375</v>
      </c>
      <c r="AW50" s="30">
        <v>6.375</v>
      </c>
      <c r="AX50" s="30">
        <v>6.125</v>
      </c>
      <c r="AY50" s="30">
        <v>5.125</v>
      </c>
      <c r="AZ50" s="104">
        <v>8.125</v>
      </c>
      <c r="BA50" s="104">
        <v>7.125</v>
      </c>
    </row>
    <row r="51" spans="1:53">
      <c r="A51" s="146"/>
      <c r="H51" s="109"/>
      <c r="I51" s="109"/>
      <c r="M51" s="44"/>
      <c r="AU51" s="104">
        <v>3.25</v>
      </c>
      <c r="AZ51" s="104"/>
      <c r="BA51" s="104"/>
    </row>
    <row r="52" spans="1:53">
      <c r="AL52" s="104">
        <v>1.5</v>
      </c>
      <c r="AU52" s="104">
        <v>1.375</v>
      </c>
      <c r="AV52" s="30">
        <v>7.75</v>
      </c>
      <c r="AW52" s="30">
        <v>6.48</v>
      </c>
      <c r="AX52" s="30">
        <v>6.625</v>
      </c>
      <c r="AY52" s="30">
        <v>5.3550000000000004</v>
      </c>
      <c r="AZ52" s="104">
        <v>8.25</v>
      </c>
      <c r="BA52" s="104">
        <v>6.98</v>
      </c>
    </row>
    <row r="53" spans="1:53">
      <c r="AL53" s="104">
        <v>0.625</v>
      </c>
      <c r="AM53" s="104">
        <v>5.1050000000000004</v>
      </c>
      <c r="AN53" s="104">
        <v>4.3550000000000004</v>
      </c>
      <c r="AO53" s="104">
        <v>4.3550000000000004</v>
      </c>
      <c r="AP53" s="104">
        <v>3.605</v>
      </c>
      <c r="AQ53" s="104">
        <v>5.1050000000000004</v>
      </c>
      <c r="AR53" s="104">
        <v>4.3550000000000004</v>
      </c>
      <c r="AT53" s="104"/>
      <c r="AU53" s="104">
        <v>1.75</v>
      </c>
      <c r="AV53" s="30">
        <v>8.125</v>
      </c>
      <c r="AW53" s="30">
        <v>6.8550000000000004</v>
      </c>
      <c r="AX53" s="30">
        <v>6.875</v>
      </c>
      <c r="AY53" s="30">
        <v>5.6050000000000004</v>
      </c>
      <c r="AZ53" s="104">
        <v>8.875</v>
      </c>
      <c r="BA53" s="104">
        <v>7.6050000000000004</v>
      </c>
    </row>
    <row r="54" spans="1:53">
      <c r="AL54" s="104">
        <v>1</v>
      </c>
      <c r="AM54" s="104">
        <v>5.8550000000000004</v>
      </c>
      <c r="AN54" s="104">
        <v>5.1050000000000004</v>
      </c>
      <c r="AO54" s="104">
        <v>4.7300000000000004</v>
      </c>
      <c r="AP54" s="104">
        <v>3.98</v>
      </c>
      <c r="AQ54" s="104">
        <v>5.8550000000000004</v>
      </c>
      <c r="AR54" s="104">
        <v>5.1050000000000004</v>
      </c>
      <c r="AT54" s="104"/>
      <c r="AU54" s="104">
        <v>2</v>
      </c>
      <c r="AV54" s="30">
        <v>8.75</v>
      </c>
      <c r="AW54" s="30">
        <v>7.48</v>
      </c>
      <c r="AX54" s="30">
        <v>7</v>
      </c>
      <c r="AY54" s="30">
        <v>5.73</v>
      </c>
      <c r="AZ54" s="104">
        <v>9.25</v>
      </c>
      <c r="BA54" s="104">
        <v>7.98</v>
      </c>
    </row>
    <row r="55" spans="1:53">
      <c r="AL55" s="104">
        <v>2</v>
      </c>
      <c r="AT55" s="104"/>
      <c r="AU55" s="104">
        <v>4</v>
      </c>
      <c r="AZ55" s="104"/>
      <c r="BA55" s="104"/>
    </row>
    <row r="56" spans="1:53">
      <c r="AL56" s="104">
        <v>0.625</v>
      </c>
      <c r="AM56" s="104">
        <v>5.1050000000000004</v>
      </c>
      <c r="AN56" s="104">
        <v>4.3550000000000004</v>
      </c>
      <c r="AO56" s="104">
        <v>4.3550000000000004</v>
      </c>
      <c r="AP56" s="104">
        <v>3.605</v>
      </c>
      <c r="AQ56" s="104">
        <v>5.1050000000000004</v>
      </c>
      <c r="AR56" s="104">
        <v>4.3550000000000004</v>
      </c>
      <c r="AT56" s="104"/>
      <c r="AU56" s="104">
        <v>1.75</v>
      </c>
      <c r="AV56" s="30">
        <v>8.375</v>
      </c>
      <c r="AW56" s="30">
        <v>7.1050000000000004</v>
      </c>
      <c r="AX56" s="30">
        <v>7.125</v>
      </c>
      <c r="AY56" s="30">
        <v>5.8550000000000004</v>
      </c>
      <c r="AZ56" s="104">
        <v>9.125</v>
      </c>
      <c r="BA56" s="104">
        <v>7.8550000000000004</v>
      </c>
    </row>
    <row r="57" spans="1:53">
      <c r="B57" s="45" t="s">
        <v>22156</v>
      </c>
      <c r="C57" s="30">
        <v>25</v>
      </c>
      <c r="D57" s="30">
        <v>12</v>
      </c>
      <c r="AL57" s="104">
        <v>1</v>
      </c>
      <c r="AM57" s="104">
        <v>5.8550000000000004</v>
      </c>
      <c r="AN57" s="104">
        <v>5.1050000000000004</v>
      </c>
      <c r="AO57" s="104">
        <v>4.7300000000000004</v>
      </c>
      <c r="AP57" s="104">
        <v>3.98</v>
      </c>
      <c r="AQ57" s="104">
        <v>5.8550000000000004</v>
      </c>
      <c r="AR57" s="104">
        <v>5.1050000000000004</v>
      </c>
      <c r="AU57" s="104">
        <v>2</v>
      </c>
      <c r="AV57" s="30">
        <v>9</v>
      </c>
      <c r="AW57" s="30">
        <v>7.73</v>
      </c>
      <c r="AX57" s="30">
        <v>7.25</v>
      </c>
      <c r="AY57" s="30">
        <v>5.98</v>
      </c>
      <c r="AZ57" s="104">
        <v>9.5</v>
      </c>
      <c r="BA57" s="104">
        <v>8.23</v>
      </c>
    </row>
    <row r="58" spans="1:53">
      <c r="B58" s="45" t="s">
        <v>22156</v>
      </c>
      <c r="C58" s="30">
        <v>25</v>
      </c>
      <c r="D58" s="30">
        <v>18</v>
      </c>
      <c r="AL58" s="104">
        <v>1.375</v>
      </c>
      <c r="AM58" s="104">
        <v>6.1050000000000004</v>
      </c>
      <c r="AN58" s="104">
        <v>5.3550000000000004</v>
      </c>
      <c r="AO58" s="104">
        <v>4.9800000000000004</v>
      </c>
      <c r="AP58" s="104">
        <v>4.2300000000000004</v>
      </c>
      <c r="AQ58" s="104">
        <v>6.6050000000000004</v>
      </c>
      <c r="AR58" s="104">
        <v>5.8550000000000004</v>
      </c>
      <c r="AU58" s="104">
        <v>2.5</v>
      </c>
      <c r="AV58" s="30">
        <v>9.75</v>
      </c>
      <c r="AW58" s="30">
        <v>8.48</v>
      </c>
      <c r="AX58" s="30">
        <v>7.5</v>
      </c>
      <c r="AY58" s="30">
        <v>6.23</v>
      </c>
      <c r="AZ58" s="104">
        <v>10.5</v>
      </c>
      <c r="BA58" s="104">
        <v>9.23</v>
      </c>
    </row>
    <row r="59" spans="1:53">
      <c r="B59" s="45" t="s">
        <v>22156</v>
      </c>
      <c r="C59" s="30">
        <v>32</v>
      </c>
      <c r="D59" s="30">
        <v>14</v>
      </c>
      <c r="AL59" s="104">
        <v>2.5</v>
      </c>
      <c r="AU59" s="104">
        <v>5</v>
      </c>
      <c r="AZ59" s="104"/>
      <c r="BA59" s="104"/>
    </row>
    <row r="60" spans="1:53">
      <c r="B60" s="45" t="s">
        <v>22156</v>
      </c>
      <c r="C60" s="30">
        <v>32</v>
      </c>
      <c r="D60" s="30">
        <v>18</v>
      </c>
      <c r="AL60" s="104">
        <v>0.625</v>
      </c>
      <c r="AM60" s="104">
        <v>5.23</v>
      </c>
      <c r="AN60" s="104">
        <v>4.4800000000000004</v>
      </c>
      <c r="AO60" s="104">
        <v>4.4800000000000004</v>
      </c>
      <c r="AP60" s="104">
        <v>3.73</v>
      </c>
      <c r="AQ60" s="104">
        <v>5.23</v>
      </c>
      <c r="AR60" s="104">
        <v>4.4800000000000004</v>
      </c>
      <c r="AU60" s="104">
        <v>2</v>
      </c>
      <c r="AV60" s="30">
        <v>9.5</v>
      </c>
      <c r="AW60" s="30">
        <v>8.23</v>
      </c>
      <c r="AX60" s="30">
        <v>7.75</v>
      </c>
      <c r="AY60" s="30">
        <v>6.48</v>
      </c>
      <c r="AZ60" s="104">
        <v>10</v>
      </c>
      <c r="BA60" s="104">
        <v>8.73</v>
      </c>
    </row>
    <row r="61" spans="1:53">
      <c r="B61" s="45" t="s">
        <v>22156</v>
      </c>
      <c r="C61" s="30">
        <v>32</v>
      </c>
      <c r="D61" s="30">
        <v>22</v>
      </c>
      <c r="AL61" s="104">
        <v>1</v>
      </c>
      <c r="AM61" s="104">
        <v>5.98</v>
      </c>
      <c r="AN61" s="104">
        <v>5.23</v>
      </c>
      <c r="AO61" s="104">
        <v>4.8550000000000004</v>
      </c>
      <c r="AP61" s="104">
        <v>4.1050000000000004</v>
      </c>
      <c r="AQ61" s="104">
        <v>5.98</v>
      </c>
      <c r="AR61" s="104">
        <v>5.23</v>
      </c>
      <c r="AU61" s="104">
        <v>2.5</v>
      </c>
      <c r="AV61" s="30">
        <v>10.25</v>
      </c>
      <c r="AW61" s="30">
        <v>8.98</v>
      </c>
      <c r="AX61" s="30">
        <v>8</v>
      </c>
      <c r="AY61" s="30">
        <v>6.73</v>
      </c>
      <c r="AZ61" s="104">
        <v>11</v>
      </c>
      <c r="BA61" s="104">
        <v>9.73</v>
      </c>
    </row>
    <row r="62" spans="1:53">
      <c r="B62" s="45" t="s">
        <v>22156</v>
      </c>
      <c r="C62" s="30">
        <v>40</v>
      </c>
      <c r="D62" s="30">
        <v>18</v>
      </c>
      <c r="AL62" s="104">
        <v>1.375</v>
      </c>
      <c r="AM62" s="104">
        <v>6.23</v>
      </c>
      <c r="AN62" s="104">
        <v>5.48</v>
      </c>
      <c r="AO62" s="104">
        <v>5.1050000000000004</v>
      </c>
      <c r="AP62" s="104">
        <v>4.3550000000000004</v>
      </c>
      <c r="AQ62" s="104">
        <v>6.73</v>
      </c>
      <c r="AR62" s="104">
        <v>5.98</v>
      </c>
      <c r="AU62" s="104">
        <v>3</v>
      </c>
      <c r="AV62" s="30">
        <v>10.625</v>
      </c>
      <c r="AW62" s="30">
        <v>9.3550000000000004</v>
      </c>
      <c r="AX62" s="30">
        <v>8</v>
      </c>
      <c r="AY62" s="30">
        <v>6.73</v>
      </c>
      <c r="AZ62" s="104">
        <v>11.5</v>
      </c>
      <c r="BA62" s="104">
        <v>10.23</v>
      </c>
    </row>
    <row r="63" spans="1:53">
      <c r="B63" s="45" t="s">
        <v>22156</v>
      </c>
      <c r="C63" s="30">
        <v>40</v>
      </c>
      <c r="D63" s="30">
        <v>22</v>
      </c>
      <c r="AL63" s="104">
        <v>1.75</v>
      </c>
      <c r="AM63" s="104">
        <v>6.6050000000000004</v>
      </c>
      <c r="AN63" s="104">
        <v>5.8550000000000004</v>
      </c>
      <c r="AO63" s="104">
        <v>5.3550000000000004</v>
      </c>
      <c r="AP63" s="104">
        <v>4.6050000000000004</v>
      </c>
      <c r="AQ63" s="104">
        <v>7.3550000000000004</v>
      </c>
      <c r="AR63" s="104">
        <v>6.6050000000000004</v>
      </c>
      <c r="AU63" s="104">
        <v>3.5</v>
      </c>
      <c r="AV63" s="30">
        <v>11.375</v>
      </c>
      <c r="AW63" s="30">
        <v>10.105</v>
      </c>
      <c r="AX63" s="30">
        <v>8</v>
      </c>
      <c r="AY63" s="30">
        <v>6.73</v>
      </c>
      <c r="AZ63" s="104">
        <v>11.5</v>
      </c>
      <c r="BA63" s="104">
        <v>10.23</v>
      </c>
    </row>
    <row r="64" spans="1:53">
      <c r="B64" s="45" t="s">
        <v>22156</v>
      </c>
      <c r="C64" s="30">
        <v>40</v>
      </c>
      <c r="D64" s="30">
        <v>28</v>
      </c>
      <c r="AL64" s="104">
        <v>3.25</v>
      </c>
      <c r="AU64" s="104">
        <v>6</v>
      </c>
      <c r="AZ64" s="104"/>
      <c r="BA64" s="104"/>
    </row>
    <row r="65" spans="2:53">
      <c r="B65" s="45" t="s">
        <v>22156</v>
      </c>
      <c r="C65" s="30">
        <v>50</v>
      </c>
      <c r="D65" s="30">
        <v>22</v>
      </c>
      <c r="AL65" s="104">
        <v>1</v>
      </c>
      <c r="AM65" s="104">
        <v>6.48</v>
      </c>
      <c r="AN65" s="104">
        <v>5.48</v>
      </c>
      <c r="AO65" s="104">
        <v>5.3550000000000004</v>
      </c>
      <c r="AP65" s="104">
        <v>4.3550000000000004</v>
      </c>
      <c r="AQ65" s="104">
        <v>6.48</v>
      </c>
      <c r="AR65" s="104">
        <v>5.48</v>
      </c>
      <c r="AU65" s="104">
        <v>2.5</v>
      </c>
      <c r="AV65" s="30">
        <v>10.875</v>
      </c>
      <c r="AW65" s="30">
        <v>9.6050000000000004</v>
      </c>
      <c r="AX65" s="30">
        <v>8.625</v>
      </c>
      <c r="AY65" s="30">
        <v>7.3550000000000004</v>
      </c>
      <c r="AZ65" s="104">
        <v>11.875</v>
      </c>
      <c r="BA65" s="104">
        <v>10.355</v>
      </c>
    </row>
    <row r="66" spans="2:53">
      <c r="B66" s="45" t="s">
        <v>22156</v>
      </c>
      <c r="C66" s="30">
        <v>50</v>
      </c>
      <c r="D66" s="30">
        <v>28</v>
      </c>
      <c r="AL66" s="104">
        <v>1.375</v>
      </c>
      <c r="AM66" s="104">
        <v>6.73</v>
      </c>
      <c r="AN66" s="104">
        <v>5.73</v>
      </c>
      <c r="AO66" s="104">
        <v>5.6050000000000004</v>
      </c>
      <c r="AP66" s="104">
        <v>4.6050000000000004</v>
      </c>
      <c r="AQ66" s="104">
        <v>7.23</v>
      </c>
      <c r="AR66" s="104">
        <v>6.23</v>
      </c>
      <c r="AU66" s="104">
        <v>3</v>
      </c>
      <c r="AV66" s="30">
        <v>11.25</v>
      </c>
      <c r="AW66" s="30">
        <v>9.98</v>
      </c>
      <c r="AX66" s="30">
        <v>8.625</v>
      </c>
      <c r="AY66" s="30">
        <v>7.3550000000000004</v>
      </c>
      <c r="AZ66" s="104">
        <v>12.375</v>
      </c>
      <c r="BA66" s="104">
        <v>10.855</v>
      </c>
    </row>
    <row r="67" spans="2:53">
      <c r="B67" s="45" t="s">
        <v>22156</v>
      </c>
      <c r="C67" s="30">
        <v>50</v>
      </c>
      <c r="D67" s="30">
        <v>36</v>
      </c>
      <c r="AL67" s="104">
        <v>1.75</v>
      </c>
      <c r="AM67" s="104">
        <v>7.1050000000000004</v>
      </c>
      <c r="AN67" s="104">
        <v>6.1050000000000004</v>
      </c>
      <c r="AO67" s="104">
        <v>5.8550000000000004</v>
      </c>
      <c r="AP67" s="104">
        <v>4.8550000000000004</v>
      </c>
      <c r="AQ67" s="104">
        <v>7.8550000000000004</v>
      </c>
      <c r="AR67" s="104">
        <v>6.8550000000000004</v>
      </c>
      <c r="AU67" s="104">
        <v>3.5</v>
      </c>
      <c r="AV67" s="30">
        <v>12</v>
      </c>
      <c r="AW67" s="30">
        <v>10.73</v>
      </c>
      <c r="AX67" s="30">
        <v>8.625</v>
      </c>
      <c r="AY67" s="30">
        <v>7.3550000000000004</v>
      </c>
      <c r="AZ67" s="104">
        <v>12.375</v>
      </c>
      <c r="BA67" s="104">
        <v>10.855</v>
      </c>
    </row>
    <row r="68" spans="2:53">
      <c r="B68" s="45" t="s">
        <v>22156</v>
      </c>
      <c r="C68" s="30">
        <v>63</v>
      </c>
      <c r="D68" s="30">
        <v>28</v>
      </c>
      <c r="AL68" s="104">
        <v>2</v>
      </c>
      <c r="AM68" s="104">
        <v>7.73</v>
      </c>
      <c r="AN68" s="104">
        <v>6.73</v>
      </c>
      <c r="AO68" s="104">
        <v>5.98</v>
      </c>
      <c r="AP68" s="104">
        <v>4.9800000000000004</v>
      </c>
      <c r="AQ68" s="104">
        <v>8.23</v>
      </c>
      <c r="AR68" s="104">
        <v>7.23</v>
      </c>
      <c r="AU68" s="104">
        <v>4</v>
      </c>
      <c r="AV68" s="30">
        <v>12.125</v>
      </c>
      <c r="AW68" s="30">
        <v>10.855</v>
      </c>
      <c r="AX68" s="30">
        <v>8.625</v>
      </c>
      <c r="AY68" s="30">
        <v>7.3550000000000004</v>
      </c>
      <c r="AZ68" s="104">
        <v>12.875</v>
      </c>
      <c r="BA68" s="104">
        <v>11.355</v>
      </c>
    </row>
    <row r="69" spans="2:53">
      <c r="B69" s="45" t="s">
        <v>22156</v>
      </c>
      <c r="C69" s="30">
        <v>63</v>
      </c>
      <c r="D69" s="30">
        <v>36</v>
      </c>
      <c r="AL69" s="104">
        <v>4</v>
      </c>
      <c r="AU69" s="104">
        <v>8</v>
      </c>
      <c r="AZ69" s="104"/>
      <c r="BA69" s="104"/>
    </row>
    <row r="70" spans="2:53">
      <c r="B70" s="45" t="s">
        <v>22156</v>
      </c>
      <c r="C70" s="30">
        <v>63</v>
      </c>
      <c r="D70" s="30">
        <v>45</v>
      </c>
      <c r="AL70" s="104">
        <v>1</v>
      </c>
      <c r="AM70" s="104">
        <v>6.48</v>
      </c>
      <c r="AN70" s="104">
        <v>5.48</v>
      </c>
      <c r="AO70" s="104">
        <v>5.3550000000000004</v>
      </c>
      <c r="AP70" s="104">
        <v>4.3550000000000004</v>
      </c>
      <c r="AQ70" s="104">
        <v>6.48</v>
      </c>
      <c r="AR70" s="104">
        <v>5.48</v>
      </c>
      <c r="AU70" s="104">
        <v>3.5</v>
      </c>
      <c r="AV70" s="30">
        <v>14.125</v>
      </c>
      <c r="AW70" s="30">
        <v>12.105</v>
      </c>
      <c r="AX70" s="30">
        <v>10.75</v>
      </c>
      <c r="AY70" s="30">
        <v>8.73</v>
      </c>
      <c r="AZ70" s="104">
        <v>14.25</v>
      </c>
      <c r="BA70" s="104">
        <v>12.23</v>
      </c>
    </row>
    <row r="71" spans="2:53">
      <c r="B71" s="45" t="s">
        <v>22156</v>
      </c>
      <c r="C71" s="30">
        <v>80</v>
      </c>
      <c r="D71" s="30">
        <v>36</v>
      </c>
      <c r="AL71" s="104">
        <v>1.375</v>
      </c>
      <c r="AM71" s="104">
        <v>6.73</v>
      </c>
      <c r="AN71" s="104">
        <v>5.73</v>
      </c>
      <c r="AO71" s="104">
        <v>5.6050000000000004</v>
      </c>
      <c r="AP71" s="104">
        <v>4.6050000000000004</v>
      </c>
      <c r="AQ71" s="104">
        <v>7.23</v>
      </c>
      <c r="AR71" s="104">
        <v>6.23</v>
      </c>
      <c r="AU71" s="104">
        <v>4</v>
      </c>
      <c r="AV71" s="30">
        <v>14.25</v>
      </c>
      <c r="AW71" s="30">
        <v>12.23</v>
      </c>
      <c r="AX71" s="30">
        <v>10.75</v>
      </c>
      <c r="AY71" s="30">
        <v>8.73</v>
      </c>
      <c r="AZ71" s="104">
        <v>14.75</v>
      </c>
      <c r="BA71" s="104">
        <v>12.73</v>
      </c>
    </row>
    <row r="72" spans="2:53">
      <c r="B72" s="45" t="s">
        <v>22156</v>
      </c>
      <c r="C72" s="30">
        <v>80</v>
      </c>
      <c r="D72" s="30">
        <v>45</v>
      </c>
      <c r="AL72" s="104">
        <v>1.75</v>
      </c>
      <c r="AM72" s="104">
        <v>7.1050000000000004</v>
      </c>
      <c r="AN72" s="104">
        <v>6.1050000000000004</v>
      </c>
      <c r="AO72" s="104">
        <v>5.8550000000000004</v>
      </c>
      <c r="AP72" s="104">
        <v>4.8550000000000004</v>
      </c>
      <c r="AQ72" s="104">
        <v>7.8550000000000004</v>
      </c>
      <c r="AR72" s="104">
        <v>6.8550000000000004</v>
      </c>
      <c r="AU72" s="104">
        <v>4.5</v>
      </c>
      <c r="AV72" s="30">
        <v>15</v>
      </c>
      <c r="AW72" s="30">
        <v>12.98</v>
      </c>
      <c r="AX72" s="30">
        <v>10.75</v>
      </c>
      <c r="AY72" s="30">
        <v>8.73</v>
      </c>
      <c r="AZ72" s="104">
        <v>15.25</v>
      </c>
      <c r="BA72" s="104">
        <v>13.23</v>
      </c>
    </row>
    <row r="73" spans="2:53">
      <c r="B73" s="45" t="s">
        <v>22156</v>
      </c>
      <c r="C73" s="30">
        <v>80</v>
      </c>
      <c r="D73" s="30">
        <v>56</v>
      </c>
      <c r="AL73" s="104">
        <v>2</v>
      </c>
      <c r="AM73" s="104">
        <v>7.73</v>
      </c>
      <c r="AN73" s="104">
        <v>6.73</v>
      </c>
      <c r="AO73" s="104">
        <v>5.98</v>
      </c>
      <c r="AP73" s="104">
        <v>4.9800000000000004</v>
      </c>
      <c r="AQ73" s="104">
        <v>8.23</v>
      </c>
      <c r="AR73" s="104">
        <v>7.23</v>
      </c>
      <c r="AU73" s="104"/>
    </row>
    <row r="74" spans="2:53">
      <c r="B74" s="45" t="s">
        <v>22156</v>
      </c>
      <c r="C74" s="30">
        <v>100</v>
      </c>
      <c r="D74" s="30">
        <v>45</v>
      </c>
      <c r="AL74" s="104">
        <v>5</v>
      </c>
    </row>
    <row r="75" spans="2:53">
      <c r="B75" s="45" t="s">
        <v>22156</v>
      </c>
      <c r="C75" s="30">
        <v>100</v>
      </c>
      <c r="D75" s="30">
        <v>56</v>
      </c>
      <c r="AL75" s="104">
        <v>1</v>
      </c>
      <c r="AM75" s="104">
        <v>6.73</v>
      </c>
      <c r="AN75" s="104">
        <v>5.73</v>
      </c>
      <c r="AO75" s="104">
        <v>5.6050000000000004</v>
      </c>
      <c r="AP75" s="104">
        <v>4.6050000000000004</v>
      </c>
      <c r="AQ75" s="104">
        <v>6.73</v>
      </c>
      <c r="AR75" s="104">
        <v>5.73</v>
      </c>
    </row>
    <row r="76" spans="2:53">
      <c r="B76" s="45" t="s">
        <v>22156</v>
      </c>
      <c r="C76" s="30">
        <v>100</v>
      </c>
      <c r="D76" s="30">
        <v>70</v>
      </c>
      <c r="AL76" s="104">
        <v>1.375</v>
      </c>
      <c r="AM76" s="104">
        <v>6.98</v>
      </c>
      <c r="AN76" s="104">
        <v>5.98</v>
      </c>
      <c r="AO76" s="104">
        <v>5.8550000000000004</v>
      </c>
      <c r="AP76" s="104">
        <v>4.8550000000000004</v>
      </c>
      <c r="AQ76" s="104">
        <v>7.48</v>
      </c>
      <c r="AR76" s="104">
        <v>6.48</v>
      </c>
    </row>
    <row r="77" spans="2:53">
      <c r="B77" s="45" t="s">
        <v>22156</v>
      </c>
      <c r="C77" s="30">
        <v>125</v>
      </c>
      <c r="D77" s="30">
        <v>56</v>
      </c>
      <c r="AL77" s="104">
        <v>1.75</v>
      </c>
      <c r="AM77" s="104">
        <v>7.3550000000000004</v>
      </c>
      <c r="AN77" s="104">
        <v>6.3550000000000004</v>
      </c>
      <c r="AO77" s="104">
        <v>6.1050000000000004</v>
      </c>
      <c r="AP77" s="104">
        <v>5.1050000000000004</v>
      </c>
      <c r="AQ77" s="104">
        <v>8.1050000000000004</v>
      </c>
      <c r="AR77" s="104">
        <v>7.1050000000000004</v>
      </c>
    </row>
    <row r="78" spans="2:53">
      <c r="B78" s="45" t="s">
        <v>22156</v>
      </c>
      <c r="C78" s="30">
        <v>125</v>
      </c>
      <c r="D78" s="30">
        <v>70</v>
      </c>
      <c r="AL78" s="104">
        <v>2</v>
      </c>
      <c r="AM78" s="104">
        <v>7.98</v>
      </c>
      <c r="AN78" s="104">
        <v>6.98</v>
      </c>
      <c r="AO78" s="104">
        <v>6.23</v>
      </c>
      <c r="AP78" s="104">
        <v>5.23</v>
      </c>
      <c r="AQ78" s="104">
        <v>8.48</v>
      </c>
      <c r="AR78" s="104">
        <v>7.48</v>
      </c>
    </row>
    <row r="79" spans="2:53">
      <c r="B79" s="45" t="s">
        <v>22156</v>
      </c>
      <c r="C79" s="30">
        <v>125</v>
      </c>
      <c r="D79" s="30">
        <v>90</v>
      </c>
      <c r="AL79" s="104">
        <v>6</v>
      </c>
    </row>
    <row r="80" spans="2:53">
      <c r="B80" s="45" t="s">
        <v>22156</v>
      </c>
      <c r="C80" s="30">
        <v>160</v>
      </c>
      <c r="D80" s="30">
        <v>70</v>
      </c>
      <c r="AL80" s="104">
        <v>1.375</v>
      </c>
      <c r="AM80" s="104">
        <v>7.48</v>
      </c>
      <c r="AN80" s="104">
        <v>6.23</v>
      </c>
      <c r="AO80" s="104">
        <v>6.3550000000000004</v>
      </c>
      <c r="AP80" s="104">
        <v>5.1050000000000004</v>
      </c>
      <c r="AQ80" s="104">
        <v>7.98</v>
      </c>
      <c r="AR80" s="104">
        <v>6.73</v>
      </c>
    </row>
    <row r="81" spans="2:44">
      <c r="B81" s="45" t="s">
        <v>22156</v>
      </c>
      <c r="C81" s="30">
        <v>160</v>
      </c>
      <c r="D81" s="30">
        <v>90</v>
      </c>
      <c r="AL81" s="104">
        <v>1.75</v>
      </c>
      <c r="AM81" s="104">
        <v>7.8550000000000004</v>
      </c>
      <c r="AN81" s="104">
        <v>6.6050000000000004</v>
      </c>
      <c r="AO81" s="104">
        <v>6.6050000000000004</v>
      </c>
      <c r="AP81" s="104">
        <v>5.3550000000000004</v>
      </c>
      <c r="AQ81" s="104">
        <v>8.6050000000000004</v>
      </c>
      <c r="AR81" s="104">
        <v>7.3550000000000004</v>
      </c>
    </row>
    <row r="82" spans="2:44">
      <c r="B82" s="45" t="s">
        <v>22156</v>
      </c>
      <c r="C82" s="30">
        <v>160</v>
      </c>
      <c r="D82" s="30">
        <v>110</v>
      </c>
      <c r="AL82" s="104">
        <v>2</v>
      </c>
      <c r="AM82" s="104">
        <v>8.48</v>
      </c>
      <c r="AN82" s="104">
        <v>7.23</v>
      </c>
      <c r="AO82" s="104">
        <v>6.73</v>
      </c>
      <c r="AP82" s="104">
        <v>5.48</v>
      </c>
      <c r="AQ82" s="104">
        <v>8.98</v>
      </c>
      <c r="AR82" s="104">
        <v>7.73</v>
      </c>
    </row>
    <row r="83" spans="2:44">
      <c r="B83" s="45" t="s">
        <v>22156</v>
      </c>
      <c r="C83" s="30">
        <v>200</v>
      </c>
      <c r="D83" s="30">
        <v>90</v>
      </c>
      <c r="AL83" s="104">
        <v>2.5</v>
      </c>
      <c r="AM83" s="104">
        <v>9.23</v>
      </c>
      <c r="AN83" s="104">
        <v>7.98</v>
      </c>
      <c r="AO83" s="104">
        <v>6.98</v>
      </c>
      <c r="AP83" s="104">
        <v>5.73</v>
      </c>
      <c r="AQ83" s="104">
        <v>9.98</v>
      </c>
      <c r="AR83" s="104">
        <v>8.73</v>
      </c>
    </row>
    <row r="84" spans="2:44">
      <c r="B84" s="45" t="s">
        <v>22156</v>
      </c>
      <c r="C84" s="30">
        <v>200</v>
      </c>
      <c r="D84" s="30">
        <v>110</v>
      </c>
      <c r="AL84" s="104">
        <v>7</v>
      </c>
    </row>
    <row r="85" spans="2:44">
      <c r="B85" s="45" t="s">
        <v>22156</v>
      </c>
      <c r="C85" s="30">
        <v>200</v>
      </c>
      <c r="D85" s="30">
        <v>140</v>
      </c>
      <c r="AL85" s="104">
        <v>1.375</v>
      </c>
      <c r="AM85" s="104">
        <v>7.6050000000000004</v>
      </c>
      <c r="AN85" s="104">
        <v>6.3550000000000004</v>
      </c>
      <c r="AO85" s="104">
        <v>6.48</v>
      </c>
      <c r="AP85" s="104">
        <v>5.23</v>
      </c>
      <c r="AQ85" s="104">
        <v>8.1050000000000004</v>
      </c>
      <c r="AR85" s="104">
        <v>6.8550000000000004</v>
      </c>
    </row>
    <row r="86" spans="2:44">
      <c r="B86" s="45" t="s">
        <v>22157</v>
      </c>
      <c r="C86" s="30">
        <v>40</v>
      </c>
      <c r="D86" s="30">
        <v>25</v>
      </c>
      <c r="AL86" s="104">
        <v>1.75</v>
      </c>
      <c r="AM86" s="104">
        <v>7.98</v>
      </c>
      <c r="AN86" s="104">
        <v>6.73</v>
      </c>
      <c r="AO86" s="104">
        <v>6.73</v>
      </c>
      <c r="AP86" s="104">
        <v>5.48</v>
      </c>
      <c r="AQ86" s="104">
        <v>8.73</v>
      </c>
      <c r="AR86" s="104">
        <v>7.48</v>
      </c>
    </row>
    <row r="87" spans="2:44">
      <c r="B87" s="45" t="s">
        <v>22157</v>
      </c>
      <c r="C87" s="30">
        <v>40</v>
      </c>
      <c r="D87" s="30">
        <v>28</v>
      </c>
      <c r="AL87" s="104">
        <v>2</v>
      </c>
      <c r="AM87" s="104">
        <v>8.6050000000000004</v>
      </c>
      <c r="AN87" s="104">
        <v>7.3550000000000004</v>
      </c>
      <c r="AO87" s="104">
        <v>6.8550000000000004</v>
      </c>
      <c r="AP87" s="104">
        <v>5.6050000000000004</v>
      </c>
      <c r="AQ87" s="104">
        <v>9.1050000000000004</v>
      </c>
      <c r="AR87" s="104">
        <v>7.8550000000000004</v>
      </c>
    </row>
    <row r="88" spans="2:44">
      <c r="B88" s="45" t="s">
        <v>22157</v>
      </c>
      <c r="C88" s="30">
        <v>50</v>
      </c>
      <c r="D88" s="30">
        <v>32</v>
      </c>
      <c r="AL88" s="104">
        <v>2.5</v>
      </c>
      <c r="AM88" s="104">
        <v>9.3550000000000004</v>
      </c>
      <c r="AN88" s="104">
        <v>8.1050000000000004</v>
      </c>
      <c r="AO88" s="104">
        <v>7.1050000000000004</v>
      </c>
      <c r="AP88" s="104">
        <v>5.8550000000000004</v>
      </c>
      <c r="AQ88" s="104">
        <v>10.105</v>
      </c>
      <c r="AR88" s="104">
        <v>8.8550000000000004</v>
      </c>
    </row>
    <row r="89" spans="2:44">
      <c r="B89" s="45" t="s">
        <v>22157</v>
      </c>
      <c r="C89" s="30">
        <v>50</v>
      </c>
      <c r="D89" s="30">
        <v>36</v>
      </c>
      <c r="AL89" s="104">
        <v>8</v>
      </c>
    </row>
    <row r="90" spans="2:44">
      <c r="B90" s="45" t="s">
        <v>22157</v>
      </c>
      <c r="C90" s="30">
        <v>63</v>
      </c>
      <c r="D90" s="30">
        <v>40</v>
      </c>
      <c r="AL90" s="104">
        <v>1.375</v>
      </c>
      <c r="AM90" s="104">
        <v>7.6050000000000004</v>
      </c>
      <c r="AN90" s="104">
        <v>6.3550000000000004</v>
      </c>
      <c r="AO90" s="104">
        <v>6.48</v>
      </c>
      <c r="AP90" s="104">
        <v>5.23</v>
      </c>
      <c r="AQ90" s="104">
        <v>8.1050000000000004</v>
      </c>
      <c r="AR90" s="104">
        <v>6.8550000000000004</v>
      </c>
    </row>
    <row r="91" spans="2:44">
      <c r="B91" s="45" t="s">
        <v>22157</v>
      </c>
      <c r="C91" s="30">
        <v>63</v>
      </c>
      <c r="D91" s="30">
        <v>45</v>
      </c>
      <c r="AL91" s="104">
        <v>1.75</v>
      </c>
      <c r="AM91" s="104">
        <v>7.98</v>
      </c>
      <c r="AN91" s="104">
        <v>6.73</v>
      </c>
      <c r="AO91" s="104">
        <v>6.73</v>
      </c>
      <c r="AP91" s="104">
        <v>5.48</v>
      </c>
      <c r="AQ91" s="104">
        <v>8.73</v>
      </c>
      <c r="AR91" s="104">
        <v>7.48</v>
      </c>
    </row>
    <row r="92" spans="2:44">
      <c r="B92" s="45" t="s">
        <v>22157</v>
      </c>
      <c r="C92" s="30">
        <v>80</v>
      </c>
      <c r="D92" s="30">
        <v>50</v>
      </c>
      <c r="AL92" s="104">
        <v>2</v>
      </c>
      <c r="AM92" s="104">
        <v>8.6050000000000004</v>
      </c>
      <c r="AN92" s="104">
        <v>7.3550000000000004</v>
      </c>
      <c r="AO92" s="104">
        <v>6.8550000000000004</v>
      </c>
      <c r="AP92" s="104">
        <v>5.6050000000000004</v>
      </c>
      <c r="AQ92" s="104">
        <v>9.1050000000000004</v>
      </c>
      <c r="AR92" s="104">
        <v>7.8550000000000004</v>
      </c>
    </row>
    <row r="93" spans="2:44">
      <c r="B93" s="45" t="s">
        <v>22157</v>
      </c>
      <c r="C93" s="30">
        <v>80</v>
      </c>
      <c r="D93" s="30">
        <v>56</v>
      </c>
      <c r="AL93" s="104">
        <v>2.5</v>
      </c>
      <c r="AM93" s="104">
        <v>9.3550000000000004</v>
      </c>
      <c r="AN93" s="104">
        <v>8.1050000000000004</v>
      </c>
      <c r="AO93" s="104">
        <v>7.1050000000000004</v>
      </c>
      <c r="AP93" s="104">
        <v>5.8550000000000004</v>
      </c>
      <c r="AQ93" s="104">
        <v>10.105</v>
      </c>
      <c r="AR93" s="104">
        <v>8.8550000000000004</v>
      </c>
    </row>
    <row r="94" spans="2:44">
      <c r="B94" s="45" t="s">
        <v>22157</v>
      </c>
      <c r="C94" s="30">
        <v>100</v>
      </c>
      <c r="D94" s="30">
        <v>63</v>
      </c>
    </row>
    <row r="95" spans="2:44">
      <c r="B95" s="45" t="s">
        <v>22157</v>
      </c>
      <c r="C95" s="30">
        <v>100</v>
      </c>
      <c r="D95" s="30">
        <v>70</v>
      </c>
    </row>
    <row r="96" spans="2:44">
      <c r="B96" s="45" t="s">
        <v>22157</v>
      </c>
      <c r="C96" s="30">
        <v>125</v>
      </c>
      <c r="D96" s="30">
        <v>80</v>
      </c>
    </row>
    <row r="97" spans="2:4">
      <c r="B97" s="45" t="s">
        <v>22157</v>
      </c>
      <c r="C97" s="30">
        <v>125</v>
      </c>
      <c r="D97" s="30">
        <v>90</v>
      </c>
    </row>
    <row r="98" spans="2:4">
      <c r="B98" s="45" t="s">
        <v>22157</v>
      </c>
      <c r="C98" s="30">
        <v>160</v>
      </c>
      <c r="D98" s="30">
        <v>100</v>
      </c>
    </row>
    <row r="99" spans="2:4">
      <c r="B99" s="45" t="s">
        <v>22157</v>
      </c>
      <c r="C99" s="30">
        <v>160</v>
      </c>
      <c r="D99" s="30">
        <v>110</v>
      </c>
    </row>
    <row r="100" spans="2:4">
      <c r="B100" s="45" t="s">
        <v>22157</v>
      </c>
      <c r="C100" s="30">
        <v>200</v>
      </c>
      <c r="D100" s="30">
        <v>125</v>
      </c>
    </row>
    <row r="101" spans="2:4">
      <c r="B101" s="45" t="s">
        <v>22157</v>
      </c>
      <c r="C101" s="30">
        <v>200</v>
      </c>
      <c r="D101" s="30">
        <v>140</v>
      </c>
    </row>
    <row r="102" spans="2:4">
      <c r="B102" s="45" t="s">
        <v>22157</v>
      </c>
      <c r="C102" s="30">
        <v>250</v>
      </c>
      <c r="D102" s="30">
        <v>160</v>
      </c>
    </row>
    <row r="103" spans="2:4">
      <c r="B103" s="45" t="s">
        <v>22157</v>
      </c>
      <c r="C103" s="30">
        <v>250</v>
      </c>
      <c r="D103" s="30">
        <v>180</v>
      </c>
    </row>
    <row r="104" spans="2:4">
      <c r="B104" s="45" t="s">
        <v>22157</v>
      </c>
      <c r="C104" s="30">
        <v>320</v>
      </c>
      <c r="D104" s="30">
        <v>200</v>
      </c>
    </row>
    <row r="105" spans="2:4">
      <c r="B105" s="45" t="s">
        <v>22157</v>
      </c>
      <c r="C105" s="30">
        <v>320</v>
      </c>
      <c r="D105" s="30">
        <v>220</v>
      </c>
    </row>
  </sheetData>
  <mergeCells count="25">
    <mergeCell ref="AV6:BA6"/>
    <mergeCell ref="A1:K1"/>
    <mergeCell ref="A2:K2"/>
    <mergeCell ref="AA5:AE5"/>
    <mergeCell ref="AG6:AJ6"/>
    <mergeCell ref="AM6:AR6"/>
    <mergeCell ref="AZ7:BA7"/>
    <mergeCell ref="A21:A23"/>
    <mergeCell ref="A15:A17"/>
    <mergeCell ref="A12:A14"/>
    <mergeCell ref="A9:A11"/>
    <mergeCell ref="A7:A8"/>
    <mergeCell ref="AM7:AN7"/>
    <mergeCell ref="AO7:AP7"/>
    <mergeCell ref="AQ7:AR7"/>
    <mergeCell ref="AV7:AW7"/>
    <mergeCell ref="AX7:AY7"/>
    <mergeCell ref="A18:A20"/>
    <mergeCell ref="A24:A26"/>
    <mergeCell ref="A27:A29"/>
    <mergeCell ref="AV41:AW41"/>
    <mergeCell ref="AX41:AY41"/>
    <mergeCell ref="AZ41:BA41"/>
    <mergeCell ref="A33:A35"/>
    <mergeCell ref="A30:A32"/>
  </mergeCells>
  <printOptions horizontalCentered="1" verticalCentered="1"/>
  <pageMargins left="0.25" right="0.25" top="0.25" bottom="0.25" header="0.5" footer="0.5"/>
  <pageSetup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892484-41DC-4D24-BD60-2097383DD4EB}">
  <sheetPr codeName="Sheet17"/>
  <dimension ref="A1:R68"/>
  <sheetViews>
    <sheetView workbookViewId="0">
      <selection activeCell="C8" sqref="C8:D36"/>
    </sheetView>
  </sheetViews>
  <sheetFormatPr defaultColWidth="9.08984375" defaultRowHeight="11.5"/>
  <cols>
    <col min="1" max="1" width="6" style="30" bestFit="1" customWidth="1"/>
    <col min="2" max="2" width="6.54296875" style="45" customWidth="1"/>
    <col min="3" max="3" width="10" style="30" customWidth="1"/>
    <col min="4" max="4" width="6.54296875" style="30" customWidth="1"/>
    <col min="5" max="5" width="7.36328125" style="30" customWidth="1"/>
    <col min="6" max="6" width="9.54296875" style="30" customWidth="1"/>
    <col min="7" max="7" width="11.08984375" style="30" customWidth="1"/>
    <col min="8" max="8" width="6.54296875" style="30" customWidth="1"/>
    <col min="9" max="9" width="7.36328125" style="30" customWidth="1"/>
    <col min="10" max="10" width="9.54296875" style="30" customWidth="1"/>
    <col min="11" max="14" width="9.08984375" style="47"/>
    <col min="15" max="15" width="14.453125" style="47" customWidth="1"/>
    <col min="16" max="16" width="9.08984375" style="47"/>
    <col min="17" max="17" width="10" style="47" customWidth="1"/>
    <col min="18" max="16384" width="9.08984375" style="47"/>
  </cols>
  <sheetData>
    <row r="1" spans="1:17">
      <c r="A1" s="592" t="s">
        <v>472</v>
      </c>
      <c r="B1" s="592"/>
      <c r="C1" s="592"/>
      <c r="D1" s="592"/>
      <c r="E1" s="592"/>
      <c r="F1" s="592"/>
      <c r="G1" s="592"/>
      <c r="H1" s="592"/>
      <c r="I1" s="592"/>
      <c r="J1" s="592"/>
      <c r="K1" s="592"/>
      <c r="L1" s="592"/>
      <c r="M1" s="592"/>
      <c r="N1" s="592"/>
      <c r="O1" s="592"/>
      <c r="P1" s="592"/>
    </row>
    <row r="2" spans="1:17">
      <c r="A2" s="592" t="s">
        <v>384</v>
      </c>
      <c r="B2" s="592"/>
      <c r="C2" s="592"/>
      <c r="D2" s="592"/>
      <c r="E2" s="592"/>
      <c r="F2" s="592"/>
      <c r="G2" s="592"/>
      <c r="H2" s="592"/>
      <c r="I2" s="592"/>
      <c r="J2" s="592"/>
      <c r="K2" s="592"/>
      <c r="L2" s="592"/>
      <c r="M2" s="592"/>
      <c r="N2" s="592"/>
      <c r="O2" s="592"/>
      <c r="P2" s="592"/>
    </row>
    <row r="3" spans="1:17">
      <c r="B3" s="30"/>
      <c r="K3" s="30"/>
      <c r="L3" s="30"/>
      <c r="M3" s="30"/>
      <c r="N3" s="30"/>
      <c r="O3" s="30"/>
      <c r="P3" s="30"/>
    </row>
    <row r="4" spans="1:17" ht="9" customHeight="1">
      <c r="A4" s="601" t="s">
        <v>440</v>
      </c>
      <c r="B4" s="601" t="s">
        <v>87</v>
      </c>
      <c r="C4" s="595" t="s">
        <v>22173</v>
      </c>
      <c r="D4" s="595" t="s">
        <v>670</v>
      </c>
      <c r="E4" s="595"/>
      <c r="F4" s="595" t="s">
        <v>166</v>
      </c>
      <c r="G4" s="595"/>
      <c r="H4" s="595" t="s">
        <v>573</v>
      </c>
      <c r="I4" s="595"/>
      <c r="J4" s="595" t="s">
        <v>269</v>
      </c>
      <c r="K4" s="595" t="s">
        <v>440</v>
      </c>
      <c r="L4" s="595" t="s">
        <v>87</v>
      </c>
      <c r="M4" s="595" t="s">
        <v>22172</v>
      </c>
      <c r="N4" s="598" t="s">
        <v>670</v>
      </c>
      <c r="O4" s="598" t="s">
        <v>84</v>
      </c>
      <c r="P4" s="598" t="s">
        <v>867</v>
      </c>
      <c r="Q4" s="595" t="s">
        <v>269</v>
      </c>
    </row>
    <row r="5" spans="1:17" ht="9" customHeight="1">
      <c r="A5" s="601"/>
      <c r="B5" s="601"/>
      <c r="C5" s="595"/>
      <c r="D5" s="595"/>
      <c r="E5" s="595"/>
      <c r="F5" s="595"/>
      <c r="G5" s="595"/>
      <c r="H5" s="595"/>
      <c r="I5" s="595"/>
      <c r="J5" s="595"/>
      <c r="K5" s="595"/>
      <c r="L5" s="595"/>
      <c r="M5" s="595"/>
      <c r="N5" s="598"/>
      <c r="O5" s="598"/>
      <c r="P5" s="598"/>
      <c r="Q5" s="595"/>
    </row>
    <row r="6" spans="1:17" ht="12.75" customHeight="1">
      <c r="A6" s="602"/>
      <c r="B6" s="602"/>
      <c r="C6" s="596"/>
      <c r="D6" s="597"/>
      <c r="E6" s="597"/>
      <c r="F6" s="597"/>
      <c r="G6" s="597"/>
      <c r="H6" s="597"/>
      <c r="I6" s="597"/>
      <c r="J6" s="600"/>
      <c r="K6" s="596"/>
      <c r="L6" s="596"/>
      <c r="M6" s="596"/>
      <c r="N6" s="599"/>
      <c r="O6" s="599"/>
      <c r="P6" s="599"/>
      <c r="Q6" s="596"/>
    </row>
    <row r="7" spans="1:17">
      <c r="A7" s="602"/>
      <c r="B7" s="602"/>
      <c r="C7" s="596"/>
      <c r="D7" s="30" t="s">
        <v>181</v>
      </c>
      <c r="E7" s="30" t="s">
        <v>22174</v>
      </c>
      <c r="F7" s="30" t="s">
        <v>181</v>
      </c>
      <c r="G7" s="30" t="s">
        <v>22174</v>
      </c>
      <c r="H7" s="30" t="s">
        <v>181</v>
      </c>
      <c r="I7" s="30" t="s">
        <v>22174</v>
      </c>
      <c r="J7" s="600"/>
      <c r="K7" s="596"/>
      <c r="L7" s="596"/>
      <c r="M7" s="596"/>
      <c r="N7" s="599"/>
      <c r="O7" s="599"/>
      <c r="P7" s="599"/>
      <c r="Q7" s="596"/>
    </row>
    <row r="8" spans="1:17">
      <c r="A8" s="45">
        <v>25</v>
      </c>
      <c r="B8" s="45">
        <v>12</v>
      </c>
      <c r="C8" s="43">
        <v>0.60000000000000009</v>
      </c>
      <c r="D8" s="30">
        <v>60</v>
      </c>
      <c r="E8" s="30">
        <v>1.9500000000000002</v>
      </c>
      <c r="F8" s="30">
        <v>36</v>
      </c>
      <c r="G8" s="30">
        <v>0.2</v>
      </c>
      <c r="H8" s="57">
        <v>490</v>
      </c>
      <c r="I8" s="43">
        <v>0.8</v>
      </c>
      <c r="J8" s="250">
        <v>0.85000000000000009</v>
      </c>
      <c r="K8" s="57">
        <v>25</v>
      </c>
      <c r="L8" s="57">
        <v>12</v>
      </c>
      <c r="M8" s="30" t="str">
        <f>IF(OR(Data!B$3="IH",Data!B$3="IHM",Data!B$3="IMH"),IF(K8=Data!B$4,IF(L8=Data!B$6,C8*Data!B$11,""),""),"")</f>
        <v/>
      </c>
      <c r="N8" s="30" t="str">
        <f>IF(Data!B$12&gt;0.1,IF(OR(Data!B$3="IH",Data!B$3="IHM",Data!B$3="IMH"),IF($K8=Data!B$4,IF($L8=Data!B$6,D8+E8*Data!B$12,""),""),""),"")</f>
        <v/>
      </c>
      <c r="O8" s="30" t="str">
        <f>IF(Data!B$17="Y",IF(OR(Data!B$3="IH",Data!B$3="IHM",Data!B$3="IMH"),IF($K8=Data!B$4,IF($L8=Data!B$6,F8+G8*Data!B$8,""),""),""),"")</f>
        <v/>
      </c>
      <c r="P8" s="30" t="str">
        <f>IF(Data!B$21="Y",IF(OR(Data!B$3="IH",Data!B$3="IHM",Data!B$3="IMH"),IF($K8=Data!B$4,IF($L8=Data!B$6,H8+I8*Data!B$8,""),""),""),"")</f>
        <v/>
      </c>
      <c r="Q8" s="30" t="str">
        <f>IF(OR(Data!B$3="IH",Data!B$3="IHM",Data!B$3="IMH"),IF($K8=Data!$B$4,IF($L8=Data!$B$6,J8*Data!$B$27,""),""),"")</f>
        <v/>
      </c>
    </row>
    <row r="9" spans="1:17">
      <c r="A9" s="45"/>
      <c r="B9" s="45">
        <v>18</v>
      </c>
      <c r="C9" s="381">
        <v>0.70000000000000007</v>
      </c>
      <c r="D9" s="30">
        <v>60</v>
      </c>
      <c r="E9" s="30">
        <v>2.25</v>
      </c>
      <c r="F9" s="30">
        <v>64</v>
      </c>
      <c r="G9" s="30">
        <v>0.25</v>
      </c>
      <c r="H9" s="57">
        <v>490</v>
      </c>
      <c r="I9" s="43">
        <v>0.8</v>
      </c>
      <c r="J9" s="250">
        <v>0.9</v>
      </c>
      <c r="K9" s="57">
        <v>25</v>
      </c>
      <c r="L9" s="57">
        <v>18</v>
      </c>
      <c r="M9" s="30" t="str">
        <f>IF(OR(Data!B$3="IH",Data!B$3="IHM",Data!B$3="IMH"),IF(K9=Data!B$4,IF(L9=Data!B$6,C9*Data!B$11,""),""),"")</f>
        <v/>
      </c>
      <c r="N9" s="30" t="str">
        <f>IF(Data!B$12&gt;0.1,IF(OR(Data!B$3="IH",Data!B$3="IHM",Data!B$3="IMH"),IF($K9=Data!B$4,IF($L9=Data!B$6,D9+E9*Data!B$12,""),""),""),"")</f>
        <v/>
      </c>
      <c r="O9" s="30" t="str">
        <f>IF(Data!B$17="Y",IF(OR(Data!B$3="IH",Data!B$3="IHM",Data!B$3="IMH"),IF($K9=Data!B$4,IF($L9=Data!B$6,F9+G9*Data!B$8,""),""),""),"")</f>
        <v/>
      </c>
      <c r="P9" s="30" t="str">
        <f>IF(Data!B$21="Y",IF(OR(Data!B$3="IH",Data!B$3="IHM",Data!B$3="IMH"),IF($K9=Data!B$4,IF($L9=Data!B$6,H9+I9*Data!B$8,""),""),""),"")</f>
        <v/>
      </c>
      <c r="Q9" s="30" t="str">
        <f>IF(OR(Data!B$3="IH",Data!B$3="IHM",Data!B$3="IMH"),IF($K9=Data!$B$4,IF($L9=Data!$B$6,J9*Data!$B$27,""),""),"")</f>
        <v/>
      </c>
    </row>
    <row r="10" spans="1:17">
      <c r="A10" s="30">
        <v>32</v>
      </c>
      <c r="B10" s="45">
        <v>14</v>
      </c>
      <c r="C10" s="43">
        <v>0.70000000000000007</v>
      </c>
      <c r="D10" s="30">
        <v>70</v>
      </c>
      <c r="E10" s="30">
        <v>2.2000000000000002</v>
      </c>
      <c r="F10" s="30">
        <v>64</v>
      </c>
      <c r="G10" s="30">
        <v>0.25</v>
      </c>
      <c r="H10" s="57">
        <v>490</v>
      </c>
      <c r="I10" s="43">
        <v>0.8</v>
      </c>
      <c r="J10" s="250">
        <v>0.9</v>
      </c>
      <c r="K10" s="57">
        <v>32</v>
      </c>
      <c r="L10" s="57">
        <v>14</v>
      </c>
      <c r="M10" s="30" t="str">
        <f>IF(OR(Data!B$3="IH",Data!B$3="IHM",Data!B$3="IMH"),IF(K10=Data!B$4,IF(L10=Data!B$6,C10*Data!B$11,""),""),"")</f>
        <v/>
      </c>
      <c r="N10" s="30" t="str">
        <f>IF(Data!B$12&gt;0.1,IF(OR(Data!B$3="IH",Data!B$3="IHM",Data!B$3="IMH"),IF($K10=Data!B$4,IF($L10=Data!B$6,D10+E10*Data!B$12,""),""),""),"")</f>
        <v/>
      </c>
      <c r="O10" s="30" t="str">
        <f>IF(Data!B$17="Y",IF(OR(Data!B$3="IH",Data!B$3="IHM",Data!B$3="IMH"),IF($K10=Data!B$4,IF($L10=Data!B$6,F10+G10*Data!B$8,""),""),""),"")</f>
        <v/>
      </c>
      <c r="P10" s="30" t="str">
        <f>IF(Data!B$21="Y",IF(OR(Data!B$3="IH",Data!B$3="IHM",Data!B$3="IMH"),IF($K10=Data!B$4,IF($L10=Data!B$6,H10+I10*Data!B$8,""),""),""),"")</f>
        <v/>
      </c>
      <c r="Q10" s="30" t="str">
        <f>IF(OR(Data!B$3="IH",Data!B$3="IHM",Data!B$3="IMH"),IF($K10=Data!$B$4,IF($L10=Data!$B$6,J10*Data!$B$27,""),""),"")</f>
        <v/>
      </c>
    </row>
    <row r="11" spans="1:17">
      <c r="B11" s="45">
        <v>18</v>
      </c>
      <c r="C11" s="381">
        <v>0.8</v>
      </c>
      <c r="D11" s="30">
        <v>70</v>
      </c>
      <c r="E11" s="30">
        <v>2.85</v>
      </c>
      <c r="F11" s="30">
        <v>80</v>
      </c>
      <c r="G11" s="30">
        <v>0.4</v>
      </c>
      <c r="H11" s="57">
        <v>490</v>
      </c>
      <c r="I11" s="43">
        <v>0.8</v>
      </c>
      <c r="J11" s="250">
        <v>1.05</v>
      </c>
      <c r="K11" s="57">
        <v>32</v>
      </c>
      <c r="L11" s="57">
        <v>18</v>
      </c>
      <c r="M11" s="30" t="str">
        <f>IF(OR(Data!B$3="IH",Data!B$3="IHM",Data!B$3="IMH"),IF(K11=Data!B$4,IF(L11=Data!B$6,C11*Data!B$11,""),""),"")</f>
        <v/>
      </c>
      <c r="N11" s="30" t="str">
        <f>IF(Data!B$12&gt;0.1,IF(OR(Data!B$3="IH",Data!B$3="IHM",Data!B$3="IMH"),IF($K11=Data!B$4,IF($L11=Data!B$6,D11+E11*Data!B$12,""),""),""),"")</f>
        <v/>
      </c>
      <c r="O11" s="30" t="str">
        <f>IF(Data!B$17="Y",IF(OR(Data!B$3="IH",Data!B$3="IHM",Data!B$3="IMH"),IF($K11=Data!B$4,IF($L11=Data!B$6,F11+G11*Data!B$8,""),""),""),"")</f>
        <v/>
      </c>
      <c r="P11" s="30" t="str">
        <f>IF(Data!B$21="Y",IF(OR(Data!B$3="IH",Data!B$3="IHM",Data!B$3="IMH"),IF($K11=Data!B$4,IF($L11=Data!B$6,H11+I11*Data!B$8,""),""),""),"")</f>
        <v/>
      </c>
      <c r="Q11" s="30" t="str">
        <f>IF(OR(Data!B$3="IH",Data!B$3="IHM",Data!B$3="IMH"),IF($K11=Data!$B$4,IF($L11=Data!$B$6,J11*Data!$B$27,""),""),"")</f>
        <v/>
      </c>
    </row>
    <row r="12" spans="1:17">
      <c r="A12" s="45"/>
      <c r="B12" s="45">
        <v>22</v>
      </c>
      <c r="C12" s="43">
        <v>0.70000000000000007</v>
      </c>
      <c r="D12" s="30">
        <v>70</v>
      </c>
      <c r="E12" s="30">
        <v>2.2000000000000002</v>
      </c>
      <c r="F12" s="30">
        <v>150</v>
      </c>
      <c r="G12" s="30">
        <v>0.25</v>
      </c>
      <c r="H12" s="57">
        <v>490</v>
      </c>
      <c r="I12" s="43">
        <v>0.8</v>
      </c>
      <c r="J12" s="250">
        <v>0.9</v>
      </c>
      <c r="K12" s="57">
        <v>32</v>
      </c>
      <c r="L12" s="57">
        <v>22</v>
      </c>
      <c r="M12" s="30" t="str">
        <f>IF(OR(Data!B$3="IH",Data!B$3="IHM",Data!B$3="IMH"),IF(K12=Data!B$4,IF(L12=Data!B$6,C12*Data!B$11,""),""),"")</f>
        <v/>
      </c>
      <c r="N12" s="30" t="str">
        <f>IF(Data!B$12&gt;0.1,IF(OR(Data!B$3="IH",Data!B$3="IHM",Data!B$3="IMH"),IF($K12=Data!B$4,IF($L12=Data!B$6,D12+E12*Data!B$12,""),""),""),"")</f>
        <v/>
      </c>
      <c r="O12" s="30" t="str">
        <f>IF(Data!B$17="Y",IF(OR(Data!B$3="IH",Data!B$3="IHM",Data!B$3="IMH"),IF($K12=Data!B$4,IF($L12=Data!B$6,F12+G12*Data!B$8,""),""),""),"")</f>
        <v/>
      </c>
      <c r="P12" s="30" t="str">
        <f>IF(Data!B$21="Y",IF(OR(Data!B$3="IH",Data!B$3="IHM",Data!B$3="IMH"),IF($K12=Data!B$4,IF($L12=Data!B$6,H12+I12*Data!B$8,""),""),""),"")</f>
        <v/>
      </c>
      <c r="Q12" s="30" t="str">
        <f>IF(OR(Data!B$3="IH",Data!B$3="IHM",Data!B$3="IMH"),IF($K12=Data!$B$4,IF($L12=Data!$B$6,J12*Data!$B$27,""),""),"")</f>
        <v/>
      </c>
    </row>
    <row r="13" spans="1:17">
      <c r="A13" s="30">
        <v>40</v>
      </c>
      <c r="B13" s="45">
        <v>18</v>
      </c>
      <c r="C13" s="43">
        <v>0.8</v>
      </c>
      <c r="D13" s="30">
        <v>80</v>
      </c>
      <c r="E13" s="30">
        <v>2.4000000000000004</v>
      </c>
      <c r="F13" s="30">
        <v>100</v>
      </c>
      <c r="G13" s="30">
        <v>0.4</v>
      </c>
      <c r="H13" s="57">
        <v>490</v>
      </c>
      <c r="I13" s="43">
        <v>0.8</v>
      </c>
      <c r="J13" s="250">
        <v>1.05</v>
      </c>
      <c r="K13" s="57">
        <v>40</v>
      </c>
      <c r="L13" s="57">
        <v>18</v>
      </c>
      <c r="M13" s="30" t="str">
        <f>IF(OR(Data!B$3="IH",Data!B$3="IHM",Data!B$3="IMH"),IF(K13=Data!B$4,IF(L13=Data!B$6,C13*Data!B$11,""),""),"")</f>
        <v/>
      </c>
      <c r="N13" s="30" t="str">
        <f>IF(Data!B$12&gt;0.1,IF(OR(Data!B$3="IH",Data!B$3="IHM",Data!B$3="IMH"),IF($K13=Data!B$4,IF($L13=Data!B$6,D13+E13*Data!B$12,""),""),""),"")</f>
        <v/>
      </c>
      <c r="O13" s="30" t="str">
        <f>IF(Data!B$17="Y",IF(OR(Data!B$3="IH",Data!B$3="IHM",Data!B$3="IMH"),IF($K13=Data!B$4,IF($L13=Data!B$6,F13+G13*Data!B$8,""),""),""),"")</f>
        <v/>
      </c>
      <c r="P13" s="30" t="str">
        <f>IF(Data!B$21="Y",IF(OR(Data!B$3="IH",Data!B$3="IHM",Data!B$3="IMH"),IF($K13=Data!B$4,IF($L13=Data!B$6,H13+I13*Data!B$8,""),""),""),"")</f>
        <v/>
      </c>
      <c r="Q13" s="30" t="str">
        <f>IF(OR(Data!B$3="IH",Data!B$3="IHM",Data!B$3="IMH"),IF($K13=Data!$B$4,IF($L13=Data!$B$6,J13*Data!$B$27,""),""),"")</f>
        <v/>
      </c>
    </row>
    <row r="14" spans="1:17">
      <c r="A14" s="45"/>
      <c r="B14" s="45">
        <v>22</v>
      </c>
      <c r="C14" s="381">
        <v>0.85000000000000009</v>
      </c>
      <c r="D14" s="30">
        <v>80</v>
      </c>
      <c r="E14" s="30">
        <v>2.85</v>
      </c>
      <c r="F14" s="30">
        <v>264</v>
      </c>
      <c r="G14" s="30">
        <v>0.45</v>
      </c>
      <c r="H14" s="57">
        <v>490</v>
      </c>
      <c r="I14" s="43">
        <v>0.8</v>
      </c>
      <c r="J14" s="250">
        <v>1.3</v>
      </c>
      <c r="K14" s="57">
        <v>40</v>
      </c>
      <c r="L14" s="57">
        <v>22</v>
      </c>
      <c r="M14" s="30" t="str">
        <f>IF(OR(Data!B$3="IH",Data!B$3="IHM",Data!B$3="IMH"),IF(K14=Data!B$4,IF(L14=Data!B$6,C14*Data!B$11,""),""),"")</f>
        <v/>
      </c>
      <c r="N14" s="30" t="str">
        <f>IF(Data!B$12&gt;0.1,IF(OR(Data!B$3="IH",Data!B$3="IHM",Data!B$3="IMH"),IF($K14=Data!B$4,IF($L14=Data!B$6,D14+E14*Data!B$12,""),""),""),"")</f>
        <v/>
      </c>
      <c r="O14" s="30" t="str">
        <f>IF(Data!B$17="Y",IF(OR(Data!B$3="IH",Data!B$3="IHM",Data!B$3="IMH"),IF($K14=Data!B$4,IF($L14=Data!B$6,F14+G14*Data!B$8,""),""),""),"")</f>
        <v/>
      </c>
      <c r="P14" s="30" t="str">
        <f>IF(Data!B$21="Y",IF(OR(Data!B$3="IH",Data!B$3="IHM",Data!B$3="IMH"),IF($K14=Data!B$4,IF($L14=Data!B$6,H14+I14*Data!B$8,""),""),""),"")</f>
        <v/>
      </c>
      <c r="Q14" s="30" t="str">
        <f>IF(OR(Data!B$3="IH",Data!B$3="IHM",Data!B$3="IMH"),IF($K14=Data!$B$4,IF($L14=Data!$B$6,J14*Data!$B$27,""),""),"")</f>
        <v/>
      </c>
    </row>
    <row r="15" spans="1:17">
      <c r="A15" s="45"/>
      <c r="B15" s="45">
        <v>28</v>
      </c>
      <c r="C15" s="43">
        <v>0.8</v>
      </c>
      <c r="D15" s="30">
        <v>80</v>
      </c>
      <c r="E15" s="30">
        <v>2.6500000000000004</v>
      </c>
      <c r="F15" s="30">
        <v>350</v>
      </c>
      <c r="G15" s="30">
        <v>0.4</v>
      </c>
      <c r="H15" s="57">
        <v>490</v>
      </c>
      <c r="I15" s="43">
        <v>0.8</v>
      </c>
      <c r="J15" s="250">
        <v>1.05</v>
      </c>
      <c r="K15" s="57">
        <v>40</v>
      </c>
      <c r="L15" s="57">
        <v>28</v>
      </c>
      <c r="M15" s="30" t="str">
        <f>IF(OR(Data!B$3="IH",Data!B$3="IHM",Data!B$3="IMH"),IF(K15=Data!B$4,IF(L15=Data!B$6,C15*Data!B$11,""),""),"")</f>
        <v/>
      </c>
      <c r="N15" s="30" t="str">
        <f>IF(Data!B$12&gt;0.1,IF(OR(Data!B$3="IH",Data!B$3="IHM",Data!B$3="IMH"),IF($K15=Data!B$4,IF($L15=Data!B$6,D15+E15*Data!B$12,""),""),""),"")</f>
        <v/>
      </c>
      <c r="O15" s="30" t="str">
        <f>IF(Data!B$17="Y",IF(OR(Data!B$3="IH",Data!B$3="IHM",Data!B$3="IMH"),IF($K15=Data!B$4,IF($L15=Data!B$6,F15+G15*Data!B$8,""),""),""),"")</f>
        <v/>
      </c>
      <c r="P15" s="30" t="str">
        <f>IF(Data!B$21="Y",IF(OR(Data!B$3="IH",Data!B$3="IHM",Data!B$3="IMH"),IF($K15=Data!B$4,IF($L15=Data!B$6,H15+I15*Data!B$8,""),""),""),"")</f>
        <v/>
      </c>
      <c r="Q15" s="30" t="str">
        <f>IF(OR(Data!B$3="IH",Data!B$3="IHM",Data!B$3="IMH"),IF($K15=Data!$B$4,IF($L15=Data!$B$6,J15*Data!$B$27,""),""),"")</f>
        <v/>
      </c>
    </row>
    <row r="16" spans="1:17">
      <c r="A16" s="30">
        <v>50</v>
      </c>
      <c r="B16" s="45">
        <v>22</v>
      </c>
      <c r="C16" s="43">
        <v>0.85000000000000009</v>
      </c>
      <c r="D16" s="30">
        <v>90</v>
      </c>
      <c r="E16" s="30">
        <v>3.1</v>
      </c>
      <c r="F16" s="30">
        <v>280</v>
      </c>
      <c r="G16" s="30">
        <v>0.45</v>
      </c>
      <c r="H16" s="57">
        <v>490</v>
      </c>
      <c r="I16" s="43">
        <v>0.8</v>
      </c>
      <c r="J16" s="250">
        <v>1.3</v>
      </c>
      <c r="K16" s="57">
        <v>50</v>
      </c>
      <c r="L16" s="57">
        <v>22</v>
      </c>
      <c r="M16" s="30" t="str">
        <f>IF(OR(Data!B$3="IH",Data!B$3="IHM",Data!B$3="IMH"),IF(K16=Data!B$4,IF(L16=Data!B$6,C16*Data!B$11,""),""),"")</f>
        <v/>
      </c>
      <c r="N16" s="30" t="str">
        <f>IF(Data!B$12&gt;0.1,IF(OR(Data!B$3="IH",Data!B$3="IHM",Data!B$3="IMH"),IF($K16=Data!B$4,IF($L16=Data!B$6,D16+E16*Data!B$12,""),""),""),"")</f>
        <v/>
      </c>
      <c r="O16" s="30" t="str">
        <f>IF(Data!B$17="Y",IF(OR(Data!B$3="IH",Data!B$3="IHM",Data!B$3="IMH"),IF($K16=Data!B$4,IF($L16=Data!B$6,F16+G16*Data!B$8,""),""),""),"")</f>
        <v/>
      </c>
      <c r="P16" s="30" t="str">
        <f>IF(Data!B$21="Y",IF(OR(Data!B$3="IH",Data!B$3="IHM",Data!B$3="IMH"),IF($K16=Data!B$4,IF($L16=Data!B$6,H16+I16*Data!B$8,""),""),""),"")</f>
        <v/>
      </c>
      <c r="Q16" s="30" t="str">
        <f>IF(OR(Data!B$3="IH",Data!B$3="IHM",Data!B$3="IMH"),IF($K16=Data!$B$4,IF($L16=Data!$B$6,J16*Data!$B$27,""),""),"")</f>
        <v/>
      </c>
    </row>
    <row r="17" spans="1:17">
      <c r="A17" s="45"/>
      <c r="B17" s="45">
        <v>28</v>
      </c>
      <c r="C17" s="381">
        <v>0.9</v>
      </c>
      <c r="D17" s="30">
        <v>90</v>
      </c>
      <c r="E17" s="30">
        <v>4.05</v>
      </c>
      <c r="F17" s="30">
        <v>382</v>
      </c>
      <c r="G17" s="30">
        <v>0.55000000000000004</v>
      </c>
      <c r="H17" s="57">
        <v>490</v>
      </c>
      <c r="I17" s="43">
        <v>0.8</v>
      </c>
      <c r="J17" s="250">
        <v>1.4000000000000001</v>
      </c>
      <c r="K17" s="57">
        <v>50</v>
      </c>
      <c r="L17" s="57">
        <v>28</v>
      </c>
      <c r="M17" s="30" t="str">
        <f>IF(OR(Data!B$3="IH",Data!B$3="IHM",Data!B$3="IMH"),IF(K17=Data!B$4,IF(L17=Data!B$6,C17*Data!B$11,""),""),"")</f>
        <v/>
      </c>
      <c r="N17" s="30" t="str">
        <f>IF(Data!B$12&gt;0.1,IF(OR(Data!B$3="IH",Data!B$3="IHM",Data!B$3="IMH"),IF($K17=Data!B$4,IF($L17=Data!B$6,D17+E17*Data!B$12,""),""),""),"")</f>
        <v/>
      </c>
      <c r="O17" s="30" t="str">
        <f>IF(Data!B$17="Y",IF(OR(Data!B$3="IH",Data!B$3="IHM",Data!B$3="IMH"),IF($K17=Data!B$4,IF($L17=Data!B$6,F17+G17*Data!B$8,""),""),""),"")</f>
        <v/>
      </c>
      <c r="P17" s="30" t="str">
        <f>IF(Data!B$21="Y",IF(OR(Data!B$3="IH",Data!B$3="IHM",Data!B$3="IMH"),IF($K17=Data!B$4,IF($L17=Data!B$6,H17+I17*Data!B$8,""),""),""),"")</f>
        <v/>
      </c>
      <c r="Q17" s="30" t="str">
        <f>IF(OR(Data!B$3="IH",Data!B$3="IHM",Data!B$3="IMH"),IF($K17=Data!$B$4,IF($L17=Data!$B$6,J17*Data!$B$27,""),""),"")</f>
        <v/>
      </c>
    </row>
    <row r="18" spans="1:17">
      <c r="B18" s="45">
        <v>36</v>
      </c>
      <c r="C18" s="43">
        <v>0.85000000000000009</v>
      </c>
      <c r="D18" s="30">
        <v>90</v>
      </c>
      <c r="E18" s="30">
        <v>3.5</v>
      </c>
      <c r="F18" s="30">
        <v>500</v>
      </c>
      <c r="G18" s="30">
        <v>0.45</v>
      </c>
      <c r="H18" s="57">
        <v>490</v>
      </c>
      <c r="I18" s="43">
        <v>0.85000000000000009</v>
      </c>
      <c r="J18" s="250">
        <v>1.3</v>
      </c>
      <c r="K18" s="57">
        <v>50</v>
      </c>
      <c r="L18" s="57">
        <v>36</v>
      </c>
      <c r="M18" s="30" t="str">
        <f>IF(OR(Data!B$3="IH",Data!B$3="IHM",Data!B$3="IMH"),IF(K18=Data!B$4,IF(L18=Data!B$6,C18*Data!B$11,""),""),"")</f>
        <v/>
      </c>
      <c r="N18" s="30" t="str">
        <f>IF(Data!B$12&gt;0.1,IF(OR(Data!B$3="IH",Data!B$3="IHM",Data!B$3="IMH"),IF($K18=Data!B$4,IF($L18=Data!B$6,D18+E18*Data!B$12,""),""),""),"")</f>
        <v/>
      </c>
      <c r="O18" s="30" t="str">
        <f>IF(Data!B$17="Y",IF(OR(Data!B$3="IH",Data!B$3="IHM",Data!B$3="IMH"),IF($K18=Data!B$4,IF($L18=Data!B$6,F18+G18*Data!B$8,""),""),""),"")</f>
        <v/>
      </c>
      <c r="P18" s="30" t="str">
        <f>IF(Data!B$21="Y",IF(OR(Data!B$3="IH",Data!B$3="IHM",Data!B$3="IMH"),IF($K18=Data!B$4,IF($L18=Data!B$6,H18+I18*Data!B$8,""),""),""),"")</f>
        <v/>
      </c>
      <c r="Q18" s="30" t="str">
        <f>IF(OR(Data!B$3="IH",Data!B$3="IHM",Data!B$3="IMH"),IF($K18=Data!$B$4,IF($L18=Data!$B$6,J18*Data!$B$27,""),""),"")</f>
        <v/>
      </c>
    </row>
    <row r="19" spans="1:17">
      <c r="A19" s="30">
        <v>63</v>
      </c>
      <c r="B19" s="45">
        <v>28</v>
      </c>
      <c r="C19" s="43">
        <v>0.9</v>
      </c>
      <c r="D19" s="30">
        <v>150</v>
      </c>
      <c r="E19" s="30">
        <v>3.6</v>
      </c>
      <c r="F19" s="30">
        <v>400</v>
      </c>
      <c r="G19" s="30">
        <v>0.55000000000000004</v>
      </c>
      <c r="H19" s="57">
        <v>490</v>
      </c>
      <c r="I19" s="43">
        <v>0.85000000000000009</v>
      </c>
      <c r="J19" s="250">
        <v>1.4000000000000001</v>
      </c>
      <c r="K19" s="57">
        <v>63</v>
      </c>
      <c r="L19" s="57">
        <v>28</v>
      </c>
      <c r="M19" s="30" t="str">
        <f>IF(OR(Data!B$3="IH",Data!B$3="IHM",Data!B$3="IMH"),IF(K19=Data!B$4,IF(L19=Data!B$6,C19*Data!B$11,""),""),"")</f>
        <v/>
      </c>
      <c r="N19" s="30" t="str">
        <f>IF(Data!B$12&gt;0.1,IF(OR(Data!B$3="IH",Data!B$3="IHM",Data!B$3="IMH"),IF($K19=Data!B$4,IF($L19=Data!B$6,D19+E19*Data!B$12,""),""),""),"")</f>
        <v/>
      </c>
      <c r="O19" s="30" t="str">
        <f>IF(Data!B$17="Y",IF(OR(Data!B$3="IH",Data!B$3="IHM",Data!B$3="IMH"),IF($K19=Data!B$4,IF($L19=Data!B$6,F19+G19*Data!B$8,""),""),""),"")</f>
        <v/>
      </c>
      <c r="P19" s="30" t="str">
        <f>IF(Data!B$21="Y",IF(OR(Data!B$3="IH",Data!B$3="IHM",Data!B$3="IMH"),IF($K19=Data!B$4,IF($L19=Data!B$6,H19+I19*Data!B$8,""),""),""),"")</f>
        <v/>
      </c>
      <c r="Q19" s="30" t="str">
        <f>IF(OR(Data!B$3="IH",Data!B$3="IHM",Data!B$3="IMH"),IF($K19=Data!$B$4,IF($L19=Data!$B$6,J19*Data!$B$27,""),""),"")</f>
        <v/>
      </c>
    </row>
    <row r="20" spans="1:17">
      <c r="B20" s="45">
        <v>36</v>
      </c>
      <c r="C20" s="381">
        <v>1.05</v>
      </c>
      <c r="D20" s="30">
        <v>150</v>
      </c>
      <c r="E20" s="30">
        <v>4.6500000000000004</v>
      </c>
      <c r="F20" s="30">
        <v>729</v>
      </c>
      <c r="G20" s="30">
        <v>0.8</v>
      </c>
      <c r="H20" s="57">
        <v>490</v>
      </c>
      <c r="I20" s="43">
        <v>0.85000000000000009</v>
      </c>
      <c r="J20" s="250">
        <v>1.5</v>
      </c>
      <c r="K20" s="57">
        <v>63</v>
      </c>
      <c r="L20" s="57">
        <v>36</v>
      </c>
      <c r="M20" s="30" t="str">
        <f>IF(OR(Data!B$3="IH",Data!B$3="IHM",Data!B$3="IMH"),IF(K20=Data!B$4,IF(L20=Data!B$6,C20*Data!B$11,""),""),"")</f>
        <v/>
      </c>
      <c r="N20" s="30" t="str">
        <f>IF(Data!B$12&gt;0.1,IF(OR(Data!B$3="IH",Data!B$3="IHM",Data!B$3="IMH"),IF($K20=Data!B$4,IF($L20=Data!B$6,D20+E20*Data!B$12,""),""),""),"")</f>
        <v/>
      </c>
      <c r="O20" s="30" t="str">
        <f>IF(Data!B$17="Y",IF(OR(Data!B$3="IH",Data!B$3="IHM",Data!B$3="IMH"),IF($K20=Data!B$4,IF($L20=Data!B$6,F20+G20*Data!B$8,""),""),""),"")</f>
        <v/>
      </c>
      <c r="P20" s="30" t="str">
        <f>IF(Data!B$21="Y",IF(OR(Data!B$3="IH",Data!B$3="IHM",Data!B$3="IMH"),IF($K20=Data!B$4,IF($L20=Data!B$6,H20+I20*Data!B$8,""),""),""),"")</f>
        <v/>
      </c>
      <c r="Q20" s="30" t="str">
        <f>IF(OR(Data!B$3="IH",Data!B$3="IHM",Data!B$3="IMH"),IF($K20=Data!$B$4,IF($L20=Data!$B$6,J20*Data!$B$27,""),""),"")</f>
        <v/>
      </c>
    </row>
    <row r="21" spans="1:17">
      <c r="B21" s="45">
        <v>45</v>
      </c>
      <c r="C21" s="43">
        <v>2</v>
      </c>
      <c r="D21" s="30">
        <v>150</v>
      </c>
      <c r="E21" s="30">
        <v>4.5</v>
      </c>
      <c r="F21" s="30">
        <v>900</v>
      </c>
      <c r="G21" s="30">
        <v>0.55000000000000004</v>
      </c>
      <c r="H21" s="57">
        <v>510</v>
      </c>
      <c r="I21" s="43">
        <v>0.85000000000000009</v>
      </c>
      <c r="J21" s="250">
        <v>1.4000000000000001</v>
      </c>
      <c r="K21" s="57">
        <v>63</v>
      </c>
      <c r="L21" s="57">
        <v>45</v>
      </c>
      <c r="M21" s="30" t="str">
        <f>IF(OR(Data!B$3="IH",Data!B$3="IHM",Data!B$3="IMH"),IF(K21=Data!B$4,IF(L21=Data!B$6,C21*Data!B$11,""),""),"")</f>
        <v/>
      </c>
      <c r="N21" s="30" t="str">
        <f>IF(Data!B$12&gt;0.1,IF(OR(Data!B$3="IH",Data!B$3="IHM",Data!B$3="IMH"),IF($K21=Data!B$4,IF($L21=Data!B$6,D21+E21*Data!B$12,""),""),""),"")</f>
        <v/>
      </c>
      <c r="O21" s="30" t="str">
        <f>IF(Data!B$17="Y",IF(OR(Data!B$3="IH",Data!B$3="IHM",Data!B$3="IMH"),IF($K21=Data!B$4,IF($L21=Data!B$6,F21+G21*Data!B$8,""),""),""),"")</f>
        <v/>
      </c>
      <c r="P21" s="30" t="str">
        <f>IF(Data!B$21="Y",IF(OR(Data!B$3="IH",Data!B$3="IHM",Data!B$3="IMH"),IF($K21=Data!B$4,IF($L21=Data!B$6,H21+I21*Data!B$8,""),""),""),"")</f>
        <v/>
      </c>
      <c r="Q21" s="30" t="str">
        <f>IF(OR(Data!B$3="IH",Data!B$3="IHM",Data!B$3="IMH"),IF($K21=Data!$B$4,IF($L21=Data!$B$6,J21*Data!$B$27,""),""),"")</f>
        <v/>
      </c>
    </row>
    <row r="22" spans="1:17">
      <c r="A22" s="30">
        <v>80</v>
      </c>
      <c r="B22" s="45">
        <v>36</v>
      </c>
      <c r="C22" s="43">
        <v>1.05</v>
      </c>
      <c r="D22" s="30">
        <v>180</v>
      </c>
      <c r="E22" s="30">
        <v>5</v>
      </c>
      <c r="F22" s="30">
        <v>729</v>
      </c>
      <c r="G22" s="30">
        <v>0.8</v>
      </c>
      <c r="H22" s="57">
        <v>510</v>
      </c>
      <c r="I22" s="43">
        <v>0.85000000000000009</v>
      </c>
      <c r="J22" s="250">
        <v>1.5</v>
      </c>
      <c r="K22" s="57">
        <v>80</v>
      </c>
      <c r="L22" s="57">
        <v>36</v>
      </c>
      <c r="M22" s="30" t="str">
        <f>IF(OR(Data!B$3="IH",Data!B$3="IHM",Data!B$3="IMH"),IF(K22=Data!B$4,IF(L22=Data!B$6,C22*Data!B$11,""),""),"")</f>
        <v/>
      </c>
      <c r="N22" s="30" t="str">
        <f>IF(Data!B$12&gt;0.1,IF(OR(Data!B$3="IH",Data!B$3="IHM",Data!B$3="IMH"),IF($K22=Data!B$4,IF($L22=Data!B$6,D22+E22*Data!B$12,""),""),""),"")</f>
        <v/>
      </c>
      <c r="O22" s="30" t="str">
        <f>IF(Data!B$17="Y",IF(OR(Data!B$3="IH",Data!B$3="IHM",Data!B$3="IMH"),IF($K22=Data!B$4,IF($L22=Data!B$6,F22+G22*Data!B$8,""),""),""),"")</f>
        <v/>
      </c>
      <c r="P22" s="30" t="str">
        <f>IF(Data!B$21="Y",IF(OR(Data!B$3="IH",Data!B$3="IHM",Data!B$3="IMH"),IF($K22=Data!B$4,IF($L22=Data!B$6,H22+I22*Data!B$8,""),""),""),"")</f>
        <v/>
      </c>
      <c r="Q22" s="30" t="str">
        <f>IF(OR(Data!B$3="IH",Data!B$3="IHM",Data!B$3="IMH"),IF($K22=Data!$B$4,IF($L22=Data!$B$6,J22*Data!$B$27,""),""),"")</f>
        <v/>
      </c>
    </row>
    <row r="23" spans="1:17">
      <c r="B23" s="45">
        <v>45</v>
      </c>
      <c r="C23" s="381">
        <v>2</v>
      </c>
      <c r="D23" s="30">
        <v>180</v>
      </c>
      <c r="E23" s="30">
        <v>5.9</v>
      </c>
      <c r="F23" s="30">
        <v>1119</v>
      </c>
      <c r="G23" s="30">
        <v>1.05</v>
      </c>
      <c r="H23" s="57">
        <v>510</v>
      </c>
      <c r="I23" s="43">
        <v>0.85000000000000009</v>
      </c>
      <c r="J23" s="250">
        <v>2.9000000000000004</v>
      </c>
      <c r="K23" s="57">
        <v>80</v>
      </c>
      <c r="L23" s="57">
        <v>45</v>
      </c>
      <c r="M23" s="30" t="str">
        <f>IF(OR(Data!B$3="IH",Data!B$3="IHM",Data!B$3="IMH"),IF(K23=Data!B$4,IF(L23=Data!B$6,C23*Data!B$11,""),""),"")</f>
        <v/>
      </c>
      <c r="N23" s="30" t="str">
        <f>IF(Data!B$12&gt;0.1,IF(OR(Data!B$3="IH",Data!B$3="IHM",Data!B$3="IMH"),IF($K23=Data!B$4,IF($L23=Data!B$6,D23+E23*Data!B$12,""),""),""),"")</f>
        <v/>
      </c>
      <c r="O23" s="30" t="str">
        <f>IF(Data!B$17="Y",IF(OR(Data!B$3="IH",Data!B$3="IHM",Data!B$3="IMH"),IF($K23=Data!B$4,IF($L23=Data!B$6,F23+G23*Data!B$8,""),""),""),"")</f>
        <v/>
      </c>
      <c r="P23" s="30" t="str">
        <f>IF(Data!B$21="Y",IF(OR(Data!B$3="IH",Data!B$3="IHM",Data!B$3="IMH"),IF($K23=Data!B$4,IF($L23=Data!B$6,H23+I23*Data!B$8,""),""),""),"")</f>
        <v/>
      </c>
      <c r="Q23" s="30" t="str">
        <f>IF(OR(Data!B$3="IH",Data!B$3="IHM",Data!B$3="IMH"),IF($K23=Data!$B$4,IF($L23=Data!$B$6,J23*Data!$B$27,""),""),"")</f>
        <v/>
      </c>
    </row>
    <row r="24" spans="1:17">
      <c r="B24" s="45">
        <v>56</v>
      </c>
      <c r="C24" s="381">
        <v>3</v>
      </c>
      <c r="D24" s="30">
        <v>180</v>
      </c>
      <c r="E24" s="30">
        <v>6.5500000000000007</v>
      </c>
      <c r="F24" s="30">
        <v>1414</v>
      </c>
      <c r="G24" s="30">
        <v>1.4000000000000001</v>
      </c>
      <c r="H24" s="57">
        <v>510</v>
      </c>
      <c r="I24" s="43">
        <v>0.85000000000000009</v>
      </c>
      <c r="J24" s="250">
        <v>3.4000000000000004</v>
      </c>
      <c r="K24" s="57">
        <v>80</v>
      </c>
      <c r="L24" s="57">
        <v>56</v>
      </c>
      <c r="M24" s="30" t="str">
        <f>IF(OR(Data!B$3="IH",Data!B$3="IHM",Data!B$3="IMH"),IF(K24=Data!B$4,IF(L24=Data!B$6,C24*Data!B$11,""),""),"")</f>
        <v/>
      </c>
      <c r="N24" s="30" t="str">
        <f>IF(Data!B$12&gt;0.1,IF(OR(Data!B$3="IH",Data!B$3="IHM",Data!B$3="IMH"),IF($K24=Data!B$4,IF($L24=Data!B$6,D24+E24*Data!B$12,""),""),""),"")</f>
        <v/>
      </c>
      <c r="O24" s="30" t="str">
        <f>IF(Data!B$17="Y",IF(OR(Data!B$3="IH",Data!B$3="IHM",Data!B$3="IMH"),IF($K24=Data!B$4,IF($L24=Data!B$6,F24+G24*Data!B$8,""),""),""),"")</f>
        <v/>
      </c>
      <c r="P24" s="30" t="str">
        <f>IF(Data!B$21="Y",IF(OR(Data!B$3="IH",Data!B$3="IHM",Data!B$3="IMH"),IF($K24=Data!B$4,IF($L24=Data!B$6,H24+I24*Data!B$8,""),""),""),"")</f>
        <v/>
      </c>
      <c r="Q24" s="30" t="str">
        <f>IF(OR(Data!B$3="IH",Data!B$3="IHM",Data!B$3="IMH"),IF($K24=Data!$B$4,IF($L24=Data!$B$6,J24*Data!$B$27,""),""),"")</f>
        <v/>
      </c>
    </row>
    <row r="25" spans="1:17">
      <c r="A25" s="30">
        <v>100</v>
      </c>
      <c r="B25" s="45">
        <v>45</v>
      </c>
      <c r="C25" s="43">
        <v>2</v>
      </c>
      <c r="D25" s="30">
        <v>250</v>
      </c>
      <c r="E25" s="30">
        <v>5.6000000000000005</v>
      </c>
      <c r="F25" s="30">
        <v>1200</v>
      </c>
      <c r="G25" s="30">
        <v>0.8</v>
      </c>
      <c r="H25" s="57">
        <v>510</v>
      </c>
      <c r="I25" s="43">
        <v>0.85000000000000009</v>
      </c>
      <c r="J25" s="250">
        <v>1.5</v>
      </c>
      <c r="K25" s="57">
        <v>100</v>
      </c>
      <c r="L25" s="57">
        <v>45</v>
      </c>
      <c r="M25" s="30" t="str">
        <f>IF(OR(Data!B$3="IH",Data!B$3="IHM",Data!B$3="IMH"),IF(K25=Data!B$4,IF(L25=Data!B$6,C25*Data!B$11,""),""),"")</f>
        <v/>
      </c>
      <c r="N25" s="30" t="str">
        <f>IF(Data!B$12&gt;0.1,IF(OR(Data!B$3="IH",Data!B$3="IHM",Data!B$3="IMH"),IF($K25=Data!B$4,IF($L25=Data!B$6,D25+E25*Data!B$12,""),""),""),"")</f>
        <v/>
      </c>
      <c r="O25" s="30" t="str">
        <f>IF(Data!B$17="Y",IF(OR(Data!B$3="IH",Data!B$3="IHM",Data!B$3="IMH"),IF($K25=Data!B$4,IF($L25=Data!B$6,F25+G25*Data!B$8,""),""),""),"")</f>
        <v/>
      </c>
      <c r="P25" s="30" t="str">
        <f>IF(Data!B$21="Y",IF(OR(Data!B$3="IH",Data!B$3="IHM",Data!B$3="IMH"),IF($K25=Data!B$4,IF($L25=Data!B$6,H25+I25*Data!B$8,""),""),""),"")</f>
        <v/>
      </c>
      <c r="Q25" s="30" t="str">
        <f>IF(OR(Data!B$3="IH",Data!B$3="IHM",Data!B$3="IMH"),IF($K25=Data!$B$4,IF($L25=Data!$B$6,J25*Data!$B$27,""),""),"")</f>
        <v/>
      </c>
    </row>
    <row r="26" spans="1:17">
      <c r="B26" s="45">
        <v>56</v>
      </c>
      <c r="C26" s="43">
        <v>3</v>
      </c>
      <c r="D26" s="30">
        <v>250</v>
      </c>
      <c r="E26" s="30">
        <v>6.2</v>
      </c>
      <c r="F26" s="30">
        <v>1500</v>
      </c>
      <c r="G26" s="30">
        <v>1.05</v>
      </c>
      <c r="H26" s="57">
        <v>510</v>
      </c>
      <c r="I26" s="43">
        <v>0.85000000000000009</v>
      </c>
      <c r="J26" s="250">
        <v>2.9000000000000004</v>
      </c>
      <c r="K26" s="57">
        <v>100</v>
      </c>
      <c r="L26" s="57">
        <v>56</v>
      </c>
      <c r="M26" s="30" t="str">
        <f>IF(OR(Data!B$3="IH",Data!B$3="IHM",Data!B$3="IMH"),IF(K26=Data!B$4,IF(L26=Data!B$6,C26*Data!B$11,""),""),"")</f>
        <v/>
      </c>
      <c r="N26" s="30" t="str">
        <f>IF(Data!B$12&gt;0.1,IF(OR(Data!B$3="IH",Data!B$3="IHM",Data!B$3="IMH"),IF($K26=Data!B$4,IF($L26=Data!B$6,D26+E26*Data!B$12,""),""),""),"")</f>
        <v/>
      </c>
      <c r="O26" s="30" t="str">
        <f>IF(Data!B$17="Y",IF(OR(Data!B$3="IH",Data!B$3="IHM",Data!B$3="IMH"),IF($K26=Data!B$4,IF($L26=Data!B$6,F26+G26*Data!B$8,""),""),""),"")</f>
        <v/>
      </c>
      <c r="P26" s="30" t="str">
        <f>IF(Data!B$21="Y",IF(OR(Data!B$3="IH",Data!B$3="IHM",Data!B$3="IMH"),IF($K26=Data!B$4,IF($L26=Data!B$6,H26+I26*Data!B$8,""),""),""),"")</f>
        <v/>
      </c>
      <c r="Q26" s="30" t="str">
        <f>IF(OR(Data!B$3="IH",Data!B$3="IHM",Data!B$3="IMH"),IF($K26=Data!$B$4,IF($L26=Data!$B$6,J26*Data!$B$27,""),""),"")</f>
        <v/>
      </c>
    </row>
    <row r="27" spans="1:17">
      <c r="B27" s="45">
        <v>70</v>
      </c>
      <c r="C27" s="43">
        <v>4</v>
      </c>
      <c r="D27" s="30">
        <v>250</v>
      </c>
      <c r="E27" s="30">
        <v>7.15</v>
      </c>
      <c r="F27" s="30">
        <v>1600</v>
      </c>
      <c r="G27" s="30">
        <v>1.4000000000000001</v>
      </c>
      <c r="H27" s="57">
        <v>510</v>
      </c>
      <c r="I27" s="43">
        <v>0.85000000000000009</v>
      </c>
      <c r="J27" s="250">
        <v>3.4000000000000004</v>
      </c>
      <c r="K27" s="57">
        <v>100</v>
      </c>
      <c r="L27" s="57">
        <v>70</v>
      </c>
      <c r="M27" s="30" t="str">
        <f>IF(OR(Data!B$3="IH",Data!B$3="IHM",Data!B$3="IMH"),IF(K27=Data!B$4,IF(L27=Data!B$6,C27*Data!B$11,""),""),"")</f>
        <v/>
      </c>
      <c r="N27" s="30" t="str">
        <f>IF(Data!B$12&gt;0.1,IF(OR(Data!B$3="IH",Data!B$3="IHM",Data!B$3="IMH"),IF($K27=Data!B$4,IF($L27=Data!B$6,D27+E27*Data!B$12,""),""),""),"")</f>
        <v/>
      </c>
      <c r="O27" s="30" t="str">
        <f>IF(Data!B$17="Y",IF(OR(Data!B$3="IH",Data!B$3="IHM",Data!B$3="IMH"),IF($K27=Data!B$4,IF($L27=Data!B$6,F27+G27*Data!B$8,""),""),""),"")</f>
        <v/>
      </c>
      <c r="P27" s="30" t="str">
        <f>IF(Data!B$21="Y",IF(OR(Data!B$3="IH",Data!B$3="IHM",Data!B$3="IMH"),IF($K27=Data!B$4,IF($L27=Data!B$6,H27+I27*Data!B$8,""),""),""),"")</f>
        <v/>
      </c>
      <c r="Q27" s="30" t="str">
        <f>IF(OR(Data!B$3="IH",Data!B$3="IHM",Data!B$3="IMH"),IF($K27=Data!$B$4,IF($L27=Data!$B$6,J27*Data!$B$27,""),""),"")</f>
        <v/>
      </c>
    </row>
    <row r="28" spans="1:17">
      <c r="A28" s="30">
        <v>125</v>
      </c>
      <c r="B28" s="45">
        <v>56</v>
      </c>
      <c r="C28" s="381">
        <v>3</v>
      </c>
      <c r="D28" s="30">
        <v>350</v>
      </c>
      <c r="E28" s="30">
        <v>8.1</v>
      </c>
      <c r="F28" s="30">
        <v>1685</v>
      </c>
      <c r="G28" s="30">
        <v>1.9500000000000002</v>
      </c>
      <c r="H28" s="57">
        <v>510</v>
      </c>
      <c r="I28" s="43">
        <v>0.85000000000000009</v>
      </c>
      <c r="J28" s="250">
        <v>4.2</v>
      </c>
      <c r="K28" s="57">
        <v>125</v>
      </c>
      <c r="L28" s="57">
        <v>56</v>
      </c>
      <c r="M28" s="30" t="str">
        <f>IF(OR(Data!B$3="IH",Data!B$3="IHM",Data!B$3="IMH"),IF(K28=Data!B$4,IF(L28=Data!B$6,C28*Data!B$11,""),""),"")</f>
        <v/>
      </c>
      <c r="N28" s="30" t="str">
        <f>IF(Data!B$12&gt;0.1,IF(OR(Data!B$3="IH",Data!B$3="IHM",Data!B$3="IMH"),IF($K28=Data!B$4,IF($L28=Data!B$6,D28+E28*Data!B$12,""),""),""),"")</f>
        <v/>
      </c>
      <c r="O28" s="30" t="str">
        <f>IF(Data!B$17="Y",IF(OR(Data!B$3="IH",Data!B$3="IHM",Data!B$3="IMH"),IF($K28=Data!B$4,IF($L28=Data!B$6,F28+G28*Data!B$8,""),""),""),"")</f>
        <v/>
      </c>
      <c r="P28" s="30" t="str">
        <f>IF(Data!B$21="Y",IF(OR(Data!B$3="IH",Data!B$3="IHM",Data!B$3="IMH"),IF($K28=Data!B$4,IF($L28=Data!B$6,H28+I28*Data!B$8,""),""),""),"")</f>
        <v/>
      </c>
      <c r="Q28" s="30" t="str">
        <f>IF(OR(Data!B$3="IH",Data!B$3="IHM",Data!B$3="IMH"),IF($K28=Data!$B$4,IF($L28=Data!$B$6,J28*Data!$B$27,""),""),"")</f>
        <v/>
      </c>
    </row>
    <row r="29" spans="1:17">
      <c r="B29" s="45">
        <v>70</v>
      </c>
      <c r="C29" s="43">
        <v>4</v>
      </c>
      <c r="D29" s="30">
        <v>350</v>
      </c>
      <c r="E29" s="30">
        <v>7.15</v>
      </c>
      <c r="F29" s="30">
        <v>1800</v>
      </c>
      <c r="G29" s="30">
        <v>1.05</v>
      </c>
      <c r="H29" s="57">
        <v>513</v>
      </c>
      <c r="I29" s="43">
        <v>0.9</v>
      </c>
      <c r="J29" s="250">
        <v>2.9000000000000004</v>
      </c>
      <c r="K29" s="57">
        <v>125</v>
      </c>
      <c r="L29" s="57">
        <v>70</v>
      </c>
      <c r="M29" s="30" t="str">
        <f>IF(OR(Data!B$3="IH",Data!B$3="IHM",Data!B$3="IMH"),IF(K29=Data!B$4,IF(L29=Data!B$6,C29*Data!B$11,""),""),"")</f>
        <v/>
      </c>
      <c r="N29" s="30" t="str">
        <f>IF(Data!B$12&gt;0.1,IF(OR(Data!B$3="IH",Data!B$3="IHM",Data!B$3="IMH"),IF($K29=Data!B$4,IF($L29=Data!B$6,D29+E29*Data!B$12,""),""),""),"")</f>
        <v/>
      </c>
      <c r="O29" s="30" t="str">
        <f>IF(Data!B$17="Y",IF(OR(Data!B$3="IH",Data!B$3="IHM",Data!B$3="IMH"),IF($K29=Data!B$4,IF($L29=Data!B$6,F29+G29*Data!B$8,""),""),""),"")</f>
        <v/>
      </c>
      <c r="P29" s="30" t="str">
        <f>IF(Data!B$21="Y",IF(OR(Data!B$3="IH",Data!B$3="IHM",Data!B$3="IMH"),IF($K29=Data!B$4,IF($L29=Data!B$6,H29+I29*Data!B$8,""),""),""),"")</f>
        <v/>
      </c>
      <c r="Q29" s="30" t="str">
        <f>IF(OR(Data!B$3="IH",Data!B$3="IHM",Data!B$3="IMH"),IF($K29=Data!$B$4,IF($L29=Data!$B$6,J29*Data!$B$27,""),""),"")</f>
        <v/>
      </c>
    </row>
    <row r="30" spans="1:17">
      <c r="B30" s="45">
        <v>90</v>
      </c>
      <c r="C30" s="43">
        <v>5</v>
      </c>
      <c r="D30" s="30">
        <v>350</v>
      </c>
      <c r="E30" s="30">
        <v>7.9</v>
      </c>
      <c r="F30" s="30">
        <v>2000</v>
      </c>
      <c r="G30" s="30">
        <v>1.4000000000000001</v>
      </c>
      <c r="H30" s="57">
        <v>513</v>
      </c>
      <c r="I30" s="43">
        <v>0.9</v>
      </c>
      <c r="J30" s="250">
        <v>3.4000000000000004</v>
      </c>
      <c r="K30" s="57">
        <v>125</v>
      </c>
      <c r="L30" s="57">
        <v>90</v>
      </c>
      <c r="M30" s="30" t="str">
        <f>IF(OR(Data!B$3="IH",Data!B$3="IHM",Data!B$3="IMH"),IF(K30=Data!B$4,IF(L30=Data!B$6,C30*Data!B$11,""),""),"")</f>
        <v/>
      </c>
      <c r="N30" s="30" t="str">
        <f>IF(Data!B$12&gt;0.1,IF(OR(Data!B$3="IH",Data!B$3="IHM",Data!B$3="IMH"),IF($K30=Data!B$4,IF($L30=Data!B$6,D30+E30*Data!B$12,""),""),""),"")</f>
        <v/>
      </c>
      <c r="O30" s="30" t="str">
        <f>IF(Data!B$17="Y",IF(OR(Data!B$3="IH",Data!B$3="IHM",Data!B$3="IMH"),IF($K30=Data!B$4,IF($L30=Data!B$6,F30+G30*Data!B$8,""),""),""),"")</f>
        <v/>
      </c>
      <c r="P30" s="30" t="str">
        <f>IF(Data!B$21="Y",IF(OR(Data!B$3="IH",Data!B$3="IHM",Data!B$3="IMH"),IF($K30=Data!B$4,IF($L30=Data!B$6,H30+I30*Data!B$8,""),""),""),"")</f>
        <v/>
      </c>
      <c r="Q30" s="30" t="str">
        <f>IF(OR(Data!B$3="IH",Data!B$3="IHM",Data!B$3="IMH"),IF($K30=Data!$B$4,IF($L30=Data!$B$6,J30*Data!$B$27,""),""),"")</f>
        <v/>
      </c>
    </row>
    <row r="31" spans="1:17">
      <c r="A31" s="30">
        <v>160</v>
      </c>
      <c r="B31" s="45">
        <v>70</v>
      </c>
      <c r="C31" s="43">
        <v>2.7</v>
      </c>
      <c r="D31" s="30">
        <v>500</v>
      </c>
      <c r="E31" s="30">
        <v>8.85</v>
      </c>
      <c r="F31" s="30">
        <v>1900</v>
      </c>
      <c r="G31" s="30">
        <v>1.9500000000000002</v>
      </c>
      <c r="H31" s="57">
        <v>513</v>
      </c>
      <c r="I31" s="43">
        <v>0.9</v>
      </c>
      <c r="J31" s="250">
        <v>4.2</v>
      </c>
      <c r="K31" s="57">
        <v>160</v>
      </c>
      <c r="L31" s="57">
        <v>70</v>
      </c>
      <c r="M31" s="30" t="str">
        <f>IF(OR(Data!B$3="IH",Data!B$3="IHM",Data!B$3="IMH"),IF(K31=Data!B$4,IF(L31=Data!B$6,C31*Data!B$11,""),""),"")</f>
        <v/>
      </c>
      <c r="N31" s="30" t="str">
        <f>IF(Data!B$12&gt;0.1,IF(OR(Data!B$3="IH",Data!B$3="IHM",Data!B$3="IMH"),IF($K31=Data!B$4,IF($L31=Data!B$6,D31+E31*Data!B$12,""),""),""),"")</f>
        <v/>
      </c>
      <c r="O31" s="30" t="str">
        <f>IF(Data!B$17="Y",IF(OR(Data!B$3="IH",Data!B$3="IHM",Data!B$3="IMH"),IF($K31=Data!B$4,IF($L31=Data!B$6,F31+G31*Data!B$8,""),""),""),"")</f>
        <v/>
      </c>
      <c r="P31" s="30" t="str">
        <f>IF(Data!B$21="Y",IF(OR(Data!B$3="IH",Data!B$3="IHM",Data!B$3="IMH"),IF($K31=Data!B$4,IF($L31=Data!B$6,H31+I31*Data!B$8,""),""),""),"")</f>
        <v/>
      </c>
      <c r="Q31" s="30" t="str">
        <f>IF(OR(Data!B$3="IH",Data!B$3="IHM",Data!B$3="IMH"),IF($K31=Data!$B$4,IF($L31=Data!$B$6,J31*Data!$B$27,""),""),"")</f>
        <v/>
      </c>
    </row>
    <row r="32" spans="1:17">
      <c r="B32" s="45">
        <v>90</v>
      </c>
      <c r="C32" s="381">
        <v>5</v>
      </c>
      <c r="D32" s="30">
        <v>500</v>
      </c>
      <c r="E32" s="30">
        <v>10.100000000000001</v>
      </c>
      <c r="F32" s="30">
        <v>2704</v>
      </c>
      <c r="G32" s="30">
        <v>2.9000000000000004</v>
      </c>
      <c r="H32" s="57">
        <v>513</v>
      </c>
      <c r="I32" s="43">
        <v>0.9</v>
      </c>
      <c r="J32" s="250">
        <v>5.0500000000000007</v>
      </c>
      <c r="K32" s="57">
        <v>160</v>
      </c>
      <c r="L32" s="57">
        <v>90</v>
      </c>
      <c r="M32" s="30" t="str">
        <f>IF(OR(Data!B$3="IH",Data!B$3="IHM",Data!B$3="IMH"),IF(K32=Data!B$4,IF(L32=Data!B$6,C32*Data!B$11,""),""),"")</f>
        <v/>
      </c>
      <c r="N32" s="30" t="str">
        <f>IF(Data!B$12&gt;0.1,IF(OR(Data!B$3="IH",Data!B$3="IHM",Data!B$3="IMH"),IF($K32=Data!B$4,IF($L32=Data!B$6,D32+E32*Data!B$12,""),""),""),"")</f>
        <v/>
      </c>
      <c r="O32" s="30" t="str">
        <f>IF(Data!B$17="Y",IF(OR(Data!B$3="IH",Data!B$3="IHM",Data!B$3="IMH"),IF($K32=Data!B$4,IF($L32=Data!B$6,F32+G32*Data!B$8,""),""),""),"")</f>
        <v/>
      </c>
      <c r="P32" s="30" t="str">
        <f>IF(Data!B$21="Y",IF(OR(Data!B$3="IH",Data!B$3="IHM",Data!B$3="IMH"),IF($K32=Data!B$4,IF($L32=Data!B$6,H32+I32*Data!B$8,""),""),""),"")</f>
        <v/>
      </c>
      <c r="Q32" s="30" t="str">
        <f>IF(OR(Data!B$3="IH",Data!B$3="IHM",Data!B$3="IMH"),IF($K32=Data!$B$4,IF($L32=Data!$B$6,J32*Data!$B$27,""),""),"")</f>
        <v/>
      </c>
    </row>
    <row r="33" spans="1:18">
      <c r="B33" s="45">
        <v>110</v>
      </c>
      <c r="C33" s="381">
        <v>10</v>
      </c>
      <c r="D33" s="30">
        <v>500</v>
      </c>
      <c r="E33" s="30">
        <v>11.3</v>
      </c>
      <c r="F33" s="30">
        <v>3464</v>
      </c>
      <c r="G33" s="30">
        <v>3.5</v>
      </c>
      <c r="H33" s="57">
        <v>513</v>
      </c>
      <c r="I33" s="43">
        <v>0.9</v>
      </c>
      <c r="J33" s="250">
        <v>6.15</v>
      </c>
      <c r="K33" s="57">
        <v>160</v>
      </c>
      <c r="L33" s="57">
        <v>110</v>
      </c>
      <c r="M33" s="30" t="str">
        <f>IF(OR(Data!B$3="IH",Data!B$3="IHM",Data!B$3="IMH"),IF(K33=Data!B$4,IF(L33=Data!B$6,C33*Data!B$11,""),""),"")</f>
        <v/>
      </c>
      <c r="N33" s="30" t="str">
        <f>IF(Data!B$12&gt;0.1,IF(OR(Data!B$3="IH",Data!B$3="IHM",Data!B$3="IMH"),IF($K33=Data!B$4,IF($L33=Data!B$6,D33+E33*Data!B$12,""),""),""),"")</f>
        <v/>
      </c>
      <c r="O33" s="30" t="str">
        <f>IF(Data!B$17="Y",IF(OR(Data!B$3="IH",Data!B$3="IHM",Data!B$3="IMH"),IF($K33=Data!B$4,IF($L33=Data!B$6,F33+G33*Data!B$8,""),""),""),"")</f>
        <v/>
      </c>
      <c r="P33" s="30" t="str">
        <f>IF(Data!B$21="Y",IF(OR(Data!B$3="IH",Data!B$3="IHM",Data!B$3="IMH"),IF($K33=Data!B$4,IF($L33=Data!B$6,H33+I33*Data!B$8,""),""),""),"")</f>
        <v/>
      </c>
      <c r="Q33" s="30" t="str">
        <f>IF(OR(Data!B$3="IH",Data!B$3="IHM",Data!B$3="IMH"),IF($K33=Data!$B$4,IF($L33=Data!$B$6,J33*Data!$B$27,""),""),"")</f>
        <v/>
      </c>
    </row>
    <row r="34" spans="1:18">
      <c r="A34" s="30">
        <v>200</v>
      </c>
      <c r="B34" s="45">
        <v>90</v>
      </c>
      <c r="C34" s="43">
        <v>5</v>
      </c>
      <c r="D34" s="30">
        <v>800</v>
      </c>
      <c r="E34" s="30">
        <v>9.5500000000000007</v>
      </c>
      <c r="F34" s="30">
        <v>2704</v>
      </c>
      <c r="G34" s="30">
        <v>1.4000000000000001</v>
      </c>
      <c r="H34" s="57">
        <v>513</v>
      </c>
      <c r="I34" s="43">
        <v>1</v>
      </c>
      <c r="J34" s="250">
        <v>3.4000000000000004</v>
      </c>
      <c r="K34" s="57">
        <v>200</v>
      </c>
      <c r="L34" s="57">
        <v>90</v>
      </c>
      <c r="M34" s="30" t="str">
        <f>IF(OR(Data!B$3="IH",Data!B$3="IHM",Data!B$3="IMH"),IF(K34=Data!B$4,IF(L34=Data!B$6,C34*Data!B$11,""),""),"")</f>
        <v/>
      </c>
      <c r="N34" s="30" t="str">
        <f>IF(Data!B$12&gt;0.1,IF(OR(Data!B$3="IH",Data!B$3="IHM",Data!B$3="IMH"),IF($K34=Data!B$4,IF($L34=Data!B$6,D34+E34*Data!B$12,""),""),""),"")</f>
        <v/>
      </c>
      <c r="O34" s="30" t="str">
        <f>IF(Data!B$17="Y",IF(OR(Data!B$3="IH",Data!B$3="IHM",Data!B$3="IMH"),IF($K34=Data!B$4,IF($L34=Data!B$6,F34+G34*Data!B$8,""),""),""),"")</f>
        <v/>
      </c>
      <c r="P34" s="30" t="str">
        <f>IF(Data!B$21="Y",IF(OR(Data!B$3="IH",Data!B$3="IHM",Data!B$3="IMH"),IF($K34=Data!B$4,IF($L34=Data!B$6,H34+I34*Data!B$8,""),""),""),"")</f>
        <v/>
      </c>
      <c r="Q34" s="30" t="str">
        <f>IF(OR(Data!B$3="IH",Data!B$3="IHM",Data!B$3="IMH"),IF($K34=Data!$B$4,IF($L34=Data!$B$6,J34*Data!$B$27,""),""),"")</f>
        <v/>
      </c>
    </row>
    <row r="35" spans="1:18">
      <c r="B35" s="45">
        <v>110</v>
      </c>
      <c r="C35" s="43">
        <v>10</v>
      </c>
      <c r="D35" s="30">
        <v>800</v>
      </c>
      <c r="E35" s="30">
        <v>10.200000000000001</v>
      </c>
      <c r="F35" s="30">
        <v>3464</v>
      </c>
      <c r="G35" s="30">
        <v>1.9500000000000002</v>
      </c>
      <c r="H35" s="57">
        <v>513</v>
      </c>
      <c r="I35" s="43">
        <v>1</v>
      </c>
      <c r="J35" s="250">
        <v>4.2</v>
      </c>
      <c r="K35" s="57">
        <v>200</v>
      </c>
      <c r="L35" s="57">
        <v>110</v>
      </c>
      <c r="M35" s="30" t="str">
        <f>IF(OR(Data!B$3="IH",Data!B$3="IHM",Data!B$3="IMH"),IF(K35=Data!B$4,IF(L35=Data!B$6,C35*Data!B$11,""),""),"")</f>
        <v/>
      </c>
      <c r="N35" s="30" t="str">
        <f>IF(Data!B$12&gt;0.1,IF(OR(Data!B$3="IH",Data!B$3="IHM",Data!B$3="IMH"),IF($K35=Data!B$4,IF($L35=Data!B$6,D35+E35*Data!B$12,""),""),""),"")</f>
        <v/>
      </c>
      <c r="O35" s="30" t="str">
        <f>IF(Data!B$17="Y",IF(OR(Data!B$3="IH",Data!B$3="IHM",Data!B$3="IMH"),IF($K35=Data!B$4,IF($L35=Data!B$6,F35+G35*Data!B$8,""),""),""),"")</f>
        <v/>
      </c>
      <c r="P35" s="30" t="str">
        <f>IF(Data!B$21="Y",IF(OR(Data!B$3="IH",Data!B$3="IHM",Data!B$3="IMH"),IF($K35=Data!B$4,IF($L35=Data!B$6,H35+I35*Data!B$8,""),""),""),"")</f>
        <v/>
      </c>
      <c r="Q35" s="30" t="str">
        <f>IF(OR(Data!B$3="IH",Data!B$3="IHM",Data!B$3="IMH"),IF($K35=Data!$B$4,IF($L35=Data!$B$6,J35*Data!$B$27,""),""),"")</f>
        <v/>
      </c>
    </row>
    <row r="36" spans="1:18">
      <c r="B36" s="45">
        <v>140</v>
      </c>
      <c r="C36" s="43">
        <v>20</v>
      </c>
      <c r="D36" s="30">
        <v>800</v>
      </c>
      <c r="E36" s="30">
        <v>11.8</v>
      </c>
      <c r="F36" s="30">
        <v>5000</v>
      </c>
      <c r="G36" s="30">
        <v>2.9000000000000004</v>
      </c>
      <c r="H36" s="57">
        <v>513</v>
      </c>
      <c r="I36" s="43">
        <v>1</v>
      </c>
      <c r="J36" s="250">
        <v>5.0500000000000007</v>
      </c>
      <c r="K36" s="57">
        <v>200</v>
      </c>
      <c r="L36" s="57">
        <v>140</v>
      </c>
      <c r="M36" s="30" t="str">
        <f>IF(OR(Data!B$3="IH",Data!B$3="IHM",Data!B$3="IMH"),IF(K36=Data!B$4,IF(L36=Data!B$6,C36*Data!B$11,""),""),"")</f>
        <v/>
      </c>
      <c r="N36" s="30" t="str">
        <f>IF(Data!B$12&gt;0.1,IF(OR(Data!B$3="IH",Data!B$3="IHM",Data!B$3="IMH"),IF($K36=Data!B$4,IF($L36=Data!B$6,D36+E36*Data!B$12,""),""),""),"")</f>
        <v/>
      </c>
      <c r="O36" s="30" t="str">
        <f>IF(Data!B$17="Y",IF(OR(Data!B$3="IH",Data!B$3="IHM",Data!B$3="IMH"),IF($K36=Data!B$4,IF($L36=Data!B$6,F36+G36*Data!B$8,""),""),""),"")</f>
        <v/>
      </c>
      <c r="P36" s="30" t="str">
        <f>IF(Data!B$21="Y",IF(OR(Data!B$3="IH",Data!B$3="IHM",Data!B$3="IMH"),IF($K36=Data!B$4,IF($L36=Data!B$6,H36+I36*Data!B$8,""),""),""),"")</f>
        <v/>
      </c>
      <c r="Q36" s="30" t="str">
        <f>IF(OR(Data!B$3="IH",Data!B$3="IHM",Data!B$3="IMH"),IF($K36=Data!$B$4,IF($L36=Data!$B$6,J36*Data!$B$27,""),""),"")</f>
        <v/>
      </c>
    </row>
    <row r="37" spans="1:18" ht="12.75" customHeight="1">
      <c r="C37" s="57"/>
      <c r="D37" s="57"/>
      <c r="E37" s="57"/>
      <c r="F37" s="57"/>
      <c r="G37" s="57"/>
      <c r="H37" s="57"/>
      <c r="I37" s="57"/>
      <c r="J37" s="57"/>
      <c r="K37" s="43"/>
      <c r="L37" s="104"/>
      <c r="M37" s="30">
        <f>SUM(M8:M36)</f>
        <v>0</v>
      </c>
      <c r="N37" s="30">
        <f>SUM(N8:N36)</f>
        <v>0</v>
      </c>
      <c r="O37" s="30">
        <f>SUM(O8:O36)</f>
        <v>0</v>
      </c>
      <c r="P37" s="30">
        <f>SUM(P8:P36)</f>
        <v>0</v>
      </c>
      <c r="Q37" s="30">
        <f>SUM(Q8:Q36)</f>
        <v>0</v>
      </c>
      <c r="R37" s="47">
        <f>SUM(M37:Q37)</f>
        <v>0</v>
      </c>
    </row>
    <row r="38" spans="1:18">
      <c r="C38" s="57"/>
      <c r="D38" s="57"/>
      <c r="E38" s="57"/>
      <c r="F38" s="57"/>
      <c r="G38" s="57"/>
      <c r="H38" s="57"/>
      <c r="I38" s="57"/>
      <c r="J38" s="57"/>
      <c r="K38" s="43"/>
      <c r="L38" s="104"/>
      <c r="M38" s="30"/>
      <c r="N38" s="30"/>
      <c r="O38" s="30"/>
      <c r="P38" s="30"/>
      <c r="Q38" s="30"/>
    </row>
    <row r="39" spans="1:18">
      <c r="A39" s="44"/>
      <c r="C39" s="57"/>
      <c r="D39" s="57"/>
      <c r="E39" s="57"/>
      <c r="F39" s="57"/>
      <c r="G39" s="57"/>
      <c r="H39" s="57"/>
      <c r="I39" s="57"/>
      <c r="J39" s="57"/>
      <c r="K39" s="44"/>
      <c r="L39" s="43"/>
      <c r="M39" s="30"/>
      <c r="N39" s="30"/>
      <c r="O39" s="30"/>
      <c r="P39" s="30"/>
      <c r="Q39" s="30"/>
    </row>
    <row r="40" spans="1:18">
      <c r="A40" s="44"/>
      <c r="C40" s="57"/>
      <c r="D40" s="57"/>
      <c r="E40" s="57"/>
      <c r="F40" s="57"/>
      <c r="G40" s="57"/>
      <c r="H40" s="57"/>
      <c r="I40" s="57"/>
      <c r="J40" s="57"/>
      <c r="K40" s="44"/>
      <c r="L40" s="43"/>
      <c r="M40" s="30"/>
      <c r="N40" s="30"/>
      <c r="O40" s="30"/>
      <c r="P40" s="30"/>
      <c r="Q40" s="30"/>
    </row>
    <row r="41" spans="1:18">
      <c r="A41" s="44"/>
      <c r="C41" s="57"/>
      <c r="D41" s="57"/>
      <c r="E41" s="57"/>
      <c r="F41" s="57"/>
      <c r="G41" s="57"/>
      <c r="H41" s="57"/>
      <c r="I41" s="57"/>
      <c r="J41" s="57"/>
      <c r="K41" s="44"/>
      <c r="L41" s="43"/>
      <c r="M41" s="30"/>
      <c r="N41" s="30"/>
      <c r="O41" s="30"/>
      <c r="P41" s="30"/>
      <c r="Q41" s="30"/>
    </row>
    <row r="42" spans="1:18">
      <c r="A42" s="44"/>
      <c r="C42" s="57"/>
      <c r="D42" s="57"/>
      <c r="E42" s="57"/>
      <c r="F42" s="57"/>
      <c r="G42" s="57"/>
      <c r="H42" s="57"/>
      <c r="I42" s="57"/>
      <c r="J42" s="57"/>
      <c r="K42" s="44"/>
      <c r="L42" s="43"/>
      <c r="M42" s="30"/>
      <c r="N42" s="30"/>
      <c r="O42" s="30"/>
      <c r="P42" s="30"/>
      <c r="Q42" s="30"/>
    </row>
    <row r="43" spans="1:18">
      <c r="A43" s="44"/>
      <c r="C43" s="57"/>
      <c r="D43" s="57"/>
      <c r="E43" s="57"/>
      <c r="F43" s="57"/>
      <c r="G43" s="57"/>
      <c r="H43" s="57"/>
      <c r="I43" s="57"/>
      <c r="J43" s="57"/>
      <c r="K43" s="44"/>
      <c r="L43" s="43"/>
      <c r="M43" s="30"/>
      <c r="N43" s="30"/>
      <c r="O43" s="30"/>
      <c r="P43" s="30"/>
      <c r="Q43" s="30"/>
    </row>
    <row r="44" spans="1:18">
      <c r="A44" s="44"/>
      <c r="C44" s="57"/>
      <c r="D44" s="57"/>
      <c r="E44" s="57"/>
      <c r="F44" s="57"/>
      <c r="G44" s="57"/>
      <c r="H44" s="57"/>
      <c r="I44" s="57"/>
      <c r="J44" s="57"/>
      <c r="K44" s="44"/>
      <c r="L44" s="43"/>
      <c r="M44" s="30"/>
      <c r="N44" s="30"/>
      <c r="O44" s="30"/>
      <c r="P44" s="30"/>
      <c r="Q44" s="30"/>
    </row>
    <row r="45" spans="1:18">
      <c r="A45" s="44"/>
      <c r="C45" s="57"/>
      <c r="D45" s="57"/>
      <c r="E45" s="57"/>
      <c r="F45" s="57"/>
      <c r="G45" s="57"/>
      <c r="H45" s="57"/>
      <c r="I45" s="57"/>
      <c r="J45" s="57"/>
      <c r="K45" s="44"/>
      <c r="L45" s="43"/>
      <c r="M45" s="30"/>
      <c r="N45" s="30"/>
      <c r="O45" s="30"/>
      <c r="P45" s="30"/>
      <c r="Q45" s="30"/>
    </row>
    <row r="46" spans="1:18">
      <c r="A46" s="44"/>
      <c r="C46" s="57"/>
      <c r="D46" s="57"/>
      <c r="E46" s="57"/>
      <c r="F46" s="57"/>
      <c r="G46" s="57"/>
      <c r="H46" s="57"/>
      <c r="I46" s="57"/>
      <c r="J46" s="57"/>
      <c r="K46" s="44"/>
      <c r="L46" s="43"/>
      <c r="M46" s="30"/>
      <c r="N46" s="30"/>
      <c r="O46" s="30"/>
      <c r="P46" s="30"/>
      <c r="Q46" s="30"/>
    </row>
    <row r="47" spans="1:18">
      <c r="A47" s="44"/>
      <c r="C47" s="57"/>
      <c r="D47" s="57"/>
      <c r="E47" s="57"/>
      <c r="F47" s="57"/>
      <c r="G47" s="57"/>
      <c r="H47" s="57"/>
      <c r="I47" s="57"/>
      <c r="J47" s="57"/>
      <c r="K47" s="44"/>
      <c r="L47" s="43"/>
      <c r="M47" s="30"/>
      <c r="N47" s="30"/>
      <c r="O47" s="30"/>
      <c r="P47" s="30"/>
      <c r="Q47" s="30"/>
    </row>
    <row r="48" spans="1:18">
      <c r="A48" s="44"/>
      <c r="C48" s="57"/>
      <c r="D48" s="57"/>
      <c r="E48" s="57"/>
      <c r="F48" s="57"/>
      <c r="G48" s="57"/>
      <c r="H48" s="57"/>
      <c r="I48" s="57"/>
      <c r="J48" s="57"/>
      <c r="K48" s="44"/>
      <c r="L48" s="43"/>
      <c r="M48" s="30"/>
      <c r="N48" s="30"/>
      <c r="O48" s="30"/>
      <c r="P48" s="30"/>
      <c r="Q48" s="30"/>
    </row>
    <row r="49" spans="1:18">
      <c r="A49" s="44"/>
      <c r="C49" s="57"/>
      <c r="D49" s="57"/>
      <c r="E49" s="57"/>
      <c r="F49" s="57"/>
      <c r="G49" s="57"/>
      <c r="H49" s="57"/>
      <c r="I49" s="57"/>
      <c r="J49" s="57"/>
      <c r="K49" s="44"/>
      <c r="L49" s="43"/>
      <c r="M49" s="30"/>
      <c r="N49" s="30"/>
      <c r="O49" s="30"/>
      <c r="P49" s="30"/>
      <c r="Q49" s="30"/>
    </row>
    <row r="50" spans="1:18">
      <c r="A50" s="44"/>
      <c r="C50" s="57"/>
      <c r="D50" s="57"/>
      <c r="E50" s="57"/>
      <c r="F50" s="57"/>
      <c r="G50" s="57"/>
      <c r="H50" s="57"/>
      <c r="I50" s="57"/>
      <c r="J50" s="57"/>
      <c r="K50" s="44"/>
      <c r="L50" s="43"/>
      <c r="M50" s="30"/>
      <c r="N50" s="30"/>
      <c r="O50" s="30"/>
      <c r="P50" s="30"/>
      <c r="Q50" s="30"/>
    </row>
    <row r="51" spans="1:18">
      <c r="A51" s="44"/>
      <c r="C51" s="57"/>
      <c r="D51" s="57"/>
      <c r="E51" s="57"/>
      <c r="F51" s="57"/>
      <c r="G51" s="57"/>
      <c r="H51" s="57"/>
      <c r="I51" s="57"/>
      <c r="J51" s="57"/>
      <c r="K51" s="44"/>
      <c r="L51" s="43"/>
      <c r="M51" s="30"/>
      <c r="N51" s="30"/>
      <c r="O51" s="30"/>
      <c r="P51" s="30"/>
      <c r="Q51" s="30"/>
    </row>
    <row r="52" spans="1:18">
      <c r="A52" s="44"/>
      <c r="C52" s="57"/>
      <c r="D52" s="57"/>
      <c r="E52" s="57"/>
      <c r="F52" s="57"/>
      <c r="G52" s="57"/>
      <c r="H52" s="57"/>
      <c r="I52" s="57"/>
      <c r="J52" s="57"/>
      <c r="K52" s="44"/>
      <c r="L52" s="43"/>
      <c r="M52" s="30"/>
      <c r="N52" s="30"/>
      <c r="O52" s="30"/>
      <c r="P52" s="30"/>
      <c r="Q52" s="30"/>
    </row>
    <row r="53" spans="1:18">
      <c r="C53" s="57"/>
      <c r="D53" s="57"/>
      <c r="E53" s="57"/>
      <c r="F53" s="57"/>
      <c r="G53" s="57"/>
      <c r="H53" s="57"/>
      <c r="I53" s="57"/>
      <c r="J53" s="57"/>
      <c r="K53" s="30"/>
      <c r="L53" s="45"/>
      <c r="M53" s="30"/>
      <c r="N53" s="30"/>
      <c r="O53" s="30"/>
      <c r="P53" s="30"/>
      <c r="Q53" s="30"/>
      <c r="R53" s="117"/>
    </row>
    <row r="54" spans="1:18">
      <c r="C54" s="57"/>
      <c r="D54" s="57"/>
      <c r="E54" s="57"/>
      <c r="F54" s="57"/>
      <c r="G54" s="57"/>
      <c r="H54" s="57"/>
      <c r="I54" s="57"/>
      <c r="J54" s="57"/>
      <c r="K54" s="30"/>
      <c r="L54" s="45"/>
      <c r="M54" s="30"/>
      <c r="N54" s="30"/>
      <c r="O54" s="30"/>
      <c r="P54" s="30"/>
    </row>
    <row r="55" spans="1:18">
      <c r="C55" s="57"/>
      <c r="D55" s="57"/>
      <c r="E55" s="57"/>
      <c r="F55" s="57"/>
      <c r="G55" s="57"/>
      <c r="H55" s="57"/>
      <c r="I55" s="57"/>
      <c r="J55" s="57"/>
      <c r="K55" s="30"/>
      <c r="L55" s="45"/>
      <c r="M55" s="30"/>
      <c r="N55" s="30"/>
      <c r="O55" s="30"/>
      <c r="P55" s="30"/>
    </row>
    <row r="56" spans="1:18">
      <c r="C56" s="57"/>
      <c r="D56" s="57"/>
      <c r="E56" s="57"/>
      <c r="F56" s="57"/>
      <c r="G56" s="57"/>
      <c r="H56" s="57"/>
      <c r="I56" s="57"/>
      <c r="J56" s="57"/>
      <c r="K56" s="30"/>
      <c r="L56" s="45"/>
      <c r="M56" s="30"/>
      <c r="N56" s="30"/>
      <c r="O56" s="30"/>
      <c r="P56" s="30"/>
    </row>
    <row r="57" spans="1:18">
      <c r="C57" s="57"/>
      <c r="D57" s="57"/>
      <c r="E57" s="57"/>
      <c r="F57" s="57"/>
      <c r="G57" s="57"/>
      <c r="H57" s="57"/>
      <c r="I57" s="57"/>
      <c r="J57" s="57"/>
      <c r="K57" s="30"/>
      <c r="L57" s="45"/>
      <c r="M57" s="30"/>
      <c r="N57" s="30"/>
      <c r="O57" s="30"/>
      <c r="P57" s="30"/>
    </row>
    <row r="58" spans="1:18">
      <c r="C58" s="57"/>
      <c r="D58" s="57"/>
      <c r="E58" s="57"/>
      <c r="F58" s="57"/>
      <c r="G58" s="57"/>
      <c r="H58" s="57"/>
      <c r="I58" s="57"/>
      <c r="J58" s="57"/>
      <c r="K58" s="30"/>
      <c r="L58" s="45"/>
      <c r="M58" s="30"/>
      <c r="N58" s="30"/>
      <c r="O58" s="30"/>
      <c r="P58" s="30"/>
    </row>
    <row r="59" spans="1:18">
      <c r="C59" s="57"/>
      <c r="D59" s="57"/>
      <c r="E59" s="57"/>
      <c r="F59" s="57"/>
      <c r="G59" s="57"/>
      <c r="H59" s="57"/>
      <c r="I59" s="57"/>
      <c r="J59" s="57"/>
      <c r="K59" s="30"/>
      <c r="L59" s="45"/>
      <c r="M59" s="30"/>
      <c r="N59" s="30"/>
      <c r="O59" s="30"/>
      <c r="P59" s="30"/>
    </row>
    <row r="60" spans="1:18">
      <c r="C60" s="57"/>
      <c r="D60" s="57"/>
      <c r="E60" s="57"/>
      <c r="F60" s="57"/>
      <c r="G60" s="57"/>
      <c r="H60" s="57"/>
      <c r="I60" s="57"/>
      <c r="J60" s="57"/>
      <c r="K60" s="30"/>
      <c r="L60" s="45"/>
      <c r="M60" s="30"/>
      <c r="N60" s="30"/>
      <c r="O60" s="30"/>
      <c r="P60" s="30"/>
    </row>
    <row r="61" spans="1:18">
      <c r="C61" s="57"/>
      <c r="D61" s="57"/>
      <c r="E61" s="57"/>
      <c r="F61" s="57"/>
      <c r="G61" s="57"/>
      <c r="H61" s="57"/>
      <c r="I61" s="57"/>
      <c r="J61" s="57"/>
      <c r="K61" s="30"/>
      <c r="L61" s="45"/>
      <c r="M61" s="30"/>
      <c r="N61" s="30"/>
      <c r="O61" s="30"/>
      <c r="P61" s="30"/>
    </row>
    <row r="62" spans="1:18">
      <c r="C62" s="57"/>
      <c r="D62" s="57"/>
      <c r="E62" s="57"/>
      <c r="F62" s="57"/>
      <c r="G62" s="57"/>
      <c r="H62" s="57"/>
      <c r="I62" s="57"/>
      <c r="J62" s="57"/>
      <c r="K62" s="30"/>
      <c r="L62" s="45"/>
      <c r="M62" s="30"/>
      <c r="N62" s="30"/>
      <c r="O62" s="30"/>
      <c r="P62" s="30"/>
    </row>
    <row r="63" spans="1:18">
      <c r="C63" s="57"/>
      <c r="D63" s="57"/>
      <c r="E63" s="57"/>
      <c r="F63" s="57"/>
      <c r="G63" s="57"/>
      <c r="H63" s="57"/>
      <c r="I63" s="57"/>
      <c r="J63" s="57"/>
    </row>
    <row r="64" spans="1:18">
      <c r="C64" s="57"/>
      <c r="D64" s="57"/>
      <c r="E64" s="57"/>
      <c r="F64" s="57"/>
      <c r="G64" s="57"/>
      <c r="H64" s="57"/>
      <c r="I64" s="57"/>
      <c r="J64" s="57"/>
    </row>
    <row r="65" spans="3:10">
      <c r="C65" s="57"/>
      <c r="D65" s="57"/>
      <c r="E65" s="57"/>
      <c r="F65" s="57"/>
      <c r="G65" s="57"/>
      <c r="H65" s="57"/>
      <c r="I65" s="57"/>
      <c r="J65" s="57"/>
    </row>
    <row r="66" spans="3:10">
      <c r="C66" s="57"/>
      <c r="D66" s="57"/>
      <c r="E66" s="57"/>
      <c r="F66" s="57"/>
      <c r="G66" s="57"/>
      <c r="H66" s="57"/>
      <c r="I66" s="57"/>
      <c r="J66" s="57"/>
    </row>
    <row r="67" spans="3:10">
      <c r="C67" s="57"/>
      <c r="D67" s="57"/>
      <c r="E67" s="57"/>
      <c r="F67" s="57"/>
      <c r="G67" s="57"/>
      <c r="H67" s="57"/>
      <c r="I67" s="57"/>
      <c r="J67" s="57"/>
    </row>
    <row r="68" spans="3:10">
      <c r="C68" s="57"/>
      <c r="D68" s="57"/>
      <c r="E68" s="57"/>
      <c r="F68" s="57"/>
      <c r="G68" s="57"/>
      <c r="H68" s="57"/>
      <c r="I68" s="57"/>
      <c r="J68" s="57"/>
    </row>
  </sheetData>
  <mergeCells count="18">
    <mergeCell ref="A1:J1"/>
    <mergeCell ref="K1:P1"/>
    <mergeCell ref="A2:J2"/>
    <mergeCell ref="K2:P2"/>
    <mergeCell ref="A4:A7"/>
    <mergeCell ref="B4:B7"/>
    <mergeCell ref="C4:C7"/>
    <mergeCell ref="D4:E6"/>
    <mergeCell ref="F4:G6"/>
    <mergeCell ref="H4:I6"/>
    <mergeCell ref="P4:P7"/>
    <mergeCell ref="Q4:Q7"/>
    <mergeCell ref="J4:J7"/>
    <mergeCell ref="K4:K7"/>
    <mergeCell ref="L4:L7"/>
    <mergeCell ref="M4:M7"/>
    <mergeCell ref="N4:N7"/>
    <mergeCell ref="O4:O7"/>
  </mergeCells>
  <printOptions horizontalCentered="1" verticalCentered="1"/>
  <pageMargins left="0.25" right="0.25" top="0.25" bottom="0.25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89783-8B8A-4006-AB81-4A066E12142A}">
  <sheetPr codeName="Sheet18"/>
  <dimension ref="A1:W123"/>
  <sheetViews>
    <sheetView workbookViewId="0">
      <selection activeCell="J23" sqref="J23"/>
    </sheetView>
  </sheetViews>
  <sheetFormatPr defaultColWidth="9.08984375" defaultRowHeight="13"/>
  <cols>
    <col min="1" max="1" width="6" style="31" bestFit="1" customWidth="1"/>
    <col min="2" max="2" width="6.54296875" style="41" customWidth="1"/>
    <col min="3" max="3" width="10" style="31" customWidth="1"/>
    <col min="4" max="4" width="10.453125" style="31" customWidth="1"/>
    <col min="5" max="5" width="10" style="31" customWidth="1"/>
    <col min="6" max="6" width="9.54296875" style="31" customWidth="1"/>
    <col min="7" max="7" width="8.54296875" style="31" customWidth="1"/>
    <col min="8" max="8" width="7.81640625" style="31" customWidth="1"/>
    <col min="9" max="9" width="9" style="31" customWidth="1"/>
    <col min="10" max="10" width="9.54296875" style="31" customWidth="1"/>
    <col min="11" max="11" width="9" style="31" customWidth="1"/>
    <col min="12" max="12" width="11.453125" style="31" customWidth="1"/>
    <col min="13" max="16384" width="9.08984375" style="38"/>
  </cols>
  <sheetData>
    <row r="1" spans="1:23" ht="20">
      <c r="A1" s="603" t="s">
        <v>472</v>
      </c>
      <c r="B1" s="603"/>
      <c r="C1" s="603"/>
      <c r="D1" s="603"/>
      <c r="E1" s="603"/>
      <c r="F1" s="603"/>
      <c r="G1" s="603"/>
      <c r="H1" s="603"/>
      <c r="I1" s="603"/>
      <c r="J1" s="603"/>
      <c r="K1" s="113"/>
      <c r="L1" s="113"/>
      <c r="N1" s="603"/>
      <c r="O1" s="603"/>
      <c r="P1" s="603"/>
      <c r="Q1" s="603"/>
      <c r="R1" s="603"/>
      <c r="S1" s="603"/>
      <c r="T1" s="603"/>
      <c r="U1" s="603"/>
      <c r="V1" s="603"/>
      <c r="W1" s="603"/>
    </row>
    <row r="2" spans="1:23" ht="18">
      <c r="A2" s="608" t="s">
        <v>384</v>
      </c>
      <c r="B2" s="608"/>
      <c r="C2" s="608"/>
      <c r="D2" s="608"/>
      <c r="E2" s="608"/>
      <c r="F2" s="608"/>
      <c r="G2" s="608"/>
      <c r="H2" s="608"/>
      <c r="I2" s="608"/>
      <c r="J2" s="608"/>
      <c r="K2" s="114"/>
      <c r="L2" s="114"/>
      <c r="N2" s="604"/>
      <c r="O2" s="604"/>
      <c r="P2" s="604"/>
      <c r="Q2" s="604"/>
      <c r="R2" s="604"/>
      <c r="S2" s="604"/>
      <c r="T2" s="604"/>
      <c r="U2" s="604"/>
      <c r="V2" s="604"/>
      <c r="W2" s="604"/>
    </row>
    <row r="3" spans="1:23" ht="10.5" customHeight="1">
      <c r="A3" s="115"/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N3" s="115"/>
      <c r="O3" s="115"/>
      <c r="P3" s="115"/>
      <c r="Q3" s="115"/>
      <c r="R3" s="115"/>
      <c r="S3" s="115"/>
      <c r="T3" s="115"/>
      <c r="U3" s="115"/>
      <c r="V3" s="115"/>
      <c r="W3" s="115"/>
    </row>
    <row r="4" spans="1:23" ht="9" customHeight="1">
      <c r="A4" s="609" t="s">
        <v>440</v>
      </c>
      <c r="B4" s="609" t="s">
        <v>87</v>
      </c>
      <c r="C4" s="606" t="s">
        <v>615</v>
      </c>
      <c r="D4" s="606" t="s">
        <v>0</v>
      </c>
      <c r="E4" s="475" t="s">
        <v>390</v>
      </c>
      <c r="F4" s="475" t="s">
        <v>449</v>
      </c>
      <c r="G4" s="606" t="s">
        <v>492</v>
      </c>
      <c r="H4" s="606"/>
      <c r="I4" s="475" t="s">
        <v>731</v>
      </c>
      <c r="J4" s="475" t="s">
        <v>296</v>
      </c>
      <c r="K4" s="475" t="s">
        <v>456</v>
      </c>
      <c r="L4" s="606" t="s">
        <v>440</v>
      </c>
      <c r="M4" s="606" t="s">
        <v>87</v>
      </c>
      <c r="N4" s="606" t="s">
        <v>615</v>
      </c>
      <c r="O4" s="606" t="s">
        <v>544</v>
      </c>
      <c r="P4" s="475" t="s">
        <v>390</v>
      </c>
      <c r="Q4" s="475" t="s">
        <v>449</v>
      </c>
      <c r="R4" s="475" t="s">
        <v>492</v>
      </c>
      <c r="S4" s="475" t="s">
        <v>731</v>
      </c>
      <c r="T4" s="475" t="s">
        <v>456</v>
      </c>
    </row>
    <row r="5" spans="1:23" ht="7.5" customHeight="1">
      <c r="A5" s="610"/>
      <c r="B5" s="610"/>
      <c r="C5" s="607"/>
      <c r="D5" s="607"/>
      <c r="E5" s="605"/>
      <c r="F5" s="605"/>
      <c r="G5" s="611"/>
      <c r="H5" s="611"/>
      <c r="I5" s="605"/>
      <c r="J5" s="605"/>
      <c r="K5" s="605"/>
      <c r="L5" s="607"/>
      <c r="M5" s="607"/>
      <c r="N5" s="607"/>
      <c r="O5" s="607"/>
      <c r="P5" s="605"/>
      <c r="Q5" s="605"/>
      <c r="R5" s="605"/>
      <c r="S5" s="605"/>
      <c r="T5" s="605"/>
    </row>
    <row r="6" spans="1:23" ht="5.25" customHeight="1">
      <c r="A6" s="610"/>
      <c r="B6" s="610"/>
      <c r="C6" s="607"/>
      <c r="D6" s="607"/>
      <c r="E6" s="605"/>
      <c r="F6" s="605"/>
      <c r="G6" s="611"/>
      <c r="H6" s="611"/>
      <c r="I6" s="605"/>
      <c r="J6" s="605"/>
      <c r="K6" s="605"/>
      <c r="L6" s="607"/>
      <c r="M6" s="607"/>
      <c r="N6" s="607"/>
      <c r="O6" s="607"/>
      <c r="P6" s="605"/>
      <c r="Q6" s="605"/>
      <c r="R6" s="605"/>
      <c r="S6" s="605"/>
      <c r="T6" s="605"/>
    </row>
    <row r="7" spans="1:23">
      <c r="A7" s="610"/>
      <c r="B7" s="610"/>
      <c r="C7" s="607"/>
      <c r="D7" s="607"/>
      <c r="E7" s="605"/>
      <c r="F7" s="605"/>
      <c r="G7" s="31" t="s">
        <v>227</v>
      </c>
      <c r="H7" s="31" t="s">
        <v>698</v>
      </c>
      <c r="I7" s="605"/>
      <c r="J7" s="605"/>
      <c r="K7" s="605"/>
      <c r="L7" s="607"/>
      <c r="M7" s="607"/>
      <c r="N7" s="607"/>
      <c r="O7" s="607"/>
      <c r="P7" s="605"/>
      <c r="Q7" s="605"/>
      <c r="R7" s="605"/>
      <c r="S7" s="605"/>
      <c r="T7" s="605"/>
    </row>
    <row r="8" spans="1:23">
      <c r="A8" s="41">
        <v>25</v>
      </c>
      <c r="B8" s="41">
        <v>12</v>
      </c>
      <c r="C8" s="31">
        <v>356</v>
      </c>
      <c r="D8" s="31">
        <v>164</v>
      </c>
      <c r="E8" s="31">
        <v>600</v>
      </c>
      <c r="F8" s="31">
        <v>80</v>
      </c>
      <c r="G8" s="31">
        <v>28</v>
      </c>
      <c r="H8" s="31">
        <v>75</v>
      </c>
      <c r="I8" s="31">
        <v>87</v>
      </c>
      <c r="J8" s="31">
        <v>166</v>
      </c>
      <c r="K8" s="31">
        <v>570</v>
      </c>
      <c r="L8" s="32">
        <v>25</v>
      </c>
      <c r="M8" s="32">
        <v>12</v>
      </c>
      <c r="N8" s="31" t="str">
        <f>IF(Data!B$20="Y",IF(OR(Data!B$3="IH",Data!B$3="IHM",Data!B$3="IMH"),IF($L8=Data!B$4,IF($M8=Data!B$6,C8,""),""),""),"")</f>
        <v/>
      </c>
      <c r="O8" s="31" t="str">
        <f>IF(Data!$B$23&gt;0.1,IF(OR(Data!B$3="IH",Data!B$3="IHM",Data!B$3="IMH"),IF($L8=Data!$B$4,IF($M8=Data!$B$6,D8*Data!B$23,""),""),""),"")</f>
        <v/>
      </c>
      <c r="P8" s="31" t="str">
        <f>IF(Data!$B$19&gt;0.01,IF(OR(Data!B$3="IH",Data!B$3="IHM",Data!B$3="IMH"),IF($L8=Data!$B$4,IF($M8=Data!$B$6,E8*Data!B$19,""),""),""),"")</f>
        <v/>
      </c>
      <c r="Q8" s="31" t="str">
        <f>IF(Data!$B$15="Y",IF(OR(Data!B$3="IH",Data!B$3="IHM",Data!B$3="IMH"),IF($L8=Data!$B$4,IF($M8=Data!$B$6,F8,""),""),""),"")</f>
        <v/>
      </c>
      <c r="R8" s="31" t="str">
        <f>IF(OR(Data!$B$10="V",Data!$B$10="H"),IF(OR(Data!B$3="IH",Data!B$3="IHM",Data!B$3="IMH"),IF($L8=Data!$B$4,IF($M8=Data!$B$6,IF(Data!$B$10="H",(G8+H8)*2,G8+H8),""),""),""),"")</f>
        <v/>
      </c>
      <c r="S8" s="31" t="str">
        <f>IF(Data!$B$13&gt;0.1,IF(OR(Data!B$3="IH",Data!B$3="IHM",Data!B$3="IMH"),IF($L8=Data!$B$4,IF($M8=Data!$B$6,I8*Data!B$13,""),""),""),"")</f>
        <v/>
      </c>
    </row>
    <row r="9" spans="1:23">
      <c r="A9" s="41">
        <v>25</v>
      </c>
      <c r="B9" s="41">
        <v>18</v>
      </c>
      <c r="C9" s="54">
        <v>426</v>
      </c>
      <c r="D9" s="54">
        <v>164</v>
      </c>
      <c r="E9" s="31">
        <v>600</v>
      </c>
      <c r="F9" s="31">
        <v>83</v>
      </c>
      <c r="G9" s="31">
        <v>38</v>
      </c>
      <c r="H9" s="31">
        <v>75</v>
      </c>
      <c r="I9" s="31">
        <v>87</v>
      </c>
      <c r="J9" s="31">
        <v>166</v>
      </c>
      <c r="K9" s="31">
        <v>570</v>
      </c>
      <c r="L9" s="32">
        <v>25</v>
      </c>
      <c r="M9" s="32">
        <v>18</v>
      </c>
      <c r="N9" s="31" t="str">
        <f>IF(Data!B$20="Y",IF(OR(Data!B$3="IH",Data!B$3="IHM",Data!B$3="IMH"),IF($L9=Data!B$4,IF($M9=Data!B$6,C9,""),""),""),"")</f>
        <v/>
      </c>
      <c r="O9" s="31" t="str">
        <f>IF(Data!$B$23&gt;0.1,IF(OR(Data!B$3="IH",Data!B$3="IHM",Data!B$3="IMH"),IF($L9=Data!$B$4,IF($M9=Data!$B$6,D9*Data!B$23,""),""),""),"")</f>
        <v/>
      </c>
      <c r="P9" s="31" t="str">
        <f>IF(Data!$B$19&gt;0.01,IF(OR(Data!B$3="IH",Data!B$3="IHM",Data!B$3="IMH"),IF($L9=Data!$B$4,IF($M9=Data!$B$6,E9*Data!B$19,""),""),""),"")</f>
        <v/>
      </c>
      <c r="Q9" s="31" t="str">
        <f>IF(Data!$B$15="Y",IF(OR(Data!B$3="IH",Data!B$3="IHM",Data!B$3="IMH"),IF($L9=Data!$B$4,IF($M9=Data!$B$6,F9,""),""),""),"")</f>
        <v/>
      </c>
      <c r="R9" s="31" t="str">
        <f>IF(OR(Data!$B$10="V",Data!$B$10="H"),IF(OR(Data!B$3="IH",Data!B$3="IHM",Data!B$3="IMH"),IF($L9=Data!$B$4,IF($M9=Data!$B$6,IF(Data!$B$10="H",(G9+H9)*2,G9+H9),""),""),""),"")</f>
        <v/>
      </c>
      <c r="S9" s="31" t="str">
        <f>IF(Data!$B$13&gt;0.1,IF(OR(Data!B$3="IH",Data!B$3="IHM",Data!B$3="IMH"),IF($L9=Data!$B$4,IF($M9=Data!$B$6,I9*Data!B$13,""),""),""),"")</f>
        <v/>
      </c>
    </row>
    <row r="10" spans="1:23">
      <c r="A10" s="31">
        <v>32</v>
      </c>
      <c r="B10" s="41">
        <v>14</v>
      </c>
      <c r="C10" s="31">
        <v>426</v>
      </c>
      <c r="D10" s="31">
        <v>173</v>
      </c>
      <c r="E10" s="31">
        <v>600</v>
      </c>
      <c r="F10" s="31">
        <v>83</v>
      </c>
      <c r="G10" s="31">
        <v>38</v>
      </c>
      <c r="H10" s="31">
        <v>112</v>
      </c>
      <c r="I10" s="31">
        <v>90</v>
      </c>
      <c r="J10" s="31">
        <v>166</v>
      </c>
      <c r="K10" s="31">
        <v>665</v>
      </c>
      <c r="L10" s="32">
        <v>32</v>
      </c>
      <c r="M10" s="32">
        <v>14</v>
      </c>
      <c r="N10" s="31" t="str">
        <f>IF(Data!B$20="Y",IF(OR(Data!B$3="IH",Data!B$3="IHM",Data!B$3="IMH"),IF($L10=Data!B$4,IF($M10=Data!B$6,C10,""),""),""),"")</f>
        <v/>
      </c>
      <c r="O10" s="31" t="str">
        <f>IF(Data!$B$23&gt;0.1,IF(OR(Data!B$3="IH",Data!B$3="IHM",Data!B$3="IMH"),IF($L10=Data!$B$4,IF($M10=Data!$B$6,D10*Data!B$23,""),""),""),"")</f>
        <v/>
      </c>
      <c r="P10" s="31" t="str">
        <f>IF(Data!$B$19&gt;0.01,IF(OR(Data!B$3="IH",Data!B$3="IHM",Data!B$3="IMH"),IF($L10=Data!$B$4,IF($M10=Data!$B$6,E10*Data!B$19,""),""),""),"")</f>
        <v/>
      </c>
      <c r="Q10" s="31" t="str">
        <f>IF(Data!$B$15="Y",IF(OR(Data!B$3="IH",Data!B$3="IHM",Data!B$3="IMH"),IF($L10=Data!$B$4,IF($M10=Data!$B$6,F10,""),""),""),"")</f>
        <v/>
      </c>
      <c r="R10" s="31" t="str">
        <f>IF(OR(Data!$B$10="V",Data!$B$10="H"),IF(OR(Data!B$3="IH",Data!B$3="IHM",Data!B$3="IMH"),IF($L10=Data!$B$4,IF($M10=Data!$B$6,IF(Data!$B$10="H",(G10+H10)*2,G10+H10),""),""),""),"")</f>
        <v/>
      </c>
      <c r="S10" s="31" t="str">
        <f>IF(Data!$B$13&gt;0.1,IF(OR(Data!B$3="IH",Data!B$3="IHM",Data!B$3="IMH"),IF($L10=Data!$B$4,IF($M10=Data!$B$6,I10*Data!B$13,""),""),""),"")</f>
        <v/>
      </c>
    </row>
    <row r="11" spans="1:23">
      <c r="A11" s="31">
        <v>32</v>
      </c>
      <c r="B11" s="41">
        <v>18</v>
      </c>
      <c r="C11" s="54">
        <v>435</v>
      </c>
      <c r="D11" s="31">
        <v>173</v>
      </c>
      <c r="E11" s="31">
        <v>600</v>
      </c>
      <c r="F11" s="31">
        <v>107</v>
      </c>
      <c r="G11" s="31">
        <v>64</v>
      </c>
      <c r="H11" s="31">
        <v>112</v>
      </c>
      <c r="I11" s="31">
        <v>90</v>
      </c>
      <c r="J11" s="31">
        <v>166</v>
      </c>
      <c r="K11" s="31">
        <v>665</v>
      </c>
      <c r="L11" s="32">
        <v>32</v>
      </c>
      <c r="M11" s="32">
        <v>18</v>
      </c>
      <c r="N11" s="31" t="str">
        <f>IF(Data!B$20="Y",IF(OR(Data!B$3="IH",Data!B$3="IHM",Data!B$3="IMH"),IF($L11=Data!B$4,IF($M11=Data!B$6,C11,""),""),""),"")</f>
        <v/>
      </c>
      <c r="O11" s="31" t="str">
        <f>IF(Data!$B$23&gt;0.1,IF(OR(Data!B$3="IH",Data!B$3="IHM",Data!B$3="IMH"),IF($L11=Data!$B$4,IF($M11=Data!$B$6,D11*Data!B$23,""),""),""),"")</f>
        <v/>
      </c>
      <c r="P11" s="31" t="str">
        <f>IF(Data!$B$19&gt;0.01,IF(OR(Data!B$3="IH",Data!B$3="IHM",Data!B$3="IMH"),IF($L11=Data!$B$4,IF($M11=Data!$B$6,E11*Data!B$19,""),""),""),"")</f>
        <v/>
      </c>
      <c r="Q11" s="31" t="str">
        <f>IF(Data!$B$15="Y",IF(OR(Data!B$3="IH",Data!B$3="IHM",Data!B$3="IMH"),IF($L11=Data!$B$4,IF($M11=Data!$B$6,F11,""),""),""),"")</f>
        <v/>
      </c>
      <c r="R11" s="31" t="str">
        <f>IF(OR(Data!$B$10="V",Data!$B$10="H"),IF(OR(Data!B$3="IH",Data!B$3="IHM",Data!B$3="IMH"),IF($L11=Data!$B$4,IF($M11=Data!$B$6,IF(Data!$B$10="H",(G11+H11)*2,G11+H11),""),""),""),"")</f>
        <v/>
      </c>
      <c r="S11" s="31" t="str">
        <f>IF(Data!$B$13&gt;0.1,IF(OR(Data!B$3="IH",Data!B$3="IHM",Data!B$3="IMH"),IF($L11=Data!$B$4,IF($M11=Data!$B$6,I11*Data!B$13,""),""),""),"")</f>
        <v/>
      </c>
    </row>
    <row r="12" spans="1:23">
      <c r="A12" s="41">
        <v>32</v>
      </c>
      <c r="B12" s="41">
        <v>22</v>
      </c>
      <c r="C12" s="31">
        <v>426</v>
      </c>
      <c r="D12" s="31">
        <v>179</v>
      </c>
      <c r="E12" s="31">
        <v>600</v>
      </c>
      <c r="F12" s="31">
        <v>83</v>
      </c>
      <c r="G12" s="31">
        <v>38</v>
      </c>
      <c r="H12" s="31">
        <v>143</v>
      </c>
      <c r="I12" s="31">
        <v>95</v>
      </c>
      <c r="J12" s="31">
        <v>166</v>
      </c>
      <c r="K12" s="31">
        <v>821</v>
      </c>
      <c r="L12" s="32">
        <v>32</v>
      </c>
      <c r="M12" s="32">
        <v>22</v>
      </c>
      <c r="N12" s="31" t="str">
        <f>IF(Data!B$20="Y",IF(OR(Data!B$3="IH",Data!B$3="IHM",Data!B$3="IMH"),IF($L12=Data!B$4,IF($M12=Data!B$6,C12,""),""),""),"")</f>
        <v/>
      </c>
      <c r="O12" s="31" t="str">
        <f>IF(Data!$B$23&gt;0.1,IF(OR(Data!B$3="IH",Data!B$3="IHM",Data!B$3="IMH"),IF($L12=Data!$B$4,IF($M12=Data!$B$6,D12*Data!B$23,""),""),""),"")</f>
        <v/>
      </c>
      <c r="P12" s="31" t="str">
        <f>IF(Data!$B$19&gt;0.01,IF(OR(Data!B$3="IH",Data!B$3="IHM",Data!B$3="IMH"),IF($L12=Data!$B$4,IF($M12=Data!$B$6,E12*Data!B$19,""),""),""),"")</f>
        <v/>
      </c>
      <c r="Q12" s="31" t="str">
        <f>IF(Data!$B$15="Y",IF(OR(Data!B$3="IH",Data!B$3="IHM",Data!B$3="IMH"),IF($L12=Data!$B$4,IF($M12=Data!$B$6,F12,""),""),""),"")</f>
        <v/>
      </c>
      <c r="R12" s="31" t="str">
        <f>IF(OR(Data!$B$10="V",Data!$B$10="H"),IF(OR(Data!B$3="IH",Data!B$3="IHM",Data!B$3="IMH"),IF($L12=Data!$B$4,IF($M12=Data!$B$6,IF(Data!$B$10="H",(G12+H12)*2,G12+H12),""),""),""),"")</f>
        <v/>
      </c>
      <c r="S12" s="31" t="str">
        <f>IF(Data!$B$13&gt;0.1,IF(OR(Data!B$3="IH",Data!B$3="IHM",Data!B$3="IMH"),IF($L12=Data!$B$4,IF($M12=Data!$B$6,I12*Data!B$13,""),""),""),"")</f>
        <v/>
      </c>
    </row>
    <row r="13" spans="1:23">
      <c r="A13" s="31">
        <v>40</v>
      </c>
      <c r="B13" s="41">
        <v>18</v>
      </c>
      <c r="C13" s="31">
        <v>435</v>
      </c>
      <c r="D13" s="31">
        <v>179</v>
      </c>
      <c r="E13" s="31">
        <v>600</v>
      </c>
      <c r="F13" s="31">
        <v>107</v>
      </c>
      <c r="G13" s="31">
        <v>64</v>
      </c>
      <c r="H13" s="31">
        <v>143</v>
      </c>
      <c r="I13" s="31">
        <v>95</v>
      </c>
      <c r="J13" s="31">
        <v>166</v>
      </c>
      <c r="K13" s="31">
        <v>821</v>
      </c>
      <c r="L13" s="32">
        <v>40</v>
      </c>
      <c r="M13" s="32">
        <v>18</v>
      </c>
      <c r="N13" s="31" t="str">
        <f>IF(Data!B$20="Y",IF(OR(Data!B$3="IH",Data!B$3="IHM",Data!B$3="IMH"),IF($L13=Data!B$4,IF($M13=Data!B$6,C13,""),""),""),"")</f>
        <v/>
      </c>
      <c r="O13" s="31" t="str">
        <f>IF(Data!$B$23&gt;0.1,IF(OR(Data!B$3="IH",Data!B$3="IHM",Data!B$3="IMH"),IF($L13=Data!$B$4,IF($M13=Data!$B$6,D13*Data!B$23,""),""),""),"")</f>
        <v/>
      </c>
      <c r="P13" s="31" t="str">
        <f>IF(Data!$B$19&gt;0.01,IF(OR(Data!B$3="IH",Data!B$3="IHM",Data!B$3="IMH"),IF($L13=Data!$B$4,IF($M13=Data!$B$6,E13*Data!B$19,""),""),""),"")</f>
        <v/>
      </c>
      <c r="Q13" s="31" t="str">
        <f>IF(Data!$B$15="Y",IF(OR(Data!B$3="IH",Data!B$3="IHM",Data!B$3="IMH"),IF($L13=Data!$B$4,IF($M13=Data!$B$6,F13,""),""),""),"")</f>
        <v/>
      </c>
      <c r="R13" s="31" t="str">
        <f>IF(OR(Data!$B$10="V",Data!$B$10="H"),IF(OR(Data!B$3="IH",Data!B$3="IHM",Data!B$3="IMH"),IF($L13=Data!$B$4,IF($M13=Data!$B$6,IF(Data!$B$10="H",(G13+H13)*2,G13+H13),""),""),""),"")</f>
        <v/>
      </c>
      <c r="S13" s="31" t="str">
        <f>IF(Data!$B$13&gt;0.1,IF(OR(Data!B$3="IH",Data!B$3="IHM",Data!B$3="IMH"),IF($L13=Data!$B$4,IF($M13=Data!$B$6,I13*Data!B$13,""),""),""),"")</f>
        <v/>
      </c>
    </row>
    <row r="14" spans="1:23">
      <c r="A14" s="41">
        <v>40</v>
      </c>
      <c r="B14" s="41">
        <v>22</v>
      </c>
      <c r="C14" s="54">
        <v>445</v>
      </c>
      <c r="D14" s="31">
        <v>179</v>
      </c>
      <c r="E14" s="31">
        <v>600</v>
      </c>
      <c r="F14" s="31">
        <v>147</v>
      </c>
      <c r="G14" s="31">
        <v>70</v>
      </c>
      <c r="H14" s="31">
        <v>143</v>
      </c>
      <c r="I14" s="31">
        <v>95</v>
      </c>
      <c r="J14" s="31">
        <v>166</v>
      </c>
      <c r="K14" s="31">
        <v>821</v>
      </c>
      <c r="L14" s="32">
        <v>40</v>
      </c>
      <c r="M14" s="32">
        <v>22</v>
      </c>
      <c r="N14" s="31" t="str">
        <f>IF(Data!B$20="Y",IF(OR(Data!B$3="IH",Data!B$3="IHM",Data!B$3="IMH"),IF($L14=Data!B$4,IF($M14=Data!B$6,C14,""),""),""),"")</f>
        <v/>
      </c>
      <c r="O14" s="31" t="str">
        <f>IF(Data!$B$23&gt;0.1,IF(OR(Data!B$3="IH",Data!B$3="IHM",Data!B$3="IMH"),IF($L14=Data!$B$4,IF($M14=Data!$B$6,D14*Data!B$23,""),""),""),"")</f>
        <v/>
      </c>
      <c r="P14" s="31" t="str">
        <f>IF(Data!$B$19&gt;0.01,IF(OR(Data!B$3="IH",Data!B$3="IHM",Data!B$3="IMH"),IF($L14=Data!$B$4,IF($M14=Data!$B$6,E14*Data!B$19,""),""),""),"")</f>
        <v/>
      </c>
      <c r="Q14" s="31" t="str">
        <f>IF(Data!$B$15="Y",IF(OR(Data!B$3="IH",Data!B$3="IHM",Data!B$3="IMH"),IF($L14=Data!$B$4,IF($M14=Data!$B$6,F14,""),""),""),"")</f>
        <v/>
      </c>
      <c r="R14" s="31" t="str">
        <f>IF(OR(Data!$B$10="V",Data!$B$10="H"),IF(OR(Data!B$3="IH",Data!B$3="IHM",Data!B$3="IMH"),IF($L14=Data!$B$4,IF($M14=Data!$B$6,IF(Data!$B$10="H",(G14+H14)*2,G14+H14),""),""),""),"")</f>
        <v/>
      </c>
      <c r="S14" s="31" t="str">
        <f>IF(Data!$B$13&gt;0.1,IF(OR(Data!B$3="IH",Data!B$3="IHM",Data!B$3="IMH"),IF($L14=Data!$B$4,IF($M14=Data!$B$6,I14*Data!B$13,""),""),""),"")</f>
        <v/>
      </c>
    </row>
    <row r="15" spans="1:23">
      <c r="A15" s="41">
        <v>40</v>
      </c>
      <c r="B15" s="41">
        <v>28</v>
      </c>
      <c r="C15" s="31">
        <v>435</v>
      </c>
      <c r="D15" s="31">
        <v>188</v>
      </c>
      <c r="E15" s="31">
        <v>600</v>
      </c>
      <c r="F15" s="31">
        <v>107</v>
      </c>
      <c r="G15" s="31">
        <v>64</v>
      </c>
      <c r="H15" s="31">
        <v>190</v>
      </c>
      <c r="I15" s="31">
        <v>100</v>
      </c>
      <c r="J15" s="31">
        <v>166</v>
      </c>
      <c r="K15" s="31">
        <v>932</v>
      </c>
      <c r="L15" s="32">
        <v>40</v>
      </c>
      <c r="M15" s="32">
        <v>28</v>
      </c>
      <c r="N15" s="31" t="str">
        <f>IF(Data!B$20="Y",IF(OR(Data!B$3="IH",Data!B$3="IHM",Data!B$3="IMH"),IF($L15=Data!B$4,IF($M15=Data!B$6,C15,""),""),""),"")</f>
        <v/>
      </c>
      <c r="O15" s="31" t="str">
        <f>IF(Data!$B$23&gt;0.1,IF(OR(Data!B$3="IH",Data!B$3="IHM",Data!B$3="IMH"),IF($L15=Data!$B$4,IF($M15=Data!$B$6,D15*Data!B$23,""),""),""),"")</f>
        <v/>
      </c>
      <c r="P15" s="31" t="str">
        <f>IF(Data!$B$19&gt;0.01,IF(OR(Data!B$3="IH",Data!B$3="IHM",Data!B$3="IMH"),IF($L15=Data!$B$4,IF($M15=Data!$B$6,E15*Data!B$19,""),""),""),"")</f>
        <v/>
      </c>
      <c r="Q15" s="31" t="str">
        <f>IF(Data!$B$15="Y",IF(OR(Data!B$3="IH",Data!B$3="IHM",Data!B$3="IMH"),IF($L15=Data!$B$4,IF($M15=Data!$B$6,F15,""),""),""),"")</f>
        <v/>
      </c>
      <c r="R15" s="31" t="str">
        <f>IF(OR(Data!$B$10="V",Data!$B$10="H"),IF(OR(Data!B$3="IH",Data!B$3="IHM",Data!B$3="IMH"),IF($L15=Data!$B$4,IF($M15=Data!$B$6,IF(Data!$B$10="H",(G15+H15)*2,G15+H15),""),""),""),"")</f>
        <v/>
      </c>
      <c r="S15" s="31" t="str">
        <f>IF(Data!$B$13&gt;0.1,IF(OR(Data!B$3="IH",Data!B$3="IHM",Data!B$3="IMH"),IF($L15=Data!$B$4,IF($M15=Data!$B$6,I15*Data!B$13,""),""),""),"")</f>
        <v/>
      </c>
    </row>
    <row r="16" spans="1:23">
      <c r="A16" s="31">
        <v>50</v>
      </c>
      <c r="B16" s="41">
        <v>22</v>
      </c>
      <c r="C16" s="31">
        <v>445</v>
      </c>
      <c r="D16" s="31">
        <v>188</v>
      </c>
      <c r="E16" s="31">
        <v>600</v>
      </c>
      <c r="F16" s="31">
        <v>147</v>
      </c>
      <c r="G16" s="31">
        <v>70</v>
      </c>
      <c r="H16" s="31">
        <v>190</v>
      </c>
      <c r="I16" s="31">
        <v>100</v>
      </c>
      <c r="J16" s="31">
        <v>166</v>
      </c>
      <c r="K16" s="31">
        <v>932</v>
      </c>
      <c r="L16" s="32">
        <v>50</v>
      </c>
      <c r="M16" s="32">
        <v>22</v>
      </c>
      <c r="N16" s="31" t="str">
        <f>IF(Data!B$20="Y",IF(OR(Data!B$3="IH",Data!B$3="IHM",Data!B$3="IMH"),IF($L16=Data!B$4,IF($M16=Data!B$6,C16,""),""),""),"")</f>
        <v/>
      </c>
      <c r="O16" s="31" t="str">
        <f>IF(Data!$B$23&gt;0.1,IF(OR(Data!B$3="IH",Data!B$3="IHM",Data!B$3="IMH"),IF($L16=Data!$B$4,IF($M16=Data!$B$6,D16*Data!B$23,""),""),""),"")</f>
        <v/>
      </c>
      <c r="P16" s="31" t="str">
        <f>IF(Data!$B$19&gt;0.01,IF(OR(Data!B$3="IH",Data!B$3="IHM",Data!B$3="IMH"),IF($L16=Data!$B$4,IF($M16=Data!$B$6,E16*Data!B$19,""),""),""),"")</f>
        <v/>
      </c>
      <c r="Q16" s="31" t="str">
        <f>IF(Data!$B$15="Y",IF(OR(Data!B$3="IH",Data!B$3="IHM",Data!B$3="IMH"),IF($L16=Data!$B$4,IF($M16=Data!$B$6,F16,""),""),""),"")</f>
        <v/>
      </c>
      <c r="R16" s="31" t="str">
        <f>IF(OR(Data!$B$10="V",Data!$B$10="H"),IF(OR(Data!B$3="IH",Data!B$3="IHM",Data!B$3="IMH"),IF($L16=Data!$B$4,IF($M16=Data!$B$6,IF(Data!$B$10="H",(G16+H16)*2,G16+H16),""),""),""),"")</f>
        <v/>
      </c>
      <c r="S16" s="31" t="str">
        <f>IF(Data!$B$13&gt;0.1,IF(OR(Data!B$3="IH",Data!B$3="IHM",Data!B$3="IMH"),IF($L16=Data!$B$4,IF($M16=Data!$B$6,I16*Data!B$13,""),""),""),"")</f>
        <v/>
      </c>
    </row>
    <row r="17" spans="1:19">
      <c r="A17" s="41">
        <v>50</v>
      </c>
      <c r="B17" s="41">
        <v>28</v>
      </c>
      <c r="C17" s="54">
        <v>455</v>
      </c>
      <c r="D17" s="54">
        <v>188</v>
      </c>
      <c r="E17" s="31">
        <v>600</v>
      </c>
      <c r="F17" s="31">
        <v>224</v>
      </c>
      <c r="G17" s="31">
        <v>111</v>
      </c>
      <c r="H17" s="31">
        <v>190</v>
      </c>
      <c r="I17" s="31">
        <v>100</v>
      </c>
      <c r="J17" s="31">
        <v>166</v>
      </c>
      <c r="K17" s="31">
        <v>932</v>
      </c>
      <c r="L17" s="32">
        <v>50</v>
      </c>
      <c r="M17" s="32">
        <v>28</v>
      </c>
      <c r="N17" s="31" t="str">
        <f>IF(Data!B$20="Y",IF(OR(Data!B$3="IH",Data!B$3="IHM",Data!B$3="IMH"),IF($L17=Data!B$4,IF($M17=Data!B$6,C17,""),""),""),"")</f>
        <v/>
      </c>
      <c r="O17" s="31" t="str">
        <f>IF(Data!$B$23&gt;0.1,IF(OR(Data!B$3="IH",Data!B$3="IHM",Data!B$3="IMH"),IF($L17=Data!$B$4,IF($M17=Data!$B$6,D17*Data!B$23,""),""),""),"")</f>
        <v/>
      </c>
      <c r="P17" s="31" t="str">
        <f>IF(Data!$B$19&gt;0.01,IF(OR(Data!B$3="IH",Data!B$3="IHM",Data!B$3="IMH"),IF($L17=Data!$B$4,IF($M17=Data!$B$6,E17*Data!B$19,""),""),""),"")</f>
        <v/>
      </c>
      <c r="Q17" s="31" t="str">
        <f>IF(Data!$B$15="Y",IF(OR(Data!B$3="IH",Data!B$3="IHM",Data!B$3="IMH"),IF($L17=Data!$B$4,IF($M17=Data!$B$6,F17,""),""),""),"")</f>
        <v/>
      </c>
      <c r="R17" s="31" t="str">
        <f>IF(OR(Data!$B$10="V",Data!$B$10="H"),IF(OR(Data!B$3="IH",Data!B$3="IHM",Data!B$3="IMH"),IF($L17=Data!$B$4,IF($M17=Data!$B$6,IF(Data!$B$10="H",(G17+H17)*2,G17+H17),""),""),""),"")</f>
        <v/>
      </c>
      <c r="S17" s="31" t="str">
        <f>IF(Data!$B$13&gt;0.1,IF(OR(Data!B$3="IH",Data!B$3="IHM",Data!B$3="IMH"),IF($L17=Data!$B$4,IF($M17=Data!$B$6,I17*Data!B$13,""),""),""),"")</f>
        <v/>
      </c>
    </row>
    <row r="18" spans="1:19">
      <c r="A18" s="31">
        <v>50</v>
      </c>
      <c r="B18" s="41">
        <v>36</v>
      </c>
      <c r="C18" s="31">
        <v>445</v>
      </c>
      <c r="D18" s="31">
        <v>198</v>
      </c>
      <c r="E18" s="31">
        <v>600</v>
      </c>
      <c r="F18" s="31">
        <v>147</v>
      </c>
      <c r="G18" s="31">
        <v>70</v>
      </c>
      <c r="H18" s="31">
        <v>232</v>
      </c>
      <c r="I18" s="31">
        <v>110</v>
      </c>
      <c r="J18" s="31">
        <v>166</v>
      </c>
      <c r="K18" s="31">
        <v>1086</v>
      </c>
      <c r="L18" s="32">
        <v>50</v>
      </c>
      <c r="M18" s="32">
        <v>36</v>
      </c>
      <c r="N18" s="31" t="str">
        <f>IF(Data!B$20="Y",IF(OR(Data!B$3="IH",Data!B$3="IHM",Data!B$3="IMH"),IF($L18=Data!B$4,IF($M18=Data!B$6,C18,""),""),""),"")</f>
        <v/>
      </c>
      <c r="O18" s="31" t="str">
        <f>IF(Data!$B$23&gt;0.1,IF(OR(Data!B$3="IH",Data!B$3="IHM",Data!B$3="IMH"),IF($L18=Data!$B$4,IF($M18=Data!$B$6,D18*Data!B$23,""),""),""),"")</f>
        <v/>
      </c>
      <c r="P18" s="31" t="str">
        <f>IF(Data!$B$19&gt;0.01,IF(OR(Data!B$3="IH",Data!B$3="IHM",Data!B$3="IMH"),IF($L18=Data!$B$4,IF($M18=Data!$B$6,E18*Data!B$19,""),""),""),"")</f>
        <v/>
      </c>
      <c r="Q18" s="31" t="str">
        <f>IF(Data!$B$15="Y",IF(OR(Data!B$3="IH",Data!B$3="IHM",Data!B$3="IMH"),IF($L18=Data!$B$4,IF($M18=Data!$B$6,F18,""),""),""),"")</f>
        <v/>
      </c>
      <c r="R18" s="31" t="str">
        <f>IF(OR(Data!$B$10="V",Data!$B$10="H"),IF(OR(Data!B$3="IH",Data!B$3="IHM",Data!B$3="IMH"),IF($L18=Data!$B$4,IF($M18=Data!$B$6,IF(Data!$B$10="H",(G18+H18)*2,G18+H18),""),""),""),"")</f>
        <v/>
      </c>
      <c r="S18" s="31" t="str">
        <f>IF(Data!$B$13&gt;0.1,IF(OR(Data!B$3="IH",Data!B$3="IHM",Data!B$3="IMH"),IF($L18=Data!$B$4,IF($M18=Data!$B$6,I18*Data!B$13,""),""),""),"")</f>
        <v/>
      </c>
    </row>
    <row r="19" spans="1:19">
      <c r="A19" s="31">
        <v>63</v>
      </c>
      <c r="B19" s="41">
        <v>28</v>
      </c>
      <c r="C19" s="31">
        <v>455</v>
      </c>
      <c r="D19" s="31">
        <v>198</v>
      </c>
      <c r="E19" s="31">
        <v>600</v>
      </c>
      <c r="F19" s="31">
        <v>224</v>
      </c>
      <c r="G19" s="31">
        <v>112</v>
      </c>
      <c r="H19" s="31">
        <v>232</v>
      </c>
      <c r="I19" s="31">
        <v>110</v>
      </c>
      <c r="J19" s="31">
        <v>166</v>
      </c>
      <c r="K19" s="31">
        <v>1086</v>
      </c>
      <c r="L19" s="32">
        <v>63</v>
      </c>
      <c r="M19" s="32">
        <v>28</v>
      </c>
      <c r="N19" s="31" t="str">
        <f>IF(Data!B$20="Y",IF(OR(Data!B$3="IH",Data!B$3="IHM",Data!B$3="IMH"),IF($L19=Data!B$4,IF($M19=Data!B$6,C19,""),""),""),"")</f>
        <v/>
      </c>
      <c r="O19" s="31" t="str">
        <f>IF(Data!$B$23&gt;0.1,IF(OR(Data!B$3="IH",Data!B$3="IHM",Data!B$3="IMH"),IF($L19=Data!$B$4,IF($M19=Data!$B$6,D19*Data!B$23,""),""),""),"")</f>
        <v/>
      </c>
      <c r="P19" s="31" t="str">
        <f>IF(Data!$B$19&gt;0.01,IF(OR(Data!B$3="IH",Data!B$3="IHM",Data!B$3="IMH"),IF($L19=Data!$B$4,IF($M19=Data!$B$6,E19*Data!B$19,""),""),""),"")</f>
        <v/>
      </c>
      <c r="Q19" s="31" t="str">
        <f>IF(Data!$B$15="Y",IF(OR(Data!B$3="IH",Data!B$3="IHM",Data!B$3="IMH"),IF($L19=Data!$B$4,IF($M19=Data!$B$6,F19,""),""),""),"")</f>
        <v/>
      </c>
      <c r="R19" s="31" t="str">
        <f>IF(OR(Data!$B$10="V",Data!$B$10="H"),IF(OR(Data!B$3="IH",Data!B$3="IHM",Data!B$3="IMH"),IF($L19=Data!$B$4,IF($M19=Data!$B$6,IF(Data!$B$10="H",(G19+H19)*2,G19+H19),""),""),""),"")</f>
        <v/>
      </c>
      <c r="S19" s="31" t="str">
        <f>IF(Data!$B$13&gt;0.1,IF(OR(Data!B$3="IH",Data!B$3="IHM",Data!B$3="IMH"),IF($L19=Data!$B$4,IF($M19=Data!$B$6,I19*Data!B$13,""),""),""),"")</f>
        <v/>
      </c>
    </row>
    <row r="20" spans="1:19">
      <c r="A20" s="31">
        <v>63</v>
      </c>
      <c r="B20" s="41">
        <v>36</v>
      </c>
      <c r="C20" s="54">
        <v>460</v>
      </c>
      <c r="D20" s="31">
        <v>198</v>
      </c>
      <c r="E20" s="31">
        <v>600</v>
      </c>
      <c r="F20" s="31">
        <v>401</v>
      </c>
      <c r="G20" s="31">
        <v>180</v>
      </c>
      <c r="H20" s="31">
        <v>232</v>
      </c>
      <c r="I20" s="31">
        <v>110</v>
      </c>
      <c r="J20" s="31">
        <v>166</v>
      </c>
      <c r="K20" s="31">
        <v>1086</v>
      </c>
      <c r="L20" s="32">
        <v>63</v>
      </c>
      <c r="M20" s="32">
        <v>36</v>
      </c>
      <c r="N20" s="31" t="str">
        <f>IF(Data!B$20="Y",IF(OR(Data!B$3="IH",Data!B$3="IHM",Data!B$3="IMH"),IF($L20=Data!B$4,IF($M20=Data!B$6,C20,""),""),""),"")</f>
        <v/>
      </c>
      <c r="O20" s="31" t="str">
        <f>IF(Data!$B$23&gt;0.1,IF(OR(Data!B$3="IH",Data!B$3="IHM",Data!B$3="IMH"),IF($L20=Data!$B$4,IF($M20=Data!$B$6,D20*Data!B$23,""),""),""),"")</f>
        <v/>
      </c>
      <c r="P20" s="31" t="str">
        <f>IF(Data!$B$19&gt;0.01,IF(OR(Data!B$3="IH",Data!B$3="IHM",Data!B$3="IMH"),IF($L20=Data!$B$4,IF($M20=Data!$B$6,E20*Data!B$19,""),""),""),"")</f>
        <v/>
      </c>
      <c r="Q20" s="31" t="str">
        <f>IF(Data!$B$15="Y",IF(OR(Data!B$3="IH",Data!B$3="IHM",Data!B$3="IMH"),IF($L20=Data!$B$4,IF($M20=Data!$B$6,F20,""),""),""),"")</f>
        <v/>
      </c>
      <c r="R20" s="31" t="str">
        <f>IF(OR(Data!$B$10="V",Data!$B$10="H"),IF(OR(Data!B$3="IH",Data!B$3="IHM",Data!B$3="IMH"),IF($L20=Data!$B$4,IF($M20=Data!$B$6,IF(Data!$B$10="H",(G20+H20)*2,G20+H20),""),""),""),"")</f>
        <v/>
      </c>
      <c r="S20" s="31" t="str">
        <f>IF(Data!$B$13&gt;0.1,IF(OR(Data!B$3="IH",Data!B$3="IHM",Data!B$3="IMH"),IF($L20=Data!$B$4,IF($M20=Data!$B$6,I20*Data!B$13,""),""),""),"")</f>
        <v/>
      </c>
    </row>
    <row r="21" spans="1:19">
      <c r="A21" s="31">
        <v>63</v>
      </c>
      <c r="B21" s="41">
        <v>45</v>
      </c>
      <c r="C21" s="31">
        <v>455</v>
      </c>
      <c r="D21" s="31">
        <v>207</v>
      </c>
      <c r="E21" s="31">
        <v>600</v>
      </c>
      <c r="F21" s="31">
        <v>224</v>
      </c>
      <c r="G21" s="31">
        <v>111</v>
      </c>
      <c r="H21" s="31">
        <v>527</v>
      </c>
      <c r="I21" s="31">
        <v>114</v>
      </c>
      <c r="J21" s="31">
        <v>166</v>
      </c>
      <c r="K21" s="31">
        <v>1474</v>
      </c>
      <c r="L21" s="32">
        <v>63</v>
      </c>
      <c r="M21" s="32">
        <v>45</v>
      </c>
      <c r="N21" s="31" t="str">
        <f>IF(Data!B$20="Y",IF(OR(Data!B$3="IH",Data!B$3="IHM",Data!B$3="IMH"),IF($L21=Data!B$4,IF($M21=Data!B$6,C21,""),""),""),"")</f>
        <v/>
      </c>
      <c r="O21" s="31" t="str">
        <f>IF(Data!$B$23&gt;0.1,IF(OR(Data!B$3="IH",Data!B$3="IHM",Data!B$3="IMH"),IF($L21=Data!$B$4,IF($M21=Data!$B$6,D21*Data!B$23,""),""),""),"")</f>
        <v/>
      </c>
      <c r="P21" s="31" t="str">
        <f>IF(Data!$B$19&gt;0.01,IF(OR(Data!B$3="IH",Data!B$3="IHM",Data!B$3="IMH"),IF($L21=Data!$B$4,IF($M21=Data!$B$6,E21*Data!B$19,""),""),""),"")</f>
        <v/>
      </c>
      <c r="Q21" s="31" t="str">
        <f>IF(Data!$B$15="Y",IF(OR(Data!B$3="IH",Data!B$3="IHM",Data!B$3="IMH"),IF($L21=Data!$B$4,IF($M21=Data!$B$6,F21,""),""),""),"")</f>
        <v/>
      </c>
      <c r="R21" s="31" t="str">
        <f>IF(OR(Data!$B$10="V",Data!$B$10="H"),IF(OR(Data!B$3="IH",Data!B$3="IHM",Data!B$3="IMH"),IF($L21=Data!$B$4,IF($M21=Data!$B$6,IF(Data!$B$10="H",(G21+H21)*2,G21+H21),""),""),""),"")</f>
        <v/>
      </c>
      <c r="S21" s="31" t="str">
        <f>IF(Data!$B$13&gt;0.1,IF(OR(Data!B$3="IH",Data!B$3="IHM",Data!B$3="IMH"),IF($L21=Data!$B$4,IF($M21=Data!$B$6,I21*Data!B$13,""),""),""),"")</f>
        <v/>
      </c>
    </row>
    <row r="22" spans="1:19">
      <c r="A22" s="31">
        <v>80</v>
      </c>
      <c r="B22" s="41">
        <v>36</v>
      </c>
      <c r="C22" s="31">
        <v>460</v>
      </c>
      <c r="D22" s="31">
        <v>207</v>
      </c>
      <c r="E22" s="31">
        <v>600</v>
      </c>
      <c r="F22" s="31">
        <v>401</v>
      </c>
      <c r="G22" s="31">
        <v>180</v>
      </c>
      <c r="H22" s="31">
        <v>527</v>
      </c>
      <c r="I22" s="31">
        <v>114</v>
      </c>
      <c r="J22" s="31">
        <v>166</v>
      </c>
      <c r="K22" s="31">
        <v>1474</v>
      </c>
      <c r="L22" s="32">
        <v>80</v>
      </c>
      <c r="M22" s="32">
        <v>36</v>
      </c>
      <c r="N22" s="31" t="str">
        <f>IF(Data!B$20="Y",IF(OR(Data!B$3="IH",Data!B$3="IHM",Data!B$3="IMH"),IF($L22=Data!B$4,IF($M22=Data!B$6,C22,""),""),""),"")</f>
        <v/>
      </c>
      <c r="O22" s="31" t="str">
        <f>IF(Data!$B$23&gt;0.1,IF(OR(Data!B$3="IH",Data!B$3="IHM",Data!B$3="IMH"),IF($L22=Data!$B$4,IF($M22=Data!$B$6,D22*Data!B$23,""),""),""),"")</f>
        <v/>
      </c>
      <c r="P22" s="31" t="str">
        <f>IF(Data!$B$19&gt;0.01,IF(OR(Data!B$3="IH",Data!B$3="IHM",Data!B$3="IMH"),IF($L22=Data!$B$4,IF($M22=Data!$B$6,E22*Data!B$19,""),""),""),"")</f>
        <v/>
      </c>
      <c r="Q22" s="31" t="str">
        <f>IF(Data!$B$15="Y",IF(OR(Data!B$3="IH",Data!B$3="IHM",Data!B$3="IMH"),IF($L22=Data!$B$4,IF($M22=Data!$B$6,F22,""),""),""),"")</f>
        <v/>
      </c>
      <c r="R22" s="31" t="str">
        <f>IF(OR(Data!$B$10="V",Data!$B$10="H"),IF(OR(Data!B$3="IH",Data!B$3="IHM",Data!B$3="IMH"),IF($L22=Data!$B$4,IF($M22=Data!$B$6,IF(Data!$B$10="H",(G22+H22)*2,G22+H22),""),""),""),"")</f>
        <v/>
      </c>
      <c r="S22" s="31" t="str">
        <f>IF(Data!$B$13&gt;0.1,IF(OR(Data!B$3="IH",Data!B$3="IHM",Data!B$3="IMH"),IF($L22=Data!$B$4,IF($M22=Data!$B$6,I22*Data!B$13,""),""),""),"")</f>
        <v/>
      </c>
    </row>
    <row r="23" spans="1:19">
      <c r="A23" s="31">
        <v>80</v>
      </c>
      <c r="B23" s="41">
        <v>45</v>
      </c>
      <c r="C23" s="54">
        <v>488</v>
      </c>
      <c r="D23" s="54">
        <v>207</v>
      </c>
      <c r="E23" s="31">
        <v>600</v>
      </c>
      <c r="F23" s="31">
        <v>443</v>
      </c>
      <c r="G23" s="31">
        <v>236</v>
      </c>
      <c r="H23" s="31">
        <v>527</v>
      </c>
      <c r="I23" s="31">
        <v>114</v>
      </c>
      <c r="J23" s="31">
        <v>166</v>
      </c>
      <c r="K23" s="31">
        <v>1474</v>
      </c>
      <c r="L23" s="32">
        <v>80</v>
      </c>
      <c r="M23" s="32">
        <v>45</v>
      </c>
      <c r="N23" s="31" t="str">
        <f>IF(Data!B$20="Y",IF(OR(Data!B$3="IH",Data!B$3="IHM",Data!B$3="IMH"),IF($L23=Data!B$4,IF($M23=Data!B$6,C23,""),""),""),"")</f>
        <v/>
      </c>
      <c r="O23" s="31" t="str">
        <f>IF(Data!$B$23&gt;0.1,IF(OR(Data!B$3="IH",Data!B$3="IHM",Data!B$3="IMH"),IF($L23=Data!$B$4,IF($M23=Data!$B$6,D23*Data!B$23,""),""),""),"")</f>
        <v/>
      </c>
      <c r="P23" s="31" t="str">
        <f>IF(Data!$B$19&gt;0.01,IF(OR(Data!B$3="IH",Data!B$3="IHM",Data!B$3="IMH"),IF($L23=Data!$B$4,IF($M23=Data!$B$6,E23*Data!B$19,""),""),""),"")</f>
        <v/>
      </c>
      <c r="Q23" s="31" t="str">
        <f>IF(Data!$B$15="Y",IF(OR(Data!B$3="IH",Data!B$3="IHM",Data!B$3="IMH"),IF($L23=Data!$B$4,IF($M23=Data!$B$6,F23,""),""),""),"")</f>
        <v/>
      </c>
      <c r="R23" s="31" t="str">
        <f>IF(OR(Data!$B$10="V",Data!$B$10="H"),IF(OR(Data!B$3="IH",Data!B$3="IHM",Data!B$3="IMH"),IF($L23=Data!$B$4,IF($M23=Data!$B$6,IF(Data!$B$10="H",(G23+H23)*2,G23+H23),""),""),""),"")</f>
        <v/>
      </c>
      <c r="S23" s="31" t="str">
        <f>IF(Data!$B$13&gt;0.1,IF(OR(Data!B$3="IH",Data!B$3="IHM",Data!B$3="IMH"),IF($L23=Data!$B$4,IF($M23=Data!$B$6,I23*Data!B$13,""),""),""),"")</f>
        <v/>
      </c>
    </row>
    <row r="24" spans="1:19">
      <c r="A24" s="31">
        <v>80</v>
      </c>
      <c r="B24" s="41">
        <v>56</v>
      </c>
      <c r="C24" s="54">
        <v>515</v>
      </c>
      <c r="D24" s="31">
        <v>207</v>
      </c>
      <c r="E24" s="31">
        <v>600</v>
      </c>
      <c r="F24" s="31">
        <v>620</v>
      </c>
      <c r="G24" s="31">
        <v>278</v>
      </c>
      <c r="H24" s="31">
        <v>527</v>
      </c>
      <c r="I24" s="31">
        <v>114</v>
      </c>
      <c r="J24" s="31">
        <v>166</v>
      </c>
      <c r="K24" s="31">
        <v>1474</v>
      </c>
      <c r="L24" s="32">
        <v>80</v>
      </c>
      <c r="M24" s="32">
        <v>56</v>
      </c>
      <c r="N24" s="31" t="str">
        <f>IF(Data!B$20="Y",IF(OR(Data!B$3="IH",Data!B$3="IHM",Data!B$3="IMH"),IF($L24=Data!B$4,IF($M24=Data!B$6,C24,""),""),""),"")</f>
        <v/>
      </c>
      <c r="O24" s="31" t="str">
        <f>IF(Data!$B$23&gt;0.1,IF(OR(Data!B$3="IH",Data!B$3="IHM",Data!B$3="IMH"),IF($L24=Data!$B$4,IF($M24=Data!$B$6,D24*Data!B$23,""),""),""),"")</f>
        <v/>
      </c>
      <c r="P24" s="31" t="str">
        <f>IF(Data!$B$19&gt;0.01,IF(OR(Data!B$3="IH",Data!B$3="IHM",Data!B$3="IMH"),IF($L24=Data!$B$4,IF($M24=Data!$B$6,E24*Data!B$19,""),""),""),"")</f>
        <v/>
      </c>
      <c r="Q24" s="31" t="str">
        <f>IF(Data!$B$15="Y",IF(OR(Data!B$3="IH",Data!B$3="IHM",Data!B$3="IMH"),IF($L24=Data!$B$4,IF($M24=Data!$B$6,F24,""),""),""),"")</f>
        <v/>
      </c>
      <c r="R24" s="31" t="str">
        <f>IF(OR(Data!$B$10="V",Data!$B$10="H"),IF(OR(Data!B$3="IH",Data!B$3="IHM",Data!B$3="IMH"),IF($L24=Data!$B$4,IF($M24=Data!$B$6,IF(Data!$B$10="H",(G24+H24)*2,G24+H24),""),""),""),"")</f>
        <v/>
      </c>
      <c r="S24" s="31" t="str">
        <f>IF(Data!$B$13&gt;0.1,IF(OR(Data!B$3="IH",Data!B$3="IHM",Data!B$3="IMH"),IF($L24=Data!$B$4,IF($M24=Data!$B$6,I24*Data!B$13,""),""),""),"")</f>
        <v/>
      </c>
    </row>
    <row r="25" spans="1:19">
      <c r="A25" s="31">
        <v>100</v>
      </c>
      <c r="B25" s="41">
        <v>45</v>
      </c>
      <c r="C25" s="31">
        <v>460</v>
      </c>
      <c r="D25" s="31">
        <v>218</v>
      </c>
      <c r="E25" s="31">
        <v>600</v>
      </c>
      <c r="F25" s="31">
        <v>401</v>
      </c>
      <c r="G25" s="31">
        <v>180</v>
      </c>
      <c r="H25" s="31">
        <v>550</v>
      </c>
      <c r="I25" s="31">
        <v>123</v>
      </c>
      <c r="J25" s="31">
        <v>187</v>
      </c>
      <c r="K25" s="31">
        <v>1673</v>
      </c>
      <c r="L25" s="32">
        <v>100</v>
      </c>
      <c r="M25" s="32">
        <v>45</v>
      </c>
      <c r="N25" s="31" t="str">
        <f>IF(Data!B$20="Y",IF(OR(Data!B$3="IH",Data!B$3="IHM",Data!B$3="IMH"),IF($L25=Data!B$4,IF($M25=Data!B$6,C25,""),""),""),"")</f>
        <v/>
      </c>
      <c r="O25" s="31" t="str">
        <f>IF(Data!$B$23&gt;0.1,IF(OR(Data!B$3="IH",Data!B$3="IHM",Data!B$3="IMH"),IF($L25=Data!$B$4,IF($M25=Data!$B$6,D25*Data!B$23,""),""),""),"")</f>
        <v/>
      </c>
      <c r="P25" s="31" t="str">
        <f>IF(Data!$B$19&gt;0.01,IF(OR(Data!B$3="IH",Data!B$3="IHM",Data!B$3="IMH"),IF($L25=Data!$B$4,IF($M25=Data!$B$6,E25*Data!B$19,""),""),""),"")</f>
        <v/>
      </c>
      <c r="Q25" s="31" t="str">
        <f>IF(Data!$B$15="Y",IF(OR(Data!B$3="IH",Data!B$3="IHM",Data!B$3="IMH"),IF($L25=Data!$B$4,IF($M25=Data!$B$6,F25,""),""),""),"")</f>
        <v/>
      </c>
      <c r="R25" s="31" t="str">
        <f>IF(OR(Data!$B$10="V",Data!$B$10="H"),IF(OR(Data!B$3="IH",Data!B$3="IHM",Data!B$3="IMH"),IF($L25=Data!$B$4,IF($M25=Data!$B$6,IF(Data!$B$10="H",(G25+H25)*2,G25+H25),""),""),""),"")</f>
        <v/>
      </c>
      <c r="S25" s="31" t="str">
        <f>IF(Data!$B$13&gt;0.1,IF(OR(Data!B$3="IH",Data!B$3="IHM",Data!B$3="IMH"),IF($L25=Data!$B$4,IF($M25=Data!$B$6,I25*Data!B$13,""),""),""),"")</f>
        <v/>
      </c>
    </row>
    <row r="26" spans="1:19">
      <c r="A26" s="31">
        <v>100</v>
      </c>
      <c r="B26" s="41">
        <v>56</v>
      </c>
      <c r="C26" s="31">
        <v>488</v>
      </c>
      <c r="D26" s="31">
        <v>218</v>
      </c>
      <c r="E26" s="31">
        <v>600</v>
      </c>
      <c r="F26" s="31">
        <v>443</v>
      </c>
      <c r="G26" s="31">
        <v>230</v>
      </c>
      <c r="H26" s="31">
        <v>550</v>
      </c>
      <c r="I26" s="31">
        <v>123</v>
      </c>
      <c r="J26" s="31">
        <v>187</v>
      </c>
      <c r="K26" s="31">
        <v>1673</v>
      </c>
      <c r="L26" s="32">
        <v>100</v>
      </c>
      <c r="M26" s="32">
        <v>56</v>
      </c>
      <c r="N26" s="31" t="str">
        <f>IF(Data!B$20="Y",IF(OR(Data!B$3="IH",Data!B$3="IHM",Data!B$3="IMH"),IF($L26=Data!B$4,IF($M26=Data!B$6,C26,""),""),""),"")</f>
        <v/>
      </c>
      <c r="O26" s="31" t="str">
        <f>IF(Data!$B$23&gt;0.1,IF(OR(Data!B$3="IH",Data!B$3="IHM",Data!B$3="IMH"),IF($L26=Data!$B$4,IF($M26=Data!$B$6,D26*Data!B$23,""),""),""),"")</f>
        <v/>
      </c>
      <c r="P26" s="31" t="str">
        <f>IF(Data!$B$19&gt;0.01,IF(OR(Data!B$3="IH",Data!B$3="IHM",Data!B$3="IMH"),IF($L26=Data!$B$4,IF($M26=Data!$B$6,E26*Data!B$19,""),""),""),"")</f>
        <v/>
      </c>
      <c r="Q26" s="31" t="str">
        <f>IF(Data!$B$15="Y",IF(OR(Data!B$3="IH",Data!B$3="IHM",Data!B$3="IMH"),IF($L26=Data!$B$4,IF($M26=Data!$B$6,F26,""),""),""),"")</f>
        <v/>
      </c>
      <c r="R26" s="31" t="str">
        <f>IF(OR(Data!$B$10="V",Data!$B$10="H"),IF(OR(Data!B$3="IH",Data!B$3="IHM",Data!B$3="IMH"),IF($L26=Data!$B$4,IF($M26=Data!$B$6,IF(Data!$B$10="H",(G26+H26)*2,G26+H26),""),""),""),"")</f>
        <v/>
      </c>
      <c r="S26" s="31" t="str">
        <f>IF(Data!$B$13&gt;0.1,IF(OR(Data!B$3="IH",Data!B$3="IHM",Data!B$3="IMH"),IF($L26=Data!$B$4,IF($M26=Data!$B$6,I26*Data!B$13,""),""),""),"")</f>
        <v/>
      </c>
    </row>
    <row r="27" spans="1:19">
      <c r="A27" s="31">
        <v>100</v>
      </c>
      <c r="B27" s="41">
        <v>70</v>
      </c>
      <c r="C27" s="31">
        <v>531</v>
      </c>
      <c r="D27" s="31">
        <v>218</v>
      </c>
      <c r="E27" s="31">
        <v>600</v>
      </c>
      <c r="F27" s="31">
        <v>620</v>
      </c>
      <c r="G27" s="31">
        <v>278</v>
      </c>
      <c r="H27" s="31">
        <v>550</v>
      </c>
      <c r="I27" s="31">
        <v>123</v>
      </c>
      <c r="J27" s="31">
        <v>187</v>
      </c>
      <c r="K27" s="31">
        <v>1673</v>
      </c>
      <c r="L27" s="32">
        <v>100</v>
      </c>
      <c r="M27" s="32">
        <v>70</v>
      </c>
      <c r="N27" s="31" t="str">
        <f>IF(Data!B$20="Y",IF(OR(Data!B$3="IH",Data!B$3="IHM",Data!B$3="IMH"),IF($L27=Data!B$4,IF($M27=Data!B$6,C27,""),""),""),"")</f>
        <v/>
      </c>
      <c r="O27" s="31" t="str">
        <f>IF(Data!$B$23&gt;0.1,IF(OR(Data!B$3="IH",Data!B$3="IHM",Data!B$3="IMH"),IF($L27=Data!$B$4,IF($M27=Data!$B$6,D27*Data!B$23,""),""),""),"")</f>
        <v/>
      </c>
      <c r="P27" s="31" t="str">
        <f>IF(Data!$B$19&gt;0.01,IF(OR(Data!B$3="IH",Data!B$3="IHM",Data!B$3="IMH"),IF($L27=Data!$B$4,IF($M27=Data!$B$6,E27*Data!B$19,""),""),""),"")</f>
        <v/>
      </c>
      <c r="Q27" s="31" t="str">
        <f>IF(Data!$B$15="Y",IF(OR(Data!B$3="IH",Data!B$3="IHM",Data!B$3="IMH"),IF($L27=Data!$B$4,IF($M27=Data!$B$6,F27,""),""),""),"")</f>
        <v/>
      </c>
      <c r="R27" s="31" t="str">
        <f>IF(OR(Data!$B$10="V",Data!$B$10="H"),IF(OR(Data!B$3="IH",Data!B$3="IHM",Data!B$3="IMH"),IF($L27=Data!$B$4,IF($M27=Data!$B$6,IF(Data!$B$10="H",(G27+H27)*2,G27+H27),""),""),""),"")</f>
        <v/>
      </c>
      <c r="S27" s="31" t="str">
        <f>IF(Data!$B$13&gt;0.1,IF(OR(Data!B$3="IH",Data!B$3="IHM",Data!B$3="IMH"),IF($L27=Data!$B$4,IF($M27=Data!$B$6,I27*Data!B$13,""),""),""),"")</f>
        <v/>
      </c>
    </row>
    <row r="28" spans="1:19">
      <c r="A28" s="31">
        <v>125</v>
      </c>
      <c r="B28" s="41">
        <v>56</v>
      </c>
      <c r="C28" s="54">
        <v>559</v>
      </c>
      <c r="D28" s="54">
        <v>218</v>
      </c>
      <c r="E28" s="31">
        <v>600</v>
      </c>
      <c r="F28" s="31">
        <v>681</v>
      </c>
      <c r="G28" s="31">
        <v>326</v>
      </c>
      <c r="H28" s="31">
        <v>550</v>
      </c>
      <c r="I28" s="31">
        <v>123</v>
      </c>
      <c r="J28" s="31">
        <v>187</v>
      </c>
      <c r="K28" s="31">
        <v>1673</v>
      </c>
      <c r="L28" s="32">
        <v>125</v>
      </c>
      <c r="M28" s="32">
        <v>56</v>
      </c>
      <c r="N28" s="31" t="str">
        <f>IF(Data!B$20="Y",IF(OR(Data!B$3="IH",Data!B$3="IHM",Data!B$3="IMH"),IF($L28=Data!B$4,IF($M28=Data!B$6,C28,""),""),""),"")</f>
        <v/>
      </c>
      <c r="O28" s="31" t="str">
        <f>IF(Data!$B$23&gt;0.1,IF(OR(Data!B$3="IH",Data!B$3="IHM",Data!B$3="IMH"),IF($L28=Data!$B$4,IF($M28=Data!$B$6,D28*Data!B$23,""),""),""),"")</f>
        <v/>
      </c>
      <c r="P28" s="31" t="str">
        <f>IF(Data!$B$19&gt;0.01,IF(OR(Data!B$3="IH",Data!B$3="IHM",Data!B$3="IMH"),IF($L28=Data!$B$4,IF($M28=Data!$B$6,E28*Data!B$19,""),""),""),"")</f>
        <v/>
      </c>
      <c r="Q28" s="31" t="str">
        <f>IF(Data!$B$15="Y",IF(OR(Data!B$3="IH",Data!B$3="IHM",Data!B$3="IMH"),IF($L28=Data!$B$4,IF($M28=Data!$B$6,F28,""),""),""),"")</f>
        <v/>
      </c>
      <c r="R28" s="31" t="str">
        <f>IF(OR(Data!$B$10="V",Data!$B$10="H"),IF(OR(Data!B$3="IH",Data!B$3="IHM",Data!B$3="IMH"),IF($L28=Data!$B$4,IF($M28=Data!$B$6,IF(Data!$B$10="H",(G28+H28)*2,G28+H28),""),""),""),"")</f>
        <v/>
      </c>
      <c r="S28" s="31" t="str">
        <f>IF(Data!$B$13&gt;0.1,IF(OR(Data!B$3="IH",Data!B$3="IHM",Data!B$3="IMH"),IF($L28=Data!$B$4,IF($M28=Data!$B$6,I28*Data!B$13,""),""),""),"")</f>
        <v/>
      </c>
    </row>
    <row r="29" spans="1:19">
      <c r="A29" s="31">
        <v>125</v>
      </c>
      <c r="B29" s="41">
        <v>70</v>
      </c>
      <c r="C29" s="31">
        <v>488</v>
      </c>
      <c r="D29" s="31">
        <v>226</v>
      </c>
      <c r="E29" s="31">
        <v>600</v>
      </c>
      <c r="F29" s="31">
        <v>443</v>
      </c>
      <c r="G29" s="31">
        <v>230</v>
      </c>
      <c r="H29" s="31">
        <v>616</v>
      </c>
      <c r="I29" s="31">
        <v>135</v>
      </c>
      <c r="J29" s="31">
        <v>187</v>
      </c>
      <c r="K29" s="31">
        <v>1837</v>
      </c>
      <c r="L29" s="32">
        <v>125</v>
      </c>
      <c r="M29" s="32">
        <v>70</v>
      </c>
      <c r="N29" s="31" t="str">
        <f>IF(Data!B$20="Y",IF(OR(Data!B$3="IH",Data!B$3="IHM",Data!B$3="IMH"),IF($L29=Data!B$4,IF($M29=Data!B$6,C29,""),""),""),"")</f>
        <v/>
      </c>
      <c r="O29" s="31" t="str">
        <f>IF(Data!$B$23&gt;0.1,IF(OR(Data!B$3="IH",Data!B$3="IHM",Data!B$3="IMH"),IF($L29=Data!$B$4,IF($M29=Data!$B$6,D29*Data!B$23,""),""),""),"")</f>
        <v/>
      </c>
      <c r="P29" s="31" t="str">
        <f>IF(Data!$B$19&gt;0.01,IF(OR(Data!B$3="IH",Data!B$3="IHM",Data!B$3="IMH"),IF($L29=Data!$B$4,IF($M29=Data!$B$6,E29*Data!B$19,""),""),""),"")</f>
        <v/>
      </c>
      <c r="Q29" s="31" t="str">
        <f>IF(Data!$B$15="Y",IF(OR(Data!B$3="IH",Data!B$3="IHM",Data!B$3="IMH"),IF($L29=Data!$B$4,IF($M29=Data!$B$6,F29,""),""),""),"")</f>
        <v/>
      </c>
      <c r="R29" s="31" t="str">
        <f>IF(OR(Data!$B$10="V",Data!$B$10="H"),IF(OR(Data!B$3="IH",Data!B$3="IHM",Data!B$3="IMH"),IF($L29=Data!$B$4,IF($M29=Data!$B$6,IF(Data!$B$10="H",(G29+H29)*2,G29+H29),""),""),""),"")</f>
        <v/>
      </c>
      <c r="S29" s="31" t="str">
        <f>IF(Data!$B$13&gt;0.1,IF(OR(Data!B$3="IH",Data!B$3="IHM",Data!B$3="IMH"),IF($L29=Data!$B$4,IF($M29=Data!$B$6,I29*Data!B$13,""),""),""),"")</f>
        <v/>
      </c>
    </row>
    <row r="30" spans="1:19">
      <c r="A30" s="31">
        <v>125</v>
      </c>
      <c r="B30" s="41">
        <v>90</v>
      </c>
      <c r="C30" s="31">
        <v>531</v>
      </c>
      <c r="D30" s="31">
        <v>226</v>
      </c>
      <c r="E30" s="31">
        <v>600</v>
      </c>
      <c r="F30" s="31">
        <v>620</v>
      </c>
      <c r="G30" s="31">
        <v>278</v>
      </c>
      <c r="H30" s="31">
        <v>616</v>
      </c>
      <c r="I30" s="31">
        <v>135</v>
      </c>
      <c r="J30" s="31">
        <v>187</v>
      </c>
      <c r="K30" s="31">
        <v>1837</v>
      </c>
      <c r="L30" s="32">
        <v>125</v>
      </c>
      <c r="M30" s="32">
        <v>90</v>
      </c>
      <c r="N30" s="31" t="str">
        <f>IF(Data!B$20="Y",IF(OR(Data!B$3="IH",Data!B$3="IHM",Data!B$3="IMH"),IF($L30=Data!B$4,IF($M30=Data!B$6,C30,""),""),""),"")</f>
        <v/>
      </c>
      <c r="O30" s="31" t="str">
        <f>IF(Data!$B$23&gt;0.1,IF(OR(Data!B$3="IH",Data!B$3="IHM",Data!B$3="IMH"),IF($L30=Data!$B$4,IF($M30=Data!$B$6,D30*Data!B$23,""),""),""),"")</f>
        <v/>
      </c>
      <c r="P30" s="31" t="str">
        <f>IF(Data!$B$19&gt;0.01,IF(OR(Data!B$3="IH",Data!B$3="IHM",Data!B$3="IMH"),IF($L30=Data!$B$4,IF($M30=Data!$B$6,E30*Data!B$19,""),""),""),"")</f>
        <v/>
      </c>
      <c r="Q30" s="31" t="str">
        <f>IF(Data!$B$15="Y",IF(OR(Data!B$3="IH",Data!B$3="IHM",Data!B$3="IMH"),IF($L30=Data!$B$4,IF($M30=Data!$B$6,F30,""),""),""),"")</f>
        <v/>
      </c>
      <c r="R30" s="31" t="str">
        <f>IF(OR(Data!$B$10="V",Data!$B$10="H"),IF(OR(Data!B$3="IH",Data!B$3="IHM",Data!B$3="IMH"),IF($L30=Data!$B$4,IF($M30=Data!$B$6,IF(Data!$B$10="H",(G30+H30)*2,G30+H30),""),""),""),"")</f>
        <v/>
      </c>
      <c r="S30" s="31" t="str">
        <f>IF(Data!$B$13&gt;0.1,IF(OR(Data!B$3="IH",Data!B$3="IHM",Data!B$3="IMH"),IF($L30=Data!$B$4,IF($M30=Data!$B$6,I30*Data!B$13,""),""),""),"")</f>
        <v/>
      </c>
    </row>
    <row r="31" spans="1:19">
      <c r="A31" s="31">
        <v>160</v>
      </c>
      <c r="B31" s="41">
        <v>70</v>
      </c>
      <c r="C31" s="31">
        <v>576</v>
      </c>
      <c r="D31" s="31">
        <v>226</v>
      </c>
      <c r="E31" s="31">
        <v>600</v>
      </c>
      <c r="F31" s="31">
        <v>681</v>
      </c>
      <c r="G31" s="31">
        <v>326</v>
      </c>
      <c r="H31" s="31">
        <v>616</v>
      </c>
      <c r="I31" s="31">
        <v>135</v>
      </c>
      <c r="J31" s="31">
        <v>187</v>
      </c>
      <c r="K31" s="31">
        <v>1837</v>
      </c>
      <c r="L31" s="32">
        <v>160</v>
      </c>
      <c r="M31" s="32">
        <v>70</v>
      </c>
      <c r="N31" s="31" t="str">
        <f>IF(Data!B$20="Y",IF(OR(Data!B$3="IH",Data!B$3="IHM",Data!B$3="IMH"),IF($L31=Data!B$4,IF($M31=Data!B$6,C31,""),""),""),"")</f>
        <v/>
      </c>
      <c r="O31" s="31" t="str">
        <f>IF(Data!$B$23&gt;0.1,IF(OR(Data!B$3="IH",Data!B$3="IHM",Data!B$3="IMH"),IF($L31=Data!$B$4,IF($M31=Data!$B$6,D31*Data!B$23,""),""),""),"")</f>
        <v/>
      </c>
      <c r="P31" s="31" t="str">
        <f>IF(Data!$B$19&gt;0.01,IF(OR(Data!B$3="IH",Data!B$3="IHM",Data!B$3="IMH"),IF($L31=Data!$B$4,IF($M31=Data!$B$6,E31*Data!B$19,""),""),""),"")</f>
        <v/>
      </c>
      <c r="Q31" s="31" t="str">
        <f>IF(Data!$B$15="Y",IF(OR(Data!B$3="IH",Data!B$3="IHM",Data!B$3="IMH"),IF($L31=Data!$B$4,IF($M31=Data!$B$6,F31,""),""),""),"")</f>
        <v/>
      </c>
      <c r="R31" s="31" t="str">
        <f>IF(OR(Data!$B$10="V",Data!$B$10="H"),IF(OR(Data!B$3="IH",Data!B$3="IHM",Data!B$3="IMH"),IF($L31=Data!$B$4,IF($M31=Data!$B$6,IF(Data!$B$10="H",(G31+H31)*2,G31+H31),""),""),""),"")</f>
        <v/>
      </c>
      <c r="S31" s="31" t="str">
        <f>IF(Data!$B$13&gt;0.1,IF(OR(Data!B$3="IH",Data!B$3="IHM",Data!B$3="IMH"),IF($L31=Data!$B$4,IF($M31=Data!$B$6,I31*Data!B$13,""),""),""),"")</f>
        <v/>
      </c>
    </row>
    <row r="32" spans="1:19">
      <c r="A32" s="31">
        <v>160</v>
      </c>
      <c r="B32" s="41">
        <v>90</v>
      </c>
      <c r="C32" s="54">
        <v>728</v>
      </c>
      <c r="D32" s="54">
        <v>226</v>
      </c>
      <c r="E32" s="31">
        <v>600</v>
      </c>
      <c r="F32" s="31">
        <v>748</v>
      </c>
      <c r="G32" s="31">
        <v>371</v>
      </c>
      <c r="H32" s="31">
        <v>616</v>
      </c>
      <c r="I32" s="31">
        <v>135</v>
      </c>
      <c r="J32" s="31">
        <v>187</v>
      </c>
      <c r="K32" s="31">
        <v>1837</v>
      </c>
      <c r="L32" s="32">
        <v>160</v>
      </c>
      <c r="M32" s="32">
        <v>90</v>
      </c>
      <c r="N32" s="31" t="str">
        <f>IF(Data!B$20="Y",IF(OR(Data!B$3="IH",Data!B$3="IHM",Data!B$3="IMH"),IF($L32=Data!B$4,IF($M32=Data!B$6,C32,""),""),""),"")</f>
        <v/>
      </c>
      <c r="O32" s="31" t="str">
        <f>IF(Data!$B$23&gt;0.1,IF(OR(Data!B$3="IH",Data!B$3="IHM",Data!B$3="IMH"),IF($L32=Data!$B$4,IF($M32=Data!$B$6,D32*Data!B$23,""),""),""),"")</f>
        <v/>
      </c>
      <c r="P32" s="31" t="str">
        <f>IF(Data!$B$19&gt;0.01,IF(OR(Data!B$3="IH",Data!B$3="IHM",Data!B$3="IMH"),IF($L32=Data!$B$4,IF($M32=Data!$B$6,E32*Data!B$19,""),""),""),"")</f>
        <v/>
      </c>
      <c r="Q32" s="31" t="str">
        <f>IF(Data!$B$15="Y",IF(OR(Data!B$3="IH",Data!B$3="IHM",Data!B$3="IMH"),IF($L32=Data!$B$4,IF($M32=Data!$B$6,F32,""),""),""),"")</f>
        <v/>
      </c>
      <c r="R32" s="31" t="str">
        <f>IF(OR(Data!$B$10="V",Data!$B$10="H"),IF(OR(Data!B$3="IH",Data!B$3="IHM",Data!B$3="IMH"),IF($L32=Data!$B$4,IF($M32=Data!$B$6,IF(Data!$B$10="H",(G32+H32)*2,G32+H32),""),""),""),"")</f>
        <v/>
      </c>
      <c r="S32" s="31" t="str">
        <f>IF(Data!$B$13&gt;0.1,IF(OR(Data!B$3="IH",Data!B$3="IHM",Data!B$3="IMH"),IF($L32=Data!$B$4,IF($M32=Data!$B$6,I32*Data!B$13,""),""),""),"")</f>
        <v/>
      </c>
    </row>
    <row r="33" spans="1:21">
      <c r="A33" s="31">
        <v>160</v>
      </c>
      <c r="B33" s="41">
        <v>110</v>
      </c>
      <c r="C33" s="54">
        <v>840</v>
      </c>
      <c r="D33" s="54">
        <v>226</v>
      </c>
      <c r="E33" s="31">
        <v>600</v>
      </c>
      <c r="F33" s="31">
        <v>823</v>
      </c>
      <c r="G33" s="31">
        <v>423</v>
      </c>
      <c r="H33" s="31">
        <v>616</v>
      </c>
      <c r="I33" s="31">
        <v>135</v>
      </c>
      <c r="J33" s="31">
        <v>187</v>
      </c>
      <c r="K33" s="31">
        <v>1837</v>
      </c>
      <c r="L33" s="32">
        <v>160</v>
      </c>
      <c r="M33" s="32">
        <v>110</v>
      </c>
      <c r="N33" s="31" t="str">
        <f>IF(Data!B$20="Y",IF(OR(Data!B$3="IH",Data!B$3="IHM",Data!B$3="IMH"),IF($L33=Data!B$4,IF($M33=Data!B$6,C33,""),""),""),"")</f>
        <v/>
      </c>
      <c r="O33" s="31" t="str">
        <f>IF(Data!$B$23&gt;0.1,IF(OR(Data!B$3="IH",Data!B$3="IHM",Data!B$3="IMH"),IF($L33=Data!$B$4,IF($M33=Data!$B$6,D33*Data!B$23,""),""),""),"")</f>
        <v/>
      </c>
      <c r="P33" s="31" t="str">
        <f>IF(Data!$B$19&gt;0.01,IF(OR(Data!B$3="IH",Data!B$3="IHM",Data!B$3="IMH"),IF($L33=Data!$B$4,IF($M33=Data!$B$6,E33*Data!B$19,""),""),""),"")</f>
        <v/>
      </c>
      <c r="Q33" s="31" t="str">
        <f>IF(Data!$B$15="Y",IF(OR(Data!B$3="IH",Data!B$3="IHM",Data!B$3="IMH"),IF($L33=Data!$B$4,IF($M33=Data!$B$6,F33,""),""),""),"")</f>
        <v/>
      </c>
      <c r="R33" s="31" t="str">
        <f>IF(OR(Data!$B$10="V",Data!$B$10="H"),IF(OR(Data!B$3="IH",Data!B$3="IHM",Data!B$3="IMH"),IF($L33=Data!$B$4,IF($M33=Data!$B$6,IF(Data!$B$10="H",(G33+H33)*2,G33+H33),""),""),""),"")</f>
        <v/>
      </c>
      <c r="S33" s="31" t="str">
        <f>IF(Data!$B$13&gt;0.1,IF(OR(Data!B$3="IH",Data!B$3="IHM",Data!B$3="IMH"),IF($L33=Data!$B$4,IF($M33=Data!$B$6,I33*Data!B$13,""),""),""),"")</f>
        <v/>
      </c>
    </row>
    <row r="34" spans="1:21">
      <c r="A34" s="31">
        <v>200</v>
      </c>
      <c r="B34" s="41">
        <v>90</v>
      </c>
      <c r="C34" s="31">
        <v>531</v>
      </c>
      <c r="D34" s="31">
        <v>237</v>
      </c>
      <c r="E34" s="31">
        <v>600</v>
      </c>
      <c r="F34" s="31">
        <v>620</v>
      </c>
      <c r="G34" s="31">
        <v>278</v>
      </c>
      <c r="H34" s="31">
        <v>821</v>
      </c>
      <c r="I34" s="31">
        <v>143</v>
      </c>
      <c r="J34" s="31">
        <v>187</v>
      </c>
      <c r="K34" s="31">
        <v>2398</v>
      </c>
      <c r="L34" s="32">
        <v>200</v>
      </c>
      <c r="M34" s="32">
        <v>90</v>
      </c>
      <c r="N34" s="31" t="str">
        <f>IF(Data!B$20="Y",IF(OR(Data!B$3="IH",Data!B$3="IHM",Data!B$3="IMH"),IF($L34=Data!B$4,IF($M34=Data!B$6,C34,""),""),""),"")</f>
        <v/>
      </c>
      <c r="O34" s="31" t="str">
        <f>IF(Data!$B$23&gt;0.1,IF(OR(Data!B$3="IH",Data!B$3="IHM",Data!B$3="IMH"),IF($L34=Data!$B$4,IF($M34=Data!$B$6,D34*Data!B$23,""),""),""),"")</f>
        <v/>
      </c>
      <c r="P34" s="31" t="str">
        <f>IF(Data!$B$19&gt;0.01,IF(OR(Data!B$3="IH",Data!B$3="IHM",Data!B$3="IMH"),IF($L34=Data!$B$4,IF($M34=Data!$B$6,E34*Data!B$19,""),""),""),"")</f>
        <v/>
      </c>
      <c r="Q34" s="31" t="str">
        <f>IF(Data!$B$15="Y",IF(OR(Data!B$3="IH",Data!B$3="IHM",Data!B$3="IMH"),IF($L34=Data!$B$4,IF($M34=Data!$B$6,F34,""),""),""),"")</f>
        <v/>
      </c>
      <c r="R34" s="31" t="str">
        <f>IF(OR(Data!$B$10="V",Data!$B$10="H"),IF(OR(Data!B$3="IH",Data!B$3="IHM",Data!B$3="IMH"),IF($L34=Data!$B$4,IF($M34=Data!$B$6,IF(Data!$B$10="H",(G34+H34)*2,G34+H34),""),""),""),"")</f>
        <v/>
      </c>
      <c r="S34" s="31" t="str">
        <f>IF(Data!$B$13&gt;0.1,IF(OR(Data!B$3="IH",Data!B$3="IHM",Data!B$3="IMH"),IF($L34=Data!$B$4,IF($M34=Data!$B$6,I34*Data!B$13,""),""),""),"")</f>
        <v/>
      </c>
    </row>
    <row r="35" spans="1:21">
      <c r="A35" s="31">
        <v>200</v>
      </c>
      <c r="B35" s="41">
        <v>110</v>
      </c>
      <c r="C35" s="31">
        <v>576</v>
      </c>
      <c r="D35" s="31">
        <v>237</v>
      </c>
      <c r="E35" s="31">
        <v>600</v>
      </c>
      <c r="F35" s="31">
        <v>681</v>
      </c>
      <c r="G35" s="31">
        <v>326</v>
      </c>
      <c r="H35" s="31">
        <v>821</v>
      </c>
      <c r="I35" s="31">
        <v>143</v>
      </c>
      <c r="J35" s="31">
        <v>187</v>
      </c>
      <c r="K35" s="31">
        <v>2398</v>
      </c>
      <c r="L35" s="32">
        <v>200</v>
      </c>
      <c r="M35" s="32">
        <v>110</v>
      </c>
      <c r="N35" s="31" t="str">
        <f>IF(Data!B$20="Y",IF(OR(Data!B$3="IH",Data!B$3="IHM",Data!B$3="IMH"),IF($L35=Data!B$4,IF($M35=Data!B$6,C35,""),""),""),"")</f>
        <v/>
      </c>
      <c r="O35" s="31" t="str">
        <f>IF(Data!$B$23&gt;0.1,IF(OR(Data!B$3="IH",Data!B$3="IHM",Data!B$3="IMH"),IF($L35=Data!$B$4,IF($M35=Data!$B$6,D35*Data!B$23,""),""),""),"")</f>
        <v/>
      </c>
      <c r="P35" s="31" t="str">
        <f>IF(Data!$B$19&gt;0.01,IF(OR(Data!B$3="IH",Data!B$3="IHM",Data!B$3="IMH"),IF($L35=Data!$B$4,IF($M35=Data!$B$6,E35*Data!B$19,""),""),""),"")</f>
        <v/>
      </c>
      <c r="Q35" s="31" t="str">
        <f>IF(Data!$B$15="Y",IF(OR(Data!B$3="IH",Data!B$3="IHM",Data!B$3="IMH"),IF($L35=Data!$B$4,IF($M35=Data!$B$6,F35,""),""),""),"")</f>
        <v/>
      </c>
      <c r="R35" s="31" t="str">
        <f>IF(OR(Data!$B$10="V",Data!$B$10="H"),IF(OR(Data!B$3="IH",Data!B$3="IHM",Data!B$3="IMH"),IF($L35=Data!$B$4,IF($M35=Data!$B$6,IF(Data!$B$10="H",(G35+H35)*2,G35+H35),""),""),""),"")</f>
        <v/>
      </c>
      <c r="S35" s="31" t="str">
        <f>IF(Data!$B$13&gt;0.1,IF(OR(Data!B$3="IH",Data!B$3="IHM",Data!B$3="IMH"),IF($L35=Data!$B$4,IF($M35=Data!$B$6,I35*Data!B$13,""),""),""),"")</f>
        <v/>
      </c>
    </row>
    <row r="36" spans="1:21">
      <c r="A36" s="31">
        <v>200</v>
      </c>
      <c r="B36" s="41">
        <v>140</v>
      </c>
      <c r="C36" s="31">
        <v>728</v>
      </c>
      <c r="D36" s="31">
        <v>237</v>
      </c>
      <c r="E36" s="31">
        <v>600</v>
      </c>
      <c r="F36" s="31">
        <v>748</v>
      </c>
      <c r="G36" s="31">
        <v>371</v>
      </c>
      <c r="H36" s="31">
        <v>821</v>
      </c>
      <c r="I36" s="31">
        <v>143</v>
      </c>
      <c r="J36" s="31">
        <v>187</v>
      </c>
      <c r="K36" s="31">
        <v>2398</v>
      </c>
      <c r="L36" s="32">
        <v>200</v>
      </c>
      <c r="M36" s="32">
        <v>140</v>
      </c>
      <c r="N36" s="31" t="str">
        <f>IF(Data!B$20="Y",IF(OR(Data!B$3="IH",Data!B$3="IHM",Data!B$3="IMH"),IF($L36=Data!B$4,IF($M36=Data!B$6,C36,""),""),""),"")</f>
        <v/>
      </c>
      <c r="O36" s="31" t="str">
        <f>IF(Data!$B$23&gt;0.1,IF(OR(Data!B$3="IH",Data!B$3="IHM",Data!B$3="IMH"),IF($L36=Data!$B$4,IF($M36=Data!$B$6,D36*Data!B$23,""),""),""),"")</f>
        <v/>
      </c>
      <c r="P36" s="31" t="str">
        <f>IF(Data!$B$19&gt;0.01,IF(OR(Data!B$3="IH",Data!B$3="IHM",Data!B$3="IMH"),IF($L36=Data!$B$4,IF($M36=Data!$B$6,E36*Data!B$19,""),""),""),"")</f>
        <v/>
      </c>
      <c r="Q36" s="31" t="str">
        <f>IF(Data!$B$15="Y",IF(OR(Data!B$3="IH",Data!B$3="IHM",Data!B$3="IMH"),IF($L36=Data!$B$4,IF($M36=Data!$B$6,F36,""),""),""),"")</f>
        <v/>
      </c>
      <c r="R36" s="31" t="str">
        <f>IF(OR(Data!$B$10="V",Data!$B$10="H"),IF(OR(Data!B$3="IH",Data!B$3="IHM",Data!B$3="IMH"),IF($L36=Data!$B$4,IF($M36=Data!$B$6,IF(Data!$B$10="H",(G36+H36)*2,G36+H36),""),""),""),"")</f>
        <v/>
      </c>
      <c r="S36" s="31" t="str">
        <f>IF(Data!$B$13&gt;0.1,IF(OR(Data!B$3="IH",Data!B$3="IHM",Data!B$3="IMH"),IF($L36=Data!$B$4,IF($M36=Data!$B$6,I36*Data!B$13,""),""),""),"")</f>
        <v/>
      </c>
    </row>
    <row r="37" spans="1:21">
      <c r="J37" s="39"/>
      <c r="L37" s="60"/>
      <c r="M37" s="49"/>
      <c r="N37" s="31">
        <f>SUM(N8:N36)</f>
        <v>0</v>
      </c>
      <c r="O37" s="31">
        <f t="shared" ref="O37:T37" si="0">SUM(O8:O36)</f>
        <v>0</v>
      </c>
      <c r="P37" s="31">
        <f t="shared" si="0"/>
        <v>0</v>
      </c>
      <c r="Q37" s="31">
        <f t="shared" si="0"/>
        <v>0</v>
      </c>
      <c r="R37" s="31">
        <f t="shared" si="0"/>
        <v>0</v>
      </c>
      <c r="S37" s="31">
        <f t="shared" si="0"/>
        <v>0</v>
      </c>
      <c r="T37" s="31">
        <f t="shared" si="0"/>
        <v>0</v>
      </c>
      <c r="U37" s="38">
        <f>SUM(N37:T37)</f>
        <v>0</v>
      </c>
    </row>
    <row r="38" spans="1:21">
      <c r="C38" s="54"/>
      <c r="D38" s="54"/>
      <c r="J38" s="39"/>
      <c r="L38" s="60"/>
      <c r="M38" s="49"/>
      <c r="N38" s="31"/>
      <c r="O38" s="31"/>
      <c r="P38" s="31"/>
      <c r="Q38" s="31"/>
      <c r="R38" s="31"/>
      <c r="S38" s="31"/>
    </row>
    <row r="39" spans="1:21">
      <c r="A39" s="44"/>
      <c r="B39" s="45"/>
      <c r="C39" s="32"/>
      <c r="D39" s="32"/>
      <c r="E39" s="32"/>
      <c r="F39" s="32"/>
      <c r="G39" s="32"/>
      <c r="H39" s="32"/>
      <c r="I39" s="32"/>
      <c r="J39" s="32"/>
      <c r="L39" s="44"/>
      <c r="M39" s="45"/>
      <c r="N39" s="31"/>
      <c r="O39" s="31"/>
      <c r="P39" s="31"/>
      <c r="Q39" s="31"/>
      <c r="R39" s="31"/>
      <c r="S39" s="31"/>
    </row>
    <row r="40" spans="1:21">
      <c r="A40" s="44"/>
      <c r="B40" s="45"/>
      <c r="D40" s="32"/>
      <c r="J40" s="32"/>
      <c r="L40" s="44"/>
      <c r="M40" s="45"/>
      <c r="N40" s="31"/>
      <c r="O40" s="31"/>
      <c r="P40" s="31"/>
      <c r="Q40" s="31"/>
      <c r="R40" s="31"/>
      <c r="S40" s="31"/>
    </row>
    <row r="41" spans="1:21">
      <c r="A41" s="44"/>
      <c r="B41" s="45"/>
      <c r="D41" s="32"/>
      <c r="J41" s="32"/>
      <c r="L41" s="44"/>
      <c r="M41" s="45"/>
      <c r="N41" s="31"/>
      <c r="O41" s="31"/>
      <c r="P41" s="31"/>
      <c r="Q41" s="31"/>
      <c r="R41" s="31"/>
      <c r="S41" s="31"/>
    </row>
    <row r="42" spans="1:21">
      <c r="A42" s="44"/>
      <c r="B42" s="45"/>
      <c r="D42" s="32"/>
      <c r="J42" s="32"/>
      <c r="L42" s="44"/>
      <c r="M42" s="45"/>
      <c r="N42" s="31"/>
      <c r="O42" s="31"/>
      <c r="P42" s="31"/>
      <c r="Q42" s="31"/>
      <c r="R42" s="31"/>
      <c r="S42" s="31"/>
    </row>
    <row r="43" spans="1:21">
      <c r="A43" s="44"/>
      <c r="B43" s="45"/>
      <c r="L43" s="44"/>
      <c r="M43" s="45"/>
      <c r="N43" s="31"/>
      <c r="O43" s="31"/>
      <c r="P43" s="31"/>
      <c r="Q43" s="31"/>
      <c r="R43" s="31"/>
      <c r="S43" s="31"/>
    </row>
    <row r="44" spans="1:21">
      <c r="A44" s="44"/>
      <c r="B44" s="45"/>
      <c r="L44" s="44"/>
      <c r="M44" s="45"/>
      <c r="N44" s="31"/>
      <c r="O44" s="31"/>
      <c r="P44" s="31"/>
      <c r="Q44" s="31"/>
      <c r="R44" s="31"/>
      <c r="S44" s="31"/>
    </row>
    <row r="45" spans="1:21">
      <c r="A45" s="44"/>
      <c r="B45" s="45"/>
      <c r="L45" s="44"/>
      <c r="M45" s="45"/>
      <c r="N45" s="31"/>
      <c r="O45" s="31"/>
      <c r="P45" s="31"/>
      <c r="Q45" s="31"/>
      <c r="R45" s="31"/>
      <c r="S45" s="31"/>
    </row>
    <row r="46" spans="1:21">
      <c r="A46" s="44"/>
      <c r="B46" s="45"/>
      <c r="L46" s="44"/>
      <c r="M46" s="45"/>
      <c r="N46" s="31"/>
      <c r="O46" s="31"/>
      <c r="P46" s="31"/>
      <c r="Q46" s="31"/>
      <c r="R46" s="31"/>
      <c r="S46" s="31"/>
    </row>
    <row r="47" spans="1:21">
      <c r="A47" s="44"/>
      <c r="B47" s="45"/>
      <c r="L47" s="44"/>
      <c r="M47" s="45"/>
      <c r="N47" s="31"/>
      <c r="O47" s="31"/>
      <c r="P47" s="31"/>
      <c r="Q47" s="31"/>
      <c r="R47" s="31"/>
      <c r="S47" s="31"/>
    </row>
    <row r="48" spans="1:21">
      <c r="A48" s="44"/>
      <c r="B48" s="45"/>
      <c r="L48" s="44"/>
      <c r="M48" s="45"/>
      <c r="N48" s="31"/>
      <c r="O48" s="31"/>
      <c r="P48" s="31"/>
      <c r="Q48" s="31"/>
      <c r="R48" s="31"/>
      <c r="S48" s="31"/>
    </row>
    <row r="49" spans="1:20">
      <c r="A49" s="44"/>
      <c r="B49" s="45"/>
      <c r="L49" s="44"/>
      <c r="M49" s="45"/>
      <c r="N49" s="31"/>
      <c r="O49" s="31"/>
      <c r="P49" s="31"/>
      <c r="Q49" s="31"/>
      <c r="R49" s="31"/>
      <c r="S49" s="31"/>
    </row>
    <row r="50" spans="1:20">
      <c r="A50" s="44"/>
      <c r="B50" s="45"/>
      <c r="L50" s="44"/>
      <c r="M50" s="45"/>
      <c r="N50" s="31"/>
      <c r="O50" s="31"/>
      <c r="P50" s="31"/>
      <c r="Q50" s="31"/>
      <c r="R50" s="31"/>
      <c r="S50" s="31"/>
    </row>
    <row r="51" spans="1:20">
      <c r="A51" s="44"/>
      <c r="B51" s="45"/>
      <c r="L51" s="44"/>
      <c r="M51" s="45"/>
      <c r="N51" s="31"/>
      <c r="O51" s="31"/>
      <c r="P51" s="31"/>
      <c r="Q51" s="31"/>
      <c r="R51" s="31"/>
      <c r="S51" s="31"/>
    </row>
    <row r="52" spans="1:20">
      <c r="A52" s="44"/>
      <c r="B52" s="45"/>
      <c r="L52" s="44"/>
      <c r="M52" s="45"/>
      <c r="N52" s="31"/>
      <c r="O52" s="31"/>
      <c r="P52" s="31"/>
      <c r="Q52" s="31"/>
      <c r="R52" s="31"/>
      <c r="S52" s="31"/>
    </row>
    <row r="53" spans="1:20">
      <c r="N53" s="31"/>
      <c r="O53" s="31"/>
      <c r="P53" s="31"/>
      <c r="Q53" s="31"/>
      <c r="R53" s="31"/>
      <c r="S53" s="31"/>
      <c r="T53" s="32"/>
    </row>
    <row r="80" ht="13.5" customHeight="1"/>
    <row r="81" ht="13.5" customHeight="1"/>
    <row r="82" ht="13.5" customHeight="1"/>
    <row r="83" ht="13.5" customHeight="1"/>
    <row r="84" ht="13.5" customHeight="1"/>
    <row r="85" ht="12.75" customHeight="1"/>
    <row r="86" ht="13.5" customHeight="1"/>
    <row r="87" ht="13.5" customHeight="1"/>
    <row r="88" ht="12.75" customHeight="1"/>
    <row r="89" ht="13.5" customHeight="1"/>
    <row r="90" ht="13.5" customHeight="1"/>
    <row r="91" ht="12.75" customHeight="1"/>
    <row r="92" ht="13.5" customHeight="1"/>
    <row r="93" ht="13.5" customHeight="1"/>
    <row r="94" ht="12.75" customHeight="1"/>
    <row r="95" ht="12.75" customHeight="1"/>
    <row r="96" ht="13.5" customHeight="1"/>
    <row r="97" ht="13.5" customHeight="1"/>
    <row r="98" ht="12.75" customHeight="1"/>
    <row r="99" ht="12.75" customHeight="1"/>
    <row r="100" ht="13.5" customHeight="1"/>
    <row r="101" ht="13.5" customHeight="1"/>
    <row r="102" ht="12.75" customHeight="1"/>
    <row r="103" ht="12.75" customHeight="1"/>
    <row r="104" ht="12.75" customHeight="1"/>
    <row r="105" ht="13.5" customHeight="1"/>
    <row r="106" ht="13.5" customHeight="1"/>
    <row r="107" ht="12.75" customHeight="1"/>
    <row r="108" ht="12.75" customHeight="1"/>
    <row r="109" ht="12.75" customHeight="1"/>
    <row r="110" ht="13.5" customHeight="1"/>
    <row r="111" ht="13.5" customHeight="1"/>
    <row r="112" ht="12.75" customHeight="1"/>
    <row r="113" ht="12.75" customHeight="1"/>
    <row r="114" ht="13.5" customHeight="1"/>
    <row r="115" ht="13.5" customHeight="1"/>
    <row r="116" ht="12.7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</sheetData>
  <mergeCells count="23">
    <mergeCell ref="M4:M7"/>
    <mergeCell ref="A1:J1"/>
    <mergeCell ref="N1:W1"/>
    <mergeCell ref="A2:J2"/>
    <mergeCell ref="N2:W2"/>
    <mergeCell ref="A4:A7"/>
    <mergeCell ref="B4:B7"/>
    <mergeCell ref="C4:C7"/>
    <mergeCell ref="D4:D7"/>
    <mergeCell ref="E4:E7"/>
    <mergeCell ref="F4:F7"/>
    <mergeCell ref="G4:H6"/>
    <mergeCell ref="I4:I7"/>
    <mergeCell ref="J4:J7"/>
    <mergeCell ref="K4:K7"/>
    <mergeCell ref="L4:L7"/>
    <mergeCell ref="T4:T7"/>
    <mergeCell ref="N4:N7"/>
    <mergeCell ref="O4:O7"/>
    <mergeCell ref="P4:P7"/>
    <mergeCell ref="Q4:Q7"/>
    <mergeCell ref="R4:R7"/>
    <mergeCell ref="S4:S7"/>
  </mergeCells>
  <printOptions horizontalCentered="1" verticalCentered="1"/>
  <pageMargins left="0.25" right="0.25" top="0.25" bottom="0.25" header="0.5" footer="0.5"/>
  <pageSetup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FCA10-2D06-4184-98D9-79B2E58B30FF}">
  <sheetPr codeName="Sheet19"/>
  <dimension ref="A1:AA111"/>
  <sheetViews>
    <sheetView workbookViewId="0">
      <selection activeCell="F7" sqref="F7:F36"/>
    </sheetView>
  </sheetViews>
  <sheetFormatPr defaultColWidth="9.08984375" defaultRowHeight="13"/>
  <cols>
    <col min="1" max="1" width="8.54296875" style="31" customWidth="1"/>
    <col min="2" max="2" width="8.54296875" style="41" customWidth="1"/>
    <col min="3" max="3" width="12.54296875" style="31" customWidth="1"/>
    <col min="4" max="4" width="11" style="31" customWidth="1"/>
    <col min="5" max="5" width="8.08984375" style="31" customWidth="1"/>
    <col min="6" max="6" width="9.54296875" style="31" customWidth="1"/>
    <col min="7" max="7" width="11.08984375" style="31" customWidth="1"/>
    <col min="8" max="8" width="6.54296875" style="31" customWidth="1"/>
    <col min="9" max="9" width="10.54296875" style="31" customWidth="1"/>
    <col min="10" max="16384" width="9.08984375" style="38"/>
  </cols>
  <sheetData>
    <row r="1" spans="1:20">
      <c r="A1" s="474" t="s">
        <v>472</v>
      </c>
      <c r="B1" s="474"/>
      <c r="C1" s="474"/>
      <c r="D1" s="474"/>
      <c r="E1" s="474"/>
      <c r="F1" s="474"/>
      <c r="G1" s="474"/>
      <c r="H1" s="474"/>
      <c r="I1" s="474"/>
      <c r="K1" s="474"/>
      <c r="L1" s="474"/>
      <c r="M1" s="474"/>
      <c r="N1" s="474"/>
      <c r="O1" s="474"/>
      <c r="P1" s="474"/>
      <c r="Q1" s="474"/>
    </row>
    <row r="2" spans="1:20">
      <c r="A2" s="474" t="s">
        <v>384</v>
      </c>
      <c r="B2" s="474"/>
      <c r="C2" s="474"/>
      <c r="D2" s="474"/>
      <c r="E2" s="474"/>
      <c r="F2" s="474"/>
      <c r="G2" s="474"/>
      <c r="H2" s="474"/>
      <c r="I2" s="474"/>
      <c r="K2" s="474"/>
      <c r="L2" s="474"/>
      <c r="M2" s="474"/>
      <c r="N2" s="474"/>
      <c r="O2" s="474"/>
      <c r="P2" s="474"/>
      <c r="Q2" s="474"/>
    </row>
    <row r="3" spans="1:20">
      <c r="B3" s="31"/>
      <c r="K3" s="31"/>
      <c r="L3" s="31"/>
      <c r="M3" s="31"/>
      <c r="N3" s="31"/>
      <c r="O3" s="31"/>
      <c r="P3" s="31"/>
      <c r="Q3" s="31"/>
    </row>
    <row r="4" spans="1:20" ht="9" customHeight="1">
      <c r="A4" s="606" t="s">
        <v>440</v>
      </c>
      <c r="B4" s="606" t="s">
        <v>87</v>
      </c>
      <c r="C4" s="606" t="s">
        <v>467</v>
      </c>
      <c r="D4" s="606" t="s">
        <v>22175</v>
      </c>
      <c r="E4" s="606" t="s">
        <v>281</v>
      </c>
      <c r="F4" s="606" t="s">
        <v>22200</v>
      </c>
      <c r="G4" s="606"/>
      <c r="H4" s="606" t="s">
        <v>306</v>
      </c>
      <c r="I4" s="606" t="s">
        <v>20266</v>
      </c>
      <c r="K4" s="606" t="s">
        <v>440</v>
      </c>
      <c r="L4" s="606" t="s">
        <v>87</v>
      </c>
      <c r="M4" s="606" t="s">
        <v>658</v>
      </c>
      <c r="N4" s="606" t="s">
        <v>626</v>
      </c>
      <c r="O4" s="475" t="s">
        <v>281</v>
      </c>
      <c r="P4" s="475" t="s">
        <v>22200</v>
      </c>
      <c r="Q4" s="475" t="s">
        <v>20267</v>
      </c>
    </row>
    <row r="5" spans="1:20" ht="12.75" customHeight="1">
      <c r="A5" s="607"/>
      <c r="B5" s="607"/>
      <c r="C5" s="607"/>
      <c r="D5" s="607"/>
      <c r="E5" s="606"/>
      <c r="F5" s="611"/>
      <c r="G5" s="611"/>
      <c r="H5" s="606"/>
      <c r="I5" s="606"/>
      <c r="J5" s="38" t="s">
        <v>73</v>
      </c>
      <c r="K5" s="607"/>
      <c r="L5" s="607"/>
      <c r="M5" s="607"/>
      <c r="N5" s="607"/>
      <c r="O5" s="605"/>
      <c r="P5" s="605"/>
      <c r="Q5" s="605"/>
      <c r="R5" s="38" t="s">
        <v>73</v>
      </c>
    </row>
    <row r="6" spans="1:20" ht="12.75" customHeight="1">
      <c r="A6" s="607"/>
      <c r="B6" s="607"/>
      <c r="C6" s="607"/>
      <c r="D6" s="607"/>
      <c r="E6" s="606"/>
      <c r="F6" s="611"/>
      <c r="G6" s="611"/>
      <c r="H6" s="606"/>
      <c r="I6" s="606"/>
      <c r="J6" s="38" t="s">
        <v>74</v>
      </c>
      <c r="K6" s="607"/>
      <c r="L6" s="607"/>
      <c r="M6" s="607"/>
      <c r="N6" s="607"/>
      <c r="O6" s="605"/>
      <c r="P6" s="605"/>
      <c r="Q6" s="605"/>
      <c r="R6" s="38" t="s">
        <v>74</v>
      </c>
    </row>
    <row r="7" spans="1:20">
      <c r="A7" s="607"/>
      <c r="B7" s="607"/>
      <c r="C7" s="607"/>
      <c r="D7" s="607"/>
      <c r="E7" s="606"/>
      <c r="F7" s="31" t="s">
        <v>181</v>
      </c>
      <c r="G7" s="31" t="s">
        <v>22174</v>
      </c>
      <c r="H7" s="606"/>
      <c r="I7" s="606"/>
      <c r="K7" s="607"/>
      <c r="L7" s="607"/>
      <c r="M7" s="607"/>
      <c r="N7" s="607"/>
      <c r="O7" s="605"/>
      <c r="P7" s="605"/>
      <c r="Q7" s="605"/>
    </row>
    <row r="8" spans="1:20">
      <c r="A8" s="41">
        <v>25</v>
      </c>
      <c r="B8" s="41">
        <v>12</v>
      </c>
      <c r="C8" s="110">
        <v>212</v>
      </c>
      <c r="D8" s="60">
        <v>0.5</v>
      </c>
      <c r="E8" s="32">
        <v>36</v>
      </c>
      <c r="F8" s="32">
        <v>344</v>
      </c>
      <c r="G8" s="65">
        <v>0.8</v>
      </c>
      <c r="H8" s="32">
        <v>21</v>
      </c>
      <c r="I8" s="32">
        <v>35</v>
      </c>
      <c r="J8" s="32">
        <v>898</v>
      </c>
      <c r="K8" s="32">
        <v>25</v>
      </c>
      <c r="L8" s="32">
        <v>12</v>
      </c>
      <c r="M8" s="39" t="b">
        <f>IF(OR(Data!B$3="IH",Data!B$3="IHM",Data!B$3="IMH"),IF(AND(K8=Data!B$4,L8=Data!B$6,Data!$D$2="F"),C8*2+C8*Data!B$13,""))</f>
        <v>0</v>
      </c>
      <c r="N8" s="31" t="str">
        <f>IF(Data!$B$25&gt;0.1,IF(OR(Data!B$3="IH",Data!B$3="IHM",Data!B$3="IMH"),IF($K8=Data!$B$4,IF($L8=Data!$B$6,D8*4*Data!B$25,""),""),""),"")</f>
        <v/>
      </c>
      <c r="O8" s="31" t="str">
        <f>IF(Data!$B$10="C",IF(OR(Data!B$3="IH",Data!B$3="IHM",Data!B$3="IMH"),IF($K8=Data!$B$4,IF($L8=Data!$B$6,E8,""),""),""),"")</f>
        <v/>
      </c>
      <c r="P8" s="31" t="str">
        <f>IF(Data!$B$16="Y",IF(OR(Data!B$3="IH",Data!B$3="IHM",Data!B$3="IMH"),IF($K8=Data!$B$4,IF($L8=Data!$B$6,F8+Data!B$8*G8,""),""),""),"")</f>
        <v/>
      </c>
      <c r="Q8" s="31" t="str">
        <f>IF(OR(Data!$B$10="B",Data!$B$10="L"),IF(OR(Data!B$3="IH",Data!B$3="IHM",Data!B$3="IMH"),IF($K8=Data!$B$4,IF($L8=Data!$B$6,H8+I8,""),""),""),"")</f>
        <v/>
      </c>
      <c r="R8" s="38" t="str">
        <f>IF($K8=Data!$B$4,IF($L8=Data!$B$6,J8*Data!I$58,""),"")</f>
        <v/>
      </c>
      <c r="T8" s="112"/>
    </row>
    <row r="9" spans="1:20">
      <c r="A9" s="41">
        <v>25</v>
      </c>
      <c r="B9" s="41">
        <v>18</v>
      </c>
      <c r="C9" s="110">
        <v>212</v>
      </c>
      <c r="D9" s="382">
        <v>0.5</v>
      </c>
      <c r="E9" s="32">
        <v>36</v>
      </c>
      <c r="F9" s="32">
        <v>344</v>
      </c>
      <c r="G9" s="65">
        <v>0.8</v>
      </c>
      <c r="H9" s="32">
        <v>24</v>
      </c>
      <c r="I9" s="32">
        <v>35</v>
      </c>
      <c r="J9" s="32">
        <v>898</v>
      </c>
      <c r="K9" s="32">
        <v>25</v>
      </c>
      <c r="L9" s="32">
        <v>18</v>
      </c>
      <c r="M9" s="39" t="b">
        <f>IF(OR(Data!B$3="IH",Data!B$3="IHM",Data!B$3="IMH"),IF(AND(K9=Data!B$4,L9=Data!B$6,Data!$D$2="F"),C9*2+C9*Data!B$13,""))</f>
        <v>0</v>
      </c>
      <c r="N9" s="31" t="str">
        <f>IF(Data!$B$25&gt;0.1,IF(OR(Data!B$3="IH",Data!B$3="IHM",Data!B$3="IMH"),IF($K9=Data!$B$4,IF($L9=Data!$B$6,D9*4*Data!B$25,""),""),""),"")</f>
        <v/>
      </c>
      <c r="O9" s="31" t="str">
        <f>IF(Data!$B$10="C",IF(OR(Data!B$3="IH",Data!B$3="IHM",Data!B$3="IMH"),IF($K9=Data!$B$4,IF($L9=Data!$B$6,E9,""),""),""),"")</f>
        <v/>
      </c>
      <c r="P9" s="31" t="str">
        <f>IF(Data!$B$16="Y",IF(OR(Data!B$3="IH",Data!B$3="IHM",Data!B$3="IMH"),IF($K9=Data!$B$4,IF($L9=Data!$B$6,F9+Data!B$8*G9,""),""),""),"")</f>
        <v/>
      </c>
      <c r="Q9" s="31" t="str">
        <f>IF(OR(Data!$B$10="B",Data!$B$10="L"),IF(OR(Data!B$3="IH",Data!B$3="IHM",Data!B$3="IMH"),IF($K9=Data!$B$4,IF($L9=Data!$B$6,H9+I9,""),""),""),"")</f>
        <v/>
      </c>
      <c r="R9" s="38" t="str">
        <f>IF($K9=Data!$B$4,IF($L9=Data!$B$6,J9*Data!I$58,""),"")</f>
        <v/>
      </c>
      <c r="T9" s="112"/>
    </row>
    <row r="10" spans="1:20">
      <c r="A10" s="31">
        <v>32</v>
      </c>
      <c r="B10" s="41">
        <v>14</v>
      </c>
      <c r="C10" s="110">
        <v>218</v>
      </c>
      <c r="D10" s="60">
        <v>0.55000000000000004</v>
      </c>
      <c r="E10" s="32">
        <v>46</v>
      </c>
      <c r="F10" s="32">
        <v>344</v>
      </c>
      <c r="G10" s="65">
        <v>0.8</v>
      </c>
      <c r="H10" s="32">
        <v>24</v>
      </c>
      <c r="I10" s="32">
        <v>41</v>
      </c>
      <c r="J10" s="32">
        <v>944</v>
      </c>
      <c r="K10" s="32">
        <v>32</v>
      </c>
      <c r="L10" s="32">
        <v>14</v>
      </c>
      <c r="M10" s="39" t="b">
        <f>IF(OR(Data!B$3="IH",Data!B$3="IHM",Data!B$3="IMH"),IF(AND(K10=Data!B$4,L10=Data!B$6,Data!$D$2="F"),C10*2+C10*Data!B$13,""))</f>
        <v>0</v>
      </c>
      <c r="N10" s="31" t="str">
        <f>IF(Data!$B$25&gt;0.1,IF(OR(Data!B$3="IH",Data!B$3="IHM",Data!B$3="IMH"),IF($K10=Data!$B$4,IF($L10=Data!$B$6,D10*4*Data!B$25,""),""),""),"")</f>
        <v/>
      </c>
      <c r="O10" s="31" t="str">
        <f>IF(Data!$B$10="C",IF(OR(Data!B$3="IH",Data!B$3="IHM",Data!B$3="IMH"),IF($K10=Data!$B$4,IF($L10=Data!$B$6,E10,""),""),""),"")</f>
        <v/>
      </c>
      <c r="P10" s="31" t="str">
        <f>IF(Data!$B$16="Y",IF(OR(Data!B$3="IH",Data!B$3="IHM",Data!B$3="IMH"),IF($K10=Data!$B$4,IF($L10=Data!$B$6,F10+Data!B$8*G10,""),""),""),"")</f>
        <v/>
      </c>
      <c r="Q10" s="31" t="str">
        <f>IF(OR(Data!$B$10="B",Data!$B$10="L"),IF(OR(Data!B$3="IH",Data!B$3="IHM",Data!B$3="IMH"),IF($K10=Data!$B$4,IF($L10=Data!$B$6,H10+I10,""),""),""),"")</f>
        <v/>
      </c>
      <c r="R10" s="38" t="str">
        <f>IF($K10=Data!$B$4,IF($L10=Data!$B$6,J10*Data!I$58,""),"")</f>
        <v/>
      </c>
      <c r="T10" s="112"/>
    </row>
    <row r="11" spans="1:20">
      <c r="A11" s="31">
        <v>32</v>
      </c>
      <c r="B11" s="41">
        <v>18</v>
      </c>
      <c r="C11" s="110">
        <v>218</v>
      </c>
      <c r="D11" s="60">
        <v>0.55000000000000004</v>
      </c>
      <c r="E11" s="32">
        <v>46</v>
      </c>
      <c r="F11" s="32">
        <v>360</v>
      </c>
      <c r="G11" s="65">
        <v>0.8</v>
      </c>
      <c r="H11" s="32">
        <v>30</v>
      </c>
      <c r="I11" s="32">
        <v>41</v>
      </c>
      <c r="J11" s="32">
        <v>944</v>
      </c>
      <c r="K11" s="32">
        <v>32</v>
      </c>
      <c r="L11" s="32">
        <v>18</v>
      </c>
      <c r="M11" s="39" t="b">
        <f>IF(OR(Data!B$3="IH",Data!B$3="IHM",Data!B$3="IMH"),IF(AND(K11=Data!B$4,L11=Data!B$6,Data!$D$2="F"),C11*2+C11*Data!B$13,""))</f>
        <v>0</v>
      </c>
      <c r="N11" s="31" t="str">
        <f>IF(Data!$B$25&gt;0.1,IF(OR(Data!B$3="IH",Data!B$3="IHM",Data!B$3="IMH"),IF($K11=Data!$B$4,IF($L11=Data!$B$6,D11*4*Data!B$25,""),""),""),"")</f>
        <v/>
      </c>
      <c r="O11" s="31" t="str">
        <f>IF(Data!$B$10="C",IF(OR(Data!B$3="IH",Data!B$3="IHM",Data!B$3="IMH"),IF($K11=Data!$B$4,IF($L11=Data!$B$6,E11,""),""),""),"")</f>
        <v/>
      </c>
      <c r="P11" s="31" t="str">
        <f>IF(Data!$B$16="Y",IF(OR(Data!B$3="IH",Data!B$3="IHM",Data!B$3="IMH"),IF($K11=Data!$B$4,IF($L11=Data!$B$6,F11+Data!B$8*G11,""),""),""),"")</f>
        <v/>
      </c>
      <c r="Q11" s="31" t="str">
        <f>IF(OR(Data!$B$10="B",Data!$B$10="L"),IF(OR(Data!B$3="IH",Data!B$3="IHM",Data!B$3="IMH"),IF($K11=Data!$B$4,IF($L11=Data!$B$6,H11+I11,""),""),""),"")</f>
        <v/>
      </c>
      <c r="R11" s="38" t="str">
        <f>IF($K11=Data!$B$4,IF($L11=Data!$B$6,J11*Data!I$58,""),"")</f>
        <v/>
      </c>
      <c r="T11" s="112"/>
    </row>
    <row r="12" spans="1:20">
      <c r="A12" s="41">
        <v>32</v>
      </c>
      <c r="B12" s="41">
        <v>22</v>
      </c>
      <c r="C12" s="32">
        <v>218</v>
      </c>
      <c r="D12" s="60">
        <v>0.55000000000000004</v>
      </c>
      <c r="E12" s="32">
        <v>53</v>
      </c>
      <c r="F12" s="32">
        <v>360</v>
      </c>
      <c r="G12" s="65">
        <v>0.9</v>
      </c>
      <c r="H12" s="32">
        <v>24</v>
      </c>
      <c r="I12" s="32">
        <v>45</v>
      </c>
      <c r="J12" s="32">
        <v>998</v>
      </c>
      <c r="K12" s="32">
        <v>32</v>
      </c>
      <c r="L12" s="32">
        <v>22</v>
      </c>
      <c r="M12" s="39" t="b">
        <f>IF(OR(Data!B$3="IH",Data!B$3="IHM",Data!B$3="IMH"),IF(AND(K12=Data!B$4,L12=Data!B$6,Data!$D$2="F"),C12*2+C12*Data!B$13,""))</f>
        <v>0</v>
      </c>
      <c r="N12" s="31" t="str">
        <f>IF(Data!$B$25&gt;0.1,IF(OR(Data!B$3="IH",Data!B$3="IHM",Data!B$3="IMH"),IF($K12=Data!$B$4,IF($L12=Data!$B$6,D12*4*Data!B$25,""),""),""),"")</f>
        <v/>
      </c>
      <c r="O12" s="31" t="str">
        <f>IF(Data!$B$10="C",IF(OR(Data!B$3="IH",Data!B$3="IHM",Data!B$3="IMH"),IF($K12=Data!$B$4,IF($L12=Data!$B$6,E12,""),""),""),"")</f>
        <v/>
      </c>
      <c r="P12" s="31" t="str">
        <f>IF(Data!$B$16="Y",IF(OR(Data!B$3="IH",Data!B$3="IHM",Data!B$3="IMH"),IF($K12=Data!$B$4,IF($L12=Data!$B$6,F12+Data!B$8*G12,""),""),""),"")</f>
        <v/>
      </c>
      <c r="Q12" s="31" t="str">
        <f>IF(OR(Data!$B$10="B",Data!$B$10="L"),IF(OR(Data!B$3="IH",Data!B$3="IHM",Data!B$3="IMH"),IF($K12=Data!$B$4,IF($L12=Data!$B$6,H12+I12,""),""),""),"")</f>
        <v/>
      </c>
      <c r="R12" s="38" t="str">
        <f>IF($K12=Data!$B$4,IF($L12=Data!$B$6,J12*Data!I$58,""),"")</f>
        <v/>
      </c>
      <c r="T12" s="112"/>
    </row>
    <row r="13" spans="1:20">
      <c r="A13" s="31">
        <v>40</v>
      </c>
      <c r="B13" s="41">
        <v>18</v>
      </c>
      <c r="C13" s="32">
        <v>218</v>
      </c>
      <c r="D13" s="60">
        <v>0.55000000000000004</v>
      </c>
      <c r="E13" s="32">
        <v>53</v>
      </c>
      <c r="F13" s="32">
        <v>480</v>
      </c>
      <c r="G13" s="65">
        <v>0.9</v>
      </c>
      <c r="H13" s="32">
        <v>30</v>
      </c>
      <c r="I13" s="32">
        <v>45</v>
      </c>
      <c r="J13" s="32">
        <v>998</v>
      </c>
      <c r="K13" s="32">
        <v>40</v>
      </c>
      <c r="L13" s="32">
        <v>18</v>
      </c>
      <c r="M13" s="39" t="b">
        <f>IF(OR(Data!B$3="IH",Data!B$3="IHM",Data!B$3="IMH"),IF(AND(K13=Data!B$4,L13=Data!B$6,Data!$D$2="F"),C13*2+C13*Data!B$13,""))</f>
        <v>0</v>
      </c>
      <c r="N13" s="31" t="str">
        <f>IF(Data!$B$25&gt;0.1,IF(OR(Data!B$3="IH",Data!B$3="IHM",Data!B$3="IMH"),IF($K13=Data!$B$4,IF($L13=Data!$B$6,D13*4*Data!B$25,""),""),""),"")</f>
        <v/>
      </c>
      <c r="O13" s="31" t="str">
        <f>IF(Data!$B$10="C",IF(OR(Data!B$3="IH",Data!B$3="IHM",Data!B$3="IMH"),IF($K13=Data!$B$4,IF($L13=Data!$B$6,E13,""),""),""),"")</f>
        <v/>
      </c>
      <c r="P13" s="31" t="str">
        <f>IF(Data!$B$16="Y",IF(OR(Data!B$3="IH",Data!B$3="IHM",Data!B$3="IMH"),IF($K13=Data!$B$4,IF($L13=Data!$B$6,F13+Data!B$8*G13,""),""),""),"")</f>
        <v/>
      </c>
      <c r="Q13" s="31" t="str">
        <f>IF(OR(Data!$B$10="B",Data!$B$10="L"),IF(OR(Data!B$3="IH",Data!B$3="IHM",Data!B$3="IMH"),IF($K13=Data!$B$4,IF($L13=Data!$B$6,H13+I13,""),""),""),"")</f>
        <v/>
      </c>
      <c r="R13" s="38" t="str">
        <f>IF($K13=Data!$B$4,IF($L13=Data!$B$6,J13*Data!I$58,""),"")</f>
        <v/>
      </c>
      <c r="T13" s="112"/>
    </row>
    <row r="14" spans="1:20">
      <c r="A14" s="41">
        <v>40</v>
      </c>
      <c r="B14" s="41">
        <v>22</v>
      </c>
      <c r="C14" s="32">
        <v>218</v>
      </c>
      <c r="D14" s="60">
        <v>0.55000000000000004</v>
      </c>
      <c r="E14" s="32">
        <v>53</v>
      </c>
      <c r="F14" s="32">
        <v>480</v>
      </c>
      <c r="G14" s="65">
        <v>0.9</v>
      </c>
      <c r="H14" s="32">
        <v>36</v>
      </c>
      <c r="I14" s="32">
        <v>45</v>
      </c>
      <c r="J14" s="32">
        <v>998</v>
      </c>
      <c r="K14" s="32">
        <v>40</v>
      </c>
      <c r="L14" s="32">
        <v>22</v>
      </c>
      <c r="M14" s="39" t="b">
        <f>IF(OR(Data!B$3="IH",Data!B$3="IHM",Data!B$3="IMH"),IF(AND(K14=Data!B$4,L14=Data!B$6,Data!$D$2="F"),C14*2+C14*Data!B$13,""))</f>
        <v>0</v>
      </c>
      <c r="N14" s="31" t="str">
        <f>IF(Data!$B$25&gt;0.1,IF(OR(Data!B$3="IH",Data!B$3="IHM",Data!B$3="IMH"),IF($K14=Data!$B$4,IF($L14=Data!$B$6,D14*4*Data!B$25,""),""),""),"")</f>
        <v/>
      </c>
      <c r="O14" s="31" t="str">
        <f>IF(Data!$B$10="C",IF(OR(Data!B$3="IH",Data!B$3="IHM",Data!B$3="IMH"),IF($K14=Data!$B$4,IF($L14=Data!$B$6,E14,""),""),""),"")</f>
        <v/>
      </c>
      <c r="P14" s="31" t="str">
        <f>IF(Data!$B$16="Y",IF(OR(Data!B$3="IH",Data!B$3="IHM",Data!B$3="IMH"),IF($K14=Data!$B$4,IF($L14=Data!$B$6,F14+Data!B$8*G14,""),""),""),"")</f>
        <v/>
      </c>
      <c r="Q14" s="31" t="str">
        <f>IF(OR(Data!$B$10="B",Data!$B$10="L"),IF(OR(Data!B$3="IH",Data!B$3="IHM",Data!B$3="IMH"),IF($K14=Data!$B$4,IF($L14=Data!$B$6,H14+I14,""),""),""),"")</f>
        <v/>
      </c>
      <c r="R14" s="38" t="str">
        <f>IF($K14=Data!$B$4,IF($L14=Data!$B$6,J14*Data!I$58,""),"")</f>
        <v/>
      </c>
      <c r="T14" s="112"/>
    </row>
    <row r="15" spans="1:20">
      <c r="A15" s="41">
        <v>40</v>
      </c>
      <c r="B15" s="41">
        <v>28</v>
      </c>
      <c r="C15" s="32">
        <v>218</v>
      </c>
      <c r="D15" s="60">
        <v>0.55000000000000004</v>
      </c>
      <c r="E15" s="32">
        <v>69</v>
      </c>
      <c r="F15" s="32">
        <v>480</v>
      </c>
      <c r="G15" s="65">
        <v>0.9</v>
      </c>
      <c r="H15" s="32">
        <v>30</v>
      </c>
      <c r="I15" s="32">
        <v>63</v>
      </c>
      <c r="J15" s="32">
        <v>1053</v>
      </c>
      <c r="K15" s="32">
        <v>40</v>
      </c>
      <c r="L15" s="32">
        <v>28</v>
      </c>
      <c r="M15" s="39" t="b">
        <f>IF(OR(Data!B$3="IH",Data!B$3="IHM",Data!B$3="IMH"),IF(AND(K15=Data!B$4,L15=Data!B$6,Data!$D$2="F"),C15*2+C15*Data!B$13,""))</f>
        <v>0</v>
      </c>
      <c r="N15" s="31" t="str">
        <f>IF(Data!$B$25&gt;0.1,IF(OR(Data!B$3="IH",Data!B$3="IHM",Data!B$3="IMH"),IF($K15=Data!$B$4,IF($L15=Data!$B$6,D15*4*Data!B$25,""),""),""),"")</f>
        <v/>
      </c>
      <c r="O15" s="31" t="str">
        <f>IF(Data!$B$10="C",IF(OR(Data!B$3="IH",Data!B$3="IHM",Data!B$3="IMH"),IF($K15=Data!$B$4,IF($L15=Data!$B$6,E15,""),""),""),"")</f>
        <v/>
      </c>
      <c r="P15" s="31" t="str">
        <f>IF(Data!$B$16="Y",IF(OR(Data!B$3="IH",Data!B$3="IHM",Data!B$3="IMH"),IF($K15=Data!$B$4,IF($L15=Data!$B$6,F15+Data!B$8*G15,""),""),""),"")</f>
        <v/>
      </c>
      <c r="Q15" s="31" t="str">
        <f>IF(OR(Data!$B$10="B",Data!$B$10="L"),IF(OR(Data!B$3="IH",Data!B$3="IHM",Data!B$3="IMH"),IF($K15=Data!$B$4,IF($L15=Data!$B$6,H15+I15,""),""),""),"")</f>
        <v/>
      </c>
      <c r="R15" s="38" t="str">
        <f>IF($K15=Data!$B$4,IF($L15=Data!$B$6,J15*Data!I$58,""),"")</f>
        <v/>
      </c>
      <c r="T15" s="112"/>
    </row>
    <row r="16" spans="1:20">
      <c r="A16" s="31">
        <v>50</v>
      </c>
      <c r="B16" s="41">
        <v>22</v>
      </c>
      <c r="C16" s="32">
        <v>218</v>
      </c>
      <c r="D16" s="60">
        <v>0.55000000000000004</v>
      </c>
      <c r="E16" s="32">
        <v>69</v>
      </c>
      <c r="F16" s="32">
        <v>480</v>
      </c>
      <c r="G16" s="65">
        <v>0.9</v>
      </c>
      <c r="H16" s="32">
        <v>36</v>
      </c>
      <c r="I16" s="32">
        <v>63</v>
      </c>
      <c r="J16" s="32">
        <v>1053</v>
      </c>
      <c r="K16" s="32">
        <v>50</v>
      </c>
      <c r="L16" s="32">
        <v>22</v>
      </c>
      <c r="M16" s="39" t="b">
        <f>IF(OR(Data!B$3="IH",Data!B$3="IHM",Data!B$3="IMH"),IF(AND(K16=Data!B$4,L16=Data!B$6,Data!$D$2="F"),C16*2+C16*Data!B$13,""))</f>
        <v>0</v>
      </c>
      <c r="N16" s="31" t="str">
        <f>IF(Data!$B$25&gt;0.1,IF(OR(Data!B$3="IH",Data!B$3="IHM",Data!B$3="IMH"),IF($K16=Data!$B$4,IF($L16=Data!$B$6,D16*4*Data!B$25,""),""),""),"")</f>
        <v/>
      </c>
      <c r="O16" s="31" t="str">
        <f>IF(Data!$B$10="C",IF(OR(Data!B$3="IH",Data!B$3="IHM",Data!B$3="IMH"),IF($K16=Data!$B$4,IF($L16=Data!$B$6,E16,""),""),""),"")</f>
        <v/>
      </c>
      <c r="P16" s="31" t="str">
        <f>IF(Data!$B$16="Y",IF(OR(Data!B$3="IH",Data!B$3="IHM",Data!B$3="IMH"),IF($K16=Data!$B$4,IF($L16=Data!$B$6,F16+Data!B$8*G16,""),""),""),"")</f>
        <v/>
      </c>
      <c r="Q16" s="31" t="str">
        <f>IF(OR(Data!$B$10="B",Data!$B$10="L"),IF(OR(Data!B$3="IH",Data!B$3="IHM",Data!B$3="IMH"),IF($K16=Data!$B$4,IF($L16=Data!$B$6,H16+I16,""),""),""),"")</f>
        <v/>
      </c>
      <c r="R16" s="38" t="str">
        <f>IF($K16=Data!$B$4,IF($L16=Data!$B$6,J16*Data!I$58,""),"")</f>
        <v/>
      </c>
      <c r="T16" s="112"/>
    </row>
    <row r="17" spans="1:20">
      <c r="A17" s="41">
        <v>50</v>
      </c>
      <c r="B17" s="41">
        <v>28</v>
      </c>
      <c r="C17" s="32">
        <v>218</v>
      </c>
      <c r="D17" s="60">
        <v>0.55000000000000004</v>
      </c>
      <c r="E17" s="32">
        <v>69</v>
      </c>
      <c r="F17" s="32">
        <v>548</v>
      </c>
      <c r="G17" s="65">
        <v>0.9</v>
      </c>
      <c r="H17" s="32">
        <v>41</v>
      </c>
      <c r="I17" s="32">
        <v>63</v>
      </c>
      <c r="J17" s="32">
        <v>1053</v>
      </c>
      <c r="K17" s="32">
        <v>50</v>
      </c>
      <c r="L17" s="32">
        <v>28</v>
      </c>
      <c r="M17" s="39" t="b">
        <f>IF(OR(Data!B$3="IH",Data!B$3="IHM",Data!B$3="IMH"),IF(AND(K17=Data!B$4,L17=Data!B$6,Data!$D$2="F"),C17*2+C17*Data!B$13,""))</f>
        <v>0</v>
      </c>
      <c r="N17" s="31" t="str">
        <f>IF(Data!$B$25&gt;0.1,IF(OR(Data!B$3="IH",Data!B$3="IHM",Data!B$3="IMH"),IF($K17=Data!$B$4,IF($L17=Data!$B$6,D17*4*Data!B$25,""),""),""),"")</f>
        <v/>
      </c>
      <c r="O17" s="31" t="str">
        <f>IF(Data!$B$10="C",IF(OR(Data!B$3="IH",Data!B$3="IHM",Data!B$3="IMH"),IF($K17=Data!$B$4,IF($L17=Data!$B$6,E17,""),""),""),"")</f>
        <v/>
      </c>
      <c r="P17" s="31" t="str">
        <f>IF(Data!$B$16="Y",IF(OR(Data!B$3="IH",Data!B$3="IHM",Data!B$3="IMH"),IF($K17=Data!$B$4,IF($L17=Data!$B$6,F17+Data!B$8*G17,""),""),""),"")</f>
        <v/>
      </c>
      <c r="Q17" s="31" t="str">
        <f>IF(OR(Data!$B$10="B",Data!$B$10="L"),IF(OR(Data!B$3="IH",Data!B$3="IHM",Data!B$3="IMH"),IF($K17=Data!$B$4,IF($L17=Data!$B$6,H17+I17,""),""),""),"")</f>
        <v/>
      </c>
      <c r="R17" s="38" t="str">
        <f>IF($K17=Data!$B$4,IF($L17=Data!$B$6,J17*Data!I$58,""),"")</f>
        <v/>
      </c>
      <c r="T17" s="112"/>
    </row>
    <row r="18" spans="1:20">
      <c r="A18" s="31">
        <v>50</v>
      </c>
      <c r="B18" s="41">
        <v>36</v>
      </c>
      <c r="C18" s="32">
        <v>218</v>
      </c>
      <c r="D18" s="60">
        <v>0.55000000000000004</v>
      </c>
      <c r="E18" s="32">
        <v>87</v>
      </c>
      <c r="F18" s="32">
        <v>548</v>
      </c>
      <c r="G18" s="65">
        <v>1.05</v>
      </c>
      <c r="H18" s="32">
        <v>36</v>
      </c>
      <c r="I18" s="32">
        <v>74</v>
      </c>
      <c r="J18" s="32">
        <v>1157</v>
      </c>
      <c r="K18" s="32">
        <v>50</v>
      </c>
      <c r="L18" s="32">
        <v>36</v>
      </c>
      <c r="M18" s="39" t="b">
        <f>IF(OR(Data!B$3="IH",Data!B$3="IHM",Data!B$3="IMH"),IF(AND(K18=Data!B$4,L18=Data!B$6,Data!$D$2="F"),C18*2+C18*Data!B$13,""))</f>
        <v>0</v>
      </c>
      <c r="N18" s="31" t="str">
        <f>IF(Data!$B$25&gt;0.1,IF(OR(Data!B$3="IH",Data!B$3="IHM",Data!B$3="IMH"),IF($K18=Data!$B$4,IF($L18=Data!$B$6,D18*4*Data!B$25,""),""),""),"")</f>
        <v/>
      </c>
      <c r="O18" s="31" t="str">
        <f>IF(Data!$B$10="C",IF(OR(Data!B$3="IH",Data!B$3="IHM",Data!B$3="IMH"),IF($K18=Data!$B$4,IF($L18=Data!$B$6,E18,""),""),""),"")</f>
        <v/>
      </c>
      <c r="P18" s="31" t="str">
        <f>IF(Data!$B$16="Y",IF(OR(Data!B$3="IH",Data!B$3="IHM",Data!B$3="IMH"),IF($K18=Data!$B$4,IF($L18=Data!$B$6,F18+Data!B$8*G18,""),""),""),"")</f>
        <v/>
      </c>
      <c r="Q18" s="31" t="str">
        <f>IF(OR(Data!$B$10="B",Data!$B$10="L"),IF(OR(Data!B$3="IH",Data!B$3="IHM",Data!B$3="IMH"),IF($K18=Data!$B$4,IF($L18=Data!$B$6,H18+I18,""),""),""),"")</f>
        <v/>
      </c>
      <c r="R18" s="38" t="str">
        <f>IF($K18=Data!$B$4,IF($L18=Data!$B$6,J18*Data!I$58,""),"")</f>
        <v/>
      </c>
      <c r="T18" s="112"/>
    </row>
    <row r="19" spans="1:20">
      <c r="A19" s="31">
        <v>63</v>
      </c>
      <c r="B19" s="41">
        <v>28</v>
      </c>
      <c r="C19" s="32">
        <v>218</v>
      </c>
      <c r="D19" s="60">
        <v>0.55000000000000004</v>
      </c>
      <c r="E19" s="32">
        <v>87</v>
      </c>
      <c r="F19" s="32">
        <v>548</v>
      </c>
      <c r="G19" s="65">
        <v>1.05</v>
      </c>
      <c r="H19" s="32">
        <v>41</v>
      </c>
      <c r="I19" s="32">
        <v>74</v>
      </c>
      <c r="J19" s="32">
        <v>1157</v>
      </c>
      <c r="K19" s="32">
        <v>63</v>
      </c>
      <c r="L19" s="32">
        <v>28</v>
      </c>
      <c r="M19" s="39" t="b">
        <f>IF(OR(Data!B$3="IH",Data!B$3="IHM",Data!B$3="IMH"),IF(AND(K19=Data!B$4,L19=Data!B$6,Data!$D$2="F"),C19*2+C19*Data!B$13,""))</f>
        <v>0</v>
      </c>
      <c r="N19" s="31" t="str">
        <f>IF(Data!$B$25&gt;0.1,IF(OR(Data!B$3="IH",Data!B$3="IHM",Data!B$3="IMH"),IF($K19=Data!$B$4,IF($L19=Data!$B$6,D19*4*Data!B$25,""),""),""),"")</f>
        <v/>
      </c>
      <c r="O19" s="31" t="str">
        <f>IF(Data!$B$10="C",IF(OR(Data!B$3="IH",Data!B$3="IHM",Data!B$3="IMH"),IF($K19=Data!$B$4,IF($L19=Data!$B$6,E19,""),""),""),"")</f>
        <v/>
      </c>
      <c r="P19" s="31" t="str">
        <f>IF(Data!$B$16="Y",IF(OR(Data!B$3="IH",Data!B$3="IHM",Data!B$3="IMH"),IF($K19=Data!$B$4,IF($L19=Data!$B$6,F19+Data!B$8*G19,""),""),""),"")</f>
        <v/>
      </c>
      <c r="Q19" s="31" t="str">
        <f>IF(OR(Data!$B$10="B",Data!$B$10="L"),IF(OR(Data!B$3="IH",Data!B$3="IHM",Data!B$3="IMH"),IF($K19=Data!$B$4,IF($L19=Data!$B$6,H19+I19,""),""),""),"")</f>
        <v/>
      </c>
      <c r="R19" s="38" t="str">
        <f>IF($K19=Data!$B$4,IF($L19=Data!$B$6,J19*Data!I$58,""),"")</f>
        <v/>
      </c>
      <c r="T19" s="112"/>
    </row>
    <row r="20" spans="1:20">
      <c r="A20" s="31">
        <v>63</v>
      </c>
      <c r="B20" s="41">
        <v>36</v>
      </c>
      <c r="C20" s="32">
        <v>218</v>
      </c>
      <c r="D20" s="60">
        <v>0.55000000000000004</v>
      </c>
      <c r="E20" s="32">
        <v>87</v>
      </c>
      <c r="F20" s="32">
        <v>568</v>
      </c>
      <c r="G20" s="65">
        <v>1.05</v>
      </c>
      <c r="H20" s="32">
        <v>48</v>
      </c>
      <c r="I20" s="32">
        <v>74</v>
      </c>
      <c r="J20" s="32">
        <v>1157</v>
      </c>
      <c r="K20" s="32">
        <v>63</v>
      </c>
      <c r="L20" s="32">
        <v>36</v>
      </c>
      <c r="M20" s="39" t="b">
        <f>IF(OR(Data!B$3="IH",Data!B$3="IHM",Data!B$3="IMH"),IF(AND(K20=Data!B$4,L20=Data!B$6,Data!$D$2="F"),C20*2+C20*Data!B$13,""))</f>
        <v>0</v>
      </c>
      <c r="N20" s="31" t="str">
        <f>IF(Data!$B$25&gt;0.1,IF(OR(Data!B$3="IH",Data!B$3="IHM",Data!B$3="IMH"),IF($K20=Data!$B$4,IF($L20=Data!$B$6,D20*4*Data!B$25,""),""),""),"")</f>
        <v/>
      </c>
      <c r="O20" s="31" t="str">
        <f>IF(Data!$B$10="C",IF(OR(Data!B$3="IH",Data!B$3="IHM",Data!B$3="IMH"),IF($K20=Data!$B$4,IF($L20=Data!$B$6,E20,""),""),""),"")</f>
        <v/>
      </c>
      <c r="P20" s="31" t="str">
        <f>IF(Data!$B$16="Y",IF(OR(Data!B$3="IH",Data!B$3="IHM",Data!B$3="IMH"),IF($K20=Data!$B$4,IF($L20=Data!$B$6,F20+Data!B$8*G20,""),""),""),"")</f>
        <v/>
      </c>
      <c r="Q20" s="31" t="str">
        <f>IF(OR(Data!$B$10="B",Data!$B$10="L"),IF(OR(Data!B$3="IH",Data!B$3="IHM",Data!B$3="IMH"),IF($K20=Data!$B$4,IF($L20=Data!$B$6,H20+I20,""),""),""),"")</f>
        <v/>
      </c>
      <c r="R20" s="38" t="str">
        <f>IF($K20=Data!$B$4,IF($L20=Data!$B$6,J20*Data!I$58,""),"")</f>
        <v/>
      </c>
      <c r="T20" s="112"/>
    </row>
    <row r="21" spans="1:20">
      <c r="A21" s="31">
        <v>63</v>
      </c>
      <c r="B21" s="41">
        <v>45</v>
      </c>
      <c r="C21" s="32">
        <v>218</v>
      </c>
      <c r="D21" s="60">
        <v>0.6</v>
      </c>
      <c r="E21" s="32">
        <v>104</v>
      </c>
      <c r="F21" s="32">
        <v>568</v>
      </c>
      <c r="G21" s="65">
        <v>1.05</v>
      </c>
      <c r="H21" s="32">
        <v>41</v>
      </c>
      <c r="I21" s="32">
        <v>96</v>
      </c>
      <c r="J21" s="32">
        <v>1198</v>
      </c>
      <c r="K21" s="32">
        <v>63</v>
      </c>
      <c r="L21" s="32">
        <v>45</v>
      </c>
      <c r="M21" s="39" t="b">
        <f>IF(OR(Data!B$3="IH",Data!B$3="IHM",Data!B$3="IMH"),IF(AND(K21=Data!B$4,L21=Data!B$6,Data!$D$2="F"),C21*2+C21*Data!B$13,""))</f>
        <v>0</v>
      </c>
      <c r="N21" s="31" t="str">
        <f>IF(Data!$B$25&gt;0.1,IF(OR(Data!B$3="IH",Data!B$3="IHM",Data!B$3="IMH"),IF($K21=Data!$B$4,IF($L21=Data!$B$6,D21*4*Data!B$25,""),""),""),"")</f>
        <v/>
      </c>
      <c r="O21" s="31" t="str">
        <f>IF(Data!$B$10="C",IF(OR(Data!B$3="IH",Data!B$3="IHM",Data!B$3="IMH"),IF($K21=Data!$B$4,IF($L21=Data!$B$6,E21,""),""),""),"")</f>
        <v/>
      </c>
      <c r="P21" s="31" t="str">
        <f>IF(Data!$B$16="Y",IF(OR(Data!B$3="IH",Data!B$3="IHM",Data!B$3="IMH"),IF($K21=Data!$B$4,IF($L21=Data!$B$6,F21+Data!B$8*G21,""),""),""),"")</f>
        <v/>
      </c>
      <c r="Q21" s="31" t="str">
        <f>IF(OR(Data!$B$10="B",Data!$B$10="L"),IF(OR(Data!B$3="IH",Data!B$3="IHM",Data!B$3="IMH"),IF($K21=Data!$B$4,IF($L21=Data!$B$6,H21+I21,""),""),""),"")</f>
        <v/>
      </c>
      <c r="R21" s="38" t="str">
        <f>IF($K21=Data!$B$4,IF($L21=Data!$B$6,J21*Data!I$58,""),"")</f>
        <v/>
      </c>
      <c r="T21" s="112"/>
    </row>
    <row r="22" spans="1:20">
      <c r="A22" s="31">
        <v>80</v>
      </c>
      <c r="B22" s="41">
        <v>36</v>
      </c>
      <c r="C22" s="32">
        <v>218</v>
      </c>
      <c r="D22" s="60">
        <v>0.6</v>
      </c>
      <c r="E22" s="32">
        <v>104</v>
      </c>
      <c r="F22" s="32">
        <v>568</v>
      </c>
      <c r="G22" s="65">
        <v>1.05</v>
      </c>
      <c r="H22" s="32">
        <v>48</v>
      </c>
      <c r="I22" s="32">
        <v>96</v>
      </c>
      <c r="J22" s="32">
        <v>1198</v>
      </c>
      <c r="K22" s="32">
        <v>80</v>
      </c>
      <c r="L22" s="32">
        <v>36</v>
      </c>
      <c r="M22" s="39" t="b">
        <f>IF(OR(Data!B$3="IH",Data!B$3="IHM",Data!B$3="IMH"),IF(AND(K22=Data!B$4,L22=Data!B$6,Data!$D$2="F"),C22*2+C22*Data!B$13,""))</f>
        <v>0</v>
      </c>
      <c r="N22" s="31" t="str">
        <f>IF(Data!$B$25&gt;0.1,IF(OR(Data!B$3="IH",Data!B$3="IHM",Data!B$3="IMH"),IF($K22=Data!$B$4,IF($L22=Data!$B$6,D22*4*Data!B$25,""),""),""),"")</f>
        <v/>
      </c>
      <c r="O22" s="31" t="str">
        <f>IF(Data!$B$10="C",IF(OR(Data!B$3="IH",Data!B$3="IHM",Data!B$3="IMH"),IF($K22=Data!$B$4,IF($L22=Data!$B$6,E22,""),""),""),"")</f>
        <v/>
      </c>
      <c r="P22" s="31" t="str">
        <f>IF(Data!$B$16="Y",IF(OR(Data!B$3="IH",Data!B$3="IHM",Data!B$3="IMH"),IF($K22=Data!$B$4,IF($L22=Data!$B$6,F22+Data!B$8*G22,""),""),""),"")</f>
        <v/>
      </c>
      <c r="Q22" s="31" t="str">
        <f>IF(OR(Data!$B$10="B",Data!$B$10="L"),IF(OR(Data!B$3="IH",Data!B$3="IHM",Data!B$3="IMH"),IF($K22=Data!$B$4,IF($L22=Data!$B$6,H22+I22,""),""),""),"")</f>
        <v/>
      </c>
      <c r="R22" s="38" t="str">
        <f>IF($K22=Data!$B$4,IF($L22=Data!$B$6,J22*Data!I$58,""),"")</f>
        <v/>
      </c>
      <c r="T22" s="112"/>
    </row>
    <row r="23" spans="1:20">
      <c r="A23" s="31">
        <v>80</v>
      </c>
      <c r="B23" s="41">
        <v>45</v>
      </c>
      <c r="C23" s="32">
        <v>218</v>
      </c>
      <c r="D23" s="382">
        <v>0.6</v>
      </c>
      <c r="E23" s="32">
        <v>104</v>
      </c>
      <c r="F23" s="32">
        <v>568</v>
      </c>
      <c r="G23" s="65">
        <v>1.05</v>
      </c>
      <c r="H23" s="32">
        <v>62</v>
      </c>
      <c r="I23" s="32">
        <v>96</v>
      </c>
      <c r="J23" s="32">
        <v>1198</v>
      </c>
      <c r="K23" s="32">
        <v>80</v>
      </c>
      <c r="L23" s="32">
        <v>45</v>
      </c>
      <c r="M23" s="39" t="b">
        <f>IF(OR(Data!B$3="IH",Data!B$3="IHM",Data!B$3="IMH"),IF(AND(K23=Data!B$4,L23=Data!B$6,Data!$D$2="F"),C23*2+C23*Data!B$13,""))</f>
        <v>0</v>
      </c>
      <c r="N23" s="31" t="str">
        <f>IF(Data!$B$25&gt;0.1,IF(OR(Data!B$3="IH",Data!B$3="IHM",Data!B$3="IMH"),IF($K23=Data!$B$4,IF($L23=Data!$B$6,D23*4*Data!B$25,""),""),""),"")</f>
        <v/>
      </c>
      <c r="O23" s="31" t="str">
        <f>IF(Data!$B$10="C",IF(OR(Data!B$3="IH",Data!B$3="IHM",Data!B$3="IMH"),IF($K23=Data!$B$4,IF($L23=Data!$B$6,E23,""),""),""),"")</f>
        <v/>
      </c>
      <c r="P23" s="31" t="str">
        <f>IF(Data!$B$16="Y",IF(OR(Data!B$3="IH",Data!B$3="IHM",Data!B$3="IMH"),IF($K23=Data!$B$4,IF($L23=Data!$B$6,F23+Data!B$8*G23,""),""),""),"")</f>
        <v/>
      </c>
      <c r="Q23" s="31" t="str">
        <f>IF(OR(Data!$B$10="B",Data!$B$10="L"),IF(OR(Data!B$3="IH",Data!B$3="IHM",Data!B$3="IMH"),IF($K23=Data!$B$4,IF($L23=Data!$B$6,H23+I23,""),""),""),"")</f>
        <v/>
      </c>
      <c r="R23" s="38" t="str">
        <f>IF($K23=Data!$B$4,IF($L23=Data!$B$6,J23*Data!I$58,""),"")</f>
        <v/>
      </c>
      <c r="T23" s="112"/>
    </row>
    <row r="24" spans="1:20">
      <c r="A24" s="31">
        <v>80</v>
      </c>
      <c r="B24" s="41">
        <v>56</v>
      </c>
      <c r="C24" s="32">
        <v>218</v>
      </c>
      <c r="D24" s="60">
        <v>0.6</v>
      </c>
      <c r="E24" s="32">
        <v>104</v>
      </c>
      <c r="F24" s="32">
        <v>1148</v>
      </c>
      <c r="G24" s="65">
        <v>1.05</v>
      </c>
      <c r="H24" s="32">
        <v>74</v>
      </c>
      <c r="I24" s="32">
        <v>96</v>
      </c>
      <c r="J24" s="32">
        <v>1198</v>
      </c>
      <c r="K24" s="32">
        <v>80</v>
      </c>
      <c r="L24" s="32">
        <v>56</v>
      </c>
      <c r="M24" s="39" t="b">
        <f>IF(OR(Data!B$3="IH",Data!B$3="IHM",Data!B$3="IMH"),IF(AND(K24=Data!B$4,L24=Data!B$6,Data!$D$2="F"),C24*2+C24*Data!B$13,""))</f>
        <v>0</v>
      </c>
      <c r="N24" s="31" t="str">
        <f>IF(Data!$B$25&gt;0.1,IF(OR(Data!B$3="IH",Data!B$3="IHM",Data!B$3="IMH"),IF($K24=Data!$B$4,IF($L24=Data!$B$6,D24*4*Data!B$25,""),""),""),"")</f>
        <v/>
      </c>
      <c r="O24" s="31" t="str">
        <f>IF(Data!$B$10="C",IF(OR(Data!B$3="IH",Data!B$3="IHM",Data!B$3="IMH"),IF($K24=Data!$B$4,IF($L24=Data!$B$6,E24,""),""),""),"")</f>
        <v/>
      </c>
      <c r="P24" s="31" t="str">
        <f>IF(Data!$B$16="Y",IF(OR(Data!B$3="IH",Data!B$3="IHM",Data!B$3="IMH"),IF($K24=Data!$B$4,IF($L24=Data!$B$6,F24+Data!B$8*G24,""),""),""),"")</f>
        <v/>
      </c>
      <c r="Q24" s="31" t="str">
        <f>IF(OR(Data!$B$10="B",Data!$B$10="L"),IF(OR(Data!B$3="IH",Data!B$3="IHM",Data!B$3="IMH"),IF($K24=Data!$B$4,IF($L24=Data!$B$6,H24+I24,""),""),""),"")</f>
        <v/>
      </c>
      <c r="R24" s="38" t="str">
        <f>IF($K24=Data!$B$4,IF($L24=Data!$B$6,J24*Data!I$58,""),"")</f>
        <v/>
      </c>
      <c r="T24" s="112"/>
    </row>
    <row r="25" spans="1:20">
      <c r="A25" s="31">
        <v>100</v>
      </c>
      <c r="B25" s="41">
        <v>45</v>
      </c>
      <c r="C25" s="32">
        <v>236</v>
      </c>
      <c r="D25" s="60">
        <v>0.85</v>
      </c>
      <c r="E25" s="32">
        <v>117</v>
      </c>
      <c r="F25" s="32">
        <v>1148</v>
      </c>
      <c r="G25" s="65">
        <v>1.2</v>
      </c>
      <c r="H25" s="32">
        <v>48</v>
      </c>
      <c r="I25" s="32">
        <v>114</v>
      </c>
      <c r="J25" s="32">
        <v>1238</v>
      </c>
      <c r="K25" s="32">
        <v>100</v>
      </c>
      <c r="L25" s="32">
        <v>45</v>
      </c>
      <c r="M25" s="39" t="b">
        <f>IF(OR(Data!B$3="IH",Data!B$3="IHM",Data!B$3="IMH"),IF(AND(K25=Data!B$4,L25=Data!B$6,Data!$D$2="F"),C25*2+C25*Data!B$13,""))</f>
        <v>0</v>
      </c>
      <c r="N25" s="31" t="str">
        <f>IF(Data!$B$25&gt;0.1,IF(OR(Data!B$3="IH",Data!B$3="IHM",Data!B$3="IMH"),IF($K25=Data!$B$4,IF($L25=Data!$B$6,D25*4*Data!B$25,""),""),""),"")</f>
        <v/>
      </c>
      <c r="O25" s="31" t="str">
        <f>IF(Data!$B$10="C",IF(OR(Data!B$3="IH",Data!B$3="IHM",Data!B$3="IMH"),IF($K25=Data!$B$4,IF($L25=Data!$B$6,E25,""),""),""),"")</f>
        <v/>
      </c>
      <c r="P25" s="31" t="str">
        <f>IF(Data!$B$16="Y",IF(OR(Data!B$3="IH",Data!B$3="IHM",Data!B$3="IMH"),IF($K25=Data!$B$4,IF($L25=Data!$B$6,F25+Data!B$8*G25,""),""),""),"")</f>
        <v/>
      </c>
      <c r="Q25" s="31" t="str">
        <f>IF(OR(Data!$B$10="B",Data!$B$10="L"),IF(OR(Data!B$3="IH",Data!B$3="IHM",Data!B$3="IMH"),IF($K25=Data!$B$4,IF($L25=Data!$B$6,H25+I25,""),""),""),"")</f>
        <v/>
      </c>
      <c r="R25" s="38" t="str">
        <f>IF($K25=Data!$B$4,IF($L25=Data!$B$6,J25*Data!I$58,""),"")</f>
        <v/>
      </c>
      <c r="T25" s="112"/>
    </row>
    <row r="26" spans="1:20">
      <c r="A26" s="31">
        <v>100</v>
      </c>
      <c r="B26" s="41">
        <v>56</v>
      </c>
      <c r="C26" s="32">
        <v>236</v>
      </c>
      <c r="D26" s="60">
        <v>0.85</v>
      </c>
      <c r="E26" s="32">
        <v>117</v>
      </c>
      <c r="F26" s="32">
        <v>1148</v>
      </c>
      <c r="G26" s="65">
        <v>1.2</v>
      </c>
      <c r="H26" s="32">
        <v>62</v>
      </c>
      <c r="I26" s="32">
        <v>114</v>
      </c>
      <c r="J26" s="32">
        <v>1238</v>
      </c>
      <c r="K26" s="32">
        <v>100</v>
      </c>
      <c r="L26" s="32">
        <v>56</v>
      </c>
      <c r="M26" s="39" t="b">
        <f>IF(OR(Data!B$3="IH",Data!B$3="IHM",Data!B$3="IMH"),IF(AND(K26=Data!B$4,L26=Data!B$6,Data!$D$2="F"),C26*2+C26*Data!B$13,""))</f>
        <v>0</v>
      </c>
      <c r="N26" s="31" t="str">
        <f>IF(Data!$B$25&gt;0.1,IF(OR(Data!B$3="IH",Data!B$3="IHM",Data!B$3="IMH"),IF($K26=Data!$B$4,IF($L26=Data!$B$6,D26*4*Data!B$25,""),""),""),"")</f>
        <v/>
      </c>
      <c r="O26" s="31" t="str">
        <f>IF(Data!$B$10="C",IF(OR(Data!B$3="IH",Data!B$3="IHM",Data!B$3="IMH"),IF($K26=Data!$B$4,IF($L26=Data!$B$6,E26,""),""),""),"")</f>
        <v/>
      </c>
      <c r="P26" s="31" t="str">
        <f>IF(Data!$B$16="Y",IF(OR(Data!B$3="IH",Data!B$3="IHM",Data!B$3="IMH"),IF($K26=Data!$B$4,IF($L26=Data!$B$6,F26+Data!B$8*G26,""),""),""),"")</f>
        <v/>
      </c>
      <c r="Q26" s="31" t="str">
        <f>IF(OR(Data!$B$10="B",Data!$B$10="L"),IF(OR(Data!B$3="IH",Data!B$3="IHM",Data!B$3="IMH"),IF($K26=Data!$B$4,IF($L26=Data!$B$6,H26+I26,""),""),""),"")</f>
        <v/>
      </c>
      <c r="R26" s="38" t="str">
        <f>IF($K26=Data!$B$4,IF($L26=Data!$B$6,J26*Data!I$58,""),"")</f>
        <v/>
      </c>
      <c r="T26" s="112"/>
    </row>
    <row r="27" spans="1:20">
      <c r="A27" s="31">
        <v>100</v>
      </c>
      <c r="B27" s="41">
        <v>70</v>
      </c>
      <c r="C27" s="32">
        <v>236</v>
      </c>
      <c r="D27" s="60">
        <v>0.85</v>
      </c>
      <c r="E27" s="32">
        <v>117</v>
      </c>
      <c r="F27" s="32">
        <v>1148</v>
      </c>
      <c r="G27" s="65">
        <v>1.2</v>
      </c>
      <c r="H27" s="32">
        <v>74</v>
      </c>
      <c r="I27" s="32">
        <v>114</v>
      </c>
      <c r="J27" s="32">
        <v>1238</v>
      </c>
      <c r="K27" s="32">
        <v>100</v>
      </c>
      <c r="L27" s="32">
        <v>70</v>
      </c>
      <c r="M27" s="39" t="b">
        <f>IF(OR(Data!B$3="IH",Data!B$3="IHM",Data!B$3="IMH"),IF(AND(K27=Data!B$4,L27=Data!B$6,Data!$D$2="F"),C27*2+C27*Data!B$13,""))</f>
        <v>0</v>
      </c>
      <c r="N27" s="31" t="str">
        <f>IF(Data!$B$25&gt;0.1,IF(OR(Data!B$3="IH",Data!B$3="IHM",Data!B$3="IMH"),IF($K27=Data!$B$4,IF($L27=Data!$B$6,D27*4*Data!B$25,""),""),""),"")</f>
        <v/>
      </c>
      <c r="O27" s="31" t="str">
        <f>IF(Data!$B$10="C",IF(OR(Data!B$3="IH",Data!B$3="IHM",Data!B$3="IMH"),IF($K27=Data!$B$4,IF($L27=Data!$B$6,E27,""),""),""),"")</f>
        <v/>
      </c>
      <c r="P27" s="31" t="str">
        <f>IF(Data!$B$16="Y",IF(OR(Data!B$3="IH",Data!B$3="IHM",Data!B$3="IMH"),IF($K27=Data!$B$4,IF($L27=Data!$B$6,F27+Data!B$8*G27,""),""),""),"")</f>
        <v/>
      </c>
      <c r="Q27" s="31" t="str">
        <f>IF(OR(Data!$B$10="B",Data!$B$10="L"),IF(OR(Data!B$3="IH",Data!B$3="IHM",Data!B$3="IMH"),IF($K27=Data!$B$4,IF($L27=Data!$B$6,H27+I27,""),""),""),"")</f>
        <v/>
      </c>
      <c r="R27" s="38" t="str">
        <f>IF($K27=Data!$B$4,IF($L27=Data!$B$6,J27*Data!I$58,""),"")</f>
        <v/>
      </c>
      <c r="T27" s="112"/>
    </row>
    <row r="28" spans="1:20">
      <c r="A28" s="31">
        <v>125</v>
      </c>
      <c r="B28" s="41">
        <v>56</v>
      </c>
      <c r="C28" s="32">
        <v>236</v>
      </c>
      <c r="D28" s="382">
        <v>0.85</v>
      </c>
      <c r="E28" s="32">
        <v>117</v>
      </c>
      <c r="F28" s="32">
        <v>1404</v>
      </c>
      <c r="G28" s="65">
        <v>1.2</v>
      </c>
      <c r="H28" s="32">
        <v>80</v>
      </c>
      <c r="I28" s="32">
        <v>114</v>
      </c>
      <c r="J28" s="32">
        <v>1238</v>
      </c>
      <c r="K28" s="32">
        <v>125</v>
      </c>
      <c r="L28" s="32">
        <v>56</v>
      </c>
      <c r="M28" s="39" t="b">
        <f>IF(OR(Data!B$3="IH",Data!B$3="IHM",Data!B$3="IMH"),IF(AND(K28=Data!B$4,L28=Data!B$6,Data!$D$2="F"),C28*2+C28*Data!B$13,""))</f>
        <v>0</v>
      </c>
      <c r="N28" s="31" t="str">
        <f>IF(Data!$B$25&gt;0.1,IF(OR(Data!B$3="IH",Data!B$3="IHM",Data!B$3="IMH"),IF($K28=Data!$B$4,IF($L28=Data!$B$6,D28*4*Data!B$25,""),""),""),"")</f>
        <v/>
      </c>
      <c r="O28" s="31" t="str">
        <f>IF(Data!$B$10="C",IF(OR(Data!B$3="IH",Data!B$3="IHM",Data!B$3="IMH"),IF($K28=Data!$B$4,IF($L28=Data!$B$6,E28,""),""),""),"")</f>
        <v/>
      </c>
      <c r="P28" s="31" t="str">
        <f>IF(Data!$B$16="Y",IF(OR(Data!B$3="IH",Data!B$3="IHM",Data!B$3="IMH"),IF($K28=Data!$B$4,IF($L28=Data!$B$6,F28+Data!B$8*G28,""),""),""),"")</f>
        <v/>
      </c>
      <c r="Q28" s="31" t="str">
        <f>IF(OR(Data!$B$10="B",Data!$B$10="L"),IF(OR(Data!B$3="IH",Data!B$3="IHM",Data!B$3="IMH"),IF($K28=Data!$B$4,IF($L28=Data!$B$6,H28+I28,""),""),""),"")</f>
        <v/>
      </c>
      <c r="R28" s="38" t="str">
        <f>IF($K28=Data!$B$4,IF($L28=Data!$B$6,J28*Data!I$58,""),"")</f>
        <v/>
      </c>
      <c r="T28" s="112"/>
    </row>
    <row r="29" spans="1:20" ht="12.75" customHeight="1">
      <c r="A29" s="31">
        <v>125</v>
      </c>
      <c r="B29" s="41">
        <v>70</v>
      </c>
      <c r="C29" s="32">
        <v>270</v>
      </c>
      <c r="D29" s="60">
        <v>0.9</v>
      </c>
      <c r="E29" s="32">
        <v>134</v>
      </c>
      <c r="F29" s="110">
        <v>1404</v>
      </c>
      <c r="G29" s="235">
        <v>1.5</v>
      </c>
      <c r="H29" s="32">
        <v>62</v>
      </c>
      <c r="I29" s="32">
        <v>231</v>
      </c>
      <c r="J29" s="32">
        <v>1416</v>
      </c>
      <c r="K29" s="32">
        <v>125</v>
      </c>
      <c r="L29" s="32">
        <v>70</v>
      </c>
      <c r="M29" s="39" t="b">
        <f>IF(OR(Data!B$3="IH",Data!B$3="IHM",Data!B$3="IMH"),IF(AND(K29=Data!B$4,L29=Data!B$6,Data!$D$2="F"),C29*2+C29*Data!B$13,""))</f>
        <v>0</v>
      </c>
      <c r="N29" s="31" t="str">
        <f>IF(Data!$B$25&gt;0.1,IF(OR(Data!B$3="IH",Data!B$3="IHM",Data!B$3="IMH"),IF($K29=Data!$B$4,IF($L29=Data!$B$6,D29*4*Data!B$25,""),""),""),"")</f>
        <v/>
      </c>
      <c r="O29" s="31" t="str">
        <f>IF(Data!$B$10="C",IF(OR(Data!B$3="IH",Data!B$3="IHM",Data!B$3="IMH"),IF($K29=Data!$B$4,IF($L29=Data!$B$6,E29,""),""),""),"")</f>
        <v/>
      </c>
      <c r="P29" s="31" t="str">
        <f>IF(Data!$B$16="Y",IF(OR(Data!B$3="IH",Data!B$3="IHM",Data!B$3="IMH"),IF($K29=Data!$B$4,IF($L29=Data!$B$6,F29+Data!B$8*G29,""),""),""),"")</f>
        <v/>
      </c>
      <c r="Q29" s="31" t="str">
        <f>IF(OR(Data!$B$10="B",Data!$B$10="L"),IF(OR(Data!B$3="IH",Data!B$3="IHM",Data!B$3="IMH"),IF($K29=Data!$B$4,IF($L29=Data!$B$6,H29+I29,""),""),""),"")</f>
        <v/>
      </c>
      <c r="R29" s="38" t="str">
        <f>IF($K29=Data!$B$4,IF($L29=Data!$B$6,J29*Data!I$58,""),"")</f>
        <v/>
      </c>
      <c r="T29" s="112"/>
    </row>
    <row r="30" spans="1:20">
      <c r="A30" s="31">
        <v>125</v>
      </c>
      <c r="B30" s="41">
        <v>90</v>
      </c>
      <c r="C30" s="32">
        <v>270</v>
      </c>
      <c r="D30" s="60">
        <v>0.9</v>
      </c>
      <c r="E30" s="32">
        <v>134</v>
      </c>
      <c r="F30" s="110">
        <v>1404</v>
      </c>
      <c r="G30" s="235">
        <v>1.5</v>
      </c>
      <c r="H30" s="32">
        <v>74</v>
      </c>
      <c r="I30" s="32">
        <v>231</v>
      </c>
      <c r="J30" s="32">
        <v>1416</v>
      </c>
      <c r="K30" s="32">
        <v>125</v>
      </c>
      <c r="L30" s="32">
        <v>90</v>
      </c>
      <c r="M30" s="39" t="b">
        <f>IF(OR(Data!B$3="IH",Data!B$3="IHM",Data!B$3="IMH"),IF(AND(K30=Data!B$4,L30=Data!B$6,Data!$D$2="F"),C30*2+C30*Data!B$13,""))</f>
        <v>0</v>
      </c>
      <c r="N30" s="31" t="str">
        <f>IF(Data!$B$25&gt;0.1,IF(OR(Data!B$3="IH",Data!B$3="IHM",Data!B$3="IMH"),IF($K30=Data!$B$4,IF($L30=Data!$B$6,D30*4*Data!B$25,""),""),""),"")</f>
        <v/>
      </c>
      <c r="O30" s="31" t="str">
        <f>IF(Data!$B$10="C",IF(OR(Data!B$3="IH",Data!B$3="IHM",Data!B$3="IMH"),IF($K30=Data!$B$4,IF($L30=Data!$B$6,E30,""),""),""),"")</f>
        <v/>
      </c>
      <c r="P30" s="31" t="str">
        <f>IF(Data!$B$16="Y",IF(OR(Data!B$3="IH",Data!B$3="IHM",Data!B$3="IMH"),IF($K30=Data!$B$4,IF($L30=Data!$B$6,F30+Data!B$8*G30,""),""),""),"")</f>
        <v/>
      </c>
      <c r="Q30" s="31" t="str">
        <f>IF(OR(Data!$B$10="B",Data!$B$10="L"),IF(OR(Data!B$3="IH",Data!B$3="IHM",Data!B$3="IMH"),IF($K30=Data!$B$4,IF($L30=Data!$B$6,H30+I30,""),""),""),"")</f>
        <v/>
      </c>
      <c r="R30" s="38" t="str">
        <f>IF($K30=Data!$B$4,IF($L30=Data!$B$6,J30*Data!I$58,""),"")</f>
        <v/>
      </c>
      <c r="T30" s="112"/>
    </row>
    <row r="31" spans="1:20">
      <c r="A31" s="31">
        <v>160</v>
      </c>
      <c r="B31" s="41">
        <v>70</v>
      </c>
      <c r="C31" s="32">
        <v>270</v>
      </c>
      <c r="D31" s="60">
        <v>0.9</v>
      </c>
      <c r="E31" s="32">
        <v>134</v>
      </c>
      <c r="F31" s="110">
        <v>1404</v>
      </c>
      <c r="G31" s="235">
        <v>1.5</v>
      </c>
      <c r="H31" s="32">
        <v>80</v>
      </c>
      <c r="I31" s="32">
        <v>231</v>
      </c>
      <c r="J31" s="32">
        <v>1416</v>
      </c>
      <c r="K31" s="32">
        <v>160</v>
      </c>
      <c r="L31" s="32">
        <v>70</v>
      </c>
      <c r="M31" s="39" t="b">
        <f>IF(OR(Data!B$3="IH",Data!B$3="IHM",Data!B$3="IMH"),IF(AND(K31=Data!B$4,L31=Data!B$6,Data!$D$2="F"),C31*2+C31*Data!B$13,""))</f>
        <v>0</v>
      </c>
      <c r="N31" s="31" t="str">
        <f>IF(Data!$B$25&gt;0.1,IF(OR(Data!B$3="IH",Data!B$3="IHM",Data!B$3="IMH"),IF($K31=Data!$B$4,IF($L31=Data!$B$6,D31*4*Data!B$25,""),""),""),"")</f>
        <v/>
      </c>
      <c r="O31" s="31" t="str">
        <f>IF(Data!$B$10="C",IF(OR(Data!B$3="IH",Data!B$3="IHM",Data!B$3="IMH"),IF($K31=Data!$B$4,IF($L31=Data!$B$6,E31,""),""),""),"")</f>
        <v/>
      </c>
      <c r="P31" s="31" t="str">
        <f>IF(Data!$B$16="Y",IF(OR(Data!B$3="IH",Data!B$3="IHM",Data!B$3="IMH"),IF($K31=Data!$B$4,IF($L31=Data!$B$6,F31+Data!B$8*G31,""),""),""),"")</f>
        <v/>
      </c>
      <c r="Q31" s="31" t="str">
        <f>IF(OR(Data!$B$10="B",Data!$B$10="L"),IF(OR(Data!B$3="IH",Data!B$3="IHM",Data!B$3="IMH"),IF($K31=Data!$B$4,IF($L31=Data!$B$6,H31+I31,""),""),""),"")</f>
        <v/>
      </c>
      <c r="R31" s="38" t="str">
        <f>IF($K31=Data!$B$4,IF($L31=Data!$B$6,J31*Data!I$58,""),"")</f>
        <v/>
      </c>
      <c r="T31" s="112"/>
    </row>
    <row r="32" spans="1:20">
      <c r="A32" s="31">
        <v>160</v>
      </c>
      <c r="B32" s="41">
        <v>90</v>
      </c>
      <c r="C32" s="32">
        <v>270</v>
      </c>
      <c r="D32" s="382">
        <v>0.9</v>
      </c>
      <c r="E32" s="32">
        <v>134</v>
      </c>
      <c r="F32" s="110">
        <v>1404</v>
      </c>
      <c r="G32" s="235">
        <v>1.5</v>
      </c>
      <c r="H32" s="32">
        <v>86</v>
      </c>
      <c r="I32" s="32">
        <v>231</v>
      </c>
      <c r="J32" s="32">
        <v>1416</v>
      </c>
      <c r="K32" s="32">
        <v>160</v>
      </c>
      <c r="L32" s="32">
        <v>90</v>
      </c>
      <c r="M32" s="39" t="b">
        <f>IF(OR(Data!B$3="IH",Data!B$3="IHM",Data!B$3="IMH"),IF(AND(K32=Data!B$4,L32=Data!B$6,Data!$D$2="F"),C32*2+C32*Data!B$13,""))</f>
        <v>0</v>
      </c>
      <c r="N32" s="31" t="str">
        <f>IF(Data!$B$25&gt;0.1,IF(OR(Data!B$3="IH",Data!B$3="IHM",Data!B$3="IMH"),IF($K32=Data!$B$4,IF($L32=Data!$B$6,D32*4*Data!B$25,""),""),""),"")</f>
        <v/>
      </c>
      <c r="O32" s="31" t="str">
        <f>IF(Data!$B$10="C",IF(OR(Data!B$3="IH",Data!B$3="IHM",Data!B$3="IMH"),IF($K32=Data!$B$4,IF($L32=Data!$B$6,E32,""),""),""),"")</f>
        <v/>
      </c>
      <c r="P32" s="31" t="str">
        <f>IF(Data!$B$16="Y",IF(OR(Data!B$3="IH",Data!B$3="IHM",Data!B$3="IMH"),IF($K32=Data!$B$4,IF($L32=Data!$B$6,F32+Data!B$8*G32,""),""),""),"")</f>
        <v/>
      </c>
      <c r="Q32" s="31" t="str">
        <f>IF(OR(Data!$B$10="B",Data!$B$10="L"),IF(OR(Data!B$3="IH",Data!B$3="IHM",Data!B$3="IMH"),IF($K32=Data!$B$4,IF($L32=Data!$B$6,H32+I32,""),""),""),"")</f>
        <v/>
      </c>
      <c r="R32" s="38" t="str">
        <f>IF($K32=Data!$B$4,IF($L32=Data!$B$6,J32*Data!I$58,""),"")</f>
        <v/>
      </c>
      <c r="T32" s="112"/>
    </row>
    <row r="33" spans="1:27">
      <c r="A33" s="31">
        <v>160</v>
      </c>
      <c r="B33" s="41">
        <v>110</v>
      </c>
      <c r="C33" s="32">
        <v>270</v>
      </c>
      <c r="D33" s="382">
        <v>0.9</v>
      </c>
      <c r="E33" s="32">
        <v>134</v>
      </c>
      <c r="F33" s="110">
        <v>2112</v>
      </c>
      <c r="G33" s="235">
        <v>1.5</v>
      </c>
      <c r="H33" s="32">
        <v>125</v>
      </c>
      <c r="I33" s="32">
        <v>231</v>
      </c>
      <c r="J33" s="32">
        <v>1416</v>
      </c>
      <c r="K33" s="32">
        <v>160</v>
      </c>
      <c r="L33" s="32">
        <v>110</v>
      </c>
      <c r="M33" s="39" t="b">
        <f>IF(OR(Data!B$3="IH",Data!B$3="IHM",Data!B$3="IMH"),IF(AND(K33=Data!B$4,L33=Data!B$6,Data!$D$2="F"),C33*2+C33*Data!B$13,""))</f>
        <v>0</v>
      </c>
      <c r="N33" s="31" t="str">
        <f>IF(Data!$B$25&gt;0.1,IF(OR(Data!B$3="IH",Data!B$3="IHM",Data!B$3="IMH"),IF($K33=Data!$B$4,IF($L33=Data!$B$6,D33*4*Data!B$25,""),""),""),"")</f>
        <v/>
      </c>
      <c r="O33" s="31" t="str">
        <f>IF(Data!$B$10="C",IF(OR(Data!B$3="IH",Data!B$3="IHM",Data!B$3="IMH"),IF($K33=Data!$B$4,IF($L33=Data!$B$6,E33,""),""),""),"")</f>
        <v/>
      </c>
      <c r="P33" s="31" t="str">
        <f>IF(Data!$B$16="Y",IF(OR(Data!B$3="IH",Data!B$3="IHM",Data!B$3="IMH"),IF($K33=Data!$B$4,IF($L33=Data!$B$6,F33+Data!B$8*G33,""),""),""),"")</f>
        <v/>
      </c>
      <c r="Q33" s="31" t="str">
        <f>IF(OR(Data!$B$10="B",Data!$B$10="L"),IF(OR(Data!B$3="IH",Data!B$3="IHM",Data!B$3="IMH"),IF($K33=Data!$B$4,IF($L33=Data!$B$6,H33+I33,""),""),""),"")</f>
        <v/>
      </c>
      <c r="R33" s="38" t="str">
        <f>IF($K33=Data!$B$4,IF($L33=Data!$B$6,J33*Data!I$58,""),"")</f>
        <v/>
      </c>
      <c r="T33" s="112"/>
    </row>
    <row r="34" spans="1:27">
      <c r="A34" s="31">
        <v>200</v>
      </c>
      <c r="B34" s="41">
        <v>90</v>
      </c>
      <c r="C34" s="32">
        <v>281</v>
      </c>
      <c r="D34" s="60">
        <v>1.05</v>
      </c>
      <c r="E34" s="32">
        <v>167</v>
      </c>
      <c r="F34" s="110">
        <v>2112</v>
      </c>
      <c r="G34" s="235">
        <v>2.25</v>
      </c>
      <c r="H34" s="32">
        <v>74</v>
      </c>
      <c r="I34" s="32">
        <v>263</v>
      </c>
      <c r="J34" s="32">
        <v>1562</v>
      </c>
      <c r="K34" s="32">
        <v>200</v>
      </c>
      <c r="L34" s="32">
        <v>90</v>
      </c>
      <c r="M34" s="39" t="b">
        <f>IF(OR(Data!B$3="IH",Data!B$3="IHM",Data!B$3="IMH"),IF(AND(K34=Data!B$4,L34=Data!B$6,Data!$D$2="F"),C34*2+C34*Data!B$13,""))</f>
        <v>0</v>
      </c>
      <c r="N34" s="31" t="str">
        <f>IF(Data!$B$25&gt;0.1,IF(OR(Data!B$3="IH",Data!B$3="IHM",Data!B$3="IMH"),IF($K34=Data!$B$4,IF($L34=Data!$B$6,D34*4*Data!B$25,""),""),""),"")</f>
        <v/>
      </c>
      <c r="O34" s="31" t="str">
        <f>IF(Data!$B$10="C",IF(OR(Data!B$3="IH",Data!B$3="IHM",Data!B$3="IMH"),IF($K34=Data!$B$4,IF($L34=Data!$B$6,E34,""),""),""),"")</f>
        <v/>
      </c>
      <c r="P34" s="31" t="str">
        <f>IF(Data!$B$16="Y",IF(OR(Data!B$3="IH",Data!B$3="IHM",Data!B$3="IMH"),IF($K34=Data!$B$4,IF($L34=Data!$B$6,F34+Data!B$8*G34,""),""),""),"")</f>
        <v/>
      </c>
      <c r="Q34" s="31" t="str">
        <f>IF(OR(Data!$B$10="B",Data!$B$10="L"),IF(OR(Data!B$3="IH",Data!B$3="IHM",Data!B$3="IMH"),IF($K34=Data!$B$4,IF($L34=Data!$B$6,H34+I34,""),""),""),"")</f>
        <v/>
      </c>
      <c r="R34" s="38" t="str">
        <f>IF($K34=Data!$B$4,IF($L34=Data!$B$6,J34*Data!I$58,""),"")</f>
        <v/>
      </c>
      <c r="T34" s="112"/>
    </row>
    <row r="35" spans="1:27">
      <c r="A35" s="31">
        <v>200</v>
      </c>
      <c r="B35" s="41">
        <v>110</v>
      </c>
      <c r="C35" s="32">
        <v>281</v>
      </c>
      <c r="D35" s="60">
        <v>1.05</v>
      </c>
      <c r="E35" s="32">
        <v>167</v>
      </c>
      <c r="F35" s="110">
        <v>2112</v>
      </c>
      <c r="G35" s="235">
        <v>2.25</v>
      </c>
      <c r="H35" s="32">
        <v>80</v>
      </c>
      <c r="I35" s="32">
        <v>263</v>
      </c>
      <c r="J35" s="32">
        <v>1562</v>
      </c>
      <c r="K35" s="32">
        <v>200</v>
      </c>
      <c r="L35" s="32">
        <v>110</v>
      </c>
      <c r="M35" s="39" t="b">
        <f>IF(OR(Data!B$3="IH",Data!B$3="IHM",Data!B$3="IMH"),IF(AND(K35=Data!B$4,L35=Data!B$6,Data!$D$2="F"),C35*2+C35*Data!B$13,""))</f>
        <v>0</v>
      </c>
      <c r="N35" s="31" t="str">
        <f>IF(Data!$B$25&gt;0.1,IF(OR(Data!B$3="IH",Data!B$3="IHM",Data!B$3="IMH"),IF($K35=Data!$B$4,IF($L35=Data!$B$6,D35*4*Data!B$25,""),""),""),"")</f>
        <v/>
      </c>
      <c r="O35" s="31" t="str">
        <f>IF(Data!$B$10="C",IF(OR(Data!B$3="IH",Data!B$3="IHM",Data!B$3="IMH"),IF($K35=Data!$B$4,IF($L35=Data!$B$6,E35,""),""),""),"")</f>
        <v/>
      </c>
      <c r="P35" s="31" t="str">
        <f>IF(Data!$B$16="Y",IF(OR(Data!B$3="IH",Data!B$3="IHM",Data!B$3="IMH"),IF($K35=Data!$B$4,IF($L35=Data!$B$6,F35+Data!B$8*G35,""),""),""),"")</f>
        <v/>
      </c>
      <c r="Q35" s="31" t="str">
        <f>IF(OR(Data!$B$10="B",Data!$B$10="L"),IF(OR(Data!B$3="IH",Data!B$3="IHM",Data!B$3="IMH"),IF($K35=Data!$B$4,IF($L35=Data!$B$6,H35+I35,""),""),""),"")</f>
        <v/>
      </c>
      <c r="R35" s="38" t="str">
        <f>IF($K35=Data!$B$4,IF($L35=Data!$B$6,J35*Data!I$58,""),"")</f>
        <v/>
      </c>
      <c r="T35" s="112"/>
    </row>
    <row r="36" spans="1:27">
      <c r="A36" s="31">
        <v>200</v>
      </c>
      <c r="B36" s="41">
        <v>140</v>
      </c>
      <c r="C36" s="32">
        <v>281</v>
      </c>
      <c r="D36" s="60">
        <v>1.05</v>
      </c>
      <c r="E36" s="32">
        <v>167</v>
      </c>
      <c r="F36" s="110">
        <v>2112</v>
      </c>
      <c r="G36" s="235">
        <v>2.25</v>
      </c>
      <c r="H36" s="32">
        <v>86</v>
      </c>
      <c r="I36" s="32">
        <v>263</v>
      </c>
      <c r="J36" s="32">
        <v>1562</v>
      </c>
      <c r="K36" s="32">
        <v>200</v>
      </c>
      <c r="L36" s="32">
        <v>140</v>
      </c>
      <c r="M36" s="39" t="b">
        <f>IF(OR(Data!B$3="IH",Data!B$3="IHM",Data!B$3="IMH"),IF(AND(K36=Data!B$4,L36=Data!B$6,Data!$D$2="F"),C36*2+C36*Data!B$13,""))</f>
        <v>0</v>
      </c>
      <c r="N36" s="31" t="str">
        <f>IF(Data!$B$25&gt;0.1,IF(OR(Data!B$3="IH",Data!B$3="IHM",Data!B$3="IMH"),IF($K36=Data!$B$4,IF($L36=Data!$B$6,D36*4*Data!B$25,""),""),""),"")</f>
        <v/>
      </c>
      <c r="O36" s="31" t="str">
        <f>IF(Data!$B$10="C",IF(OR(Data!B$3="IH",Data!B$3="IHM",Data!B$3="IMH"),IF($K36=Data!$B$4,IF($L36=Data!$B$6,E36,""),""),""),"")</f>
        <v/>
      </c>
      <c r="P36" s="31" t="str">
        <f>IF(Data!$B$16="Y",IF(OR(Data!B$3="IH",Data!B$3="IHM",Data!B$3="IMH"),IF($K36=Data!$B$4,IF($L36=Data!$B$6,F36+Data!B$8*G36,""),""),""),"")</f>
        <v/>
      </c>
      <c r="Q36" s="31" t="str">
        <f>IF(OR(Data!$B$10="B",Data!$B$10="L"),IF(OR(Data!B$3="IH",Data!B$3="IHM",Data!B$3="IMH"),IF($K36=Data!$B$4,IF($L36=Data!$B$6,H36+I36,""),""),""),"")</f>
        <v/>
      </c>
      <c r="R36" s="38" t="str">
        <f>IF($K36=Data!$B$4,IF($L36=Data!$B$6,J36*Data!I$58,""),"")</f>
        <v/>
      </c>
      <c r="T36" s="112"/>
    </row>
    <row r="37" spans="1:27">
      <c r="C37" s="32"/>
      <c r="D37" s="32"/>
      <c r="E37" s="32"/>
      <c r="F37" s="110"/>
      <c r="G37" s="110"/>
      <c r="H37" s="53"/>
      <c r="I37" s="53"/>
      <c r="J37" s="32"/>
      <c r="K37" s="60"/>
      <c r="L37" s="49"/>
      <c r="M37" s="39">
        <f t="shared" ref="M37:R37" si="0">SUM(M8:M36)</f>
        <v>0</v>
      </c>
      <c r="N37" s="39">
        <f t="shared" si="0"/>
        <v>0</v>
      </c>
      <c r="O37" s="39">
        <f t="shared" si="0"/>
        <v>0</v>
      </c>
      <c r="P37" s="39">
        <f t="shared" si="0"/>
        <v>0</v>
      </c>
      <c r="Q37" s="39">
        <f t="shared" si="0"/>
        <v>0</v>
      </c>
      <c r="R37" s="39">
        <f t="shared" si="0"/>
        <v>0</v>
      </c>
      <c r="S37" s="38">
        <f>SUM(M37:R37)</f>
        <v>0</v>
      </c>
      <c r="T37" s="112"/>
    </row>
    <row r="38" spans="1:27">
      <c r="C38" s="32"/>
      <c r="D38" s="382"/>
      <c r="E38" s="32"/>
      <c r="F38" s="110"/>
      <c r="G38" s="235"/>
      <c r="H38" s="53"/>
      <c r="I38" s="53"/>
      <c r="J38" s="32"/>
      <c r="K38" s="60"/>
      <c r="L38" s="49"/>
      <c r="M38" s="39"/>
      <c r="N38" s="31"/>
      <c r="O38" s="31"/>
      <c r="P38" s="31"/>
      <c r="Q38" s="31"/>
      <c r="T38" s="112"/>
    </row>
    <row r="39" spans="1:27">
      <c r="A39" s="44"/>
      <c r="B39" s="45"/>
      <c r="C39" s="32"/>
      <c r="D39" s="382"/>
      <c r="E39" s="32"/>
      <c r="F39" s="32"/>
      <c r="G39" s="65"/>
      <c r="H39" s="32"/>
      <c r="I39" s="32"/>
      <c r="J39" s="32"/>
      <c r="K39" s="44"/>
      <c r="L39" s="45"/>
      <c r="M39" s="39"/>
      <c r="N39" s="31"/>
      <c r="O39" s="31"/>
      <c r="P39" s="31"/>
      <c r="Q39" s="31"/>
      <c r="T39" s="112"/>
    </row>
    <row r="40" spans="1:27" s="31" customFormat="1">
      <c r="A40" s="44"/>
      <c r="B40" s="45"/>
      <c r="C40" s="32"/>
      <c r="D40" s="382"/>
      <c r="E40" s="32"/>
      <c r="F40" s="32"/>
      <c r="G40" s="65"/>
      <c r="H40" s="32"/>
      <c r="I40" s="32"/>
      <c r="J40" s="32"/>
      <c r="K40" s="44"/>
      <c r="L40" s="45"/>
      <c r="M40" s="39"/>
      <c r="S40" s="38"/>
      <c r="T40" s="112"/>
      <c r="U40" s="38"/>
      <c r="V40" s="38"/>
      <c r="W40" s="38"/>
      <c r="X40" s="38"/>
      <c r="Y40" s="38"/>
      <c r="Z40" s="38"/>
      <c r="AA40" s="38"/>
    </row>
    <row r="41" spans="1:27">
      <c r="A41" s="44"/>
      <c r="B41" s="45"/>
      <c r="C41" s="32"/>
      <c r="D41" s="382"/>
      <c r="E41" s="32"/>
      <c r="F41" s="32"/>
      <c r="G41" s="65"/>
      <c r="H41" s="32"/>
      <c r="I41" s="32"/>
      <c r="J41" s="32"/>
      <c r="K41" s="44"/>
      <c r="L41" s="45"/>
      <c r="M41" s="39"/>
      <c r="N41" s="31"/>
      <c r="O41" s="31"/>
      <c r="P41" s="31"/>
      <c r="Q41" s="31"/>
      <c r="T41" s="112"/>
    </row>
    <row r="42" spans="1:27">
      <c r="A42" s="44"/>
      <c r="B42" s="45"/>
      <c r="C42" s="32"/>
      <c r="D42" s="382"/>
      <c r="E42" s="32"/>
      <c r="F42" s="32"/>
      <c r="G42" s="65"/>
      <c r="H42" s="32"/>
      <c r="I42" s="32"/>
      <c r="J42" s="32"/>
      <c r="K42" s="44"/>
      <c r="L42" s="45"/>
      <c r="M42" s="39"/>
      <c r="N42" s="31"/>
      <c r="O42" s="31"/>
      <c r="P42" s="31"/>
      <c r="Q42" s="31"/>
      <c r="T42" s="112"/>
    </row>
    <row r="43" spans="1:27">
      <c r="A43" s="44"/>
      <c r="B43" s="45"/>
      <c r="C43" s="32"/>
      <c r="D43" s="382"/>
      <c r="E43" s="32"/>
      <c r="F43" s="32"/>
      <c r="G43" s="65"/>
      <c r="H43" s="32"/>
      <c r="I43" s="32"/>
      <c r="J43" s="32"/>
      <c r="K43" s="44"/>
      <c r="L43" s="45"/>
      <c r="M43" s="39"/>
      <c r="N43" s="31"/>
      <c r="O43" s="31"/>
      <c r="P43" s="31"/>
      <c r="Q43" s="31"/>
      <c r="T43" s="112"/>
    </row>
    <row r="44" spans="1:27">
      <c r="A44" s="44"/>
      <c r="B44" s="45"/>
      <c r="C44" s="32"/>
      <c r="D44" s="382"/>
      <c r="E44" s="32"/>
      <c r="F44" s="32"/>
      <c r="G44" s="65"/>
      <c r="H44" s="32"/>
      <c r="I44" s="32"/>
      <c r="J44" s="32"/>
      <c r="K44" s="44"/>
      <c r="L44" s="45"/>
      <c r="M44" s="39"/>
      <c r="N44" s="31"/>
      <c r="O44" s="31"/>
      <c r="P44" s="31"/>
      <c r="Q44" s="31"/>
      <c r="T44" s="112"/>
    </row>
    <row r="45" spans="1:27">
      <c r="A45" s="44"/>
      <c r="B45" s="45"/>
      <c r="C45" s="32"/>
      <c r="D45" s="382"/>
      <c r="E45" s="32"/>
      <c r="F45" s="32"/>
      <c r="G45" s="65"/>
      <c r="H45" s="32"/>
      <c r="I45" s="32"/>
      <c r="J45" s="32"/>
      <c r="K45" s="44"/>
      <c r="L45" s="45"/>
      <c r="M45" s="39"/>
      <c r="N45" s="31"/>
      <c r="O45" s="31"/>
      <c r="P45" s="31"/>
      <c r="Q45" s="31"/>
      <c r="T45" s="112"/>
    </row>
    <row r="46" spans="1:27">
      <c r="A46" s="44"/>
      <c r="B46" s="45"/>
      <c r="C46" s="32"/>
      <c r="D46" s="382"/>
      <c r="E46" s="32"/>
      <c r="F46" s="32"/>
      <c r="G46" s="65"/>
      <c r="H46" s="32"/>
      <c r="I46" s="32"/>
      <c r="J46" s="32"/>
      <c r="K46" s="44"/>
      <c r="L46" s="45"/>
      <c r="M46" s="39"/>
      <c r="N46" s="31"/>
      <c r="O46" s="31"/>
      <c r="P46" s="31"/>
      <c r="Q46" s="31"/>
      <c r="T46" s="112"/>
    </row>
    <row r="47" spans="1:27">
      <c r="A47" s="44"/>
      <c r="B47" s="45"/>
      <c r="C47" s="32"/>
      <c r="D47" s="382"/>
      <c r="E47" s="32"/>
      <c r="F47" s="32"/>
      <c r="G47" s="65"/>
      <c r="H47" s="32"/>
      <c r="I47" s="32"/>
      <c r="J47" s="32"/>
      <c r="K47" s="44"/>
      <c r="L47" s="45"/>
      <c r="M47" s="39"/>
      <c r="N47" s="31"/>
      <c r="O47" s="31"/>
      <c r="P47" s="31"/>
      <c r="Q47" s="31"/>
      <c r="T47" s="112"/>
    </row>
    <row r="48" spans="1:27">
      <c r="A48" s="44"/>
      <c r="B48" s="45"/>
      <c r="C48" s="32"/>
      <c r="D48" s="382"/>
      <c r="E48" s="32"/>
      <c r="F48" s="32"/>
      <c r="G48" s="65"/>
      <c r="H48" s="32"/>
      <c r="I48" s="32"/>
      <c r="J48" s="32"/>
      <c r="K48" s="44"/>
      <c r="L48" s="45"/>
      <c r="M48" s="39"/>
      <c r="N48" s="31"/>
      <c r="O48" s="31"/>
      <c r="P48" s="31"/>
      <c r="Q48" s="31"/>
      <c r="T48" s="112"/>
    </row>
    <row r="49" spans="1:20">
      <c r="A49" s="44"/>
      <c r="B49" s="45"/>
      <c r="C49" s="32"/>
      <c r="D49" s="382"/>
      <c r="E49" s="32"/>
      <c r="F49" s="32"/>
      <c r="G49" s="65"/>
      <c r="H49" s="32"/>
      <c r="I49" s="32"/>
      <c r="J49" s="32"/>
      <c r="K49" s="44"/>
      <c r="L49" s="45"/>
      <c r="M49" s="39"/>
      <c r="N49" s="31"/>
      <c r="O49" s="31"/>
      <c r="P49" s="31"/>
      <c r="Q49" s="31"/>
      <c r="T49" s="112"/>
    </row>
    <row r="50" spans="1:20">
      <c r="A50" s="44"/>
      <c r="B50" s="45"/>
      <c r="C50" s="32"/>
      <c r="D50" s="382"/>
      <c r="E50" s="32"/>
      <c r="F50" s="32"/>
      <c r="G50" s="65"/>
      <c r="H50" s="32"/>
      <c r="I50" s="32"/>
      <c r="J50" s="32"/>
      <c r="K50" s="44"/>
      <c r="L50" s="45"/>
      <c r="M50" s="39"/>
      <c r="N50" s="31"/>
      <c r="O50" s="31"/>
      <c r="P50" s="31"/>
      <c r="Q50" s="31"/>
      <c r="T50" s="112"/>
    </row>
    <row r="51" spans="1:20">
      <c r="A51" s="44"/>
      <c r="B51" s="45"/>
      <c r="C51" s="32"/>
      <c r="D51" s="382"/>
      <c r="E51" s="32"/>
      <c r="F51" s="32"/>
      <c r="G51" s="65"/>
      <c r="H51" s="32"/>
      <c r="I51" s="32"/>
      <c r="J51" s="32"/>
      <c r="K51" s="44"/>
      <c r="L51" s="45"/>
      <c r="M51" s="39"/>
      <c r="N51" s="31"/>
      <c r="O51" s="31"/>
      <c r="P51" s="31"/>
      <c r="Q51" s="31"/>
      <c r="T51" s="112"/>
    </row>
    <row r="52" spans="1:20">
      <c r="A52" s="44"/>
      <c r="B52" s="45"/>
      <c r="C52" s="32"/>
      <c r="D52" s="382"/>
      <c r="E52" s="32"/>
      <c r="F52" s="32"/>
      <c r="G52" s="65"/>
      <c r="H52" s="32"/>
      <c r="I52" s="32"/>
      <c r="J52" s="32"/>
      <c r="K52" s="44"/>
      <c r="L52" s="45"/>
      <c r="M52" s="39"/>
      <c r="N52" s="31"/>
      <c r="O52" s="31"/>
      <c r="P52" s="31"/>
      <c r="Q52" s="31"/>
      <c r="T52" s="112"/>
    </row>
    <row r="53" spans="1:20">
      <c r="D53" s="382"/>
      <c r="G53" s="65"/>
      <c r="K53" s="31"/>
      <c r="L53" s="41"/>
      <c r="M53" s="32"/>
      <c r="N53" s="32"/>
      <c r="O53" s="32"/>
      <c r="P53" s="32"/>
      <c r="Q53" s="32"/>
      <c r="R53" s="112"/>
      <c r="T53" s="112"/>
    </row>
    <row r="54" spans="1:20">
      <c r="D54" s="382"/>
      <c r="G54" s="65"/>
      <c r="K54" s="31"/>
      <c r="L54" s="41"/>
      <c r="M54" s="31"/>
      <c r="N54" s="31"/>
      <c r="O54" s="31"/>
      <c r="P54" s="31"/>
      <c r="Q54" s="31"/>
    </row>
    <row r="55" spans="1:20">
      <c r="D55" s="382"/>
      <c r="G55" s="65"/>
      <c r="K55" s="31"/>
      <c r="L55" s="41"/>
      <c r="M55" s="31"/>
      <c r="N55" s="31"/>
      <c r="O55" s="31"/>
      <c r="P55" s="31"/>
      <c r="Q55" s="31"/>
    </row>
    <row r="56" spans="1:20">
      <c r="D56" s="382"/>
      <c r="G56" s="65"/>
      <c r="K56" s="31"/>
      <c r="L56" s="41"/>
      <c r="M56" s="31"/>
      <c r="N56" s="31"/>
      <c r="O56" s="31"/>
      <c r="P56" s="31"/>
      <c r="Q56" s="31"/>
    </row>
    <row r="57" spans="1:20">
      <c r="D57" s="382"/>
      <c r="G57" s="65"/>
      <c r="K57" s="31"/>
      <c r="L57" s="41"/>
      <c r="M57" s="31"/>
      <c r="N57" s="31"/>
      <c r="O57" s="31"/>
      <c r="P57" s="31"/>
      <c r="Q57" s="31"/>
    </row>
    <row r="58" spans="1:20">
      <c r="D58" s="382"/>
      <c r="G58" s="65"/>
      <c r="K58" s="31"/>
      <c r="L58" s="41"/>
      <c r="M58" s="31"/>
      <c r="N58" s="31"/>
      <c r="O58" s="31"/>
      <c r="P58" s="31"/>
      <c r="Q58" s="31"/>
    </row>
    <row r="59" spans="1:20">
      <c r="D59" s="382"/>
      <c r="G59" s="65"/>
      <c r="K59" s="31"/>
      <c r="L59" s="41"/>
      <c r="M59" s="31"/>
      <c r="N59" s="31"/>
      <c r="O59" s="31"/>
      <c r="P59" s="31"/>
      <c r="Q59" s="31"/>
    </row>
    <row r="60" spans="1:20">
      <c r="D60" s="382"/>
      <c r="G60" s="65"/>
    </row>
    <row r="61" spans="1:20">
      <c r="D61" s="382"/>
      <c r="G61" s="65"/>
    </row>
    <row r="62" spans="1:20">
      <c r="D62" s="382"/>
      <c r="G62" s="65"/>
    </row>
    <row r="63" spans="1:20">
      <c r="D63" s="382"/>
      <c r="G63" s="65"/>
    </row>
    <row r="64" spans="1:20">
      <c r="D64" s="382"/>
      <c r="G64" s="65"/>
    </row>
    <row r="65" spans="4:7">
      <c r="D65" s="382"/>
      <c r="G65" s="65"/>
    </row>
    <row r="66" spans="4:7">
      <c r="D66" s="382"/>
      <c r="G66" s="65"/>
    </row>
    <row r="67" spans="4:7">
      <c r="D67" s="111"/>
    </row>
    <row r="68" spans="4:7" ht="13.5" customHeight="1">
      <c r="D68" s="111"/>
    </row>
    <row r="69" spans="4:7" ht="13.5" customHeight="1">
      <c r="D69" s="111"/>
    </row>
    <row r="70" spans="4:7" ht="13.5" customHeight="1">
      <c r="D70" s="111"/>
    </row>
    <row r="71" spans="4:7" ht="13.5" customHeight="1">
      <c r="D71" s="111"/>
    </row>
    <row r="72" spans="4:7" ht="13.5" customHeight="1">
      <c r="D72" s="111"/>
    </row>
    <row r="73" spans="4:7" ht="12.75" customHeight="1">
      <c r="D73" s="111"/>
    </row>
    <row r="74" spans="4:7" ht="13.5" customHeight="1">
      <c r="D74" s="111"/>
    </row>
    <row r="75" spans="4:7" ht="13.5" customHeight="1">
      <c r="D75" s="111"/>
    </row>
    <row r="76" spans="4:7" ht="12.75" customHeight="1">
      <c r="D76" s="111"/>
    </row>
    <row r="77" spans="4:7" ht="13.5" customHeight="1"/>
    <row r="78" spans="4:7" ht="13.5" customHeight="1"/>
    <row r="79" spans="4:7" ht="12.75" customHeight="1"/>
    <row r="80" spans="4:7" ht="13.5" customHeight="1"/>
    <row r="81" ht="13.5" customHeight="1"/>
    <row r="82" ht="12.75" customHeight="1"/>
    <row r="83" ht="12.75" customHeight="1"/>
    <row r="84" ht="13.5" customHeight="1"/>
    <row r="85" ht="13.5" customHeight="1"/>
    <row r="86" ht="12.75" customHeight="1"/>
    <row r="87" ht="12.75" customHeight="1"/>
    <row r="88" ht="13.5" customHeight="1"/>
    <row r="89" ht="13.5" customHeight="1"/>
    <row r="90" ht="12.75" customHeight="1"/>
    <row r="91" ht="12.75" customHeight="1"/>
    <row r="92" ht="12.75" customHeight="1"/>
    <row r="93" ht="13.5" customHeight="1"/>
    <row r="94" ht="13.5" customHeight="1"/>
    <row r="95" ht="12.75" customHeight="1"/>
    <row r="96" ht="12.75" customHeight="1"/>
    <row r="97" ht="12.75" customHeight="1"/>
    <row r="98" ht="13.5" customHeight="1"/>
    <row r="99" ht="13.5" customHeight="1"/>
    <row r="100" ht="12.75" customHeight="1"/>
    <row r="101" ht="12.75" customHeight="1"/>
    <row r="102" ht="13.5" customHeight="1"/>
    <row r="103" ht="13.5" customHeight="1"/>
    <row r="104" ht="12.7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</sheetData>
  <mergeCells count="19">
    <mergeCell ref="A1:I1"/>
    <mergeCell ref="K1:Q1"/>
    <mergeCell ref="A2:I2"/>
    <mergeCell ref="K2:Q2"/>
    <mergeCell ref="A4:A7"/>
    <mergeCell ref="B4:B7"/>
    <mergeCell ref="C4:C7"/>
    <mergeCell ref="D4:D7"/>
    <mergeCell ref="E4:E7"/>
    <mergeCell ref="F4:G6"/>
    <mergeCell ref="O4:O7"/>
    <mergeCell ref="P4:P7"/>
    <mergeCell ref="Q4:Q7"/>
    <mergeCell ref="H4:H7"/>
    <mergeCell ref="I4:I7"/>
    <mergeCell ref="K4:K7"/>
    <mergeCell ref="L4:L7"/>
    <mergeCell ref="M4:M7"/>
    <mergeCell ref="N4:N7"/>
  </mergeCells>
  <printOptions horizontalCentered="1" verticalCentered="1"/>
  <pageMargins left="0.5" right="0.5" top="0.25" bottom="0.25" header="0.5" footer="0.5"/>
  <pageSetup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BC69"/>
  <sheetViews>
    <sheetView topLeftCell="G1" workbookViewId="0">
      <selection activeCell="O5" sqref="O5:T19"/>
    </sheetView>
  </sheetViews>
  <sheetFormatPr defaultColWidth="9.08984375" defaultRowHeight="12.5"/>
  <cols>
    <col min="1" max="1" width="12.54296875" style="81" customWidth="1"/>
    <col min="2" max="2" width="9.08984375" style="81"/>
    <col min="3" max="3" width="7.54296875" style="81" customWidth="1"/>
    <col min="4" max="4" width="8.54296875" style="81" customWidth="1"/>
    <col min="5" max="5" width="7.453125" style="81" customWidth="1"/>
    <col min="6" max="6" width="10.54296875" style="81" customWidth="1"/>
    <col min="7" max="7" width="11.08984375" style="81" customWidth="1"/>
    <col min="8" max="8" width="7.54296875" style="81" customWidth="1"/>
    <col min="9" max="9" width="8.81640625" style="81" customWidth="1"/>
    <col min="10" max="10" width="7.54296875" style="81" customWidth="1"/>
    <col min="11" max="11" width="6.81640625" style="81" customWidth="1"/>
    <col min="12" max="12" width="9" style="81" customWidth="1"/>
    <col min="13" max="13" width="8.54296875" style="81" customWidth="1"/>
    <col min="14" max="14" width="10.81640625" style="81" customWidth="1"/>
    <col min="15" max="16" width="7" style="81" customWidth="1"/>
    <col min="17" max="17" width="5.36328125" style="81" customWidth="1"/>
    <col min="18" max="18" width="6" style="81" customWidth="1"/>
    <col min="19" max="19" width="5.08984375" style="81" customWidth="1"/>
    <col min="20" max="20" width="10.81640625" style="81" customWidth="1"/>
    <col min="21" max="21" width="6" style="81" bestFit="1" customWidth="1"/>
    <col min="22" max="23" width="7" style="81" bestFit="1" customWidth="1"/>
    <col min="24" max="25" width="6" style="81" bestFit="1" customWidth="1"/>
    <col min="26" max="38" width="9.08984375" style="81"/>
    <col min="39" max="16384" width="9.08984375" style="79"/>
  </cols>
  <sheetData>
    <row r="1" spans="1:55" s="72" customFormat="1" ht="19.5" customHeight="1">
      <c r="A1" s="620" t="s">
        <v>472</v>
      </c>
      <c r="B1" s="620"/>
      <c r="C1" s="620"/>
      <c r="D1" s="620"/>
      <c r="E1" s="620"/>
      <c r="F1" s="620"/>
      <c r="G1" s="620"/>
      <c r="H1" s="620"/>
      <c r="I1" s="620"/>
      <c r="J1" s="620"/>
      <c r="K1" s="620"/>
      <c r="L1" s="70"/>
      <c r="M1" s="69"/>
      <c r="N1" s="70"/>
      <c r="O1" s="70"/>
      <c r="P1" s="70"/>
      <c r="Q1" s="70"/>
      <c r="R1" s="70"/>
      <c r="S1" s="70"/>
      <c r="T1" s="70"/>
      <c r="U1" s="70"/>
      <c r="V1" s="70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</row>
    <row r="2" spans="1:55" s="77" customFormat="1" ht="18" customHeight="1">
      <c r="A2" s="621" t="s">
        <v>389</v>
      </c>
      <c r="B2" s="621"/>
      <c r="C2" s="621"/>
      <c r="D2" s="621"/>
      <c r="E2" s="621"/>
      <c r="F2" s="621"/>
      <c r="G2" s="621"/>
      <c r="H2" s="621"/>
      <c r="I2" s="621"/>
      <c r="J2" s="621"/>
      <c r="K2" s="621"/>
      <c r="L2" s="73"/>
      <c r="M2" s="74"/>
      <c r="N2" s="75"/>
      <c r="O2" s="75"/>
      <c r="P2" s="75"/>
      <c r="Q2" s="75"/>
      <c r="R2" s="75"/>
      <c r="S2" s="75"/>
      <c r="T2" s="75"/>
      <c r="U2" s="75"/>
      <c r="V2" s="76"/>
      <c r="W2" s="76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</row>
    <row r="3" spans="1:55" ht="12" customHeight="1" thickBot="1">
      <c r="A3" s="76"/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8"/>
      <c r="O3" s="78"/>
      <c r="P3" s="76"/>
      <c r="Q3" s="76"/>
      <c r="R3" s="76"/>
      <c r="S3" s="76"/>
      <c r="T3" s="76"/>
      <c r="U3" s="76"/>
      <c r="V3" s="76"/>
      <c r="W3" s="76"/>
      <c r="X3" s="76"/>
      <c r="Y3" s="76"/>
      <c r="Z3" s="76"/>
      <c r="AA3" s="76"/>
      <c r="AB3" s="76"/>
      <c r="AC3" s="31"/>
      <c r="AD3" s="31"/>
      <c r="AE3" s="31"/>
      <c r="AF3" s="31"/>
      <c r="AG3" s="31"/>
      <c r="AH3" s="31"/>
      <c r="AI3" s="31"/>
      <c r="AJ3" s="79"/>
      <c r="AK3" s="79"/>
      <c r="AL3" s="79"/>
    </row>
    <row r="4" spans="1:55" ht="14" thickTop="1" thickBot="1">
      <c r="A4" s="178" t="s">
        <v>478</v>
      </c>
      <c r="B4" s="622" t="s">
        <v>300</v>
      </c>
      <c r="C4" s="622"/>
      <c r="D4" s="622" t="s">
        <v>579</v>
      </c>
      <c r="E4" s="622"/>
      <c r="F4" s="622" t="s">
        <v>146</v>
      </c>
      <c r="G4" s="622"/>
      <c r="H4" s="622" t="s">
        <v>461</v>
      </c>
      <c r="I4" s="622"/>
      <c r="J4" s="622" t="s">
        <v>79</v>
      </c>
      <c r="K4" s="623"/>
      <c r="L4" s="79"/>
      <c r="N4" s="80" t="s">
        <v>478</v>
      </c>
      <c r="O4" s="79" t="s">
        <v>300</v>
      </c>
      <c r="P4" s="79" t="s">
        <v>579</v>
      </c>
      <c r="Q4" s="79" t="s">
        <v>283</v>
      </c>
      <c r="R4" s="79" t="s">
        <v>461</v>
      </c>
      <c r="S4" s="79" t="s">
        <v>79</v>
      </c>
      <c r="T4" s="81">
        <f>SUM(T5:T12)</f>
        <v>0</v>
      </c>
      <c r="V4" s="31"/>
      <c r="W4" s="31" t="str">
        <f>IF(Data!$G9&gt;0.1,LOOKUP("x",$V5:$V19,W5:W19),"")</f>
        <v/>
      </c>
      <c r="X4" s="31" t="str">
        <f>IF(Data!$G10&gt;0.1,LOOKUP("x",$V5:$V19,X5:X19),"")</f>
        <v/>
      </c>
      <c r="Y4" s="31" t="str">
        <f>IF(Data!$G11&gt;0.1,LOOKUP("x",$V5:$V19,Y5:Y19),"")</f>
        <v/>
      </c>
      <c r="Z4" s="31" t="str">
        <f>IF(Data!$G12&gt;0.1,LOOKUP("x",$V5:$V19,Z5:Z19),"")</f>
        <v/>
      </c>
      <c r="AA4" s="31" t="str">
        <f>IF(OR(Data!$G13&gt;0.1,T4&gt;0.1),LOOKUP(1,$U5:$U19,AA5:AA19),"")</f>
        <v/>
      </c>
      <c r="AB4" s="31" t="str">
        <f>IF(Data!$G14&gt;0.1,LOOKUP("x",$V5:$V19,AB5:AB19),"")</f>
        <v/>
      </c>
      <c r="AC4" s="31" t="str">
        <f>IF(Data!$G15&gt;0.1,LOOKUP("x",$V5:$V19,AC5:AC19),"")</f>
        <v/>
      </c>
      <c r="AD4" s="31" t="str">
        <f>IF(Data!$G16&gt;0.1,LOOKUP(1,$U5:$U19,AD5:AD19),"")</f>
        <v/>
      </c>
      <c r="AE4" s="31" t="str">
        <f>IF(Data!$G17&gt;0.1,LOOKUP("x",$V5:$V19,AE5:AE19),"")</f>
        <v/>
      </c>
      <c r="AF4" s="31" t="str">
        <f>IF(Data!$G18&gt;0.1,LOOKUP("x",$V5:$V19,AF5:AF19),"")</f>
        <v/>
      </c>
      <c r="AG4" s="31" t="str">
        <f>IF(Data!$G19&gt;0.1,LOOKUP("x",$V5:$V19,AG5:AG19),"")</f>
        <v/>
      </c>
      <c r="AH4" s="31" t="str">
        <f>IF(Data!$G20&gt;0.1,LOOKUP("x",$V5:$V19,AH5:AH19),"")</f>
        <v/>
      </c>
      <c r="AI4" s="31" t="str">
        <f>IF(Data!$G22&gt;0.1,LOOKUP("x",$V5:$V19,AI5:AI19),"")</f>
        <v/>
      </c>
      <c r="AJ4" s="79"/>
      <c r="AK4" s="79"/>
      <c r="AL4" s="79"/>
    </row>
    <row r="5" spans="1:55" ht="14" thickTop="1">
      <c r="A5" s="173" t="s">
        <v>607</v>
      </c>
      <c r="B5" s="174" t="s">
        <v>693</v>
      </c>
      <c r="C5" s="175">
        <v>60</v>
      </c>
      <c r="D5" s="174" t="s">
        <v>652</v>
      </c>
      <c r="E5" s="175">
        <v>60</v>
      </c>
      <c r="F5" s="174" t="s">
        <v>182</v>
      </c>
      <c r="G5" s="175">
        <v>40</v>
      </c>
      <c r="H5" s="174" t="s">
        <v>7</v>
      </c>
      <c r="I5" s="175">
        <v>125</v>
      </c>
      <c r="J5" s="176" t="s">
        <v>476</v>
      </c>
      <c r="K5" s="177">
        <v>20</v>
      </c>
      <c r="M5" s="81" t="str">
        <f>IF(N5=Data!$D$9,"x","")</f>
        <v/>
      </c>
      <c r="N5" s="82" t="s">
        <v>607</v>
      </c>
      <c r="O5" s="85" t="str">
        <f t="shared" ref="O5:O19" si="0">IF(M5="x",C5,"")</f>
        <v/>
      </c>
      <c r="P5" s="85" t="str">
        <f t="shared" ref="P5:P14" si="1">IF(S5="","",E5)</f>
        <v/>
      </c>
      <c r="Q5" s="85" t="str">
        <f t="shared" ref="Q5:Q19" si="2">IF(M5="x",G5,"")</f>
        <v/>
      </c>
      <c r="R5" s="85" t="str">
        <f t="shared" ref="R5:R6" si="3">IF(S5="","",I5)</f>
        <v/>
      </c>
      <c r="S5" s="85" t="str">
        <f>IF(OR(M5="x",M6="x"),K5,"")</f>
        <v/>
      </c>
      <c r="T5" s="85" t="str">
        <f>IF(AND(Data!B$3="H",Data!B$4=1.5,Data!$B$5="MP1"),1,IF(AND(Data!B$3="A",Data!B$4&lt;2.6,Data!$B$5="MP1"),1,IF(AND(Data!B$3="LH",Data!B$4&lt;2.6,Data!$B$5="MP1"),1,"")))</f>
        <v/>
      </c>
      <c r="U5" s="85" t="str">
        <f>IF(AND(Data!B$3="H",Data!B$4=1.5),1,IF(AND(Data!B$3="A",Data!B$4&lt;2.6),1,IF(AND(Data!B$3="LH",Data!B$4&lt;2.6),1,"")))</f>
        <v/>
      </c>
      <c r="V5" s="31" t="s">
        <v>261</v>
      </c>
      <c r="W5" s="31" t="s">
        <v>693</v>
      </c>
      <c r="X5" s="31" t="s">
        <v>126</v>
      </c>
      <c r="Y5" s="31" t="s">
        <v>182</v>
      </c>
      <c r="Z5" s="31" t="s">
        <v>78</v>
      </c>
      <c r="AA5" s="31" t="s">
        <v>476</v>
      </c>
      <c r="AB5" s="31" t="s">
        <v>422</v>
      </c>
      <c r="AC5" s="31" t="s">
        <v>279</v>
      </c>
      <c r="AD5" s="31" t="s">
        <v>203</v>
      </c>
      <c r="AE5" s="31" t="s">
        <v>564</v>
      </c>
      <c r="AF5" s="31" t="s">
        <v>122</v>
      </c>
      <c r="AG5" s="31" t="s">
        <v>442</v>
      </c>
      <c r="AH5" s="31" t="s">
        <v>522</v>
      </c>
      <c r="AI5" s="31" t="s">
        <v>116</v>
      </c>
      <c r="AJ5" s="79"/>
      <c r="AK5" s="79"/>
      <c r="AL5" s="79"/>
    </row>
    <row r="6" spans="1:55" ht="13.5">
      <c r="A6" s="158" t="s">
        <v>189</v>
      </c>
      <c r="B6" s="155" t="s">
        <v>837</v>
      </c>
      <c r="C6" s="156">
        <v>70</v>
      </c>
      <c r="D6" s="155" t="s">
        <v>842</v>
      </c>
      <c r="E6" s="156">
        <v>90</v>
      </c>
      <c r="F6" s="155" t="s">
        <v>374</v>
      </c>
      <c r="G6" s="156">
        <v>45</v>
      </c>
      <c r="H6" s="155" t="s">
        <v>156</v>
      </c>
      <c r="I6" s="156">
        <v>175</v>
      </c>
      <c r="J6" s="153" t="s">
        <v>218</v>
      </c>
      <c r="K6" s="157">
        <v>25</v>
      </c>
      <c r="M6" s="81" t="str">
        <f>IF(N6=Data!$D$9,"x","")</f>
        <v/>
      </c>
      <c r="N6" s="86" t="s">
        <v>189</v>
      </c>
      <c r="O6" s="85" t="str">
        <f t="shared" si="0"/>
        <v/>
      </c>
      <c r="P6" s="85" t="str">
        <f t="shared" si="1"/>
        <v/>
      </c>
      <c r="Q6" s="85" t="str">
        <f t="shared" si="2"/>
        <v/>
      </c>
      <c r="R6" s="85" t="str">
        <f t="shared" si="3"/>
        <v/>
      </c>
      <c r="S6" s="85" t="str">
        <f>IF(OR(M7="x"),K6,"")</f>
        <v/>
      </c>
      <c r="T6" s="85" t="str">
        <f>IF(AND(Data!B$3="H",Data!B$4&gt;1.51,Data!B$4&lt;2.6,Data!$B$5="MP1"),1,IF(AND(Data!B$3="A",Data!B$4&gt;2.6,Data!B$4&lt;5.1,Data!$B$5="MP1"),1,IF(AND(Data!B$3="LH",Data!B$4&gt;2.6,Data!B$4&lt;5.1,Data!$B$5="MP1"),1,"")))</f>
        <v/>
      </c>
      <c r="U6" s="85" t="str">
        <f>IF(AND(Data!B$3="H",Data!B$4&gt;1.51,Data!B$4&lt;2.6),1,IF(AND(Data!B$3="A",Data!B$4&gt;2.6,Data!B$4&lt;5.1),1,IF(AND(Data!B$3="LH",Data!B$4&gt;2.6,Data!B$4&lt;5.1),1,"")))</f>
        <v/>
      </c>
      <c r="V6" s="31" t="s">
        <v>261</v>
      </c>
      <c r="W6" s="31" t="s">
        <v>837</v>
      </c>
      <c r="X6" s="31" t="s">
        <v>652</v>
      </c>
      <c r="Y6" s="31" t="s">
        <v>374</v>
      </c>
      <c r="Z6" s="31" t="s">
        <v>7</v>
      </c>
      <c r="AA6" s="31" t="s">
        <v>218</v>
      </c>
      <c r="AB6" s="31" t="s">
        <v>755</v>
      </c>
      <c r="AC6" s="31" t="s">
        <v>755</v>
      </c>
      <c r="AD6" s="31" t="s">
        <v>584</v>
      </c>
      <c r="AE6" s="31" t="s">
        <v>3</v>
      </c>
      <c r="AF6" s="31" t="s">
        <v>120</v>
      </c>
      <c r="AG6" s="31" t="s">
        <v>694</v>
      </c>
      <c r="AH6" s="31" t="s">
        <v>207</v>
      </c>
      <c r="AI6" s="31" t="s">
        <v>471</v>
      </c>
      <c r="AJ6" s="79"/>
      <c r="AK6" s="79"/>
      <c r="AL6" s="79"/>
    </row>
    <row r="7" spans="1:55" ht="13.5">
      <c r="A7" s="158" t="s">
        <v>856</v>
      </c>
      <c r="B7" s="155" t="s">
        <v>237</v>
      </c>
      <c r="C7" s="156">
        <v>80</v>
      </c>
      <c r="D7" s="155" t="s">
        <v>405</v>
      </c>
      <c r="E7" s="156">
        <v>120</v>
      </c>
      <c r="F7" s="155" t="s">
        <v>375</v>
      </c>
      <c r="G7" s="156">
        <v>50</v>
      </c>
      <c r="H7" s="155" t="s">
        <v>317</v>
      </c>
      <c r="I7" s="156">
        <v>225</v>
      </c>
      <c r="J7" s="153" t="s">
        <v>361</v>
      </c>
      <c r="K7" s="157">
        <v>30</v>
      </c>
      <c r="M7" s="81" t="str">
        <f>IF(N7=Data!$D$9,"x","")</f>
        <v/>
      </c>
      <c r="N7" s="86" t="s">
        <v>856</v>
      </c>
      <c r="O7" s="85" t="str">
        <f t="shared" si="0"/>
        <v/>
      </c>
      <c r="P7" s="85" t="str">
        <f t="shared" si="1"/>
        <v/>
      </c>
      <c r="Q7" s="85" t="str">
        <f t="shared" si="2"/>
        <v/>
      </c>
      <c r="R7" s="85" t="str">
        <f>IF(S7="","",I7)</f>
        <v/>
      </c>
      <c r="S7" s="85" t="str">
        <f>IF(OR(M9="x",M8="x"),K7,"")</f>
        <v/>
      </c>
      <c r="T7" s="85" t="str">
        <f>IF(AND(Data!B$3="H",Data!B$4=3.25,Data!$B$5="MP1"),1,IF(AND(Data!B$3="A",Data!B$4&gt;5.1,Data!B$4&lt;8.1,Data!$B$5="MP1"),1,IF(AND(Data!B$3="LH",Data!B$4&gt;5.1,Data!B$4&lt;8.1,Data!$B$5="MP1"),1,"")))</f>
        <v/>
      </c>
      <c r="U7" s="85" t="str">
        <f>IF(AND(Data!B$3="H",Data!B$4=3.25),1,IF(AND(Data!B$3="A",Data!B$4&gt;5.1,Data!B$4&lt;8.1),1,IF(AND(Data!B$3="LH",Data!B$4&gt;5.1,Data!B$4&lt;8.1),1,"")))</f>
        <v/>
      </c>
      <c r="V7" s="31" t="s">
        <v>261</v>
      </c>
      <c r="W7" s="31" t="s">
        <v>237</v>
      </c>
      <c r="X7" s="31" t="s">
        <v>842</v>
      </c>
      <c r="Y7" s="31" t="s">
        <v>375</v>
      </c>
      <c r="Z7" s="31" t="s">
        <v>156</v>
      </c>
      <c r="AA7" s="31" t="s">
        <v>361</v>
      </c>
      <c r="AB7" s="31" t="s">
        <v>741</v>
      </c>
      <c r="AC7" s="31" t="s">
        <v>308</v>
      </c>
      <c r="AD7" s="31" t="s">
        <v>295</v>
      </c>
      <c r="AE7" s="31" t="s">
        <v>737</v>
      </c>
      <c r="AF7" s="31" t="s">
        <v>121</v>
      </c>
      <c r="AG7" s="31" t="s">
        <v>500</v>
      </c>
      <c r="AH7" s="31" t="s">
        <v>202</v>
      </c>
      <c r="AI7" s="31" t="s">
        <v>680</v>
      </c>
      <c r="AJ7" s="79"/>
      <c r="AK7" s="79"/>
      <c r="AL7" s="79"/>
    </row>
    <row r="8" spans="1:55" ht="13.5">
      <c r="A8" s="158" t="s">
        <v>392</v>
      </c>
      <c r="B8" s="155" t="s">
        <v>546</v>
      </c>
      <c r="C8" s="156">
        <v>110</v>
      </c>
      <c r="D8" s="155" t="s">
        <v>583</v>
      </c>
      <c r="E8" s="156">
        <v>170</v>
      </c>
      <c r="F8" s="155" t="s">
        <v>141</v>
      </c>
      <c r="G8" s="156">
        <v>60</v>
      </c>
      <c r="H8" s="155" t="s">
        <v>664</v>
      </c>
      <c r="I8" s="156">
        <v>300</v>
      </c>
      <c r="J8" s="153" t="s">
        <v>539</v>
      </c>
      <c r="K8" s="157">
        <v>40</v>
      </c>
      <c r="M8" s="81" t="str">
        <f>IF(N8=Data!$D$9,"x","")</f>
        <v/>
      </c>
      <c r="N8" s="86" t="s">
        <v>392</v>
      </c>
      <c r="O8" s="85" t="str">
        <f t="shared" si="0"/>
        <v/>
      </c>
      <c r="P8" s="85" t="str">
        <f t="shared" si="1"/>
        <v/>
      </c>
      <c r="Q8" s="85" t="str">
        <f t="shared" si="2"/>
        <v/>
      </c>
      <c r="R8" s="85" t="str">
        <f t="shared" ref="R8:R19" si="4">IF(S8="","",I8)</f>
        <v/>
      </c>
      <c r="S8" s="85" t="str">
        <f>IF(OR(M10="x"),K8,"")</f>
        <v/>
      </c>
      <c r="T8" s="85" t="str">
        <f>IF(AND(Data!B$3="H",Data!B$4=4),IF(OR(Data!$B$5="MP1",Data!$B$5="MP2"),1,""),"")</f>
        <v/>
      </c>
      <c r="U8" s="85" t="str">
        <f>IF(AND(Data!B$3="H",Data!B$4=4),1,"")</f>
        <v/>
      </c>
      <c r="V8" s="31" t="s">
        <v>261</v>
      </c>
      <c r="W8" s="31" t="s">
        <v>546</v>
      </c>
      <c r="X8" s="31" t="s">
        <v>484</v>
      </c>
      <c r="Y8" s="31" t="s">
        <v>141</v>
      </c>
      <c r="Z8" s="31" t="s">
        <v>599</v>
      </c>
      <c r="AA8" s="31" t="s">
        <v>539</v>
      </c>
      <c r="AB8" s="31" t="s">
        <v>755</v>
      </c>
      <c r="AC8" s="31" t="s">
        <v>755</v>
      </c>
      <c r="AD8" s="31" t="s">
        <v>744</v>
      </c>
      <c r="AE8" s="31" t="s">
        <v>565</v>
      </c>
      <c r="AF8" s="31" t="s">
        <v>123</v>
      </c>
      <c r="AG8" s="31" t="s">
        <v>739</v>
      </c>
      <c r="AH8" s="31" t="s">
        <v>612</v>
      </c>
      <c r="AI8" s="31" t="s">
        <v>117</v>
      </c>
      <c r="AJ8" s="79"/>
      <c r="AK8" s="79"/>
      <c r="AL8" s="79"/>
    </row>
    <row r="9" spans="1:55" s="89" customFormat="1" ht="13.5">
      <c r="A9" s="159" t="s">
        <v>857</v>
      </c>
      <c r="B9" s="155" t="s">
        <v>339</v>
      </c>
      <c r="C9" s="156">
        <v>125</v>
      </c>
      <c r="D9" s="155" t="s">
        <v>765</v>
      </c>
      <c r="E9" s="156">
        <v>350</v>
      </c>
      <c r="F9" s="155" t="s">
        <v>849</v>
      </c>
      <c r="G9" s="156">
        <v>70</v>
      </c>
      <c r="H9" s="155" t="s">
        <v>213</v>
      </c>
      <c r="I9" s="156">
        <v>500</v>
      </c>
      <c r="J9" s="153" t="s">
        <v>354</v>
      </c>
      <c r="K9" s="157">
        <v>50</v>
      </c>
      <c r="M9" s="81" t="str">
        <f>IF(N9=Data!$D$9,"x","")</f>
        <v/>
      </c>
      <c r="N9" s="87" t="s">
        <v>857</v>
      </c>
      <c r="O9" s="85" t="str">
        <f t="shared" si="0"/>
        <v/>
      </c>
      <c r="P9" s="85">
        <f t="shared" si="1"/>
        <v>350</v>
      </c>
      <c r="Q9" s="85" t="str">
        <f t="shared" si="2"/>
        <v/>
      </c>
      <c r="R9" s="85">
        <f t="shared" si="4"/>
        <v>500</v>
      </c>
      <c r="S9" s="85">
        <f>IF(OR(M11="x"),K9,"")</f>
        <v>50</v>
      </c>
      <c r="T9" s="85" t="str">
        <f>IF(AND(Data!B$3="H",Data!B$4=5),IF(OR(Data!$B$5="MP1",Data!$B$5="MP2"),1,""),"")</f>
        <v/>
      </c>
      <c r="U9" s="85">
        <f>IF(AND(Data!B$3="H",Data!B$4=5),1,"")</f>
        <v>1</v>
      </c>
      <c r="V9" s="31" t="s">
        <v>261</v>
      </c>
      <c r="W9" s="31" t="s">
        <v>339</v>
      </c>
      <c r="X9" s="31" t="s">
        <v>405</v>
      </c>
      <c r="Y9" s="31" t="s">
        <v>849</v>
      </c>
      <c r="Z9" s="31" t="s">
        <v>317</v>
      </c>
      <c r="AA9" s="31" t="s">
        <v>354</v>
      </c>
      <c r="AB9" s="31" t="s">
        <v>662</v>
      </c>
      <c r="AC9" s="31" t="s">
        <v>855</v>
      </c>
      <c r="AD9" s="31" t="s">
        <v>684</v>
      </c>
      <c r="AE9" s="31" t="s">
        <v>489</v>
      </c>
      <c r="AF9" s="31" t="s">
        <v>749</v>
      </c>
      <c r="AG9" s="31" t="s">
        <v>740</v>
      </c>
      <c r="AH9" s="31" t="s">
        <v>452</v>
      </c>
      <c r="AI9" s="31" t="s">
        <v>208</v>
      </c>
      <c r="AJ9" s="88"/>
      <c r="AK9" s="79"/>
      <c r="AL9" s="79"/>
      <c r="AM9" s="79"/>
      <c r="AN9" s="79"/>
      <c r="AO9" s="79"/>
      <c r="AP9" s="79"/>
      <c r="AQ9" s="79"/>
      <c r="AR9" s="79"/>
      <c r="AS9" s="79"/>
      <c r="AT9" s="79"/>
      <c r="AU9" s="79"/>
      <c r="AV9" s="79"/>
      <c r="AW9" s="79"/>
      <c r="AX9" s="79"/>
      <c r="AY9" s="79"/>
      <c r="AZ9" s="79"/>
      <c r="BA9" s="79"/>
      <c r="BB9" s="79"/>
      <c r="BC9" s="79"/>
    </row>
    <row r="10" spans="1:55" s="89" customFormat="1" ht="13.5">
      <c r="A10" s="158" t="s">
        <v>858</v>
      </c>
      <c r="B10" s="155" t="s">
        <v>262</v>
      </c>
      <c r="C10" s="156">
        <v>175</v>
      </c>
      <c r="D10" s="155" t="s">
        <v>371</v>
      </c>
      <c r="E10" s="156">
        <v>410</v>
      </c>
      <c r="F10" s="155" t="s">
        <v>850</v>
      </c>
      <c r="G10" s="156">
        <v>110</v>
      </c>
      <c r="H10" s="155" t="s">
        <v>328</v>
      </c>
      <c r="I10" s="156">
        <v>600</v>
      </c>
      <c r="J10" s="153" t="s">
        <v>355</v>
      </c>
      <c r="K10" s="157">
        <v>75</v>
      </c>
      <c r="M10" s="81" t="str">
        <f>IF(N10=Data!$D$9,"x","")</f>
        <v/>
      </c>
      <c r="N10" s="86" t="s">
        <v>858</v>
      </c>
      <c r="O10" s="85" t="str">
        <f t="shared" si="0"/>
        <v/>
      </c>
      <c r="P10" s="85" t="str">
        <f t="shared" si="1"/>
        <v/>
      </c>
      <c r="Q10" s="85" t="str">
        <f t="shared" si="2"/>
        <v/>
      </c>
      <c r="R10" s="85" t="str">
        <f t="shared" si="4"/>
        <v/>
      </c>
      <c r="S10" s="85" t="str">
        <f>IF(OR(M12="x",M13="x"),K10,"")</f>
        <v/>
      </c>
      <c r="T10" s="85" t="str">
        <f>IF(AND(Data!B$3="H",Data!B$4=6),IF(OR(Data!$B$5="MP1",Data!$B$5="MP2"),1,""),"")</f>
        <v/>
      </c>
      <c r="U10" s="85" t="str">
        <f>IF(AND(Data!B$3="H",Data!B$4=6),1,"")</f>
        <v/>
      </c>
      <c r="V10" s="31" t="s">
        <v>261</v>
      </c>
      <c r="W10" s="31" t="s">
        <v>262</v>
      </c>
      <c r="X10" s="31" t="s">
        <v>137</v>
      </c>
      <c r="Y10" s="31" t="s">
        <v>850</v>
      </c>
      <c r="Z10" s="31" t="s">
        <v>622</v>
      </c>
      <c r="AA10" s="31" t="s">
        <v>355</v>
      </c>
      <c r="AB10" s="31" t="s">
        <v>699</v>
      </c>
      <c r="AC10" s="31" t="s">
        <v>473</v>
      </c>
      <c r="AD10" s="31" t="s">
        <v>685</v>
      </c>
      <c r="AE10" s="31" t="s">
        <v>297</v>
      </c>
      <c r="AF10" s="31" t="s">
        <v>601</v>
      </c>
      <c r="AG10" s="31" t="s">
        <v>434</v>
      </c>
      <c r="AH10" s="31" t="s">
        <v>164</v>
      </c>
      <c r="AI10" s="31" t="s">
        <v>148</v>
      </c>
      <c r="AJ10" s="88"/>
      <c r="AK10" s="79"/>
      <c r="AL10" s="79"/>
      <c r="AM10" s="79"/>
      <c r="AN10" s="79"/>
      <c r="AO10" s="79"/>
      <c r="AP10" s="79"/>
      <c r="AQ10" s="79"/>
      <c r="AR10" s="79"/>
      <c r="AS10" s="79"/>
      <c r="AT10" s="79"/>
      <c r="AU10" s="79"/>
      <c r="AV10" s="79"/>
      <c r="AW10" s="79"/>
      <c r="AX10" s="79"/>
      <c r="AY10" s="79"/>
      <c r="AZ10" s="79"/>
      <c r="BA10" s="79"/>
      <c r="BB10" s="79"/>
      <c r="BC10" s="79"/>
    </row>
    <row r="11" spans="1:55" s="89" customFormat="1" ht="13.5">
      <c r="A11" s="158" t="s">
        <v>521</v>
      </c>
      <c r="B11" s="155" t="s">
        <v>263</v>
      </c>
      <c r="C11" s="156">
        <v>225</v>
      </c>
      <c r="D11" s="155" t="s">
        <v>463</v>
      </c>
      <c r="E11" s="156">
        <v>570</v>
      </c>
      <c r="F11" s="155" t="s">
        <v>851</v>
      </c>
      <c r="G11" s="156">
        <v>140</v>
      </c>
      <c r="H11" s="155" t="s">
        <v>180</v>
      </c>
      <c r="I11" s="156">
        <v>750</v>
      </c>
      <c r="J11" s="153" t="s">
        <v>312</v>
      </c>
      <c r="K11" s="157">
        <v>125</v>
      </c>
      <c r="M11" s="81" t="str">
        <f>IF(N11=Data!$D$9,"x","")</f>
        <v>x</v>
      </c>
      <c r="N11" s="86" t="s">
        <v>521</v>
      </c>
      <c r="O11" s="85">
        <f t="shared" si="0"/>
        <v>225</v>
      </c>
      <c r="P11" s="85" t="str">
        <f t="shared" si="1"/>
        <v/>
      </c>
      <c r="Q11" s="85">
        <f t="shared" si="2"/>
        <v>140</v>
      </c>
      <c r="R11" s="85" t="str">
        <f t="shared" si="4"/>
        <v/>
      </c>
      <c r="S11" s="85" t="str">
        <f>IF(OR(M14="x"),K11,"")</f>
        <v/>
      </c>
      <c r="T11" s="85" t="str">
        <f>IF(AND(Data!B$3="H",Data!B$4=7),IF(OR(Data!$B$5="MP1",Data!$B$5="MP2"),1,""),"")</f>
        <v/>
      </c>
      <c r="U11" s="85" t="str">
        <f>IF(AND(Data!B$3="H",Data!B$4=7),1,"")</f>
        <v/>
      </c>
      <c r="V11" s="31" t="s">
        <v>261</v>
      </c>
      <c r="W11" s="31" t="s">
        <v>263</v>
      </c>
      <c r="X11" s="31" t="s">
        <v>138</v>
      </c>
      <c r="Y11" s="31" t="s">
        <v>851</v>
      </c>
      <c r="Z11" s="31" t="s">
        <v>659</v>
      </c>
      <c r="AA11" s="31" t="s">
        <v>312</v>
      </c>
      <c r="AB11" s="31" t="s">
        <v>188</v>
      </c>
      <c r="AC11" s="31" t="s">
        <v>843</v>
      </c>
      <c r="AD11" s="31"/>
      <c r="AE11" s="31" t="s">
        <v>292</v>
      </c>
      <c r="AF11" s="31" t="s">
        <v>246</v>
      </c>
      <c r="AG11" s="31" t="s">
        <v>291</v>
      </c>
      <c r="AH11" s="31" t="s">
        <v>163</v>
      </c>
      <c r="AI11" s="31" t="s">
        <v>344</v>
      </c>
      <c r="AJ11" s="88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  <c r="AW11" s="79"/>
      <c r="AX11" s="79"/>
      <c r="AY11" s="79"/>
      <c r="AZ11" s="79"/>
      <c r="BA11" s="79"/>
      <c r="BB11" s="79"/>
      <c r="BC11" s="79"/>
    </row>
    <row r="12" spans="1:55" s="89" customFormat="1" ht="13.5">
      <c r="A12" s="158" t="s">
        <v>602</v>
      </c>
      <c r="B12" s="155" t="s">
        <v>264</v>
      </c>
      <c r="C12" s="156">
        <v>350</v>
      </c>
      <c r="D12" s="155" t="s">
        <v>665</v>
      </c>
      <c r="E12" s="156">
        <v>800</v>
      </c>
      <c r="F12" s="155" t="s">
        <v>852</v>
      </c>
      <c r="G12" s="156">
        <v>160</v>
      </c>
      <c r="H12" s="155" t="s">
        <v>243</v>
      </c>
      <c r="I12" s="156">
        <v>1200</v>
      </c>
      <c r="J12" s="153" t="s">
        <v>764</v>
      </c>
      <c r="K12" s="157">
        <v>175</v>
      </c>
      <c r="M12" s="81" t="str">
        <f>IF(N12=Data!$D$9,"x","")</f>
        <v/>
      </c>
      <c r="N12" s="86" t="s">
        <v>602</v>
      </c>
      <c r="O12" s="85" t="str">
        <f t="shared" si="0"/>
        <v/>
      </c>
      <c r="P12" s="85" t="str">
        <f t="shared" si="1"/>
        <v/>
      </c>
      <c r="Q12" s="85" t="str">
        <f t="shared" si="2"/>
        <v/>
      </c>
      <c r="R12" s="85" t="str">
        <f t="shared" si="4"/>
        <v/>
      </c>
      <c r="S12" s="85" t="str">
        <f>IF(OR(M15="x"),K12,"")</f>
        <v/>
      </c>
      <c r="T12" s="85" t="str">
        <f>IF(AND(Data!B$3="H",Data!B$4=8),IF(OR(Data!$B$5="MP1",Data!$B$5="MP2"),1,""),"")</f>
        <v/>
      </c>
      <c r="U12" s="85" t="str">
        <f>IF(AND(Data!B$3="H",Data!B$4=8),1,"")</f>
        <v/>
      </c>
      <c r="V12" s="31" t="s">
        <v>574</v>
      </c>
      <c r="W12" s="31" t="s">
        <v>264</v>
      </c>
      <c r="X12" s="31" t="s">
        <v>765</v>
      </c>
      <c r="Y12" s="31" t="s">
        <v>852</v>
      </c>
      <c r="Z12" s="31" t="s">
        <v>213</v>
      </c>
      <c r="AA12" s="31" t="s">
        <v>764</v>
      </c>
      <c r="AB12" s="31" t="s">
        <v>755</v>
      </c>
      <c r="AC12" s="31" t="s">
        <v>755</v>
      </c>
      <c r="AD12" s="31"/>
      <c r="AE12" s="31" t="s">
        <v>266</v>
      </c>
      <c r="AF12" s="31" t="s">
        <v>247</v>
      </c>
      <c r="AG12" s="31" t="s">
        <v>464</v>
      </c>
      <c r="AH12" s="31" t="s">
        <v>205</v>
      </c>
      <c r="AI12" s="31" t="s">
        <v>149</v>
      </c>
      <c r="AJ12" s="88"/>
      <c r="AK12" s="79"/>
      <c r="AL12" s="79"/>
      <c r="AM12" s="79"/>
      <c r="AN12" s="79"/>
      <c r="AO12" s="79"/>
      <c r="AP12" s="79"/>
      <c r="AQ12" s="79"/>
      <c r="AR12" s="79"/>
      <c r="AS12" s="79"/>
      <c r="AT12" s="79"/>
      <c r="AU12" s="79"/>
      <c r="AV12" s="79"/>
      <c r="AW12" s="79"/>
      <c r="AX12" s="79"/>
      <c r="AY12" s="79"/>
      <c r="AZ12" s="79"/>
      <c r="BA12" s="79"/>
      <c r="BB12" s="79"/>
      <c r="BC12" s="79"/>
    </row>
    <row r="13" spans="1:55" s="89" customFormat="1" ht="13.5">
      <c r="A13" s="158" t="s">
        <v>619</v>
      </c>
      <c r="B13" s="155" t="s">
        <v>512</v>
      </c>
      <c r="C13" s="156">
        <v>395</v>
      </c>
      <c r="D13" s="155" t="s">
        <v>666</v>
      </c>
      <c r="E13" s="155">
        <v>1500</v>
      </c>
      <c r="F13" s="155" t="s">
        <v>853</v>
      </c>
      <c r="G13" s="156">
        <v>190</v>
      </c>
      <c r="H13" s="155" t="s">
        <v>595</v>
      </c>
      <c r="I13" s="156">
        <v>2000</v>
      </c>
      <c r="J13" s="155" t="s">
        <v>458</v>
      </c>
      <c r="K13" s="157">
        <v>225</v>
      </c>
      <c r="M13" s="81" t="str">
        <f>IF(N13=Data!$D$9,"x","")</f>
        <v/>
      </c>
      <c r="N13" s="86" t="s">
        <v>619</v>
      </c>
      <c r="O13" s="85" t="str">
        <f t="shared" si="0"/>
        <v/>
      </c>
      <c r="P13" s="85" t="str">
        <f t="shared" si="1"/>
        <v/>
      </c>
      <c r="Q13" s="85" t="str">
        <f t="shared" si="2"/>
        <v/>
      </c>
      <c r="R13" s="85" t="str">
        <f t="shared" si="4"/>
        <v/>
      </c>
      <c r="S13" s="85" t="str">
        <f>IF(OR(M16="x",M17="x",M18="x"),K13,"")</f>
        <v/>
      </c>
      <c r="T13" s="85"/>
      <c r="U13" s="85"/>
      <c r="V13" s="31" t="s">
        <v>261</v>
      </c>
      <c r="W13" s="31" t="s">
        <v>512</v>
      </c>
      <c r="X13" s="31" t="s">
        <v>608</v>
      </c>
      <c r="Y13" s="31" t="s">
        <v>853</v>
      </c>
      <c r="Z13" s="31" t="s">
        <v>762</v>
      </c>
      <c r="AA13" s="31"/>
      <c r="AB13" s="31" t="s">
        <v>536</v>
      </c>
      <c r="AC13" s="31" t="s">
        <v>576</v>
      </c>
      <c r="AD13" s="31"/>
      <c r="AE13" s="38"/>
      <c r="AF13" s="31" t="s">
        <v>610</v>
      </c>
      <c r="AG13" s="31" t="s">
        <v>199</v>
      </c>
      <c r="AH13" s="31" t="s">
        <v>206</v>
      </c>
      <c r="AI13" s="31" t="s">
        <v>679</v>
      </c>
      <c r="AJ13" s="88"/>
      <c r="AK13" s="79"/>
      <c r="AL13" s="79"/>
      <c r="AM13" s="79"/>
      <c r="AN13" s="79"/>
      <c r="AO13" s="79"/>
      <c r="AP13" s="79"/>
      <c r="AQ13" s="79"/>
      <c r="AR13" s="79"/>
      <c r="AS13" s="79"/>
      <c r="AT13" s="79"/>
      <c r="AU13" s="79"/>
      <c r="AV13" s="79"/>
      <c r="AW13" s="79"/>
      <c r="AX13" s="79"/>
      <c r="AY13" s="79"/>
      <c r="AZ13" s="79"/>
      <c r="BA13" s="79"/>
      <c r="BB13" s="79"/>
      <c r="BC13" s="79"/>
    </row>
    <row r="14" spans="1:55" s="89" customFormat="1" ht="13.5">
      <c r="A14" s="158" t="s">
        <v>721</v>
      </c>
      <c r="B14" s="155" t="s">
        <v>513</v>
      </c>
      <c r="C14" s="156">
        <v>600</v>
      </c>
      <c r="D14" s="155" t="s">
        <v>370</v>
      </c>
      <c r="E14" s="155">
        <v>1700</v>
      </c>
      <c r="F14" s="155" t="s">
        <v>854</v>
      </c>
      <c r="G14" s="156">
        <v>390</v>
      </c>
      <c r="H14" s="155" t="s">
        <v>191</v>
      </c>
      <c r="I14" s="156">
        <v>2300</v>
      </c>
      <c r="J14" s="155" t="s">
        <v>195</v>
      </c>
      <c r="K14" s="157">
        <v>300</v>
      </c>
      <c r="M14" s="81" t="str">
        <f>IF(N14=Data!$D$9,"x","")</f>
        <v/>
      </c>
      <c r="N14" s="86" t="s">
        <v>721</v>
      </c>
      <c r="O14" s="85" t="str">
        <f t="shared" si="0"/>
        <v/>
      </c>
      <c r="P14" s="85" t="str">
        <f t="shared" si="1"/>
        <v/>
      </c>
      <c r="Q14" s="85" t="str">
        <f t="shared" si="2"/>
        <v/>
      </c>
      <c r="R14" s="85" t="str">
        <f t="shared" si="4"/>
        <v/>
      </c>
      <c r="S14" s="85" t="str">
        <f>IF(OR(M19="x"),K14,"")</f>
        <v/>
      </c>
      <c r="T14" s="85"/>
      <c r="U14" s="85"/>
      <c r="V14" s="31" t="s">
        <v>261</v>
      </c>
      <c r="W14" s="31" t="s">
        <v>513</v>
      </c>
      <c r="X14" s="31" t="s">
        <v>366</v>
      </c>
      <c r="Y14" s="31" t="s">
        <v>854</v>
      </c>
      <c r="Z14" s="31" t="s">
        <v>763</v>
      </c>
      <c r="AA14" s="31"/>
      <c r="AB14" s="31"/>
      <c r="AC14" s="31"/>
      <c r="AD14" s="31"/>
      <c r="AE14" s="38"/>
      <c r="AF14" s="31" t="s">
        <v>187</v>
      </c>
      <c r="AG14" s="31" t="s">
        <v>101</v>
      </c>
      <c r="AH14" s="31" t="s">
        <v>201</v>
      </c>
      <c r="AI14" s="38"/>
      <c r="AJ14" s="88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  <c r="AW14" s="79"/>
      <c r="AX14" s="79"/>
      <c r="AY14" s="79"/>
      <c r="AZ14" s="79"/>
      <c r="BA14" s="79"/>
      <c r="BB14" s="79"/>
      <c r="BC14" s="79"/>
    </row>
    <row r="15" spans="1:55" s="89" customFormat="1" ht="13.5">
      <c r="A15" s="158" t="s">
        <v>722</v>
      </c>
      <c r="B15" s="155" t="s">
        <v>439</v>
      </c>
      <c r="C15" s="156">
        <v>900</v>
      </c>
      <c r="D15" s="155"/>
      <c r="E15" s="155"/>
      <c r="F15" s="155" t="s">
        <v>758</v>
      </c>
      <c r="G15" s="156">
        <v>430</v>
      </c>
      <c r="H15" s="155"/>
      <c r="I15" s="155"/>
      <c r="J15" s="153"/>
      <c r="K15" s="154"/>
      <c r="M15" s="81" t="str">
        <f>IF(N15=Data!$D$9,"x","")</f>
        <v/>
      </c>
      <c r="N15" s="86" t="s">
        <v>722</v>
      </c>
      <c r="O15" s="85" t="str">
        <f t="shared" si="0"/>
        <v/>
      </c>
      <c r="P15" s="85"/>
      <c r="Q15" s="85" t="str">
        <f t="shared" si="2"/>
        <v/>
      </c>
      <c r="R15" s="85" t="str">
        <f t="shared" si="4"/>
        <v/>
      </c>
      <c r="S15" s="85"/>
      <c r="T15" s="85"/>
      <c r="U15" s="85"/>
      <c r="V15" s="31" t="s">
        <v>261</v>
      </c>
      <c r="W15" s="31" t="s">
        <v>439</v>
      </c>
      <c r="X15" s="31" t="s">
        <v>463</v>
      </c>
      <c r="Y15" s="31" t="s">
        <v>758</v>
      </c>
      <c r="Z15" s="31" t="s">
        <v>180</v>
      </c>
      <c r="AA15" s="31"/>
      <c r="AB15" s="31"/>
      <c r="AC15" s="31"/>
      <c r="AD15" s="31"/>
      <c r="AE15" s="31"/>
      <c r="AF15" s="31" t="s">
        <v>750</v>
      </c>
      <c r="AG15" s="38"/>
      <c r="AH15" s="38"/>
      <c r="AI15" s="38"/>
      <c r="AJ15" s="88"/>
      <c r="AK15" s="79"/>
      <c r="AL15" s="79"/>
      <c r="AM15" s="79"/>
      <c r="AN15" s="79"/>
      <c r="AO15" s="79"/>
      <c r="AP15" s="79"/>
      <c r="AQ15" s="79"/>
      <c r="AR15" s="79"/>
      <c r="AS15" s="79"/>
      <c r="AT15" s="79"/>
      <c r="AU15" s="79"/>
      <c r="AV15" s="79"/>
      <c r="AW15" s="79"/>
      <c r="AX15" s="79"/>
      <c r="AY15" s="79"/>
      <c r="AZ15" s="79"/>
      <c r="BA15" s="79"/>
      <c r="BB15" s="79"/>
      <c r="BC15" s="79"/>
    </row>
    <row r="16" spans="1:55" s="89" customFormat="1" ht="13.5">
      <c r="A16" s="158" t="s">
        <v>373</v>
      </c>
      <c r="B16" s="155" t="s">
        <v>514</v>
      </c>
      <c r="C16" s="156">
        <v>1300</v>
      </c>
      <c r="D16" s="155"/>
      <c r="E16" s="155"/>
      <c r="F16" s="155" t="s">
        <v>759</v>
      </c>
      <c r="G16" s="156">
        <v>550</v>
      </c>
      <c r="H16" s="155"/>
      <c r="I16" s="155"/>
      <c r="J16" s="153"/>
      <c r="K16" s="154"/>
      <c r="M16" s="81" t="str">
        <f>IF(N16=Data!$D$9,"x","")</f>
        <v/>
      </c>
      <c r="N16" s="86" t="s">
        <v>860</v>
      </c>
      <c r="O16" s="85" t="str">
        <f t="shared" si="0"/>
        <v/>
      </c>
      <c r="P16" s="85"/>
      <c r="Q16" s="85" t="str">
        <f t="shared" si="2"/>
        <v/>
      </c>
      <c r="R16" s="85" t="str">
        <f t="shared" si="4"/>
        <v/>
      </c>
      <c r="S16" s="85"/>
      <c r="T16" s="85"/>
      <c r="U16" s="85"/>
      <c r="V16" s="31" t="s">
        <v>261</v>
      </c>
      <c r="W16" s="31" t="s">
        <v>514</v>
      </c>
      <c r="X16" s="31" t="s">
        <v>249</v>
      </c>
      <c r="Y16" s="31" t="s">
        <v>759</v>
      </c>
      <c r="Z16" s="31" t="s">
        <v>628</v>
      </c>
      <c r="AA16" s="31"/>
      <c r="AB16" s="31"/>
      <c r="AC16" s="31"/>
      <c r="AD16" s="31"/>
      <c r="AE16" s="31"/>
      <c r="AF16" s="31"/>
      <c r="AG16" s="38"/>
      <c r="AH16" s="38"/>
      <c r="AI16" s="38"/>
      <c r="AJ16" s="88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  <c r="AW16" s="79"/>
      <c r="AX16" s="79"/>
      <c r="AY16" s="79"/>
      <c r="AZ16" s="79"/>
      <c r="BA16" s="79"/>
      <c r="BB16" s="79"/>
      <c r="BC16" s="79"/>
    </row>
    <row r="17" spans="1:55" s="89" customFormat="1" ht="13.5">
      <c r="A17" s="158" t="s">
        <v>302</v>
      </c>
      <c r="B17" s="155" t="s">
        <v>515</v>
      </c>
      <c r="C17" s="156">
        <v>1500</v>
      </c>
      <c r="D17" s="155"/>
      <c r="E17" s="155"/>
      <c r="F17" s="155" t="s">
        <v>760</v>
      </c>
      <c r="G17" s="156">
        <v>1100</v>
      </c>
      <c r="H17" s="155"/>
      <c r="I17" s="155"/>
      <c r="J17" s="153"/>
      <c r="K17" s="154"/>
      <c r="M17" s="81" t="str">
        <f>IF(N17=Data!$D$9,"x","")</f>
        <v/>
      </c>
      <c r="N17" s="86" t="s">
        <v>302</v>
      </c>
      <c r="O17" s="85" t="str">
        <f t="shared" si="0"/>
        <v/>
      </c>
      <c r="P17" s="85"/>
      <c r="Q17" s="85" t="str">
        <f t="shared" si="2"/>
        <v/>
      </c>
      <c r="R17" s="85" t="str">
        <f t="shared" si="4"/>
        <v/>
      </c>
      <c r="S17" s="85"/>
      <c r="T17" s="85"/>
      <c r="U17" s="85"/>
      <c r="V17" s="31"/>
      <c r="W17" s="31" t="s">
        <v>515</v>
      </c>
      <c r="X17" s="31" t="s">
        <v>398</v>
      </c>
      <c r="Y17" s="31" t="s">
        <v>760</v>
      </c>
      <c r="Z17" s="31" t="s">
        <v>629</v>
      </c>
      <c r="AA17" s="31"/>
      <c r="AB17" s="31"/>
      <c r="AC17" s="31"/>
      <c r="AD17" s="31"/>
      <c r="AE17" s="31"/>
      <c r="AF17" s="31"/>
      <c r="AG17" s="38"/>
      <c r="AH17" s="38"/>
      <c r="AI17" s="38"/>
      <c r="AJ17" s="88"/>
      <c r="AK17" s="79"/>
      <c r="AL17" s="79"/>
      <c r="AM17" s="79"/>
      <c r="AN17" s="79"/>
      <c r="AO17" s="79"/>
      <c r="AP17" s="79"/>
      <c r="AQ17" s="79"/>
      <c r="AR17" s="79"/>
      <c r="AS17" s="79"/>
      <c r="AT17" s="79"/>
      <c r="AU17" s="79"/>
      <c r="AV17" s="79"/>
      <c r="AW17" s="79"/>
      <c r="AX17" s="79"/>
      <c r="AY17" s="79"/>
      <c r="AZ17" s="79"/>
      <c r="BA17" s="79"/>
      <c r="BB17" s="79"/>
      <c r="BC17" s="79"/>
    </row>
    <row r="18" spans="1:55" s="89" customFormat="1" ht="13.5">
      <c r="A18" s="158" t="s">
        <v>557</v>
      </c>
      <c r="B18" s="155" t="s">
        <v>93</v>
      </c>
      <c r="C18" s="156">
        <v>1700</v>
      </c>
      <c r="D18" s="155"/>
      <c r="E18" s="155"/>
      <c r="F18" s="155" t="s">
        <v>260</v>
      </c>
      <c r="G18" s="156">
        <v>1300</v>
      </c>
      <c r="H18" s="155"/>
      <c r="I18" s="155"/>
      <c r="J18" s="153"/>
      <c r="K18" s="154"/>
      <c r="M18" s="81" t="str">
        <f>IF(N18=Data!$D$9,"x","")</f>
        <v/>
      </c>
      <c r="N18" s="86" t="s">
        <v>557</v>
      </c>
      <c r="O18" s="85" t="str">
        <f t="shared" si="0"/>
        <v/>
      </c>
      <c r="P18" s="85"/>
      <c r="Q18" s="85" t="str">
        <f t="shared" si="2"/>
        <v/>
      </c>
      <c r="R18" s="85" t="str">
        <f t="shared" si="4"/>
        <v/>
      </c>
      <c r="S18" s="85"/>
      <c r="T18" s="85"/>
      <c r="U18" s="85"/>
      <c r="V18" s="31" t="s">
        <v>261</v>
      </c>
      <c r="W18" s="31" t="s">
        <v>93</v>
      </c>
      <c r="X18" s="31" t="s">
        <v>666</v>
      </c>
      <c r="Y18" s="31" t="s">
        <v>260</v>
      </c>
      <c r="Z18" s="31" t="s">
        <v>595</v>
      </c>
      <c r="AA18" s="31"/>
      <c r="AB18" s="31"/>
      <c r="AC18" s="31"/>
      <c r="AD18" s="31"/>
      <c r="AE18" s="31"/>
      <c r="AF18" s="31"/>
      <c r="AG18" s="38"/>
      <c r="AH18" s="38"/>
      <c r="AI18" s="38"/>
      <c r="AJ18" s="88"/>
      <c r="AK18" s="79"/>
      <c r="AL18" s="79"/>
      <c r="AM18" s="79"/>
      <c r="AN18" s="79"/>
      <c r="AO18" s="79"/>
      <c r="AP18" s="79"/>
      <c r="AQ18" s="79"/>
      <c r="AR18" s="79"/>
      <c r="AS18" s="79"/>
      <c r="AT18" s="79"/>
      <c r="AU18" s="79"/>
      <c r="AV18" s="79"/>
      <c r="AW18" s="79"/>
      <c r="AX18" s="79"/>
      <c r="AY18" s="79"/>
      <c r="AZ18" s="79"/>
      <c r="BA18" s="79"/>
      <c r="BB18" s="79"/>
      <c r="BC18" s="79"/>
    </row>
    <row r="19" spans="1:55" s="89" customFormat="1" ht="14" thickBot="1">
      <c r="A19" s="166" t="s">
        <v>211</v>
      </c>
      <c r="B19" s="167" t="s">
        <v>94</v>
      </c>
      <c r="C19" s="168">
        <v>1900</v>
      </c>
      <c r="D19" s="167"/>
      <c r="E19" s="167"/>
      <c r="F19" s="167" t="s">
        <v>713</v>
      </c>
      <c r="G19" s="168">
        <v>1450</v>
      </c>
      <c r="H19" s="167"/>
      <c r="I19" s="170"/>
      <c r="J19" s="171"/>
      <c r="K19" s="172"/>
      <c r="M19" s="81" t="str">
        <f>IF(N19=Data!$D$9,"x","")</f>
        <v/>
      </c>
      <c r="N19" s="86" t="s">
        <v>211</v>
      </c>
      <c r="O19" s="85" t="str">
        <f t="shared" si="0"/>
        <v/>
      </c>
      <c r="P19" s="85"/>
      <c r="Q19" s="85" t="str">
        <f t="shared" si="2"/>
        <v/>
      </c>
      <c r="R19" s="85" t="str">
        <f t="shared" si="4"/>
        <v/>
      </c>
      <c r="S19" s="85"/>
      <c r="T19" s="85"/>
      <c r="U19" s="85"/>
      <c r="V19" s="31" t="s">
        <v>261</v>
      </c>
      <c r="W19" s="31" t="s">
        <v>94</v>
      </c>
      <c r="X19" s="31" t="s">
        <v>370</v>
      </c>
      <c r="Y19" s="31" t="s">
        <v>713</v>
      </c>
      <c r="Z19" s="31" t="s">
        <v>191</v>
      </c>
      <c r="AA19" s="31"/>
      <c r="AB19" s="31"/>
      <c r="AC19" s="31"/>
      <c r="AD19" s="31"/>
      <c r="AE19" s="31"/>
      <c r="AF19" s="31"/>
      <c r="AG19" s="38"/>
      <c r="AH19" s="38"/>
      <c r="AI19" s="38"/>
      <c r="AJ19" s="88"/>
      <c r="AK19" s="79"/>
      <c r="AL19" s="79"/>
      <c r="AM19" s="79"/>
      <c r="AN19" s="79"/>
      <c r="AO19" s="79"/>
      <c r="AP19" s="79"/>
      <c r="AQ19" s="79"/>
      <c r="AR19" s="79"/>
      <c r="AS19" s="79"/>
      <c r="AT19" s="79"/>
      <c r="AU19" s="79"/>
      <c r="AV19" s="79"/>
      <c r="AW19" s="79"/>
      <c r="AX19" s="79"/>
      <c r="AY19" s="79"/>
      <c r="AZ19" s="79"/>
      <c r="BA19" s="79"/>
      <c r="BB19" s="79"/>
      <c r="BC19" s="79"/>
    </row>
    <row r="20" spans="1:55" s="89" customFormat="1" ht="13.5" thickTop="1" thickBot="1">
      <c r="A20" s="90"/>
      <c r="B20" s="90"/>
      <c r="C20" s="90"/>
      <c r="D20" s="90"/>
      <c r="E20" s="90"/>
      <c r="F20" s="90"/>
      <c r="G20" s="90"/>
      <c r="H20" s="90"/>
      <c r="I20" s="90"/>
      <c r="J20" s="90"/>
      <c r="K20" s="90"/>
      <c r="L20" s="90"/>
      <c r="M20" s="90"/>
      <c r="N20" s="90"/>
      <c r="O20" s="90">
        <f>SUM(O5:O19)</f>
        <v>225</v>
      </c>
      <c r="P20" s="90">
        <f>SUM(P5:P19)</f>
        <v>350</v>
      </c>
      <c r="Q20" s="90">
        <f>SUM(Q5:Q19)</f>
        <v>140</v>
      </c>
      <c r="R20" s="90">
        <f>SUM(R5:R19)</f>
        <v>500</v>
      </c>
      <c r="S20" s="90">
        <f>SUM(S5:S19)</f>
        <v>50</v>
      </c>
      <c r="T20" s="90"/>
      <c r="U20" s="90"/>
      <c r="V20" s="91" t="s">
        <v>538</v>
      </c>
      <c r="W20" s="90"/>
      <c r="X20" s="90"/>
      <c r="Y20" s="90"/>
      <c r="Z20" s="90"/>
      <c r="AA20" s="90"/>
      <c r="AB20" s="88"/>
      <c r="AC20" s="90"/>
      <c r="AD20" s="90"/>
      <c r="AE20" s="90"/>
      <c r="AF20" s="90"/>
      <c r="AJ20" s="88"/>
      <c r="AK20" s="79"/>
      <c r="AL20" s="79"/>
      <c r="AM20" s="79"/>
      <c r="AN20" s="79"/>
      <c r="AO20" s="79"/>
      <c r="AP20" s="79"/>
      <c r="AQ20" s="79"/>
      <c r="AR20" s="79"/>
      <c r="AS20" s="79"/>
      <c r="AT20" s="79"/>
      <c r="AU20" s="79"/>
      <c r="AV20" s="79"/>
      <c r="AW20" s="79"/>
      <c r="AX20" s="79"/>
      <c r="AY20" s="79"/>
      <c r="AZ20" s="79"/>
      <c r="BA20" s="79"/>
      <c r="BB20" s="79"/>
      <c r="BC20" s="79"/>
    </row>
    <row r="21" spans="1:55" s="89" customFormat="1" ht="26.25" customHeight="1" thickTop="1" thickBot="1">
      <c r="A21" s="179" t="s">
        <v>478</v>
      </c>
      <c r="B21" s="624" t="s">
        <v>646</v>
      </c>
      <c r="C21" s="624"/>
      <c r="D21" s="624" t="s">
        <v>280</v>
      </c>
      <c r="E21" s="624"/>
      <c r="F21" s="624" t="s">
        <v>99</v>
      </c>
      <c r="G21" s="624"/>
      <c r="H21" s="624" t="s">
        <v>631</v>
      </c>
      <c r="I21" s="624"/>
      <c r="J21" s="624" t="s">
        <v>861</v>
      </c>
      <c r="K21" s="625"/>
      <c r="L21" s="90"/>
      <c r="M21" s="90"/>
      <c r="N21" s="92" t="s">
        <v>478</v>
      </c>
      <c r="O21" s="93" t="s">
        <v>646</v>
      </c>
      <c r="P21" s="93" t="s">
        <v>280</v>
      </c>
      <c r="Q21" s="93" t="s">
        <v>99</v>
      </c>
      <c r="R21" s="93" t="s">
        <v>631</v>
      </c>
      <c r="S21" s="93" t="s">
        <v>861</v>
      </c>
      <c r="T21" s="90"/>
      <c r="U21" s="90"/>
      <c r="V21" s="90"/>
      <c r="W21" s="90"/>
      <c r="X21" s="90"/>
      <c r="Y21" s="90"/>
      <c r="Z21" s="90"/>
      <c r="AA21" s="90"/>
      <c r="AB21" s="90"/>
      <c r="AC21" s="88"/>
      <c r="AD21" s="90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79"/>
      <c r="AW21" s="79"/>
      <c r="AX21" s="79"/>
      <c r="AY21" s="79"/>
      <c r="AZ21" s="79"/>
      <c r="BA21" s="79"/>
      <c r="BB21" s="79"/>
      <c r="BC21" s="79"/>
    </row>
    <row r="22" spans="1:55" s="89" customFormat="1" ht="14" thickTop="1">
      <c r="A22" s="173" t="s">
        <v>607</v>
      </c>
      <c r="B22" s="174" t="s">
        <v>422</v>
      </c>
      <c r="C22" s="175">
        <v>125</v>
      </c>
      <c r="D22" s="174" t="s">
        <v>279</v>
      </c>
      <c r="E22" s="175">
        <v>120</v>
      </c>
      <c r="F22" s="174" t="s">
        <v>399</v>
      </c>
      <c r="G22" s="175">
        <v>20</v>
      </c>
      <c r="H22" s="174" t="s">
        <v>605</v>
      </c>
      <c r="I22" s="175">
        <v>80</v>
      </c>
      <c r="J22" s="174" t="s">
        <v>122</v>
      </c>
      <c r="K22" s="177">
        <v>305</v>
      </c>
      <c r="L22" s="84"/>
      <c r="M22" s="81" t="str">
        <f>IF(N22=Data!$D$9,"x","")</f>
        <v/>
      </c>
      <c r="N22" s="82" t="s">
        <v>607</v>
      </c>
      <c r="O22" s="85" t="str">
        <f t="shared" ref="O22:O32" si="5">IF(M22="x",C22,"")</f>
        <v/>
      </c>
      <c r="P22" s="85" t="str">
        <f t="shared" ref="P22:P32" si="6">IF(M22="x",E22,"")</f>
        <v/>
      </c>
      <c r="Q22" s="85" t="str">
        <f t="shared" ref="Q22:Q27" si="7">IF(T5="","",G22)</f>
        <v/>
      </c>
      <c r="R22" s="85" t="str">
        <f t="shared" ref="R22:R32" si="8">IF(M22="x",I22,"")</f>
        <v/>
      </c>
      <c r="S22" s="85" t="str">
        <f t="shared" ref="S22:S32" si="9">IF(M22="x",K22,"")</f>
        <v/>
      </c>
      <c r="T22" s="85"/>
      <c r="U22" s="85"/>
      <c r="V22" s="85"/>
      <c r="W22" s="85"/>
      <c r="X22" s="85"/>
      <c r="Y22" s="85"/>
      <c r="Z22" s="85"/>
      <c r="AA22" s="85"/>
      <c r="AB22" s="85"/>
      <c r="AC22" s="88"/>
      <c r="AD22" s="90"/>
      <c r="AK22" s="79"/>
      <c r="AL22" s="79"/>
      <c r="AM22" s="79"/>
      <c r="AN22" s="79"/>
      <c r="AO22" s="79"/>
      <c r="AP22" s="79"/>
      <c r="AQ22" s="79"/>
      <c r="AR22" s="79"/>
      <c r="AS22" s="79"/>
      <c r="AT22" s="79"/>
      <c r="AU22" s="79"/>
      <c r="AV22" s="79"/>
      <c r="AW22" s="79"/>
      <c r="AX22" s="79"/>
      <c r="AY22" s="79"/>
      <c r="AZ22" s="79"/>
      <c r="BA22" s="79"/>
      <c r="BB22" s="79"/>
      <c r="BC22" s="79"/>
    </row>
    <row r="23" spans="1:55" s="94" customFormat="1" ht="13.5">
      <c r="A23" s="158" t="s">
        <v>189</v>
      </c>
      <c r="B23" s="155"/>
      <c r="C23" s="156"/>
      <c r="D23" s="155" t="s">
        <v>681</v>
      </c>
      <c r="E23" s="156">
        <v>160</v>
      </c>
      <c r="F23" s="155" t="s">
        <v>400</v>
      </c>
      <c r="G23" s="156">
        <v>30</v>
      </c>
      <c r="H23" s="155" t="s">
        <v>3</v>
      </c>
      <c r="I23" s="156">
        <v>90</v>
      </c>
      <c r="J23" s="155" t="s">
        <v>120</v>
      </c>
      <c r="K23" s="157">
        <v>318</v>
      </c>
      <c r="L23" s="84"/>
      <c r="M23" s="81" t="str">
        <f>IF(N23=Data!$D$9,"x","")</f>
        <v/>
      </c>
      <c r="N23" s="86" t="s">
        <v>189</v>
      </c>
      <c r="O23" s="85" t="str">
        <f t="shared" si="5"/>
        <v/>
      </c>
      <c r="P23" s="85" t="str">
        <f t="shared" si="6"/>
        <v/>
      </c>
      <c r="Q23" s="85" t="str">
        <f t="shared" si="7"/>
        <v/>
      </c>
      <c r="R23" s="85" t="str">
        <f t="shared" si="8"/>
        <v/>
      </c>
      <c r="S23" s="85" t="str">
        <f t="shared" si="9"/>
        <v/>
      </c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K23" s="79"/>
      <c r="AL23" s="79"/>
      <c r="AM23" s="79"/>
      <c r="AN23" s="79"/>
      <c r="AO23" s="79"/>
      <c r="AP23" s="79"/>
      <c r="AQ23" s="79"/>
      <c r="AR23" s="79"/>
      <c r="AS23" s="79"/>
      <c r="AT23" s="79"/>
      <c r="AU23" s="79"/>
      <c r="AV23" s="79"/>
      <c r="AW23" s="79"/>
      <c r="AX23" s="79"/>
      <c r="AY23" s="79"/>
      <c r="AZ23" s="79"/>
      <c r="BA23" s="79"/>
      <c r="BB23" s="79"/>
      <c r="BC23" s="79"/>
    </row>
    <row r="24" spans="1:55" s="94" customFormat="1" ht="13.5">
      <c r="A24" s="158" t="s">
        <v>856</v>
      </c>
      <c r="B24" s="155" t="s">
        <v>741</v>
      </c>
      <c r="C24" s="156">
        <v>175</v>
      </c>
      <c r="D24" s="155" t="s">
        <v>308</v>
      </c>
      <c r="E24" s="156">
        <v>175</v>
      </c>
      <c r="F24" s="155" t="s">
        <v>353</v>
      </c>
      <c r="G24" s="156">
        <v>50</v>
      </c>
      <c r="H24" s="155" t="s">
        <v>737</v>
      </c>
      <c r="I24" s="156">
        <v>108</v>
      </c>
      <c r="J24" s="155" t="s">
        <v>121</v>
      </c>
      <c r="K24" s="157">
        <v>324</v>
      </c>
      <c r="L24" s="84"/>
      <c r="M24" s="81" t="str">
        <f>IF(N24=Data!$D$9,"x","")</f>
        <v/>
      </c>
      <c r="N24" s="86" t="s">
        <v>856</v>
      </c>
      <c r="O24" s="85" t="str">
        <f t="shared" si="5"/>
        <v/>
      </c>
      <c r="P24" s="85" t="str">
        <f t="shared" si="6"/>
        <v/>
      </c>
      <c r="Q24" s="85" t="str">
        <f t="shared" si="7"/>
        <v/>
      </c>
      <c r="R24" s="85" t="str">
        <f t="shared" si="8"/>
        <v/>
      </c>
      <c r="S24" s="85" t="str">
        <f t="shared" si="9"/>
        <v/>
      </c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</row>
    <row r="25" spans="1:55" s="94" customFormat="1" ht="13.5">
      <c r="A25" s="158" t="s">
        <v>392</v>
      </c>
      <c r="B25" s="155"/>
      <c r="C25" s="156"/>
      <c r="D25" s="155"/>
      <c r="E25" s="156"/>
      <c r="F25" s="155" t="s">
        <v>293</v>
      </c>
      <c r="G25" s="156">
        <v>60</v>
      </c>
      <c r="H25" s="155" t="s">
        <v>565</v>
      </c>
      <c r="I25" s="156">
        <v>125</v>
      </c>
      <c r="J25" s="155" t="s">
        <v>123</v>
      </c>
      <c r="K25" s="157">
        <v>329</v>
      </c>
      <c r="L25" s="84"/>
      <c r="M25" s="81" t="str">
        <f>IF(N25=Data!$D$9,"x","")</f>
        <v/>
      </c>
      <c r="N25" s="86" t="s">
        <v>392</v>
      </c>
      <c r="O25" s="85" t="str">
        <f t="shared" si="5"/>
        <v/>
      </c>
      <c r="P25" s="85" t="str">
        <f t="shared" si="6"/>
        <v/>
      </c>
      <c r="Q25" s="85" t="str">
        <f t="shared" si="7"/>
        <v/>
      </c>
      <c r="R25" s="85" t="str">
        <f t="shared" si="8"/>
        <v/>
      </c>
      <c r="S25" s="85" t="str">
        <f t="shared" si="9"/>
        <v/>
      </c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K25" s="79"/>
      <c r="AL25" s="79"/>
      <c r="AM25" s="79"/>
      <c r="AN25" s="79"/>
      <c r="AO25" s="79"/>
      <c r="AP25" s="79"/>
      <c r="AQ25" s="79"/>
      <c r="AR25" s="79"/>
      <c r="AS25" s="79"/>
      <c r="AT25" s="79"/>
      <c r="AU25" s="79"/>
      <c r="AV25" s="79"/>
      <c r="AW25" s="79"/>
      <c r="AX25" s="79"/>
      <c r="AY25" s="79"/>
      <c r="AZ25" s="79"/>
      <c r="BA25" s="79"/>
      <c r="BB25" s="79"/>
      <c r="BC25" s="79"/>
    </row>
    <row r="26" spans="1:55" s="94" customFormat="1" ht="13.5">
      <c r="A26" s="159" t="s">
        <v>857</v>
      </c>
      <c r="B26" s="155" t="s">
        <v>662</v>
      </c>
      <c r="C26" s="156">
        <v>225</v>
      </c>
      <c r="D26" s="155" t="s">
        <v>855</v>
      </c>
      <c r="E26" s="156">
        <v>225</v>
      </c>
      <c r="F26" s="155" t="s">
        <v>343</v>
      </c>
      <c r="G26" s="156">
        <v>70</v>
      </c>
      <c r="H26" s="155" t="s">
        <v>489</v>
      </c>
      <c r="I26" s="156">
        <v>158</v>
      </c>
      <c r="J26" s="155" t="s">
        <v>749</v>
      </c>
      <c r="K26" s="157">
        <v>335</v>
      </c>
      <c r="L26" s="84"/>
      <c r="M26" s="81" t="str">
        <f>IF(N26=Data!$D$9,"x","")</f>
        <v/>
      </c>
      <c r="N26" s="87" t="s">
        <v>857</v>
      </c>
      <c r="O26" s="85" t="str">
        <f t="shared" si="5"/>
        <v/>
      </c>
      <c r="P26" s="85" t="str">
        <f t="shared" si="6"/>
        <v/>
      </c>
      <c r="Q26" s="85" t="str">
        <f t="shared" si="7"/>
        <v/>
      </c>
      <c r="R26" s="85" t="str">
        <f t="shared" si="8"/>
        <v/>
      </c>
      <c r="S26" s="85" t="str">
        <f t="shared" si="9"/>
        <v/>
      </c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K26" s="79"/>
      <c r="AL26" s="79"/>
      <c r="AM26" s="79"/>
      <c r="AN26" s="79"/>
      <c r="AO26" s="79"/>
      <c r="AP26" s="79"/>
      <c r="AQ26" s="79"/>
      <c r="AR26" s="79"/>
      <c r="AS26" s="79"/>
      <c r="AT26" s="79"/>
      <c r="AU26" s="79"/>
      <c r="AV26" s="79"/>
      <c r="AW26" s="79"/>
      <c r="AX26" s="79"/>
      <c r="AY26" s="79"/>
      <c r="AZ26" s="79"/>
      <c r="BA26" s="79"/>
      <c r="BB26" s="79"/>
      <c r="BC26" s="79"/>
    </row>
    <row r="27" spans="1:55" s="94" customFormat="1" ht="13.5">
      <c r="A27" s="158" t="s">
        <v>858</v>
      </c>
      <c r="B27" s="155" t="s">
        <v>699</v>
      </c>
      <c r="C27" s="156">
        <v>275</v>
      </c>
      <c r="D27" s="155" t="s">
        <v>473</v>
      </c>
      <c r="E27" s="156">
        <v>275</v>
      </c>
      <c r="F27" s="155" t="s">
        <v>259</v>
      </c>
      <c r="G27" s="156">
        <v>80</v>
      </c>
      <c r="H27" s="155" t="s">
        <v>297</v>
      </c>
      <c r="I27" s="156">
        <v>175</v>
      </c>
      <c r="J27" s="155" t="s">
        <v>601</v>
      </c>
      <c r="K27" s="157">
        <v>380</v>
      </c>
      <c r="L27" s="84"/>
      <c r="M27" s="81" t="str">
        <f>IF(N27=Data!$D$9,"x","")</f>
        <v/>
      </c>
      <c r="N27" s="86" t="s">
        <v>858</v>
      </c>
      <c r="O27" s="85" t="str">
        <f t="shared" si="5"/>
        <v/>
      </c>
      <c r="P27" s="85" t="str">
        <f t="shared" si="6"/>
        <v/>
      </c>
      <c r="Q27" s="85" t="str">
        <f t="shared" si="7"/>
        <v/>
      </c>
      <c r="R27" s="85" t="str">
        <f t="shared" si="8"/>
        <v/>
      </c>
      <c r="S27" s="85" t="str">
        <f t="shared" si="9"/>
        <v/>
      </c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K27" s="79"/>
      <c r="AL27" s="79"/>
      <c r="AM27" s="79"/>
      <c r="AN27" s="79"/>
      <c r="AO27" s="79"/>
      <c r="AP27" s="79"/>
      <c r="AQ27" s="79"/>
      <c r="AR27" s="79"/>
      <c r="AS27" s="79"/>
      <c r="AT27" s="79"/>
      <c r="AU27" s="79"/>
      <c r="AV27" s="79"/>
      <c r="AW27" s="79"/>
      <c r="AX27" s="79"/>
      <c r="AY27" s="79"/>
      <c r="AZ27" s="79"/>
      <c r="BA27" s="79"/>
      <c r="BB27" s="79"/>
      <c r="BC27" s="79"/>
    </row>
    <row r="28" spans="1:55" s="94" customFormat="1" ht="13.5">
      <c r="A28" s="158" t="s">
        <v>521</v>
      </c>
      <c r="B28" s="155" t="s">
        <v>188</v>
      </c>
      <c r="C28" s="156">
        <v>500</v>
      </c>
      <c r="D28" s="155" t="s">
        <v>843</v>
      </c>
      <c r="E28" s="156">
        <v>475</v>
      </c>
      <c r="F28" s="155"/>
      <c r="G28" s="155"/>
      <c r="H28" s="155" t="s">
        <v>292</v>
      </c>
      <c r="I28" s="156">
        <v>448</v>
      </c>
      <c r="J28" s="155" t="s">
        <v>246</v>
      </c>
      <c r="K28" s="157">
        <v>386</v>
      </c>
      <c r="L28" s="84"/>
      <c r="M28" s="81" t="str">
        <f>IF(N28=Data!$D$9,"x","")</f>
        <v>x</v>
      </c>
      <c r="N28" s="86" t="s">
        <v>521</v>
      </c>
      <c r="O28" s="85">
        <f t="shared" si="5"/>
        <v>500</v>
      </c>
      <c r="P28" s="85">
        <f t="shared" si="6"/>
        <v>475</v>
      </c>
      <c r="Q28" s="85"/>
      <c r="R28" s="85">
        <f t="shared" si="8"/>
        <v>448</v>
      </c>
      <c r="S28" s="85">
        <f t="shared" si="9"/>
        <v>386</v>
      </c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K28" s="79"/>
      <c r="AL28" s="79"/>
      <c r="AM28" s="79"/>
      <c r="AN28" s="79"/>
      <c r="AO28" s="79"/>
      <c r="AP28" s="79"/>
      <c r="AQ28" s="79"/>
      <c r="AR28" s="79"/>
      <c r="AS28" s="79"/>
      <c r="AT28" s="79"/>
      <c r="AU28" s="79"/>
      <c r="AV28" s="79"/>
      <c r="AW28" s="79"/>
      <c r="AX28" s="79"/>
      <c r="AY28" s="79"/>
      <c r="AZ28" s="79"/>
      <c r="BA28" s="79"/>
      <c r="BB28" s="79"/>
      <c r="BC28" s="79"/>
    </row>
    <row r="29" spans="1:55" s="94" customFormat="1" ht="13.5">
      <c r="A29" s="158" t="s">
        <v>602</v>
      </c>
      <c r="B29" s="155"/>
      <c r="C29" s="156"/>
      <c r="D29" s="155"/>
      <c r="E29" s="156"/>
      <c r="F29" s="155"/>
      <c r="G29" s="155"/>
      <c r="H29" s="155" t="s">
        <v>266</v>
      </c>
      <c r="I29" s="156">
        <v>550</v>
      </c>
      <c r="J29" s="155" t="s">
        <v>247</v>
      </c>
      <c r="K29" s="157">
        <v>431</v>
      </c>
      <c r="L29" s="84"/>
      <c r="M29" s="81" t="str">
        <f>IF(N29=Data!$D$9,"x","")</f>
        <v/>
      </c>
      <c r="N29" s="86" t="s">
        <v>602</v>
      </c>
      <c r="O29" s="85" t="str">
        <f t="shared" si="5"/>
        <v/>
      </c>
      <c r="P29" s="85" t="str">
        <f t="shared" si="6"/>
        <v/>
      </c>
      <c r="Q29" s="85"/>
      <c r="R29" s="85" t="str">
        <f t="shared" si="8"/>
        <v/>
      </c>
      <c r="S29" s="85" t="str">
        <f t="shared" si="9"/>
        <v/>
      </c>
      <c r="T29" s="85"/>
      <c r="U29" s="85"/>
      <c r="V29" s="85"/>
      <c r="W29" s="85"/>
      <c r="X29" s="252"/>
      <c r="Y29" s="85"/>
      <c r="Z29" s="85"/>
      <c r="AA29" s="85"/>
      <c r="AB29" s="85"/>
      <c r="AC29" s="85"/>
      <c r="AD29" s="85"/>
      <c r="AK29" s="79"/>
      <c r="AL29" s="79"/>
      <c r="AM29" s="79"/>
      <c r="AN29" s="79"/>
      <c r="AO29" s="79"/>
      <c r="AP29" s="79"/>
      <c r="AQ29" s="79"/>
      <c r="AR29" s="79"/>
      <c r="AS29" s="79"/>
      <c r="AT29" s="79"/>
      <c r="AU29" s="79"/>
      <c r="AV29" s="79"/>
      <c r="AW29" s="79"/>
      <c r="AX29" s="79"/>
      <c r="AY29" s="79"/>
      <c r="AZ29" s="79"/>
      <c r="BA29" s="79"/>
      <c r="BB29" s="79"/>
      <c r="BC29" s="79"/>
    </row>
    <row r="30" spans="1:55" s="94" customFormat="1" ht="13.5">
      <c r="A30" s="158" t="s">
        <v>619</v>
      </c>
      <c r="B30" s="155" t="s">
        <v>536</v>
      </c>
      <c r="C30" s="156">
        <v>750</v>
      </c>
      <c r="D30" s="155" t="s">
        <v>576</v>
      </c>
      <c r="E30" s="156">
        <v>525</v>
      </c>
      <c r="F30" s="155"/>
      <c r="G30" s="155"/>
      <c r="H30" s="155" t="s">
        <v>728</v>
      </c>
      <c r="I30" s="156">
        <v>665</v>
      </c>
      <c r="J30" s="155" t="s">
        <v>610</v>
      </c>
      <c r="K30" s="157">
        <v>445</v>
      </c>
      <c r="L30" s="84"/>
      <c r="M30" s="81" t="str">
        <f>IF(N30=Data!$D$9,"x","")</f>
        <v/>
      </c>
      <c r="N30" s="86" t="s">
        <v>619</v>
      </c>
      <c r="O30" s="85" t="str">
        <f t="shared" si="5"/>
        <v/>
      </c>
      <c r="P30" s="85" t="str">
        <f t="shared" si="6"/>
        <v/>
      </c>
      <c r="Q30" s="85"/>
      <c r="R30" s="85" t="str">
        <f t="shared" si="8"/>
        <v/>
      </c>
      <c r="S30" s="85" t="str">
        <f t="shared" si="9"/>
        <v/>
      </c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K30" s="79"/>
      <c r="AL30" s="79"/>
      <c r="AM30" s="79"/>
      <c r="AN30" s="79"/>
      <c r="AO30" s="79"/>
      <c r="AP30" s="79"/>
      <c r="AQ30" s="79"/>
      <c r="AR30" s="79"/>
      <c r="AS30" s="79"/>
      <c r="AT30" s="79"/>
      <c r="AU30" s="79"/>
      <c r="AV30" s="79"/>
      <c r="AW30" s="79"/>
      <c r="AX30" s="79"/>
      <c r="AY30" s="79"/>
      <c r="AZ30" s="79"/>
      <c r="BA30" s="79"/>
      <c r="BB30" s="79"/>
      <c r="BC30" s="79"/>
    </row>
    <row r="31" spans="1:55" s="94" customFormat="1" ht="13.5">
      <c r="A31" s="158" t="s">
        <v>721</v>
      </c>
      <c r="B31" s="155"/>
      <c r="C31" s="155"/>
      <c r="D31" s="155"/>
      <c r="E31" s="155"/>
      <c r="F31" s="155"/>
      <c r="G31" s="155"/>
      <c r="H31" s="155" t="s">
        <v>637</v>
      </c>
      <c r="I31" s="156">
        <v>1466</v>
      </c>
      <c r="J31" s="155" t="s">
        <v>187</v>
      </c>
      <c r="K31" s="157">
        <v>1024</v>
      </c>
      <c r="L31" s="84"/>
      <c r="M31" s="81" t="str">
        <f>IF(N31=Data!$D$9,"x","")</f>
        <v/>
      </c>
      <c r="N31" s="86" t="s">
        <v>721</v>
      </c>
      <c r="O31" s="85" t="str">
        <f t="shared" si="5"/>
        <v/>
      </c>
      <c r="P31" s="85" t="str">
        <f t="shared" si="6"/>
        <v/>
      </c>
      <c r="Q31" s="85"/>
      <c r="R31" s="85" t="str">
        <f t="shared" si="8"/>
        <v/>
      </c>
      <c r="S31" s="85" t="str">
        <f t="shared" si="9"/>
        <v/>
      </c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K31" s="79"/>
      <c r="AL31" s="79"/>
      <c r="AM31" s="79"/>
      <c r="AN31" s="79"/>
      <c r="AO31" s="79"/>
      <c r="AP31" s="79"/>
      <c r="AQ31" s="79"/>
      <c r="AR31" s="79"/>
      <c r="AS31" s="79"/>
      <c r="AT31" s="79"/>
      <c r="AU31" s="79"/>
      <c r="AV31" s="79"/>
      <c r="AW31" s="79"/>
      <c r="AX31" s="79"/>
      <c r="AY31" s="79"/>
      <c r="AZ31" s="79"/>
      <c r="BA31" s="79"/>
      <c r="BB31" s="79"/>
      <c r="BC31" s="79"/>
    </row>
    <row r="32" spans="1:55" s="94" customFormat="1" ht="14" thickBot="1">
      <c r="A32" s="166" t="s">
        <v>722</v>
      </c>
      <c r="B32" s="167"/>
      <c r="C32" s="167"/>
      <c r="D32" s="167"/>
      <c r="E32" s="167"/>
      <c r="F32" s="167"/>
      <c r="G32" s="167"/>
      <c r="H32" s="167" t="s">
        <v>638</v>
      </c>
      <c r="I32" s="168">
        <v>1879</v>
      </c>
      <c r="J32" s="167" t="s">
        <v>750</v>
      </c>
      <c r="K32" s="169">
        <v>1247</v>
      </c>
      <c r="L32" s="84"/>
      <c r="M32" s="81" t="str">
        <f>IF(N32=Data!$D$9,"x","")</f>
        <v/>
      </c>
      <c r="N32" s="86" t="s">
        <v>722</v>
      </c>
      <c r="O32" s="85" t="str">
        <f t="shared" si="5"/>
        <v/>
      </c>
      <c r="P32" s="85" t="str">
        <f t="shared" si="6"/>
        <v/>
      </c>
      <c r="Q32" s="85"/>
      <c r="R32" s="85" t="str">
        <f t="shared" si="8"/>
        <v/>
      </c>
      <c r="S32" s="85" t="str">
        <f t="shared" si="9"/>
        <v/>
      </c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K32" s="79"/>
      <c r="AL32" s="79"/>
      <c r="AM32" s="79"/>
      <c r="AN32" s="79"/>
      <c r="AO32" s="79"/>
      <c r="AP32" s="79"/>
      <c r="AQ32" s="79"/>
      <c r="AR32" s="79"/>
      <c r="AS32" s="79"/>
      <c r="AT32" s="79"/>
      <c r="AU32" s="79"/>
      <c r="AV32" s="79"/>
      <c r="AW32" s="79"/>
      <c r="AX32" s="79"/>
      <c r="AY32" s="79"/>
      <c r="AZ32" s="79"/>
      <c r="BA32" s="79"/>
      <c r="BB32" s="79"/>
      <c r="BC32" s="79"/>
    </row>
    <row r="33" spans="1:55" s="94" customFormat="1" ht="13.5" thickTop="1" thickBot="1">
      <c r="A33" s="85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>
        <f>SUM(O22:O32)</f>
        <v>500</v>
      </c>
      <c r="P33" s="85">
        <f>SUM(P22:P32)</f>
        <v>475</v>
      </c>
      <c r="Q33" s="85">
        <f>SUM(Q22:Q32)</f>
        <v>0</v>
      </c>
      <c r="R33" s="85">
        <f>SUM(R22:R32)</f>
        <v>448</v>
      </c>
      <c r="S33" s="85">
        <f>SUM(S22:S32)</f>
        <v>386</v>
      </c>
      <c r="T33" s="85"/>
      <c r="U33" s="85"/>
      <c r="V33" s="85"/>
      <c r="W33" s="85"/>
      <c r="X33" s="85"/>
      <c r="Y33" s="85"/>
      <c r="Z33" s="85"/>
      <c r="AA33" s="85"/>
      <c r="AB33" s="85"/>
      <c r="AC33" s="85"/>
      <c r="AD33" s="85"/>
      <c r="AE33" s="85"/>
      <c r="AF33" s="85"/>
      <c r="AG33" s="85"/>
      <c r="AK33" s="79"/>
      <c r="AL33" s="79"/>
      <c r="AM33" s="79"/>
      <c r="AN33" s="79"/>
      <c r="AO33" s="79"/>
      <c r="AP33" s="79"/>
      <c r="AQ33" s="79"/>
      <c r="AR33" s="79"/>
      <c r="AS33" s="79"/>
      <c r="AT33" s="79"/>
      <c r="AU33" s="79"/>
      <c r="AV33" s="79"/>
      <c r="AW33" s="79"/>
      <c r="AX33" s="79"/>
      <c r="AY33" s="79"/>
      <c r="AZ33" s="79"/>
      <c r="BA33" s="79"/>
      <c r="BB33" s="79"/>
      <c r="BC33" s="79"/>
    </row>
    <row r="34" spans="1:55" s="94" customFormat="1" ht="13.5" customHeight="1" thickTop="1">
      <c r="A34" s="629" t="s">
        <v>632</v>
      </c>
      <c r="B34" s="631" t="s">
        <v>717</v>
      </c>
      <c r="C34" s="631"/>
      <c r="D34" s="631" t="s">
        <v>695</v>
      </c>
      <c r="E34" s="632"/>
      <c r="F34" s="81"/>
      <c r="G34" s="638" t="s">
        <v>478</v>
      </c>
      <c r="H34" s="636" t="s">
        <v>387</v>
      </c>
      <c r="I34" s="636"/>
      <c r="J34" s="636" t="s">
        <v>700</v>
      </c>
      <c r="K34" s="637"/>
      <c r="L34" s="81"/>
      <c r="M34" s="81"/>
      <c r="N34" s="640" t="s">
        <v>632</v>
      </c>
      <c r="O34" s="633" t="s">
        <v>717</v>
      </c>
      <c r="P34" s="94" t="s">
        <v>695</v>
      </c>
      <c r="Q34" s="85"/>
      <c r="R34" s="95" t="s">
        <v>478</v>
      </c>
      <c r="S34" s="94" t="s">
        <v>387</v>
      </c>
      <c r="T34" s="94" t="s">
        <v>700</v>
      </c>
      <c r="U34" s="85"/>
      <c r="V34" s="85"/>
      <c r="W34" s="85"/>
      <c r="X34" s="85"/>
      <c r="Y34" s="85"/>
      <c r="Z34" s="85"/>
      <c r="AA34" s="85"/>
      <c r="AB34" s="85"/>
      <c r="AC34" s="85"/>
      <c r="AD34" s="85"/>
      <c r="AE34" s="85"/>
      <c r="AK34" s="79"/>
      <c r="AL34" s="79"/>
      <c r="AM34" s="79"/>
      <c r="AN34" s="79"/>
      <c r="AO34" s="79"/>
      <c r="AP34" s="79"/>
      <c r="AQ34" s="79"/>
      <c r="AR34" s="79"/>
      <c r="AS34" s="79"/>
      <c r="AT34" s="79"/>
      <c r="AU34" s="79"/>
      <c r="AV34" s="79"/>
      <c r="AW34" s="79"/>
      <c r="AX34" s="79"/>
      <c r="AY34" s="79"/>
      <c r="AZ34" s="79"/>
      <c r="BA34" s="79"/>
      <c r="BB34" s="79"/>
      <c r="BC34" s="79"/>
    </row>
    <row r="35" spans="1:55" ht="14" thickBot="1">
      <c r="A35" s="630"/>
      <c r="B35" s="167" t="s">
        <v>173</v>
      </c>
      <c r="C35" s="167" t="s">
        <v>147</v>
      </c>
      <c r="D35" s="167" t="s">
        <v>173</v>
      </c>
      <c r="E35" s="181" t="s">
        <v>147</v>
      </c>
      <c r="G35" s="639"/>
      <c r="H35" s="171" t="s">
        <v>173</v>
      </c>
      <c r="I35" s="171" t="s">
        <v>147</v>
      </c>
      <c r="J35" s="171" t="s">
        <v>173</v>
      </c>
      <c r="K35" s="172" t="s">
        <v>147</v>
      </c>
      <c r="N35" s="634"/>
      <c r="O35" s="634"/>
      <c r="P35" s="81" t="s">
        <v>181</v>
      </c>
      <c r="R35" s="96"/>
      <c r="S35" s="81" t="s">
        <v>173</v>
      </c>
      <c r="T35" s="81" t="s">
        <v>173</v>
      </c>
      <c r="AI35" s="79"/>
      <c r="AJ35" s="79"/>
      <c r="AK35" s="79"/>
      <c r="AL35" s="79"/>
    </row>
    <row r="36" spans="1:55" s="94" customFormat="1" ht="14" thickTop="1">
      <c r="A36" s="180">
        <v>0.625</v>
      </c>
      <c r="B36" s="174" t="s">
        <v>442</v>
      </c>
      <c r="C36" s="175">
        <v>175</v>
      </c>
      <c r="D36" s="174" t="s">
        <v>417</v>
      </c>
      <c r="E36" s="177">
        <v>194</v>
      </c>
      <c r="F36" s="84"/>
      <c r="G36" s="173" t="s">
        <v>607</v>
      </c>
      <c r="H36" s="174" t="s">
        <v>522</v>
      </c>
      <c r="I36" s="175">
        <v>20</v>
      </c>
      <c r="J36" s="174" t="s">
        <v>116</v>
      </c>
      <c r="K36" s="177">
        <v>6</v>
      </c>
      <c r="L36" s="152"/>
      <c r="M36" s="81" t="str">
        <f>IF(N36=Data!$B$6,"x","")</f>
        <v/>
      </c>
      <c r="N36" s="97">
        <v>0.625</v>
      </c>
      <c r="O36" s="85" t="str">
        <f t="shared" ref="O36:O47" si="10">IF(M36="x",C36,"")</f>
        <v/>
      </c>
      <c r="P36" s="85" t="str">
        <f t="shared" ref="P36:P45" si="11">IF($M36="x",E36,"")</f>
        <v/>
      </c>
      <c r="Q36" s="85" t="str">
        <f>IF(R36=Data!$D$9,"x","")</f>
        <v/>
      </c>
      <c r="R36" s="82" t="s">
        <v>607</v>
      </c>
      <c r="S36" s="85" t="str">
        <f>IF(M36="x",I36,"")</f>
        <v/>
      </c>
      <c r="T36" s="85" t="str">
        <f>IF(M36="x",K36,"")</f>
        <v/>
      </c>
      <c r="U36" s="85"/>
      <c r="V36" s="85"/>
      <c r="W36" s="85"/>
      <c r="X36" s="85"/>
      <c r="Y36" s="85"/>
      <c r="Z36" s="85"/>
      <c r="AA36" s="85"/>
      <c r="AB36" s="85"/>
      <c r="AC36" s="85"/>
      <c r="AD36" s="85"/>
      <c r="AE36" s="85"/>
      <c r="AF36" s="85"/>
      <c r="AG36" s="85"/>
      <c r="AH36" s="85"/>
      <c r="AK36" s="79"/>
      <c r="AL36" s="79"/>
      <c r="AM36" s="79"/>
      <c r="AN36" s="79"/>
      <c r="AO36" s="79"/>
      <c r="AP36" s="79"/>
      <c r="AQ36" s="79"/>
      <c r="AR36" s="79"/>
      <c r="AS36" s="79"/>
      <c r="AT36" s="79"/>
      <c r="AU36" s="79"/>
      <c r="AV36" s="79"/>
      <c r="AW36" s="79"/>
      <c r="AX36" s="79"/>
      <c r="AY36" s="79"/>
      <c r="AZ36" s="79"/>
      <c r="BA36" s="79"/>
      <c r="BB36" s="79"/>
      <c r="BC36" s="79"/>
    </row>
    <row r="37" spans="1:55" s="94" customFormat="1" ht="13.5">
      <c r="A37" s="164">
        <v>1</v>
      </c>
      <c r="B37" s="155" t="s">
        <v>694</v>
      </c>
      <c r="C37" s="156">
        <v>185</v>
      </c>
      <c r="D37" s="155" t="s">
        <v>437</v>
      </c>
      <c r="E37" s="157">
        <v>208</v>
      </c>
      <c r="F37" s="81"/>
      <c r="G37" s="158" t="s">
        <v>189</v>
      </c>
      <c r="H37" s="155" t="s">
        <v>207</v>
      </c>
      <c r="I37" s="156">
        <v>35</v>
      </c>
      <c r="J37" s="155" t="s">
        <v>471</v>
      </c>
      <c r="K37" s="157">
        <v>7</v>
      </c>
      <c r="L37" s="84"/>
      <c r="M37" s="81" t="str">
        <f>IF(N37=Data!$B$6,"x","")</f>
        <v/>
      </c>
      <c r="N37" s="97">
        <v>1</v>
      </c>
      <c r="O37" s="85" t="str">
        <f t="shared" si="10"/>
        <v/>
      </c>
      <c r="P37" s="85" t="str">
        <f t="shared" si="11"/>
        <v/>
      </c>
      <c r="Q37" s="85" t="str">
        <f>IF(R37=Data!$D$9,"x","")</f>
        <v/>
      </c>
      <c r="R37" s="86" t="s">
        <v>189</v>
      </c>
      <c r="S37" s="85" t="str">
        <f t="shared" ref="S37:S47" si="12">IF(M37="x",I37,"")</f>
        <v/>
      </c>
      <c r="T37" s="85" t="str">
        <f t="shared" ref="T37:T47" si="13">IF(M37="x",K37,"")</f>
        <v/>
      </c>
      <c r="U37" s="85"/>
      <c r="V37" s="85"/>
      <c r="W37" s="85"/>
      <c r="X37" s="85"/>
      <c r="Y37" s="85"/>
      <c r="Z37" s="85"/>
      <c r="AA37" s="85"/>
      <c r="AB37" s="85"/>
      <c r="AC37" s="85"/>
      <c r="AD37" s="85"/>
      <c r="AE37" s="85"/>
      <c r="AF37" s="85"/>
      <c r="AG37" s="85"/>
      <c r="AH37" s="85"/>
      <c r="AK37" s="79"/>
      <c r="AL37" s="79"/>
      <c r="AM37" s="79"/>
      <c r="AN37" s="79"/>
      <c r="AO37" s="79"/>
      <c r="AP37" s="79"/>
      <c r="AQ37" s="79"/>
      <c r="AR37" s="79"/>
      <c r="AS37" s="79"/>
      <c r="AT37" s="79"/>
      <c r="AU37" s="79"/>
      <c r="AV37" s="79"/>
      <c r="AW37" s="79"/>
      <c r="AX37" s="79"/>
      <c r="AY37" s="79"/>
      <c r="AZ37" s="79"/>
      <c r="BA37" s="79"/>
      <c r="BB37" s="79"/>
      <c r="BC37" s="79"/>
    </row>
    <row r="38" spans="1:55" s="94" customFormat="1" ht="13.5">
      <c r="A38" s="164">
        <v>1.375</v>
      </c>
      <c r="B38" s="155" t="s">
        <v>500</v>
      </c>
      <c r="C38" s="156">
        <v>195</v>
      </c>
      <c r="D38" s="155" t="s">
        <v>200</v>
      </c>
      <c r="E38" s="157">
        <v>241</v>
      </c>
      <c r="F38" s="81"/>
      <c r="G38" s="158" t="s">
        <v>856</v>
      </c>
      <c r="H38" s="155" t="s">
        <v>202</v>
      </c>
      <c r="I38" s="156">
        <v>40</v>
      </c>
      <c r="J38" s="155" t="s">
        <v>680</v>
      </c>
      <c r="K38" s="157">
        <v>10</v>
      </c>
      <c r="L38" s="84"/>
      <c r="M38" s="81" t="str">
        <f>IF(N38=Data!$B$6,"x","")</f>
        <v/>
      </c>
      <c r="N38" s="97">
        <v>1.375</v>
      </c>
      <c r="O38" s="85" t="str">
        <f t="shared" si="10"/>
        <v/>
      </c>
      <c r="P38" s="85" t="str">
        <f t="shared" si="11"/>
        <v/>
      </c>
      <c r="Q38" s="85" t="str">
        <f>IF(R38=Data!$D$9,"x","")</f>
        <v/>
      </c>
      <c r="R38" s="86" t="s">
        <v>856</v>
      </c>
      <c r="S38" s="85" t="str">
        <f t="shared" si="12"/>
        <v/>
      </c>
      <c r="T38" s="85" t="str">
        <f t="shared" si="13"/>
        <v/>
      </c>
      <c r="U38" s="85"/>
      <c r="V38" s="85"/>
      <c r="W38" s="85"/>
      <c r="X38" s="85"/>
      <c r="Y38" s="85"/>
      <c r="Z38" s="85"/>
      <c r="AA38" s="85"/>
      <c r="AB38" s="85"/>
      <c r="AC38" s="85"/>
      <c r="AD38" s="85"/>
      <c r="AE38" s="85"/>
      <c r="AF38" s="85"/>
      <c r="AG38" s="85"/>
      <c r="AH38" s="85"/>
      <c r="AK38" s="79"/>
      <c r="AL38" s="79"/>
      <c r="AM38" s="79"/>
      <c r="AN38" s="79"/>
      <c r="AO38" s="79"/>
      <c r="AP38" s="79"/>
      <c r="AQ38" s="79"/>
      <c r="AR38" s="79"/>
      <c r="AS38" s="79"/>
      <c r="AT38" s="79"/>
      <c r="AU38" s="79"/>
      <c r="AV38" s="79"/>
      <c r="AW38" s="79"/>
      <c r="AX38" s="79"/>
      <c r="AY38" s="79"/>
      <c r="AZ38" s="79"/>
      <c r="BA38" s="79"/>
      <c r="BB38" s="79"/>
      <c r="BC38" s="79"/>
    </row>
    <row r="39" spans="1:55" s="94" customFormat="1" ht="13.5">
      <c r="A39" s="164">
        <v>1.75</v>
      </c>
      <c r="B39" s="155" t="s">
        <v>739</v>
      </c>
      <c r="C39" s="156">
        <v>275</v>
      </c>
      <c r="D39" s="155" t="s">
        <v>555</v>
      </c>
      <c r="E39" s="157">
        <v>340</v>
      </c>
      <c r="F39" s="84"/>
      <c r="G39" s="158" t="s">
        <v>392</v>
      </c>
      <c r="H39" s="155" t="s">
        <v>612</v>
      </c>
      <c r="I39" s="156">
        <v>55</v>
      </c>
      <c r="J39" s="155" t="s">
        <v>117</v>
      </c>
      <c r="K39" s="157">
        <v>11</v>
      </c>
      <c r="L39" s="84"/>
      <c r="M39" s="81" t="str">
        <f>IF(N39=Data!$B$6,"x","")</f>
        <v/>
      </c>
      <c r="N39" s="97">
        <v>1.75</v>
      </c>
      <c r="O39" s="85" t="str">
        <f t="shared" si="10"/>
        <v/>
      </c>
      <c r="P39" s="85" t="str">
        <f t="shared" si="11"/>
        <v/>
      </c>
      <c r="Q39" s="85" t="str">
        <f>IF(R39=Data!$D$9,"x","")</f>
        <v/>
      </c>
      <c r="R39" s="86" t="s">
        <v>392</v>
      </c>
      <c r="S39" s="85" t="str">
        <f t="shared" si="12"/>
        <v/>
      </c>
      <c r="T39" s="85" t="str">
        <f t="shared" si="13"/>
        <v/>
      </c>
      <c r="U39" s="85"/>
      <c r="V39" s="85"/>
      <c r="W39" s="85"/>
      <c r="X39" s="85"/>
      <c r="Y39" s="85"/>
      <c r="Z39" s="85"/>
      <c r="AA39" s="85"/>
      <c r="AB39" s="85"/>
      <c r="AC39" s="85"/>
      <c r="AD39" s="85"/>
      <c r="AE39" s="85"/>
      <c r="AF39" s="85"/>
      <c r="AG39" s="85"/>
      <c r="AH39" s="85"/>
      <c r="AK39" s="79"/>
      <c r="AL39" s="79"/>
      <c r="AM39" s="79"/>
      <c r="AN39" s="79"/>
      <c r="AO39" s="79"/>
      <c r="AP39" s="79"/>
      <c r="AQ39" s="79"/>
      <c r="AR39" s="79"/>
      <c r="AS39" s="79"/>
      <c r="AT39" s="79"/>
      <c r="AU39" s="79"/>
      <c r="AV39" s="79"/>
      <c r="AW39" s="79"/>
      <c r="AX39" s="79"/>
      <c r="AY39" s="79"/>
      <c r="AZ39" s="79"/>
      <c r="BA39" s="79"/>
      <c r="BB39" s="79"/>
      <c r="BC39" s="79"/>
    </row>
    <row r="40" spans="1:55" s="94" customFormat="1" ht="13.5">
      <c r="A40" s="164">
        <v>2</v>
      </c>
      <c r="B40" s="155" t="s">
        <v>740</v>
      </c>
      <c r="C40" s="156">
        <v>300</v>
      </c>
      <c r="D40" s="155" t="s">
        <v>707</v>
      </c>
      <c r="E40" s="157">
        <v>534</v>
      </c>
      <c r="F40" s="152"/>
      <c r="G40" s="159" t="s">
        <v>857</v>
      </c>
      <c r="H40" s="155" t="s">
        <v>452</v>
      </c>
      <c r="I40" s="156">
        <v>80</v>
      </c>
      <c r="J40" s="155" t="s">
        <v>208</v>
      </c>
      <c r="K40" s="157">
        <v>12</v>
      </c>
      <c r="L40" s="84"/>
      <c r="M40" s="81" t="str">
        <f>IF(N40=Data!$B$6,"x","")</f>
        <v>x</v>
      </c>
      <c r="N40" s="97">
        <v>2</v>
      </c>
      <c r="O40" s="85">
        <f t="shared" si="10"/>
        <v>300</v>
      </c>
      <c r="P40" s="85">
        <f t="shared" si="11"/>
        <v>534</v>
      </c>
      <c r="Q40" s="85" t="str">
        <f>IF(R40=Data!$D$9,"x","")</f>
        <v/>
      </c>
      <c r="R40" s="87" t="s">
        <v>857</v>
      </c>
      <c r="S40" s="85">
        <f t="shared" si="12"/>
        <v>80</v>
      </c>
      <c r="T40" s="85">
        <f t="shared" si="13"/>
        <v>12</v>
      </c>
      <c r="U40" s="85"/>
      <c r="V40" s="85"/>
      <c r="W40" s="85"/>
      <c r="X40" s="85"/>
      <c r="Y40" s="85"/>
      <c r="Z40" s="85"/>
      <c r="AA40" s="85"/>
      <c r="AB40" s="85"/>
      <c r="AC40" s="85"/>
      <c r="AD40" s="85"/>
      <c r="AE40" s="85"/>
      <c r="AF40" s="85"/>
      <c r="AG40" s="85"/>
      <c r="AH40" s="85"/>
      <c r="AK40" s="79"/>
      <c r="AL40" s="79"/>
      <c r="AM40" s="79"/>
      <c r="AN40" s="79"/>
      <c r="AO40" s="79"/>
      <c r="AP40" s="79"/>
      <c r="AQ40" s="79"/>
      <c r="AR40" s="79"/>
      <c r="AS40" s="79"/>
      <c r="AT40" s="79"/>
      <c r="AU40" s="79"/>
      <c r="AV40" s="79"/>
      <c r="AW40" s="79"/>
      <c r="AX40" s="79"/>
      <c r="AY40" s="79"/>
      <c r="AZ40" s="79"/>
      <c r="BA40" s="79"/>
      <c r="BB40" s="79"/>
      <c r="BC40" s="79"/>
    </row>
    <row r="41" spans="1:55" s="94" customFormat="1" ht="13.5">
      <c r="A41" s="164">
        <v>2.5</v>
      </c>
      <c r="B41" s="155" t="s">
        <v>434</v>
      </c>
      <c r="C41" s="156">
        <v>325</v>
      </c>
      <c r="D41" s="155" t="s">
        <v>708</v>
      </c>
      <c r="E41" s="157">
        <v>384</v>
      </c>
      <c r="F41" s="152"/>
      <c r="G41" s="158" t="s">
        <v>858</v>
      </c>
      <c r="H41" s="155" t="s">
        <v>164</v>
      </c>
      <c r="I41" s="156">
        <v>100</v>
      </c>
      <c r="J41" s="155" t="s">
        <v>148</v>
      </c>
      <c r="K41" s="157">
        <v>13</v>
      </c>
      <c r="L41" s="84"/>
      <c r="M41" s="81" t="str">
        <f>IF(N41=Data!$B$6,"x","")</f>
        <v/>
      </c>
      <c r="N41" s="97">
        <v>2.5</v>
      </c>
      <c r="O41" s="85" t="str">
        <f t="shared" si="10"/>
        <v/>
      </c>
      <c r="P41" s="85" t="str">
        <f t="shared" si="11"/>
        <v/>
      </c>
      <c r="Q41" s="85" t="str">
        <f>IF(R41=Data!$D$9,"x","")</f>
        <v/>
      </c>
      <c r="R41" s="86" t="s">
        <v>858</v>
      </c>
      <c r="S41" s="85" t="str">
        <f t="shared" si="12"/>
        <v/>
      </c>
      <c r="T41" s="85" t="str">
        <f t="shared" si="13"/>
        <v/>
      </c>
      <c r="U41" s="85"/>
      <c r="V41" s="85"/>
      <c r="W41" s="85"/>
      <c r="X41" s="85"/>
      <c r="Y41" s="85"/>
      <c r="Z41" s="85"/>
      <c r="AA41" s="85"/>
      <c r="AB41" s="85"/>
      <c r="AC41" s="85"/>
      <c r="AD41" s="85"/>
      <c r="AE41" s="85"/>
      <c r="AF41" s="85"/>
      <c r="AG41" s="85"/>
      <c r="AH41" s="85"/>
      <c r="AK41" s="79"/>
      <c r="AL41" s="79"/>
      <c r="AM41" s="79"/>
      <c r="AN41" s="79"/>
      <c r="AO41" s="79"/>
      <c r="AP41" s="79"/>
      <c r="AQ41" s="79"/>
      <c r="AR41" s="79"/>
      <c r="AS41" s="79"/>
      <c r="AT41" s="79"/>
      <c r="AU41" s="79"/>
      <c r="AV41" s="79"/>
      <c r="AW41" s="79"/>
      <c r="AX41" s="79"/>
      <c r="AY41" s="79"/>
      <c r="AZ41" s="79"/>
      <c r="BA41" s="79"/>
      <c r="BB41" s="79"/>
      <c r="BC41" s="79"/>
    </row>
    <row r="42" spans="1:55" s="94" customFormat="1" ht="13.5">
      <c r="A42" s="164">
        <v>3</v>
      </c>
      <c r="B42" s="155" t="s">
        <v>291</v>
      </c>
      <c r="C42" s="156">
        <v>450</v>
      </c>
      <c r="D42" s="155" t="s">
        <v>709</v>
      </c>
      <c r="E42" s="157">
        <v>527</v>
      </c>
      <c r="F42" s="81"/>
      <c r="G42" s="158" t="s">
        <v>521</v>
      </c>
      <c r="H42" s="155" t="s">
        <v>163</v>
      </c>
      <c r="I42" s="156">
        <v>125</v>
      </c>
      <c r="J42" s="155" t="s">
        <v>344</v>
      </c>
      <c r="K42" s="157">
        <v>15</v>
      </c>
      <c r="L42" s="84"/>
      <c r="M42" s="81" t="str">
        <f>IF(N42=Data!$B$6,"x","")</f>
        <v/>
      </c>
      <c r="N42" s="97">
        <v>3</v>
      </c>
      <c r="O42" s="85" t="str">
        <f t="shared" si="10"/>
        <v/>
      </c>
      <c r="P42" s="85" t="str">
        <f t="shared" si="11"/>
        <v/>
      </c>
      <c r="Q42" s="85" t="str">
        <f>IF(R42=Data!$D$9,"x","")</f>
        <v>x</v>
      </c>
      <c r="R42" s="86" t="s">
        <v>521</v>
      </c>
      <c r="S42" s="85" t="str">
        <f t="shared" si="12"/>
        <v/>
      </c>
      <c r="T42" s="85" t="str">
        <f t="shared" si="13"/>
        <v/>
      </c>
      <c r="U42" s="85"/>
      <c r="V42" s="85"/>
      <c r="W42" s="85"/>
      <c r="X42" s="85"/>
      <c r="Y42" s="85"/>
      <c r="Z42" s="85"/>
      <c r="AA42" s="85"/>
      <c r="AB42" s="85"/>
      <c r="AC42" s="85"/>
      <c r="AD42" s="85"/>
      <c r="AE42" s="85"/>
      <c r="AF42" s="85"/>
      <c r="AG42" s="85"/>
      <c r="AH42" s="85"/>
      <c r="AK42" s="79"/>
      <c r="AL42" s="79"/>
      <c r="AM42" s="79"/>
      <c r="AN42" s="79"/>
      <c r="AO42" s="79"/>
      <c r="AP42" s="79"/>
      <c r="AQ42" s="79"/>
      <c r="AR42" s="79"/>
      <c r="AS42" s="79"/>
      <c r="AT42" s="79"/>
      <c r="AU42" s="79"/>
      <c r="AV42" s="79"/>
      <c r="AW42" s="79"/>
      <c r="AX42" s="79"/>
      <c r="AY42" s="79"/>
      <c r="AZ42" s="79"/>
      <c r="BA42" s="79"/>
      <c r="BB42" s="79"/>
      <c r="BC42" s="79"/>
    </row>
    <row r="43" spans="1:55" s="94" customFormat="1" ht="13.5">
      <c r="A43" s="164">
        <v>3.5</v>
      </c>
      <c r="B43" s="155" t="s">
        <v>464</v>
      </c>
      <c r="C43" s="156">
        <v>550</v>
      </c>
      <c r="D43" s="155" t="s">
        <v>712</v>
      </c>
      <c r="E43" s="157">
        <v>673</v>
      </c>
      <c r="F43" s="81"/>
      <c r="G43" s="158" t="s">
        <v>602</v>
      </c>
      <c r="H43" s="155" t="s">
        <v>205</v>
      </c>
      <c r="I43" s="156">
        <v>150</v>
      </c>
      <c r="J43" s="155" t="s">
        <v>149</v>
      </c>
      <c r="K43" s="157">
        <v>30</v>
      </c>
      <c r="L43" s="84"/>
      <c r="M43" s="81" t="str">
        <f>IF(N43=Data!$B$6,"x","")</f>
        <v/>
      </c>
      <c r="N43" s="97">
        <v>3.5</v>
      </c>
      <c r="O43" s="85" t="str">
        <f t="shared" si="10"/>
        <v/>
      </c>
      <c r="P43" s="85" t="str">
        <f t="shared" si="11"/>
        <v/>
      </c>
      <c r="Q43" s="85" t="str">
        <f>IF(R43=Data!$D$9,"x","")</f>
        <v/>
      </c>
      <c r="R43" s="86" t="s">
        <v>602</v>
      </c>
      <c r="S43" s="85" t="str">
        <f t="shared" si="12"/>
        <v/>
      </c>
      <c r="T43" s="85" t="str">
        <f t="shared" si="13"/>
        <v/>
      </c>
      <c r="U43" s="85"/>
      <c r="V43" s="85"/>
      <c r="W43" s="85"/>
      <c r="X43" s="85"/>
      <c r="Y43" s="85"/>
      <c r="Z43" s="85"/>
      <c r="AA43" s="85"/>
      <c r="AB43" s="85"/>
      <c r="AC43" s="85"/>
      <c r="AD43" s="85"/>
      <c r="AE43" s="85"/>
      <c r="AF43" s="85"/>
      <c r="AG43" s="85"/>
      <c r="AH43" s="85"/>
      <c r="AK43" s="79"/>
      <c r="AL43" s="79"/>
      <c r="AM43" s="79"/>
      <c r="AN43" s="79"/>
      <c r="AO43" s="79"/>
      <c r="AP43" s="79"/>
      <c r="AQ43" s="79"/>
      <c r="AR43" s="79"/>
      <c r="AS43" s="79"/>
      <c r="AT43" s="79"/>
      <c r="AU43" s="79"/>
      <c r="AV43" s="79"/>
      <c r="AW43" s="79"/>
      <c r="AX43" s="79"/>
      <c r="AY43" s="79"/>
      <c r="AZ43" s="79"/>
      <c r="BA43" s="79"/>
      <c r="BB43" s="79"/>
      <c r="BC43" s="79"/>
    </row>
    <row r="44" spans="1:55" s="94" customFormat="1" ht="13.5">
      <c r="A44" s="164">
        <v>4</v>
      </c>
      <c r="B44" s="155" t="s">
        <v>199</v>
      </c>
      <c r="C44" s="156">
        <v>600</v>
      </c>
      <c r="D44" s="155" t="s">
        <v>611</v>
      </c>
      <c r="E44" s="157">
        <v>740</v>
      </c>
      <c r="F44" s="81"/>
      <c r="G44" s="158" t="s">
        <v>619</v>
      </c>
      <c r="H44" s="155" t="s">
        <v>206</v>
      </c>
      <c r="I44" s="156">
        <v>170</v>
      </c>
      <c r="J44" s="155" t="s">
        <v>679</v>
      </c>
      <c r="K44" s="157">
        <v>51</v>
      </c>
      <c r="L44" s="84"/>
      <c r="M44" s="81" t="str">
        <f>IF(N44=Data!$B$6,"x","")</f>
        <v/>
      </c>
      <c r="N44" s="97">
        <v>4</v>
      </c>
      <c r="O44" s="85" t="str">
        <f t="shared" si="10"/>
        <v/>
      </c>
      <c r="P44" s="85" t="str">
        <f t="shared" si="11"/>
        <v/>
      </c>
      <c r="Q44" s="85" t="str">
        <f>IF(R44=Data!$D$9,"x","")</f>
        <v/>
      </c>
      <c r="R44" s="86" t="s">
        <v>619</v>
      </c>
      <c r="S44" s="85" t="str">
        <f t="shared" si="12"/>
        <v/>
      </c>
      <c r="T44" s="85" t="str">
        <f t="shared" si="13"/>
        <v/>
      </c>
      <c r="U44" s="85"/>
      <c r="V44" s="85"/>
      <c r="W44" s="85"/>
      <c r="X44" s="85"/>
      <c r="Y44" s="85"/>
      <c r="Z44" s="85"/>
      <c r="AA44" s="85"/>
      <c r="AB44" s="85"/>
      <c r="AC44" s="85"/>
      <c r="AD44" s="85"/>
      <c r="AE44" s="85"/>
      <c r="AF44" s="85"/>
      <c r="AG44" s="85"/>
      <c r="AH44" s="85"/>
      <c r="AK44" s="79"/>
      <c r="AL44" s="79"/>
      <c r="AM44" s="79"/>
      <c r="AN44" s="79"/>
      <c r="AO44" s="79"/>
      <c r="AP44" s="79"/>
      <c r="AQ44" s="79"/>
      <c r="AR44" s="79"/>
      <c r="AS44" s="79"/>
      <c r="AT44" s="79"/>
      <c r="AU44" s="79"/>
      <c r="AV44" s="79"/>
      <c r="AW44" s="79"/>
      <c r="AX44" s="79"/>
      <c r="AY44" s="79"/>
      <c r="AZ44" s="79"/>
      <c r="BA44" s="79"/>
      <c r="BB44" s="79"/>
      <c r="BC44" s="79"/>
    </row>
    <row r="45" spans="1:55" s="94" customFormat="1" ht="13.5">
      <c r="A45" s="164">
        <v>4.5</v>
      </c>
      <c r="B45" s="155" t="s">
        <v>101</v>
      </c>
      <c r="C45" s="156">
        <v>750</v>
      </c>
      <c r="D45" s="155" t="s">
        <v>844</v>
      </c>
      <c r="E45" s="157">
        <v>872</v>
      </c>
      <c r="F45" s="81"/>
      <c r="G45" s="158" t="s">
        <v>722</v>
      </c>
      <c r="H45" s="155" t="s">
        <v>201</v>
      </c>
      <c r="I45" s="156">
        <v>370</v>
      </c>
      <c r="J45" s="155" t="s">
        <v>697</v>
      </c>
      <c r="K45" s="157">
        <v>121</v>
      </c>
      <c r="L45" s="84"/>
      <c r="M45" s="81" t="str">
        <f>IF(N45=Data!$B$6,"x","")</f>
        <v/>
      </c>
      <c r="N45" s="97">
        <v>4.5</v>
      </c>
      <c r="O45" s="85" t="str">
        <f t="shared" si="10"/>
        <v/>
      </c>
      <c r="P45" s="85" t="str">
        <f t="shared" si="11"/>
        <v/>
      </c>
      <c r="Q45" s="85" t="str">
        <f>IF(R45=Data!$D$9,"x","")</f>
        <v/>
      </c>
      <c r="R45" s="86" t="s">
        <v>722</v>
      </c>
      <c r="S45" s="85" t="str">
        <f t="shared" si="12"/>
        <v/>
      </c>
      <c r="T45" s="85" t="str">
        <f t="shared" si="13"/>
        <v/>
      </c>
      <c r="U45" s="85"/>
      <c r="V45" s="85"/>
      <c r="W45" s="85"/>
      <c r="X45" s="85"/>
      <c r="Y45" s="85"/>
      <c r="Z45" s="85"/>
      <c r="AA45" s="85"/>
      <c r="AB45" s="85"/>
      <c r="AC45" s="85"/>
      <c r="AD45" s="85"/>
      <c r="AE45" s="85"/>
      <c r="AF45" s="85"/>
      <c r="AG45" s="85"/>
      <c r="AH45" s="85"/>
      <c r="AK45" s="79"/>
      <c r="AL45" s="79"/>
      <c r="AM45" s="79"/>
      <c r="AN45" s="79"/>
      <c r="AO45" s="79"/>
      <c r="AP45" s="79"/>
      <c r="AQ45" s="79"/>
      <c r="AR45" s="79"/>
      <c r="AS45" s="79"/>
      <c r="AT45" s="79"/>
      <c r="AU45" s="79"/>
      <c r="AV45" s="79"/>
      <c r="AW45" s="79"/>
      <c r="AX45" s="79"/>
      <c r="AY45" s="79"/>
      <c r="AZ45" s="79"/>
      <c r="BA45" s="79"/>
      <c r="BB45" s="79"/>
      <c r="BC45" s="79"/>
    </row>
    <row r="46" spans="1:55" s="94" customFormat="1" ht="13.5">
      <c r="A46" s="164">
        <v>5</v>
      </c>
      <c r="B46" s="161" t="s">
        <v>480</v>
      </c>
      <c r="C46" s="437">
        <v>850</v>
      </c>
      <c r="D46" s="161" t="s">
        <v>86</v>
      </c>
      <c r="E46" s="435">
        <v>891</v>
      </c>
      <c r="F46" s="85"/>
      <c r="G46" s="160" t="s">
        <v>373</v>
      </c>
      <c r="H46" s="161" t="s">
        <v>255</v>
      </c>
      <c r="I46" s="437">
        <v>500</v>
      </c>
      <c r="J46" s="161" t="s">
        <v>559</v>
      </c>
      <c r="K46" s="435">
        <v>159</v>
      </c>
      <c r="L46" s="84"/>
      <c r="M46" s="81" t="str">
        <f>IF(N46=Data!$B$6,"x","")</f>
        <v/>
      </c>
      <c r="N46" s="97">
        <v>5</v>
      </c>
      <c r="O46" s="85" t="str">
        <f t="shared" si="10"/>
        <v/>
      </c>
      <c r="P46" s="85"/>
      <c r="Q46" s="85"/>
      <c r="R46" s="138" t="s">
        <v>373</v>
      </c>
      <c r="S46" s="85" t="str">
        <f t="shared" si="12"/>
        <v/>
      </c>
      <c r="T46" s="85" t="str">
        <f t="shared" si="13"/>
        <v/>
      </c>
      <c r="U46" s="85"/>
      <c r="V46" s="85"/>
      <c r="W46" s="85"/>
      <c r="X46" s="85"/>
      <c r="Y46" s="85"/>
      <c r="Z46" s="85"/>
      <c r="AA46" s="85"/>
      <c r="AB46" s="85"/>
      <c r="AC46" s="85"/>
      <c r="AD46" s="85"/>
      <c r="AE46" s="85"/>
      <c r="AF46" s="85"/>
      <c r="AG46" s="85"/>
      <c r="AK46" s="79"/>
      <c r="AL46" s="79"/>
      <c r="AM46" s="79"/>
      <c r="AN46" s="79"/>
      <c r="AO46" s="79"/>
      <c r="AP46" s="79"/>
      <c r="AQ46" s="79"/>
      <c r="AR46" s="79"/>
      <c r="AS46" s="79"/>
      <c r="AT46" s="79"/>
      <c r="AU46" s="79"/>
      <c r="AV46" s="79"/>
      <c r="AW46" s="79"/>
      <c r="AX46" s="79"/>
      <c r="AY46" s="79"/>
      <c r="AZ46" s="79"/>
      <c r="BA46" s="79"/>
      <c r="BB46" s="79"/>
      <c r="BC46" s="79"/>
    </row>
    <row r="47" spans="1:55" s="94" customFormat="1" ht="14" thickBot="1">
      <c r="A47" s="165">
        <v>5.5</v>
      </c>
      <c r="B47" s="163" t="s">
        <v>257</v>
      </c>
      <c r="C47" s="438">
        <v>995</v>
      </c>
      <c r="D47" s="163" t="s">
        <v>286</v>
      </c>
      <c r="E47" s="436">
        <v>1050</v>
      </c>
      <c r="F47" s="85"/>
      <c r="G47" s="162" t="s">
        <v>302</v>
      </c>
      <c r="H47" s="163" t="s">
        <v>256</v>
      </c>
      <c r="I47" s="438">
        <v>600</v>
      </c>
      <c r="J47" s="163" t="s">
        <v>560</v>
      </c>
      <c r="K47" s="436">
        <v>210</v>
      </c>
      <c r="L47" s="84"/>
      <c r="M47" s="81" t="str">
        <f>IF(N47=Data!$B$6,"x","")</f>
        <v/>
      </c>
      <c r="N47" s="97">
        <v>5.5</v>
      </c>
      <c r="O47" s="85" t="str">
        <f t="shared" si="10"/>
        <v/>
      </c>
      <c r="P47" s="85"/>
      <c r="Q47" s="85"/>
      <c r="R47" s="85" t="s">
        <v>302</v>
      </c>
      <c r="S47" s="85" t="str">
        <f t="shared" si="12"/>
        <v/>
      </c>
      <c r="T47" s="85" t="str">
        <f t="shared" si="13"/>
        <v/>
      </c>
      <c r="U47" s="85"/>
      <c r="V47" s="85"/>
      <c r="W47" s="85"/>
      <c r="X47" s="85"/>
      <c r="Y47" s="85"/>
      <c r="Z47" s="85"/>
      <c r="AA47" s="85"/>
      <c r="AB47" s="85"/>
      <c r="AC47" s="85"/>
      <c r="AD47" s="85"/>
      <c r="AE47" s="85"/>
      <c r="AF47" s="85"/>
      <c r="AG47" s="85"/>
      <c r="AH47" s="85"/>
      <c r="AI47" s="85"/>
      <c r="AJ47" s="85"/>
      <c r="AK47" s="79"/>
      <c r="AL47" s="79"/>
      <c r="AM47" s="79"/>
      <c r="AN47" s="79"/>
      <c r="AO47" s="79"/>
      <c r="AP47" s="79"/>
      <c r="AQ47" s="79"/>
      <c r="AR47" s="79"/>
      <c r="AS47" s="79"/>
      <c r="AT47" s="79"/>
      <c r="AU47" s="79"/>
      <c r="AV47" s="79"/>
      <c r="AW47" s="79"/>
      <c r="AX47" s="79"/>
      <c r="AY47" s="79"/>
      <c r="AZ47" s="79"/>
      <c r="BA47" s="79"/>
      <c r="BB47" s="79"/>
      <c r="BC47" s="79"/>
    </row>
    <row r="48" spans="1:55" s="94" customFormat="1" ht="13" thickTop="1">
      <c r="A48" s="85"/>
      <c r="B48" s="85"/>
      <c r="C48" s="85"/>
      <c r="D48" s="85"/>
      <c r="E48" s="85"/>
      <c r="F48" s="85"/>
      <c r="G48" s="85"/>
      <c r="H48" s="85"/>
      <c r="I48" s="85"/>
      <c r="J48" s="85"/>
      <c r="K48" s="85"/>
      <c r="L48" s="84"/>
      <c r="M48" s="85"/>
      <c r="N48" s="85"/>
      <c r="O48" s="85">
        <f>SUM(O36:O47)</f>
        <v>300</v>
      </c>
      <c r="P48" s="85">
        <f>SUM(P36:P47)</f>
        <v>534</v>
      </c>
      <c r="Q48" s="85"/>
      <c r="R48" s="85"/>
      <c r="S48" s="85">
        <f>SUM(S36:S47)</f>
        <v>80</v>
      </c>
      <c r="T48" s="85">
        <f>SUM(T36:T47)</f>
        <v>12</v>
      </c>
      <c r="U48" s="85"/>
      <c r="V48" s="85"/>
      <c r="W48" s="85"/>
      <c r="X48" s="85"/>
      <c r="Y48" s="85"/>
      <c r="Z48" s="85"/>
      <c r="AA48" s="85"/>
      <c r="AB48" s="85"/>
      <c r="AC48" s="85"/>
      <c r="AD48" s="85"/>
      <c r="AE48" s="85"/>
      <c r="AF48" s="85"/>
      <c r="AG48" s="85"/>
      <c r="AH48" s="85"/>
      <c r="AI48" s="85"/>
      <c r="AJ48" s="85"/>
      <c r="AK48" s="79"/>
      <c r="AL48" s="79"/>
      <c r="AM48" s="79"/>
      <c r="AN48" s="79"/>
      <c r="AO48" s="79"/>
      <c r="AP48" s="79"/>
      <c r="AQ48" s="79"/>
      <c r="AR48" s="79"/>
      <c r="AS48" s="79"/>
      <c r="AT48" s="79"/>
      <c r="AU48" s="79"/>
      <c r="AV48" s="79"/>
      <c r="AW48" s="79"/>
      <c r="AX48" s="79"/>
      <c r="AY48" s="79"/>
      <c r="AZ48" s="79"/>
      <c r="BA48" s="79"/>
      <c r="BB48" s="79"/>
      <c r="BC48" s="79"/>
    </row>
    <row r="49" spans="1:55" s="94" customFormat="1">
      <c r="A49" s="85"/>
      <c r="B49" s="85"/>
      <c r="C49" s="85"/>
      <c r="D49" s="85"/>
      <c r="E49" s="85"/>
      <c r="F49" s="85"/>
      <c r="G49" s="85"/>
      <c r="H49" s="85"/>
      <c r="I49" s="85"/>
      <c r="J49" s="85"/>
      <c r="K49" s="85"/>
      <c r="L49" s="84"/>
      <c r="M49" s="85"/>
      <c r="N49" s="85"/>
      <c r="O49" s="85"/>
      <c r="P49" s="85"/>
      <c r="Q49" s="85"/>
      <c r="R49" s="85"/>
      <c r="S49" s="85"/>
      <c r="T49" s="85"/>
      <c r="U49" s="85"/>
      <c r="V49" s="85"/>
      <c r="W49" s="85"/>
      <c r="X49" s="85"/>
      <c r="Y49" s="85"/>
      <c r="Z49" s="85"/>
      <c r="AA49" s="85"/>
      <c r="AB49" s="85"/>
      <c r="AC49" s="85"/>
      <c r="AD49" s="85"/>
      <c r="AE49" s="85"/>
      <c r="AF49" s="85"/>
      <c r="AG49" s="85"/>
      <c r="AH49" s="85"/>
      <c r="AI49" s="85"/>
      <c r="AJ49" s="85"/>
      <c r="AK49" s="79"/>
      <c r="AL49" s="79"/>
      <c r="AM49" s="79"/>
      <c r="AN49" s="79"/>
      <c r="AO49" s="79"/>
      <c r="AP49" s="79"/>
      <c r="AQ49" s="79"/>
      <c r="AR49" s="79"/>
      <c r="AS49" s="79"/>
      <c r="AT49" s="79"/>
      <c r="AU49" s="79"/>
      <c r="AV49" s="79"/>
      <c r="AW49" s="79"/>
      <c r="AX49" s="79"/>
      <c r="AY49" s="79"/>
      <c r="AZ49" s="79"/>
      <c r="BA49" s="79"/>
      <c r="BB49" s="79"/>
      <c r="BC49" s="79"/>
    </row>
    <row r="50" spans="1:55" s="94" customFormat="1">
      <c r="A50" s="85"/>
      <c r="B50" s="85"/>
      <c r="C50" s="85"/>
      <c r="D50" s="85"/>
      <c r="E50" s="85"/>
      <c r="F50" s="85"/>
      <c r="G50" s="85"/>
      <c r="H50" s="85"/>
      <c r="I50" s="85"/>
      <c r="J50" s="85"/>
      <c r="K50" s="85"/>
      <c r="L50" s="84"/>
      <c r="M50" s="85"/>
      <c r="N50" s="85"/>
      <c r="O50" s="85"/>
      <c r="P50" s="85"/>
      <c r="Q50" s="85"/>
      <c r="R50" s="85"/>
      <c r="S50" s="85"/>
      <c r="T50" s="85"/>
      <c r="U50" s="85"/>
      <c r="V50" s="85"/>
      <c r="W50" s="85"/>
      <c r="X50" s="85"/>
      <c r="Y50" s="85"/>
      <c r="Z50" s="85"/>
      <c r="AA50" s="85"/>
      <c r="AB50" s="85"/>
      <c r="AC50" s="85"/>
      <c r="AD50" s="85"/>
      <c r="AE50" s="85"/>
      <c r="AF50" s="85"/>
      <c r="AG50" s="85"/>
      <c r="AH50" s="85"/>
      <c r="AI50" s="85"/>
      <c r="AJ50" s="85"/>
      <c r="AK50" s="79"/>
      <c r="AL50" s="79"/>
      <c r="AM50" s="79"/>
      <c r="AN50" s="79"/>
      <c r="AO50" s="79"/>
      <c r="AP50" s="79"/>
      <c r="AQ50" s="79"/>
      <c r="AR50" s="79"/>
      <c r="AS50" s="79"/>
      <c r="AT50" s="79"/>
      <c r="AU50" s="79"/>
      <c r="AV50" s="79"/>
      <c r="AW50" s="79"/>
      <c r="AX50" s="79"/>
      <c r="AY50" s="79"/>
      <c r="AZ50" s="79"/>
      <c r="BA50" s="79"/>
      <c r="BB50" s="79"/>
      <c r="BC50" s="79"/>
    </row>
    <row r="51" spans="1:55" s="94" customFormat="1">
      <c r="A51" s="85"/>
      <c r="B51" s="635" t="s">
        <v>845</v>
      </c>
      <c r="C51" s="635"/>
      <c r="D51" s="635"/>
      <c r="E51" s="635"/>
      <c r="F51" s="85"/>
      <c r="G51" s="85"/>
      <c r="H51" s="85"/>
      <c r="I51" s="85"/>
      <c r="J51" s="85"/>
      <c r="K51" s="85"/>
      <c r="L51" s="85"/>
      <c r="M51" s="85"/>
      <c r="N51" s="85"/>
      <c r="O51" s="85"/>
      <c r="P51" s="85"/>
      <c r="Q51" s="85"/>
      <c r="R51" s="85"/>
      <c r="S51" s="85"/>
      <c r="T51" s="85"/>
      <c r="U51" s="85"/>
      <c r="V51" s="85"/>
      <c r="W51" s="85"/>
      <c r="X51" s="85"/>
      <c r="Y51" s="85"/>
      <c r="Z51" s="85"/>
      <c r="AA51" s="85"/>
      <c r="AB51" s="85"/>
      <c r="AC51" s="85"/>
      <c r="AD51" s="85"/>
      <c r="AE51" s="85"/>
      <c r="AF51" s="85"/>
      <c r="AG51" s="85"/>
      <c r="AH51" s="85"/>
      <c r="AI51" s="85"/>
      <c r="AJ51" s="85"/>
      <c r="AK51" s="79"/>
      <c r="AL51" s="79"/>
      <c r="AM51" s="79"/>
      <c r="AN51" s="79"/>
      <c r="AO51" s="79"/>
      <c r="AP51" s="79"/>
      <c r="AQ51" s="79"/>
      <c r="AR51" s="79"/>
      <c r="AS51" s="79"/>
      <c r="AT51" s="79"/>
      <c r="AU51" s="79"/>
      <c r="AV51" s="79"/>
      <c r="AW51" s="79"/>
      <c r="AX51" s="79"/>
      <c r="AY51" s="79"/>
      <c r="AZ51" s="79"/>
      <c r="BA51" s="79"/>
      <c r="BB51" s="79"/>
      <c r="BC51" s="79"/>
    </row>
    <row r="52" spans="1:55" ht="16.5" customHeight="1">
      <c r="A52" s="626" t="s">
        <v>846</v>
      </c>
      <c r="B52" s="628" t="s">
        <v>22201</v>
      </c>
      <c r="C52" s="628"/>
      <c r="D52" s="628" t="s">
        <v>147</v>
      </c>
      <c r="AK52" s="79"/>
      <c r="AL52" s="79"/>
    </row>
    <row r="53" spans="1:55" ht="14.5">
      <c r="A53" s="627"/>
      <c r="B53" s="98" t="s">
        <v>181</v>
      </c>
      <c r="C53" s="98" t="s">
        <v>427</v>
      </c>
      <c r="D53" s="628"/>
      <c r="AK53" s="79"/>
      <c r="AL53" s="79"/>
    </row>
    <row r="54" spans="1:55" ht="14.5">
      <c r="A54" s="99">
        <v>0.625</v>
      </c>
      <c r="B54" s="64">
        <v>415</v>
      </c>
      <c r="C54" s="64">
        <v>15</v>
      </c>
      <c r="D54" s="64" t="str">
        <f>IF(AND($A54=Data!$B$6,Data!$G$25&gt;0.01),B54+(C54*Data!$B$8)*Data!$G$25,"")</f>
        <v/>
      </c>
      <c r="AK54" s="79"/>
      <c r="AL54" s="79"/>
    </row>
    <row r="55" spans="1:55" ht="14.5">
      <c r="A55" s="99">
        <v>1</v>
      </c>
      <c r="B55" s="64">
        <v>415</v>
      </c>
      <c r="C55" s="64">
        <v>15</v>
      </c>
      <c r="D55" s="64" t="str">
        <f>IF(AND($A55=Data!$B$6,Data!$G$25&gt;0.01),B55+(C55*Data!$B$8)*Data!$G$25,"")</f>
        <v/>
      </c>
      <c r="AK55" s="79"/>
      <c r="AL55" s="79"/>
    </row>
    <row r="56" spans="1:55" ht="14.5">
      <c r="A56" s="99">
        <v>1.375</v>
      </c>
      <c r="B56" s="64">
        <v>420</v>
      </c>
      <c r="C56" s="64">
        <v>15</v>
      </c>
      <c r="D56" s="64" t="str">
        <f>IF(AND($A56=Data!$B$6,Data!$G$25&gt;0.01),B56+(C56*Data!$B$8)*Data!$G$25,"")</f>
        <v/>
      </c>
      <c r="AK56" s="79"/>
      <c r="AL56" s="79"/>
    </row>
    <row r="57" spans="1:55" ht="14.5">
      <c r="A57" s="99">
        <v>1.75</v>
      </c>
      <c r="B57" s="64">
        <v>420</v>
      </c>
      <c r="C57" s="64">
        <v>15</v>
      </c>
      <c r="D57" s="64" t="str">
        <f>IF(AND($A57=Data!$B$6,Data!$G$25&gt;0.01),B57+(C57*Data!$B$8)*Data!$G$25,"")</f>
        <v/>
      </c>
      <c r="AK57" s="79"/>
      <c r="AL57" s="79"/>
    </row>
    <row r="58" spans="1:55" ht="14.5">
      <c r="A58" s="99">
        <v>2</v>
      </c>
      <c r="B58" s="64">
        <v>420</v>
      </c>
      <c r="C58" s="64">
        <v>15</v>
      </c>
      <c r="D58" s="64" t="str">
        <f>IF(AND($A58=Data!$B$6,Data!$G$25&gt;0.01),B58+(C58*Data!$B$8)*Data!$G$25,"")</f>
        <v/>
      </c>
      <c r="AK58" s="79"/>
      <c r="AL58" s="79"/>
    </row>
    <row r="59" spans="1:55" ht="14.5">
      <c r="A59" s="99">
        <v>2.5</v>
      </c>
      <c r="B59" s="64">
        <v>420</v>
      </c>
      <c r="C59" s="64">
        <v>15</v>
      </c>
      <c r="D59" s="64" t="str">
        <f>IF(AND($A59=Data!$B$6,Data!$G$25&gt;0.01),B59+(C59*Data!$B$8)*Data!$G$25,"")</f>
        <v/>
      </c>
      <c r="AK59" s="79"/>
      <c r="AL59" s="79"/>
    </row>
    <row r="60" spans="1:55" ht="14.5">
      <c r="A60" s="99">
        <v>3</v>
      </c>
      <c r="B60" s="64">
        <v>453</v>
      </c>
      <c r="C60" s="64">
        <v>16</v>
      </c>
      <c r="D60" s="64" t="str">
        <f>IF(AND($A60=Data!$B$6,Data!$G$25&gt;0.01),B60+(C60*Data!$B$8)*Data!$G$25,"")</f>
        <v/>
      </c>
      <c r="AK60" s="79"/>
      <c r="AL60" s="79"/>
    </row>
    <row r="61" spans="1:55" ht="14.5">
      <c r="A61" s="99">
        <v>3.5</v>
      </c>
      <c r="B61" s="64">
        <v>453</v>
      </c>
      <c r="C61" s="64">
        <v>16</v>
      </c>
      <c r="D61" s="64" t="str">
        <f>IF(AND($A61=Data!$B$6,Data!$G$25&gt;0.01),B61+(C61*Data!$B$8)*Data!$G$25,"")</f>
        <v/>
      </c>
      <c r="AK61" s="79"/>
      <c r="AL61" s="79"/>
    </row>
    <row r="62" spans="1:55" ht="14.5">
      <c r="A62" s="99">
        <v>4</v>
      </c>
      <c r="B62" s="64">
        <v>453</v>
      </c>
      <c r="C62" s="64">
        <v>16</v>
      </c>
      <c r="D62" s="64" t="str">
        <f>IF(AND($A62=Data!$B$6,Data!$G$25&gt;0.01),B62+(C62*Data!$B$8)*Data!$G$25,"")</f>
        <v/>
      </c>
      <c r="AK62" s="79"/>
      <c r="AL62" s="79"/>
    </row>
    <row r="63" spans="1:55" ht="14.5">
      <c r="A63" s="99">
        <v>4.5</v>
      </c>
      <c r="B63" s="64">
        <v>522</v>
      </c>
      <c r="C63" s="64">
        <v>16</v>
      </c>
      <c r="D63" s="64" t="str">
        <f>IF(AND($A63=Data!$B$6,Data!$G$25&gt;0.01),B63+(C63*Data!$B$8)*Data!$G$25,"")</f>
        <v/>
      </c>
      <c r="AK63" s="79"/>
      <c r="AL63" s="79"/>
    </row>
    <row r="64" spans="1:55" ht="14.5">
      <c r="A64" s="99">
        <v>5</v>
      </c>
      <c r="B64" s="64">
        <v>600</v>
      </c>
      <c r="C64" s="64">
        <v>17</v>
      </c>
      <c r="D64" s="64" t="str">
        <f>IF(AND($A64=Data!$B$6,Data!$G$25&gt;0.01),B64+(C64*Data!$B$8)*Data!$G$25,"")</f>
        <v/>
      </c>
      <c r="AK64" s="79"/>
      <c r="AL64" s="79"/>
    </row>
    <row r="65" spans="1:39" ht="14.5">
      <c r="A65" s="99">
        <v>5.5</v>
      </c>
      <c r="B65" s="64">
        <v>678</v>
      </c>
      <c r="C65" s="64">
        <v>19</v>
      </c>
      <c r="D65" s="64" t="str">
        <f>IF(AND($A65=Data!$B$6,Data!$G$25&gt;0.01),B65+(C65*Data!$B$8)*Data!$G$25,"")</f>
        <v/>
      </c>
      <c r="AK65" s="79"/>
      <c r="AL65" s="79"/>
    </row>
    <row r="66" spans="1:39" ht="14.5">
      <c r="A66" s="99">
        <v>7</v>
      </c>
      <c r="B66" s="64">
        <v>758</v>
      </c>
      <c r="C66" s="64">
        <v>20</v>
      </c>
      <c r="D66" s="64" t="str">
        <f>IF(AND($A66=Data!$B$6,Data!$G$25&gt;0.01),B66+(C66*Data!$B$8)*Data!$G$25,"")</f>
        <v/>
      </c>
      <c r="AK66" s="79"/>
      <c r="AL66" s="79"/>
    </row>
    <row r="67" spans="1:39" ht="14.5">
      <c r="A67" s="99">
        <v>8</v>
      </c>
      <c r="B67" s="64">
        <v>835</v>
      </c>
      <c r="C67" s="64">
        <v>21</v>
      </c>
      <c r="D67" s="64" t="str">
        <f>IF(AND($A67=Data!$B$6,Data!$G$25&gt;0.01),B67+(C67*Data!$B$8)*Data!$G$25,"")</f>
        <v/>
      </c>
      <c r="AK67" s="79"/>
      <c r="AL67" s="79"/>
    </row>
    <row r="68" spans="1:39" ht="14.5">
      <c r="A68" s="99">
        <v>10</v>
      </c>
      <c r="B68" s="64">
        <v>916</v>
      </c>
      <c r="C68" s="64">
        <v>21</v>
      </c>
      <c r="D68" s="64" t="str">
        <f>IF(AND($A68=Data!$B$6,Data!$G$25&gt;0.01),B68+(C68*Data!$B$8)*Data!$G$25,"")</f>
        <v/>
      </c>
      <c r="AM68" s="81"/>
    </row>
    <row r="69" spans="1:39">
      <c r="D69" s="84">
        <f>SUM(D54:D68)</f>
        <v>0</v>
      </c>
    </row>
  </sheetData>
  <mergeCells count="24">
    <mergeCell ref="O34:O35"/>
    <mergeCell ref="D52:D53"/>
    <mergeCell ref="B51:E51"/>
    <mergeCell ref="J34:K34"/>
    <mergeCell ref="G34:G35"/>
    <mergeCell ref="H34:I34"/>
    <mergeCell ref="N34:N35"/>
    <mergeCell ref="A52:A53"/>
    <mergeCell ref="B52:C52"/>
    <mergeCell ref="A34:A35"/>
    <mergeCell ref="D34:E34"/>
    <mergeCell ref="B34:C34"/>
    <mergeCell ref="A1:K1"/>
    <mergeCell ref="A2:K2"/>
    <mergeCell ref="J4:K4"/>
    <mergeCell ref="J21:K21"/>
    <mergeCell ref="B4:C4"/>
    <mergeCell ref="D4:E4"/>
    <mergeCell ref="F4:G4"/>
    <mergeCell ref="H4:I4"/>
    <mergeCell ref="B21:C21"/>
    <mergeCell ref="D21:E21"/>
    <mergeCell ref="F21:G21"/>
    <mergeCell ref="H21:I21"/>
  </mergeCells>
  <phoneticPr fontId="0" type="noConversion"/>
  <printOptions horizontalCentered="1"/>
  <pageMargins left="0.75" right="0.5" top="0.75" bottom="0.75" header="0.5" footer="0.5"/>
  <pageSetup scale="90" orientation="portrait" horizontalDpi="300" verticalDpi="30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pageSetUpPr fitToPage="1"/>
  </sheetPr>
  <dimension ref="A1:AI334"/>
  <sheetViews>
    <sheetView topLeftCell="A5" workbookViewId="0">
      <selection activeCell="B23" sqref="B23"/>
    </sheetView>
  </sheetViews>
  <sheetFormatPr defaultColWidth="9.08984375" defaultRowHeight="13"/>
  <cols>
    <col min="1" max="1" width="6" style="31" bestFit="1" customWidth="1"/>
    <col min="2" max="2" width="6" style="41" bestFit="1" customWidth="1"/>
    <col min="3" max="4" width="9.36328125" style="31" customWidth="1"/>
    <col min="5" max="6" width="8.453125" style="31" customWidth="1"/>
    <col min="7" max="7" width="9" style="31" customWidth="1"/>
    <col min="8" max="9" width="8.453125" style="31" customWidth="1"/>
    <col min="10" max="10" width="7.08984375" style="31" customWidth="1"/>
    <col min="11" max="12" width="8.36328125" style="31" customWidth="1"/>
    <col min="13" max="13" width="7" style="60" customWidth="1"/>
    <col min="14" max="14" width="6.36328125" style="41" customWidth="1"/>
    <col min="15" max="16" width="9.36328125" style="31" customWidth="1"/>
    <col min="17" max="17" width="4.54296875" style="31" customWidth="1"/>
    <col min="18" max="19" width="5" style="31" customWidth="1"/>
    <col min="20" max="20" width="9.453125" style="31" customWidth="1"/>
    <col min="21" max="21" width="5" style="31" customWidth="1"/>
    <col min="22" max="22" width="6.08984375" style="31" customWidth="1"/>
    <col min="23" max="23" width="5.54296875" style="31" customWidth="1"/>
    <col min="24" max="24" width="7.08984375" style="31" customWidth="1"/>
    <col min="25" max="25" width="8.36328125" style="31" customWidth="1"/>
    <col min="26" max="16384" width="9.08984375" style="31"/>
  </cols>
  <sheetData>
    <row r="1" spans="1:35">
      <c r="A1" s="474" t="s">
        <v>472</v>
      </c>
      <c r="B1" s="474"/>
      <c r="C1" s="474"/>
      <c r="D1" s="474"/>
      <c r="E1" s="474"/>
      <c r="F1" s="474"/>
      <c r="G1" s="474"/>
      <c r="H1" s="474"/>
      <c r="I1" s="474"/>
      <c r="J1" s="474"/>
      <c r="K1" s="474"/>
      <c r="M1" s="31"/>
      <c r="N1" s="31"/>
    </row>
    <row r="2" spans="1:35">
      <c r="A2" s="474" t="s">
        <v>304</v>
      </c>
      <c r="B2" s="474"/>
      <c r="C2" s="474"/>
      <c r="D2" s="474"/>
      <c r="E2" s="474"/>
      <c r="F2" s="474"/>
      <c r="G2" s="474"/>
      <c r="H2" s="474"/>
      <c r="I2" s="474"/>
      <c r="J2" s="474"/>
      <c r="K2" s="474"/>
      <c r="M2" s="31"/>
      <c r="N2" s="31"/>
    </row>
    <row r="3" spans="1:35">
      <c r="B3" s="31"/>
      <c r="K3" s="59"/>
      <c r="L3" s="59"/>
      <c r="N3" s="31"/>
      <c r="Y3" s="59"/>
      <c r="AF3" s="474" t="s">
        <v>383</v>
      </c>
      <c r="AG3" s="474"/>
      <c r="AH3" s="474"/>
    </row>
    <row r="4" spans="1:35">
      <c r="AF4" s="31" t="s">
        <v>165</v>
      </c>
      <c r="AG4" s="31" t="s">
        <v>288</v>
      </c>
      <c r="AH4" s="31" t="s">
        <v>289</v>
      </c>
    </row>
    <row r="5" spans="1:35" ht="78">
      <c r="A5" s="61" t="s">
        <v>633</v>
      </c>
      <c r="B5" s="62" t="s">
        <v>632</v>
      </c>
      <c r="C5" s="63" t="s">
        <v>423</v>
      </c>
      <c r="D5" s="63" t="s">
        <v>170</v>
      </c>
      <c r="E5" s="63" t="s">
        <v>530</v>
      </c>
      <c r="F5" s="63" t="s">
        <v>179</v>
      </c>
      <c r="G5" s="63" t="s">
        <v>529</v>
      </c>
      <c r="H5" s="63" t="s">
        <v>168</v>
      </c>
      <c r="I5" s="63"/>
      <c r="J5" s="63" t="s">
        <v>381</v>
      </c>
      <c r="K5" s="63" t="s">
        <v>571</v>
      </c>
      <c r="L5" s="63"/>
      <c r="M5" s="61" t="s">
        <v>633</v>
      </c>
      <c r="N5" s="62" t="s">
        <v>632</v>
      </c>
      <c r="O5" s="63" t="s">
        <v>278</v>
      </c>
      <c r="P5" s="63" t="s">
        <v>112</v>
      </c>
      <c r="Q5" s="63"/>
      <c r="R5" s="63" t="s">
        <v>530</v>
      </c>
      <c r="S5" s="63" t="s">
        <v>179</v>
      </c>
      <c r="T5" s="63" t="s">
        <v>529</v>
      </c>
      <c r="U5" s="63" t="s">
        <v>168</v>
      </c>
      <c r="V5" s="63"/>
      <c r="W5" s="63"/>
      <c r="X5" s="63"/>
      <c r="Y5" s="63"/>
      <c r="AF5" s="31" t="s">
        <v>562</v>
      </c>
      <c r="AG5" s="31" t="s">
        <v>562</v>
      </c>
      <c r="AH5" s="31" t="s">
        <v>563</v>
      </c>
      <c r="AI5" s="31">
        <f>SUM(AI6:AI52)</f>
        <v>0</v>
      </c>
    </row>
    <row r="6" spans="1:35">
      <c r="A6" s="48">
        <v>1.5</v>
      </c>
      <c r="B6" s="49">
        <v>0.625</v>
      </c>
      <c r="C6" s="31" t="s">
        <v>607</v>
      </c>
      <c r="D6" s="31" t="s">
        <v>189</v>
      </c>
      <c r="E6" s="57">
        <v>472</v>
      </c>
      <c r="F6" s="57">
        <v>503</v>
      </c>
      <c r="G6" s="57">
        <v>534</v>
      </c>
      <c r="H6" s="57">
        <v>684</v>
      </c>
      <c r="I6" s="50"/>
      <c r="J6" s="57">
        <v>10</v>
      </c>
      <c r="K6" s="57">
        <v>158</v>
      </c>
      <c r="M6" s="60">
        <v>1.5</v>
      </c>
      <c r="N6" s="49">
        <v>0.625</v>
      </c>
      <c r="O6" s="31" t="s">
        <v>607</v>
      </c>
      <c r="P6" s="31" t="s">
        <v>189</v>
      </c>
      <c r="Q6" s="31" t="str">
        <f>IF(OR(Data!B$3="a",Data!B$3="LH"),IF(M6=Data!B$4,IF(N6=Data!B$6,SUM(R6:V6),""),""),"")</f>
        <v/>
      </c>
      <c r="R6" s="31" t="str">
        <f>IF(OR("MX0"=Data!B$5,"MX1"=Data!B$5,"MX2"=Data!B$5,"MX3"=Data!B$5),E6,"")</f>
        <v/>
      </c>
      <c r="S6" s="31">
        <f>IF(OR("MF1"=Data!B$5,"MF2"=Data!B$5,"MS4"=Data!B$5),F6,"")</f>
        <v>503</v>
      </c>
      <c r="T6" s="31" t="str">
        <f>IF(OR("MP1"=Data!B$5,"MP3"=Data!B$5,"MT1"=Data!B$5,"MT2"=Data!B$5,"MF5"=Data!B$5,"MF6"=Data!B$5,"ME3"=Data!B$5,"ME4"=Data!B$5,"MS2"=Data!B$5),G6,"")</f>
        <v/>
      </c>
      <c r="U6" s="31" t="str">
        <f>IF(OR("MS3"=Data!B$5,"ME5"=Data!B$5,"ME6"=Data!B$5,"MS7"=Data!B$5,"MP2"=Data!B$5,"MT4"=Data!B$5,"MPU3"=Data!B$5),H6,"")</f>
        <v/>
      </c>
      <c r="W6" s="31" t="str">
        <f>IF(OR(Q6="",Q6=0),"",IF(Data!B$7="ABE",K6*4,IF(OR(Data!B$7="ACE",Data!B$7="ARE"),K6*2,IF(Data!B$7="BE",K6*2,IF(OR(Data!B$7="CE",Data!B$7="RE"),K6,0))))+J6*(ROUNDUP(Data!B$8,0.1)))</f>
        <v/>
      </c>
      <c r="X6" s="65"/>
      <c r="Y6" s="65">
        <f>ROUNDUP(K6*1.1,0)</f>
        <v>174</v>
      </c>
      <c r="Z6" s="65"/>
      <c r="AA6" s="65"/>
      <c r="AB6" s="65"/>
      <c r="AC6" s="65"/>
      <c r="AD6" s="65"/>
      <c r="AE6" s="65"/>
      <c r="AF6" s="31">
        <f>ROUNDUP(E6*0.25,0)</f>
        <v>118</v>
      </c>
      <c r="AG6" s="32">
        <f>AF6+K6</f>
        <v>276</v>
      </c>
      <c r="AH6" s="31">
        <f>ROUNDDOWN(J6*0.95,0)</f>
        <v>9</v>
      </c>
      <c r="AI6" s="31" t="str">
        <f>IF(W6&lt;&gt;"",IF(Data!B$7="NC",AF6+(AH6*(Data!B$8+Data!B$11+Data!B$27)),IF(Data!B$7&lt;&gt;"NC",AG6+(AH6*(Data!B$8+Data!B$11+Data!B$27)))),"")</f>
        <v/>
      </c>
    </row>
    <row r="7" spans="1:35">
      <c r="A7" s="48"/>
      <c r="B7" s="49">
        <v>1</v>
      </c>
      <c r="C7" s="54" t="s">
        <v>856</v>
      </c>
      <c r="D7" s="54" t="s">
        <v>392</v>
      </c>
      <c r="E7" s="57">
        <v>570</v>
      </c>
      <c r="F7" s="57">
        <v>622</v>
      </c>
      <c r="G7" s="57">
        <v>588</v>
      </c>
      <c r="H7" s="57">
        <v>727</v>
      </c>
      <c r="I7" s="50"/>
      <c r="J7" s="57">
        <v>11</v>
      </c>
      <c r="K7" s="57">
        <v>158</v>
      </c>
      <c r="M7" s="60">
        <v>1.5</v>
      </c>
      <c r="N7" s="49">
        <v>1</v>
      </c>
      <c r="O7" s="54" t="s">
        <v>856</v>
      </c>
      <c r="P7" s="54" t="s">
        <v>392</v>
      </c>
      <c r="Q7" s="31" t="str">
        <f>IF(OR(Data!B$3="a",Data!B$3="LH"),IF(M7=Data!B$4,IF(N7=Data!B$6,SUM(R7:V7),""),""),"")</f>
        <v/>
      </c>
      <c r="R7" s="31" t="str">
        <f>IF(OR("MX0"=Data!B$5,"MX1"=Data!B$5,"MX2"=Data!B$5,"MX3"=Data!B$5),E7,"")</f>
        <v/>
      </c>
      <c r="S7" s="31">
        <f>IF(OR("MF1"=Data!B$5,"MF2"=Data!B$5,"MS4"=Data!B$5),F7,"")</f>
        <v>622</v>
      </c>
      <c r="T7" s="31" t="str">
        <f>IF(OR("MP1"=Data!B$5,"MP3"=Data!B$5,"MT1"=Data!B$5,"MT2"=Data!B$5,"MF5"=Data!B$5,"MF6"=Data!B$5,"ME3"=Data!B$5,"ME4"=Data!B$5,"MS2"=Data!B$5),G7,"")</f>
        <v/>
      </c>
      <c r="U7" s="31" t="str">
        <f>IF(OR("MS3"=Data!B$5,"ME5"=Data!B$5,"ME6"=Data!B$5,"MS7"=Data!B$5,"MP2"=Data!B$5,"MT4"=Data!B$5,"MPU3"=Data!B$5),H7,"")</f>
        <v/>
      </c>
      <c r="W7" s="31" t="str">
        <f>IF(OR(Q7="",Q7=0),"",IF(Data!B$7="ABE",K7*4,IF(OR(Data!B$7="ACE",Data!B$7="ARE"),K7*2,IF(Data!B$7="BE",K7*2,IF(OR(Data!B$7="CE",Data!B$7="RE"),K7,0))))+J7*(ROUNDUP(Data!B$8,0.1)))</f>
        <v/>
      </c>
      <c r="X7" s="65"/>
      <c r="Y7" s="65">
        <f t="shared" ref="Y7:Y52" si="0">ROUNDUP(K7*1.1,0)</f>
        <v>174</v>
      </c>
      <c r="Z7" s="65"/>
      <c r="AA7" s="65"/>
      <c r="AB7" s="65"/>
      <c r="AC7" s="65"/>
      <c r="AD7" s="65"/>
      <c r="AE7" s="65"/>
      <c r="AF7" s="31">
        <f t="shared" ref="AF7:AF52" si="1">ROUNDUP(E7*0.25,0)</f>
        <v>143</v>
      </c>
      <c r="AG7" s="32">
        <f t="shared" ref="AG7:AG52" si="2">AF7+K7</f>
        <v>301</v>
      </c>
      <c r="AH7" s="31">
        <f t="shared" ref="AH7:AH52" si="3">ROUNDDOWN(J7*0.95,0)</f>
        <v>10</v>
      </c>
      <c r="AI7" s="31" t="str">
        <f>IF(W7&lt;&gt;"",IF(Data!B$7="NC",AF7+(AH7*(Data!B$8+Data!B$11+Data!B$27)),IF(Data!B$7&lt;&gt;"NC",AG7+(AH7*(Data!B$8+Data!B$11+Data!B$27)))),"")</f>
        <v/>
      </c>
    </row>
    <row r="8" spans="1:35">
      <c r="A8" s="48">
        <v>2</v>
      </c>
      <c r="B8" s="49">
        <v>0.625</v>
      </c>
      <c r="C8" s="31" t="s">
        <v>607</v>
      </c>
      <c r="D8" s="31" t="s">
        <v>189</v>
      </c>
      <c r="E8" s="57">
        <v>511</v>
      </c>
      <c r="F8" s="57">
        <v>544</v>
      </c>
      <c r="G8" s="57">
        <v>571</v>
      </c>
      <c r="H8" s="57">
        <v>733</v>
      </c>
      <c r="I8" s="50"/>
      <c r="J8" s="57">
        <v>11</v>
      </c>
      <c r="K8" s="57">
        <v>158</v>
      </c>
      <c r="M8" s="60">
        <v>2</v>
      </c>
      <c r="N8" s="49">
        <v>0.625</v>
      </c>
      <c r="O8" s="31" t="s">
        <v>607</v>
      </c>
      <c r="P8" s="31" t="s">
        <v>189</v>
      </c>
      <c r="Q8" s="31" t="str">
        <f>IF(OR(Data!B$3="a",Data!B$3="LH"),IF(M8=Data!B$4,IF(N8=Data!B$6,SUM(R8:V8),""),""),"")</f>
        <v/>
      </c>
      <c r="R8" s="31" t="str">
        <f>IF(OR("MX0"=Data!B$5,"MX1"=Data!B$5,"MX2"=Data!B$5,"MX3"=Data!B$5),E8,"")</f>
        <v/>
      </c>
      <c r="S8" s="31">
        <f>IF(OR("MF1"=Data!B$5,"MF2"=Data!B$5,"MS4"=Data!B$5),F8,"")</f>
        <v>544</v>
      </c>
      <c r="T8" s="31" t="str">
        <f>IF(OR("MP1"=Data!B$5,"MP3"=Data!B$5,"MT1"=Data!B$5,"MT2"=Data!B$5,"MF5"=Data!B$5,"MF6"=Data!B$5,"ME3"=Data!B$5,"ME4"=Data!B$5,"MS2"=Data!B$5),G8,"")</f>
        <v/>
      </c>
      <c r="U8" s="31" t="str">
        <f>IF(OR("MS3"=Data!B$5,"ME5"=Data!B$5,"ME6"=Data!B$5,"MS7"=Data!B$5,"MP2"=Data!B$5,"MT4"=Data!B$5,"MPU3"=Data!B$5),H8,"")</f>
        <v/>
      </c>
      <c r="W8" s="31" t="str">
        <f>IF(OR(Q8="",Q8=0),"",IF(Data!B$7="ABE",K8*4,IF(OR(Data!B$7="ACE",Data!B$7="ARE"),K8*2,IF(Data!B$7="BE",K8*2,IF(OR(Data!B$7="CE",Data!B$7="RE"),K8,0))))+J8*(ROUNDUP(Data!B$8,0.1)))</f>
        <v/>
      </c>
      <c r="X8" s="65"/>
      <c r="Y8" s="65">
        <f t="shared" si="0"/>
        <v>174</v>
      </c>
      <c r="Z8" s="65"/>
      <c r="AA8" s="65"/>
      <c r="AB8" s="65"/>
      <c r="AC8" s="65"/>
      <c r="AD8" s="65"/>
      <c r="AE8" s="65"/>
      <c r="AF8" s="31">
        <f t="shared" si="1"/>
        <v>128</v>
      </c>
      <c r="AG8" s="32">
        <f t="shared" si="2"/>
        <v>286</v>
      </c>
      <c r="AH8" s="31">
        <f t="shared" si="3"/>
        <v>10</v>
      </c>
      <c r="AI8" s="31" t="str">
        <f>IF(W8&lt;&gt;"",IF(Data!B$7="NC",AF8+(AH8*(Data!B$8+Data!B$11+Data!B$27)),IF(Data!B$7&lt;&gt;"NC",AG8+(AH8*(Data!B$8+Data!B$11+Data!B$27)))),"")</f>
        <v/>
      </c>
    </row>
    <row r="9" spans="1:35">
      <c r="A9" s="48"/>
      <c r="B9" s="49">
        <v>1</v>
      </c>
      <c r="C9" s="31" t="s">
        <v>856</v>
      </c>
      <c r="D9" s="31" t="s">
        <v>392</v>
      </c>
      <c r="E9" s="57">
        <v>646</v>
      </c>
      <c r="F9" s="57">
        <v>679</v>
      </c>
      <c r="G9" s="57">
        <v>714</v>
      </c>
      <c r="H9" s="57">
        <v>858</v>
      </c>
      <c r="I9" s="50"/>
      <c r="J9" s="57">
        <v>12</v>
      </c>
      <c r="K9" s="57">
        <v>158</v>
      </c>
      <c r="M9" s="60">
        <v>2</v>
      </c>
      <c r="N9" s="49">
        <v>1</v>
      </c>
      <c r="O9" s="31" t="s">
        <v>856</v>
      </c>
      <c r="P9" s="31" t="s">
        <v>392</v>
      </c>
      <c r="Q9" s="31" t="str">
        <f>IF(OR(Data!B$3="a",Data!B$3="LH"),IF(M9=Data!B$4,IF(N9=Data!B$6,SUM(R9:V9),""),""),"")</f>
        <v/>
      </c>
      <c r="R9" s="31" t="str">
        <f>IF(OR("MX0"=Data!B$5,"MX1"=Data!B$5,"MX2"=Data!B$5,"MX3"=Data!B$5),E9,"")</f>
        <v/>
      </c>
      <c r="S9" s="31">
        <f>IF(OR("MF1"=Data!B$5,"MF2"=Data!B$5,"MS4"=Data!B$5),F9,"")</f>
        <v>679</v>
      </c>
      <c r="T9" s="31" t="str">
        <f>IF(OR("MP1"=Data!B$5,"MP3"=Data!B$5,"MT1"=Data!B$5,"MT2"=Data!B$5,"MF5"=Data!B$5,"MF6"=Data!B$5,"ME3"=Data!B$5,"ME4"=Data!B$5,"MS2"=Data!B$5),G9,"")</f>
        <v/>
      </c>
      <c r="U9" s="31" t="str">
        <f>IF(OR("MS3"=Data!B$5,"ME5"=Data!B$5,"ME6"=Data!B$5,"MS7"=Data!B$5,"MP2"=Data!B$5,"MT4"=Data!B$5,"MPU3"=Data!B$5),H9,"")</f>
        <v/>
      </c>
      <c r="W9" s="31" t="str">
        <f>IF(OR(Q9="",Q9=0),"",IF(Data!B$7="ABE",K9*4,IF(OR(Data!B$7="ACE",Data!B$7="ARE"),K9*2,IF(Data!B$7="BE",K9*2,IF(OR(Data!B$7="CE",Data!B$7="RE"),K9,0))))+J9*(ROUNDUP(Data!B$8,0.1)))</f>
        <v/>
      </c>
      <c r="X9" s="65"/>
      <c r="Y9" s="65">
        <f t="shared" si="0"/>
        <v>174</v>
      </c>
      <c r="Z9" s="65"/>
      <c r="AA9" s="65"/>
      <c r="AB9" s="65"/>
      <c r="AC9" s="65"/>
      <c r="AD9" s="65"/>
      <c r="AE9" s="65"/>
      <c r="AF9" s="31">
        <f t="shared" si="1"/>
        <v>162</v>
      </c>
      <c r="AG9" s="32">
        <f t="shared" si="2"/>
        <v>320</v>
      </c>
      <c r="AH9" s="31">
        <f t="shared" si="3"/>
        <v>11</v>
      </c>
      <c r="AI9" s="31" t="str">
        <f>IF(W9&lt;&gt;"",IF(Data!B$7="NC",AF9+(AH9*(Data!B$8+Data!B$11+Data!B$27)),IF(Data!B$7&lt;&gt;"NC",AG9+(AH9*(Data!B$8+Data!B$11+Data!B$27)))),"")</f>
        <v/>
      </c>
    </row>
    <row r="10" spans="1:35">
      <c r="A10" s="48"/>
      <c r="B10" s="49">
        <v>1.375</v>
      </c>
      <c r="C10" s="66" t="s">
        <v>857</v>
      </c>
      <c r="D10" s="31" t="s">
        <v>858</v>
      </c>
      <c r="E10" s="57">
        <v>679</v>
      </c>
      <c r="F10" s="57">
        <v>709</v>
      </c>
      <c r="G10" s="57">
        <v>771</v>
      </c>
      <c r="H10" s="57">
        <v>933</v>
      </c>
      <c r="I10" s="50"/>
      <c r="J10" s="57">
        <v>15</v>
      </c>
      <c r="K10" s="57">
        <v>158</v>
      </c>
      <c r="M10" s="60">
        <v>2</v>
      </c>
      <c r="N10" s="49">
        <v>1.375</v>
      </c>
      <c r="O10" s="66" t="s">
        <v>857</v>
      </c>
      <c r="P10" s="31" t="s">
        <v>858</v>
      </c>
      <c r="Q10" s="31" t="str">
        <f>IF(OR(Data!B$3="a",Data!B$3="LH"),IF(M10=Data!B$4,IF(N10=Data!B$6,SUM(R10:V10),""),""),"")</f>
        <v/>
      </c>
      <c r="R10" s="31" t="str">
        <f>IF(OR("MX0"=Data!B$5,"MX1"=Data!B$5,"MX2"=Data!B$5,"MX3"=Data!B$5),E10,"")</f>
        <v/>
      </c>
      <c r="S10" s="31">
        <f>IF(OR("MF1"=Data!B$5,"MF2"=Data!B$5,"MS4"=Data!B$5),F10,"")</f>
        <v>709</v>
      </c>
      <c r="T10" s="31" t="str">
        <f>IF(OR("MP1"=Data!B$5,"MP3"=Data!B$5,"MT1"=Data!B$5,"MT2"=Data!B$5,"MF5"=Data!B$5,"MF6"=Data!B$5,"ME3"=Data!B$5,"ME4"=Data!B$5,"MS2"=Data!B$5),G10,"")</f>
        <v/>
      </c>
      <c r="U10" s="31" t="str">
        <f>IF(OR("MS3"=Data!B$5,"ME5"=Data!B$5,"ME6"=Data!B$5,"MS7"=Data!B$5,"MP2"=Data!B$5,"MT4"=Data!B$5,"MPU3"=Data!B$5),H10,"")</f>
        <v/>
      </c>
      <c r="W10" s="31" t="str">
        <f>IF(OR(Q10="",Q10=0),"",IF(Data!B$7="ABE",K10*4,IF(OR(Data!B$7="ACE",Data!B$7="ARE"),K10*2,IF(Data!B$7="BE",K10*2,IF(OR(Data!B$7="CE",Data!B$7="RE"),K10,0))))+J10*(ROUNDUP(Data!B$8,0.1)))</f>
        <v/>
      </c>
      <c r="X10" s="65"/>
      <c r="Y10" s="65">
        <f t="shared" si="0"/>
        <v>174</v>
      </c>
      <c r="Z10" s="65"/>
      <c r="AA10" s="65"/>
      <c r="AB10" s="65"/>
      <c r="AC10" s="65"/>
      <c r="AD10" s="65"/>
      <c r="AE10" s="65"/>
      <c r="AF10" s="31">
        <f t="shared" si="1"/>
        <v>170</v>
      </c>
      <c r="AG10" s="32">
        <f t="shared" si="2"/>
        <v>328</v>
      </c>
      <c r="AH10" s="31">
        <f t="shared" si="3"/>
        <v>14</v>
      </c>
      <c r="AI10" s="31" t="str">
        <f>IF(W10&lt;&gt;"",IF(Data!B$7="NC",AF10+(AH10*(Data!B$8+Data!B$11+Data!B$27)),IF(Data!B$7&lt;&gt;"NC",AG10+(AH10*(Data!B$8+Data!B$11+Data!B$27)))),"")</f>
        <v/>
      </c>
    </row>
    <row r="11" spans="1:35">
      <c r="A11" s="48">
        <v>2.5</v>
      </c>
      <c r="B11" s="49">
        <v>0.625</v>
      </c>
      <c r="C11" s="31" t="s">
        <v>607</v>
      </c>
      <c r="D11" s="31" t="s">
        <v>189</v>
      </c>
      <c r="E11" s="57">
        <v>533</v>
      </c>
      <c r="F11" s="57">
        <v>581</v>
      </c>
      <c r="G11" s="57">
        <v>599</v>
      </c>
      <c r="H11" s="57">
        <v>770</v>
      </c>
      <c r="I11" s="50"/>
      <c r="J11" s="57">
        <v>11</v>
      </c>
      <c r="K11" s="57">
        <v>158</v>
      </c>
      <c r="M11" s="60">
        <v>2.5</v>
      </c>
      <c r="N11" s="49">
        <v>0.625</v>
      </c>
      <c r="O11" s="31" t="s">
        <v>607</v>
      </c>
      <c r="P11" s="31" t="s">
        <v>189</v>
      </c>
      <c r="Q11" s="31" t="str">
        <f>IF(OR(Data!B$3="a",Data!B$3="LH"),IF(M11=Data!B$4,IF(N11=Data!B$6,SUM(R11:V11),""),""),"")</f>
        <v/>
      </c>
      <c r="R11" s="31" t="str">
        <f>IF(OR("MX0"=Data!B$5,"MX1"=Data!B$5,"MX2"=Data!B$5,"MX3"=Data!B$5),E11,"")</f>
        <v/>
      </c>
      <c r="S11" s="31">
        <f>IF(OR("MF1"=Data!B$5,"MF2"=Data!B$5,"MS4"=Data!B$5),F11,"")</f>
        <v>581</v>
      </c>
      <c r="T11" s="31" t="str">
        <f>IF(OR("MP1"=Data!B$5,"MP3"=Data!B$5,"MT1"=Data!B$5,"MT2"=Data!B$5,"MF5"=Data!B$5,"MF6"=Data!B$5,"ME3"=Data!B$5,"ME4"=Data!B$5,"MS2"=Data!B$5),G11,"")</f>
        <v/>
      </c>
      <c r="U11" s="31" t="str">
        <f>IF(OR("MS3"=Data!B$5,"ME5"=Data!B$5,"ME6"=Data!B$5,"MS7"=Data!B$5,"MP2"=Data!B$5,"MT4"=Data!B$5,"MPU3"=Data!B$5),H11,"")</f>
        <v/>
      </c>
      <c r="W11" s="31" t="str">
        <f>IF(OR(Q11="",Q11=0),"",IF(Data!B$7="ABE",K11*4,IF(OR(Data!B$7="ACE",Data!B$7="ARE"),K11*2,IF(Data!B$7="BE",K11*2,IF(OR(Data!B$7="CE",Data!B$7="RE"),K11,0))))+J11*(ROUNDUP(Data!B$8,0.1)))</f>
        <v/>
      </c>
      <c r="X11" s="65"/>
      <c r="Y11" s="65">
        <f t="shared" si="0"/>
        <v>174</v>
      </c>
      <c r="Z11" s="65"/>
      <c r="AA11" s="65"/>
      <c r="AB11" s="65"/>
      <c r="AC11" s="65"/>
      <c r="AD11" s="65"/>
      <c r="AE11" s="65"/>
      <c r="AF11" s="31">
        <f t="shared" si="1"/>
        <v>134</v>
      </c>
      <c r="AG11" s="32">
        <f t="shared" si="2"/>
        <v>292</v>
      </c>
      <c r="AH11" s="31">
        <f t="shared" si="3"/>
        <v>10</v>
      </c>
      <c r="AI11" s="31" t="str">
        <f>IF(W11&lt;&gt;"",IF(Data!B$7="NC",AF11+(AH11*(Data!B$8+Data!B$11+Data!B$27)),IF(Data!B$7&lt;&gt;"NC",AG11+(AH11*(Data!B$8+Data!B$11+Data!B$27)))),"")</f>
        <v/>
      </c>
    </row>
    <row r="12" spans="1:35">
      <c r="A12" s="48"/>
      <c r="B12" s="49">
        <v>1</v>
      </c>
      <c r="C12" s="31" t="s">
        <v>856</v>
      </c>
      <c r="D12" s="31" t="s">
        <v>392</v>
      </c>
      <c r="E12" s="57">
        <v>679</v>
      </c>
      <c r="F12" s="57">
        <v>734</v>
      </c>
      <c r="G12" s="57">
        <v>747</v>
      </c>
      <c r="H12" s="57">
        <v>915</v>
      </c>
      <c r="I12" s="50"/>
      <c r="J12" s="57">
        <v>12</v>
      </c>
      <c r="K12" s="57">
        <v>158</v>
      </c>
      <c r="M12" s="60">
        <v>2.5</v>
      </c>
      <c r="N12" s="49">
        <v>1</v>
      </c>
      <c r="O12" s="31" t="s">
        <v>856</v>
      </c>
      <c r="P12" s="31" t="s">
        <v>392</v>
      </c>
      <c r="Q12" s="31" t="str">
        <f>IF(OR(Data!B$3="a",Data!B$3="LH"),IF(M12=Data!B$4,IF(N12=Data!B$6,SUM(R12:V12),""),""),"")</f>
        <v/>
      </c>
      <c r="R12" s="31" t="str">
        <f>IF(OR("MX0"=Data!B$5,"MX1"=Data!B$5,"MX2"=Data!B$5,"MX3"=Data!B$5),E12,"")</f>
        <v/>
      </c>
      <c r="S12" s="31">
        <f>IF(OR("MF1"=Data!B$5,"MF2"=Data!B$5,"MS4"=Data!B$5),F12,"")</f>
        <v>734</v>
      </c>
      <c r="T12" s="31" t="str">
        <f>IF(OR("MP1"=Data!B$5,"MP3"=Data!B$5,"MT1"=Data!B$5,"MT2"=Data!B$5,"MF5"=Data!B$5,"MF6"=Data!B$5,"ME3"=Data!B$5,"ME4"=Data!B$5,"MS2"=Data!B$5),G12,"")</f>
        <v/>
      </c>
      <c r="U12" s="31" t="str">
        <f>IF(OR("MS3"=Data!B$5,"ME5"=Data!B$5,"ME6"=Data!B$5,"MS7"=Data!B$5,"MP2"=Data!B$5,"MT4"=Data!B$5,"MPU3"=Data!B$5),H12,"")</f>
        <v/>
      </c>
      <c r="W12" s="31" t="str">
        <f>IF(OR(Q12="",Q12=0),"",IF(Data!B$7="ABE",K12*4,IF(OR(Data!B$7="ACE",Data!B$7="ARE"),K12*2,IF(Data!B$7="BE",K12*2,IF(OR(Data!B$7="CE",Data!B$7="RE"),K12,0))))+J12*(ROUNDUP(Data!B$8,0.1)))</f>
        <v/>
      </c>
      <c r="X12" s="65"/>
      <c r="Y12" s="65">
        <f t="shared" si="0"/>
        <v>174</v>
      </c>
      <c r="Z12" s="65"/>
      <c r="AA12" s="65"/>
      <c r="AB12" s="65"/>
      <c r="AC12" s="65"/>
      <c r="AD12" s="65"/>
      <c r="AE12" s="65"/>
      <c r="AF12" s="31">
        <f t="shared" si="1"/>
        <v>170</v>
      </c>
      <c r="AG12" s="32">
        <f t="shared" si="2"/>
        <v>328</v>
      </c>
      <c r="AH12" s="31">
        <f t="shared" si="3"/>
        <v>11</v>
      </c>
      <c r="AI12" s="31" t="str">
        <f>IF(W12&lt;&gt;"",IF(Data!B$7="NC",AF12+(AH12*(Data!B$8+Data!B$11+Data!B$27)),IF(Data!B$7&lt;&gt;"NC",AG12+(AH12*(Data!B$8+Data!B$11+Data!B$27)))),"")</f>
        <v/>
      </c>
    </row>
    <row r="13" spans="1:35">
      <c r="A13" s="48"/>
      <c r="B13" s="49">
        <v>1.375</v>
      </c>
      <c r="C13" s="31" t="s">
        <v>857</v>
      </c>
      <c r="D13" s="31" t="s">
        <v>858</v>
      </c>
      <c r="E13" s="57">
        <v>747</v>
      </c>
      <c r="F13" s="57">
        <v>786</v>
      </c>
      <c r="G13" s="57">
        <v>818</v>
      </c>
      <c r="H13" s="57">
        <v>1000</v>
      </c>
      <c r="I13" s="50"/>
      <c r="J13" s="57">
        <v>16</v>
      </c>
      <c r="K13" s="57">
        <v>158</v>
      </c>
      <c r="M13" s="60">
        <v>2.5</v>
      </c>
      <c r="N13" s="49">
        <v>1.375</v>
      </c>
      <c r="O13" s="31" t="s">
        <v>857</v>
      </c>
      <c r="P13" s="31" t="s">
        <v>858</v>
      </c>
      <c r="Q13" s="31" t="str">
        <f>IF(OR(Data!B$3="a",Data!B$3="LH"),IF(M13=Data!B$4,IF(N13=Data!B$6,SUM(R13:V13),""),""),"")</f>
        <v/>
      </c>
      <c r="R13" s="31" t="str">
        <f>IF(OR("MX0"=Data!B$5,"MX1"=Data!B$5,"MX2"=Data!B$5,"MX3"=Data!B$5),E13,"")</f>
        <v/>
      </c>
      <c r="S13" s="31">
        <f>IF(OR("MF1"=Data!B$5,"MF2"=Data!B$5,"MS4"=Data!B$5),F13,"")</f>
        <v>786</v>
      </c>
      <c r="T13" s="31" t="str">
        <f>IF(OR("MP1"=Data!B$5,"MP3"=Data!B$5,"MT1"=Data!B$5,"MT2"=Data!B$5,"MF5"=Data!B$5,"MF6"=Data!B$5,"ME3"=Data!B$5,"ME4"=Data!B$5,"MS2"=Data!B$5),G13,"")</f>
        <v/>
      </c>
      <c r="U13" s="31" t="str">
        <f>IF(OR("MS3"=Data!B$5,"ME5"=Data!B$5,"ME6"=Data!B$5,"MS7"=Data!B$5,"MP2"=Data!B$5,"MT4"=Data!B$5,"MPU3"=Data!B$5),H13,"")</f>
        <v/>
      </c>
      <c r="W13" s="31" t="str">
        <f>IF(OR(Q13="",Q13=0),"",IF(Data!B$7="ABE",K13*4,IF(OR(Data!B$7="ACE",Data!B$7="ARE"),K13*2,IF(Data!B$7="BE",K13*2,IF(OR(Data!B$7="CE",Data!B$7="RE"),K13,0))))+J13*(ROUNDUP(Data!B$8,0.1)))</f>
        <v/>
      </c>
      <c r="X13" s="65"/>
      <c r="Y13" s="65">
        <f t="shared" si="0"/>
        <v>174</v>
      </c>
      <c r="Z13" s="65"/>
      <c r="AA13" s="65"/>
      <c r="AB13" s="65"/>
      <c r="AC13" s="65"/>
      <c r="AD13" s="65"/>
      <c r="AE13" s="65"/>
      <c r="AF13" s="31">
        <f t="shared" si="1"/>
        <v>187</v>
      </c>
      <c r="AG13" s="32">
        <f t="shared" si="2"/>
        <v>345</v>
      </c>
      <c r="AH13" s="31">
        <f t="shared" si="3"/>
        <v>15</v>
      </c>
      <c r="AI13" s="31" t="str">
        <f>IF(W13&lt;&gt;"",IF(Data!B$7="NC",AF13+(AH13*(Data!B$8+Data!B$11+Data!B$27)),IF(Data!B$7&lt;&gt;"NC",AG13+(AH13*(Data!B$8+Data!B$11+Data!B$27)))),"")</f>
        <v/>
      </c>
    </row>
    <row r="14" spans="1:35">
      <c r="A14" s="48"/>
      <c r="B14" s="49">
        <v>1.75</v>
      </c>
      <c r="C14" s="54" t="s">
        <v>858</v>
      </c>
      <c r="D14" s="31" t="s">
        <v>521</v>
      </c>
      <c r="E14" s="57">
        <v>797</v>
      </c>
      <c r="F14" s="57">
        <v>833</v>
      </c>
      <c r="G14" s="57">
        <v>924</v>
      </c>
      <c r="H14" s="57">
        <v>1088</v>
      </c>
      <c r="I14" s="50"/>
      <c r="J14" s="57">
        <v>18</v>
      </c>
      <c r="K14" s="57">
        <v>158</v>
      </c>
      <c r="M14" s="60">
        <v>2.5</v>
      </c>
      <c r="N14" s="49">
        <v>1.75</v>
      </c>
      <c r="O14" s="54" t="s">
        <v>858</v>
      </c>
      <c r="P14" s="31" t="s">
        <v>521</v>
      </c>
      <c r="Q14" s="31" t="str">
        <f>IF(OR(Data!B$3="a",Data!B$3="LH"),IF(M14=Data!B$4,IF(N14=Data!B$6,SUM(R14:V14),""),""),"")</f>
        <v/>
      </c>
      <c r="R14" s="31" t="str">
        <f>IF(OR("MX0"=Data!B$5,"MX1"=Data!B$5,"MX2"=Data!B$5,"MX3"=Data!B$5),E14,"")</f>
        <v/>
      </c>
      <c r="S14" s="31">
        <f>IF(OR("MF1"=Data!B$5,"MF2"=Data!B$5,"MS4"=Data!B$5),F14,"")</f>
        <v>833</v>
      </c>
      <c r="T14" s="31" t="str">
        <f>IF(OR("MP1"=Data!B$5,"MP3"=Data!B$5,"MT1"=Data!B$5,"MT2"=Data!B$5,"MF5"=Data!B$5,"MF6"=Data!B$5,"ME3"=Data!B$5,"ME4"=Data!B$5,"MS2"=Data!B$5),G14,"")</f>
        <v/>
      </c>
      <c r="U14" s="31" t="str">
        <f>IF(OR("MS3"=Data!B$5,"ME5"=Data!B$5,"ME6"=Data!B$5,"MS7"=Data!B$5,"MP2"=Data!B$5,"MT4"=Data!B$5,"MPU3"=Data!B$5),H14,"")</f>
        <v/>
      </c>
      <c r="W14" s="31" t="str">
        <f>IF(OR(Q14="",Q14=0),"",IF(Data!B$7="ABE",K14*4,IF(OR(Data!B$7="ACE",Data!B$7="ARE"),K14*2,IF(Data!B$7="BE",K14*2,IF(OR(Data!B$7="CE",Data!B$7="RE"),K14,0))))+J14*(ROUNDUP(Data!B$8,0.1)))</f>
        <v/>
      </c>
      <c r="X14" s="65"/>
      <c r="Y14" s="65">
        <f t="shared" si="0"/>
        <v>174</v>
      </c>
      <c r="Z14" s="65"/>
      <c r="AA14" s="65"/>
      <c r="AB14" s="65"/>
      <c r="AC14" s="65"/>
      <c r="AD14" s="65"/>
      <c r="AE14" s="65"/>
      <c r="AF14" s="31">
        <f t="shared" si="1"/>
        <v>200</v>
      </c>
      <c r="AG14" s="32">
        <f t="shared" si="2"/>
        <v>358</v>
      </c>
      <c r="AH14" s="31">
        <f t="shared" si="3"/>
        <v>17</v>
      </c>
      <c r="AI14" s="31" t="str">
        <f>IF(W14&lt;&gt;"",IF(Data!B$7="NC",AF14+(AH14*(Data!B$8+Data!B$11+Data!B$27)),IF(Data!B$7&lt;&gt;"NC",AG14+(AH14*(Data!B$8+Data!B$11+Data!B$27)))),"")</f>
        <v/>
      </c>
    </row>
    <row r="15" spans="1:35">
      <c r="A15" s="48">
        <v>3.25</v>
      </c>
      <c r="B15" s="49">
        <v>1</v>
      </c>
      <c r="C15" s="31" t="s">
        <v>856</v>
      </c>
      <c r="D15" s="31" t="s">
        <v>392</v>
      </c>
      <c r="E15" s="57">
        <v>682</v>
      </c>
      <c r="F15" s="57">
        <v>745</v>
      </c>
      <c r="G15" s="57">
        <v>761</v>
      </c>
      <c r="H15" s="57">
        <v>982</v>
      </c>
      <c r="I15" s="50"/>
      <c r="J15" s="57">
        <v>17</v>
      </c>
      <c r="K15" s="57">
        <v>191</v>
      </c>
      <c r="M15" s="60">
        <v>3.25</v>
      </c>
      <c r="N15" s="49">
        <v>1</v>
      </c>
      <c r="O15" s="31" t="s">
        <v>856</v>
      </c>
      <c r="P15" s="31" t="s">
        <v>392</v>
      </c>
      <c r="Q15" s="31" t="str">
        <f>IF(OR(Data!B$3="a",Data!B$3="LH"),IF(M15=Data!B$4,IF(N15=Data!B$6,SUM(R15:V15),""),""),"")</f>
        <v/>
      </c>
      <c r="R15" s="31" t="str">
        <f>IF(OR("MX0"=Data!B$5,"MX1"=Data!B$5,"MX2"=Data!B$5,"MX3"=Data!B$5),E15,"")</f>
        <v/>
      </c>
      <c r="S15" s="31">
        <f>IF(OR("MF1"=Data!B$5,"MF2"=Data!B$5,"MS4"=Data!B$5),F15,"")</f>
        <v>745</v>
      </c>
      <c r="T15" s="31" t="str">
        <f>IF(OR("MP1"=Data!B$5,"MP3"=Data!B$5,"MT1"=Data!B$5,"MT2"=Data!B$5,"MF5"=Data!B$5,"MF6"=Data!B$5,"ME3"=Data!B$5,"ME4"=Data!B$5,"MS2"=Data!B$5),G15,"")</f>
        <v/>
      </c>
      <c r="U15" s="31" t="str">
        <f>IF(OR("MS3"=Data!B$5,"ME5"=Data!B$5,"ME6"=Data!B$5,"MS7"=Data!B$5,"MP2"=Data!B$5,"MT4"=Data!B$5,"MPU3"=Data!B$5),H15,"")</f>
        <v/>
      </c>
      <c r="W15" s="31" t="str">
        <f>IF(OR(Q15="",Q15=0),"",IF(Data!B$7="ABE",K15*4,IF(OR(Data!B$7="ACE",Data!B$7="ARE"),K15*2,IF(Data!B$7="BE",K15*2,IF(OR(Data!B$7="CE",Data!B$7="RE"),K15,0))))+J15*(ROUNDUP(Data!B$8,0.1)))</f>
        <v/>
      </c>
      <c r="X15" s="65"/>
      <c r="Y15" s="65">
        <f t="shared" si="0"/>
        <v>211</v>
      </c>
      <c r="Z15" s="65"/>
      <c r="AA15" s="65"/>
      <c r="AB15" s="65"/>
      <c r="AC15" s="65"/>
      <c r="AD15" s="65"/>
      <c r="AE15" s="65"/>
      <c r="AF15" s="31">
        <f t="shared" si="1"/>
        <v>171</v>
      </c>
      <c r="AG15" s="32">
        <f t="shared" si="2"/>
        <v>362</v>
      </c>
      <c r="AH15" s="31">
        <f t="shared" si="3"/>
        <v>16</v>
      </c>
      <c r="AI15" s="31" t="str">
        <f>IF(W15&lt;&gt;"",IF(Data!B$7="NC",AF15+(AH15*(Data!B$8+Data!B$11+Data!B$27)),IF(Data!B$7&lt;&gt;"NC",AG15+(AH15*(Data!B$8+Data!B$11+Data!B$27)))),"")</f>
        <v/>
      </c>
    </row>
    <row r="16" spans="1:35">
      <c r="A16" s="48"/>
      <c r="B16" s="49">
        <v>1.375</v>
      </c>
      <c r="C16" s="31" t="s">
        <v>857</v>
      </c>
      <c r="D16" s="31" t="s">
        <v>858</v>
      </c>
      <c r="E16" s="57">
        <v>907</v>
      </c>
      <c r="F16" s="57">
        <v>953</v>
      </c>
      <c r="G16" s="57">
        <v>965</v>
      </c>
      <c r="H16" s="57">
        <v>1167</v>
      </c>
      <c r="I16" s="50"/>
      <c r="J16" s="57">
        <v>20</v>
      </c>
      <c r="K16" s="57">
        <v>191</v>
      </c>
      <c r="M16" s="60">
        <v>3.25</v>
      </c>
      <c r="N16" s="49">
        <v>1.375</v>
      </c>
      <c r="O16" s="31" t="s">
        <v>857</v>
      </c>
      <c r="P16" s="31" t="s">
        <v>858</v>
      </c>
      <c r="Q16" s="31" t="str">
        <f>IF(OR(Data!B$3="a",Data!B$3="LH"),IF(M16=Data!B$4,IF(N16=Data!B$6,SUM(R16:V16),""),""),"")</f>
        <v/>
      </c>
      <c r="R16" s="31" t="str">
        <f>IF(OR("MX0"=Data!B$5,"MX1"=Data!B$5,"MX2"=Data!B$5,"MX3"=Data!B$5),E16,"")</f>
        <v/>
      </c>
      <c r="S16" s="31">
        <f>IF(OR("MF1"=Data!B$5,"MF2"=Data!B$5,"MS4"=Data!B$5),F16,"")</f>
        <v>953</v>
      </c>
      <c r="T16" s="31" t="str">
        <f>IF(OR("MP1"=Data!B$5,"MP3"=Data!B$5,"MT1"=Data!B$5,"MT2"=Data!B$5,"MF5"=Data!B$5,"MF6"=Data!B$5,"ME3"=Data!B$5,"ME4"=Data!B$5,"MS2"=Data!B$5),G16,"")</f>
        <v/>
      </c>
      <c r="U16" s="31" t="str">
        <f>IF(OR("MS3"=Data!B$5,"ME5"=Data!B$5,"ME6"=Data!B$5,"MS7"=Data!B$5,"MP2"=Data!B$5,"MT4"=Data!B$5,"MPU3"=Data!B$5),H16,"")</f>
        <v/>
      </c>
      <c r="W16" s="31" t="str">
        <f>IF(OR(Q16="",Q16=0),"",IF(Data!B$7="ABE",K16*4,IF(OR(Data!B$7="ACE",Data!B$7="ARE"),K16*2,IF(Data!B$7="BE",K16*2,IF(OR(Data!B$7="CE",Data!B$7="RE"),K16,0))))+J16*(ROUNDUP(Data!B$8,0.1)))</f>
        <v/>
      </c>
      <c r="X16" s="65"/>
      <c r="Y16" s="65">
        <f t="shared" si="0"/>
        <v>211</v>
      </c>
      <c r="Z16" s="65"/>
      <c r="AA16" s="65"/>
      <c r="AB16" s="65"/>
      <c r="AC16" s="65"/>
      <c r="AD16" s="65"/>
      <c r="AE16" s="65"/>
      <c r="AF16" s="31">
        <f t="shared" si="1"/>
        <v>227</v>
      </c>
      <c r="AG16" s="32">
        <f t="shared" si="2"/>
        <v>418</v>
      </c>
      <c r="AH16" s="31">
        <f t="shared" si="3"/>
        <v>19</v>
      </c>
      <c r="AI16" s="31" t="str">
        <f>IF(W16&lt;&gt;"",IF(Data!B$7="NC",AF16+(AH16*(Data!B$8+Data!B$11+Data!B$27)),IF(Data!B$7&lt;&gt;"NC",AG16+(AH16*(Data!B$8+Data!B$11+Data!B$27)))),"")</f>
        <v/>
      </c>
    </row>
    <row r="17" spans="1:35">
      <c r="A17" s="48"/>
      <c r="B17" s="49">
        <v>1.75</v>
      </c>
      <c r="C17" s="31" t="s">
        <v>858</v>
      </c>
      <c r="D17" s="31" t="s">
        <v>521</v>
      </c>
      <c r="E17" s="57">
        <v>975</v>
      </c>
      <c r="F17" s="57">
        <v>1037</v>
      </c>
      <c r="G17" s="57">
        <v>1053</v>
      </c>
      <c r="H17" s="57">
        <v>1254</v>
      </c>
      <c r="I17" s="50"/>
      <c r="J17" s="57">
        <v>23</v>
      </c>
      <c r="K17" s="57">
        <v>191</v>
      </c>
      <c r="M17" s="60">
        <v>3.25</v>
      </c>
      <c r="N17" s="49">
        <v>1.75</v>
      </c>
      <c r="O17" s="31" t="s">
        <v>858</v>
      </c>
      <c r="P17" s="31" t="s">
        <v>521</v>
      </c>
      <c r="Q17" s="31" t="str">
        <f>IF(OR(Data!B$3="a",Data!B$3="LH"),IF(M17=Data!B$4,IF(N17=Data!B$6,SUM(R17:V17),""),""),"")</f>
        <v/>
      </c>
      <c r="R17" s="31" t="str">
        <f>IF(OR("MX0"=Data!B$5,"MX1"=Data!B$5,"MX2"=Data!B$5,"MX3"=Data!B$5),E17,"")</f>
        <v/>
      </c>
      <c r="S17" s="31">
        <f>IF(OR("MF1"=Data!B$5,"MF2"=Data!B$5,"MS4"=Data!B$5),F17,"")</f>
        <v>1037</v>
      </c>
      <c r="T17" s="31" t="str">
        <f>IF(OR("MP1"=Data!B$5,"MP3"=Data!B$5,"MT1"=Data!B$5,"MT2"=Data!B$5,"MF5"=Data!B$5,"MF6"=Data!B$5,"ME3"=Data!B$5,"ME4"=Data!B$5,"MS2"=Data!B$5),G17,"")</f>
        <v/>
      </c>
      <c r="U17" s="31" t="str">
        <f>IF(OR("MS3"=Data!B$5,"ME5"=Data!B$5,"ME6"=Data!B$5,"MS7"=Data!B$5,"MP2"=Data!B$5,"MT4"=Data!B$5,"MPU3"=Data!B$5),H17,"")</f>
        <v/>
      </c>
      <c r="W17" s="31" t="str">
        <f>IF(OR(Q17="",Q17=0),"",IF(Data!B$7="ABE",K17*4,IF(OR(Data!B$7="ACE",Data!B$7="ARE"),K17*2,IF(Data!B$7="BE",K17*2,IF(OR(Data!B$7="CE",Data!B$7="RE"),K17,0))))+J17*(ROUNDUP(Data!B$8,0.1)))</f>
        <v/>
      </c>
      <c r="X17" s="65"/>
      <c r="Y17" s="65">
        <f t="shared" si="0"/>
        <v>211</v>
      </c>
      <c r="Z17" s="65"/>
      <c r="AA17" s="65"/>
      <c r="AB17" s="65"/>
      <c r="AC17" s="65"/>
      <c r="AD17" s="65"/>
      <c r="AE17" s="65"/>
      <c r="AF17" s="31">
        <f t="shared" si="1"/>
        <v>244</v>
      </c>
      <c r="AG17" s="32">
        <f t="shared" si="2"/>
        <v>435</v>
      </c>
      <c r="AH17" s="31">
        <f t="shared" si="3"/>
        <v>21</v>
      </c>
      <c r="AI17" s="31" t="str">
        <f>IF(W17&lt;&gt;"",IF(Data!B$7="NC",AF17+(AH17*(Data!B$8+Data!B$11+Data!B$27)),IF(Data!B$7&lt;&gt;"NC",AG17+(AH17*(Data!B$8+Data!B$11+Data!B$27)))),"")</f>
        <v/>
      </c>
    </row>
    <row r="18" spans="1:35">
      <c r="A18" s="48"/>
      <c r="B18" s="49">
        <v>2</v>
      </c>
      <c r="C18" s="54" t="s">
        <v>521</v>
      </c>
      <c r="D18" s="54" t="s">
        <v>602</v>
      </c>
      <c r="E18" s="57">
        <v>1059</v>
      </c>
      <c r="F18" s="57">
        <v>1125</v>
      </c>
      <c r="G18" s="57">
        <v>1136</v>
      </c>
      <c r="H18" s="57">
        <v>1350</v>
      </c>
      <c r="I18" s="50"/>
      <c r="J18" s="57">
        <v>24</v>
      </c>
      <c r="K18" s="57">
        <v>191</v>
      </c>
      <c r="M18" s="60">
        <v>3.25</v>
      </c>
      <c r="N18" s="49">
        <v>2</v>
      </c>
      <c r="O18" s="54" t="s">
        <v>521</v>
      </c>
      <c r="P18" s="54" t="s">
        <v>602</v>
      </c>
      <c r="Q18" s="31" t="str">
        <f>IF(OR(Data!B$3="a",Data!B$3="LH"),IF(M18=Data!B$4,IF(N18=Data!B$6,SUM(R18:V18),""),""),"")</f>
        <v/>
      </c>
      <c r="R18" s="31" t="str">
        <f>IF(OR("MX0"=Data!B$5,"MX1"=Data!B$5,"MX2"=Data!B$5,"MX3"=Data!B$5),E18,"")</f>
        <v/>
      </c>
      <c r="S18" s="31">
        <f>IF(OR("MF1"=Data!B$5,"MF2"=Data!B$5,"MS4"=Data!B$5),F18,"")</f>
        <v>1125</v>
      </c>
      <c r="T18" s="31" t="str">
        <f>IF(OR("MP1"=Data!B$5,"MP3"=Data!B$5,"MT1"=Data!B$5,"MT2"=Data!B$5,"MF5"=Data!B$5,"MF6"=Data!B$5,"ME3"=Data!B$5,"ME4"=Data!B$5,"MS2"=Data!B$5),G18,"")</f>
        <v/>
      </c>
      <c r="U18" s="31" t="str">
        <f>IF(OR("MS3"=Data!B$5,"ME5"=Data!B$5,"ME6"=Data!B$5,"MS7"=Data!B$5,"MP2"=Data!B$5,"MT4"=Data!B$5,"MPU3"=Data!B$5),H18,"")</f>
        <v/>
      </c>
      <c r="W18" s="31" t="str">
        <f>IF(OR(Q18="",Q18=0),"",IF(Data!B$7="ABE",K18*4,IF(OR(Data!B$7="ACE",Data!B$7="ARE"),K18*2,IF(Data!B$7="BE",K18*2,IF(OR(Data!B$7="CE",Data!B$7="RE"),K18,0))))+J18*(ROUNDUP(Data!B$8,0.1)))</f>
        <v/>
      </c>
      <c r="X18" s="65"/>
      <c r="Y18" s="65">
        <f t="shared" si="0"/>
        <v>211</v>
      </c>
      <c r="Z18" s="65"/>
      <c r="AA18" s="65"/>
      <c r="AB18" s="65"/>
      <c r="AC18" s="65"/>
      <c r="AD18" s="65"/>
      <c r="AE18" s="65"/>
      <c r="AF18" s="31">
        <f t="shared" si="1"/>
        <v>265</v>
      </c>
      <c r="AG18" s="32">
        <f t="shared" si="2"/>
        <v>456</v>
      </c>
      <c r="AH18" s="31">
        <f t="shared" si="3"/>
        <v>22</v>
      </c>
      <c r="AI18" s="31" t="str">
        <f>IF(W18&lt;&gt;"",IF(Data!B$7="NC",AF18+(AH18*(Data!B$8+Data!B$11+Data!B$27)),IF(Data!B$7&lt;&gt;"NC",AG18+(AH18*(Data!B$8+Data!B$11+Data!B$27)))),"")</f>
        <v/>
      </c>
    </row>
    <row r="19" spans="1:35">
      <c r="A19" s="48">
        <v>4</v>
      </c>
      <c r="B19" s="49">
        <v>1</v>
      </c>
      <c r="C19" s="31" t="s">
        <v>856</v>
      </c>
      <c r="D19" s="31" t="s">
        <v>392</v>
      </c>
      <c r="E19" s="57">
        <v>811</v>
      </c>
      <c r="F19" s="57">
        <v>859</v>
      </c>
      <c r="G19" s="57">
        <v>876</v>
      </c>
      <c r="H19" s="57">
        <v>1113</v>
      </c>
      <c r="I19" s="50"/>
      <c r="J19" s="57">
        <v>18</v>
      </c>
      <c r="K19" s="57">
        <v>191</v>
      </c>
      <c r="M19" s="60">
        <v>4</v>
      </c>
      <c r="N19" s="49">
        <v>1</v>
      </c>
      <c r="O19" s="31" t="s">
        <v>856</v>
      </c>
      <c r="P19" s="31" t="s">
        <v>392</v>
      </c>
      <c r="Q19" s="31" t="str">
        <f>IF(OR(Data!B$3="a",Data!B$3="LH"),IF(M19=Data!B$4,IF(N19=Data!B$6,SUM(R19:V19),""),""),"")</f>
        <v/>
      </c>
      <c r="R19" s="31" t="str">
        <f>IF(OR("MX0"=Data!B$5,"MX1"=Data!B$5,"MX2"=Data!B$5,"MX3"=Data!B$5),E19,"")</f>
        <v/>
      </c>
      <c r="S19" s="31">
        <f>IF(OR("MF1"=Data!B$5,"MF2"=Data!B$5,"MS4"=Data!B$5),F19,"")</f>
        <v>859</v>
      </c>
      <c r="T19" s="31" t="str">
        <f>IF(OR("MP1"=Data!B$5,"MP3"=Data!B$5,"MT1"=Data!B$5,"MT2"=Data!B$5,"MF5"=Data!B$5,"MF6"=Data!B$5,"ME3"=Data!B$5,"ME4"=Data!B$5,"MS2"=Data!B$5),G19,"")</f>
        <v/>
      </c>
      <c r="U19" s="31" t="str">
        <f>IF(OR("MS3"=Data!B$5,"ME5"=Data!B$5,"ME6"=Data!B$5,"MS7"=Data!B$5,"MP2"=Data!B$5,"MT4"=Data!B$5,"MPU3"=Data!B$5),H19,"")</f>
        <v/>
      </c>
      <c r="W19" s="31" t="str">
        <f>IF(OR(Q19="",Q19=0),"",IF(Data!B$7="ABE",K19*4,IF(OR(Data!B$7="ACE",Data!B$7="ARE"),K19*2,IF(Data!B$7="BE",K19*2,IF(OR(Data!B$7="CE",Data!B$7="RE"),K19,0))))+J19*(ROUNDUP(Data!B$8,0.1)))</f>
        <v/>
      </c>
      <c r="X19" s="65"/>
      <c r="Y19" s="65">
        <f t="shared" si="0"/>
        <v>211</v>
      </c>
      <c r="Z19" s="65"/>
      <c r="AA19" s="65"/>
      <c r="AB19" s="65"/>
      <c r="AC19" s="65"/>
      <c r="AD19" s="65"/>
      <c r="AE19" s="65"/>
      <c r="AF19" s="31">
        <f t="shared" si="1"/>
        <v>203</v>
      </c>
      <c r="AG19" s="32">
        <f t="shared" si="2"/>
        <v>394</v>
      </c>
      <c r="AH19" s="31">
        <f t="shared" si="3"/>
        <v>17</v>
      </c>
      <c r="AI19" s="31" t="str">
        <f>IF(W19&lt;&gt;"",IF(Data!B$7="NC",AF19+(AH19*(Data!B$8+Data!B$11+Data!B$27)),IF(Data!B$7&lt;&gt;"NC",AG19+(AH19*(Data!B$8+Data!B$11+Data!B$27)))),"")</f>
        <v/>
      </c>
    </row>
    <row r="20" spans="1:35">
      <c r="A20" s="48"/>
      <c r="B20" s="49">
        <v>1.375</v>
      </c>
      <c r="C20" s="31" t="s">
        <v>857</v>
      </c>
      <c r="D20" s="31" t="s">
        <v>858</v>
      </c>
      <c r="E20" s="57">
        <v>976</v>
      </c>
      <c r="F20" s="57">
        <v>1054</v>
      </c>
      <c r="G20" s="57">
        <v>1074</v>
      </c>
      <c r="H20" s="57">
        <v>1293</v>
      </c>
      <c r="I20" s="50"/>
      <c r="J20" s="57">
        <v>21</v>
      </c>
      <c r="K20" s="57">
        <v>191</v>
      </c>
      <c r="M20" s="60">
        <v>4</v>
      </c>
      <c r="N20" s="49">
        <v>1.375</v>
      </c>
      <c r="O20" s="31" t="s">
        <v>857</v>
      </c>
      <c r="P20" s="31" t="s">
        <v>858</v>
      </c>
      <c r="Q20" s="31" t="str">
        <f>IF(OR(Data!B$3="a",Data!B$3="LH"),IF(M20=Data!B$4,IF(N20=Data!B$6,SUM(R20:V20),""),""),"")</f>
        <v/>
      </c>
      <c r="R20" s="31" t="str">
        <f>IF(OR("MX0"=Data!B$5,"MX1"=Data!B$5,"MX2"=Data!B$5,"MX3"=Data!B$5),E20,"")</f>
        <v/>
      </c>
      <c r="S20" s="31">
        <f>IF(OR("MF1"=Data!B$5,"MF2"=Data!B$5,"MS4"=Data!B$5),F20,"")</f>
        <v>1054</v>
      </c>
      <c r="T20" s="31" t="str">
        <f>IF(OR("MP1"=Data!B$5,"MP3"=Data!B$5,"MT1"=Data!B$5,"MT2"=Data!B$5,"MF5"=Data!B$5,"MF6"=Data!B$5,"ME3"=Data!B$5,"ME4"=Data!B$5,"MS2"=Data!B$5),G20,"")</f>
        <v/>
      </c>
      <c r="U20" s="31" t="str">
        <f>IF(OR("MS3"=Data!B$5,"ME5"=Data!B$5,"ME6"=Data!B$5,"MS7"=Data!B$5,"MP2"=Data!B$5,"MT4"=Data!B$5,"MPU3"=Data!B$5),H20,"")</f>
        <v/>
      </c>
      <c r="W20" s="31" t="str">
        <f>IF(OR(Q20="",Q20=0),"",IF(Data!B$7="ABE",K20*4,IF(OR(Data!B$7="ACE",Data!B$7="ARE"),K20*2,IF(Data!B$7="BE",K20*2,IF(OR(Data!B$7="CE",Data!B$7="RE"),K20,0))))+J20*(ROUNDUP(Data!B$8,0.1)))</f>
        <v/>
      </c>
      <c r="X20" s="65"/>
      <c r="Y20" s="65">
        <f t="shared" si="0"/>
        <v>211</v>
      </c>
      <c r="Z20" s="65"/>
      <c r="AA20" s="65"/>
      <c r="AB20" s="65"/>
      <c r="AC20" s="65"/>
      <c r="AD20" s="65"/>
      <c r="AE20" s="65"/>
      <c r="AF20" s="31">
        <f t="shared" si="1"/>
        <v>244</v>
      </c>
      <c r="AG20" s="32">
        <f t="shared" si="2"/>
        <v>435</v>
      </c>
      <c r="AH20" s="31">
        <f t="shared" si="3"/>
        <v>19</v>
      </c>
      <c r="AI20" s="31" t="str">
        <f>IF(W20&lt;&gt;"",IF(Data!B$7="NC",AF20+(AH20*(Data!B$8+Data!B$11+Data!B$27)),IF(Data!B$7&lt;&gt;"NC",AG20+(AH20*(Data!B$8+Data!B$11+Data!B$27)))),"")</f>
        <v/>
      </c>
    </row>
    <row r="21" spans="1:35">
      <c r="A21" s="48"/>
      <c r="B21" s="49">
        <v>1.75</v>
      </c>
      <c r="C21" s="31" t="s">
        <v>858</v>
      </c>
      <c r="D21" s="31" t="s">
        <v>521</v>
      </c>
      <c r="E21" s="57">
        <v>1054</v>
      </c>
      <c r="F21" s="57">
        <v>1129</v>
      </c>
      <c r="G21" s="57">
        <v>1153</v>
      </c>
      <c r="H21" s="57">
        <v>1439</v>
      </c>
      <c r="I21" s="50"/>
      <c r="J21" s="57">
        <v>23</v>
      </c>
      <c r="K21" s="57">
        <v>191</v>
      </c>
      <c r="M21" s="60">
        <v>4</v>
      </c>
      <c r="N21" s="49">
        <v>1.75</v>
      </c>
      <c r="O21" s="31" t="s">
        <v>858</v>
      </c>
      <c r="P21" s="31" t="s">
        <v>521</v>
      </c>
      <c r="Q21" s="31" t="str">
        <f>IF(OR(Data!B$3="a",Data!B$3="LH"),IF(M21=Data!B$4,IF(N21=Data!B$6,SUM(R21:V21),""),""),"")</f>
        <v/>
      </c>
      <c r="R21" s="31" t="str">
        <f>IF(OR("MX0"=Data!B$5,"MX1"=Data!B$5,"MX2"=Data!B$5,"MX3"=Data!B$5),E21,"")</f>
        <v/>
      </c>
      <c r="S21" s="31">
        <f>IF(OR("MF1"=Data!B$5,"MF2"=Data!B$5,"MS4"=Data!B$5),F21,"")</f>
        <v>1129</v>
      </c>
      <c r="T21" s="31" t="str">
        <f>IF(OR("MP1"=Data!B$5,"MP3"=Data!B$5,"MT1"=Data!B$5,"MT2"=Data!B$5,"MF5"=Data!B$5,"MF6"=Data!B$5,"ME3"=Data!B$5,"ME4"=Data!B$5,"MS2"=Data!B$5),G21,"")</f>
        <v/>
      </c>
      <c r="U21" s="31" t="str">
        <f>IF(OR("MS3"=Data!B$5,"ME5"=Data!B$5,"ME6"=Data!B$5,"MS7"=Data!B$5,"MP2"=Data!B$5,"MT4"=Data!B$5,"MPU3"=Data!B$5),H21,"")</f>
        <v/>
      </c>
      <c r="W21" s="31" t="str">
        <f>IF(OR(Q21="",Q21=0),"",IF(Data!B$7="ABE",K21*4,IF(OR(Data!B$7="ACE",Data!B$7="ARE"),K21*2,IF(Data!B$7="BE",K21*2,IF(OR(Data!B$7="CE",Data!B$7="RE"),K21,0))))+J21*(ROUNDUP(Data!B$8,0.1)))</f>
        <v/>
      </c>
      <c r="X21" s="65"/>
      <c r="Y21" s="65">
        <f t="shared" si="0"/>
        <v>211</v>
      </c>
      <c r="Z21" s="65"/>
      <c r="AA21" s="65"/>
      <c r="AB21" s="65"/>
      <c r="AC21" s="65"/>
      <c r="AD21" s="65"/>
      <c r="AE21" s="65"/>
      <c r="AF21" s="31">
        <f t="shared" si="1"/>
        <v>264</v>
      </c>
      <c r="AG21" s="32">
        <f t="shared" si="2"/>
        <v>455</v>
      </c>
      <c r="AH21" s="31">
        <f t="shared" si="3"/>
        <v>21</v>
      </c>
      <c r="AI21" s="31" t="str">
        <f>IF(W21&lt;&gt;"",IF(Data!B$7="NC",AF21+(AH21*(Data!B$8+Data!B$11+Data!B$27)),IF(Data!B$7&lt;&gt;"NC",AG21+(AH21*(Data!B$8+Data!B$11+Data!B$27)))),"")</f>
        <v/>
      </c>
    </row>
    <row r="22" spans="1:35">
      <c r="A22" s="48"/>
      <c r="B22" s="49">
        <v>2</v>
      </c>
      <c r="C22" s="31" t="s">
        <v>521</v>
      </c>
      <c r="D22" s="31" t="s">
        <v>602</v>
      </c>
      <c r="E22" s="57">
        <v>1141</v>
      </c>
      <c r="F22" s="57">
        <v>1245</v>
      </c>
      <c r="G22" s="57">
        <v>1241</v>
      </c>
      <c r="H22" s="57">
        <v>1586</v>
      </c>
      <c r="I22" s="50"/>
      <c r="J22" s="57">
        <v>24</v>
      </c>
      <c r="K22" s="57">
        <v>191</v>
      </c>
      <c r="M22" s="60">
        <v>4</v>
      </c>
      <c r="N22" s="49">
        <v>2</v>
      </c>
      <c r="O22" s="31" t="s">
        <v>521</v>
      </c>
      <c r="P22" s="31" t="s">
        <v>602</v>
      </c>
      <c r="Q22" s="31" t="str">
        <f>IF(OR(Data!B$3="a",Data!B$3="LH"),IF(M22=Data!B$4,IF(N22=Data!B$6,SUM(R22:V22),""),""),"")</f>
        <v/>
      </c>
      <c r="R22" s="31" t="str">
        <f>IF(OR("MX0"=Data!B$5,"MX1"=Data!B$5,"MX2"=Data!B$5,"MX3"=Data!B$5),E22,"")</f>
        <v/>
      </c>
      <c r="S22" s="31">
        <f>IF(OR("MF1"=Data!B$5,"MF2"=Data!B$5,"MS4"=Data!B$5),F22,"")</f>
        <v>1245</v>
      </c>
      <c r="T22" s="31" t="str">
        <f>IF(OR("MP1"=Data!B$5,"MP3"=Data!B$5,"MT1"=Data!B$5,"MT2"=Data!B$5,"MF5"=Data!B$5,"MF6"=Data!B$5,"ME3"=Data!B$5,"ME4"=Data!B$5,"MS2"=Data!B$5),G22,"")</f>
        <v/>
      </c>
      <c r="U22" s="31" t="str">
        <f>IF(OR("MS3"=Data!B$5,"ME5"=Data!B$5,"ME6"=Data!B$5,"MS7"=Data!B$5,"MP2"=Data!B$5,"MT4"=Data!B$5,"MPU3"=Data!B$5),H22,"")</f>
        <v/>
      </c>
      <c r="W22" s="31" t="str">
        <f>IF(OR(Q22="",Q22=0),"",IF(Data!B$7="ABE",K22*4,IF(OR(Data!B$7="ACE",Data!B$7="ARE"),K22*2,IF(Data!B$7="BE",K22*2,IF(OR(Data!B$7="CE",Data!B$7="RE"),K22,0))))+J22*(ROUNDUP(Data!B$8,0.1)))</f>
        <v/>
      </c>
      <c r="X22" s="65"/>
      <c r="Y22" s="65">
        <f t="shared" si="0"/>
        <v>211</v>
      </c>
      <c r="Z22" s="65"/>
      <c r="AA22" s="65"/>
      <c r="AB22" s="65"/>
      <c r="AC22" s="65"/>
      <c r="AD22" s="65"/>
      <c r="AE22" s="65"/>
      <c r="AF22" s="31">
        <f t="shared" si="1"/>
        <v>286</v>
      </c>
      <c r="AG22" s="32">
        <f t="shared" si="2"/>
        <v>477</v>
      </c>
      <c r="AH22" s="31">
        <f t="shared" si="3"/>
        <v>22</v>
      </c>
      <c r="AI22" s="31" t="str">
        <f>IF(W22&lt;&gt;"",IF(Data!B$7="NC",AF22+(AH22*(Data!B$8+Data!B$11+Data!B$27)),IF(Data!B$7&lt;&gt;"NC",AG22+(AH22*(Data!B$8+Data!B$11+Data!B$27)))),"")</f>
        <v/>
      </c>
    </row>
    <row r="23" spans="1:35">
      <c r="A23" s="48">
        <v>5</v>
      </c>
      <c r="B23" s="49">
        <v>1</v>
      </c>
      <c r="C23" s="31" t="s">
        <v>856</v>
      </c>
      <c r="D23" s="31" t="s">
        <v>392</v>
      </c>
      <c r="E23" s="57">
        <v>907</v>
      </c>
      <c r="F23" s="57">
        <v>987</v>
      </c>
      <c r="G23" s="57">
        <v>1035</v>
      </c>
      <c r="H23" s="57">
        <v>1328</v>
      </c>
      <c r="I23" s="50"/>
      <c r="J23" s="57">
        <v>23</v>
      </c>
      <c r="K23" s="57">
        <v>196</v>
      </c>
      <c r="M23" s="60">
        <v>5</v>
      </c>
      <c r="N23" s="49">
        <v>1</v>
      </c>
      <c r="O23" s="31" t="s">
        <v>856</v>
      </c>
      <c r="P23" s="31" t="s">
        <v>392</v>
      </c>
      <c r="Q23" s="31" t="str">
        <f>IF(OR(Data!B$3="a",Data!B$3="LH"),IF(M23=Data!B$4,IF(N23=Data!B$6,SUM(R23:V23),""),""),"")</f>
        <v/>
      </c>
      <c r="R23" s="31" t="str">
        <f>IF(OR("MX0"=Data!B$5,"MX1"=Data!B$5,"MX2"=Data!B$5,"MX3"=Data!B$5),E23,"")</f>
        <v/>
      </c>
      <c r="S23" s="31">
        <f>IF(OR("MF1"=Data!B$5,"MF2"=Data!B$5,"MS4"=Data!B$5),F23,"")</f>
        <v>987</v>
      </c>
      <c r="T23" s="31" t="str">
        <f>IF(OR("MP1"=Data!B$5,"MP3"=Data!B$5,"MT1"=Data!B$5,"MT2"=Data!B$5,"MF5"=Data!B$5,"MF6"=Data!B$5,"ME3"=Data!B$5,"ME4"=Data!B$5,"MS2"=Data!B$5),G23,"")</f>
        <v/>
      </c>
      <c r="U23" s="31" t="str">
        <f>IF(OR("MS3"=Data!B$5,"ME5"=Data!B$5,"ME6"=Data!B$5,"MS7"=Data!B$5,"MP2"=Data!B$5,"MT4"=Data!B$5,"MPU3"=Data!B$5),H23,"")</f>
        <v/>
      </c>
      <c r="W23" s="31" t="str">
        <f>IF(OR(Q23="",Q23=0),"",IF(Data!B$7="ABE",K23*4,IF(OR(Data!B$7="ACE",Data!B$7="ARE"),K23*2,IF(Data!B$7="BE",K23*2,IF(OR(Data!B$7="CE",Data!B$7="RE"),K23,0))))+J23*(ROUNDUP(Data!B$8,0.1)))</f>
        <v/>
      </c>
      <c r="X23" s="65"/>
      <c r="Y23" s="65">
        <f t="shared" si="0"/>
        <v>216</v>
      </c>
      <c r="Z23" s="65"/>
      <c r="AA23" s="65"/>
      <c r="AB23" s="65"/>
      <c r="AC23" s="65"/>
      <c r="AD23" s="65"/>
      <c r="AE23" s="65"/>
      <c r="AF23" s="31">
        <f t="shared" si="1"/>
        <v>227</v>
      </c>
      <c r="AG23" s="32">
        <f t="shared" si="2"/>
        <v>423</v>
      </c>
      <c r="AH23" s="31">
        <f t="shared" si="3"/>
        <v>21</v>
      </c>
      <c r="AI23" s="31" t="str">
        <f>IF(W23&lt;&gt;"",IF(Data!B$7="NC",AF23+(AH23*(Data!B$8+Data!B$11+Data!B$27)),IF(Data!B$7&lt;&gt;"NC",AG23+(AH23*(Data!B$8+Data!B$11+Data!B$27)))),"")</f>
        <v/>
      </c>
    </row>
    <row r="24" spans="1:35">
      <c r="A24" s="48"/>
      <c r="B24" s="49">
        <v>1.375</v>
      </c>
      <c r="C24" s="31" t="s">
        <v>857</v>
      </c>
      <c r="D24" s="31" t="s">
        <v>858</v>
      </c>
      <c r="E24" s="57">
        <v>1174</v>
      </c>
      <c r="F24" s="57">
        <v>1268</v>
      </c>
      <c r="G24" s="57">
        <v>1316</v>
      </c>
      <c r="H24" s="57">
        <v>1533</v>
      </c>
      <c r="I24" s="50"/>
      <c r="J24" s="57">
        <v>24</v>
      </c>
      <c r="K24" s="57">
        <v>196</v>
      </c>
      <c r="M24" s="60">
        <v>5</v>
      </c>
      <c r="N24" s="49">
        <v>1.375</v>
      </c>
      <c r="O24" s="31" t="s">
        <v>857</v>
      </c>
      <c r="P24" s="31" t="s">
        <v>858</v>
      </c>
      <c r="Q24" s="31" t="str">
        <f>IF(OR(Data!B$3="a",Data!B$3="LH"),IF(M24=Data!B$4,IF(N24=Data!B$6,SUM(R24:V24),""),""),"")</f>
        <v/>
      </c>
      <c r="R24" s="31" t="str">
        <f>IF(OR("MX0"=Data!B$5,"MX1"=Data!B$5,"MX2"=Data!B$5,"MX3"=Data!B$5),E24,"")</f>
        <v/>
      </c>
      <c r="S24" s="31">
        <f>IF(OR("MF1"=Data!B$5,"MF2"=Data!B$5,"MS4"=Data!B$5),F24,"")</f>
        <v>1268</v>
      </c>
      <c r="T24" s="31" t="str">
        <f>IF(OR("MP1"=Data!B$5,"MP3"=Data!B$5,"MT1"=Data!B$5,"MT2"=Data!B$5,"MF5"=Data!B$5,"MF6"=Data!B$5,"ME3"=Data!B$5,"ME4"=Data!B$5,"MS2"=Data!B$5),G24,"")</f>
        <v/>
      </c>
      <c r="U24" s="31" t="str">
        <f>IF(OR("MS3"=Data!B$5,"ME5"=Data!B$5,"ME6"=Data!B$5,"MS7"=Data!B$5,"MP2"=Data!B$5,"MT4"=Data!B$5,"MPU3"=Data!B$5),H24,"")</f>
        <v/>
      </c>
      <c r="W24" s="31" t="str">
        <f>IF(OR(Q24="",Q24=0),"",IF(Data!B$7="ABE",K24*4,IF(OR(Data!B$7="ACE",Data!B$7="ARE"),K24*2,IF(Data!B$7="BE",K24*2,IF(OR(Data!B$7="CE",Data!B$7="RE"),K24,0))))+J24*(ROUNDUP(Data!B$8,0.1)))</f>
        <v/>
      </c>
      <c r="X24" s="65"/>
      <c r="Y24" s="65">
        <f t="shared" si="0"/>
        <v>216</v>
      </c>
      <c r="Z24" s="65"/>
      <c r="AA24" s="65"/>
      <c r="AB24" s="65"/>
      <c r="AC24" s="65"/>
      <c r="AD24" s="65"/>
      <c r="AE24" s="65"/>
      <c r="AF24" s="31">
        <f t="shared" si="1"/>
        <v>294</v>
      </c>
      <c r="AG24" s="32">
        <f t="shared" si="2"/>
        <v>490</v>
      </c>
      <c r="AH24" s="31">
        <f t="shared" si="3"/>
        <v>22</v>
      </c>
      <c r="AI24" s="31" t="str">
        <f>IF(W24&lt;&gt;"",IF(Data!B$7="NC",AF24+(AH24*(Data!B$8+Data!B$11+Data!B$27)),IF(Data!B$7&lt;&gt;"NC",AG24+(AH24*(Data!B$8+Data!B$11+Data!B$27)))),"")</f>
        <v/>
      </c>
    </row>
    <row r="25" spans="1:35">
      <c r="A25" s="48"/>
      <c r="B25" s="49">
        <v>1.75</v>
      </c>
      <c r="C25" s="31" t="s">
        <v>858</v>
      </c>
      <c r="D25" s="31" t="s">
        <v>521</v>
      </c>
      <c r="E25" s="57">
        <v>1246</v>
      </c>
      <c r="F25" s="57">
        <v>1335</v>
      </c>
      <c r="G25" s="57">
        <v>1388</v>
      </c>
      <c r="H25" s="57">
        <v>1608</v>
      </c>
      <c r="I25" s="50"/>
      <c r="J25" s="57">
        <v>26</v>
      </c>
      <c r="K25" s="57">
        <v>196</v>
      </c>
      <c r="M25" s="60">
        <v>5</v>
      </c>
      <c r="N25" s="49">
        <v>1.75</v>
      </c>
      <c r="O25" s="31" t="s">
        <v>858</v>
      </c>
      <c r="P25" s="31" t="s">
        <v>521</v>
      </c>
      <c r="Q25" s="31" t="str">
        <f>IF(OR(Data!B$3="a",Data!B$3="LH"),IF(M25=Data!B$4,IF(N25=Data!B$6,SUM(R25:V25),""),""),"")</f>
        <v/>
      </c>
      <c r="R25" s="31" t="str">
        <f>IF(OR("MX0"=Data!B$5,"MX1"=Data!B$5,"MX2"=Data!B$5,"MX3"=Data!B$5),E25,"")</f>
        <v/>
      </c>
      <c r="S25" s="31">
        <f>IF(OR("MF1"=Data!B$5,"MF2"=Data!B$5,"MS4"=Data!B$5),F25,"")</f>
        <v>1335</v>
      </c>
      <c r="T25" s="31" t="str">
        <f>IF(OR("MP1"=Data!B$5,"MP3"=Data!B$5,"MT1"=Data!B$5,"MT2"=Data!B$5,"MF5"=Data!B$5,"MF6"=Data!B$5,"ME3"=Data!B$5,"ME4"=Data!B$5,"MS2"=Data!B$5),G25,"")</f>
        <v/>
      </c>
      <c r="U25" s="31" t="str">
        <f>IF(OR("MS3"=Data!B$5,"ME5"=Data!B$5,"ME6"=Data!B$5,"MS7"=Data!B$5,"MP2"=Data!B$5,"MT4"=Data!B$5,"MPU3"=Data!B$5),H25,"")</f>
        <v/>
      </c>
      <c r="W25" s="31" t="str">
        <f>IF(OR(Q25="",Q25=0),"",IF(Data!B$7="ABE",K25*4,IF(OR(Data!B$7="ACE",Data!B$7="ARE"),K25*2,IF(Data!B$7="BE",K25*2,IF(OR(Data!B$7="CE",Data!B$7="RE"),K25,0))))+J25*(ROUNDUP(Data!B$8,0.1)))</f>
        <v/>
      </c>
      <c r="X25" s="65"/>
      <c r="Y25" s="65">
        <f t="shared" si="0"/>
        <v>216</v>
      </c>
      <c r="Z25" s="65"/>
      <c r="AA25" s="65"/>
      <c r="AB25" s="65"/>
      <c r="AC25" s="65"/>
      <c r="AD25" s="65"/>
      <c r="AE25" s="65"/>
      <c r="AF25" s="31">
        <f t="shared" si="1"/>
        <v>312</v>
      </c>
      <c r="AG25" s="32">
        <f t="shared" si="2"/>
        <v>508</v>
      </c>
      <c r="AH25" s="31">
        <f t="shared" si="3"/>
        <v>24</v>
      </c>
      <c r="AI25" s="31" t="str">
        <f>IF(W25&lt;&gt;"",IF(Data!B$7="NC",AF25+(AH25*(Data!B$8+Data!B$11+Data!B$27)),IF(Data!B$7&lt;&gt;"NC",AG25+(AH25*(Data!B$8+Data!B$11+Data!B$27)))),"")</f>
        <v/>
      </c>
    </row>
    <row r="26" spans="1:35">
      <c r="A26" s="48"/>
      <c r="B26" s="49">
        <v>2</v>
      </c>
      <c r="C26" s="31" t="s">
        <v>521</v>
      </c>
      <c r="D26" s="31" t="s">
        <v>602</v>
      </c>
      <c r="E26" s="57">
        <v>1381</v>
      </c>
      <c r="F26" s="57">
        <v>1520</v>
      </c>
      <c r="G26" s="57">
        <v>1527</v>
      </c>
      <c r="H26" s="57">
        <v>1772</v>
      </c>
      <c r="I26" s="50"/>
      <c r="J26" s="57">
        <v>30</v>
      </c>
      <c r="K26" s="57">
        <v>196</v>
      </c>
      <c r="M26" s="60">
        <v>5</v>
      </c>
      <c r="N26" s="49">
        <v>2</v>
      </c>
      <c r="O26" s="31" t="s">
        <v>521</v>
      </c>
      <c r="P26" s="31" t="s">
        <v>602</v>
      </c>
      <c r="Q26" s="31" t="str">
        <f>IF(OR(Data!B$3="a",Data!B$3="LH"),IF(M26=Data!B$4,IF(N26=Data!B$6,SUM(R26:V26),""),""),"")</f>
        <v/>
      </c>
      <c r="R26" s="31" t="str">
        <f>IF(OR("MX0"=Data!B$5,"MX1"=Data!B$5,"MX2"=Data!B$5,"MX3"=Data!B$5),E26,"")</f>
        <v/>
      </c>
      <c r="S26" s="31">
        <f>IF(OR("MF1"=Data!B$5,"MF2"=Data!B$5,"MS4"=Data!B$5),F26,"")</f>
        <v>1520</v>
      </c>
      <c r="T26" s="31" t="str">
        <f>IF(OR("MP1"=Data!B$5,"MP3"=Data!B$5,"MT1"=Data!B$5,"MT2"=Data!B$5,"MF5"=Data!B$5,"MF6"=Data!B$5,"ME3"=Data!B$5,"ME4"=Data!B$5,"MS2"=Data!B$5),G26,"")</f>
        <v/>
      </c>
      <c r="U26" s="31" t="str">
        <f>IF(OR("MS3"=Data!B$5,"ME5"=Data!B$5,"ME6"=Data!B$5,"MS7"=Data!B$5,"MP2"=Data!B$5,"MT4"=Data!B$5,"MPU3"=Data!B$5),H26,"")</f>
        <v/>
      </c>
      <c r="W26" s="31" t="str">
        <f>IF(OR(Q26="",Q26=0),"",IF(Data!B$7="ABE",K26*4,IF(OR(Data!B$7="ACE",Data!B$7="ARE"),K26*2,IF(Data!B$7="BE",K26*2,IF(OR(Data!B$7="CE",Data!B$7="RE"),K26,0))))+J26*(ROUNDUP(Data!B$8,0.1)))</f>
        <v/>
      </c>
      <c r="X26" s="65"/>
      <c r="Y26" s="65">
        <f t="shared" si="0"/>
        <v>216</v>
      </c>
      <c r="Z26" s="65"/>
      <c r="AA26" s="65"/>
      <c r="AB26" s="65"/>
      <c r="AC26" s="65"/>
      <c r="AD26" s="65"/>
      <c r="AE26" s="65"/>
      <c r="AF26" s="31">
        <f t="shared" si="1"/>
        <v>346</v>
      </c>
      <c r="AG26" s="32">
        <f t="shared" si="2"/>
        <v>542</v>
      </c>
      <c r="AH26" s="31">
        <f t="shared" si="3"/>
        <v>28</v>
      </c>
      <c r="AI26" s="31" t="str">
        <f>IF(W26&lt;&gt;"",IF(Data!B$7="NC",AF26+(AH26*(Data!B$8+Data!B$11+Data!B$27)),IF(Data!B$7&lt;&gt;"NC",AG26+(AH26*(Data!B$8+Data!B$11+Data!B$27)))),"")</f>
        <v/>
      </c>
    </row>
    <row r="27" spans="1:35">
      <c r="A27" s="48">
        <v>6</v>
      </c>
      <c r="B27" s="49">
        <v>1.375</v>
      </c>
      <c r="C27" s="31" t="s">
        <v>857</v>
      </c>
      <c r="D27" s="31" t="s">
        <v>858</v>
      </c>
      <c r="E27" s="57">
        <v>1232</v>
      </c>
      <c r="F27" s="57">
        <v>1321</v>
      </c>
      <c r="G27" s="57">
        <v>1330</v>
      </c>
      <c r="H27" s="57">
        <v>1837</v>
      </c>
      <c r="I27" s="50"/>
      <c r="J27" s="57">
        <v>28</v>
      </c>
      <c r="K27" s="57">
        <v>275</v>
      </c>
      <c r="M27" s="60">
        <v>6</v>
      </c>
      <c r="N27" s="49">
        <v>1.375</v>
      </c>
      <c r="O27" s="31" t="s">
        <v>857</v>
      </c>
      <c r="P27" s="31" t="s">
        <v>858</v>
      </c>
      <c r="Q27" s="31" t="str">
        <f>IF(OR(Data!B$3="a",Data!B$3="LH"),IF(M27=Data!B$4,IF(N27=Data!B$6,SUM(R27:V27),""),""),"")</f>
        <v/>
      </c>
      <c r="R27" s="31" t="str">
        <f>IF(OR("MX0"=Data!B$5,"MX1"=Data!B$5,"MX2"=Data!B$5,"MX3"=Data!B$5),E27,"")</f>
        <v/>
      </c>
      <c r="S27" s="31">
        <f>IF(OR("MF1"=Data!B$5,"MF2"=Data!B$5,"MS4"=Data!B$5),F27,"")</f>
        <v>1321</v>
      </c>
      <c r="T27" s="31" t="str">
        <f>IF(OR("MP1"=Data!B$5,"MP3"=Data!B$5,"MT1"=Data!B$5,"MT2"=Data!B$5,"MF5"=Data!B$5,"MF6"=Data!B$5,"ME3"=Data!B$5,"ME4"=Data!B$5,"MS2"=Data!B$5),G27,"")</f>
        <v/>
      </c>
      <c r="U27" s="31" t="str">
        <f>IF(OR("MS3"=Data!B$5,"ME5"=Data!B$5,"ME6"=Data!B$5,"MS7"=Data!B$5,"MP2"=Data!B$5,"MT4"=Data!B$5,"MPU3"=Data!B$5),H27,"")</f>
        <v/>
      </c>
      <c r="W27" s="31" t="str">
        <f>IF(OR(Q27="",Q27=0),"",IF(Data!B$7="ABE",K27*4,IF(OR(Data!B$7="ACE",Data!B$7="ARE"),K27*2,IF(Data!B$7="BE",K27*2,IF(OR(Data!B$7="CE",Data!B$7="RE"),K27,0))))+J27*(ROUNDUP(Data!B$8,0.1)))</f>
        <v/>
      </c>
      <c r="X27" s="65"/>
      <c r="Y27" s="65">
        <f t="shared" si="0"/>
        <v>303</v>
      </c>
      <c r="Z27" s="65"/>
      <c r="AA27" s="65"/>
      <c r="AB27" s="65"/>
      <c r="AC27" s="65"/>
      <c r="AD27" s="65"/>
      <c r="AE27" s="65"/>
      <c r="AF27" s="31">
        <f t="shared" si="1"/>
        <v>308</v>
      </c>
      <c r="AG27" s="32">
        <f t="shared" si="2"/>
        <v>583</v>
      </c>
      <c r="AH27" s="31">
        <f t="shared" si="3"/>
        <v>26</v>
      </c>
      <c r="AI27" s="31" t="str">
        <f>IF(W27&lt;&gt;"",IF(Data!B$7="NC",AF27+(AH27*(Data!B$8+Data!B$11+Data!B$27)),IF(Data!B$7&lt;&gt;"NC",AG27+(AH27*(Data!B$8+Data!B$11+Data!B$27)))),"")</f>
        <v/>
      </c>
    </row>
    <row r="28" spans="1:35">
      <c r="A28" s="48"/>
      <c r="B28" s="49">
        <v>1.75</v>
      </c>
      <c r="C28" s="31" t="s">
        <v>858</v>
      </c>
      <c r="D28" s="31" t="s">
        <v>521</v>
      </c>
      <c r="E28" s="57">
        <v>1488</v>
      </c>
      <c r="F28" s="57">
        <v>1586</v>
      </c>
      <c r="G28" s="57">
        <v>1595</v>
      </c>
      <c r="H28" s="57">
        <v>1947</v>
      </c>
      <c r="I28" s="50"/>
      <c r="J28" s="57">
        <v>30</v>
      </c>
      <c r="K28" s="57">
        <v>275</v>
      </c>
      <c r="M28" s="60">
        <v>6</v>
      </c>
      <c r="N28" s="49">
        <v>1.75</v>
      </c>
      <c r="O28" s="31" t="s">
        <v>858</v>
      </c>
      <c r="P28" s="31" t="s">
        <v>521</v>
      </c>
      <c r="Q28" s="31" t="str">
        <f>IF(OR(Data!B$3="a",Data!B$3="LH"),IF(M28=Data!B$4,IF(N28=Data!B$6,SUM(R28:V28),""),""),"")</f>
        <v/>
      </c>
      <c r="R28" s="31" t="str">
        <f>IF(OR("MX0"=Data!B$5,"MX1"=Data!B$5,"MX2"=Data!B$5,"MX3"=Data!B$5),E28,"")</f>
        <v/>
      </c>
      <c r="S28" s="31">
        <f>IF(OR("MF1"=Data!B$5,"MF2"=Data!B$5,"MS4"=Data!B$5),F28,"")</f>
        <v>1586</v>
      </c>
      <c r="T28" s="31" t="str">
        <f>IF(OR("MP1"=Data!B$5,"MP3"=Data!B$5,"MT1"=Data!B$5,"MT2"=Data!B$5,"MF5"=Data!B$5,"MF6"=Data!B$5,"ME3"=Data!B$5,"ME4"=Data!B$5,"MS2"=Data!B$5),G28,"")</f>
        <v/>
      </c>
      <c r="U28" s="31" t="str">
        <f>IF(OR("MS3"=Data!B$5,"ME5"=Data!B$5,"ME6"=Data!B$5,"MS7"=Data!B$5,"MP2"=Data!B$5,"MT4"=Data!B$5,"MPU3"=Data!B$5),H28,"")</f>
        <v/>
      </c>
      <c r="W28" s="31" t="str">
        <f>IF(OR(Q28="",Q28=0),"",IF(Data!B$7="ABE",K28*4,IF(OR(Data!B$7="ACE",Data!B$7="ARE"),K28*2,IF(Data!B$7="BE",K28*2,IF(OR(Data!B$7="CE",Data!B$7="RE"),K28,0))))+J28*(ROUNDUP(Data!B$8,0.1)))</f>
        <v/>
      </c>
      <c r="X28" s="65"/>
      <c r="Y28" s="65">
        <f t="shared" si="0"/>
        <v>303</v>
      </c>
      <c r="Z28" s="65"/>
      <c r="AA28" s="65"/>
      <c r="AB28" s="65"/>
      <c r="AC28" s="65"/>
      <c r="AD28" s="65"/>
      <c r="AE28" s="65"/>
      <c r="AF28" s="31">
        <f t="shared" si="1"/>
        <v>372</v>
      </c>
      <c r="AG28" s="32">
        <f t="shared" si="2"/>
        <v>647</v>
      </c>
      <c r="AH28" s="31">
        <f t="shared" si="3"/>
        <v>28</v>
      </c>
      <c r="AI28" s="31" t="str">
        <f>IF(W28&lt;&gt;"",IF(Data!B$7="NC",AF28+(AH28*(Data!B$8+Data!B$11+Data!B$27)),IF(Data!B$7&lt;&gt;"NC",AG28+(AH28*(Data!B$8+Data!B$11+Data!B$27)))),"")</f>
        <v/>
      </c>
    </row>
    <row r="29" spans="1:35">
      <c r="A29" s="48"/>
      <c r="B29" s="49">
        <v>2</v>
      </c>
      <c r="C29" s="31" t="s">
        <v>521</v>
      </c>
      <c r="D29" s="31" t="s">
        <v>602</v>
      </c>
      <c r="E29" s="57">
        <v>1593</v>
      </c>
      <c r="F29" s="57">
        <v>1697</v>
      </c>
      <c r="G29" s="57">
        <v>1697</v>
      </c>
      <c r="H29" s="57">
        <v>2066</v>
      </c>
      <c r="I29" s="50"/>
      <c r="J29" s="57">
        <v>32</v>
      </c>
      <c r="K29" s="57">
        <v>275</v>
      </c>
      <c r="M29" s="60">
        <v>6</v>
      </c>
      <c r="N29" s="49">
        <v>2</v>
      </c>
      <c r="O29" s="31" t="s">
        <v>521</v>
      </c>
      <c r="P29" s="31" t="s">
        <v>602</v>
      </c>
      <c r="Q29" s="31" t="str">
        <f>IF(OR(Data!B$3="a",Data!B$3="LH"),IF(M29=Data!B$4,IF(N29=Data!B$6,SUM(R29:V29),""),""),"")</f>
        <v/>
      </c>
      <c r="R29" s="31" t="str">
        <f>IF(OR("MX0"=Data!B$5,"MX1"=Data!B$5,"MX2"=Data!B$5,"MX3"=Data!B$5),E29,"")</f>
        <v/>
      </c>
      <c r="S29" s="31">
        <f>IF(OR("MF1"=Data!B$5,"MF2"=Data!B$5,"MS4"=Data!B$5),F29,"")</f>
        <v>1697</v>
      </c>
      <c r="T29" s="31" t="str">
        <f>IF(OR("MP1"=Data!B$5,"MP3"=Data!B$5,"MT1"=Data!B$5,"MT2"=Data!B$5,"MF5"=Data!B$5,"MF6"=Data!B$5,"ME3"=Data!B$5,"ME4"=Data!B$5,"MS2"=Data!B$5),G29,"")</f>
        <v/>
      </c>
      <c r="U29" s="31" t="str">
        <f>IF(OR("MS3"=Data!B$5,"ME5"=Data!B$5,"ME6"=Data!B$5,"MS7"=Data!B$5,"MP2"=Data!B$5,"MT4"=Data!B$5,"MPU3"=Data!B$5),H29,"")</f>
        <v/>
      </c>
      <c r="W29" s="31" t="str">
        <f>IF(OR(Q29="",Q29=0),"",IF(Data!B$7="ABE",K29*4,IF(OR(Data!B$7="ACE",Data!B$7="ARE"),K29*2,IF(Data!B$7="BE",K29*2,IF(OR(Data!B$7="CE",Data!B$7="RE"),K29,0))))+J29*(ROUNDUP(Data!B$8,0.1)))</f>
        <v/>
      </c>
      <c r="X29" s="65"/>
      <c r="Y29" s="65">
        <f t="shared" si="0"/>
        <v>303</v>
      </c>
      <c r="Z29" s="65"/>
      <c r="AA29" s="65"/>
      <c r="AB29" s="65"/>
      <c r="AC29" s="65"/>
      <c r="AD29" s="65"/>
      <c r="AE29" s="65"/>
      <c r="AF29" s="31">
        <f t="shared" si="1"/>
        <v>399</v>
      </c>
      <c r="AG29" s="32">
        <f t="shared" si="2"/>
        <v>674</v>
      </c>
      <c r="AH29" s="31">
        <f t="shared" si="3"/>
        <v>30</v>
      </c>
      <c r="AI29" s="31" t="str">
        <f>IF(W29&lt;&gt;"",IF(Data!B$7="NC",AF29+(AH29*(Data!B$8+Data!B$11+Data!B$27)),IF(Data!B$7&lt;&gt;"NC",AG29+(AH29*(Data!B$8+Data!B$11+Data!B$27)))),"")</f>
        <v/>
      </c>
    </row>
    <row r="30" spans="1:35">
      <c r="A30" s="48"/>
      <c r="B30" s="49">
        <v>2.5</v>
      </c>
      <c r="C30" s="31" t="s">
        <v>619</v>
      </c>
      <c r="D30" s="31" t="s">
        <v>721</v>
      </c>
      <c r="E30" s="57">
        <v>1771</v>
      </c>
      <c r="F30" s="57">
        <v>1927</v>
      </c>
      <c r="G30" s="57">
        <v>1877</v>
      </c>
      <c r="H30" s="57">
        <v>2240</v>
      </c>
      <c r="I30" s="50"/>
      <c r="J30" s="57">
        <v>37</v>
      </c>
      <c r="K30" s="57">
        <v>275</v>
      </c>
      <c r="M30" s="60">
        <v>6</v>
      </c>
      <c r="N30" s="49">
        <v>2.5</v>
      </c>
      <c r="O30" s="31" t="s">
        <v>619</v>
      </c>
      <c r="P30" s="31" t="s">
        <v>721</v>
      </c>
      <c r="Q30" s="31" t="str">
        <f>IF(OR(Data!B$3="a",Data!B$3="LH"),IF(M30=Data!B$4,IF(N30=Data!B$6,SUM(R30:V30),""),""),"")</f>
        <v/>
      </c>
      <c r="R30" s="31" t="str">
        <f>IF(OR("MX0"=Data!B$5,"MX1"=Data!B$5,"MX2"=Data!B$5,"MX3"=Data!B$5),E30,"")</f>
        <v/>
      </c>
      <c r="S30" s="31">
        <f>IF(OR("MF1"=Data!B$5,"MF2"=Data!B$5,"MS4"=Data!B$5),F30,"")</f>
        <v>1927</v>
      </c>
      <c r="T30" s="31" t="str">
        <f>IF(OR("MP1"=Data!B$5,"MP3"=Data!B$5,"MT1"=Data!B$5,"MT2"=Data!B$5,"MF5"=Data!B$5,"MF6"=Data!B$5,"ME3"=Data!B$5,"ME4"=Data!B$5,"MS2"=Data!B$5),G30,"")</f>
        <v/>
      </c>
      <c r="U30" s="31" t="str">
        <f>IF(OR("MS3"=Data!B$5,"ME5"=Data!B$5,"ME6"=Data!B$5,"MS7"=Data!B$5,"MP2"=Data!B$5,"MT4"=Data!B$5,"MPU3"=Data!B$5),H30,"")</f>
        <v/>
      </c>
      <c r="W30" s="31" t="str">
        <f>IF(OR(Q30="",Q30=0),"",IF(Data!B$7="ABE",K30*4,IF(OR(Data!B$7="ACE",Data!B$7="ARE"),K30*2,IF(Data!B$7="BE",K30*2,IF(OR(Data!B$7="CE",Data!B$7="RE"),K30,0))))+J30*(ROUNDUP(Data!B$8,0.1)))</f>
        <v/>
      </c>
      <c r="X30" s="65"/>
      <c r="Y30" s="65">
        <f t="shared" si="0"/>
        <v>303</v>
      </c>
      <c r="Z30" s="65"/>
      <c r="AA30" s="65"/>
      <c r="AB30" s="65"/>
      <c r="AC30" s="65"/>
      <c r="AD30" s="65"/>
      <c r="AE30" s="65"/>
      <c r="AF30" s="31">
        <f t="shared" si="1"/>
        <v>443</v>
      </c>
      <c r="AG30" s="32">
        <f t="shared" si="2"/>
        <v>718</v>
      </c>
      <c r="AH30" s="31">
        <f t="shared" si="3"/>
        <v>35</v>
      </c>
      <c r="AI30" s="31" t="str">
        <f>IF(W30&lt;&gt;"",IF(Data!B$7="NC",AF30+(AH30*(Data!B$8+Data!B$11+Data!B$27)),IF(Data!B$7&lt;&gt;"NC",AG30+(AH30*(Data!B$8+Data!B$11+Data!B$27)))),"")</f>
        <v/>
      </c>
    </row>
    <row r="31" spans="1:35">
      <c r="A31" s="48">
        <v>7</v>
      </c>
      <c r="B31" s="49">
        <v>1.375</v>
      </c>
      <c r="C31" s="31" t="s">
        <v>857</v>
      </c>
      <c r="D31" s="31" t="s">
        <v>858</v>
      </c>
      <c r="E31" s="57">
        <v>1392</v>
      </c>
      <c r="F31" s="57">
        <v>1446</v>
      </c>
      <c r="G31" s="57">
        <v>1595</v>
      </c>
      <c r="H31" s="44">
        <v>1944</v>
      </c>
      <c r="I31" s="50"/>
      <c r="J31" s="57">
        <v>30</v>
      </c>
      <c r="K31" s="57">
        <v>304</v>
      </c>
      <c r="M31" s="60">
        <v>7</v>
      </c>
      <c r="N31" s="49">
        <v>1.375</v>
      </c>
      <c r="O31" s="31" t="s">
        <v>857</v>
      </c>
      <c r="P31" s="31" t="s">
        <v>858</v>
      </c>
      <c r="Q31" s="31" t="str">
        <f>IF(OR(Data!B$3="a",Data!B$3="LH"),IF(M31=Data!B$4,IF(N31=Data!B$6,SUM(R31:V31),""),""),"")</f>
        <v/>
      </c>
      <c r="R31" s="31" t="str">
        <f>IF(OR("MX0"=Data!B$5,"MX1"=Data!B$5,"MX2"=Data!B$5,"MX3"=Data!B$5),E31,"")</f>
        <v/>
      </c>
      <c r="S31" s="31">
        <f>IF(OR("MF1"=Data!B$5,"MF2"=Data!B$5,"MS4"=Data!B$5),F31,"")</f>
        <v>1446</v>
      </c>
      <c r="T31" s="31" t="str">
        <f>IF(OR("MP1"=Data!B$5,"MP3"=Data!B$5,"MT1"=Data!B$5,"MT2"=Data!B$5,"MF5"=Data!B$5,"MF6"=Data!B$5,"ME3"=Data!B$5,"ME4"=Data!B$5,"MS2"=Data!B$5),G31,"")</f>
        <v/>
      </c>
      <c r="U31" s="31" t="str">
        <f>IF(OR("MS3"=Data!B$5,"ME5"=Data!B$5,"ME6"=Data!B$5,"MS7"=Data!B$5,"MP2"=Data!B$5,"MT4"=Data!B$5,"MPU3"=Data!B$5),H31,"")</f>
        <v/>
      </c>
      <c r="W31" s="31" t="str">
        <f>IF(OR(Q31="",Q31=0),"",IF(Data!B$7="ABE",K31*4,IF(OR(Data!B$7="ACE",Data!B$7="ARE"),K31*2,IF(Data!B$7="BE",K31*2,IF(OR(Data!B$7="CE",Data!B$7="RE"),K31,0))))+J31*(ROUNDUP(Data!B$8,0.1)))</f>
        <v/>
      </c>
      <c r="X31" s="65"/>
      <c r="Y31" s="65">
        <f t="shared" si="0"/>
        <v>335</v>
      </c>
      <c r="Z31" s="65"/>
      <c r="AA31" s="65"/>
      <c r="AB31" s="65"/>
      <c r="AC31" s="65"/>
      <c r="AD31" s="65"/>
      <c r="AE31" s="65"/>
      <c r="AF31" s="31">
        <f t="shared" si="1"/>
        <v>348</v>
      </c>
      <c r="AG31" s="32">
        <f t="shared" si="2"/>
        <v>652</v>
      </c>
      <c r="AH31" s="31">
        <f t="shared" si="3"/>
        <v>28</v>
      </c>
      <c r="AI31" s="31" t="str">
        <f>IF(W31&lt;&gt;"",IF(Data!B$7="NC",AF31+(AH31*(Data!B$8+Data!B$11+Data!B$27)),IF(Data!B$7&lt;&gt;"NC",AG31+(AH31*(Data!B$8+Data!B$11+Data!B$27)))),"")</f>
        <v/>
      </c>
    </row>
    <row r="32" spans="1:35">
      <c r="A32" s="48"/>
      <c r="B32" s="49">
        <v>1.75</v>
      </c>
      <c r="C32" s="31" t="s">
        <v>858</v>
      </c>
      <c r="D32" s="31" t="s">
        <v>521</v>
      </c>
      <c r="E32" s="57">
        <v>1631</v>
      </c>
      <c r="F32" s="57">
        <v>1682</v>
      </c>
      <c r="G32" s="57">
        <v>1855</v>
      </c>
      <c r="H32" s="44">
        <v>2338</v>
      </c>
      <c r="I32" s="50"/>
      <c r="J32" s="57">
        <v>33</v>
      </c>
      <c r="K32" s="57">
        <v>304</v>
      </c>
      <c r="M32" s="60">
        <v>7</v>
      </c>
      <c r="N32" s="49">
        <v>1.75</v>
      </c>
      <c r="O32" s="31" t="s">
        <v>858</v>
      </c>
      <c r="P32" s="31" t="s">
        <v>521</v>
      </c>
      <c r="Q32" s="31" t="str">
        <f>IF(OR(Data!B$3="a",Data!B$3="LH"),IF(M32=Data!B$4,IF(N32=Data!B$6,SUM(R32:V32),""),""),"")</f>
        <v/>
      </c>
      <c r="R32" s="31" t="str">
        <f>IF(OR("MX0"=Data!B$5,"MX1"=Data!B$5,"MX2"=Data!B$5,"MX3"=Data!B$5),E32,"")</f>
        <v/>
      </c>
      <c r="S32" s="31">
        <f>IF(OR("MF1"=Data!B$5,"MF2"=Data!B$5,"MS4"=Data!B$5),F32,"")</f>
        <v>1682</v>
      </c>
      <c r="T32" s="31" t="str">
        <f>IF(OR("MP1"=Data!B$5,"MP3"=Data!B$5,"MT1"=Data!B$5,"MT2"=Data!B$5,"MF5"=Data!B$5,"MF6"=Data!B$5,"ME3"=Data!B$5,"ME4"=Data!B$5,"MS2"=Data!B$5),G32,"")</f>
        <v/>
      </c>
      <c r="U32" s="31" t="str">
        <f>IF(OR("MS3"=Data!B$5,"ME5"=Data!B$5,"ME6"=Data!B$5,"MS7"=Data!B$5,"MP2"=Data!B$5,"MT4"=Data!B$5,"MPU3"=Data!B$5),H32,"")</f>
        <v/>
      </c>
      <c r="W32" s="31" t="str">
        <f>IF(OR(Q32="",Q32=0),"",IF(Data!B$7="ABE",K32*4,IF(OR(Data!B$7="ACE",Data!B$7="ARE"),K32*2,IF(Data!B$7="BE",K32*2,IF(OR(Data!B$7="CE",Data!B$7="RE"),K32,0))))+J32*(ROUNDUP(Data!B$8,0.1)))</f>
        <v/>
      </c>
      <c r="X32" s="65"/>
      <c r="Y32" s="65">
        <f t="shared" si="0"/>
        <v>335</v>
      </c>
      <c r="Z32" s="65"/>
      <c r="AA32" s="65"/>
      <c r="AB32" s="65"/>
      <c r="AC32" s="65"/>
      <c r="AD32" s="65"/>
      <c r="AE32" s="65"/>
      <c r="AF32" s="31">
        <f t="shared" si="1"/>
        <v>408</v>
      </c>
      <c r="AG32" s="32">
        <f t="shared" si="2"/>
        <v>712</v>
      </c>
      <c r="AH32" s="31">
        <f t="shared" si="3"/>
        <v>31</v>
      </c>
      <c r="AI32" s="31" t="str">
        <f>IF(W32&lt;&gt;"",IF(Data!B$7="NC",AF32+(AH32*(Data!B$8+Data!B$11+Data!B$27)),IF(Data!B$7&lt;&gt;"NC",AG32+(AH32*(Data!B$8+Data!B$11+Data!B$27)))),"")</f>
        <v/>
      </c>
    </row>
    <row r="33" spans="1:35">
      <c r="A33" s="48"/>
      <c r="B33" s="49">
        <v>2</v>
      </c>
      <c r="C33" s="31" t="s">
        <v>521</v>
      </c>
      <c r="D33" s="31" t="s">
        <v>602</v>
      </c>
      <c r="E33" s="57">
        <v>1654</v>
      </c>
      <c r="F33" s="57">
        <v>1705</v>
      </c>
      <c r="G33" s="57">
        <v>1864</v>
      </c>
      <c r="H33" s="44">
        <v>2433</v>
      </c>
      <c r="I33" s="50"/>
      <c r="J33" s="57">
        <v>34</v>
      </c>
      <c r="K33" s="57">
        <v>304</v>
      </c>
      <c r="M33" s="60">
        <v>7</v>
      </c>
      <c r="N33" s="49">
        <v>2</v>
      </c>
      <c r="O33" s="31" t="s">
        <v>521</v>
      </c>
      <c r="P33" s="31" t="s">
        <v>602</v>
      </c>
      <c r="Q33" s="31" t="str">
        <f>IF(OR(Data!B$3="a",Data!B$3="LH"),IF(M33=Data!B$4,IF(N33=Data!B$6,SUM(R33:V33),""),""),"")</f>
        <v/>
      </c>
      <c r="R33" s="31" t="str">
        <f>IF(OR("MX0"=Data!B$5,"MX1"=Data!B$5,"MX2"=Data!B$5,"MX3"=Data!B$5),E33,"")</f>
        <v/>
      </c>
      <c r="S33" s="31">
        <f>IF(OR("MF1"=Data!B$5,"MF2"=Data!B$5,"MS4"=Data!B$5),F33,"")</f>
        <v>1705</v>
      </c>
      <c r="T33" s="31" t="str">
        <f>IF(OR("MP1"=Data!B$5,"MP3"=Data!B$5,"MT1"=Data!B$5,"MT2"=Data!B$5,"MF5"=Data!B$5,"MF6"=Data!B$5,"ME3"=Data!B$5,"ME4"=Data!B$5,"MS2"=Data!B$5),G33,"")</f>
        <v/>
      </c>
      <c r="U33" s="31" t="str">
        <f>IF(OR("MS3"=Data!B$5,"ME5"=Data!B$5,"ME6"=Data!B$5,"MS7"=Data!B$5,"MP2"=Data!B$5,"MT4"=Data!B$5,"MPU3"=Data!B$5),H33,"")</f>
        <v/>
      </c>
      <c r="W33" s="31" t="str">
        <f>IF(OR(Q33="",Q33=0),"",IF(Data!B$7="ABE",K33*4,IF(OR(Data!B$7="ACE",Data!B$7="ARE"),K33*2,IF(Data!B$7="BE",K33*2,IF(OR(Data!B$7="CE",Data!B$7="RE"),K33,0))))+J33*(ROUNDUP(Data!B$8,0.1)))</f>
        <v/>
      </c>
      <c r="X33" s="65"/>
      <c r="Y33" s="65">
        <f t="shared" si="0"/>
        <v>335</v>
      </c>
      <c r="Z33" s="65"/>
      <c r="AA33" s="65"/>
      <c r="AB33" s="65"/>
      <c r="AC33" s="65"/>
      <c r="AD33" s="65"/>
      <c r="AE33" s="65"/>
      <c r="AF33" s="31">
        <f t="shared" si="1"/>
        <v>414</v>
      </c>
      <c r="AG33" s="32">
        <f t="shared" si="2"/>
        <v>718</v>
      </c>
      <c r="AH33" s="31">
        <f t="shared" si="3"/>
        <v>32</v>
      </c>
      <c r="AI33" s="31" t="str">
        <f>IF(W33&lt;&gt;"",IF(Data!B$7="NC",AF33+(AH33*(Data!B$8+Data!B$11+Data!B$27)),IF(Data!B$7&lt;&gt;"NC",AG33+(AH33*(Data!B$8+Data!B$11+Data!B$27)))),"")</f>
        <v/>
      </c>
    </row>
    <row r="34" spans="1:35">
      <c r="A34" s="48"/>
      <c r="B34" s="49">
        <v>2.5</v>
      </c>
      <c r="C34" s="31" t="s">
        <v>619</v>
      </c>
      <c r="D34" s="31" t="s">
        <v>721</v>
      </c>
      <c r="E34" s="44">
        <v>2199</v>
      </c>
      <c r="F34" s="44">
        <v>2398</v>
      </c>
      <c r="G34" s="44">
        <v>2599</v>
      </c>
      <c r="H34" s="44">
        <v>3196</v>
      </c>
      <c r="I34" s="50"/>
      <c r="J34" s="44">
        <v>52</v>
      </c>
      <c r="K34" s="44">
        <v>344</v>
      </c>
      <c r="M34" s="60">
        <v>7</v>
      </c>
      <c r="N34" s="49">
        <v>2.5</v>
      </c>
      <c r="O34" s="31" t="s">
        <v>619</v>
      </c>
      <c r="P34" s="31" t="s">
        <v>721</v>
      </c>
      <c r="Q34" s="31" t="str">
        <f>IF(OR(Data!B$3="a",Data!B$3="LH"),IF(M34=Data!B$4,IF(N34=Data!B$6,SUM(R34:V34),""),""),"")</f>
        <v/>
      </c>
      <c r="R34" s="31" t="str">
        <f>IF(OR("MX0"=Data!B$5,"MX1"=Data!B$5,"MX2"=Data!B$5,"MX3"=Data!B$5),E34,"")</f>
        <v/>
      </c>
      <c r="S34" s="31">
        <f>IF(OR("MF1"=Data!B$5,"MF2"=Data!B$5,"MS4"=Data!B$5),F34,"")</f>
        <v>2398</v>
      </c>
      <c r="T34" s="31" t="str">
        <f>IF(OR("MP1"=Data!B$5,"MP3"=Data!B$5,"MT1"=Data!B$5,"MT2"=Data!B$5,"MF5"=Data!B$5,"MF6"=Data!B$5,"ME3"=Data!B$5,"ME4"=Data!B$5,"MS2"=Data!B$5),G34,"")</f>
        <v/>
      </c>
      <c r="U34" s="31" t="str">
        <f>IF(OR("MS3"=Data!B$5,"ME5"=Data!B$5,"ME6"=Data!B$5,"MS7"=Data!B$5,"MP2"=Data!B$5,"MT4"=Data!B$5,"MPU3"=Data!B$5),H34,"")</f>
        <v/>
      </c>
      <c r="W34" s="31" t="str">
        <f>IF(OR(Q34="",Q34=0),"",IF(Data!B$7="ABE",K34*4,IF(OR(Data!B$7="ACE",Data!B$7="ARE"),K34*2,IF(Data!B$7="BE",K34*2,IF(OR(Data!B$7="CE",Data!B$7="RE"),K34,0))))+J34*(ROUNDUP(Data!B$8,0.1)))</f>
        <v/>
      </c>
      <c r="X34" s="65"/>
      <c r="Y34" s="65">
        <f t="shared" si="0"/>
        <v>379</v>
      </c>
      <c r="Z34" s="65"/>
      <c r="AA34" s="65"/>
      <c r="AB34" s="65"/>
      <c r="AC34" s="65"/>
      <c r="AD34" s="65"/>
      <c r="AE34" s="65"/>
      <c r="AF34" s="31">
        <f t="shared" si="1"/>
        <v>550</v>
      </c>
      <c r="AG34" s="32">
        <f t="shared" si="2"/>
        <v>894</v>
      </c>
      <c r="AH34" s="31">
        <f t="shared" si="3"/>
        <v>49</v>
      </c>
      <c r="AI34" s="31" t="str">
        <f>IF(W34&lt;&gt;"",IF(Data!B$7="NC",AF34+(AH34*(Data!B$8+Data!B$11+Data!B$27)),IF(Data!B$7&lt;&gt;"NC",AG34+(AH34*(Data!B$8+Data!B$11+Data!B$27)))),"")</f>
        <v/>
      </c>
    </row>
    <row r="35" spans="1:35">
      <c r="A35" s="48">
        <v>8</v>
      </c>
      <c r="B35" s="49">
        <v>1.375</v>
      </c>
      <c r="C35" s="31" t="s">
        <v>857</v>
      </c>
      <c r="D35" s="31" t="s">
        <v>858</v>
      </c>
      <c r="E35" s="57">
        <v>1654</v>
      </c>
      <c r="F35" s="57">
        <v>1819</v>
      </c>
      <c r="G35" s="57">
        <v>1855</v>
      </c>
      <c r="H35" s="57">
        <v>2462</v>
      </c>
      <c r="I35" s="50"/>
      <c r="J35" s="57">
        <v>35</v>
      </c>
      <c r="K35" s="57">
        <v>369</v>
      </c>
      <c r="M35" s="60">
        <v>8</v>
      </c>
      <c r="N35" s="49">
        <v>1.375</v>
      </c>
      <c r="O35" s="31" t="s">
        <v>857</v>
      </c>
      <c r="P35" s="31" t="s">
        <v>858</v>
      </c>
      <c r="Q35" s="31" t="str">
        <f>IF(OR(Data!B$3="a",Data!B$3="LH"),IF(M35=Data!B$4,IF(N35=Data!B$6,SUM(R35:V35),""),""),"")</f>
        <v/>
      </c>
      <c r="R35" s="31" t="str">
        <f>IF(OR("MX0"=Data!B$5,"MX1"=Data!B$5,"MX2"=Data!B$5,"MX3"=Data!B$5),E35,"")</f>
        <v/>
      </c>
      <c r="S35" s="31">
        <f>IF(OR("MF1"=Data!B$5,"MF2"=Data!B$5,"MS4"=Data!B$5),F35,"")</f>
        <v>1819</v>
      </c>
      <c r="T35" s="31" t="str">
        <f>IF(OR("MP1"=Data!B$5,"MP3"=Data!B$5,"MT1"=Data!B$5,"MT2"=Data!B$5,"MF5"=Data!B$5,"MF6"=Data!B$5,"ME3"=Data!B$5,"ME4"=Data!B$5,"MS2"=Data!B$5),G35,"")</f>
        <v/>
      </c>
      <c r="U35" s="31" t="str">
        <f>IF(OR("MS3"=Data!B$5,"ME5"=Data!B$5,"ME6"=Data!B$5,"MS7"=Data!B$5,"MP2"=Data!B$5,"MT4"=Data!B$5,"MPU3"=Data!B$5),H35,"")</f>
        <v/>
      </c>
      <c r="W35" s="31" t="str">
        <f>IF(OR(Q35="",Q35=0),"",IF(Data!B$7="ABE",K35*4,IF(OR(Data!B$7="ACE",Data!B$7="ARE"),K35*2,IF(Data!B$7="BE",K35*2,IF(OR(Data!B$7="CE",Data!B$7="RE"),K35,0))))+J35*(ROUNDUP(Data!B$8,0.1)))</f>
        <v/>
      </c>
      <c r="X35" s="65"/>
      <c r="Y35" s="65">
        <f t="shared" si="0"/>
        <v>406</v>
      </c>
      <c r="Z35" s="65"/>
      <c r="AA35" s="65"/>
      <c r="AB35" s="65"/>
      <c r="AC35" s="65"/>
      <c r="AD35" s="65"/>
      <c r="AE35" s="65"/>
      <c r="AF35" s="31">
        <f t="shared" si="1"/>
        <v>414</v>
      </c>
      <c r="AG35" s="32">
        <f t="shared" si="2"/>
        <v>783</v>
      </c>
      <c r="AH35" s="31">
        <f t="shared" si="3"/>
        <v>33</v>
      </c>
      <c r="AI35" s="31" t="str">
        <f>IF(W35&lt;&gt;"",IF(Data!B$7="NC",AF35+(AH35*(Data!B$8+Data!B$11+Data!B$27)),IF(Data!B$7&lt;&gt;"NC",AG35+(AH35*(Data!B$8+Data!B$11+Data!B$27)))),"")</f>
        <v/>
      </c>
    </row>
    <row r="36" spans="1:35">
      <c r="A36" s="51"/>
      <c r="B36" s="49">
        <v>1.75</v>
      </c>
      <c r="C36" s="31" t="s">
        <v>858</v>
      </c>
      <c r="D36" s="31" t="s">
        <v>521</v>
      </c>
      <c r="E36" s="57">
        <v>2071</v>
      </c>
      <c r="F36" s="57">
        <v>2192</v>
      </c>
      <c r="G36" s="57">
        <v>2233</v>
      </c>
      <c r="H36" s="57">
        <v>2739</v>
      </c>
      <c r="I36" s="50"/>
      <c r="J36" s="57">
        <v>37</v>
      </c>
      <c r="K36" s="57">
        <v>369</v>
      </c>
      <c r="M36" s="60">
        <v>8</v>
      </c>
      <c r="N36" s="49">
        <v>1.75</v>
      </c>
      <c r="O36" s="31" t="s">
        <v>858</v>
      </c>
      <c r="P36" s="31" t="s">
        <v>521</v>
      </c>
      <c r="Q36" s="31" t="str">
        <f>IF(OR(Data!B$3="a",Data!B$3="LH"),IF(M36=Data!B$4,IF(N36=Data!B$6,SUM(R36:V36),""),""),"")</f>
        <v/>
      </c>
      <c r="R36" s="31" t="str">
        <f>IF(OR("MX0"=Data!B$5,"MX1"=Data!B$5,"MX2"=Data!B$5,"MX3"=Data!B$5),E36,"")</f>
        <v/>
      </c>
      <c r="S36" s="31">
        <f>IF(OR("MF1"=Data!B$5,"MF2"=Data!B$5,"MS4"=Data!B$5),F36,"")</f>
        <v>2192</v>
      </c>
      <c r="T36" s="31" t="str">
        <f>IF(OR("MP1"=Data!B$5,"MP3"=Data!B$5,"MT1"=Data!B$5,"MT2"=Data!B$5,"MF5"=Data!B$5,"MF6"=Data!B$5,"ME3"=Data!B$5,"ME4"=Data!B$5,"MS2"=Data!B$5),G36,"")</f>
        <v/>
      </c>
      <c r="U36" s="31" t="str">
        <f>IF(OR("MS3"=Data!B$5,"ME5"=Data!B$5,"ME6"=Data!B$5,"MS7"=Data!B$5,"MP2"=Data!B$5,"MT4"=Data!B$5,"MPU3"=Data!B$5),H36,"")</f>
        <v/>
      </c>
      <c r="W36" s="31" t="str">
        <f>IF(OR(Q36="",Q36=0),"",IF(Data!B$7="ABE",K36*4,IF(OR(Data!B$7="ACE",Data!B$7="ARE"),K36*2,IF(Data!B$7="BE",K36*2,IF(OR(Data!B$7="CE",Data!B$7="RE"),K36,0))))+J36*(ROUNDUP(Data!B$8,0.1)))</f>
        <v/>
      </c>
      <c r="X36" s="65"/>
      <c r="Y36" s="65">
        <f t="shared" si="0"/>
        <v>406</v>
      </c>
      <c r="Z36" s="65"/>
      <c r="AA36" s="65"/>
      <c r="AB36" s="65"/>
      <c r="AC36" s="65"/>
      <c r="AD36" s="65"/>
      <c r="AE36" s="65"/>
      <c r="AF36" s="31">
        <f t="shared" si="1"/>
        <v>518</v>
      </c>
      <c r="AG36" s="32">
        <f t="shared" si="2"/>
        <v>887</v>
      </c>
      <c r="AH36" s="31">
        <f t="shared" si="3"/>
        <v>35</v>
      </c>
      <c r="AI36" s="31" t="str">
        <f>IF(W36&lt;&gt;"",IF(Data!B$7="NC",AF36+(AH36*(Data!B$8+Data!B$11+Data!B$27)),IF(Data!B$7&lt;&gt;"NC",AG36+(AH36*(Data!B$8+Data!B$11+Data!B$27)))),"")</f>
        <v/>
      </c>
    </row>
    <row r="37" spans="1:35">
      <c r="A37" s="51"/>
      <c r="B37" s="49">
        <v>2</v>
      </c>
      <c r="C37" s="31" t="s">
        <v>521</v>
      </c>
      <c r="D37" s="31" t="s">
        <v>602</v>
      </c>
      <c r="E37" s="57">
        <v>2188</v>
      </c>
      <c r="F37" s="57">
        <v>2308</v>
      </c>
      <c r="G37" s="57">
        <v>2348</v>
      </c>
      <c r="H37" s="57">
        <v>2883</v>
      </c>
      <c r="I37" s="50"/>
      <c r="J37" s="57">
        <v>38</v>
      </c>
      <c r="K37" s="57">
        <v>369</v>
      </c>
      <c r="M37" s="60">
        <v>8</v>
      </c>
      <c r="N37" s="49">
        <v>2</v>
      </c>
      <c r="O37" s="31" t="s">
        <v>521</v>
      </c>
      <c r="P37" s="31" t="s">
        <v>602</v>
      </c>
      <c r="Q37" s="31" t="str">
        <f>IF(OR(Data!B$3="a",Data!B$3="LH"),IF(M37=Data!B$4,IF(N37=Data!B$6,SUM(R37:V37),""),""),"")</f>
        <v/>
      </c>
      <c r="R37" s="31" t="str">
        <f>IF(OR("MX0"=Data!B$5,"MX1"=Data!B$5,"MX2"=Data!B$5,"MX3"=Data!B$5),E37,"")</f>
        <v/>
      </c>
      <c r="S37" s="31">
        <f>IF(OR("MF1"=Data!B$5,"MF2"=Data!B$5,"MS4"=Data!B$5),F37,"")</f>
        <v>2308</v>
      </c>
      <c r="T37" s="31" t="str">
        <f>IF(OR("MP1"=Data!B$5,"MP3"=Data!B$5,"MT1"=Data!B$5,"MT2"=Data!B$5,"MF5"=Data!B$5,"MF6"=Data!B$5,"ME3"=Data!B$5,"ME4"=Data!B$5,"MS2"=Data!B$5),G37,"")</f>
        <v/>
      </c>
      <c r="U37" s="31" t="str">
        <f>IF(OR("MS3"=Data!B$5,"ME5"=Data!B$5,"ME6"=Data!B$5,"MS7"=Data!B$5,"MP2"=Data!B$5,"MT4"=Data!B$5,"MPU3"=Data!B$5),H37,"")</f>
        <v/>
      </c>
      <c r="W37" s="31" t="str">
        <f>IF(OR(Q37="",Q37=0),"",IF(Data!B$7="ABE",K37*4,IF(OR(Data!B$7="ACE",Data!B$7="ARE"),K37*2,IF(Data!B$7="BE",K37*2,IF(OR(Data!B$7="CE",Data!B$7="RE"),K37,0))))+J37*(ROUNDUP(Data!B$8,0.1)))</f>
        <v/>
      </c>
      <c r="X37" s="65"/>
      <c r="Y37" s="65">
        <f t="shared" si="0"/>
        <v>406</v>
      </c>
      <c r="Z37" s="65"/>
      <c r="AA37" s="65"/>
      <c r="AB37" s="65"/>
      <c r="AC37" s="65"/>
      <c r="AD37" s="65"/>
      <c r="AE37" s="65"/>
      <c r="AF37" s="31">
        <f t="shared" si="1"/>
        <v>547</v>
      </c>
      <c r="AG37" s="32">
        <f t="shared" si="2"/>
        <v>916</v>
      </c>
      <c r="AH37" s="31">
        <f t="shared" si="3"/>
        <v>36</v>
      </c>
      <c r="AI37" s="31" t="str">
        <f>IF(W37&lt;&gt;"",IF(Data!B$7="NC",AF37+(AH37*(Data!B$8+Data!B$11+Data!B$27)),IF(Data!B$7&lt;&gt;"NC",AG37+(AH37*(Data!B$8+Data!B$11+Data!B$27)))),"")</f>
        <v/>
      </c>
    </row>
    <row r="38" spans="1:35">
      <c r="A38" s="51"/>
      <c r="B38" s="49">
        <v>2.5</v>
      </c>
      <c r="C38" s="31" t="s">
        <v>619</v>
      </c>
      <c r="D38" s="31" t="s">
        <v>721</v>
      </c>
      <c r="E38" s="57">
        <v>2354</v>
      </c>
      <c r="F38" s="57">
        <v>2482</v>
      </c>
      <c r="G38" s="57">
        <v>2517</v>
      </c>
      <c r="H38" s="57">
        <v>3059</v>
      </c>
      <c r="I38" s="50"/>
      <c r="J38" s="57">
        <v>42</v>
      </c>
      <c r="K38" s="57">
        <v>369</v>
      </c>
      <c r="M38" s="60">
        <v>8</v>
      </c>
      <c r="N38" s="49">
        <v>2.5</v>
      </c>
      <c r="O38" s="31" t="s">
        <v>619</v>
      </c>
      <c r="P38" s="31" t="s">
        <v>721</v>
      </c>
      <c r="Q38" s="31" t="str">
        <f>IF(OR(Data!B$3="a",Data!B$3="LH"),IF(M38=Data!B$4,IF(N38=Data!B$6,SUM(R38:V38),""),""),"")</f>
        <v/>
      </c>
      <c r="R38" s="31" t="str">
        <f>IF(OR("MX0"=Data!B$5,"MX1"=Data!B$5,"MX2"=Data!B$5,"MX3"=Data!B$5),E38,"")</f>
        <v/>
      </c>
      <c r="S38" s="31">
        <f>IF(OR("MF1"=Data!B$5,"MF2"=Data!B$5,"MS4"=Data!B$5),F38,"")</f>
        <v>2482</v>
      </c>
      <c r="T38" s="31" t="str">
        <f>IF(OR("MP1"=Data!B$5,"MP3"=Data!B$5,"MT1"=Data!B$5,"MT2"=Data!B$5,"MF5"=Data!B$5,"MF6"=Data!B$5,"ME3"=Data!B$5,"ME4"=Data!B$5,"MS2"=Data!B$5),G38,"")</f>
        <v/>
      </c>
      <c r="U38" s="31" t="str">
        <f>IF(OR("MS3"=Data!B$5,"ME5"=Data!B$5,"ME6"=Data!B$5,"MS7"=Data!B$5,"MP2"=Data!B$5,"MT4"=Data!B$5,"MPU3"=Data!B$5),H38,"")</f>
        <v/>
      </c>
      <c r="W38" s="31" t="str">
        <f>IF(OR(Q38="",Q38=0),"",IF(Data!B$7="ABE",K38*4,IF(OR(Data!B$7="ACE",Data!B$7="ARE"),K38*2,IF(Data!B$7="BE",K38*2,IF(OR(Data!B$7="CE",Data!B$7="RE"),K38,0))))+J38*(ROUNDUP(Data!B$8,0.1)))</f>
        <v/>
      </c>
      <c r="X38" s="65"/>
      <c r="Y38" s="65">
        <f t="shared" si="0"/>
        <v>406</v>
      </c>
      <c r="Z38" s="65"/>
      <c r="AA38" s="65"/>
      <c r="AB38" s="65"/>
      <c r="AC38" s="65"/>
      <c r="AD38" s="65"/>
      <c r="AE38" s="65"/>
      <c r="AF38" s="31">
        <f t="shared" si="1"/>
        <v>589</v>
      </c>
      <c r="AG38" s="32">
        <f t="shared" si="2"/>
        <v>958</v>
      </c>
      <c r="AH38" s="31">
        <f t="shared" si="3"/>
        <v>39</v>
      </c>
      <c r="AI38" s="31" t="str">
        <f>IF(W38&lt;&gt;"",IF(Data!B$7="NC",AF38+(AH38*(Data!B$8+Data!B$11+Data!B$27)),IF(Data!B$7&lt;&gt;"NC",AG38+(AH38*(Data!B$8+Data!B$11+Data!B$27)))),"")</f>
        <v/>
      </c>
    </row>
    <row r="39" spans="1:35">
      <c r="A39" s="51">
        <v>10</v>
      </c>
      <c r="B39" s="49">
        <v>1.75</v>
      </c>
      <c r="C39" s="31" t="s">
        <v>858</v>
      </c>
      <c r="D39" s="31" t="s">
        <v>521</v>
      </c>
      <c r="E39" s="57">
        <v>2770</v>
      </c>
      <c r="F39" s="57">
        <v>2915</v>
      </c>
      <c r="G39" s="57">
        <v>2945</v>
      </c>
      <c r="H39" s="57">
        <v>3624</v>
      </c>
      <c r="I39" s="50"/>
      <c r="J39" s="57">
        <v>52</v>
      </c>
      <c r="K39" s="57">
        <v>416</v>
      </c>
      <c r="M39" s="53">
        <v>10</v>
      </c>
      <c r="N39" s="52">
        <v>1.75</v>
      </c>
      <c r="O39" s="31" t="s">
        <v>858</v>
      </c>
      <c r="P39" s="31" t="s">
        <v>521</v>
      </c>
      <c r="Q39" s="31" t="str">
        <f>IF(OR(Data!B$3="a",Data!B$3="LH"),IF(M39=Data!B$4,IF(N39=Data!B$6,SUM(R39:V39),""),""),"")</f>
        <v/>
      </c>
      <c r="R39" s="31" t="str">
        <f>IF(OR("MX0"=Data!B$5,"MX1"=Data!B$5,"MX2"=Data!B$5,"MX3"=Data!B$5),E39,"")</f>
        <v/>
      </c>
      <c r="S39" s="31">
        <f>IF(OR("MF1"=Data!B$5,"MF2"=Data!B$5,"MS4"=Data!B$5),F39,"")</f>
        <v>2915</v>
      </c>
      <c r="T39" s="31" t="str">
        <f>IF(OR("MP1"=Data!B$5,"MP3"=Data!B$5,"MT1"=Data!B$5,"MT2"=Data!B$5,"MF5"=Data!B$5,"MF6"=Data!B$5,"ME3"=Data!B$5,"ME4"=Data!B$5,"MS2"=Data!B$5),G39,"")</f>
        <v/>
      </c>
      <c r="U39" s="31" t="str">
        <f>IF(OR("MS3"=Data!B$5,"ME5"=Data!B$5,"ME6"=Data!B$5,"MS7"=Data!B$5,"MP2"=Data!B$5,"MT4"=Data!B$5,"MPU3"=Data!B$5),H39,"")</f>
        <v/>
      </c>
      <c r="W39" s="31" t="str">
        <f>IF(OR(Q39="",Q39=0),"",IF(Data!B$7="ABE",K39*4,IF(OR(Data!B$7="ACE",Data!B$7="ARE"),K39*2,IF(Data!B$7="BE",K39*2,IF(OR(Data!B$7="CE",Data!B$7="RE"),K39,0))))+J39*(ROUNDUP(Data!B$8,0.1)))</f>
        <v/>
      </c>
      <c r="X39" s="65"/>
      <c r="Y39" s="65">
        <f t="shared" si="0"/>
        <v>458</v>
      </c>
      <c r="Z39" s="65"/>
      <c r="AA39" s="65"/>
      <c r="AB39" s="65"/>
      <c r="AC39" s="65"/>
      <c r="AD39" s="65"/>
      <c r="AE39" s="65"/>
      <c r="AF39" s="31">
        <f t="shared" si="1"/>
        <v>693</v>
      </c>
      <c r="AG39" s="32">
        <f t="shared" si="2"/>
        <v>1109</v>
      </c>
      <c r="AH39" s="31">
        <f t="shared" si="3"/>
        <v>49</v>
      </c>
      <c r="AI39" s="31" t="str">
        <f>IF(W39&lt;&gt;"",IF(Data!B$7="NC",AF39+(AH39*(Data!B$8+Data!B$11+Data!B$27)),IF(Data!B$7&lt;&gt;"NC",AG39+(AH39*(Data!B$8+Data!B$11+Data!B$27)))),"")</f>
        <v/>
      </c>
    </row>
    <row r="40" spans="1:35">
      <c r="A40" s="51"/>
      <c r="B40" s="49">
        <v>2</v>
      </c>
      <c r="C40" s="31" t="s">
        <v>521</v>
      </c>
      <c r="D40" s="31" t="s">
        <v>602</v>
      </c>
      <c r="E40" s="57">
        <v>3370</v>
      </c>
      <c r="F40" s="57">
        <v>3536</v>
      </c>
      <c r="G40" s="57">
        <v>3601</v>
      </c>
      <c r="H40" s="57">
        <v>3914</v>
      </c>
      <c r="I40" s="50"/>
      <c r="J40" s="57">
        <v>53</v>
      </c>
      <c r="K40" s="57">
        <v>416</v>
      </c>
      <c r="M40" s="53">
        <v>10</v>
      </c>
      <c r="N40" s="52">
        <v>2</v>
      </c>
      <c r="O40" s="31" t="s">
        <v>521</v>
      </c>
      <c r="P40" s="31" t="s">
        <v>602</v>
      </c>
      <c r="Q40" s="31" t="str">
        <f>IF(OR(Data!B$3="a",Data!B$3="LH"),IF(M40=Data!B$4,IF(N40=Data!B$6,SUM(R40:V40),""),""),"")</f>
        <v/>
      </c>
      <c r="R40" s="31" t="str">
        <f>IF(OR("MX0"=Data!B$5,"MX1"=Data!B$5,"MX2"=Data!B$5,"MX3"=Data!B$5),E40,"")</f>
        <v/>
      </c>
      <c r="S40" s="31">
        <f>IF(OR("MF1"=Data!B$5,"MF2"=Data!B$5,"MS4"=Data!B$5),F40,"")</f>
        <v>3536</v>
      </c>
      <c r="T40" s="31" t="str">
        <f>IF(OR("MP1"=Data!B$5,"MP3"=Data!B$5,"MT1"=Data!B$5,"MT2"=Data!B$5,"MF5"=Data!B$5,"MF6"=Data!B$5,"ME3"=Data!B$5,"ME4"=Data!B$5,"MS2"=Data!B$5),G40,"")</f>
        <v/>
      </c>
      <c r="U40" s="31" t="str">
        <f>IF(OR("MS3"=Data!B$5,"ME5"=Data!B$5,"ME6"=Data!B$5,"MS7"=Data!B$5,"MP2"=Data!B$5,"MT4"=Data!B$5,"MPU3"=Data!B$5),H40,"")</f>
        <v/>
      </c>
      <c r="W40" s="31" t="str">
        <f>IF(OR(Q40="",Q40=0),"",IF(Data!B$7="ABE",K40*4,IF(OR(Data!B$7="ACE",Data!B$7="ARE"),K40*2,IF(Data!B$7="BE",K40*2,IF(OR(Data!B$7="CE",Data!B$7="RE"),K40,0))))+J40*(ROUNDUP(Data!B$8,0.1)))</f>
        <v/>
      </c>
      <c r="X40" s="65"/>
      <c r="Y40" s="65">
        <f t="shared" si="0"/>
        <v>458</v>
      </c>
      <c r="Z40" s="65"/>
      <c r="AA40" s="65"/>
      <c r="AB40" s="65"/>
      <c r="AC40" s="65"/>
      <c r="AD40" s="65"/>
      <c r="AE40" s="65"/>
      <c r="AF40" s="31">
        <f t="shared" si="1"/>
        <v>843</v>
      </c>
      <c r="AG40" s="32">
        <f t="shared" si="2"/>
        <v>1259</v>
      </c>
      <c r="AH40" s="31">
        <f t="shared" si="3"/>
        <v>50</v>
      </c>
      <c r="AI40" s="31" t="str">
        <f>IF(W40&lt;&gt;"",IF(Data!B$7="NC",AF40+(AH40*(Data!B$8+Data!B$11+Data!B$27)),IF(Data!B$7&lt;&gt;"NC",AG40+(AH40*(Data!B$8+Data!B$11+Data!B$27)))),"")</f>
        <v/>
      </c>
    </row>
    <row r="41" spans="1:35">
      <c r="A41" s="51"/>
      <c r="B41" s="49">
        <v>2.5</v>
      </c>
      <c r="C41" s="31" t="s">
        <v>619</v>
      </c>
      <c r="D41" s="31" t="s">
        <v>721</v>
      </c>
      <c r="E41" s="57">
        <v>3521</v>
      </c>
      <c r="F41" s="57">
        <v>3683</v>
      </c>
      <c r="G41" s="57">
        <v>3829</v>
      </c>
      <c r="H41" s="57">
        <v>4135</v>
      </c>
      <c r="I41" s="50"/>
      <c r="J41" s="57">
        <v>57</v>
      </c>
      <c r="K41" s="57">
        <v>416</v>
      </c>
      <c r="M41" s="53">
        <v>10</v>
      </c>
      <c r="N41" s="52">
        <v>2.5</v>
      </c>
      <c r="O41" s="31" t="s">
        <v>619</v>
      </c>
      <c r="P41" s="31" t="s">
        <v>721</v>
      </c>
      <c r="Q41" s="31" t="str">
        <f>IF(OR(Data!B$3="a",Data!B$3="LH"),IF(M41=Data!B$4,IF(N41=Data!B$6,SUM(R41:V41),""),""),"")</f>
        <v/>
      </c>
      <c r="R41" s="31" t="str">
        <f>IF(OR("MX0"=Data!B$5,"MX1"=Data!B$5,"MX2"=Data!B$5,"MX3"=Data!B$5),E41,"")</f>
        <v/>
      </c>
      <c r="S41" s="31">
        <f>IF(OR("MF1"=Data!B$5,"MF2"=Data!B$5,"MS4"=Data!B$5),F41,"")</f>
        <v>3683</v>
      </c>
      <c r="T41" s="31" t="str">
        <f>IF(OR("MP1"=Data!B$5,"MP3"=Data!B$5,"MT1"=Data!B$5,"MT2"=Data!B$5,"MF5"=Data!B$5,"MF6"=Data!B$5,"ME3"=Data!B$5,"ME4"=Data!B$5,"MS2"=Data!B$5),G41,"")</f>
        <v/>
      </c>
      <c r="U41" s="31" t="str">
        <f>IF(OR("MS3"=Data!B$5,"ME5"=Data!B$5,"ME6"=Data!B$5,"MS7"=Data!B$5,"MP2"=Data!B$5,"MT4"=Data!B$5,"MPU3"=Data!B$5),H41,"")</f>
        <v/>
      </c>
      <c r="W41" s="31" t="str">
        <f>IF(OR(Q41="",Q41=0),"",IF(Data!B$7="ABE",K41*4,IF(OR(Data!B$7="ACE",Data!B$7="ARE"),K41*2,IF(Data!B$7="BE",K41*2,IF(OR(Data!B$7="CE",Data!B$7="RE"),K41,0))))+J41*(ROUNDUP(Data!B$8,0.1)))</f>
        <v/>
      </c>
      <c r="X41" s="65"/>
      <c r="Y41" s="65">
        <f t="shared" si="0"/>
        <v>458</v>
      </c>
      <c r="Z41" s="65"/>
      <c r="AA41" s="65"/>
      <c r="AB41" s="65"/>
      <c r="AC41" s="65"/>
      <c r="AD41" s="65"/>
      <c r="AE41" s="65"/>
      <c r="AF41" s="31">
        <f t="shared" si="1"/>
        <v>881</v>
      </c>
      <c r="AG41" s="32">
        <f t="shared" si="2"/>
        <v>1297</v>
      </c>
      <c r="AH41" s="31">
        <f t="shared" si="3"/>
        <v>54</v>
      </c>
      <c r="AI41" s="31" t="str">
        <f>IF(W41&lt;&gt;"",IF(Data!B$7="NC",AF41+(AH41*(Data!B$8+Data!B$11+Data!B$27)),IF(Data!B$7&lt;&gt;"NC",AG41+(AH41*(Data!B$8+Data!B$11+Data!B$27)))),"")</f>
        <v/>
      </c>
    </row>
    <row r="42" spans="1:35">
      <c r="A42" s="53"/>
      <c r="B42" s="52">
        <v>3</v>
      </c>
      <c r="C42" s="31" t="s">
        <v>721</v>
      </c>
      <c r="D42" s="31" t="s">
        <v>860</v>
      </c>
      <c r="E42" s="57">
        <v>3703</v>
      </c>
      <c r="F42" s="57">
        <v>3873</v>
      </c>
      <c r="G42" s="57">
        <v>4021</v>
      </c>
      <c r="H42" s="57">
        <v>4331</v>
      </c>
      <c r="I42" s="50"/>
      <c r="J42" s="57">
        <v>63</v>
      </c>
      <c r="K42" s="57">
        <v>416</v>
      </c>
      <c r="M42" s="53">
        <v>10</v>
      </c>
      <c r="N42" s="52">
        <v>3</v>
      </c>
      <c r="O42" s="31" t="s">
        <v>721</v>
      </c>
      <c r="P42" s="31" t="s">
        <v>860</v>
      </c>
      <c r="Q42" s="31" t="str">
        <f>IF(OR(Data!B$3="a",Data!B$3="LH"),IF(M42=Data!B$4,IF(N42=Data!B$6,SUM(R42:V42),""),""),"")</f>
        <v/>
      </c>
      <c r="R42" s="31" t="str">
        <f>IF(OR("MX0"=Data!B$5,"MX1"=Data!B$5,"MX2"=Data!B$5,"MX3"=Data!B$5),E42,"")</f>
        <v/>
      </c>
      <c r="S42" s="31">
        <f>IF(OR("MF1"=Data!B$5,"MF2"=Data!B$5,"MS4"=Data!B$5),F42,"")</f>
        <v>3873</v>
      </c>
      <c r="T42" s="31" t="str">
        <f>IF(OR("MP1"=Data!B$5,"MP3"=Data!B$5,"MT1"=Data!B$5,"MT2"=Data!B$5,"MF5"=Data!B$5,"MF6"=Data!B$5,"ME3"=Data!B$5,"ME4"=Data!B$5,"MS2"=Data!B$5),G42,"")</f>
        <v/>
      </c>
      <c r="U42" s="31" t="str">
        <f>IF(OR("MS3"=Data!B$5,"ME5"=Data!B$5,"ME6"=Data!B$5,"MS7"=Data!B$5,"MP2"=Data!B$5,"MT4"=Data!B$5,"MPU3"=Data!B$5),H42,"")</f>
        <v/>
      </c>
      <c r="W42" s="31" t="str">
        <f>IF(OR(Q42="",Q42=0),"",IF(Data!B$7="ABE",K42*4,IF(OR(Data!B$7="ACE",Data!B$7="ARE"),K42*2,IF(Data!B$7="BE",K42*2,IF(OR(Data!B$7="CE",Data!B$7="RE"),K42,0))))+J42*(ROUNDUP(Data!B$8,0.1)))</f>
        <v/>
      </c>
      <c r="X42" s="65"/>
      <c r="Y42" s="65">
        <f t="shared" si="0"/>
        <v>458</v>
      </c>
      <c r="Z42" s="65"/>
      <c r="AA42" s="65"/>
      <c r="AB42" s="65"/>
      <c r="AC42" s="65"/>
      <c r="AD42" s="65"/>
      <c r="AE42" s="65"/>
      <c r="AF42" s="31">
        <f t="shared" si="1"/>
        <v>926</v>
      </c>
      <c r="AG42" s="32">
        <f t="shared" si="2"/>
        <v>1342</v>
      </c>
      <c r="AH42" s="31">
        <f t="shared" si="3"/>
        <v>59</v>
      </c>
      <c r="AI42" s="31" t="str">
        <f>IF(W42&lt;&gt;"",IF(Data!B$7="NC",AF42+(AH42*(Data!B$8+Data!B$11+Data!B$27)),IF(Data!B$7&lt;&gt;"NC",AG42+(AH42*(Data!B$8+Data!B$11+Data!B$27)))),"")</f>
        <v/>
      </c>
    </row>
    <row r="43" spans="1:35">
      <c r="A43" s="53"/>
      <c r="B43" s="52">
        <v>3.5</v>
      </c>
      <c r="C43" s="31" t="s">
        <v>722</v>
      </c>
      <c r="D43" s="31" t="s">
        <v>302</v>
      </c>
      <c r="E43" s="57">
        <v>3853</v>
      </c>
      <c r="F43" s="57">
        <v>4034</v>
      </c>
      <c r="G43" s="57">
        <v>4172</v>
      </c>
      <c r="H43" s="57">
        <v>4636</v>
      </c>
      <c r="I43" s="50"/>
      <c r="J43" s="57">
        <v>69</v>
      </c>
      <c r="K43" s="57">
        <v>416</v>
      </c>
      <c r="M43" s="53">
        <v>10</v>
      </c>
      <c r="N43" s="52">
        <v>3.5</v>
      </c>
      <c r="O43" s="31" t="s">
        <v>722</v>
      </c>
      <c r="P43" s="31" t="s">
        <v>302</v>
      </c>
      <c r="Q43" s="31" t="str">
        <f>IF(OR(Data!B$3="a",Data!B$3="LH"),IF(M43=Data!B$4,IF(N43=Data!B$6,SUM(R43:V43),""),""),"")</f>
        <v/>
      </c>
      <c r="R43" s="31" t="str">
        <f>IF(OR("MX0"=Data!B$5,"MX1"=Data!B$5,"MX2"=Data!B$5,"MX3"=Data!B$5),E43,"")</f>
        <v/>
      </c>
      <c r="S43" s="31">
        <f>IF(OR("MF1"=Data!B$5,"MF2"=Data!B$5,"MS4"=Data!B$5),F43,"")</f>
        <v>4034</v>
      </c>
      <c r="T43" s="31" t="str">
        <f>IF(OR("MP1"=Data!B$5,"MP3"=Data!B$5,"MT1"=Data!B$5,"MT2"=Data!B$5,"MF5"=Data!B$5,"MF6"=Data!B$5,"ME3"=Data!B$5,"ME4"=Data!B$5,"MS2"=Data!B$5),G43,"")</f>
        <v/>
      </c>
      <c r="U43" s="31" t="str">
        <f>IF(OR("MS3"=Data!B$5,"ME5"=Data!B$5,"ME6"=Data!B$5,"MS7"=Data!B$5,"MP2"=Data!B$5,"MT4"=Data!B$5,"MPU3"=Data!B$5),H43,"")</f>
        <v/>
      </c>
      <c r="W43" s="31" t="str">
        <f>IF(OR(Q43="",Q43=0),"",IF(Data!B$7="ABE",K43*4,IF(OR(Data!B$7="ACE",Data!B$7="ARE"),K43*2,IF(Data!B$7="BE",K43*2,IF(OR(Data!B$7="CE",Data!B$7="RE"),K43,0))))+J43*(ROUNDUP(Data!B$8,0.1)))</f>
        <v/>
      </c>
      <c r="X43" s="65"/>
      <c r="Y43" s="65">
        <f t="shared" si="0"/>
        <v>458</v>
      </c>
      <c r="Z43" s="65"/>
      <c r="AA43" s="65"/>
      <c r="AB43" s="65"/>
      <c r="AC43" s="65"/>
      <c r="AD43" s="65"/>
      <c r="AE43" s="65"/>
      <c r="AF43" s="31">
        <f t="shared" si="1"/>
        <v>964</v>
      </c>
      <c r="AG43" s="32">
        <f t="shared" si="2"/>
        <v>1380</v>
      </c>
      <c r="AH43" s="31">
        <f t="shared" si="3"/>
        <v>65</v>
      </c>
      <c r="AI43" s="31" t="str">
        <f>IF(W43&lt;&gt;"",IF(Data!B$7="NC",AF43+(AH43*(Data!B$8+Data!B$11+Data!B$27)),IF(Data!B$7&lt;&gt;"NC",AG43+(AH43*(Data!B$8+Data!B$11+Data!B$27)))),"")</f>
        <v/>
      </c>
    </row>
    <row r="44" spans="1:35">
      <c r="A44" s="53">
        <v>12</v>
      </c>
      <c r="B44" s="52">
        <v>2</v>
      </c>
      <c r="C44" s="31" t="s">
        <v>521</v>
      </c>
      <c r="D44" s="31" t="s">
        <v>602</v>
      </c>
      <c r="E44" s="57">
        <v>3954</v>
      </c>
      <c r="F44" s="57">
        <v>4136</v>
      </c>
      <c r="G44" s="57">
        <v>4189</v>
      </c>
      <c r="H44" s="57">
        <v>5013</v>
      </c>
      <c r="I44" s="50"/>
      <c r="J44" s="57">
        <v>83</v>
      </c>
      <c r="K44" s="57">
        <v>536</v>
      </c>
      <c r="M44" s="53">
        <v>12</v>
      </c>
      <c r="N44" s="52">
        <v>2</v>
      </c>
      <c r="O44" s="31" t="s">
        <v>521</v>
      </c>
      <c r="P44" s="31" t="s">
        <v>602</v>
      </c>
      <c r="Q44" s="31" t="str">
        <f>IF(OR(Data!B$3="a",Data!B$3="LH"),IF(M44=Data!B$4,IF(N44=Data!B$6,SUM(R44:V44),""),""),"")</f>
        <v/>
      </c>
      <c r="R44" s="31" t="str">
        <f>IF(OR("MX0"=Data!B$5,"MX1"=Data!B$5,"MX2"=Data!B$5,"MX3"=Data!B$5),E44,"")</f>
        <v/>
      </c>
      <c r="S44" s="31">
        <f>IF(OR("MF1"=Data!B$5,"MF2"=Data!B$5,"MS4"=Data!B$5),F44,"")</f>
        <v>4136</v>
      </c>
      <c r="T44" s="31" t="str">
        <f>IF(OR("MP1"=Data!B$5,"MP3"=Data!B$5,"MT1"=Data!B$5,"MT2"=Data!B$5,"MF5"=Data!B$5,"MF6"=Data!B$5,"ME3"=Data!B$5,"ME4"=Data!B$5,"MS2"=Data!B$5),G44,"")</f>
        <v/>
      </c>
      <c r="U44" s="31" t="str">
        <f>IF(OR("MS3"=Data!B$5,"ME5"=Data!B$5,"ME6"=Data!B$5,"MS7"=Data!B$5,"MP2"=Data!B$5,"MT4"=Data!B$5,"MPU3"=Data!B$5),H44,"")</f>
        <v/>
      </c>
      <c r="W44" s="31" t="str">
        <f>IF(OR(Q44="",Q44=0),"",IF(Data!B$7="ABE",K44*4,IF(OR(Data!B$7="ACE",Data!B$7="ARE"),K44*2,IF(Data!B$7="BE",K44*2,IF(OR(Data!B$7="CE",Data!B$7="RE"),K44,0))))+J44*(ROUNDUP(Data!B$8,0.1)))</f>
        <v/>
      </c>
      <c r="X44" s="65"/>
      <c r="Y44" s="65">
        <f t="shared" si="0"/>
        <v>590</v>
      </c>
      <c r="Z44" s="65"/>
      <c r="AA44" s="65"/>
      <c r="AB44" s="65"/>
      <c r="AC44" s="65"/>
      <c r="AD44" s="65"/>
      <c r="AE44" s="65"/>
      <c r="AF44" s="31">
        <f t="shared" si="1"/>
        <v>989</v>
      </c>
      <c r="AG44" s="32">
        <f t="shared" si="2"/>
        <v>1525</v>
      </c>
      <c r="AH44" s="31">
        <f t="shared" si="3"/>
        <v>78</v>
      </c>
      <c r="AI44" s="31" t="str">
        <f>IF(W44&lt;&gt;"",IF(Data!B$7="NC",AF44+(AH44*(Data!B$8+Data!B$11+Data!B$27)),IF(Data!B$7&lt;&gt;"NC",AG44+(AH44*(Data!B$8+Data!B$11+Data!B$27)))),"")</f>
        <v/>
      </c>
    </row>
    <row r="45" spans="1:35">
      <c r="A45" s="53"/>
      <c r="B45" s="52">
        <v>2.5</v>
      </c>
      <c r="C45" s="31" t="s">
        <v>619</v>
      </c>
      <c r="D45" s="31" t="s">
        <v>721</v>
      </c>
      <c r="E45" s="57">
        <v>4454</v>
      </c>
      <c r="F45" s="57">
        <v>4648</v>
      </c>
      <c r="G45" s="57">
        <v>4860</v>
      </c>
      <c r="H45" s="57">
        <v>5380</v>
      </c>
      <c r="I45" s="50"/>
      <c r="J45" s="57">
        <v>88</v>
      </c>
      <c r="K45" s="57">
        <v>536</v>
      </c>
      <c r="M45" s="53">
        <v>12</v>
      </c>
      <c r="N45" s="52">
        <v>2.5</v>
      </c>
      <c r="O45" s="31" t="s">
        <v>619</v>
      </c>
      <c r="P45" s="31" t="s">
        <v>721</v>
      </c>
      <c r="Q45" s="31" t="str">
        <f>IF(OR(Data!B$3="a",Data!B$3="LH"),IF(M45=Data!B$4,IF(N45=Data!B$6,SUM(R45:V45),""),""),"")</f>
        <v/>
      </c>
      <c r="R45" s="31" t="str">
        <f>IF(OR("MX0"=Data!B$5,"MX1"=Data!B$5,"MX2"=Data!B$5,"MX3"=Data!B$5),E45,"")</f>
        <v/>
      </c>
      <c r="S45" s="31">
        <f>IF(OR("MF1"=Data!B$5,"MF2"=Data!B$5,"MS4"=Data!B$5),F45,"")</f>
        <v>4648</v>
      </c>
      <c r="T45" s="31" t="str">
        <f>IF(OR("MP1"=Data!B$5,"MP3"=Data!B$5,"MT1"=Data!B$5,"MT2"=Data!B$5,"MF5"=Data!B$5,"MF6"=Data!B$5,"ME3"=Data!B$5,"ME4"=Data!B$5,"MS2"=Data!B$5),G45,"")</f>
        <v/>
      </c>
      <c r="U45" s="31" t="str">
        <f>IF(OR("MS3"=Data!B$5,"ME5"=Data!B$5,"ME6"=Data!B$5,"MS7"=Data!B$5,"MP2"=Data!B$5,"MT4"=Data!B$5,"MPU3"=Data!B$5),H45,"")</f>
        <v/>
      </c>
      <c r="W45" s="31" t="str">
        <f>IF(OR(Q45="",Q45=0),"",IF(Data!B$7="ABE",K45*4,IF(OR(Data!B$7="ACE",Data!B$7="ARE"),K45*2,IF(Data!B$7="BE",K45*2,IF(OR(Data!B$7="CE",Data!B$7="RE"),K45,0))))+J45*(ROUNDUP(Data!B$8,0.1)))</f>
        <v/>
      </c>
      <c r="X45" s="65"/>
      <c r="Y45" s="65">
        <f t="shared" si="0"/>
        <v>590</v>
      </c>
      <c r="Z45" s="65"/>
      <c r="AA45" s="65"/>
      <c r="AB45" s="65"/>
      <c r="AC45" s="65"/>
      <c r="AD45" s="65"/>
      <c r="AE45" s="65"/>
      <c r="AF45" s="31">
        <f t="shared" si="1"/>
        <v>1114</v>
      </c>
      <c r="AG45" s="32">
        <f t="shared" si="2"/>
        <v>1650</v>
      </c>
      <c r="AH45" s="31">
        <f t="shared" si="3"/>
        <v>83</v>
      </c>
      <c r="AI45" s="31" t="str">
        <f>IF(W45&lt;&gt;"",IF(Data!B$7="NC",AF45+(AH45*(Data!B$8+Data!B$11+Data!B$27)),IF(Data!B$7&lt;&gt;"NC",AG45+(AH45*(Data!B$8+Data!B$11+Data!B$27)))),"")</f>
        <v/>
      </c>
    </row>
    <row r="46" spans="1:35">
      <c r="A46" s="53"/>
      <c r="B46" s="52">
        <v>3</v>
      </c>
      <c r="C46" s="31" t="s">
        <v>721</v>
      </c>
      <c r="D46" s="31" t="s">
        <v>860</v>
      </c>
      <c r="E46" s="57">
        <v>4622</v>
      </c>
      <c r="F46" s="57">
        <v>4815</v>
      </c>
      <c r="G46" s="57">
        <v>5034</v>
      </c>
      <c r="H46" s="57">
        <v>5414</v>
      </c>
      <c r="I46" s="50"/>
      <c r="J46" s="57">
        <v>93</v>
      </c>
      <c r="K46" s="57">
        <v>536</v>
      </c>
      <c r="M46" s="53">
        <v>12</v>
      </c>
      <c r="N46" s="52">
        <v>3</v>
      </c>
      <c r="O46" s="31" t="s">
        <v>721</v>
      </c>
      <c r="P46" s="31" t="s">
        <v>860</v>
      </c>
      <c r="Q46" s="31" t="str">
        <f>IF(OR(Data!B$3="a",Data!B$3="LH"),IF(M46=Data!B$4,IF(N46=Data!B$6,SUM(R46:V46),""),""),"")</f>
        <v/>
      </c>
      <c r="R46" s="31" t="str">
        <f>IF(OR("MX0"=Data!B$5,"MX1"=Data!B$5,"MX2"=Data!B$5,"MX3"=Data!B$5),E46,"")</f>
        <v/>
      </c>
      <c r="S46" s="31">
        <f>IF(OR("MF1"=Data!B$5,"MF2"=Data!B$5,"MS4"=Data!B$5),F46,"")</f>
        <v>4815</v>
      </c>
      <c r="T46" s="31" t="str">
        <f>IF(OR("MP1"=Data!B$5,"MP3"=Data!B$5,"MT1"=Data!B$5,"MT2"=Data!B$5,"MF5"=Data!B$5,"MF6"=Data!B$5,"ME3"=Data!B$5,"ME4"=Data!B$5,"MS2"=Data!B$5),G46,"")</f>
        <v/>
      </c>
      <c r="U46" s="31" t="str">
        <f>IF(OR("MS3"=Data!B$5,"ME5"=Data!B$5,"ME6"=Data!B$5,"MS7"=Data!B$5,"MP2"=Data!B$5,"MT4"=Data!B$5,"MPU3"=Data!B$5),H46,"")</f>
        <v/>
      </c>
      <c r="W46" s="31" t="str">
        <f>IF(OR(Q46="",Q46=0),"",IF(Data!B$7="ABE",K46*4,IF(OR(Data!B$7="ACE",Data!B$7="ARE"),K46*2,IF(Data!B$7="BE",K46*2,IF(OR(Data!B$7="CE",Data!B$7="RE"),K46,0))))+J46*(ROUNDUP(Data!B$8,0.1)))</f>
        <v/>
      </c>
      <c r="X46" s="65"/>
      <c r="Y46" s="65">
        <f t="shared" si="0"/>
        <v>590</v>
      </c>
      <c r="Z46" s="65"/>
      <c r="AA46" s="65"/>
      <c r="AB46" s="65"/>
      <c r="AC46" s="65"/>
      <c r="AD46" s="65"/>
      <c r="AE46" s="65"/>
      <c r="AF46" s="31">
        <f t="shared" si="1"/>
        <v>1156</v>
      </c>
      <c r="AG46" s="32">
        <f t="shared" si="2"/>
        <v>1692</v>
      </c>
      <c r="AH46" s="31">
        <f t="shared" si="3"/>
        <v>88</v>
      </c>
      <c r="AI46" s="31" t="str">
        <f>IF(W46&lt;&gt;"",IF(Data!B$7="NC",AF46+(AH46*(Data!B$8+Data!B$11+Data!B$27)),IF(Data!B$7&lt;&gt;"NC",AG46+(AH46*(Data!B$8+Data!B$11+Data!B$27)))),"")</f>
        <v/>
      </c>
    </row>
    <row r="47" spans="1:35">
      <c r="A47" s="53"/>
      <c r="B47" s="52">
        <v>3.5</v>
      </c>
      <c r="C47" s="31" t="s">
        <v>722</v>
      </c>
      <c r="D47" s="31" t="s">
        <v>302</v>
      </c>
      <c r="E47" s="57">
        <v>4806</v>
      </c>
      <c r="F47" s="57">
        <v>5015</v>
      </c>
      <c r="G47" s="57">
        <v>5225</v>
      </c>
      <c r="H47" s="57">
        <v>5775</v>
      </c>
      <c r="I47" s="50"/>
      <c r="J47" s="57">
        <v>100</v>
      </c>
      <c r="K47" s="57">
        <v>536</v>
      </c>
      <c r="M47" s="53">
        <v>12</v>
      </c>
      <c r="N47" s="52">
        <v>3.5</v>
      </c>
      <c r="O47" s="31" t="s">
        <v>722</v>
      </c>
      <c r="P47" s="31" t="s">
        <v>302</v>
      </c>
      <c r="Q47" s="31" t="str">
        <f>IF(OR(Data!B$3="a",Data!B$3="LH"),IF(M47=Data!B$4,IF(N47=Data!B$6,SUM(R47:V47),""),""),"")</f>
        <v/>
      </c>
      <c r="R47" s="31" t="str">
        <f>IF(OR("MX0"=Data!B$5,"MX1"=Data!B$5,"MX2"=Data!B$5,"MX3"=Data!B$5),E47,"")</f>
        <v/>
      </c>
      <c r="S47" s="31">
        <f>IF(OR("MF1"=Data!B$5,"MF2"=Data!B$5,"MS4"=Data!B$5),F47,"")</f>
        <v>5015</v>
      </c>
      <c r="T47" s="31" t="str">
        <f>IF(OR("MP1"=Data!B$5,"MP3"=Data!B$5,"MT1"=Data!B$5,"MT2"=Data!B$5,"MF5"=Data!B$5,"MF6"=Data!B$5,"ME3"=Data!B$5,"ME4"=Data!B$5,"MS2"=Data!B$5),G47,"")</f>
        <v/>
      </c>
      <c r="U47" s="31" t="str">
        <f>IF(OR("MS3"=Data!B$5,"ME5"=Data!B$5,"ME6"=Data!B$5,"MS7"=Data!B$5,"MP2"=Data!B$5,"MT4"=Data!B$5,"MPU3"=Data!B$5),H47,"")</f>
        <v/>
      </c>
      <c r="W47" s="31" t="str">
        <f>IF(OR(Q47="",Q47=0),"",IF(Data!B$7="ABE",K47*4,IF(OR(Data!B$7="ACE",Data!B$7="ARE"),K47*2,IF(Data!B$7="BE",K47*2,IF(OR(Data!B$7="CE",Data!B$7="RE"),K47,0))))+J47*(ROUNDUP(Data!B$8,0.1)))</f>
        <v/>
      </c>
      <c r="X47" s="65"/>
      <c r="Y47" s="65">
        <f t="shared" si="0"/>
        <v>590</v>
      </c>
      <c r="Z47" s="65"/>
      <c r="AA47" s="65"/>
      <c r="AB47" s="65"/>
      <c r="AC47" s="65"/>
      <c r="AD47" s="65"/>
      <c r="AE47" s="65"/>
      <c r="AF47" s="31">
        <f t="shared" si="1"/>
        <v>1202</v>
      </c>
      <c r="AG47" s="32">
        <f t="shared" si="2"/>
        <v>1738</v>
      </c>
      <c r="AH47" s="31">
        <f t="shared" si="3"/>
        <v>95</v>
      </c>
      <c r="AI47" s="31" t="str">
        <f>IF(W47&lt;&gt;"",IF(Data!B$7="NC",AF47+(AH47*(Data!B$8+Data!B$11+Data!B$27)),IF(Data!B$7&lt;&gt;"NC",AG47+(AH47*(Data!B$8+Data!B$11+Data!B$27)))),"")</f>
        <v/>
      </c>
    </row>
    <row r="48" spans="1:35">
      <c r="A48" s="53"/>
      <c r="B48" s="52">
        <v>4</v>
      </c>
      <c r="C48" s="67" t="s">
        <v>373</v>
      </c>
      <c r="D48" s="68" t="s">
        <v>446</v>
      </c>
      <c r="E48" s="57">
        <v>5038</v>
      </c>
      <c r="F48" s="57">
        <v>5246</v>
      </c>
      <c r="G48" s="57">
        <v>5457</v>
      </c>
      <c r="H48" s="57">
        <v>6031</v>
      </c>
      <c r="I48" s="50"/>
      <c r="J48" s="57">
        <v>109</v>
      </c>
      <c r="K48" s="57">
        <v>536</v>
      </c>
      <c r="M48" s="53">
        <v>12</v>
      </c>
      <c r="N48" s="52">
        <v>4</v>
      </c>
      <c r="O48" s="67" t="s">
        <v>373</v>
      </c>
      <c r="P48" s="68" t="s">
        <v>446</v>
      </c>
      <c r="Q48" s="31" t="str">
        <f>IF(OR(Data!B$3="a",Data!B$3="LH"),IF(M48=Data!B$4,IF(N48=Data!B$6,SUM(R48:V48),""),""),"")</f>
        <v/>
      </c>
      <c r="R48" s="31" t="str">
        <f>IF(OR("MX0"=Data!B$5,"MX1"=Data!B$5,"MX2"=Data!B$5,"MX3"=Data!B$5),E48,"")</f>
        <v/>
      </c>
      <c r="S48" s="31">
        <f>IF(OR("MF1"=Data!B$5,"MF2"=Data!B$5,"MS4"=Data!B$5),F48,"")</f>
        <v>5246</v>
      </c>
      <c r="T48" s="31" t="str">
        <f>IF(OR("MP1"=Data!B$5,"MP3"=Data!B$5,"MT1"=Data!B$5,"MT2"=Data!B$5,"MF5"=Data!B$5,"MF6"=Data!B$5,"ME3"=Data!B$5,"ME4"=Data!B$5,"MS2"=Data!B$5),G48,"")</f>
        <v/>
      </c>
      <c r="U48" s="31" t="str">
        <f>IF(OR("MS3"=Data!B$5,"ME5"=Data!B$5,"ME6"=Data!B$5,"MS7"=Data!B$5,"MP2"=Data!B$5,"MT4"=Data!B$5,"MPU3"=Data!B$5),H48,"")</f>
        <v/>
      </c>
      <c r="W48" s="31" t="str">
        <f>IF(OR(Q48="",Q48=0),"",IF(Data!B$7="ABE",K48*4,IF(OR(Data!B$7="ACE",Data!B$7="ARE"),K48*2,IF(Data!B$7="BE",K48*2,IF(OR(Data!B$7="CE",Data!B$7="RE"),K48,0))))+J48*(ROUNDUP(Data!B$8,0.1)))</f>
        <v/>
      </c>
      <c r="X48" s="65"/>
      <c r="Y48" s="65">
        <f t="shared" si="0"/>
        <v>590</v>
      </c>
      <c r="Z48" s="65"/>
      <c r="AA48" s="65"/>
      <c r="AB48" s="65"/>
      <c r="AC48" s="65"/>
      <c r="AD48" s="65"/>
      <c r="AE48" s="65"/>
      <c r="AF48" s="31">
        <f t="shared" si="1"/>
        <v>1260</v>
      </c>
      <c r="AG48" s="32">
        <f t="shared" si="2"/>
        <v>1796</v>
      </c>
      <c r="AH48" s="31">
        <f t="shared" si="3"/>
        <v>103</v>
      </c>
      <c r="AI48" s="31" t="str">
        <f>IF(W48&lt;&gt;"",IF(Data!B$7="NC",AF48+(AH48*(Data!B$8+Data!B$11+Data!B$27)),IF(Data!B$7&lt;&gt;"NC",AG48+(AH48*(Data!B$8+Data!B$11+Data!B$27)))),"")</f>
        <v/>
      </c>
    </row>
    <row r="49" spans="1:35">
      <c r="A49" s="53">
        <v>14</v>
      </c>
      <c r="B49" s="52">
        <v>2.5</v>
      </c>
      <c r="C49" s="31" t="s">
        <v>619</v>
      </c>
      <c r="D49" s="31" t="s">
        <v>721</v>
      </c>
      <c r="E49" s="57">
        <v>5988</v>
      </c>
      <c r="F49" s="57">
        <v>6835</v>
      </c>
      <c r="G49" s="57">
        <v>7149</v>
      </c>
      <c r="H49" s="57">
        <v>7757</v>
      </c>
      <c r="I49" s="50"/>
      <c r="J49" s="57">
        <v>99</v>
      </c>
      <c r="K49" s="57">
        <v>761</v>
      </c>
      <c r="M49" s="53">
        <v>14</v>
      </c>
      <c r="N49" s="52">
        <v>2.5</v>
      </c>
      <c r="O49" s="31" t="s">
        <v>619</v>
      </c>
      <c r="P49" s="31" t="s">
        <v>721</v>
      </c>
      <c r="Q49" s="31" t="str">
        <f>IF(OR(Data!B$3="a",Data!B$3="LH"),IF(M49=Data!B$4,IF(N49=Data!B$6,SUM(R49:V49),""),""),"")</f>
        <v/>
      </c>
      <c r="R49" s="31" t="str">
        <f>IF(OR("MX0"=Data!B$5,"MX1"=Data!B$5,"MX2"=Data!B$5,"MX3"=Data!B$5),E49,"")</f>
        <v/>
      </c>
      <c r="S49" s="31">
        <f>IF(OR("MF1"=Data!B$5,"MF2"=Data!B$5,"MS4"=Data!B$5),F49,"")</f>
        <v>6835</v>
      </c>
      <c r="T49" s="31" t="str">
        <f>IF(OR("MP1"=Data!B$5,"MP3"=Data!B$5,"MT1"=Data!B$5,"MT2"=Data!B$5,"MF5"=Data!B$5,"MF6"=Data!B$5,"ME3"=Data!B$5,"ME4"=Data!B$5,"MS2"=Data!B$5),G49,"")</f>
        <v/>
      </c>
      <c r="U49" s="31" t="str">
        <f>IF(OR("MS3"=Data!B$5,"ME5"=Data!B$5,"ME6"=Data!B$5,"MS7"=Data!B$5,"MP2"=Data!B$5,"MT4"=Data!B$5,"MPU3"=Data!B$5),H49,"")</f>
        <v/>
      </c>
      <c r="W49" s="31" t="str">
        <f>IF(OR(Q49="",Q49=0),"",IF(Data!B$7="ABE",K49*4,IF(OR(Data!B$7="ACE",Data!B$7="ARE"),K49*2,IF(Data!B$7="BE",K49*2,IF(OR(Data!B$7="CE",Data!B$7="RE"),K49,0))))+J49*(ROUNDUP(Data!B$8,0.1)))</f>
        <v/>
      </c>
      <c r="X49" s="65"/>
      <c r="Y49" s="65">
        <f t="shared" si="0"/>
        <v>838</v>
      </c>
      <c r="Z49" s="65"/>
      <c r="AA49" s="65"/>
      <c r="AB49" s="65"/>
      <c r="AC49" s="65"/>
      <c r="AD49" s="65"/>
      <c r="AE49" s="65"/>
      <c r="AF49" s="31">
        <f t="shared" si="1"/>
        <v>1497</v>
      </c>
      <c r="AG49" s="32">
        <f t="shared" si="2"/>
        <v>2258</v>
      </c>
      <c r="AH49" s="31">
        <f t="shared" si="3"/>
        <v>94</v>
      </c>
      <c r="AI49" s="31" t="str">
        <f>IF(W49&lt;&gt;"",IF(Data!B$7="NC",AF49+(AH49*(Data!B$8+Data!B$11+Data!B$27)),IF(Data!B$7&lt;&gt;"NC",AG49+(AH49*(Data!B$8+Data!B$11+Data!B$27)))),"")</f>
        <v/>
      </c>
    </row>
    <row r="50" spans="1:35">
      <c r="A50" s="53"/>
      <c r="B50" s="52">
        <v>3</v>
      </c>
      <c r="C50" s="31" t="s">
        <v>721</v>
      </c>
      <c r="D50" s="31" t="s">
        <v>860</v>
      </c>
      <c r="E50" s="57">
        <v>6905</v>
      </c>
      <c r="F50" s="57">
        <v>7222</v>
      </c>
      <c r="G50" s="57">
        <v>7692</v>
      </c>
      <c r="H50" s="57">
        <v>8083</v>
      </c>
      <c r="I50" s="50"/>
      <c r="J50" s="57">
        <v>102</v>
      </c>
      <c r="K50" s="57">
        <v>761</v>
      </c>
      <c r="M50" s="53">
        <v>14</v>
      </c>
      <c r="N50" s="52">
        <v>3</v>
      </c>
      <c r="O50" s="31" t="s">
        <v>721</v>
      </c>
      <c r="P50" s="31" t="s">
        <v>860</v>
      </c>
      <c r="Q50" s="31" t="str">
        <f>IF(OR(Data!B$3="a",Data!B$3="LH"),IF(M50=Data!B$4,IF(N50=Data!B$6,SUM(R50:V50),""),""),"")</f>
        <v/>
      </c>
      <c r="R50" s="31" t="str">
        <f>IF(OR("MX0"=Data!B$5,"MX1"=Data!B$5,"MX2"=Data!B$5,"MX3"=Data!B$5),E50,"")</f>
        <v/>
      </c>
      <c r="S50" s="31">
        <f>IF(OR("MF1"=Data!B$5,"MF2"=Data!B$5,"MS4"=Data!B$5),F50,"")</f>
        <v>7222</v>
      </c>
      <c r="T50" s="31" t="str">
        <f>IF(OR("MP1"=Data!B$5,"MP3"=Data!B$5,"MT1"=Data!B$5,"MT2"=Data!B$5,"MF5"=Data!B$5,"MF6"=Data!B$5,"ME3"=Data!B$5,"ME4"=Data!B$5,"MS2"=Data!B$5),G50,"")</f>
        <v/>
      </c>
      <c r="U50" s="31" t="str">
        <f>IF(OR("MS3"=Data!B$5,"ME5"=Data!B$5,"ME6"=Data!B$5,"MS7"=Data!B$5,"MP2"=Data!B$5,"MT4"=Data!B$5,"MPU3"=Data!B$5),H50,"")</f>
        <v/>
      </c>
      <c r="W50" s="31" t="str">
        <f>IF(OR(Q50="",Q50=0),"",IF(Data!B$7="ABE",K50*4,IF(OR(Data!B$7="ACE",Data!B$7="ARE"),K50*2,IF(Data!B$7="BE",K50*2,IF(OR(Data!B$7="CE",Data!B$7="RE"),K50,0))))+J50*(ROUNDUP(Data!B$8,0.1)))</f>
        <v/>
      </c>
      <c r="X50" s="65"/>
      <c r="Y50" s="65">
        <f t="shared" si="0"/>
        <v>838</v>
      </c>
      <c r="Z50" s="65"/>
      <c r="AA50" s="65"/>
      <c r="AB50" s="65"/>
      <c r="AC50" s="65"/>
      <c r="AD50" s="65"/>
      <c r="AE50" s="65"/>
      <c r="AF50" s="31">
        <f t="shared" si="1"/>
        <v>1727</v>
      </c>
      <c r="AG50" s="32">
        <f t="shared" si="2"/>
        <v>2488</v>
      </c>
      <c r="AH50" s="31">
        <f t="shared" si="3"/>
        <v>96</v>
      </c>
      <c r="AI50" s="31" t="str">
        <f>IF(W50&lt;&gt;"",IF(Data!B$7="NC",AF50+(AH50*(Data!B$8+Data!B$11+Data!B$27)),IF(Data!B$7&lt;&gt;"NC",AG50+(AH50*(Data!B$8+Data!B$11+Data!B$27)))),"")</f>
        <v/>
      </c>
    </row>
    <row r="51" spans="1:35">
      <c r="A51" s="53"/>
      <c r="B51" s="52">
        <v>3.5</v>
      </c>
      <c r="C51" s="31" t="s">
        <v>722</v>
      </c>
      <c r="D51" s="31" t="s">
        <v>302</v>
      </c>
      <c r="E51" s="57">
        <v>7122</v>
      </c>
      <c r="F51" s="57">
        <v>7436</v>
      </c>
      <c r="G51" s="57">
        <v>7486</v>
      </c>
      <c r="H51" s="57">
        <v>8556</v>
      </c>
      <c r="I51" s="50"/>
      <c r="J51" s="57">
        <v>110</v>
      </c>
      <c r="K51" s="57">
        <v>761</v>
      </c>
      <c r="M51" s="53">
        <v>14</v>
      </c>
      <c r="N51" s="52">
        <v>3.5</v>
      </c>
      <c r="O51" s="31" t="s">
        <v>722</v>
      </c>
      <c r="P51" s="31" t="s">
        <v>302</v>
      </c>
      <c r="Q51" s="31" t="str">
        <f>IF(OR(Data!B$3="a",Data!B$3="LH"),IF(M51=Data!B$4,IF(N51=Data!B$6,SUM(R51:V51),""),""),"")</f>
        <v/>
      </c>
      <c r="R51" s="31" t="str">
        <f>IF(OR("MX0"=Data!B$5,"MX1"=Data!B$5,"MX2"=Data!B$5,"MX3"=Data!B$5),E51,"")</f>
        <v/>
      </c>
      <c r="S51" s="31">
        <f>IF(OR("MF1"=Data!B$5,"MF2"=Data!B$5,"MS4"=Data!B$5),F51,"")</f>
        <v>7436</v>
      </c>
      <c r="T51" s="31" t="str">
        <f>IF(OR("MP1"=Data!B$5,"MP3"=Data!B$5,"MT1"=Data!B$5,"MT2"=Data!B$5,"MF5"=Data!B$5,"MF6"=Data!B$5,"ME3"=Data!B$5,"ME4"=Data!B$5,"MS2"=Data!B$5),G51,"")</f>
        <v/>
      </c>
      <c r="U51" s="31" t="str">
        <f>IF(OR("MS3"=Data!B$5,"ME5"=Data!B$5,"ME6"=Data!B$5,"MS7"=Data!B$5,"MP2"=Data!B$5,"MT4"=Data!B$5,"MPU3"=Data!B$5),H51,"")</f>
        <v/>
      </c>
      <c r="W51" s="31" t="str">
        <f>IF(OR(Q51="",Q51=0),"",IF(Data!B$7="ABE",K51*4,IF(OR(Data!B$7="ACE",Data!B$7="ARE"),K51*2,IF(Data!B$7="BE",K51*2,IF(OR(Data!B$7="CE",Data!B$7="RE"),K51,0))))+J51*(ROUNDUP(Data!B$8,0.1)))</f>
        <v/>
      </c>
      <c r="X51" s="65"/>
      <c r="Y51" s="65">
        <f t="shared" si="0"/>
        <v>838</v>
      </c>
      <c r="Z51" s="65"/>
      <c r="AA51" s="65"/>
      <c r="AB51" s="65"/>
      <c r="AC51" s="65"/>
      <c r="AD51" s="65"/>
      <c r="AE51" s="65"/>
      <c r="AF51" s="31">
        <f t="shared" si="1"/>
        <v>1781</v>
      </c>
      <c r="AG51" s="32">
        <f t="shared" si="2"/>
        <v>2542</v>
      </c>
      <c r="AH51" s="31">
        <f t="shared" si="3"/>
        <v>104</v>
      </c>
      <c r="AI51" s="31" t="str">
        <f>IF(W51&lt;&gt;"",IF(Data!B$7="NC",AF51+(AH51*(Data!B$8+Data!B$11+Data!B$27)),IF(Data!B$7&lt;&gt;"NC",AG51+(AH51*(Data!B$8+Data!B$11+Data!B$27)))),"")</f>
        <v/>
      </c>
    </row>
    <row r="52" spans="1:35">
      <c r="A52" s="53"/>
      <c r="B52" s="52">
        <v>4</v>
      </c>
      <c r="C52" s="67" t="s">
        <v>373</v>
      </c>
      <c r="D52" s="68" t="s">
        <v>446</v>
      </c>
      <c r="E52" s="57">
        <v>7389</v>
      </c>
      <c r="F52" s="57">
        <v>7706</v>
      </c>
      <c r="G52" s="57">
        <v>7974</v>
      </c>
      <c r="H52" s="57">
        <v>8835</v>
      </c>
      <c r="I52" s="50"/>
      <c r="J52" s="57">
        <v>116</v>
      </c>
      <c r="K52" s="57">
        <v>761</v>
      </c>
      <c r="M52" s="53">
        <v>14</v>
      </c>
      <c r="N52" s="52">
        <v>4</v>
      </c>
      <c r="O52" s="67" t="s">
        <v>373</v>
      </c>
      <c r="P52" s="68" t="s">
        <v>446</v>
      </c>
      <c r="Q52" s="31" t="str">
        <f>IF(OR(Data!B$3="a",Data!B$3="LH"),IF(M52=Data!B$4,IF(N52=Data!B$6,SUM(R52:V52),""),""),"")</f>
        <v/>
      </c>
      <c r="R52" s="31" t="str">
        <f>IF(OR("MX0"=Data!B$5,"MX1"=Data!B$5,"MX2"=Data!B$5,"MX3"=Data!B$5),E52,"")</f>
        <v/>
      </c>
      <c r="S52" s="31">
        <f>IF(OR("MF1"=Data!B$5,"MF2"=Data!B$5,"MS4"=Data!B$5),F52,"")</f>
        <v>7706</v>
      </c>
      <c r="T52" s="31" t="str">
        <f>IF(OR("MP1"=Data!B$5,"MP3"=Data!B$5,"MT1"=Data!B$5,"MT2"=Data!B$5,"MF5"=Data!B$5,"MF6"=Data!B$5,"ME3"=Data!B$5,"ME4"=Data!B$5,"MS2"=Data!B$5),G52,"")</f>
        <v/>
      </c>
      <c r="U52" s="31" t="str">
        <f>IF(OR("MS3"=Data!B$5,"ME5"=Data!B$5,"ME6"=Data!B$5,"MS7"=Data!B$5,"MP2"=Data!B$5,"MT4"=Data!B$5,"MPU3"=Data!B$5),H52,"")</f>
        <v/>
      </c>
      <c r="W52" s="31" t="str">
        <f>IF(OR(Q52="",Q52=0),"",IF(Data!B$7="ABE",K52*4,IF(OR(Data!B$7="ACE",Data!B$7="ARE"),K52*2,IF(Data!B$7="BE",K52*2,IF(OR(Data!B$7="CE",Data!B$7="RE"),K52,0))))+J52*(ROUNDUP(Data!B$8,0.1)))</f>
        <v/>
      </c>
      <c r="X52" s="65"/>
      <c r="Y52" s="65">
        <f t="shared" si="0"/>
        <v>838</v>
      </c>
      <c r="Z52" s="65"/>
      <c r="AA52" s="65"/>
      <c r="AB52" s="65"/>
      <c r="AC52" s="65"/>
      <c r="AD52" s="65"/>
      <c r="AE52" s="65"/>
      <c r="AF52" s="31">
        <f t="shared" si="1"/>
        <v>1848</v>
      </c>
      <c r="AG52" s="32">
        <f t="shared" si="2"/>
        <v>2609</v>
      </c>
      <c r="AH52" s="31">
        <f t="shared" si="3"/>
        <v>110</v>
      </c>
      <c r="AI52" s="31" t="str">
        <f>IF(W52&lt;&gt;"",IF(Data!B$7="NC",AF52+(AH52*(Data!B$8+Data!B$11+Data!B$27)),IF(Data!B$7&lt;&gt;"NC",AG52+(AH52*(Data!B$8+Data!B$11+Data!B$27)))),"")</f>
        <v/>
      </c>
    </row>
    <row r="53" spans="1:35">
      <c r="B53" s="52"/>
      <c r="E53" s="68"/>
      <c r="F53" s="68"/>
      <c r="G53" s="68"/>
      <c r="H53" s="40"/>
      <c r="I53" s="68"/>
      <c r="Q53" s="31">
        <f>SUM(Q6:Q52)</f>
        <v>0</v>
      </c>
      <c r="W53" s="31">
        <f>SUM(W6:W52)</f>
        <v>0</v>
      </c>
      <c r="Z53" s="31">
        <f>SUM(Q53:Y53)</f>
        <v>0</v>
      </c>
    </row>
    <row r="54" spans="1:35">
      <c r="B54" s="52"/>
      <c r="E54" s="68"/>
      <c r="F54" s="68"/>
      <c r="G54" s="68"/>
      <c r="H54" s="40"/>
      <c r="I54" s="68"/>
    </row>
    <row r="55" spans="1:35">
      <c r="B55" s="52"/>
      <c r="E55" s="68"/>
      <c r="F55" s="68"/>
      <c r="G55" s="68"/>
      <c r="H55" s="40"/>
      <c r="I55" s="68"/>
    </row>
    <row r="56" spans="1:35">
      <c r="A56" s="53"/>
      <c r="B56" s="52"/>
      <c r="E56" s="68"/>
      <c r="F56" s="68"/>
      <c r="G56" s="68"/>
      <c r="H56" s="40"/>
      <c r="I56" s="68"/>
    </row>
    <row r="57" spans="1:35">
      <c r="B57" s="52"/>
      <c r="E57" s="68"/>
      <c r="F57" s="68"/>
      <c r="G57" s="68"/>
      <c r="H57" s="40"/>
      <c r="I57" s="68"/>
    </row>
    <row r="58" spans="1:35">
      <c r="B58" s="52"/>
      <c r="E58" s="68"/>
      <c r="F58" s="68"/>
      <c r="G58" s="68"/>
      <c r="H58" s="40"/>
      <c r="I58" s="68"/>
    </row>
    <row r="59" spans="1:35">
      <c r="B59" s="52"/>
      <c r="E59" s="68"/>
      <c r="F59" s="68"/>
      <c r="G59" s="68"/>
      <c r="H59" s="40"/>
      <c r="I59" s="68"/>
    </row>
    <row r="176" spans="5:18">
      <c r="E176" s="30"/>
      <c r="F176" s="30"/>
      <c r="G176" s="30"/>
      <c r="H176" s="30"/>
      <c r="I176" s="30"/>
      <c r="J176" s="30"/>
      <c r="K176" s="30"/>
      <c r="L176" s="30"/>
      <c r="M176" s="30"/>
      <c r="N176" s="45"/>
      <c r="O176" s="30"/>
      <c r="P176" s="30"/>
      <c r="Q176" s="30"/>
      <c r="R176" s="30"/>
    </row>
    <row r="177" spans="5:18">
      <c r="E177" s="30"/>
      <c r="F177" s="30"/>
      <c r="G177" s="30"/>
      <c r="H177" s="30"/>
      <c r="I177" s="30"/>
      <c r="J177" s="30"/>
      <c r="K177" s="30"/>
      <c r="L177" s="30"/>
      <c r="M177" s="30"/>
      <c r="N177" s="45"/>
      <c r="O177" s="30"/>
      <c r="P177" s="30"/>
      <c r="Q177" s="30"/>
      <c r="R177" s="30"/>
    </row>
    <row r="178" spans="5:18">
      <c r="E178" s="30"/>
      <c r="F178" s="30"/>
      <c r="G178" s="30"/>
      <c r="H178" s="30"/>
      <c r="I178" s="30"/>
      <c r="J178" s="30"/>
      <c r="K178" s="30"/>
      <c r="L178" s="30"/>
      <c r="M178" s="30"/>
      <c r="N178" s="45"/>
      <c r="O178" s="30"/>
      <c r="P178" s="30"/>
      <c r="Q178" s="30"/>
      <c r="R178" s="30"/>
    </row>
    <row r="179" spans="5:18">
      <c r="E179" s="30"/>
      <c r="F179" s="30"/>
      <c r="G179" s="30"/>
      <c r="H179" s="30"/>
      <c r="I179" s="30"/>
      <c r="J179" s="30"/>
      <c r="K179" s="30"/>
      <c r="L179" s="30"/>
      <c r="M179" s="30"/>
      <c r="N179" s="45"/>
      <c r="O179" s="30"/>
      <c r="P179" s="30"/>
      <c r="Q179" s="30"/>
      <c r="R179" s="30"/>
    </row>
    <row r="180" spans="5:18">
      <c r="E180" s="30"/>
      <c r="F180" s="30"/>
      <c r="G180" s="30"/>
      <c r="H180" s="30"/>
      <c r="I180" s="30"/>
      <c r="J180" s="30"/>
      <c r="K180" s="30"/>
      <c r="L180" s="30"/>
      <c r="M180" s="30"/>
      <c r="N180" s="45"/>
      <c r="O180" s="30"/>
      <c r="P180" s="30"/>
      <c r="Q180" s="30"/>
      <c r="R180" s="30"/>
    </row>
    <row r="181" spans="5:18">
      <c r="E181" s="30"/>
      <c r="F181" s="30"/>
      <c r="G181" s="30"/>
      <c r="H181" s="30"/>
      <c r="I181" s="30"/>
      <c r="J181" s="30"/>
      <c r="K181" s="30"/>
      <c r="L181" s="30"/>
      <c r="M181" s="30"/>
      <c r="N181" s="45"/>
      <c r="O181" s="30"/>
      <c r="P181" s="30"/>
      <c r="Q181" s="30"/>
      <c r="R181" s="30"/>
    </row>
    <row r="182" spans="5:18">
      <c r="E182" s="30"/>
      <c r="F182" s="30"/>
      <c r="G182" s="30"/>
      <c r="H182" s="30"/>
      <c r="I182" s="30"/>
      <c r="J182" s="30"/>
      <c r="K182" s="30"/>
      <c r="L182" s="30"/>
      <c r="M182" s="30"/>
      <c r="N182" s="45"/>
      <c r="O182" s="30"/>
      <c r="P182" s="30"/>
      <c r="Q182" s="30"/>
      <c r="R182" s="30"/>
    </row>
    <row r="183" spans="5:18">
      <c r="E183" s="30"/>
      <c r="F183" s="30"/>
      <c r="G183" s="30"/>
      <c r="H183" s="30"/>
      <c r="I183" s="30"/>
      <c r="J183" s="30"/>
      <c r="K183" s="30"/>
      <c r="L183" s="30"/>
      <c r="M183" s="30"/>
      <c r="N183" s="45"/>
      <c r="O183" s="30"/>
      <c r="P183" s="30"/>
      <c r="Q183" s="30"/>
      <c r="R183" s="30"/>
    </row>
    <row r="184" spans="5:18">
      <c r="E184" s="30"/>
      <c r="F184" s="30"/>
      <c r="G184" s="30"/>
      <c r="H184" s="30"/>
      <c r="I184" s="30"/>
      <c r="J184" s="30"/>
      <c r="K184" s="30"/>
      <c r="L184" s="30"/>
      <c r="M184" s="30"/>
      <c r="N184" s="45"/>
      <c r="O184" s="30"/>
      <c r="P184" s="30"/>
      <c r="Q184" s="30"/>
      <c r="R184" s="30"/>
    </row>
    <row r="185" spans="5:18">
      <c r="E185" s="30"/>
      <c r="F185" s="30"/>
      <c r="G185" s="30"/>
      <c r="H185" s="30"/>
      <c r="I185" s="30"/>
      <c r="J185" s="30"/>
      <c r="K185" s="30"/>
      <c r="L185" s="30"/>
      <c r="M185" s="30"/>
      <c r="N185" s="45"/>
      <c r="O185" s="30"/>
      <c r="P185" s="30"/>
      <c r="Q185" s="30"/>
      <c r="R185" s="30"/>
    </row>
    <row r="186" spans="5:18">
      <c r="E186" s="30"/>
      <c r="F186" s="30"/>
      <c r="G186" s="30"/>
      <c r="H186" s="30"/>
      <c r="I186" s="30"/>
      <c r="J186" s="30"/>
      <c r="K186" s="30"/>
      <c r="L186" s="30"/>
      <c r="M186" s="30"/>
      <c r="N186" s="45"/>
      <c r="O186" s="30"/>
      <c r="P186" s="30"/>
      <c r="Q186" s="30"/>
      <c r="R186" s="30"/>
    </row>
    <row r="187" spans="5:18">
      <c r="E187" s="30"/>
      <c r="F187" s="30"/>
      <c r="G187" s="30"/>
      <c r="H187" s="30"/>
      <c r="I187" s="30"/>
      <c r="J187" s="30"/>
      <c r="K187" s="30"/>
      <c r="L187" s="30"/>
      <c r="M187" s="30"/>
      <c r="N187" s="45"/>
      <c r="O187" s="30"/>
      <c r="P187" s="30"/>
      <c r="Q187" s="30"/>
      <c r="R187" s="30"/>
    </row>
    <row r="188" spans="5:18">
      <c r="E188" s="30"/>
      <c r="F188" s="30"/>
      <c r="G188" s="30"/>
      <c r="H188" s="30"/>
      <c r="I188" s="30"/>
      <c r="J188" s="30"/>
      <c r="K188" s="30"/>
      <c r="L188" s="30"/>
      <c r="M188" s="30"/>
      <c r="N188" s="45"/>
      <c r="O188" s="30"/>
      <c r="P188" s="30"/>
      <c r="Q188" s="30"/>
      <c r="R188" s="30"/>
    </row>
    <row r="189" spans="5:18">
      <c r="E189" s="30"/>
      <c r="F189" s="30"/>
      <c r="G189" s="30"/>
      <c r="H189" s="30"/>
      <c r="I189" s="30"/>
      <c r="J189" s="30"/>
      <c r="K189" s="30"/>
      <c r="L189" s="30"/>
      <c r="M189" s="30"/>
      <c r="N189" s="45"/>
      <c r="O189" s="30"/>
      <c r="P189" s="30"/>
      <c r="Q189" s="30"/>
      <c r="R189" s="30"/>
    </row>
    <row r="190" spans="5:18">
      <c r="E190" s="30"/>
      <c r="F190" s="30"/>
      <c r="G190" s="30"/>
      <c r="H190" s="30"/>
      <c r="I190" s="30"/>
      <c r="J190" s="30"/>
      <c r="K190" s="30"/>
      <c r="L190" s="30"/>
      <c r="M190" s="30"/>
      <c r="N190" s="45"/>
      <c r="O190" s="30"/>
      <c r="P190" s="30"/>
      <c r="Q190" s="30"/>
      <c r="R190" s="30"/>
    </row>
    <row r="191" spans="5:18">
      <c r="E191" s="30"/>
      <c r="F191" s="30"/>
      <c r="G191" s="30"/>
      <c r="H191" s="30"/>
      <c r="I191" s="30"/>
      <c r="J191" s="30"/>
      <c r="K191" s="30"/>
      <c r="L191" s="30"/>
      <c r="M191" s="30"/>
      <c r="N191" s="45"/>
      <c r="O191" s="30"/>
      <c r="P191" s="30"/>
      <c r="Q191" s="30"/>
      <c r="R191" s="30"/>
    </row>
    <row r="192" spans="5:18">
      <c r="E192" s="30"/>
      <c r="F192" s="30"/>
      <c r="G192" s="30"/>
      <c r="H192" s="30"/>
      <c r="I192" s="30"/>
      <c r="J192" s="30"/>
      <c r="K192" s="30"/>
      <c r="L192" s="30"/>
      <c r="M192" s="30"/>
      <c r="N192" s="45"/>
      <c r="O192" s="30"/>
      <c r="P192" s="30"/>
      <c r="Q192" s="30"/>
      <c r="R192" s="30"/>
    </row>
    <row r="193" spans="5:18">
      <c r="E193" s="30"/>
      <c r="F193" s="30"/>
      <c r="G193" s="30"/>
      <c r="H193" s="30"/>
      <c r="I193" s="30"/>
      <c r="J193" s="30"/>
      <c r="K193" s="30"/>
      <c r="L193" s="30"/>
      <c r="M193" s="30"/>
      <c r="N193" s="45"/>
      <c r="O193" s="30"/>
      <c r="P193" s="30"/>
      <c r="Q193" s="30"/>
      <c r="R193" s="30"/>
    </row>
    <row r="194" spans="5:18">
      <c r="E194" s="30"/>
      <c r="F194" s="30"/>
      <c r="G194" s="30"/>
      <c r="H194" s="30"/>
      <c r="I194" s="30"/>
      <c r="J194" s="30"/>
      <c r="K194" s="30"/>
      <c r="L194" s="30"/>
      <c r="M194" s="30"/>
      <c r="N194" s="45"/>
      <c r="O194" s="30"/>
      <c r="P194" s="30"/>
      <c r="Q194" s="30"/>
      <c r="R194" s="30"/>
    </row>
    <row r="195" spans="5:18">
      <c r="E195" s="30"/>
      <c r="F195" s="30"/>
      <c r="G195" s="30"/>
      <c r="H195" s="30"/>
      <c r="I195" s="30"/>
      <c r="J195" s="30"/>
      <c r="K195" s="30"/>
      <c r="L195" s="30"/>
      <c r="M195" s="30"/>
      <c r="N195" s="45"/>
      <c r="O195" s="30"/>
      <c r="P195" s="30"/>
      <c r="Q195" s="30"/>
      <c r="R195" s="30"/>
    </row>
    <row r="196" spans="5:18">
      <c r="E196" s="30"/>
      <c r="F196" s="30"/>
      <c r="G196" s="30"/>
      <c r="H196" s="30"/>
      <c r="I196" s="30"/>
      <c r="J196" s="30"/>
      <c r="K196" s="30"/>
      <c r="L196" s="30"/>
      <c r="M196" s="30"/>
      <c r="N196" s="45"/>
      <c r="O196" s="30"/>
      <c r="P196" s="30"/>
      <c r="Q196" s="30"/>
      <c r="R196" s="30"/>
    </row>
    <row r="197" spans="5:18">
      <c r="E197" s="30"/>
      <c r="F197" s="30"/>
      <c r="G197" s="30"/>
      <c r="H197" s="30"/>
      <c r="I197" s="30"/>
      <c r="J197" s="30"/>
      <c r="K197" s="30"/>
      <c r="L197" s="30"/>
      <c r="M197" s="30"/>
      <c r="N197" s="45"/>
      <c r="O197" s="30"/>
      <c r="P197" s="30"/>
      <c r="Q197" s="30"/>
      <c r="R197" s="30"/>
    </row>
    <row r="198" spans="5:18">
      <c r="E198" s="30"/>
      <c r="F198" s="30"/>
      <c r="G198" s="30"/>
      <c r="H198" s="30"/>
      <c r="I198" s="30"/>
      <c r="J198" s="30"/>
      <c r="K198" s="30"/>
      <c r="L198" s="30"/>
      <c r="M198" s="30"/>
      <c r="N198" s="45"/>
      <c r="O198" s="30"/>
      <c r="P198" s="30"/>
      <c r="Q198" s="30"/>
      <c r="R198" s="30"/>
    </row>
    <row r="199" spans="5:18">
      <c r="E199" s="30"/>
      <c r="F199" s="30"/>
      <c r="G199" s="30"/>
      <c r="H199" s="30"/>
      <c r="I199" s="30"/>
      <c r="J199" s="30"/>
      <c r="K199" s="30"/>
      <c r="L199" s="30"/>
      <c r="M199" s="30"/>
      <c r="N199" s="45"/>
      <c r="O199" s="30"/>
      <c r="P199" s="30"/>
      <c r="Q199" s="30"/>
      <c r="R199" s="30"/>
    </row>
    <row r="200" spans="5:18">
      <c r="E200" s="30"/>
      <c r="F200" s="30"/>
      <c r="G200" s="30"/>
      <c r="H200" s="30"/>
      <c r="I200" s="30"/>
      <c r="J200" s="30"/>
      <c r="K200" s="30"/>
      <c r="L200" s="30"/>
      <c r="M200" s="30"/>
      <c r="N200" s="45"/>
      <c r="O200" s="30"/>
      <c r="P200" s="30"/>
      <c r="Q200" s="30"/>
      <c r="R200" s="30"/>
    </row>
    <row r="201" spans="5:18">
      <c r="E201" s="30"/>
      <c r="F201" s="30"/>
      <c r="G201" s="30"/>
      <c r="H201" s="30"/>
      <c r="I201" s="30"/>
      <c r="J201" s="30"/>
      <c r="K201" s="30"/>
      <c r="L201" s="30"/>
      <c r="M201" s="30"/>
      <c r="N201" s="45"/>
      <c r="O201" s="30"/>
      <c r="P201" s="30"/>
      <c r="Q201" s="30"/>
      <c r="R201" s="30"/>
    </row>
    <row r="202" spans="5:18">
      <c r="E202" s="30"/>
      <c r="F202" s="30"/>
      <c r="G202" s="30"/>
      <c r="H202" s="30"/>
      <c r="I202" s="30"/>
      <c r="J202" s="30"/>
      <c r="K202" s="30"/>
      <c r="L202" s="30"/>
      <c r="M202" s="30"/>
      <c r="N202" s="45"/>
      <c r="O202" s="30"/>
      <c r="P202" s="30"/>
      <c r="Q202" s="30"/>
      <c r="R202" s="30"/>
    </row>
    <row r="203" spans="5:18">
      <c r="E203" s="30"/>
      <c r="F203" s="30"/>
      <c r="G203" s="30"/>
      <c r="H203" s="30"/>
      <c r="I203" s="30"/>
      <c r="J203" s="30"/>
      <c r="K203" s="30"/>
      <c r="L203" s="30"/>
      <c r="M203" s="30"/>
      <c r="N203" s="45"/>
      <c r="O203" s="30"/>
      <c r="P203" s="30"/>
      <c r="Q203" s="30"/>
      <c r="R203" s="30"/>
    </row>
    <row r="204" spans="5:18">
      <c r="E204" s="30"/>
      <c r="F204" s="30"/>
      <c r="G204" s="30"/>
      <c r="H204" s="30"/>
      <c r="I204" s="30"/>
      <c r="J204" s="30"/>
      <c r="K204" s="30"/>
      <c r="L204" s="30"/>
      <c r="M204" s="30"/>
      <c r="N204" s="45"/>
      <c r="O204" s="30"/>
      <c r="P204" s="30"/>
      <c r="Q204" s="30"/>
      <c r="R204" s="30"/>
    </row>
    <row r="205" spans="5:18">
      <c r="E205" s="30"/>
      <c r="F205" s="30"/>
      <c r="G205" s="30"/>
      <c r="H205" s="30"/>
      <c r="I205" s="30"/>
      <c r="J205" s="30"/>
      <c r="K205" s="30"/>
      <c r="L205" s="30"/>
      <c r="M205" s="30"/>
      <c r="N205" s="45"/>
      <c r="O205" s="30"/>
      <c r="P205" s="30"/>
      <c r="Q205" s="30"/>
      <c r="R205" s="30"/>
    </row>
    <row r="206" spans="5:18">
      <c r="E206" s="30"/>
      <c r="F206" s="30"/>
      <c r="G206" s="30"/>
      <c r="H206" s="30"/>
      <c r="I206" s="30"/>
      <c r="J206" s="30"/>
      <c r="K206" s="30"/>
      <c r="L206" s="30"/>
      <c r="M206" s="30"/>
      <c r="N206" s="45"/>
      <c r="O206" s="30"/>
      <c r="P206" s="30"/>
      <c r="Q206" s="30"/>
      <c r="R206" s="30"/>
    </row>
    <row r="207" spans="5:18">
      <c r="E207" s="30"/>
      <c r="F207" s="30"/>
      <c r="G207" s="30"/>
      <c r="H207" s="30"/>
      <c r="I207" s="30"/>
      <c r="J207" s="30"/>
      <c r="K207" s="30"/>
      <c r="L207" s="30"/>
      <c r="M207" s="30"/>
      <c r="N207" s="45"/>
      <c r="O207" s="30"/>
      <c r="P207" s="30"/>
      <c r="Q207" s="30"/>
      <c r="R207" s="30"/>
    </row>
    <row r="208" spans="5:18">
      <c r="E208" s="30"/>
      <c r="F208" s="30"/>
      <c r="G208" s="30"/>
      <c r="H208" s="30"/>
      <c r="I208" s="30"/>
      <c r="J208" s="30"/>
      <c r="K208" s="30"/>
      <c r="L208" s="30"/>
      <c r="M208" s="30"/>
      <c r="N208" s="45"/>
      <c r="O208" s="30"/>
      <c r="P208" s="30"/>
      <c r="Q208" s="30"/>
      <c r="R208" s="30"/>
    </row>
    <row r="209" spans="5:18">
      <c r="E209" s="30"/>
      <c r="F209" s="30"/>
      <c r="G209" s="30"/>
      <c r="H209" s="30"/>
      <c r="I209" s="30"/>
      <c r="J209" s="30"/>
      <c r="K209" s="30"/>
      <c r="L209" s="30"/>
      <c r="M209" s="30"/>
      <c r="N209" s="45"/>
      <c r="O209" s="30"/>
      <c r="P209" s="30"/>
      <c r="Q209" s="30"/>
      <c r="R209" s="30"/>
    </row>
    <row r="210" spans="5:18">
      <c r="E210" s="30"/>
      <c r="F210" s="30"/>
      <c r="G210" s="30"/>
      <c r="H210" s="30"/>
      <c r="I210" s="30"/>
      <c r="J210" s="30"/>
      <c r="K210" s="30"/>
      <c r="L210" s="30"/>
      <c r="M210" s="30"/>
      <c r="N210" s="45"/>
      <c r="O210" s="30"/>
      <c r="P210" s="30"/>
      <c r="Q210" s="30"/>
      <c r="R210" s="30"/>
    </row>
    <row r="211" spans="5:18">
      <c r="E211" s="30"/>
      <c r="F211" s="30"/>
      <c r="G211" s="30"/>
      <c r="H211" s="30"/>
      <c r="I211" s="30"/>
      <c r="J211" s="30"/>
      <c r="K211" s="30"/>
      <c r="L211" s="30"/>
      <c r="M211" s="30"/>
      <c r="N211" s="45"/>
      <c r="O211" s="30"/>
      <c r="P211" s="30"/>
      <c r="Q211" s="30"/>
      <c r="R211" s="30"/>
    </row>
    <row r="212" spans="5:18">
      <c r="E212" s="30"/>
      <c r="F212" s="30"/>
      <c r="G212" s="30"/>
      <c r="H212" s="30"/>
      <c r="I212" s="30"/>
      <c r="J212" s="30"/>
      <c r="K212" s="30"/>
      <c r="L212" s="30"/>
      <c r="M212" s="30"/>
      <c r="N212" s="45"/>
      <c r="O212" s="30"/>
      <c r="P212" s="30"/>
      <c r="Q212" s="30"/>
      <c r="R212" s="30"/>
    </row>
    <row r="213" spans="5:18">
      <c r="E213" s="30"/>
      <c r="F213" s="30"/>
      <c r="G213" s="30"/>
      <c r="H213" s="30"/>
      <c r="I213" s="30"/>
      <c r="J213" s="30"/>
      <c r="K213" s="30"/>
      <c r="L213" s="30"/>
      <c r="M213" s="30"/>
      <c r="N213" s="45"/>
      <c r="O213" s="30"/>
      <c r="P213" s="30"/>
      <c r="Q213" s="30"/>
      <c r="R213" s="30"/>
    </row>
    <row r="214" spans="5:18">
      <c r="E214" s="30"/>
      <c r="F214" s="30"/>
      <c r="G214" s="30"/>
      <c r="H214" s="30"/>
      <c r="I214" s="30"/>
      <c r="J214" s="30"/>
      <c r="K214" s="30"/>
      <c r="L214" s="30"/>
      <c r="M214" s="30"/>
      <c r="N214" s="45"/>
      <c r="O214" s="30"/>
      <c r="P214" s="30"/>
      <c r="Q214" s="30"/>
      <c r="R214" s="30"/>
    </row>
    <row r="215" spans="5:18">
      <c r="E215" s="30"/>
      <c r="F215" s="30"/>
      <c r="G215" s="30"/>
      <c r="H215" s="30"/>
      <c r="I215" s="30"/>
      <c r="J215" s="30"/>
      <c r="K215" s="30"/>
      <c r="L215" s="30"/>
      <c r="M215" s="30"/>
      <c r="N215" s="45"/>
      <c r="O215" s="30"/>
      <c r="P215" s="30"/>
      <c r="Q215" s="30"/>
      <c r="R215" s="30"/>
    </row>
    <row r="216" spans="5:18">
      <c r="E216" s="30"/>
      <c r="F216" s="30"/>
      <c r="G216" s="30"/>
      <c r="H216" s="30"/>
      <c r="I216" s="30"/>
      <c r="J216" s="30"/>
      <c r="K216" s="30"/>
      <c r="L216" s="30"/>
      <c r="M216" s="30"/>
      <c r="N216" s="45"/>
      <c r="O216" s="30"/>
      <c r="P216" s="30"/>
      <c r="Q216" s="30"/>
      <c r="R216" s="30"/>
    </row>
    <row r="217" spans="5:18">
      <c r="E217" s="30"/>
      <c r="F217" s="30"/>
      <c r="G217" s="30"/>
      <c r="H217" s="30"/>
      <c r="I217" s="30"/>
      <c r="J217" s="30"/>
      <c r="K217" s="30"/>
      <c r="L217" s="30"/>
      <c r="M217" s="30"/>
      <c r="N217" s="45"/>
      <c r="O217" s="30"/>
      <c r="P217" s="30"/>
      <c r="Q217" s="30"/>
      <c r="R217" s="30"/>
    </row>
    <row r="218" spans="5:18">
      <c r="E218" s="30"/>
      <c r="F218" s="30"/>
      <c r="G218" s="30"/>
      <c r="H218" s="30"/>
      <c r="I218" s="30"/>
      <c r="J218" s="30"/>
      <c r="K218" s="30"/>
      <c r="L218" s="30"/>
      <c r="M218" s="30"/>
      <c r="N218" s="45"/>
      <c r="O218" s="30"/>
      <c r="P218" s="30"/>
      <c r="Q218" s="30"/>
      <c r="R218" s="30"/>
    </row>
    <row r="219" spans="5:18">
      <c r="E219" s="30"/>
      <c r="F219" s="30"/>
      <c r="G219" s="30"/>
      <c r="H219" s="30"/>
      <c r="I219" s="30"/>
      <c r="J219" s="30"/>
      <c r="K219" s="30"/>
      <c r="L219" s="30"/>
      <c r="M219" s="30"/>
      <c r="N219" s="45"/>
      <c r="O219" s="30"/>
      <c r="P219" s="30"/>
      <c r="Q219" s="30"/>
      <c r="R219" s="30"/>
    </row>
    <row r="220" spans="5:18">
      <c r="E220" s="30"/>
      <c r="F220" s="30"/>
      <c r="G220" s="30"/>
      <c r="H220" s="30"/>
      <c r="I220" s="30"/>
      <c r="J220" s="30"/>
      <c r="K220" s="30"/>
      <c r="L220" s="30"/>
      <c r="M220" s="30"/>
      <c r="N220" s="45"/>
      <c r="O220" s="30"/>
      <c r="P220" s="30"/>
      <c r="Q220" s="30"/>
      <c r="R220" s="30"/>
    </row>
    <row r="221" spans="5:18">
      <c r="E221" s="30"/>
      <c r="F221" s="30"/>
      <c r="G221" s="30"/>
      <c r="H221" s="30"/>
      <c r="I221" s="30"/>
      <c r="J221" s="30"/>
      <c r="K221" s="30"/>
      <c r="L221" s="30"/>
      <c r="M221" s="30"/>
      <c r="N221" s="45"/>
      <c r="O221" s="30"/>
      <c r="P221" s="30"/>
      <c r="Q221" s="30"/>
      <c r="R221" s="30"/>
    </row>
    <row r="222" spans="5:18">
      <c r="E222" s="30"/>
      <c r="F222" s="30"/>
      <c r="G222" s="30"/>
      <c r="H222" s="30"/>
      <c r="I222" s="30"/>
      <c r="J222" s="30"/>
      <c r="K222" s="30"/>
      <c r="L222" s="30"/>
      <c r="M222" s="30"/>
      <c r="N222" s="45"/>
      <c r="O222" s="30"/>
      <c r="P222" s="30"/>
      <c r="Q222" s="30"/>
      <c r="R222" s="30"/>
    </row>
    <row r="223" spans="5:18">
      <c r="E223" s="30"/>
      <c r="F223" s="30"/>
      <c r="G223" s="30"/>
      <c r="H223" s="30"/>
      <c r="I223" s="30"/>
      <c r="J223" s="30"/>
      <c r="K223" s="30"/>
      <c r="L223" s="30"/>
      <c r="M223" s="30"/>
      <c r="N223" s="45"/>
      <c r="O223" s="30"/>
      <c r="P223" s="30"/>
      <c r="Q223" s="30"/>
      <c r="R223" s="30"/>
    </row>
    <row r="224" spans="5:18">
      <c r="E224" s="30"/>
      <c r="F224" s="30"/>
      <c r="G224" s="30"/>
      <c r="H224" s="30"/>
      <c r="I224" s="30"/>
      <c r="J224" s="30"/>
      <c r="K224" s="30"/>
      <c r="L224" s="30"/>
      <c r="M224" s="30"/>
      <c r="N224" s="45"/>
      <c r="O224" s="30"/>
      <c r="P224" s="30"/>
      <c r="Q224" s="30"/>
      <c r="R224" s="30"/>
    </row>
    <row r="225" spans="5:18">
      <c r="E225" s="30"/>
      <c r="F225" s="30"/>
      <c r="G225" s="30"/>
      <c r="H225" s="30"/>
      <c r="I225" s="30"/>
      <c r="J225" s="30"/>
      <c r="K225" s="30"/>
      <c r="L225" s="30"/>
      <c r="M225" s="30"/>
      <c r="N225" s="45"/>
      <c r="O225" s="30"/>
      <c r="P225" s="30"/>
      <c r="Q225" s="30"/>
      <c r="R225" s="30"/>
    </row>
    <row r="226" spans="5:18">
      <c r="E226" s="30"/>
      <c r="F226" s="30"/>
      <c r="G226" s="30"/>
      <c r="H226" s="30"/>
      <c r="I226" s="30"/>
      <c r="J226" s="30"/>
      <c r="K226" s="30"/>
      <c r="L226" s="30"/>
      <c r="M226" s="30"/>
      <c r="N226" s="45"/>
      <c r="O226" s="30"/>
      <c r="P226" s="30"/>
      <c r="Q226" s="30"/>
      <c r="R226" s="30"/>
    </row>
    <row r="227" spans="5:18">
      <c r="E227" s="30"/>
      <c r="F227" s="30"/>
      <c r="G227" s="30"/>
      <c r="H227" s="30"/>
      <c r="I227" s="30"/>
      <c r="J227" s="30"/>
      <c r="K227" s="30"/>
      <c r="L227" s="30"/>
      <c r="M227" s="30"/>
      <c r="N227" s="45"/>
      <c r="O227" s="30"/>
      <c r="P227" s="30"/>
      <c r="Q227" s="30"/>
      <c r="R227" s="30"/>
    </row>
    <row r="228" spans="5:18">
      <c r="E228" s="30"/>
      <c r="F228" s="30"/>
      <c r="G228" s="30"/>
      <c r="H228" s="30"/>
      <c r="I228" s="30"/>
      <c r="J228" s="30"/>
      <c r="K228" s="30"/>
      <c r="L228" s="30"/>
      <c r="M228" s="30"/>
      <c r="N228" s="45"/>
      <c r="O228" s="30"/>
      <c r="P228" s="30"/>
      <c r="Q228" s="30"/>
      <c r="R228" s="30"/>
    </row>
    <row r="229" spans="5:18">
      <c r="E229" s="30"/>
      <c r="F229" s="30"/>
      <c r="G229" s="30"/>
      <c r="H229" s="30"/>
      <c r="I229" s="30"/>
      <c r="J229" s="30"/>
      <c r="K229" s="30"/>
      <c r="L229" s="30"/>
      <c r="M229" s="30"/>
      <c r="N229" s="45"/>
      <c r="O229" s="30"/>
      <c r="P229" s="30"/>
      <c r="Q229" s="30"/>
      <c r="R229" s="30"/>
    </row>
    <row r="230" spans="5:18">
      <c r="E230" s="30"/>
      <c r="F230" s="30"/>
      <c r="G230" s="30"/>
      <c r="H230" s="30"/>
      <c r="I230" s="30"/>
      <c r="J230" s="30"/>
      <c r="K230" s="30"/>
      <c r="L230" s="30"/>
      <c r="M230" s="30"/>
      <c r="N230" s="45"/>
      <c r="O230" s="30"/>
      <c r="P230" s="30"/>
      <c r="Q230" s="30"/>
      <c r="R230" s="30"/>
    </row>
    <row r="231" spans="5:18">
      <c r="E231" s="30"/>
      <c r="F231" s="30"/>
      <c r="G231" s="30"/>
      <c r="H231" s="30"/>
      <c r="I231" s="30"/>
      <c r="J231" s="30"/>
      <c r="K231" s="30"/>
      <c r="L231" s="30"/>
      <c r="M231" s="30"/>
      <c r="N231" s="45"/>
      <c r="O231" s="30"/>
      <c r="P231" s="30"/>
      <c r="Q231" s="30"/>
      <c r="R231" s="30"/>
    </row>
    <row r="232" spans="5:18">
      <c r="E232" s="30"/>
      <c r="F232" s="30"/>
      <c r="G232" s="30"/>
      <c r="H232" s="30"/>
      <c r="I232" s="30"/>
      <c r="J232" s="30"/>
      <c r="K232" s="30"/>
      <c r="L232" s="30"/>
      <c r="M232" s="30"/>
      <c r="N232" s="45"/>
      <c r="O232" s="30"/>
      <c r="P232" s="30"/>
      <c r="Q232" s="30"/>
      <c r="R232" s="30"/>
    </row>
    <row r="233" spans="5:18">
      <c r="E233" s="30"/>
      <c r="F233" s="30"/>
      <c r="G233" s="30"/>
      <c r="H233" s="30"/>
      <c r="I233" s="30"/>
      <c r="J233" s="30"/>
      <c r="K233" s="30"/>
      <c r="L233" s="30"/>
      <c r="M233" s="30"/>
      <c r="N233" s="45"/>
      <c r="O233" s="30"/>
      <c r="P233" s="30"/>
      <c r="Q233" s="30"/>
      <c r="R233" s="30"/>
    </row>
    <row r="234" spans="5:18">
      <c r="E234" s="30"/>
      <c r="F234" s="30"/>
      <c r="G234" s="30"/>
      <c r="H234" s="30"/>
      <c r="I234" s="30"/>
      <c r="J234" s="30"/>
      <c r="K234" s="30"/>
      <c r="L234" s="30"/>
      <c r="M234" s="30"/>
      <c r="N234" s="45"/>
      <c r="O234" s="30"/>
      <c r="P234" s="30"/>
      <c r="Q234" s="30"/>
      <c r="R234" s="30"/>
    </row>
    <row r="235" spans="5:18">
      <c r="E235" s="30"/>
      <c r="F235" s="30"/>
      <c r="G235" s="30"/>
      <c r="H235" s="30"/>
      <c r="I235" s="30"/>
      <c r="J235" s="30"/>
      <c r="K235" s="30"/>
      <c r="L235" s="30"/>
      <c r="M235" s="30"/>
      <c r="N235" s="45"/>
      <c r="O235" s="30"/>
      <c r="P235" s="30"/>
      <c r="Q235" s="30"/>
      <c r="R235" s="30"/>
    </row>
    <row r="236" spans="5:18">
      <c r="E236" s="30"/>
      <c r="F236" s="30"/>
      <c r="G236" s="30"/>
      <c r="H236" s="30"/>
      <c r="I236" s="30"/>
      <c r="J236" s="30"/>
      <c r="K236" s="30"/>
      <c r="L236" s="30"/>
      <c r="M236" s="30"/>
      <c r="N236" s="45"/>
      <c r="O236" s="30"/>
      <c r="P236" s="30"/>
      <c r="Q236" s="30"/>
      <c r="R236" s="30"/>
    </row>
    <row r="237" spans="5:18">
      <c r="E237" s="30"/>
      <c r="F237" s="30"/>
      <c r="G237" s="30"/>
      <c r="H237" s="30"/>
      <c r="I237" s="30"/>
      <c r="J237" s="30"/>
      <c r="K237" s="30"/>
      <c r="L237" s="30"/>
      <c r="M237" s="30"/>
      <c r="N237" s="45"/>
      <c r="O237" s="30"/>
      <c r="P237" s="30"/>
      <c r="Q237" s="30"/>
      <c r="R237" s="30"/>
    </row>
    <row r="238" spans="5:18">
      <c r="E238" s="30"/>
      <c r="F238" s="30"/>
      <c r="G238" s="30"/>
      <c r="H238" s="30"/>
      <c r="I238" s="30"/>
      <c r="J238" s="30"/>
      <c r="K238" s="30"/>
      <c r="L238" s="30"/>
      <c r="M238" s="30"/>
      <c r="N238" s="45"/>
      <c r="O238" s="30"/>
      <c r="P238" s="30"/>
      <c r="Q238" s="30"/>
      <c r="R238" s="30"/>
    </row>
    <row r="239" spans="5:18">
      <c r="E239" s="30"/>
      <c r="F239" s="30"/>
      <c r="G239" s="30"/>
      <c r="H239" s="30"/>
      <c r="I239" s="30"/>
      <c r="J239" s="30"/>
      <c r="K239" s="30"/>
      <c r="L239" s="30"/>
      <c r="M239" s="30"/>
      <c r="N239" s="45"/>
      <c r="O239" s="30"/>
      <c r="P239" s="30"/>
      <c r="Q239" s="30"/>
      <c r="R239" s="30"/>
    </row>
    <row r="240" spans="5:18">
      <c r="E240" s="30"/>
      <c r="F240" s="30"/>
      <c r="G240" s="30"/>
      <c r="H240" s="30"/>
      <c r="I240" s="30"/>
      <c r="J240" s="30"/>
      <c r="K240" s="30"/>
      <c r="L240" s="30"/>
      <c r="M240" s="30"/>
      <c r="N240" s="45"/>
      <c r="O240" s="30"/>
      <c r="P240" s="30"/>
      <c r="Q240" s="30"/>
      <c r="R240" s="30"/>
    </row>
    <row r="241" spans="5:18">
      <c r="E241" s="30"/>
      <c r="F241" s="30"/>
      <c r="G241" s="30"/>
      <c r="H241" s="30"/>
      <c r="I241" s="30"/>
      <c r="J241" s="30"/>
      <c r="K241" s="30"/>
      <c r="L241" s="30"/>
      <c r="M241" s="30"/>
      <c r="N241" s="45"/>
      <c r="O241" s="30"/>
      <c r="P241" s="30"/>
      <c r="Q241" s="30"/>
      <c r="R241" s="30"/>
    </row>
    <row r="242" spans="5:18">
      <c r="E242" s="30"/>
      <c r="F242" s="30"/>
      <c r="G242" s="30"/>
      <c r="H242" s="30"/>
      <c r="I242" s="30"/>
      <c r="J242" s="30"/>
      <c r="K242" s="30"/>
      <c r="L242" s="30"/>
      <c r="M242" s="30"/>
      <c r="N242" s="45"/>
      <c r="O242" s="30"/>
      <c r="P242" s="30"/>
      <c r="Q242" s="30"/>
      <c r="R242" s="30"/>
    </row>
    <row r="243" spans="5:18">
      <c r="E243" s="30"/>
      <c r="F243" s="30"/>
      <c r="G243" s="30"/>
      <c r="H243" s="30"/>
      <c r="I243" s="30"/>
      <c r="J243" s="30"/>
      <c r="K243" s="30"/>
      <c r="L243" s="30"/>
      <c r="M243" s="30"/>
      <c r="N243" s="45"/>
      <c r="O243" s="30"/>
      <c r="P243" s="30"/>
      <c r="Q243" s="30"/>
      <c r="R243" s="30"/>
    </row>
    <row r="244" spans="5:18">
      <c r="E244" s="30"/>
      <c r="F244" s="30"/>
      <c r="G244" s="30"/>
      <c r="H244" s="30"/>
      <c r="I244" s="30"/>
      <c r="J244" s="30"/>
      <c r="K244" s="30"/>
      <c r="L244" s="30"/>
      <c r="M244" s="30"/>
      <c r="N244" s="45"/>
      <c r="O244" s="30"/>
      <c r="P244" s="30"/>
      <c r="Q244" s="30"/>
      <c r="R244" s="30"/>
    </row>
    <row r="245" spans="5:18">
      <c r="E245" s="30"/>
      <c r="F245" s="30"/>
      <c r="G245" s="30"/>
      <c r="H245" s="30"/>
      <c r="I245" s="30"/>
      <c r="J245" s="30"/>
      <c r="K245" s="30"/>
      <c r="L245" s="30"/>
      <c r="M245" s="30"/>
      <c r="N245" s="45"/>
      <c r="O245" s="30"/>
      <c r="P245" s="30"/>
      <c r="Q245" s="30"/>
      <c r="R245" s="30"/>
    </row>
    <row r="246" spans="5:18">
      <c r="E246" s="30"/>
      <c r="F246" s="30"/>
      <c r="G246" s="30"/>
      <c r="H246" s="30"/>
      <c r="I246" s="30"/>
      <c r="J246" s="30"/>
      <c r="K246" s="30"/>
      <c r="L246" s="30"/>
      <c r="M246" s="30"/>
      <c r="N246" s="45"/>
      <c r="O246" s="30"/>
      <c r="P246" s="30"/>
      <c r="Q246" s="30"/>
      <c r="R246" s="30"/>
    </row>
    <row r="247" spans="5:18">
      <c r="E247" s="30"/>
      <c r="F247" s="30"/>
      <c r="G247" s="30"/>
      <c r="H247" s="30"/>
      <c r="I247" s="30"/>
      <c r="J247" s="30"/>
      <c r="K247" s="30"/>
      <c r="L247" s="30"/>
      <c r="M247" s="30"/>
      <c r="N247" s="45"/>
      <c r="O247" s="30"/>
      <c r="P247" s="30"/>
      <c r="Q247" s="30"/>
      <c r="R247" s="30"/>
    </row>
    <row r="248" spans="5:18">
      <c r="E248" s="30"/>
      <c r="F248" s="30"/>
      <c r="G248" s="30"/>
      <c r="H248" s="30"/>
      <c r="I248" s="30"/>
      <c r="J248" s="30"/>
      <c r="K248" s="30"/>
      <c r="L248" s="30"/>
      <c r="M248" s="30"/>
      <c r="N248" s="45"/>
      <c r="O248" s="30"/>
      <c r="P248" s="30"/>
      <c r="Q248" s="30"/>
      <c r="R248" s="30"/>
    </row>
    <row r="249" spans="5:18">
      <c r="E249" s="30"/>
      <c r="F249" s="30"/>
      <c r="G249" s="30"/>
      <c r="H249" s="30"/>
      <c r="I249" s="30"/>
      <c r="J249" s="30"/>
      <c r="K249" s="30"/>
      <c r="L249" s="30"/>
      <c r="M249" s="30"/>
      <c r="N249" s="45"/>
      <c r="O249" s="30"/>
      <c r="P249" s="30"/>
      <c r="Q249" s="30"/>
      <c r="R249" s="30"/>
    </row>
    <row r="250" spans="5:18">
      <c r="E250" s="30"/>
      <c r="F250" s="30"/>
      <c r="G250" s="30"/>
      <c r="H250" s="30"/>
      <c r="I250" s="30"/>
      <c r="J250" s="30"/>
      <c r="K250" s="30"/>
      <c r="L250" s="30"/>
      <c r="M250" s="30"/>
      <c r="N250" s="45"/>
      <c r="O250" s="30"/>
      <c r="P250" s="30"/>
      <c r="Q250" s="30"/>
      <c r="R250" s="30"/>
    </row>
    <row r="251" spans="5:18">
      <c r="E251" s="30"/>
      <c r="F251" s="30"/>
      <c r="G251" s="30"/>
      <c r="H251" s="30"/>
      <c r="I251" s="30"/>
      <c r="J251" s="30"/>
      <c r="K251" s="30"/>
      <c r="L251" s="30"/>
      <c r="M251" s="30"/>
      <c r="N251" s="45"/>
      <c r="O251" s="30"/>
      <c r="P251" s="30"/>
      <c r="Q251" s="30"/>
      <c r="R251" s="30"/>
    </row>
    <row r="252" spans="5:18">
      <c r="E252" s="30"/>
      <c r="F252" s="30"/>
      <c r="G252" s="30"/>
      <c r="H252" s="30"/>
      <c r="I252" s="30"/>
      <c r="J252" s="30"/>
      <c r="K252" s="30"/>
      <c r="L252" s="30"/>
      <c r="M252" s="30"/>
      <c r="N252" s="45"/>
      <c r="O252" s="30"/>
      <c r="P252" s="30"/>
      <c r="Q252" s="30"/>
      <c r="R252" s="30"/>
    </row>
    <row r="253" spans="5:18">
      <c r="E253" s="30"/>
      <c r="F253" s="30"/>
      <c r="G253" s="30"/>
      <c r="H253" s="30"/>
      <c r="I253" s="30"/>
      <c r="J253" s="30"/>
      <c r="K253" s="30"/>
      <c r="L253" s="30"/>
      <c r="M253" s="30"/>
      <c r="N253" s="45"/>
      <c r="O253" s="30"/>
      <c r="P253" s="30"/>
      <c r="Q253" s="30"/>
      <c r="R253" s="30"/>
    </row>
    <row r="254" spans="5:18">
      <c r="E254" s="30"/>
      <c r="F254" s="30"/>
      <c r="G254" s="30"/>
      <c r="H254" s="30"/>
      <c r="I254" s="30"/>
      <c r="J254" s="30"/>
      <c r="K254" s="30"/>
      <c r="L254" s="30"/>
      <c r="M254" s="30"/>
      <c r="N254" s="45"/>
      <c r="O254" s="30"/>
      <c r="P254" s="30"/>
      <c r="Q254" s="30"/>
      <c r="R254" s="30"/>
    </row>
    <row r="255" spans="5:18">
      <c r="E255" s="30"/>
      <c r="F255" s="30"/>
      <c r="G255" s="30"/>
      <c r="H255" s="30"/>
      <c r="I255" s="30"/>
      <c r="J255" s="30"/>
      <c r="K255" s="30"/>
      <c r="L255" s="30"/>
      <c r="M255" s="30"/>
      <c r="N255" s="45"/>
      <c r="O255" s="30"/>
      <c r="P255" s="30"/>
      <c r="Q255" s="30"/>
      <c r="R255" s="30"/>
    </row>
    <row r="256" spans="5:18">
      <c r="E256" s="30"/>
      <c r="F256" s="30"/>
      <c r="G256" s="30"/>
      <c r="H256" s="30"/>
      <c r="I256" s="30"/>
      <c r="J256" s="30"/>
      <c r="K256" s="30"/>
      <c r="L256" s="30"/>
      <c r="M256" s="30"/>
      <c r="N256" s="45"/>
      <c r="O256" s="30"/>
      <c r="P256" s="30"/>
      <c r="Q256" s="30"/>
      <c r="R256" s="30"/>
    </row>
    <row r="257" spans="5:18">
      <c r="E257" s="30"/>
      <c r="F257" s="30"/>
      <c r="G257" s="30"/>
      <c r="H257" s="30"/>
      <c r="I257" s="30"/>
      <c r="J257" s="30"/>
      <c r="K257" s="30"/>
      <c r="L257" s="30"/>
      <c r="M257" s="30"/>
      <c r="N257" s="45"/>
      <c r="O257" s="30"/>
      <c r="P257" s="30"/>
      <c r="Q257" s="30"/>
      <c r="R257" s="30"/>
    </row>
    <row r="258" spans="5:18">
      <c r="E258" s="30"/>
      <c r="F258" s="30"/>
      <c r="G258" s="30"/>
      <c r="H258" s="30"/>
      <c r="I258" s="30"/>
      <c r="J258" s="30"/>
      <c r="K258" s="30"/>
      <c r="L258" s="30"/>
      <c r="M258" s="30"/>
      <c r="N258" s="45"/>
      <c r="O258" s="30"/>
      <c r="P258" s="30"/>
      <c r="Q258" s="30"/>
      <c r="R258" s="30"/>
    </row>
    <row r="259" spans="5:18">
      <c r="E259" s="30"/>
      <c r="F259" s="30"/>
      <c r="G259" s="30"/>
      <c r="H259" s="30"/>
      <c r="I259" s="30"/>
      <c r="J259" s="30"/>
      <c r="K259" s="30"/>
      <c r="L259" s="30"/>
      <c r="M259" s="30"/>
      <c r="N259" s="45"/>
      <c r="O259" s="30"/>
      <c r="P259" s="30"/>
      <c r="Q259" s="30"/>
      <c r="R259" s="30"/>
    </row>
    <row r="260" spans="5:18">
      <c r="E260" s="30"/>
      <c r="F260" s="30"/>
      <c r="G260" s="30"/>
      <c r="H260" s="30"/>
      <c r="I260" s="30"/>
      <c r="J260" s="30"/>
      <c r="K260" s="30"/>
      <c r="L260" s="30"/>
      <c r="M260" s="30"/>
      <c r="N260" s="45"/>
      <c r="O260" s="30"/>
      <c r="P260" s="30"/>
      <c r="Q260" s="30"/>
      <c r="R260" s="30"/>
    </row>
    <row r="261" spans="5:18">
      <c r="E261" s="30"/>
      <c r="F261" s="30"/>
      <c r="G261" s="30"/>
      <c r="H261" s="30"/>
      <c r="I261" s="30"/>
      <c r="J261" s="30"/>
      <c r="K261" s="30"/>
      <c r="L261" s="30"/>
      <c r="M261" s="30"/>
      <c r="N261" s="45"/>
      <c r="O261" s="30"/>
      <c r="P261" s="30"/>
      <c r="Q261" s="30"/>
      <c r="R261" s="30"/>
    </row>
    <row r="262" spans="5:18">
      <c r="E262" s="30"/>
      <c r="F262" s="30"/>
      <c r="G262" s="30"/>
      <c r="H262" s="30"/>
      <c r="I262" s="30"/>
      <c r="J262" s="30"/>
      <c r="K262" s="30"/>
      <c r="L262" s="30"/>
      <c r="M262" s="30"/>
      <c r="N262" s="45"/>
      <c r="O262" s="30"/>
      <c r="P262" s="30"/>
      <c r="Q262" s="30"/>
      <c r="R262" s="30"/>
    </row>
    <row r="263" spans="5:18">
      <c r="E263" s="30"/>
      <c r="F263" s="30"/>
      <c r="G263" s="30"/>
      <c r="H263" s="30"/>
      <c r="I263" s="30"/>
      <c r="J263" s="30"/>
      <c r="K263" s="30"/>
      <c r="L263" s="30"/>
      <c r="M263" s="30"/>
      <c r="N263" s="45"/>
      <c r="O263" s="30"/>
      <c r="P263" s="30"/>
      <c r="Q263" s="30"/>
      <c r="R263" s="30"/>
    </row>
    <row r="264" spans="5:18">
      <c r="E264" s="30"/>
      <c r="F264" s="30"/>
      <c r="G264" s="30"/>
      <c r="H264" s="30"/>
      <c r="I264" s="30"/>
      <c r="J264" s="30"/>
      <c r="K264" s="30"/>
      <c r="L264" s="30"/>
      <c r="M264" s="30"/>
      <c r="N264" s="45"/>
      <c r="O264" s="30"/>
      <c r="P264" s="30"/>
      <c r="Q264" s="30"/>
      <c r="R264" s="30"/>
    </row>
    <row r="265" spans="5:18">
      <c r="E265" s="30"/>
      <c r="F265" s="30"/>
      <c r="G265" s="30"/>
      <c r="H265" s="30"/>
      <c r="I265" s="30"/>
      <c r="J265" s="30"/>
      <c r="K265" s="30"/>
      <c r="L265" s="30"/>
      <c r="M265" s="30"/>
      <c r="N265" s="45"/>
      <c r="O265" s="30"/>
      <c r="P265" s="30"/>
      <c r="Q265" s="30"/>
      <c r="R265" s="30"/>
    </row>
    <row r="266" spans="5:18">
      <c r="E266" s="30"/>
      <c r="F266" s="30"/>
      <c r="G266" s="30"/>
      <c r="H266" s="30"/>
      <c r="I266" s="30"/>
      <c r="J266" s="30"/>
      <c r="K266" s="30"/>
      <c r="L266" s="30"/>
      <c r="M266" s="30"/>
      <c r="N266" s="45"/>
      <c r="O266" s="30"/>
      <c r="P266" s="30"/>
      <c r="Q266" s="30"/>
      <c r="R266" s="30"/>
    </row>
    <row r="267" spans="5:18">
      <c r="E267" s="30"/>
      <c r="F267" s="30"/>
      <c r="G267" s="30"/>
      <c r="H267" s="30"/>
      <c r="I267" s="30"/>
      <c r="J267" s="30"/>
      <c r="K267" s="30"/>
      <c r="L267" s="30"/>
      <c r="M267" s="30"/>
      <c r="N267" s="45"/>
      <c r="O267" s="30"/>
      <c r="P267" s="30"/>
      <c r="Q267" s="30"/>
      <c r="R267" s="30"/>
    </row>
    <row r="268" spans="5:18">
      <c r="E268" s="30"/>
      <c r="F268" s="30"/>
      <c r="G268" s="30"/>
      <c r="H268" s="30"/>
      <c r="I268" s="30"/>
      <c r="J268" s="30"/>
      <c r="K268" s="30"/>
      <c r="L268" s="30"/>
      <c r="M268" s="30"/>
      <c r="N268" s="45"/>
      <c r="O268" s="30"/>
      <c r="P268" s="30"/>
      <c r="Q268" s="30"/>
      <c r="R268" s="30"/>
    </row>
    <row r="269" spans="5:18">
      <c r="E269" s="30"/>
      <c r="F269" s="30"/>
      <c r="G269" s="30"/>
      <c r="H269" s="30"/>
      <c r="I269" s="30"/>
      <c r="J269" s="30"/>
      <c r="K269" s="30"/>
      <c r="L269" s="30"/>
      <c r="M269" s="30"/>
      <c r="N269" s="45"/>
      <c r="O269" s="30"/>
      <c r="P269" s="30"/>
      <c r="Q269" s="30"/>
      <c r="R269" s="30"/>
    </row>
    <row r="270" spans="5:18">
      <c r="E270" s="30"/>
      <c r="F270" s="30"/>
      <c r="G270" s="30"/>
      <c r="H270" s="30"/>
      <c r="I270" s="30"/>
      <c r="J270" s="30"/>
      <c r="K270" s="30"/>
      <c r="L270" s="30"/>
      <c r="M270" s="30"/>
      <c r="N270" s="45"/>
      <c r="O270" s="30"/>
      <c r="P270" s="30"/>
      <c r="Q270" s="30"/>
      <c r="R270" s="30"/>
    </row>
    <row r="271" spans="5:18">
      <c r="E271" s="30"/>
      <c r="F271" s="30"/>
      <c r="G271" s="30"/>
      <c r="H271" s="30"/>
      <c r="I271" s="30"/>
      <c r="J271" s="30"/>
      <c r="K271" s="30"/>
      <c r="L271" s="30"/>
      <c r="M271" s="30"/>
      <c r="N271" s="45"/>
      <c r="O271" s="30"/>
      <c r="P271" s="30"/>
      <c r="Q271" s="30"/>
      <c r="R271" s="30"/>
    </row>
    <row r="272" spans="5:18">
      <c r="E272" s="30"/>
      <c r="F272" s="30"/>
      <c r="G272" s="30"/>
      <c r="H272" s="30"/>
      <c r="I272" s="30"/>
      <c r="J272" s="30"/>
      <c r="K272" s="30"/>
      <c r="L272" s="30"/>
      <c r="M272" s="30"/>
      <c r="N272" s="45"/>
      <c r="O272" s="30"/>
      <c r="P272" s="30"/>
      <c r="Q272" s="30"/>
      <c r="R272" s="30"/>
    </row>
    <row r="273" spans="5:18">
      <c r="E273" s="30"/>
      <c r="F273" s="30"/>
      <c r="G273" s="30"/>
      <c r="H273" s="30"/>
      <c r="I273" s="30"/>
      <c r="J273" s="30"/>
      <c r="K273" s="30"/>
      <c r="L273" s="30"/>
      <c r="M273" s="30"/>
      <c r="N273" s="45"/>
      <c r="O273" s="30"/>
      <c r="P273" s="30"/>
      <c r="Q273" s="30"/>
      <c r="R273" s="30"/>
    </row>
    <row r="274" spans="5:18">
      <c r="E274" s="30"/>
      <c r="F274" s="30"/>
      <c r="G274" s="30"/>
      <c r="H274" s="30"/>
      <c r="I274" s="30"/>
      <c r="J274" s="30"/>
      <c r="K274" s="30"/>
      <c r="L274" s="30"/>
      <c r="M274" s="30"/>
      <c r="N274" s="45"/>
      <c r="O274" s="30"/>
      <c r="P274" s="30"/>
      <c r="Q274" s="30"/>
      <c r="R274" s="30"/>
    </row>
    <row r="275" spans="5:18">
      <c r="E275" s="30"/>
      <c r="F275" s="30"/>
      <c r="G275" s="30"/>
      <c r="H275" s="30"/>
      <c r="I275" s="30"/>
      <c r="J275" s="30"/>
      <c r="K275" s="30"/>
      <c r="L275" s="30"/>
      <c r="M275" s="30"/>
      <c r="N275" s="45"/>
      <c r="O275" s="30"/>
      <c r="P275" s="30"/>
      <c r="Q275" s="30"/>
      <c r="R275" s="30"/>
    </row>
    <row r="276" spans="5:18">
      <c r="E276" s="30"/>
      <c r="F276" s="30"/>
      <c r="G276" s="30"/>
      <c r="H276" s="30"/>
      <c r="I276" s="30"/>
      <c r="J276" s="30"/>
      <c r="K276" s="30"/>
      <c r="L276" s="30"/>
      <c r="M276" s="30"/>
      <c r="N276" s="45"/>
      <c r="O276" s="30"/>
      <c r="P276" s="30"/>
      <c r="Q276" s="30"/>
      <c r="R276" s="30"/>
    </row>
    <row r="277" spans="5:18">
      <c r="E277" s="30"/>
      <c r="F277" s="30"/>
      <c r="G277" s="30"/>
      <c r="H277" s="30"/>
      <c r="I277" s="30"/>
      <c r="J277" s="30"/>
      <c r="K277" s="30"/>
      <c r="L277" s="30"/>
      <c r="M277" s="30"/>
      <c r="N277" s="45"/>
      <c r="O277" s="30"/>
      <c r="P277" s="30"/>
      <c r="Q277" s="30"/>
      <c r="R277" s="30"/>
    </row>
    <row r="278" spans="5:18">
      <c r="E278" s="30"/>
      <c r="F278" s="30"/>
      <c r="G278" s="30"/>
      <c r="H278" s="30"/>
      <c r="I278" s="30"/>
      <c r="J278" s="30"/>
      <c r="K278" s="30"/>
      <c r="L278" s="30"/>
      <c r="M278" s="30"/>
      <c r="N278" s="45"/>
      <c r="O278" s="30"/>
      <c r="P278" s="30"/>
      <c r="Q278" s="30"/>
      <c r="R278" s="30"/>
    </row>
    <row r="279" spans="5:18">
      <c r="E279" s="30"/>
      <c r="F279" s="30"/>
      <c r="G279" s="30"/>
      <c r="H279" s="30"/>
      <c r="I279" s="30"/>
      <c r="J279" s="30"/>
      <c r="K279" s="30"/>
      <c r="L279" s="30"/>
      <c r="M279" s="30"/>
      <c r="N279" s="45"/>
      <c r="O279" s="30"/>
      <c r="P279" s="30"/>
      <c r="Q279" s="30"/>
      <c r="R279" s="30"/>
    </row>
    <row r="280" spans="5:18">
      <c r="E280" s="30"/>
      <c r="F280" s="30"/>
      <c r="G280" s="30"/>
      <c r="H280" s="30"/>
      <c r="I280" s="30"/>
      <c r="J280" s="30"/>
      <c r="K280" s="30"/>
      <c r="L280" s="30"/>
      <c r="M280" s="30"/>
      <c r="N280" s="45"/>
      <c r="O280" s="30"/>
      <c r="P280" s="30"/>
      <c r="Q280" s="30"/>
      <c r="R280" s="30"/>
    </row>
    <row r="281" spans="5:18">
      <c r="E281" s="30"/>
      <c r="F281" s="30"/>
      <c r="G281" s="30"/>
      <c r="H281" s="30"/>
      <c r="I281" s="30"/>
      <c r="J281" s="30"/>
      <c r="K281" s="30"/>
      <c r="L281" s="30"/>
      <c r="M281" s="30"/>
      <c r="N281" s="45"/>
      <c r="O281" s="30"/>
      <c r="P281" s="30"/>
      <c r="Q281" s="30"/>
      <c r="R281" s="30"/>
    </row>
    <row r="282" spans="5:18">
      <c r="E282" s="30"/>
      <c r="F282" s="30"/>
      <c r="G282" s="30"/>
      <c r="H282" s="30"/>
      <c r="I282" s="30"/>
      <c r="J282" s="30"/>
      <c r="K282" s="30"/>
      <c r="L282" s="30"/>
      <c r="M282" s="30"/>
      <c r="N282" s="45"/>
      <c r="O282" s="30"/>
      <c r="P282" s="30"/>
      <c r="Q282" s="30"/>
      <c r="R282" s="30"/>
    </row>
    <row r="283" spans="5:18">
      <c r="E283" s="30"/>
      <c r="F283" s="30"/>
      <c r="G283" s="30"/>
      <c r="H283" s="30"/>
      <c r="I283" s="30"/>
      <c r="J283" s="30"/>
      <c r="K283" s="30"/>
      <c r="L283" s="30"/>
      <c r="M283" s="30"/>
      <c r="N283" s="45"/>
      <c r="O283" s="30"/>
      <c r="P283" s="30"/>
      <c r="Q283" s="30"/>
      <c r="R283" s="30"/>
    </row>
    <row r="284" spans="5:18">
      <c r="E284" s="30"/>
      <c r="F284" s="30"/>
      <c r="G284" s="30"/>
      <c r="H284" s="30"/>
      <c r="I284" s="30"/>
      <c r="J284" s="30"/>
      <c r="K284" s="30"/>
      <c r="L284" s="30"/>
      <c r="M284" s="30"/>
      <c r="N284" s="45"/>
      <c r="O284" s="30"/>
      <c r="P284" s="30"/>
      <c r="Q284" s="30"/>
      <c r="R284" s="30"/>
    </row>
    <row r="285" spans="5:18">
      <c r="E285" s="30"/>
      <c r="F285" s="30"/>
      <c r="G285" s="30"/>
      <c r="H285" s="30"/>
      <c r="I285" s="30"/>
      <c r="J285" s="30"/>
      <c r="K285" s="30"/>
      <c r="L285" s="30"/>
      <c r="M285" s="30"/>
      <c r="N285" s="45"/>
      <c r="O285" s="30"/>
      <c r="P285" s="30"/>
      <c r="Q285" s="30"/>
      <c r="R285" s="30"/>
    </row>
    <row r="286" spans="5:18">
      <c r="E286" s="30"/>
      <c r="F286" s="30"/>
      <c r="G286" s="30"/>
      <c r="H286" s="30"/>
      <c r="I286" s="30"/>
      <c r="J286" s="30"/>
      <c r="K286" s="30"/>
      <c r="L286" s="30"/>
      <c r="M286" s="30"/>
      <c r="N286" s="45"/>
      <c r="O286" s="30"/>
      <c r="P286" s="30"/>
      <c r="Q286" s="30"/>
      <c r="R286" s="30"/>
    </row>
    <row r="287" spans="5:18">
      <c r="E287" s="30"/>
      <c r="F287" s="30"/>
      <c r="G287" s="30"/>
      <c r="H287" s="30"/>
      <c r="I287" s="30"/>
      <c r="J287" s="30"/>
      <c r="K287" s="30"/>
      <c r="L287" s="30"/>
      <c r="M287" s="30"/>
      <c r="N287" s="45"/>
      <c r="O287" s="30"/>
      <c r="P287" s="30"/>
      <c r="Q287" s="30"/>
      <c r="R287" s="30"/>
    </row>
    <row r="288" spans="5:18">
      <c r="E288" s="30"/>
      <c r="F288" s="30"/>
      <c r="G288" s="30"/>
      <c r="H288" s="30"/>
      <c r="I288" s="30"/>
      <c r="J288" s="30"/>
      <c r="K288" s="30"/>
      <c r="L288" s="30"/>
      <c r="M288" s="30"/>
      <c r="N288" s="45"/>
      <c r="O288" s="30"/>
      <c r="P288" s="30"/>
      <c r="Q288" s="30"/>
      <c r="R288" s="30"/>
    </row>
    <row r="289" spans="5:18">
      <c r="E289" s="30"/>
      <c r="F289" s="30"/>
      <c r="G289" s="30"/>
      <c r="H289" s="30"/>
      <c r="I289" s="30"/>
      <c r="J289" s="30"/>
      <c r="K289" s="30"/>
      <c r="L289" s="30"/>
      <c r="M289" s="30"/>
      <c r="N289" s="45"/>
      <c r="O289" s="30"/>
      <c r="P289" s="30"/>
      <c r="Q289" s="30"/>
      <c r="R289" s="30"/>
    </row>
    <row r="290" spans="5:18">
      <c r="E290" s="30"/>
      <c r="F290" s="30"/>
      <c r="G290" s="30"/>
      <c r="H290" s="30"/>
      <c r="I290" s="30"/>
      <c r="J290" s="30"/>
      <c r="K290" s="30"/>
      <c r="L290" s="30"/>
      <c r="M290" s="30"/>
      <c r="N290" s="45"/>
      <c r="O290" s="30"/>
      <c r="P290" s="30"/>
      <c r="Q290" s="30"/>
      <c r="R290" s="30"/>
    </row>
    <row r="291" spans="5:18">
      <c r="E291" s="30"/>
      <c r="F291" s="30"/>
      <c r="G291" s="30"/>
      <c r="H291" s="30"/>
      <c r="I291" s="30"/>
      <c r="J291" s="30"/>
      <c r="K291" s="30"/>
      <c r="L291" s="30"/>
      <c r="M291" s="30"/>
      <c r="N291" s="45"/>
      <c r="O291" s="30"/>
      <c r="P291" s="30"/>
      <c r="Q291" s="30"/>
      <c r="R291" s="30"/>
    </row>
    <row r="292" spans="5:18">
      <c r="E292" s="30"/>
      <c r="F292" s="30"/>
      <c r="G292" s="30"/>
      <c r="H292" s="30"/>
      <c r="I292" s="30"/>
      <c r="J292" s="30"/>
      <c r="K292" s="30"/>
      <c r="L292" s="30"/>
      <c r="M292" s="30"/>
      <c r="N292" s="45"/>
      <c r="O292" s="30"/>
      <c r="P292" s="30"/>
      <c r="Q292" s="30"/>
      <c r="R292" s="30"/>
    </row>
    <row r="293" spans="5:18">
      <c r="E293" s="30"/>
      <c r="F293" s="30"/>
      <c r="G293" s="30"/>
      <c r="H293" s="30"/>
      <c r="I293" s="30"/>
      <c r="J293" s="30"/>
      <c r="K293" s="30"/>
      <c r="L293" s="30"/>
      <c r="M293" s="30"/>
      <c r="N293" s="45"/>
      <c r="O293" s="30"/>
      <c r="P293" s="30"/>
      <c r="Q293" s="30"/>
      <c r="R293" s="30"/>
    </row>
    <row r="294" spans="5:18">
      <c r="E294" s="30"/>
      <c r="F294" s="30"/>
      <c r="G294" s="30"/>
      <c r="H294" s="30"/>
      <c r="I294" s="30"/>
      <c r="J294" s="30"/>
      <c r="K294" s="30"/>
      <c r="L294" s="30"/>
      <c r="M294" s="30"/>
      <c r="N294" s="45"/>
      <c r="O294" s="30"/>
      <c r="P294" s="30"/>
      <c r="Q294" s="30"/>
      <c r="R294" s="30"/>
    </row>
    <row r="295" spans="5:18">
      <c r="E295" s="30"/>
      <c r="F295" s="30"/>
      <c r="G295" s="30"/>
      <c r="H295" s="30"/>
      <c r="I295" s="30"/>
      <c r="J295" s="30"/>
      <c r="K295" s="30"/>
      <c r="L295" s="30"/>
      <c r="M295" s="30"/>
      <c r="N295" s="45"/>
      <c r="O295" s="30"/>
      <c r="P295" s="30"/>
      <c r="Q295" s="30"/>
      <c r="R295" s="30"/>
    </row>
    <row r="296" spans="5:18">
      <c r="E296" s="30"/>
      <c r="F296" s="30"/>
      <c r="G296" s="30"/>
      <c r="H296" s="30"/>
      <c r="I296" s="30"/>
      <c r="J296" s="30"/>
      <c r="K296" s="30"/>
      <c r="L296" s="30"/>
      <c r="M296" s="30"/>
      <c r="N296" s="45"/>
      <c r="O296" s="30"/>
      <c r="P296" s="30"/>
      <c r="Q296" s="30"/>
      <c r="R296" s="30"/>
    </row>
    <row r="297" spans="5:18">
      <c r="E297" s="30"/>
      <c r="F297" s="30"/>
      <c r="G297" s="30"/>
      <c r="H297" s="30"/>
      <c r="I297" s="30"/>
      <c r="J297" s="30"/>
      <c r="K297" s="30"/>
      <c r="L297" s="30"/>
      <c r="M297" s="30"/>
      <c r="N297" s="45"/>
      <c r="O297" s="30"/>
      <c r="P297" s="30"/>
      <c r="Q297" s="30"/>
      <c r="R297" s="30"/>
    </row>
    <row r="298" spans="5:18">
      <c r="E298" s="30"/>
      <c r="F298" s="30"/>
      <c r="G298" s="30"/>
      <c r="H298" s="30"/>
      <c r="I298" s="30"/>
      <c r="J298" s="30"/>
      <c r="K298" s="30"/>
      <c r="L298" s="30"/>
      <c r="M298" s="30"/>
      <c r="N298" s="45"/>
      <c r="O298" s="30"/>
      <c r="P298" s="30"/>
      <c r="Q298" s="30"/>
      <c r="R298" s="30"/>
    </row>
    <row r="299" spans="5:18">
      <c r="E299" s="30"/>
      <c r="F299" s="30"/>
      <c r="G299" s="30"/>
      <c r="H299" s="30"/>
      <c r="I299" s="30"/>
      <c r="J299" s="30"/>
      <c r="K299" s="30"/>
      <c r="L299" s="30"/>
      <c r="M299" s="30"/>
      <c r="N299" s="45"/>
      <c r="O299" s="30"/>
      <c r="P299" s="30"/>
      <c r="Q299" s="30"/>
      <c r="R299" s="30"/>
    </row>
    <row r="300" spans="5:18">
      <c r="E300" s="30"/>
      <c r="F300" s="30"/>
      <c r="G300" s="30"/>
      <c r="H300" s="30"/>
      <c r="I300" s="30"/>
      <c r="J300" s="30"/>
      <c r="K300" s="30"/>
      <c r="L300" s="30"/>
      <c r="M300" s="30"/>
      <c r="N300" s="45"/>
      <c r="O300" s="30"/>
      <c r="P300" s="30"/>
      <c r="Q300" s="30"/>
      <c r="R300" s="30"/>
    </row>
    <row r="301" spans="5:18">
      <c r="E301" s="30"/>
      <c r="F301" s="30"/>
      <c r="G301" s="30"/>
      <c r="H301" s="30"/>
      <c r="I301" s="30"/>
      <c r="J301" s="30"/>
      <c r="K301" s="30"/>
      <c r="L301" s="30"/>
      <c r="M301" s="30"/>
      <c r="N301" s="45"/>
      <c r="O301" s="30"/>
      <c r="P301" s="30"/>
      <c r="Q301" s="30"/>
      <c r="R301" s="30"/>
    </row>
    <row r="302" spans="5:18">
      <c r="E302" s="30"/>
      <c r="F302" s="30"/>
      <c r="G302" s="30"/>
      <c r="H302" s="30"/>
      <c r="I302" s="30"/>
      <c r="J302" s="30"/>
      <c r="K302" s="30"/>
      <c r="L302" s="30"/>
      <c r="M302" s="30"/>
      <c r="N302" s="45"/>
      <c r="O302" s="30"/>
      <c r="P302" s="30"/>
      <c r="Q302" s="30"/>
      <c r="R302" s="30"/>
    </row>
    <row r="303" spans="5:18">
      <c r="E303" s="30"/>
      <c r="F303" s="30"/>
      <c r="G303" s="30"/>
      <c r="H303" s="30"/>
      <c r="I303" s="30"/>
      <c r="J303" s="30"/>
      <c r="K303" s="30"/>
      <c r="L303" s="30"/>
      <c r="M303" s="30"/>
      <c r="N303" s="45"/>
      <c r="O303" s="30"/>
      <c r="P303" s="30"/>
      <c r="Q303" s="30"/>
      <c r="R303" s="30"/>
    </row>
    <row r="304" spans="5:18">
      <c r="E304" s="30"/>
      <c r="F304" s="30"/>
      <c r="G304" s="30"/>
      <c r="H304" s="30"/>
      <c r="I304" s="30"/>
      <c r="J304" s="30"/>
      <c r="K304" s="30"/>
      <c r="L304" s="30"/>
      <c r="M304" s="30"/>
      <c r="N304" s="45"/>
      <c r="O304" s="30"/>
      <c r="P304" s="30"/>
      <c r="Q304" s="30"/>
      <c r="R304" s="30"/>
    </row>
    <row r="305" spans="5:18">
      <c r="E305" s="30"/>
      <c r="F305" s="30"/>
      <c r="G305" s="30"/>
      <c r="H305" s="30"/>
      <c r="I305" s="30"/>
      <c r="J305" s="30"/>
      <c r="K305" s="30"/>
      <c r="L305" s="30"/>
      <c r="M305" s="30"/>
      <c r="N305" s="45"/>
      <c r="O305" s="30"/>
      <c r="P305" s="30"/>
      <c r="Q305" s="30"/>
      <c r="R305" s="30"/>
    </row>
    <row r="306" spans="5:18">
      <c r="E306" s="30"/>
      <c r="F306" s="30"/>
      <c r="G306" s="30"/>
      <c r="H306" s="30"/>
      <c r="I306" s="30"/>
      <c r="J306" s="30"/>
      <c r="K306" s="30"/>
      <c r="L306" s="30"/>
      <c r="M306" s="30"/>
      <c r="N306" s="45"/>
      <c r="O306" s="30"/>
      <c r="P306" s="30"/>
      <c r="Q306" s="30"/>
      <c r="R306" s="30"/>
    </row>
    <row r="307" spans="5:18">
      <c r="E307" s="30"/>
      <c r="F307" s="30"/>
      <c r="G307" s="30"/>
      <c r="H307" s="30"/>
      <c r="I307" s="30"/>
      <c r="J307" s="30"/>
      <c r="K307" s="30"/>
      <c r="L307" s="30"/>
      <c r="M307" s="30"/>
      <c r="N307" s="45"/>
      <c r="O307" s="30"/>
      <c r="P307" s="30"/>
      <c r="Q307" s="30"/>
      <c r="R307" s="30"/>
    </row>
    <row r="308" spans="5:18">
      <c r="E308" s="30"/>
      <c r="F308" s="30"/>
      <c r="G308" s="30"/>
      <c r="H308" s="30"/>
      <c r="I308" s="30"/>
      <c r="J308" s="30"/>
      <c r="K308" s="30"/>
      <c r="L308" s="30"/>
      <c r="M308" s="30"/>
      <c r="N308" s="45"/>
      <c r="O308" s="30"/>
      <c r="P308" s="30"/>
      <c r="Q308" s="30"/>
      <c r="R308" s="30"/>
    </row>
    <row r="309" spans="5:18">
      <c r="E309" s="30"/>
      <c r="F309" s="30"/>
      <c r="G309" s="30"/>
      <c r="H309" s="30"/>
      <c r="I309" s="30"/>
      <c r="J309" s="30"/>
      <c r="K309" s="30"/>
      <c r="L309" s="30"/>
      <c r="M309" s="30"/>
      <c r="N309" s="45"/>
      <c r="O309" s="30"/>
      <c r="P309" s="30"/>
      <c r="Q309" s="30"/>
      <c r="R309" s="30"/>
    </row>
    <row r="310" spans="5:18">
      <c r="E310" s="30"/>
      <c r="F310" s="30"/>
      <c r="G310" s="30"/>
      <c r="H310" s="30"/>
      <c r="I310" s="30"/>
      <c r="J310" s="30"/>
      <c r="K310" s="30"/>
      <c r="L310" s="30"/>
      <c r="M310" s="30"/>
      <c r="N310" s="45"/>
      <c r="O310" s="30"/>
      <c r="P310" s="30"/>
      <c r="Q310" s="30"/>
      <c r="R310" s="30"/>
    </row>
    <row r="311" spans="5:18">
      <c r="E311" s="30"/>
      <c r="F311" s="30"/>
      <c r="G311" s="30"/>
      <c r="H311" s="30"/>
      <c r="I311" s="30"/>
      <c r="J311" s="30"/>
      <c r="K311" s="30"/>
      <c r="L311" s="30"/>
      <c r="M311" s="30"/>
      <c r="N311" s="45"/>
      <c r="O311" s="30"/>
      <c r="P311" s="30"/>
      <c r="Q311" s="30"/>
      <c r="R311" s="30"/>
    </row>
    <row r="312" spans="5:18">
      <c r="E312" s="30"/>
      <c r="F312" s="30"/>
      <c r="G312" s="30"/>
      <c r="H312" s="30"/>
      <c r="I312" s="30"/>
      <c r="J312" s="30"/>
      <c r="K312" s="30"/>
      <c r="L312" s="30"/>
      <c r="M312" s="30"/>
      <c r="N312" s="45"/>
      <c r="O312" s="30"/>
      <c r="P312" s="30"/>
      <c r="Q312" s="30"/>
      <c r="R312" s="30"/>
    </row>
    <row r="313" spans="5:18">
      <c r="E313" s="30"/>
      <c r="F313" s="30"/>
      <c r="G313" s="30"/>
      <c r="H313" s="30"/>
      <c r="I313" s="30"/>
      <c r="J313" s="30"/>
      <c r="K313" s="30"/>
      <c r="L313" s="30"/>
      <c r="M313" s="30"/>
      <c r="N313" s="45"/>
      <c r="O313" s="30"/>
      <c r="P313" s="30"/>
      <c r="Q313" s="30"/>
      <c r="R313" s="30"/>
    </row>
    <row r="314" spans="5:18">
      <c r="E314" s="30"/>
      <c r="F314" s="30"/>
      <c r="G314" s="30"/>
      <c r="H314" s="30"/>
      <c r="I314" s="30"/>
      <c r="J314" s="30"/>
      <c r="K314" s="30"/>
      <c r="L314" s="30"/>
      <c r="M314" s="30"/>
      <c r="N314" s="45"/>
      <c r="O314" s="30"/>
      <c r="P314" s="30"/>
      <c r="Q314" s="30"/>
      <c r="R314" s="30"/>
    </row>
    <row r="315" spans="5:18">
      <c r="E315" s="30"/>
      <c r="F315" s="30"/>
      <c r="G315" s="30"/>
      <c r="H315" s="30"/>
      <c r="I315" s="30"/>
      <c r="J315" s="30"/>
      <c r="K315" s="30"/>
      <c r="L315" s="30"/>
      <c r="M315" s="30"/>
      <c r="N315" s="45"/>
      <c r="O315" s="30"/>
      <c r="P315" s="30"/>
      <c r="Q315" s="30"/>
      <c r="R315" s="30"/>
    </row>
    <row r="316" spans="5:18">
      <c r="E316" s="30"/>
      <c r="F316" s="30"/>
      <c r="G316" s="30"/>
      <c r="H316" s="30"/>
      <c r="I316" s="30"/>
      <c r="J316" s="30"/>
      <c r="K316" s="30"/>
      <c r="L316" s="30"/>
      <c r="M316" s="30"/>
      <c r="N316" s="45"/>
      <c r="O316" s="30"/>
      <c r="P316" s="30"/>
      <c r="Q316" s="30"/>
      <c r="R316" s="30"/>
    </row>
    <row r="317" spans="5:18">
      <c r="E317" s="30"/>
      <c r="F317" s="30"/>
      <c r="G317" s="30"/>
      <c r="H317" s="30"/>
      <c r="I317" s="30"/>
      <c r="J317" s="30"/>
      <c r="K317" s="30"/>
      <c r="L317" s="30"/>
      <c r="M317" s="30"/>
      <c r="N317" s="45"/>
      <c r="O317" s="30"/>
      <c r="P317" s="30"/>
      <c r="Q317" s="30"/>
      <c r="R317" s="30"/>
    </row>
    <row r="318" spans="5:18">
      <c r="E318" s="30"/>
      <c r="F318" s="30"/>
      <c r="G318" s="30"/>
      <c r="H318" s="30"/>
      <c r="I318" s="30"/>
      <c r="J318" s="30"/>
      <c r="K318" s="30"/>
      <c r="L318" s="30"/>
      <c r="M318" s="30"/>
      <c r="N318" s="45"/>
      <c r="O318" s="30"/>
      <c r="P318" s="30"/>
      <c r="Q318" s="30"/>
      <c r="R318" s="30"/>
    </row>
    <row r="319" spans="5:18">
      <c r="E319" s="30"/>
      <c r="F319" s="30"/>
      <c r="G319" s="30"/>
      <c r="H319" s="30"/>
      <c r="I319" s="30"/>
      <c r="J319" s="30"/>
      <c r="K319" s="30"/>
      <c r="L319" s="30"/>
      <c r="M319" s="30"/>
      <c r="N319" s="45"/>
      <c r="O319" s="30"/>
      <c r="P319" s="30"/>
      <c r="Q319" s="30"/>
      <c r="R319" s="30"/>
    </row>
    <row r="320" spans="5:18">
      <c r="E320" s="30"/>
      <c r="F320" s="30"/>
      <c r="G320" s="30"/>
      <c r="H320" s="30"/>
      <c r="I320" s="30"/>
      <c r="J320" s="30"/>
      <c r="K320" s="30"/>
      <c r="L320" s="30"/>
      <c r="M320" s="30"/>
      <c r="N320" s="45"/>
      <c r="O320" s="30"/>
      <c r="P320" s="30"/>
      <c r="Q320" s="30"/>
      <c r="R320" s="30"/>
    </row>
    <row r="321" spans="5:18">
      <c r="E321" s="30"/>
      <c r="F321" s="30"/>
      <c r="G321" s="30"/>
      <c r="H321" s="30"/>
      <c r="I321" s="30"/>
      <c r="J321" s="30"/>
      <c r="K321" s="30"/>
      <c r="L321" s="30"/>
      <c r="M321" s="30"/>
      <c r="N321" s="45"/>
      <c r="O321" s="30"/>
      <c r="P321" s="30"/>
      <c r="Q321" s="30"/>
      <c r="R321" s="30"/>
    </row>
    <row r="322" spans="5:18">
      <c r="E322" s="30"/>
      <c r="F322" s="30"/>
      <c r="G322" s="30"/>
      <c r="H322" s="30"/>
      <c r="I322" s="30"/>
      <c r="J322" s="30"/>
      <c r="K322" s="30"/>
      <c r="L322" s="30"/>
      <c r="M322" s="30"/>
      <c r="N322" s="45"/>
      <c r="O322" s="30"/>
      <c r="P322" s="30"/>
      <c r="Q322" s="30"/>
      <c r="R322" s="30"/>
    </row>
    <row r="323" spans="5:18">
      <c r="E323" s="30"/>
      <c r="F323" s="30"/>
      <c r="G323" s="30"/>
      <c r="H323" s="30"/>
      <c r="I323" s="30"/>
      <c r="J323" s="30"/>
      <c r="K323" s="30"/>
      <c r="L323" s="30"/>
    </row>
    <row r="324" spans="5:18">
      <c r="E324" s="30"/>
      <c r="F324" s="30"/>
      <c r="G324" s="30"/>
      <c r="H324" s="30"/>
      <c r="I324" s="30"/>
      <c r="J324" s="30"/>
      <c r="K324" s="30"/>
      <c r="L324" s="30"/>
    </row>
    <row r="325" spans="5:18">
      <c r="E325" s="30"/>
      <c r="F325" s="30"/>
      <c r="G325" s="30"/>
      <c r="H325" s="30"/>
      <c r="I325" s="30"/>
      <c r="J325" s="30"/>
      <c r="K325" s="30"/>
      <c r="L325" s="30"/>
    </row>
    <row r="326" spans="5:18">
      <c r="E326" s="30"/>
      <c r="F326" s="30"/>
      <c r="G326" s="30"/>
      <c r="H326" s="30"/>
      <c r="I326" s="30"/>
      <c r="J326" s="30"/>
      <c r="K326" s="30"/>
      <c r="L326" s="30"/>
    </row>
    <row r="327" spans="5:18">
      <c r="E327" s="30"/>
      <c r="F327" s="30"/>
      <c r="G327" s="30"/>
      <c r="H327" s="30"/>
      <c r="I327" s="30"/>
      <c r="J327" s="30"/>
      <c r="K327" s="30"/>
      <c r="L327" s="30"/>
    </row>
    <row r="328" spans="5:18">
      <c r="E328" s="30"/>
      <c r="F328" s="30"/>
      <c r="G328" s="30"/>
      <c r="H328" s="30"/>
      <c r="I328" s="30"/>
      <c r="J328" s="30"/>
      <c r="K328" s="30"/>
      <c r="L328" s="30"/>
    </row>
    <row r="329" spans="5:18">
      <c r="E329" s="30"/>
      <c r="F329" s="30"/>
      <c r="G329" s="30"/>
      <c r="H329" s="30"/>
      <c r="I329" s="30"/>
      <c r="J329" s="30"/>
      <c r="K329" s="30"/>
      <c r="L329" s="30"/>
    </row>
    <row r="330" spans="5:18">
      <c r="E330" s="30"/>
      <c r="F330" s="30"/>
      <c r="G330" s="30"/>
      <c r="H330" s="30"/>
      <c r="I330" s="30"/>
      <c r="J330" s="30"/>
      <c r="K330" s="30"/>
      <c r="L330" s="30"/>
    </row>
    <row r="331" spans="5:18">
      <c r="E331" s="30"/>
      <c r="F331" s="30"/>
      <c r="G331" s="30"/>
      <c r="H331" s="30"/>
      <c r="I331" s="30"/>
      <c r="J331" s="30"/>
      <c r="K331" s="30"/>
      <c r="L331" s="30"/>
    </row>
    <row r="332" spans="5:18">
      <c r="E332" s="30"/>
      <c r="F332" s="30"/>
      <c r="G332" s="30"/>
      <c r="H332" s="30"/>
      <c r="I332" s="30"/>
      <c r="J332" s="30"/>
      <c r="K332" s="30"/>
      <c r="L332" s="30"/>
    </row>
    <row r="333" spans="5:18">
      <c r="E333" s="30"/>
      <c r="F333" s="30"/>
      <c r="G333" s="30"/>
      <c r="H333" s="30"/>
      <c r="I333" s="30"/>
      <c r="J333" s="30"/>
      <c r="K333" s="30"/>
      <c r="L333" s="30"/>
    </row>
    <row r="334" spans="5:18">
      <c r="E334" s="30"/>
      <c r="F334" s="30"/>
      <c r="G334" s="30"/>
      <c r="H334" s="30"/>
      <c r="I334" s="30"/>
      <c r="J334" s="30"/>
      <c r="K334" s="30"/>
      <c r="L334" s="30"/>
    </row>
  </sheetData>
  <mergeCells count="3">
    <mergeCell ref="AF3:AH3"/>
    <mergeCell ref="A1:K1"/>
    <mergeCell ref="A2:K2"/>
  </mergeCells>
  <phoneticPr fontId="2" type="noConversion"/>
  <printOptions horizontalCentered="1" verticalCentered="1"/>
  <pageMargins left="0.25" right="0.25" top="0.25" bottom="0.25" header="0.5" footer="0.5"/>
  <pageSetup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pageSetUpPr fitToPage="1"/>
  </sheetPr>
  <dimension ref="A1:U57"/>
  <sheetViews>
    <sheetView workbookViewId="0">
      <selection activeCell="F22" sqref="F22"/>
    </sheetView>
  </sheetViews>
  <sheetFormatPr defaultColWidth="9.08984375" defaultRowHeight="11.5"/>
  <cols>
    <col min="1" max="1" width="7.36328125" style="30" customWidth="1"/>
    <col min="2" max="2" width="6.54296875" style="45" customWidth="1"/>
    <col min="3" max="3" width="11.36328125" style="30" customWidth="1"/>
    <col min="4" max="4" width="6.54296875" style="30" customWidth="1"/>
    <col min="5" max="5" width="7.36328125" style="30" bestFit="1" customWidth="1"/>
    <col min="6" max="6" width="9.54296875" style="30" customWidth="1"/>
    <col min="7" max="7" width="11.08984375" style="30" customWidth="1"/>
    <col min="8" max="8" width="10.08984375" style="47" customWidth="1"/>
    <col min="9" max="9" width="7" style="43" bestFit="1" customWidth="1"/>
    <col min="10" max="10" width="6.36328125" style="45" bestFit="1" customWidth="1"/>
    <col min="11" max="12" width="9.08984375" style="47"/>
    <col min="13" max="13" width="14.453125" style="47" customWidth="1"/>
    <col min="14" max="14" width="9.54296875" style="47" customWidth="1"/>
    <col min="15" max="16384" width="9.08984375" style="47"/>
  </cols>
  <sheetData>
    <row r="1" spans="1:21">
      <c r="A1" s="592" t="s">
        <v>472</v>
      </c>
      <c r="B1" s="592"/>
      <c r="C1" s="592"/>
      <c r="D1" s="592"/>
      <c r="E1" s="592"/>
      <c r="F1" s="592"/>
      <c r="G1" s="592"/>
      <c r="H1" s="592"/>
      <c r="I1" s="592"/>
      <c r="J1" s="592"/>
      <c r="K1" s="592"/>
      <c r="L1" s="592"/>
      <c r="M1" s="592"/>
    </row>
    <row r="2" spans="1:21">
      <c r="A2" s="592" t="s">
        <v>385</v>
      </c>
      <c r="B2" s="592"/>
      <c r="C2" s="592"/>
      <c r="D2" s="592"/>
      <c r="E2" s="592"/>
      <c r="F2" s="592"/>
      <c r="G2" s="592"/>
      <c r="H2" s="592"/>
      <c r="I2" s="592"/>
      <c r="J2" s="592"/>
      <c r="K2" s="592"/>
      <c r="L2" s="592"/>
      <c r="M2" s="592"/>
    </row>
    <row r="3" spans="1:21" ht="18.75" customHeight="1">
      <c r="B3" s="30"/>
      <c r="J3" s="30"/>
      <c r="K3" s="30"/>
      <c r="L3" s="30"/>
      <c r="M3" s="30"/>
    </row>
    <row r="4" spans="1:21" ht="13.5" customHeight="1">
      <c r="A4" s="598" t="s">
        <v>440</v>
      </c>
      <c r="B4" s="641" t="s">
        <v>382</v>
      </c>
      <c r="C4" s="595" t="s">
        <v>627</v>
      </c>
      <c r="D4" s="595" t="s">
        <v>670</v>
      </c>
      <c r="E4" s="595"/>
      <c r="F4" s="595" t="s">
        <v>84</v>
      </c>
      <c r="G4" s="595"/>
      <c r="H4" s="595" t="s">
        <v>269</v>
      </c>
      <c r="I4" s="598" t="s">
        <v>440</v>
      </c>
      <c r="J4" s="641" t="s">
        <v>382</v>
      </c>
      <c r="K4" s="595" t="s">
        <v>265</v>
      </c>
      <c r="L4" s="598" t="s">
        <v>670</v>
      </c>
      <c r="M4" s="598" t="s">
        <v>84</v>
      </c>
      <c r="N4" s="595" t="s">
        <v>269</v>
      </c>
    </row>
    <row r="5" spans="1:21">
      <c r="A5" s="598"/>
      <c r="B5" s="598"/>
      <c r="C5" s="596"/>
      <c r="D5" s="597"/>
      <c r="E5" s="597"/>
      <c r="F5" s="597"/>
      <c r="G5" s="597"/>
      <c r="H5" s="596"/>
      <c r="I5" s="598"/>
      <c r="J5" s="598"/>
      <c r="K5" s="596"/>
      <c r="L5" s="599"/>
      <c r="M5" s="599"/>
      <c r="N5" s="596"/>
    </row>
    <row r="6" spans="1:21">
      <c r="A6" s="598"/>
      <c r="B6" s="598"/>
      <c r="C6" s="596"/>
      <c r="D6" s="597"/>
      <c r="E6" s="597"/>
      <c r="F6" s="597"/>
      <c r="G6" s="597"/>
      <c r="H6" s="596"/>
      <c r="I6" s="598"/>
      <c r="J6" s="598"/>
      <c r="K6" s="596"/>
      <c r="L6" s="599"/>
      <c r="M6" s="599"/>
      <c r="N6" s="596"/>
    </row>
    <row r="7" spans="1:21">
      <c r="A7" s="598"/>
      <c r="B7" s="598"/>
      <c r="C7" s="596"/>
      <c r="D7" s="30" t="s">
        <v>181</v>
      </c>
      <c r="E7" s="30" t="s">
        <v>448</v>
      </c>
      <c r="F7" s="30" t="s">
        <v>181</v>
      </c>
      <c r="G7" s="30" t="s">
        <v>448</v>
      </c>
      <c r="H7" s="596"/>
      <c r="I7" s="598"/>
      <c r="J7" s="598"/>
      <c r="K7" s="596"/>
      <c r="L7" s="599"/>
      <c r="M7" s="599"/>
      <c r="N7" s="596"/>
    </row>
    <row r="8" spans="1:21" ht="13">
      <c r="A8" s="48">
        <v>1.5</v>
      </c>
      <c r="B8" s="49">
        <v>0.625</v>
      </c>
      <c r="C8" s="50">
        <v>11</v>
      </c>
      <c r="D8" s="30">
        <v>116</v>
      </c>
      <c r="E8" s="30">
        <v>34</v>
      </c>
      <c r="F8" s="50">
        <v>34</v>
      </c>
      <c r="G8" s="50">
        <v>15</v>
      </c>
      <c r="H8" s="50">
        <v>15</v>
      </c>
      <c r="I8" s="48">
        <v>1.5</v>
      </c>
      <c r="J8" s="49">
        <v>0.625</v>
      </c>
      <c r="K8" s="30" t="str">
        <f>IF(OR(Data!B$3="A",Data!B$3="LH"),IF(I8=Data!B$4,IF(J8=Data!B$6,C8*Data!B$11,""),""),"")</f>
        <v/>
      </c>
      <c r="L8" s="30" t="str">
        <f>IF(Data!B$12&gt;0.1,IF(OR(Data!B$3="A",Data!B$3="LH"),IF($I8=Data!B$4,IF($J8=Data!B$6,D8+E8*Data!B$12,""),""),""),"")</f>
        <v/>
      </c>
      <c r="M8" s="30" t="str">
        <f>IF(Data!B$17="Y",IF(OR(Data!B$3="A",Data!B$3="LH"),IF($I8=Data!B$4,IF($J8=Data!B$6,F8+G8*Data!B$8,""),""),""),"")</f>
        <v/>
      </c>
      <c r="N8" s="30" t="str">
        <f>IF(OR(Data!$B$3="A",Data!$B$3="LH"),IF($I8=Data!$B$4,IF($J8=Data!$B$6,H8*Data!$B$27,""),""),"")</f>
        <v/>
      </c>
      <c r="P8" s="47">
        <f>ROUNDUP(C8*1.2,0)</f>
        <v>14</v>
      </c>
      <c r="Q8" s="47">
        <f t="shared" ref="Q8:Q54" si="0">ROUNDUP(D8*1.2,0)</f>
        <v>140</v>
      </c>
      <c r="R8" s="47">
        <f t="shared" ref="R8:R54" si="1">ROUNDUP(E8*1.2,0)</f>
        <v>41</v>
      </c>
      <c r="S8" s="47">
        <f t="shared" ref="S8:S54" si="2">ROUNDUP(F8*1.2,0)</f>
        <v>41</v>
      </c>
      <c r="T8" s="47">
        <f t="shared" ref="T8:T54" si="3">ROUNDUP(G8*1.2,0)</f>
        <v>18</v>
      </c>
      <c r="U8" s="47">
        <f t="shared" ref="U8:U54" si="4">ROUNDUP(H8*1.2,0)</f>
        <v>18</v>
      </c>
    </row>
    <row r="9" spans="1:21" ht="13">
      <c r="A9" s="48">
        <v>1.5</v>
      </c>
      <c r="B9" s="49">
        <v>1</v>
      </c>
      <c r="C9" s="50">
        <v>12</v>
      </c>
      <c r="D9" s="30">
        <v>116</v>
      </c>
      <c r="E9" s="30">
        <v>34</v>
      </c>
      <c r="F9" s="50">
        <v>60</v>
      </c>
      <c r="G9" s="50">
        <v>17</v>
      </c>
      <c r="H9" s="50">
        <v>17</v>
      </c>
      <c r="I9" s="48">
        <v>1.5</v>
      </c>
      <c r="J9" s="49">
        <v>1</v>
      </c>
      <c r="K9" s="30" t="str">
        <f>IF(OR(Data!B$3="A",Data!B$3="LH"),IF(I9=Data!B$4,IF(J9=Data!B$6,C9*Data!B$11,""),""),"")</f>
        <v/>
      </c>
      <c r="L9" s="30" t="str">
        <f>IF(Data!B$12&gt;0.1,IF(OR(Data!B$3="A",Data!B$3="LH"),IF($I9=Data!B$4,IF($J9=Data!B$6,D9+E9*Data!B$12,""),""),""),"")</f>
        <v/>
      </c>
      <c r="M9" s="30" t="str">
        <f>IF(Data!B$17="Y",IF(OR(Data!B$3="A",Data!B$3="LH"),IF($I9=Data!B$4,IF($J9=Data!B$6,F9+G9*Data!B$8,""),""),""),"")</f>
        <v/>
      </c>
      <c r="N9" s="30" t="str">
        <f>IF(OR(Data!$B$3="A",Data!$B$3="LH"),IF($I9=Data!$B$4,IF($J9=Data!$B$6,H9*Data!$B$27,""),""),"")</f>
        <v/>
      </c>
      <c r="P9" s="47">
        <f t="shared" ref="P9:P54" si="5">ROUNDUP(C9*1.2,0)</f>
        <v>15</v>
      </c>
      <c r="Q9" s="47">
        <f t="shared" si="0"/>
        <v>140</v>
      </c>
      <c r="R9" s="47">
        <f t="shared" si="1"/>
        <v>41</v>
      </c>
      <c r="S9" s="47">
        <f t="shared" si="2"/>
        <v>72</v>
      </c>
      <c r="T9" s="47">
        <f t="shared" si="3"/>
        <v>21</v>
      </c>
      <c r="U9" s="47">
        <f t="shared" si="4"/>
        <v>21</v>
      </c>
    </row>
    <row r="10" spans="1:21" ht="13">
      <c r="A10" s="48">
        <v>2</v>
      </c>
      <c r="B10" s="49">
        <v>0.625</v>
      </c>
      <c r="C10" s="50">
        <v>11</v>
      </c>
      <c r="D10" s="30">
        <v>130</v>
      </c>
      <c r="E10" s="30">
        <v>34</v>
      </c>
      <c r="F10" s="50">
        <v>34</v>
      </c>
      <c r="G10" s="50">
        <v>15</v>
      </c>
      <c r="H10" s="50">
        <v>15</v>
      </c>
      <c r="I10" s="48">
        <v>2</v>
      </c>
      <c r="J10" s="49">
        <v>0.625</v>
      </c>
      <c r="K10" s="30" t="str">
        <f>IF(OR(Data!B$3="A",Data!B$3="LH"),IF(I10=Data!B$4,IF(J10=Data!B$6,C10*Data!B$11,""),""),"")</f>
        <v/>
      </c>
      <c r="L10" s="30" t="str">
        <f>IF(Data!B$12&gt;0.1,IF(OR(Data!B$3="A",Data!B$3="LH"),IF($I10=Data!B$4,IF($J10=Data!B$6,D10+E10*Data!B$12,""),""),""),"")</f>
        <v/>
      </c>
      <c r="M10" s="30" t="str">
        <f>IF(Data!B$17="Y",IF(OR(Data!B$3="A",Data!B$3="LH"),IF($I10=Data!B$4,IF($J10=Data!B$6,F10+G10*Data!B$8,""),""),""),"")</f>
        <v/>
      </c>
      <c r="N10" s="30" t="str">
        <f>IF(OR(Data!$B$3="A",Data!$B$3="LH"),IF($I10=Data!$B$4,IF($J10=Data!$B$6,H10*Data!$B$27,""),""),"")</f>
        <v/>
      </c>
      <c r="P10" s="47">
        <f t="shared" si="5"/>
        <v>14</v>
      </c>
      <c r="Q10" s="47">
        <f t="shared" si="0"/>
        <v>156</v>
      </c>
      <c r="R10" s="47">
        <f t="shared" si="1"/>
        <v>41</v>
      </c>
      <c r="S10" s="47">
        <f t="shared" si="2"/>
        <v>41</v>
      </c>
      <c r="T10" s="47">
        <f t="shared" si="3"/>
        <v>18</v>
      </c>
      <c r="U10" s="47">
        <f t="shared" si="4"/>
        <v>18</v>
      </c>
    </row>
    <row r="11" spans="1:21" ht="13">
      <c r="A11" s="48">
        <v>2</v>
      </c>
      <c r="B11" s="49">
        <v>1</v>
      </c>
      <c r="C11" s="50">
        <v>12</v>
      </c>
      <c r="D11" s="30">
        <v>130</v>
      </c>
      <c r="E11" s="30">
        <v>34</v>
      </c>
      <c r="F11" s="50">
        <v>60</v>
      </c>
      <c r="G11" s="50">
        <v>17</v>
      </c>
      <c r="H11" s="50">
        <v>17</v>
      </c>
      <c r="I11" s="48">
        <v>2</v>
      </c>
      <c r="J11" s="49">
        <v>1</v>
      </c>
      <c r="K11" s="30" t="str">
        <f>IF(OR(Data!B$3="A",Data!B$3="LH"),IF(I11=Data!B$4,IF(J11=Data!B$6,C11*Data!B$11,""),""),"")</f>
        <v/>
      </c>
      <c r="L11" s="30" t="str">
        <f>IF(Data!B$12&gt;0.1,IF(OR(Data!B$3="A",Data!B$3="LH"),IF($I11=Data!B$4,IF($J11=Data!B$6,D11+E11*Data!B$12,""),""),""),"")</f>
        <v/>
      </c>
      <c r="M11" s="30" t="str">
        <f>IF(Data!B$17="Y",IF(OR(Data!B$3="A",Data!B$3="LH"),IF($I11=Data!B$4,IF($J11=Data!B$6,F11+G11*Data!B$8,""),""),""),"")</f>
        <v/>
      </c>
      <c r="N11" s="30" t="str">
        <f>IF(OR(Data!$B$3="A",Data!$B$3="LH"),IF($I11=Data!$B$4,IF($J11=Data!$B$6,H11*Data!$B$27,""),""),"")</f>
        <v/>
      </c>
      <c r="P11" s="47">
        <f t="shared" si="5"/>
        <v>15</v>
      </c>
      <c r="Q11" s="47">
        <f t="shared" si="0"/>
        <v>156</v>
      </c>
      <c r="R11" s="47">
        <f t="shared" si="1"/>
        <v>41</v>
      </c>
      <c r="S11" s="47">
        <f t="shared" si="2"/>
        <v>72</v>
      </c>
      <c r="T11" s="47">
        <f t="shared" si="3"/>
        <v>21</v>
      </c>
      <c r="U11" s="47">
        <f t="shared" si="4"/>
        <v>21</v>
      </c>
    </row>
    <row r="12" spans="1:21" ht="13">
      <c r="A12" s="48">
        <v>2</v>
      </c>
      <c r="B12" s="49">
        <v>1.375</v>
      </c>
      <c r="C12" s="50">
        <v>15</v>
      </c>
      <c r="D12" s="30">
        <v>130</v>
      </c>
      <c r="E12" s="30">
        <v>34</v>
      </c>
      <c r="F12" s="50">
        <v>119</v>
      </c>
      <c r="G12" s="50">
        <v>22</v>
      </c>
      <c r="H12" s="50">
        <v>18</v>
      </c>
      <c r="I12" s="48">
        <v>2</v>
      </c>
      <c r="J12" s="49">
        <v>1.375</v>
      </c>
      <c r="K12" s="30" t="str">
        <f>IF(OR(Data!B$3="A",Data!B$3="LH"),IF(I12=Data!B$4,IF(J12=Data!B$6,C12*Data!B$11,""),""),"")</f>
        <v/>
      </c>
      <c r="L12" s="30" t="str">
        <f>IF(Data!B$12&gt;0.1,IF(OR(Data!B$3="A",Data!B$3="LH"),IF($I12=Data!B$4,IF($J12=Data!B$6,D12+E12*Data!B$12,""),""),""),"")</f>
        <v/>
      </c>
      <c r="M12" s="30" t="str">
        <f>IF(Data!B$17="Y",IF(OR(Data!B$3="A",Data!B$3="LH"),IF($I12=Data!B$4,IF($J12=Data!B$6,F12+G12*Data!B$8,""),""),""),"")</f>
        <v/>
      </c>
      <c r="N12" s="30" t="str">
        <f>IF(OR(Data!$B$3="A",Data!$B$3="LH"),IF($I12=Data!$B$4,IF($J12=Data!$B$6,H12*Data!$B$27,""),""),"")</f>
        <v/>
      </c>
      <c r="P12" s="47">
        <f t="shared" si="5"/>
        <v>18</v>
      </c>
      <c r="Q12" s="47">
        <f t="shared" si="0"/>
        <v>156</v>
      </c>
      <c r="R12" s="47">
        <f t="shared" si="1"/>
        <v>41</v>
      </c>
      <c r="S12" s="47">
        <f t="shared" si="2"/>
        <v>143</v>
      </c>
      <c r="T12" s="47">
        <f t="shared" si="3"/>
        <v>27</v>
      </c>
      <c r="U12" s="47">
        <f t="shared" si="4"/>
        <v>22</v>
      </c>
    </row>
    <row r="13" spans="1:21" ht="13">
      <c r="A13" s="48">
        <v>2.5</v>
      </c>
      <c r="B13" s="49">
        <v>0.625</v>
      </c>
      <c r="C13" s="50">
        <v>11</v>
      </c>
      <c r="D13" s="30">
        <v>141</v>
      </c>
      <c r="E13" s="30">
        <v>35</v>
      </c>
      <c r="F13" s="50">
        <v>34</v>
      </c>
      <c r="G13" s="50">
        <v>15</v>
      </c>
      <c r="H13" s="50">
        <v>15</v>
      </c>
      <c r="I13" s="48">
        <v>2.5</v>
      </c>
      <c r="J13" s="49">
        <v>0.625</v>
      </c>
      <c r="K13" s="30" t="str">
        <f>IF(OR(Data!B$3="A",Data!B$3="LH"),IF(I13=Data!B$4,IF(J13=Data!B$6,C13*Data!B$11,""),""),"")</f>
        <v/>
      </c>
      <c r="L13" s="30" t="str">
        <f>IF(Data!B$12&gt;0.1,IF(OR(Data!B$3="A",Data!B$3="LH"),IF($I13=Data!B$4,IF($J13=Data!B$6,D13+E13*Data!B$12,""),""),""),"")</f>
        <v/>
      </c>
      <c r="M13" s="30" t="str">
        <f>IF(Data!B$17="Y",IF(OR(Data!B$3="A",Data!B$3="LH"),IF($I13=Data!B$4,IF($J13=Data!B$6,F13+G13*Data!B$8,""),""),""),"")</f>
        <v/>
      </c>
      <c r="N13" s="30" t="str">
        <f>IF(OR(Data!$B$3="A",Data!$B$3="LH"),IF($I13=Data!$B$4,IF($J13=Data!$B$6,H13*Data!$B$27,""),""),"")</f>
        <v/>
      </c>
      <c r="P13" s="47">
        <f t="shared" si="5"/>
        <v>14</v>
      </c>
      <c r="Q13" s="47">
        <f t="shared" si="0"/>
        <v>170</v>
      </c>
      <c r="R13" s="47">
        <f t="shared" si="1"/>
        <v>42</v>
      </c>
      <c r="S13" s="47">
        <f t="shared" si="2"/>
        <v>41</v>
      </c>
      <c r="T13" s="47">
        <f t="shared" si="3"/>
        <v>18</v>
      </c>
      <c r="U13" s="47">
        <f t="shared" si="4"/>
        <v>18</v>
      </c>
    </row>
    <row r="14" spans="1:21" ht="13">
      <c r="A14" s="48">
        <v>2.5</v>
      </c>
      <c r="B14" s="49">
        <v>1</v>
      </c>
      <c r="C14" s="50">
        <v>12</v>
      </c>
      <c r="D14" s="30">
        <v>141</v>
      </c>
      <c r="E14" s="30">
        <v>35</v>
      </c>
      <c r="F14" s="50">
        <v>60</v>
      </c>
      <c r="G14" s="50">
        <v>17</v>
      </c>
      <c r="H14" s="50">
        <v>17</v>
      </c>
      <c r="I14" s="48">
        <v>2.5</v>
      </c>
      <c r="J14" s="49">
        <v>1</v>
      </c>
      <c r="K14" s="30" t="str">
        <f>IF(OR(Data!B$3="A",Data!B$3="LH"),IF(I14=Data!B$4,IF(J14=Data!B$6,C14*Data!B$11,""),""),"")</f>
        <v/>
      </c>
      <c r="L14" s="30" t="str">
        <f>IF(Data!B$12&gt;0.1,IF(OR(Data!B$3="A",Data!B$3="LH"),IF($I14=Data!B$4,IF($J14=Data!B$6,D14+E14*Data!B$12,""),""),""),"")</f>
        <v/>
      </c>
      <c r="M14" s="30" t="str">
        <f>IF(Data!B$17="Y",IF(OR(Data!B$3="A",Data!B$3="LH"),IF($I14=Data!B$4,IF($J14=Data!B$6,F14+G14*Data!B$8,""),""),""),"")</f>
        <v/>
      </c>
      <c r="N14" s="30" t="str">
        <f>IF(OR(Data!$B$3="A",Data!$B$3="LH"),IF($I14=Data!$B$4,IF($J14=Data!$B$6,H14*Data!$B$27,""),""),"")</f>
        <v/>
      </c>
      <c r="P14" s="47">
        <f t="shared" si="5"/>
        <v>15</v>
      </c>
      <c r="Q14" s="47">
        <f t="shared" si="0"/>
        <v>170</v>
      </c>
      <c r="R14" s="47">
        <f t="shared" si="1"/>
        <v>42</v>
      </c>
      <c r="S14" s="47">
        <f t="shared" si="2"/>
        <v>72</v>
      </c>
      <c r="T14" s="47">
        <f t="shared" si="3"/>
        <v>21</v>
      </c>
      <c r="U14" s="47">
        <f t="shared" si="4"/>
        <v>21</v>
      </c>
    </row>
    <row r="15" spans="1:21" ht="13">
      <c r="A15" s="48">
        <v>2.5</v>
      </c>
      <c r="B15" s="49">
        <v>1.375</v>
      </c>
      <c r="C15" s="50">
        <v>15</v>
      </c>
      <c r="D15" s="30">
        <v>141</v>
      </c>
      <c r="E15" s="30">
        <v>35</v>
      </c>
      <c r="F15" s="50">
        <v>119</v>
      </c>
      <c r="G15" s="50">
        <v>22</v>
      </c>
      <c r="H15" s="50">
        <v>18</v>
      </c>
      <c r="I15" s="48">
        <v>2.5</v>
      </c>
      <c r="J15" s="49">
        <v>1.375</v>
      </c>
      <c r="K15" s="30" t="str">
        <f>IF(OR(Data!B$3="A",Data!B$3="LH"),IF(I15=Data!B$4,IF(J15=Data!B$6,C15*Data!B$11,""),""),"")</f>
        <v/>
      </c>
      <c r="L15" s="30" t="str">
        <f>IF(Data!B$12&gt;0.1,IF(OR(Data!B$3="A",Data!B$3="LH"),IF($I15=Data!B$4,IF($J15=Data!B$6,D15+E15*Data!B$12,""),""),""),"")</f>
        <v/>
      </c>
      <c r="M15" s="30" t="str">
        <f>IF(Data!B$17="Y",IF(OR(Data!B$3="A",Data!B$3="LH"),IF($I15=Data!B$4,IF($J15=Data!B$6,F15+G15*Data!B$8,""),""),""),"")</f>
        <v/>
      </c>
      <c r="N15" s="30" t="str">
        <f>IF(OR(Data!$B$3="A",Data!$B$3="LH"),IF($I15=Data!$B$4,IF($J15=Data!$B$6,H15*Data!$B$27,""),""),"")</f>
        <v/>
      </c>
      <c r="P15" s="47">
        <f t="shared" si="5"/>
        <v>18</v>
      </c>
      <c r="Q15" s="47">
        <f t="shared" si="0"/>
        <v>170</v>
      </c>
      <c r="R15" s="47">
        <f t="shared" si="1"/>
        <v>42</v>
      </c>
      <c r="S15" s="47">
        <f t="shared" si="2"/>
        <v>143</v>
      </c>
      <c r="T15" s="47">
        <f t="shared" si="3"/>
        <v>27</v>
      </c>
      <c r="U15" s="47">
        <f t="shared" si="4"/>
        <v>22</v>
      </c>
    </row>
    <row r="16" spans="1:21" ht="13">
      <c r="A16" s="48">
        <v>2.5</v>
      </c>
      <c r="B16" s="49">
        <v>1.75</v>
      </c>
      <c r="C16" s="50">
        <v>16</v>
      </c>
      <c r="D16" s="30">
        <v>141</v>
      </c>
      <c r="E16" s="30">
        <v>35</v>
      </c>
      <c r="F16" s="50">
        <v>242</v>
      </c>
      <c r="G16" s="50">
        <v>24</v>
      </c>
      <c r="H16" s="50">
        <v>22</v>
      </c>
      <c r="I16" s="48">
        <v>2.5</v>
      </c>
      <c r="J16" s="49">
        <v>1.75</v>
      </c>
      <c r="K16" s="30" t="str">
        <f>IF(OR(Data!B$3="A",Data!B$3="LH"),IF(I16=Data!B$4,IF(J16=Data!B$6,C16*Data!B$11,""),""),"")</f>
        <v/>
      </c>
      <c r="L16" s="30" t="str">
        <f>IF(Data!B$12&gt;0.1,IF(OR(Data!B$3="A",Data!B$3="LH"),IF($I16=Data!B$4,IF($J16=Data!B$6,D16+E16*Data!B$12,""),""),""),"")</f>
        <v/>
      </c>
      <c r="M16" s="30" t="str">
        <f>IF(Data!B$17="Y",IF(OR(Data!B$3="A",Data!B$3="LH"),IF($I16=Data!B$4,IF($J16=Data!B$6,F16+G16*Data!B$8,""),""),""),"")</f>
        <v/>
      </c>
      <c r="N16" s="30" t="str">
        <f>IF(OR(Data!$B$3="A",Data!$B$3="LH"),IF($I16=Data!$B$4,IF($J16=Data!$B$6,H16*Data!$B$27,""),""),"")</f>
        <v/>
      </c>
      <c r="P16" s="47">
        <f t="shared" si="5"/>
        <v>20</v>
      </c>
      <c r="Q16" s="47">
        <f t="shared" si="0"/>
        <v>170</v>
      </c>
      <c r="R16" s="47">
        <f t="shared" si="1"/>
        <v>42</v>
      </c>
      <c r="S16" s="47">
        <f t="shared" si="2"/>
        <v>291</v>
      </c>
      <c r="T16" s="47">
        <f t="shared" si="3"/>
        <v>29</v>
      </c>
      <c r="U16" s="47">
        <f t="shared" si="4"/>
        <v>27</v>
      </c>
    </row>
    <row r="17" spans="1:21" ht="13">
      <c r="A17" s="48">
        <v>3.25</v>
      </c>
      <c r="B17" s="49">
        <v>1</v>
      </c>
      <c r="C17" s="50">
        <v>12</v>
      </c>
      <c r="D17" s="30">
        <v>182</v>
      </c>
      <c r="E17" s="30">
        <v>45</v>
      </c>
      <c r="F17" s="50">
        <v>60</v>
      </c>
      <c r="G17" s="50">
        <v>17</v>
      </c>
      <c r="H17" s="50">
        <v>17</v>
      </c>
      <c r="I17" s="48">
        <v>3.25</v>
      </c>
      <c r="J17" s="49">
        <v>1</v>
      </c>
      <c r="K17" s="30" t="str">
        <f>IF(OR(Data!B$3="A",Data!B$3="LH"),IF(I17=Data!B$4,IF(J17=Data!B$6,C17*Data!B$11,""),""),"")</f>
        <v/>
      </c>
      <c r="L17" s="30" t="str">
        <f>IF(Data!B$12&gt;0.1,IF(OR(Data!B$3="A",Data!B$3="LH"),IF($I17=Data!B$4,IF($J17=Data!B$6,D17+E17*Data!B$12,""),""),""),"")</f>
        <v/>
      </c>
      <c r="M17" s="30" t="str">
        <f>IF(Data!B$17="Y",IF(OR(Data!B$3="A",Data!B$3="LH"),IF($I17=Data!B$4,IF($J17=Data!B$6,F17+G17*Data!B$8,""),""),""),"")</f>
        <v/>
      </c>
      <c r="N17" s="30" t="str">
        <f>IF(OR(Data!$B$3="A",Data!$B$3="LH"),IF($I17=Data!$B$4,IF($J17=Data!$B$6,H17*Data!$B$27,""),""),"")</f>
        <v/>
      </c>
      <c r="P17" s="47">
        <f t="shared" si="5"/>
        <v>15</v>
      </c>
      <c r="Q17" s="47">
        <f t="shared" si="0"/>
        <v>219</v>
      </c>
      <c r="R17" s="47">
        <f t="shared" si="1"/>
        <v>54</v>
      </c>
      <c r="S17" s="47">
        <f t="shared" si="2"/>
        <v>72</v>
      </c>
      <c r="T17" s="47">
        <f t="shared" si="3"/>
        <v>21</v>
      </c>
      <c r="U17" s="47">
        <f t="shared" si="4"/>
        <v>21</v>
      </c>
    </row>
    <row r="18" spans="1:21" ht="13">
      <c r="A18" s="48">
        <v>3.25</v>
      </c>
      <c r="B18" s="49">
        <v>1.375</v>
      </c>
      <c r="C18" s="50">
        <v>15</v>
      </c>
      <c r="D18" s="30">
        <v>182</v>
      </c>
      <c r="E18" s="30">
        <v>45</v>
      </c>
      <c r="F18" s="50">
        <v>119</v>
      </c>
      <c r="G18" s="50">
        <v>22</v>
      </c>
      <c r="H18" s="50">
        <v>18</v>
      </c>
      <c r="I18" s="48">
        <v>3.25</v>
      </c>
      <c r="J18" s="49">
        <v>1.375</v>
      </c>
      <c r="K18" s="30" t="str">
        <f>IF(OR(Data!B$3="A",Data!B$3="LH"),IF(I18=Data!B$4,IF(J18=Data!B$6,C18*Data!B$11,""),""),"")</f>
        <v/>
      </c>
      <c r="L18" s="30" t="str">
        <f>IF(Data!B$12&gt;0.1,IF(OR(Data!B$3="A",Data!B$3="LH"),IF($I18=Data!B$4,IF($J18=Data!B$6,D18+E18*Data!B$12,""),""),""),"")</f>
        <v/>
      </c>
      <c r="M18" s="30" t="str">
        <f>IF(Data!B$17="Y",IF(OR(Data!B$3="A",Data!B$3="LH"),IF($I18=Data!B$4,IF($J18=Data!B$6,F18+G18*Data!B$8,""),""),""),"")</f>
        <v/>
      </c>
      <c r="N18" s="30" t="str">
        <f>IF(OR(Data!$B$3="A",Data!$B$3="LH"),IF($I18=Data!$B$4,IF($J18=Data!$B$6,H18*Data!$B$27,""),""),"")</f>
        <v/>
      </c>
      <c r="P18" s="47">
        <f t="shared" si="5"/>
        <v>18</v>
      </c>
      <c r="Q18" s="47">
        <f t="shared" si="0"/>
        <v>219</v>
      </c>
      <c r="R18" s="47">
        <f t="shared" si="1"/>
        <v>54</v>
      </c>
      <c r="S18" s="47">
        <f t="shared" si="2"/>
        <v>143</v>
      </c>
      <c r="T18" s="47">
        <f t="shared" si="3"/>
        <v>27</v>
      </c>
      <c r="U18" s="47">
        <f t="shared" si="4"/>
        <v>22</v>
      </c>
    </row>
    <row r="19" spans="1:21" ht="13">
      <c r="A19" s="48">
        <v>3.25</v>
      </c>
      <c r="B19" s="49">
        <v>1.75</v>
      </c>
      <c r="C19" s="50">
        <v>16</v>
      </c>
      <c r="D19" s="30">
        <v>182</v>
      </c>
      <c r="E19" s="30">
        <v>45</v>
      </c>
      <c r="F19" s="50">
        <v>242</v>
      </c>
      <c r="G19" s="50">
        <v>24</v>
      </c>
      <c r="H19" s="50">
        <v>22</v>
      </c>
      <c r="I19" s="48">
        <v>3.25</v>
      </c>
      <c r="J19" s="49">
        <v>1.75</v>
      </c>
      <c r="K19" s="30" t="str">
        <f>IF(OR(Data!B$3="A",Data!B$3="LH"),IF(I19=Data!B$4,IF(J19=Data!B$6,C19*Data!B$11,""),""),"")</f>
        <v/>
      </c>
      <c r="L19" s="30" t="str">
        <f>IF(Data!B$12&gt;0.1,IF(OR(Data!B$3="A",Data!B$3="LH"),IF($I19=Data!B$4,IF($J19=Data!B$6,D19+E19*Data!B$12,""),""),""),"")</f>
        <v/>
      </c>
      <c r="M19" s="30" t="str">
        <f>IF(Data!B$17="Y",IF(OR(Data!B$3="A",Data!B$3="LH"),IF($I19=Data!B$4,IF($J19=Data!B$6,F19+G19*Data!B$8,""),""),""),"")</f>
        <v/>
      </c>
      <c r="N19" s="30" t="str">
        <f>IF(OR(Data!$B$3="A",Data!$B$3="LH"),IF($I19=Data!$B$4,IF($J19=Data!$B$6,H19*Data!$B$27,""),""),"")</f>
        <v/>
      </c>
      <c r="P19" s="47">
        <f t="shared" si="5"/>
        <v>20</v>
      </c>
      <c r="Q19" s="47">
        <f t="shared" si="0"/>
        <v>219</v>
      </c>
      <c r="R19" s="47">
        <f t="shared" si="1"/>
        <v>54</v>
      </c>
      <c r="S19" s="47">
        <f t="shared" si="2"/>
        <v>291</v>
      </c>
      <c r="T19" s="47">
        <f t="shared" si="3"/>
        <v>29</v>
      </c>
      <c r="U19" s="47">
        <f t="shared" si="4"/>
        <v>27</v>
      </c>
    </row>
    <row r="20" spans="1:21" ht="13">
      <c r="A20" s="48">
        <v>3.25</v>
      </c>
      <c r="B20" s="49">
        <v>2</v>
      </c>
      <c r="C20" s="50">
        <v>17</v>
      </c>
      <c r="D20" s="30">
        <v>182</v>
      </c>
      <c r="E20" s="30">
        <v>45</v>
      </c>
      <c r="F20" s="50">
        <v>344</v>
      </c>
      <c r="G20" s="50">
        <v>35</v>
      </c>
      <c r="H20" s="50">
        <v>24</v>
      </c>
      <c r="I20" s="48">
        <v>3.25</v>
      </c>
      <c r="J20" s="49">
        <v>2</v>
      </c>
      <c r="K20" s="30" t="str">
        <f>IF(OR(Data!B$3="A",Data!B$3="LH"),IF(I20=Data!B$4,IF(J20=Data!B$6,C20*Data!B$11,""),""),"")</f>
        <v/>
      </c>
      <c r="L20" s="30" t="str">
        <f>IF(Data!B$12&gt;0.1,IF(OR(Data!B$3="A",Data!B$3="LH"),IF($I20=Data!B$4,IF($J20=Data!B$6,D20+E20*Data!B$12,""),""),""),"")</f>
        <v/>
      </c>
      <c r="M20" s="30" t="str">
        <f>IF(Data!B$17="Y",IF(OR(Data!B$3="A",Data!B$3="LH"),IF($I20=Data!B$4,IF($J20=Data!B$6,F20+G20*Data!B$8,""),""),""),"")</f>
        <v/>
      </c>
      <c r="N20" s="30" t="str">
        <f>IF(OR(Data!$B$3="A",Data!$B$3="LH"),IF($I20=Data!$B$4,IF($J20=Data!$B$6,H20*Data!$B$27,""),""),"")</f>
        <v/>
      </c>
      <c r="P20" s="47">
        <f t="shared" si="5"/>
        <v>21</v>
      </c>
      <c r="Q20" s="47">
        <f t="shared" si="0"/>
        <v>219</v>
      </c>
      <c r="R20" s="47">
        <f t="shared" si="1"/>
        <v>54</v>
      </c>
      <c r="S20" s="47">
        <f t="shared" si="2"/>
        <v>413</v>
      </c>
      <c r="T20" s="47">
        <f t="shared" si="3"/>
        <v>42</v>
      </c>
      <c r="U20" s="47">
        <f t="shared" si="4"/>
        <v>29</v>
      </c>
    </row>
    <row r="21" spans="1:21" ht="13">
      <c r="A21" s="48">
        <v>4</v>
      </c>
      <c r="B21" s="49">
        <v>1</v>
      </c>
      <c r="C21" s="50">
        <v>12</v>
      </c>
      <c r="D21" s="30">
        <v>226</v>
      </c>
      <c r="E21" s="30">
        <v>48</v>
      </c>
      <c r="F21" s="50">
        <v>60</v>
      </c>
      <c r="G21" s="50">
        <v>17</v>
      </c>
      <c r="H21" s="50">
        <v>17</v>
      </c>
      <c r="I21" s="48">
        <v>4</v>
      </c>
      <c r="J21" s="49">
        <v>1</v>
      </c>
      <c r="K21" s="30" t="str">
        <f>IF(OR(Data!B$3="A",Data!B$3="LH"),IF(I21=Data!B$4,IF(J21=Data!B$6,C21*Data!B$11,""),""),"")</f>
        <v/>
      </c>
      <c r="L21" s="30" t="str">
        <f>IF(Data!B$12&gt;0.1,IF(OR(Data!B$3="A",Data!B$3="LH"),IF($I21=Data!B$4,IF($J21=Data!B$6,D21+E21*Data!B$12,""),""),""),"")</f>
        <v/>
      </c>
      <c r="M21" s="30" t="str">
        <f>IF(Data!B$17="Y",IF(OR(Data!B$3="A",Data!B$3="LH"),IF($I21=Data!B$4,IF($J21=Data!B$6,F21+G21*Data!B$8,""),""),""),"")</f>
        <v/>
      </c>
      <c r="N21" s="30" t="str">
        <f>IF(OR(Data!$B$3="A",Data!$B$3="LH"),IF($I21=Data!$B$4,IF($J21=Data!$B$6,H21*Data!$B$27,""),""),"")</f>
        <v/>
      </c>
      <c r="P21" s="47">
        <f t="shared" si="5"/>
        <v>15</v>
      </c>
      <c r="Q21" s="47">
        <f t="shared" si="0"/>
        <v>272</v>
      </c>
      <c r="R21" s="47">
        <f t="shared" si="1"/>
        <v>58</v>
      </c>
      <c r="S21" s="47">
        <f t="shared" si="2"/>
        <v>72</v>
      </c>
      <c r="T21" s="47">
        <f t="shared" si="3"/>
        <v>21</v>
      </c>
      <c r="U21" s="47">
        <f t="shared" si="4"/>
        <v>21</v>
      </c>
    </row>
    <row r="22" spans="1:21" ht="13">
      <c r="A22" s="48">
        <v>4</v>
      </c>
      <c r="B22" s="49">
        <v>1.375</v>
      </c>
      <c r="C22" s="50">
        <v>15</v>
      </c>
      <c r="D22" s="30">
        <v>226</v>
      </c>
      <c r="E22" s="30">
        <v>48</v>
      </c>
      <c r="F22" s="50">
        <v>119</v>
      </c>
      <c r="G22" s="50">
        <v>22</v>
      </c>
      <c r="H22" s="50">
        <v>18</v>
      </c>
      <c r="I22" s="48">
        <v>4</v>
      </c>
      <c r="J22" s="49">
        <v>1.375</v>
      </c>
      <c r="K22" s="30" t="str">
        <f>IF(OR(Data!B$3="A",Data!B$3="LH"),IF(I22=Data!B$4,IF(J22=Data!B$6,C22*Data!B$11,""),""),"")</f>
        <v/>
      </c>
      <c r="L22" s="30" t="str">
        <f>IF(Data!B$12&gt;0.1,IF(OR(Data!B$3="A",Data!B$3="LH"),IF($I22=Data!B$4,IF($J22=Data!B$6,D22+E22*Data!B$12,""),""),""),"")</f>
        <v/>
      </c>
      <c r="M22" s="30" t="str">
        <f>IF(Data!B$17="Y",IF(OR(Data!B$3="A",Data!B$3="LH"),IF($I22=Data!B$4,IF($J22=Data!B$6,F22+G22*Data!B$8,""),""),""),"")</f>
        <v/>
      </c>
      <c r="N22" s="30" t="str">
        <f>IF(OR(Data!$B$3="A",Data!$B$3="LH"),IF($I22=Data!$B$4,IF($J22=Data!$B$6,H22*Data!$B$27,""),""),"")</f>
        <v/>
      </c>
      <c r="P22" s="47">
        <f t="shared" si="5"/>
        <v>18</v>
      </c>
      <c r="Q22" s="47">
        <f t="shared" si="0"/>
        <v>272</v>
      </c>
      <c r="R22" s="47">
        <f t="shared" si="1"/>
        <v>58</v>
      </c>
      <c r="S22" s="47">
        <f t="shared" si="2"/>
        <v>143</v>
      </c>
      <c r="T22" s="47">
        <f t="shared" si="3"/>
        <v>27</v>
      </c>
      <c r="U22" s="47">
        <f t="shared" si="4"/>
        <v>22</v>
      </c>
    </row>
    <row r="23" spans="1:21" ht="13">
      <c r="A23" s="48">
        <v>4</v>
      </c>
      <c r="B23" s="49">
        <v>1.75</v>
      </c>
      <c r="C23" s="50">
        <v>16</v>
      </c>
      <c r="D23" s="30">
        <v>226</v>
      </c>
      <c r="E23" s="30">
        <v>48</v>
      </c>
      <c r="F23" s="50">
        <v>242</v>
      </c>
      <c r="G23" s="50">
        <v>24</v>
      </c>
      <c r="H23" s="50">
        <v>22</v>
      </c>
      <c r="I23" s="48">
        <v>4</v>
      </c>
      <c r="J23" s="49">
        <v>1.75</v>
      </c>
      <c r="K23" s="30" t="str">
        <f>IF(OR(Data!B$3="A",Data!B$3="LH"),IF(I23=Data!B$4,IF(J23=Data!B$6,C23*Data!B$11,""),""),"")</f>
        <v/>
      </c>
      <c r="L23" s="30" t="str">
        <f>IF(Data!B$12&gt;0.1,IF(OR(Data!B$3="A",Data!B$3="LH"),IF($I23=Data!B$4,IF($J23=Data!B$6,D23+E23*Data!B$12,""),""),""),"")</f>
        <v/>
      </c>
      <c r="M23" s="30" t="str">
        <f>IF(Data!B$17="Y",IF(OR(Data!B$3="A",Data!B$3="LH"),IF($I23=Data!B$4,IF($J23=Data!B$6,F23+G23*Data!B$8,""),""),""),"")</f>
        <v/>
      </c>
      <c r="N23" s="30" t="str">
        <f>IF(OR(Data!$B$3="A",Data!$B$3="LH"),IF($I23=Data!$B$4,IF($J23=Data!$B$6,H23*Data!$B$27,""),""),"")</f>
        <v/>
      </c>
      <c r="P23" s="47">
        <f t="shared" si="5"/>
        <v>20</v>
      </c>
      <c r="Q23" s="47">
        <f t="shared" si="0"/>
        <v>272</v>
      </c>
      <c r="R23" s="47">
        <f t="shared" si="1"/>
        <v>58</v>
      </c>
      <c r="S23" s="47">
        <f t="shared" si="2"/>
        <v>291</v>
      </c>
      <c r="T23" s="47">
        <f t="shared" si="3"/>
        <v>29</v>
      </c>
      <c r="U23" s="47">
        <f t="shared" si="4"/>
        <v>27</v>
      </c>
    </row>
    <row r="24" spans="1:21" ht="13">
      <c r="A24" s="48">
        <v>4</v>
      </c>
      <c r="B24" s="49">
        <v>2</v>
      </c>
      <c r="C24" s="50">
        <v>17</v>
      </c>
      <c r="D24" s="30">
        <v>226</v>
      </c>
      <c r="E24" s="30">
        <v>48</v>
      </c>
      <c r="F24" s="50">
        <v>344</v>
      </c>
      <c r="G24" s="50">
        <v>35</v>
      </c>
      <c r="H24" s="50">
        <v>24</v>
      </c>
      <c r="I24" s="48">
        <v>4</v>
      </c>
      <c r="J24" s="49">
        <v>2</v>
      </c>
      <c r="K24" s="30" t="str">
        <f>IF(OR(Data!B$3="A",Data!B$3="LH"),IF(I24=Data!B$4,IF(J24=Data!B$6,C24*Data!B$11,""),""),"")</f>
        <v/>
      </c>
      <c r="L24" s="30" t="str">
        <f>IF(Data!B$12&gt;0.1,IF(OR(Data!B$3="A",Data!B$3="LH"),IF($I24=Data!B$4,IF($J24=Data!B$6,D24+E24*Data!B$12,""),""),""),"")</f>
        <v/>
      </c>
      <c r="M24" s="30" t="str">
        <f>IF(Data!B$17="Y",IF(OR(Data!B$3="A",Data!B$3="LH"),IF($I24=Data!B$4,IF($J24=Data!B$6,F24+G24*Data!B$8,""),""),""),"")</f>
        <v/>
      </c>
      <c r="N24" s="30" t="str">
        <f>IF(OR(Data!$B$3="A",Data!$B$3="LH"),IF($I24=Data!$B$4,IF($J24=Data!$B$6,H24*Data!$B$27,""),""),"")</f>
        <v/>
      </c>
      <c r="P24" s="47">
        <f t="shared" si="5"/>
        <v>21</v>
      </c>
      <c r="Q24" s="47">
        <f t="shared" si="0"/>
        <v>272</v>
      </c>
      <c r="R24" s="47">
        <f t="shared" si="1"/>
        <v>58</v>
      </c>
      <c r="S24" s="47">
        <f t="shared" si="2"/>
        <v>413</v>
      </c>
      <c r="T24" s="47">
        <f t="shared" si="3"/>
        <v>42</v>
      </c>
      <c r="U24" s="47">
        <f t="shared" si="4"/>
        <v>29</v>
      </c>
    </row>
    <row r="25" spans="1:21" ht="13">
      <c r="A25" s="48">
        <v>5</v>
      </c>
      <c r="B25" s="49">
        <v>1</v>
      </c>
      <c r="C25" s="50">
        <v>12</v>
      </c>
      <c r="D25" s="30">
        <v>285</v>
      </c>
      <c r="E25" s="30">
        <v>62</v>
      </c>
      <c r="F25" s="50">
        <v>60</v>
      </c>
      <c r="G25" s="50">
        <v>17</v>
      </c>
      <c r="H25" s="50">
        <v>17</v>
      </c>
      <c r="I25" s="48">
        <v>5</v>
      </c>
      <c r="J25" s="49">
        <v>1</v>
      </c>
      <c r="K25" s="30" t="str">
        <f>IF(OR(Data!B$3="A",Data!B$3="LH"),IF(I25=Data!B$4,IF(J25=Data!B$6,C25*Data!B$11,""),""),"")</f>
        <v/>
      </c>
      <c r="L25" s="30" t="str">
        <f>IF(Data!B$12&gt;0.1,IF(OR(Data!B$3="A",Data!B$3="LH"),IF($I25=Data!B$4,IF($J25=Data!B$6,D25+E25*Data!B$12,""),""),""),"")</f>
        <v/>
      </c>
      <c r="M25" s="30" t="str">
        <f>IF(Data!B$17="Y",IF(OR(Data!B$3="A",Data!B$3="LH"),IF($I25=Data!B$4,IF($J25=Data!B$6,F25+G25*Data!B$8,""),""),""),"")</f>
        <v/>
      </c>
      <c r="N25" s="30" t="str">
        <f>IF(OR(Data!$B$3="A",Data!$B$3="LH"),IF($I25=Data!$B$4,IF($J25=Data!$B$6,H25*Data!$B$27,""),""),"")</f>
        <v/>
      </c>
      <c r="P25" s="47">
        <f t="shared" si="5"/>
        <v>15</v>
      </c>
      <c r="Q25" s="47">
        <f t="shared" si="0"/>
        <v>342</v>
      </c>
      <c r="R25" s="47">
        <f t="shared" si="1"/>
        <v>75</v>
      </c>
      <c r="S25" s="47">
        <f t="shared" si="2"/>
        <v>72</v>
      </c>
      <c r="T25" s="47">
        <f t="shared" si="3"/>
        <v>21</v>
      </c>
      <c r="U25" s="47">
        <f t="shared" si="4"/>
        <v>21</v>
      </c>
    </row>
    <row r="26" spans="1:21" ht="13">
      <c r="A26" s="48">
        <v>5</v>
      </c>
      <c r="B26" s="49">
        <v>1.375</v>
      </c>
      <c r="C26" s="50">
        <v>15</v>
      </c>
      <c r="D26" s="30">
        <v>285</v>
      </c>
      <c r="E26" s="30">
        <v>62</v>
      </c>
      <c r="F26" s="50">
        <v>119</v>
      </c>
      <c r="G26" s="50">
        <v>22</v>
      </c>
      <c r="H26" s="50">
        <v>18</v>
      </c>
      <c r="I26" s="48">
        <v>5</v>
      </c>
      <c r="J26" s="49">
        <v>1.375</v>
      </c>
      <c r="K26" s="30" t="str">
        <f>IF(OR(Data!B$3="A",Data!B$3="LH"),IF(I26=Data!B$4,IF(J26=Data!B$6,C26*Data!B$11,""),""),"")</f>
        <v/>
      </c>
      <c r="L26" s="30" t="str">
        <f>IF(Data!B$12&gt;0.1,IF(OR(Data!B$3="A",Data!B$3="LH"),IF($I26=Data!B$4,IF($J26=Data!B$6,D26+E26*Data!B$12,""),""),""),"")</f>
        <v/>
      </c>
      <c r="M26" s="30" t="str">
        <f>IF(Data!B$17="Y",IF(OR(Data!B$3="A",Data!B$3="LH"),IF($I26=Data!B$4,IF($J26=Data!B$6,F26+G26*Data!B$8,""),""),""),"")</f>
        <v/>
      </c>
      <c r="N26" s="30" t="str">
        <f>IF(OR(Data!$B$3="A",Data!$B$3="LH"),IF($I26=Data!$B$4,IF($J26=Data!$B$6,H26*Data!$B$27,""),""),"")</f>
        <v/>
      </c>
      <c r="P26" s="47">
        <f t="shared" si="5"/>
        <v>18</v>
      </c>
      <c r="Q26" s="47">
        <f t="shared" si="0"/>
        <v>342</v>
      </c>
      <c r="R26" s="47">
        <f t="shared" si="1"/>
        <v>75</v>
      </c>
      <c r="S26" s="47">
        <f t="shared" si="2"/>
        <v>143</v>
      </c>
      <c r="T26" s="47">
        <f t="shared" si="3"/>
        <v>27</v>
      </c>
      <c r="U26" s="47">
        <f t="shared" si="4"/>
        <v>22</v>
      </c>
    </row>
    <row r="27" spans="1:21" ht="13">
      <c r="A27" s="48">
        <v>5</v>
      </c>
      <c r="B27" s="49">
        <v>1.75</v>
      </c>
      <c r="C27" s="50">
        <v>16</v>
      </c>
      <c r="D27" s="30">
        <v>285</v>
      </c>
      <c r="E27" s="30">
        <v>62</v>
      </c>
      <c r="F27" s="50">
        <v>242</v>
      </c>
      <c r="G27" s="50">
        <v>24</v>
      </c>
      <c r="H27" s="50">
        <v>22</v>
      </c>
      <c r="I27" s="48">
        <v>5</v>
      </c>
      <c r="J27" s="49">
        <v>1.75</v>
      </c>
      <c r="K27" s="30" t="str">
        <f>IF(OR(Data!B$3="A",Data!B$3="LH"),IF(I27=Data!B$4,IF(J27=Data!B$6,C27*Data!B$11,""),""),"")</f>
        <v/>
      </c>
      <c r="L27" s="30" t="str">
        <f>IF(Data!B$12&gt;0.1,IF(OR(Data!B$3="A",Data!B$3="LH"),IF($I27=Data!B$4,IF($J27=Data!B$6,D27+E27*Data!B$12,""),""),""),"")</f>
        <v/>
      </c>
      <c r="M27" s="30" t="str">
        <f>IF(Data!B$17="Y",IF(OR(Data!B$3="A",Data!B$3="LH"),IF($I27=Data!B$4,IF($J27=Data!B$6,F27+G27*Data!B$8,""),""),""),"")</f>
        <v/>
      </c>
      <c r="N27" s="30" t="str">
        <f>IF(OR(Data!$B$3="A",Data!$B$3="LH"),IF($I27=Data!$B$4,IF($J27=Data!$B$6,H27*Data!$B$27,""),""),"")</f>
        <v/>
      </c>
      <c r="P27" s="47">
        <f t="shared" si="5"/>
        <v>20</v>
      </c>
      <c r="Q27" s="47">
        <f t="shared" si="0"/>
        <v>342</v>
      </c>
      <c r="R27" s="47">
        <f t="shared" si="1"/>
        <v>75</v>
      </c>
      <c r="S27" s="47">
        <f t="shared" si="2"/>
        <v>291</v>
      </c>
      <c r="T27" s="47">
        <f t="shared" si="3"/>
        <v>29</v>
      </c>
      <c r="U27" s="47">
        <f t="shared" si="4"/>
        <v>27</v>
      </c>
    </row>
    <row r="28" spans="1:21" ht="13">
      <c r="A28" s="48">
        <v>5</v>
      </c>
      <c r="B28" s="49">
        <v>2</v>
      </c>
      <c r="C28" s="50">
        <v>17</v>
      </c>
      <c r="D28" s="30">
        <v>285</v>
      </c>
      <c r="E28" s="30">
        <v>62</v>
      </c>
      <c r="F28" s="50">
        <v>344</v>
      </c>
      <c r="G28" s="50">
        <v>35</v>
      </c>
      <c r="H28" s="50">
        <v>24</v>
      </c>
      <c r="I28" s="48">
        <v>5</v>
      </c>
      <c r="J28" s="49">
        <v>2</v>
      </c>
      <c r="K28" s="30" t="str">
        <f>IF(OR(Data!B$3="A",Data!B$3="LH"),IF(I28=Data!B$4,IF(J28=Data!B$6,C28*Data!B$11,""),""),"")</f>
        <v/>
      </c>
      <c r="L28" s="30" t="str">
        <f>IF(Data!B$12&gt;0.1,IF(OR(Data!B$3="A",Data!B$3="LH"),IF($I28=Data!B$4,IF($J28=Data!B$6,D28+E28*Data!B$12,""),""),""),"")</f>
        <v/>
      </c>
      <c r="M28" s="30" t="str">
        <f>IF(Data!B$17="Y",IF(OR(Data!B$3="A",Data!B$3="LH"),IF($I28=Data!B$4,IF($J28=Data!B$6,F28+G28*Data!B$8,""),""),""),"")</f>
        <v/>
      </c>
      <c r="N28" s="30" t="str">
        <f>IF(OR(Data!$B$3="A",Data!$B$3="LH"),IF($I28=Data!$B$4,IF($J28=Data!$B$6,H28*Data!$B$27,""),""),"")</f>
        <v/>
      </c>
      <c r="P28" s="47">
        <f t="shared" si="5"/>
        <v>21</v>
      </c>
      <c r="Q28" s="47">
        <f t="shared" si="0"/>
        <v>342</v>
      </c>
      <c r="R28" s="47">
        <f t="shared" si="1"/>
        <v>75</v>
      </c>
      <c r="S28" s="47">
        <f t="shared" si="2"/>
        <v>413</v>
      </c>
      <c r="T28" s="47">
        <f t="shared" si="3"/>
        <v>42</v>
      </c>
      <c r="U28" s="47">
        <f t="shared" si="4"/>
        <v>29</v>
      </c>
    </row>
    <row r="29" spans="1:21" ht="13">
      <c r="A29" s="48">
        <v>6</v>
      </c>
      <c r="B29" s="49">
        <v>1.375</v>
      </c>
      <c r="C29" s="50">
        <v>15</v>
      </c>
      <c r="D29" s="30">
        <v>378</v>
      </c>
      <c r="E29" s="30">
        <v>76</v>
      </c>
      <c r="F29" s="50">
        <v>119</v>
      </c>
      <c r="G29" s="50">
        <v>22</v>
      </c>
      <c r="H29" s="50">
        <v>18</v>
      </c>
      <c r="I29" s="48">
        <v>6</v>
      </c>
      <c r="J29" s="49">
        <v>1.375</v>
      </c>
      <c r="K29" s="30" t="str">
        <f>IF(OR(Data!B$3="A",Data!B$3="LH"),IF(I29=Data!B$4,IF(J29=Data!B$6,C29*Data!B$11,""),""),"")</f>
        <v/>
      </c>
      <c r="L29" s="30" t="str">
        <f>IF(Data!B$12&gt;0.1,IF(OR(Data!B$3="A",Data!B$3="LH"),IF($I29=Data!B$4,IF($J29=Data!B$6,D29+E29*Data!B$12,""),""),""),"")</f>
        <v/>
      </c>
      <c r="M29" s="30" t="str">
        <f>IF(Data!B$17="Y",IF(OR(Data!B$3="A",Data!B$3="LH"),IF($I29=Data!B$4,IF($J29=Data!B$6,F29+G29*Data!B$8,""),""),""),"")</f>
        <v/>
      </c>
      <c r="N29" s="30" t="str">
        <f>IF(OR(Data!$B$3="A",Data!$B$3="LH"),IF($I29=Data!$B$4,IF($J29=Data!$B$6,H29*Data!$B$27,""),""),"")</f>
        <v/>
      </c>
      <c r="P29" s="47">
        <f t="shared" si="5"/>
        <v>18</v>
      </c>
      <c r="Q29" s="47">
        <f t="shared" si="0"/>
        <v>454</v>
      </c>
      <c r="R29" s="47">
        <f t="shared" si="1"/>
        <v>92</v>
      </c>
      <c r="S29" s="47">
        <f t="shared" si="2"/>
        <v>143</v>
      </c>
      <c r="T29" s="47">
        <f t="shared" si="3"/>
        <v>27</v>
      </c>
      <c r="U29" s="47">
        <f t="shared" si="4"/>
        <v>22</v>
      </c>
    </row>
    <row r="30" spans="1:21" ht="13">
      <c r="A30" s="48">
        <v>6</v>
      </c>
      <c r="B30" s="49">
        <v>1.75</v>
      </c>
      <c r="C30" s="50">
        <v>16</v>
      </c>
      <c r="D30" s="30">
        <v>378</v>
      </c>
      <c r="E30" s="30">
        <v>76</v>
      </c>
      <c r="F30" s="50">
        <v>242</v>
      </c>
      <c r="G30" s="50">
        <v>24</v>
      </c>
      <c r="H30" s="50">
        <v>22</v>
      </c>
      <c r="I30" s="48">
        <v>6</v>
      </c>
      <c r="J30" s="49">
        <v>1.75</v>
      </c>
      <c r="K30" s="30" t="str">
        <f>IF(OR(Data!B$3="A",Data!B$3="LH"),IF(I30=Data!B$4,IF(J30=Data!B$6,C30*Data!B$11,""),""),"")</f>
        <v/>
      </c>
      <c r="L30" s="30" t="str">
        <f>IF(Data!B$12&gt;0.1,IF(OR(Data!B$3="A",Data!B$3="LH"),IF($I30=Data!B$4,IF($J30=Data!B$6,D30+E30*Data!B$12,""),""),""),"")</f>
        <v/>
      </c>
      <c r="M30" s="30" t="str">
        <f>IF(Data!B$17="Y",IF(OR(Data!B$3="A",Data!B$3="LH"),IF($I30=Data!B$4,IF($J30=Data!B$6,F30+G30*Data!B$8,""),""),""),"")</f>
        <v/>
      </c>
      <c r="N30" s="30" t="str">
        <f>IF(OR(Data!$B$3="A",Data!$B$3="LH"),IF($I30=Data!$B$4,IF($J30=Data!$B$6,H30*Data!$B$27,""),""),"")</f>
        <v/>
      </c>
      <c r="P30" s="47">
        <f t="shared" si="5"/>
        <v>20</v>
      </c>
      <c r="Q30" s="47">
        <f t="shared" si="0"/>
        <v>454</v>
      </c>
      <c r="R30" s="47">
        <f t="shared" si="1"/>
        <v>92</v>
      </c>
      <c r="S30" s="47">
        <f t="shared" si="2"/>
        <v>291</v>
      </c>
      <c r="T30" s="47">
        <f t="shared" si="3"/>
        <v>29</v>
      </c>
      <c r="U30" s="47">
        <f t="shared" si="4"/>
        <v>27</v>
      </c>
    </row>
    <row r="31" spans="1:21" ht="13">
      <c r="A31" s="48">
        <v>6</v>
      </c>
      <c r="B31" s="49">
        <v>2</v>
      </c>
      <c r="C31" s="50">
        <v>17</v>
      </c>
      <c r="D31" s="30">
        <v>378</v>
      </c>
      <c r="E31" s="30">
        <v>76</v>
      </c>
      <c r="F31" s="50">
        <v>344</v>
      </c>
      <c r="G31" s="50">
        <v>35</v>
      </c>
      <c r="H31" s="50">
        <v>24</v>
      </c>
      <c r="I31" s="48">
        <v>6</v>
      </c>
      <c r="J31" s="49">
        <v>2</v>
      </c>
      <c r="K31" s="30" t="str">
        <f>IF(OR(Data!B$3="A",Data!B$3="LH"),IF(I31=Data!B$4,IF(J31=Data!B$6,C31*Data!B$11,""),""),"")</f>
        <v/>
      </c>
      <c r="L31" s="30" t="str">
        <f>IF(Data!B$12&gt;0.1,IF(OR(Data!B$3="A",Data!B$3="LH"),IF($I31=Data!B$4,IF($J31=Data!B$6,D31+E31*Data!B$12,""),""),""),"")</f>
        <v/>
      </c>
      <c r="M31" s="30" t="str">
        <f>IF(Data!B$17="Y",IF(OR(Data!B$3="A",Data!B$3="LH"),IF($I31=Data!B$4,IF($J31=Data!B$6,F31+G31*Data!B$8,""),""),""),"")</f>
        <v/>
      </c>
      <c r="N31" s="30" t="str">
        <f>IF(OR(Data!$B$3="A",Data!$B$3="LH"),IF($I31=Data!$B$4,IF($J31=Data!$B$6,H31*Data!$B$27,""),""),"")</f>
        <v/>
      </c>
      <c r="P31" s="47">
        <f t="shared" si="5"/>
        <v>21</v>
      </c>
      <c r="Q31" s="47">
        <f t="shared" si="0"/>
        <v>454</v>
      </c>
      <c r="R31" s="47">
        <f t="shared" si="1"/>
        <v>92</v>
      </c>
      <c r="S31" s="47">
        <f t="shared" si="2"/>
        <v>413</v>
      </c>
      <c r="T31" s="47">
        <f t="shared" si="3"/>
        <v>42</v>
      </c>
      <c r="U31" s="47">
        <f t="shared" si="4"/>
        <v>29</v>
      </c>
    </row>
    <row r="32" spans="1:21" ht="13">
      <c r="A32" s="48">
        <v>6</v>
      </c>
      <c r="B32" s="49">
        <v>2.5</v>
      </c>
      <c r="C32" s="50">
        <v>20</v>
      </c>
      <c r="D32" s="30">
        <v>378</v>
      </c>
      <c r="E32" s="30">
        <v>76</v>
      </c>
      <c r="F32" s="50">
        <v>656</v>
      </c>
      <c r="G32" s="50">
        <v>48</v>
      </c>
      <c r="H32" s="50">
        <v>33</v>
      </c>
      <c r="I32" s="48">
        <v>6</v>
      </c>
      <c r="J32" s="49">
        <v>2.5</v>
      </c>
      <c r="K32" s="30" t="str">
        <f>IF(OR(Data!B$3="A",Data!B$3="LH"),IF(I32=Data!B$4,IF(J32=Data!B$6,C32*Data!B$11,""),""),"")</f>
        <v/>
      </c>
      <c r="L32" s="30" t="str">
        <f>IF(Data!B$12&gt;0.1,IF(OR(Data!B$3="A",Data!B$3="LH"),IF($I32=Data!B$4,IF($J32=Data!B$6,D32+E32*Data!B$12,""),""),""),"")</f>
        <v/>
      </c>
      <c r="M32" s="30" t="str">
        <f>IF(Data!B$17="Y",IF(OR(Data!B$3="A",Data!B$3="LH"),IF($I32=Data!B$4,IF($J32=Data!B$6,F32+G32*Data!B$8,""),""),""),"")</f>
        <v/>
      </c>
      <c r="N32" s="30" t="str">
        <f>IF(OR(Data!$B$3="A",Data!$B$3="LH"),IF($I32=Data!$B$4,IF($J32=Data!$B$6,H32*Data!$B$27,""),""),"")</f>
        <v/>
      </c>
      <c r="P32" s="47">
        <f t="shared" si="5"/>
        <v>24</v>
      </c>
      <c r="Q32" s="47">
        <f t="shared" si="0"/>
        <v>454</v>
      </c>
      <c r="R32" s="47">
        <f t="shared" si="1"/>
        <v>92</v>
      </c>
      <c r="S32" s="47">
        <f t="shared" si="2"/>
        <v>788</v>
      </c>
      <c r="T32" s="47">
        <f t="shared" si="3"/>
        <v>58</v>
      </c>
      <c r="U32" s="47">
        <f t="shared" si="4"/>
        <v>40</v>
      </c>
    </row>
    <row r="33" spans="1:21" ht="13">
      <c r="A33" s="48">
        <v>7</v>
      </c>
      <c r="B33" s="49">
        <v>1.375</v>
      </c>
      <c r="C33" s="50">
        <v>15</v>
      </c>
      <c r="D33" s="30">
        <v>449</v>
      </c>
      <c r="E33" s="30">
        <v>88</v>
      </c>
      <c r="F33" s="50">
        <v>119</v>
      </c>
      <c r="G33" s="50">
        <v>22</v>
      </c>
      <c r="H33" s="50">
        <v>18</v>
      </c>
      <c r="I33" s="48">
        <v>7</v>
      </c>
      <c r="J33" s="49">
        <v>1.375</v>
      </c>
      <c r="K33" s="30" t="str">
        <f>IF(OR(Data!B$3="A",Data!B$3="LH"),IF(I33=Data!B$4,IF(J33=Data!B$6,C33*Data!B$11,""),""),"")</f>
        <v/>
      </c>
      <c r="L33" s="30" t="str">
        <f>IF(Data!B$12&gt;0.1,IF(OR(Data!B$3="A",Data!B$3="LH"),IF($I33=Data!B$4,IF($J33=Data!B$6,D33+E33*Data!B$12,""),""),""),"")</f>
        <v/>
      </c>
      <c r="M33" s="30" t="str">
        <f>IF(Data!B$17="Y",IF(OR(Data!B$3="A",Data!B$3="LH"),IF($I33=Data!B$4,IF($J33=Data!B$6,F33+G33*Data!B$8,""),""),""),"")</f>
        <v/>
      </c>
      <c r="N33" s="30" t="str">
        <f>IF(OR(Data!$B$3="A",Data!$B$3="LH"),IF($I33=Data!$B$4,IF($J33=Data!$B$6,H33*Data!$B$27,""),""),"")</f>
        <v/>
      </c>
      <c r="P33" s="47">
        <f t="shared" si="5"/>
        <v>18</v>
      </c>
      <c r="Q33" s="47">
        <f t="shared" si="0"/>
        <v>539</v>
      </c>
      <c r="R33" s="47">
        <f t="shared" si="1"/>
        <v>106</v>
      </c>
      <c r="S33" s="47">
        <f t="shared" si="2"/>
        <v>143</v>
      </c>
      <c r="T33" s="47">
        <f t="shared" si="3"/>
        <v>27</v>
      </c>
      <c r="U33" s="47">
        <f t="shared" si="4"/>
        <v>22</v>
      </c>
    </row>
    <row r="34" spans="1:21" ht="13">
      <c r="A34" s="48">
        <v>7</v>
      </c>
      <c r="B34" s="49">
        <v>1.75</v>
      </c>
      <c r="C34" s="50">
        <v>16</v>
      </c>
      <c r="D34" s="30">
        <v>449</v>
      </c>
      <c r="E34" s="30">
        <v>88</v>
      </c>
      <c r="F34" s="50">
        <v>242</v>
      </c>
      <c r="G34" s="50">
        <v>24</v>
      </c>
      <c r="H34" s="50">
        <v>22</v>
      </c>
      <c r="I34" s="48">
        <v>7</v>
      </c>
      <c r="J34" s="49">
        <v>1.75</v>
      </c>
      <c r="K34" s="30" t="str">
        <f>IF(OR(Data!B$3="A",Data!B$3="LH"),IF(I34=Data!B$4,IF(J34=Data!B$6,C34*Data!B$11,""),""),"")</f>
        <v/>
      </c>
      <c r="L34" s="30" t="str">
        <f>IF(Data!B$12&gt;0.1,IF(OR(Data!B$3="A",Data!B$3="LH"),IF($I34=Data!B$4,IF($J34=Data!B$6,D34+E34*Data!B$12,""),""),""),"")</f>
        <v/>
      </c>
      <c r="M34" s="30" t="str">
        <f>IF(Data!B$17="Y",IF(OR(Data!B$3="A",Data!B$3="LH"),IF($I34=Data!B$4,IF($J34=Data!B$6,F34+G34*Data!B$8,""),""),""),"")</f>
        <v/>
      </c>
      <c r="N34" s="30" t="str">
        <f>IF(OR(Data!$B$3="A",Data!$B$3="LH"),IF($I34=Data!$B$4,IF($J34=Data!$B$6,H34*Data!$B$27,""),""),"")</f>
        <v/>
      </c>
      <c r="P34" s="47">
        <f t="shared" si="5"/>
        <v>20</v>
      </c>
      <c r="Q34" s="47">
        <f t="shared" si="0"/>
        <v>539</v>
      </c>
      <c r="R34" s="47">
        <f t="shared" si="1"/>
        <v>106</v>
      </c>
      <c r="S34" s="47">
        <f t="shared" si="2"/>
        <v>291</v>
      </c>
      <c r="T34" s="47">
        <f t="shared" si="3"/>
        <v>29</v>
      </c>
      <c r="U34" s="47">
        <f t="shared" si="4"/>
        <v>27</v>
      </c>
    </row>
    <row r="35" spans="1:21" ht="13">
      <c r="A35" s="48">
        <v>7</v>
      </c>
      <c r="B35" s="49">
        <v>2</v>
      </c>
      <c r="C35" s="50">
        <v>17</v>
      </c>
      <c r="D35" s="30">
        <v>449</v>
      </c>
      <c r="E35" s="30">
        <v>88</v>
      </c>
      <c r="F35" s="50">
        <v>344</v>
      </c>
      <c r="G35" s="50">
        <v>35</v>
      </c>
      <c r="H35" s="50">
        <v>24</v>
      </c>
      <c r="I35" s="48">
        <v>7</v>
      </c>
      <c r="J35" s="49">
        <v>2</v>
      </c>
      <c r="K35" s="30" t="str">
        <f>IF(OR(Data!B$3="A",Data!B$3="LH"),IF(I35=Data!B$4,IF(J35=Data!B$6,C35*Data!B$11,""),""),"")</f>
        <v/>
      </c>
      <c r="L35" s="30" t="str">
        <f>IF(Data!B$12&gt;0.1,IF(OR(Data!B$3="A",Data!B$3="LH"),IF($I35=Data!B$4,IF($J35=Data!B$6,D35+E35*Data!B$12,""),""),""),"")</f>
        <v/>
      </c>
      <c r="M35" s="30" t="str">
        <f>IF(Data!B$17="Y",IF(OR(Data!B$3="A",Data!B$3="LH"),IF($I35=Data!B$4,IF($J35=Data!B$6,F35+G35*Data!B$8,""),""),""),"")</f>
        <v/>
      </c>
      <c r="N35" s="30" t="str">
        <f>IF(OR(Data!$B$3="A",Data!$B$3="LH"),IF($I35=Data!$B$4,IF($J35=Data!$B$6,H35*Data!$B$27,""),""),"")</f>
        <v/>
      </c>
      <c r="P35" s="47">
        <f t="shared" si="5"/>
        <v>21</v>
      </c>
      <c r="Q35" s="47">
        <f t="shared" si="0"/>
        <v>539</v>
      </c>
      <c r="R35" s="47">
        <f t="shared" si="1"/>
        <v>106</v>
      </c>
      <c r="S35" s="47">
        <f t="shared" si="2"/>
        <v>413</v>
      </c>
      <c r="T35" s="47">
        <f t="shared" si="3"/>
        <v>42</v>
      </c>
      <c r="U35" s="47">
        <f t="shared" si="4"/>
        <v>29</v>
      </c>
    </row>
    <row r="36" spans="1:21" ht="13">
      <c r="A36" s="48">
        <v>7</v>
      </c>
      <c r="B36" s="49">
        <v>2.5</v>
      </c>
      <c r="C36" s="50">
        <v>20</v>
      </c>
      <c r="D36" s="30">
        <v>449</v>
      </c>
      <c r="E36" s="30">
        <v>88</v>
      </c>
      <c r="F36" s="50">
        <v>656</v>
      </c>
      <c r="G36" s="50">
        <v>48</v>
      </c>
      <c r="H36" s="50">
        <v>33</v>
      </c>
      <c r="I36" s="48">
        <v>7</v>
      </c>
      <c r="J36" s="49">
        <v>2.5</v>
      </c>
      <c r="K36" s="30" t="str">
        <f>IF(OR(Data!B$3="A",Data!B$3="LH"),IF(I36=Data!B$4,IF(J36=Data!B$6,C36*Data!B$11,""),""),"")</f>
        <v/>
      </c>
      <c r="L36" s="30" t="str">
        <f>IF(Data!B$12&gt;0.1,IF(OR(Data!B$3="A",Data!B$3="LH"),IF($I36=Data!B$4,IF($J36=Data!B$6,D36+E36*Data!B$12,""),""),""),"")</f>
        <v/>
      </c>
      <c r="M36" s="30" t="str">
        <f>IF(Data!B$17="Y",IF(OR(Data!B$3="A",Data!B$3="LH"),IF($I36=Data!B$4,IF($J36=Data!B$6,F36+G36*Data!B$8,""),""),""),"")</f>
        <v/>
      </c>
      <c r="N36" s="30" t="str">
        <f>IF(OR(Data!$B$3="A",Data!$B$3="LH"),IF($I36=Data!$B$4,IF($J36=Data!$B$6,H36*Data!$B$27,""),""),"")</f>
        <v/>
      </c>
      <c r="P36" s="47">
        <f t="shared" si="5"/>
        <v>24</v>
      </c>
      <c r="Q36" s="47">
        <f t="shared" si="0"/>
        <v>539</v>
      </c>
      <c r="R36" s="47">
        <f t="shared" si="1"/>
        <v>106</v>
      </c>
      <c r="S36" s="47">
        <f t="shared" si="2"/>
        <v>788</v>
      </c>
      <c r="T36" s="47">
        <f t="shared" si="3"/>
        <v>58</v>
      </c>
      <c r="U36" s="47">
        <f t="shared" si="4"/>
        <v>40</v>
      </c>
    </row>
    <row r="37" spans="1:21" ht="13">
      <c r="A37" s="48">
        <v>8</v>
      </c>
      <c r="B37" s="49">
        <v>1.375</v>
      </c>
      <c r="C37" s="50">
        <v>15</v>
      </c>
      <c r="D37" s="30">
        <v>521</v>
      </c>
      <c r="E37" s="30">
        <v>96</v>
      </c>
      <c r="F37" s="50">
        <v>119</v>
      </c>
      <c r="G37" s="50">
        <v>22</v>
      </c>
      <c r="H37" s="50">
        <v>18</v>
      </c>
      <c r="I37" s="48">
        <v>8</v>
      </c>
      <c r="J37" s="49">
        <v>1.375</v>
      </c>
      <c r="K37" s="30" t="str">
        <f>IF(OR(Data!B$3="A",Data!B$3="LH"),IF(I37=Data!B$4,IF(J37=Data!B$6,C37*Data!B$11,""),""),"")</f>
        <v/>
      </c>
      <c r="L37" s="30" t="str">
        <f>IF(Data!B$12&gt;0.1,IF(OR(Data!B$3="A",Data!B$3="LH"),IF($I37=Data!B$4,IF($J37=Data!B$6,D37+E37*Data!B$12,""),""),""),"")</f>
        <v/>
      </c>
      <c r="M37" s="30" t="str">
        <f>IF(Data!B$17="Y",IF(OR(Data!B$3="A",Data!B$3="LH"),IF($I37=Data!B$4,IF($J37=Data!B$6,F37+G37*Data!B$8,""),""),""),"")</f>
        <v/>
      </c>
      <c r="N37" s="30" t="str">
        <f>IF(OR(Data!$B$3="A",Data!$B$3="LH"),IF($I37=Data!$B$4,IF($J37=Data!$B$6,H37*Data!$B$27,""),""),"")</f>
        <v/>
      </c>
      <c r="P37" s="47">
        <f t="shared" si="5"/>
        <v>18</v>
      </c>
      <c r="Q37" s="47">
        <f t="shared" si="0"/>
        <v>626</v>
      </c>
      <c r="R37" s="47">
        <f t="shared" si="1"/>
        <v>116</v>
      </c>
      <c r="S37" s="47">
        <f t="shared" si="2"/>
        <v>143</v>
      </c>
      <c r="T37" s="47">
        <f t="shared" si="3"/>
        <v>27</v>
      </c>
      <c r="U37" s="47">
        <f t="shared" si="4"/>
        <v>22</v>
      </c>
    </row>
    <row r="38" spans="1:21" ht="13">
      <c r="A38" s="51">
        <v>8</v>
      </c>
      <c r="B38" s="49">
        <v>1.75</v>
      </c>
      <c r="C38" s="50">
        <v>16</v>
      </c>
      <c r="D38" s="30">
        <v>521</v>
      </c>
      <c r="E38" s="30">
        <v>96</v>
      </c>
      <c r="F38" s="50">
        <v>242</v>
      </c>
      <c r="G38" s="50">
        <v>24</v>
      </c>
      <c r="H38" s="50">
        <v>22</v>
      </c>
      <c r="I38" s="51">
        <v>8</v>
      </c>
      <c r="J38" s="49">
        <v>1.75</v>
      </c>
      <c r="K38" s="30" t="str">
        <f>IF(OR(Data!B$3="A",Data!B$3="LH"),IF(I38=Data!B$4,IF(J38=Data!B$6,C38*Data!B$11,""),""),"")</f>
        <v/>
      </c>
      <c r="L38" s="30" t="str">
        <f>IF(Data!B$12&gt;0.1,IF(OR(Data!B$3="A",Data!B$3="LH"),IF($I38=Data!B$4,IF($J38=Data!B$6,D38+E38*Data!B$12,""),""),""),"")</f>
        <v/>
      </c>
      <c r="M38" s="30" t="str">
        <f>IF(Data!B$17="Y",IF(OR(Data!B$3="A",Data!B$3="LH"),IF($I38=Data!B$4,IF($J38=Data!B$6,F38+G38*Data!B$8,""),""),""),"")</f>
        <v/>
      </c>
      <c r="N38" s="30" t="str">
        <f>IF(OR(Data!$B$3="A",Data!$B$3="LH"),IF($I38=Data!$B$4,IF($J38=Data!$B$6,H38*Data!$B$27,""),""),"")</f>
        <v/>
      </c>
      <c r="P38" s="47">
        <f t="shared" si="5"/>
        <v>20</v>
      </c>
      <c r="Q38" s="47">
        <f t="shared" si="0"/>
        <v>626</v>
      </c>
      <c r="R38" s="47">
        <f t="shared" si="1"/>
        <v>116</v>
      </c>
      <c r="S38" s="47">
        <f t="shared" si="2"/>
        <v>291</v>
      </c>
      <c r="T38" s="47">
        <f t="shared" si="3"/>
        <v>29</v>
      </c>
      <c r="U38" s="47">
        <f t="shared" si="4"/>
        <v>27</v>
      </c>
    </row>
    <row r="39" spans="1:21" ht="13">
      <c r="A39" s="51">
        <v>8</v>
      </c>
      <c r="B39" s="49">
        <v>2</v>
      </c>
      <c r="C39" s="50">
        <v>17</v>
      </c>
      <c r="D39" s="30">
        <v>521</v>
      </c>
      <c r="E39" s="30">
        <v>96</v>
      </c>
      <c r="F39" s="50">
        <v>344</v>
      </c>
      <c r="G39" s="50">
        <v>35</v>
      </c>
      <c r="H39" s="50">
        <v>24</v>
      </c>
      <c r="I39" s="51">
        <v>8</v>
      </c>
      <c r="J39" s="49">
        <v>2</v>
      </c>
      <c r="K39" s="30" t="str">
        <f>IF(OR(Data!B$3="A",Data!B$3="LH"),IF(I39=Data!B$4,IF(J39=Data!B$6,C39*Data!B$11,""),""),"")</f>
        <v/>
      </c>
      <c r="L39" s="30" t="str">
        <f>IF(Data!B$12&gt;0.1,IF(OR(Data!B$3="A",Data!B$3="LH"),IF($I39=Data!B$4,IF($J39=Data!B$6,D39+E39*Data!B$12,""),""),""),"")</f>
        <v/>
      </c>
      <c r="M39" s="30" t="str">
        <f>IF(Data!B$17="Y",IF(OR(Data!B$3="A",Data!B$3="LH"),IF($I39=Data!B$4,IF($J39=Data!B$6,F39+G39*Data!B$8,""),""),""),"")</f>
        <v/>
      </c>
      <c r="N39" s="30" t="str">
        <f>IF(OR(Data!$B$3="A",Data!$B$3="LH"),IF($I39=Data!$B$4,IF($J39=Data!$B$6,H39*Data!$B$27,""),""),"")</f>
        <v/>
      </c>
      <c r="P39" s="47">
        <f t="shared" si="5"/>
        <v>21</v>
      </c>
      <c r="Q39" s="47">
        <f t="shared" si="0"/>
        <v>626</v>
      </c>
      <c r="R39" s="47">
        <f t="shared" si="1"/>
        <v>116</v>
      </c>
      <c r="S39" s="47">
        <f t="shared" si="2"/>
        <v>413</v>
      </c>
      <c r="T39" s="47">
        <f t="shared" si="3"/>
        <v>42</v>
      </c>
      <c r="U39" s="47">
        <f t="shared" si="4"/>
        <v>29</v>
      </c>
    </row>
    <row r="40" spans="1:21" ht="13">
      <c r="A40" s="51">
        <v>8</v>
      </c>
      <c r="B40" s="49">
        <v>2.5</v>
      </c>
      <c r="C40" s="50">
        <v>20</v>
      </c>
      <c r="D40" s="30">
        <v>521</v>
      </c>
      <c r="E40" s="30">
        <v>96</v>
      </c>
      <c r="F40" s="50">
        <v>656</v>
      </c>
      <c r="G40" s="50">
        <v>48</v>
      </c>
      <c r="H40" s="50">
        <v>33</v>
      </c>
      <c r="I40" s="51">
        <v>8</v>
      </c>
      <c r="J40" s="49">
        <v>2.5</v>
      </c>
      <c r="K40" s="30" t="str">
        <f>IF(OR(Data!B$3="A",Data!B$3="LH"),IF(I40=Data!B$4,IF(J40=Data!B$6,C40*Data!B$11,""),""),"")</f>
        <v/>
      </c>
      <c r="L40" s="30" t="str">
        <f>IF(Data!B$12&gt;0.1,IF(OR(Data!B$3="A",Data!B$3="LH"),IF($I40=Data!B$4,IF($J40=Data!B$6,D40+E40*Data!B$12,""),""),""),"")</f>
        <v/>
      </c>
      <c r="M40" s="30" t="str">
        <f>IF(Data!B$17="Y",IF(OR(Data!B$3="A",Data!B$3="LH"),IF($I40=Data!B$4,IF($J40=Data!B$6,F40+G40*Data!B$8,""),""),""),"")</f>
        <v/>
      </c>
      <c r="N40" s="30" t="str">
        <f>IF(OR(Data!$B$3="A",Data!$B$3="LH"),IF($I40=Data!$B$4,IF($J40=Data!$B$6,H40*Data!$B$27,""),""),"")</f>
        <v/>
      </c>
      <c r="P40" s="47">
        <f t="shared" si="5"/>
        <v>24</v>
      </c>
      <c r="Q40" s="47">
        <f t="shared" si="0"/>
        <v>626</v>
      </c>
      <c r="R40" s="47">
        <f t="shared" si="1"/>
        <v>116</v>
      </c>
      <c r="S40" s="47">
        <f t="shared" si="2"/>
        <v>788</v>
      </c>
      <c r="T40" s="47">
        <f t="shared" si="3"/>
        <v>58</v>
      </c>
      <c r="U40" s="47">
        <f t="shared" si="4"/>
        <v>40</v>
      </c>
    </row>
    <row r="41" spans="1:21" ht="13">
      <c r="A41" s="51">
        <v>10</v>
      </c>
      <c r="B41" s="49">
        <v>1.75</v>
      </c>
      <c r="C41" s="50">
        <v>16</v>
      </c>
      <c r="D41" s="30">
        <v>879</v>
      </c>
      <c r="E41" s="30">
        <v>144</v>
      </c>
      <c r="F41" s="50">
        <v>242</v>
      </c>
      <c r="G41" s="50">
        <v>24</v>
      </c>
      <c r="H41" s="50">
        <v>22</v>
      </c>
      <c r="I41" s="51">
        <v>10</v>
      </c>
      <c r="J41" s="49">
        <v>1.75</v>
      </c>
      <c r="K41" s="30" t="str">
        <f>IF(OR(Data!B$3="A",Data!B$3="LH"),IF(I41=Data!B$4,IF(J41=Data!B$6,C41*Data!B$11,""),""),"")</f>
        <v/>
      </c>
      <c r="L41" s="30" t="str">
        <f>IF(Data!B$12&gt;0.1,IF(OR(Data!B$3="A",Data!B$3="LH"),IF($I41=Data!B$4,IF($J41=Data!B$6,D41+E41*Data!B$12,""),""),""),"")</f>
        <v/>
      </c>
      <c r="M41" s="30" t="str">
        <f>IF(Data!B$17="Y",IF(OR(Data!B$3="A",Data!B$3="LH"),IF($I41=Data!B$4,IF($J41=Data!B$6,F41+G41*Data!B$8,""),""),""),"")</f>
        <v/>
      </c>
      <c r="N41" s="30" t="str">
        <f>IF(OR(Data!$B$3="A",Data!$B$3="LH"),IF($I41=Data!$B$4,IF($J41=Data!$B$6,H41*Data!$B$27,""),""),"")</f>
        <v/>
      </c>
      <c r="P41" s="47">
        <f t="shared" si="5"/>
        <v>20</v>
      </c>
      <c r="Q41" s="47">
        <f t="shared" si="0"/>
        <v>1055</v>
      </c>
      <c r="R41" s="47">
        <f t="shared" si="1"/>
        <v>173</v>
      </c>
      <c r="S41" s="47">
        <f t="shared" si="2"/>
        <v>291</v>
      </c>
      <c r="T41" s="47">
        <f t="shared" si="3"/>
        <v>29</v>
      </c>
      <c r="U41" s="47">
        <f t="shared" si="4"/>
        <v>27</v>
      </c>
    </row>
    <row r="42" spans="1:21" ht="13">
      <c r="A42" s="51">
        <v>10</v>
      </c>
      <c r="B42" s="49">
        <v>2</v>
      </c>
      <c r="C42" s="50">
        <v>17</v>
      </c>
      <c r="D42" s="30">
        <v>879</v>
      </c>
      <c r="E42" s="30">
        <v>144</v>
      </c>
      <c r="F42" s="50">
        <v>344</v>
      </c>
      <c r="G42" s="50">
        <v>35</v>
      </c>
      <c r="H42" s="50">
        <v>24</v>
      </c>
      <c r="I42" s="51">
        <v>10</v>
      </c>
      <c r="J42" s="49">
        <v>2</v>
      </c>
      <c r="K42" s="30" t="str">
        <f>IF(OR(Data!B$3="A",Data!B$3="LH"),IF(I42=Data!B$4,IF(J42=Data!B$6,C42*Data!B$11,""),""),"")</f>
        <v/>
      </c>
      <c r="L42" s="30" t="str">
        <f>IF(Data!B$12&gt;0.1,IF(OR(Data!B$3="A",Data!B$3="LH"),IF($I42=Data!B$4,IF($J42=Data!B$6,D42+E42*Data!B$12,""),""),""),"")</f>
        <v/>
      </c>
      <c r="M42" s="30" t="str">
        <f>IF(Data!B$17="Y",IF(OR(Data!B$3="A",Data!B$3="LH"),IF($I42=Data!B$4,IF($J42=Data!B$6,F42+G42*Data!B$8,""),""),""),"")</f>
        <v/>
      </c>
      <c r="N42" s="30" t="str">
        <f>IF(OR(Data!$B$3="A",Data!$B$3="LH"),IF($I42=Data!$B$4,IF($J42=Data!$B$6,H42*Data!$B$27,""),""),"")</f>
        <v/>
      </c>
      <c r="P42" s="47">
        <f t="shared" si="5"/>
        <v>21</v>
      </c>
      <c r="Q42" s="47">
        <f t="shared" si="0"/>
        <v>1055</v>
      </c>
      <c r="R42" s="47">
        <f t="shared" si="1"/>
        <v>173</v>
      </c>
      <c r="S42" s="47">
        <f t="shared" si="2"/>
        <v>413</v>
      </c>
      <c r="T42" s="47">
        <f t="shared" si="3"/>
        <v>42</v>
      </c>
      <c r="U42" s="47">
        <f t="shared" si="4"/>
        <v>29</v>
      </c>
    </row>
    <row r="43" spans="1:21" ht="13">
      <c r="A43" s="51">
        <v>10</v>
      </c>
      <c r="B43" s="49">
        <v>2.5</v>
      </c>
      <c r="C43" s="50">
        <v>20</v>
      </c>
      <c r="D43" s="30">
        <v>879</v>
      </c>
      <c r="E43" s="30">
        <v>144</v>
      </c>
      <c r="F43" s="50">
        <v>656</v>
      </c>
      <c r="G43" s="50">
        <v>48</v>
      </c>
      <c r="H43" s="50">
        <v>33</v>
      </c>
      <c r="I43" s="51">
        <v>10</v>
      </c>
      <c r="J43" s="49">
        <v>2.5</v>
      </c>
      <c r="K43" s="30" t="str">
        <f>IF(OR(Data!B$3="A",Data!B$3="LH"),IF(I43=Data!B$4,IF(J43=Data!B$6,C43*Data!B$11,""),""),"")</f>
        <v/>
      </c>
      <c r="L43" s="30" t="str">
        <f>IF(Data!B$12&gt;0.1,IF(OR(Data!B$3="A",Data!B$3="LH"),IF($I43=Data!B$4,IF($J43=Data!B$6,D43+E43*Data!B$12,""),""),""),"")</f>
        <v/>
      </c>
      <c r="M43" s="30" t="str">
        <f>IF(Data!B$17="Y",IF(OR(Data!B$3="A",Data!B$3="LH"),IF($I43=Data!B$4,IF($J43=Data!B$6,F43+G43*Data!B$8,""),""),""),"")</f>
        <v/>
      </c>
      <c r="N43" s="30" t="str">
        <f>IF(OR(Data!$B$3="A",Data!$B$3="LH"),IF($I43=Data!$B$4,IF($J43=Data!$B$6,H43*Data!$B$27,""),""),"")</f>
        <v/>
      </c>
      <c r="P43" s="47">
        <f t="shared" si="5"/>
        <v>24</v>
      </c>
      <c r="Q43" s="47">
        <f t="shared" si="0"/>
        <v>1055</v>
      </c>
      <c r="R43" s="47">
        <f t="shared" si="1"/>
        <v>173</v>
      </c>
      <c r="S43" s="47">
        <f t="shared" si="2"/>
        <v>788</v>
      </c>
      <c r="T43" s="47">
        <f t="shared" si="3"/>
        <v>58</v>
      </c>
      <c r="U43" s="47">
        <f t="shared" si="4"/>
        <v>40</v>
      </c>
    </row>
    <row r="44" spans="1:21" ht="13">
      <c r="A44" s="51">
        <v>10</v>
      </c>
      <c r="B44" s="52">
        <v>3</v>
      </c>
      <c r="C44" s="30">
        <v>34</v>
      </c>
      <c r="D44" s="30">
        <v>879</v>
      </c>
      <c r="E44" s="30">
        <v>144</v>
      </c>
      <c r="F44" s="57">
        <v>1001</v>
      </c>
      <c r="G44" s="57">
        <v>64</v>
      </c>
      <c r="H44" s="57">
        <v>62</v>
      </c>
      <c r="I44" s="51">
        <v>10</v>
      </c>
      <c r="J44" s="52">
        <v>3</v>
      </c>
      <c r="K44" s="30" t="str">
        <f>IF(OR(Data!B$3="A",Data!B$3="LH"),IF(I44=Data!B$4,IF(J44=Data!B$6,C44*Data!B$11,""),""),"")</f>
        <v/>
      </c>
      <c r="L44" s="30" t="str">
        <f>IF(Data!B$12&gt;0.1,IF(OR(Data!B$3="A",Data!B$3="LH"),IF($I44=Data!B$4,IF($J44=Data!B$6,D44+E44*Data!B$12,""),""),""),"")</f>
        <v/>
      </c>
      <c r="M44" s="30" t="str">
        <f>IF(Data!B$17="Y",IF(OR(Data!B$3="A",Data!B$3="LH"),IF($I44=Data!B$4,IF($J44=Data!B$6,F44+G44*Data!B$8,""),""),""),"")</f>
        <v/>
      </c>
      <c r="N44" s="30" t="str">
        <f>IF(OR(Data!$B$3="A",Data!$B$3="LH"),IF($I44=Data!$B$4,IF($J44=Data!$B$6,H44*Data!$B$27,""),""),"")</f>
        <v/>
      </c>
      <c r="O44" s="30"/>
      <c r="P44" s="47">
        <f t="shared" si="5"/>
        <v>41</v>
      </c>
      <c r="Q44" s="47">
        <f t="shared" si="0"/>
        <v>1055</v>
      </c>
      <c r="R44" s="47">
        <f t="shared" si="1"/>
        <v>173</v>
      </c>
      <c r="S44" s="47">
        <f t="shared" si="2"/>
        <v>1202</v>
      </c>
      <c r="T44" s="47">
        <f t="shared" si="3"/>
        <v>77</v>
      </c>
      <c r="U44" s="47">
        <f t="shared" si="4"/>
        <v>75</v>
      </c>
    </row>
    <row r="45" spans="1:21" ht="13">
      <c r="A45" s="51">
        <v>10</v>
      </c>
      <c r="B45" s="52">
        <v>3.5</v>
      </c>
      <c r="C45" s="30">
        <v>41</v>
      </c>
      <c r="D45" s="30">
        <v>879</v>
      </c>
      <c r="E45" s="30">
        <v>144</v>
      </c>
      <c r="F45" s="57">
        <v>1264</v>
      </c>
      <c r="G45" s="57">
        <v>86</v>
      </c>
      <c r="H45" s="57">
        <v>69</v>
      </c>
      <c r="I45" s="51">
        <v>10</v>
      </c>
      <c r="J45" s="52">
        <v>3.5</v>
      </c>
      <c r="K45" s="30" t="str">
        <f>IF(OR(Data!B$3="A",Data!B$3="LH"),IF(I45=Data!B$4,IF(J45=Data!B$6,C45*Data!B$11,""),""),"")</f>
        <v/>
      </c>
      <c r="L45" s="30" t="str">
        <f>IF(Data!B$12&gt;0.1,IF(OR(Data!B$3="A",Data!B$3="LH"),IF($I45=Data!B$4,IF($J45=Data!B$6,D45+E45*Data!B$12,""),""),""),"")</f>
        <v/>
      </c>
      <c r="M45" s="30" t="str">
        <f>IF(Data!B$17="Y",IF(OR(Data!B$3="A",Data!B$3="LH"),IF($I45=Data!B$4,IF($J45=Data!B$6,F45+G45*Data!B$8,""),""),""),"")</f>
        <v/>
      </c>
      <c r="N45" s="30" t="str">
        <f>IF(OR(Data!$B$3="A",Data!$B$3="LH"),IF($I45=Data!$B$4,IF($J45=Data!$B$6,H45*Data!$B$27,""),""),"")</f>
        <v/>
      </c>
      <c r="P45" s="47">
        <f t="shared" si="5"/>
        <v>50</v>
      </c>
      <c r="Q45" s="47">
        <f t="shared" si="0"/>
        <v>1055</v>
      </c>
      <c r="R45" s="47">
        <f t="shared" si="1"/>
        <v>173</v>
      </c>
      <c r="S45" s="47">
        <f t="shared" si="2"/>
        <v>1517</v>
      </c>
      <c r="T45" s="47">
        <f t="shared" si="3"/>
        <v>104</v>
      </c>
      <c r="U45" s="47">
        <f t="shared" si="4"/>
        <v>83</v>
      </c>
    </row>
    <row r="46" spans="1:21" ht="13">
      <c r="A46" s="53">
        <v>12</v>
      </c>
      <c r="B46" s="52">
        <v>2</v>
      </c>
      <c r="C46" s="30">
        <v>17</v>
      </c>
      <c r="D46" s="30">
        <v>1238</v>
      </c>
      <c r="E46" s="30">
        <v>200</v>
      </c>
      <c r="F46" s="50">
        <v>344</v>
      </c>
      <c r="G46" s="50">
        <v>35</v>
      </c>
      <c r="H46" s="50">
        <v>24</v>
      </c>
      <c r="I46" s="53">
        <v>12</v>
      </c>
      <c r="J46" s="52">
        <v>2</v>
      </c>
      <c r="K46" s="30" t="str">
        <f>IF(OR(Data!B$3="A",Data!B$3="LH"),IF(I46=Data!B$4,IF(J46=Data!B$6,C46*Data!B$11,""),""),"")</f>
        <v/>
      </c>
      <c r="L46" s="30" t="str">
        <f>IF(Data!B$12&gt;0.1,IF(OR(Data!B$3="A",Data!B$3="LH"),IF($I46=Data!B$4,IF($J46=Data!B$6,D46+E46*Data!B$12,""),""),""),"")</f>
        <v/>
      </c>
      <c r="M46" s="30" t="str">
        <f>IF(Data!B$17="Y",IF(OR(Data!B$3="A",Data!B$3="LH"),IF($I46=Data!B$4,IF($J46=Data!B$6,F46+G46*Data!B$8,""),""),""),"")</f>
        <v/>
      </c>
      <c r="N46" s="30" t="str">
        <f>IF(OR(Data!$B$3="A",Data!$B$3="LH"),IF($I46=Data!$B$4,IF($J46=Data!$B$6,H46*Data!$B$27,""),""),"")</f>
        <v/>
      </c>
      <c r="P46" s="47">
        <f t="shared" si="5"/>
        <v>21</v>
      </c>
      <c r="Q46" s="47">
        <f t="shared" si="0"/>
        <v>1486</v>
      </c>
      <c r="R46" s="47">
        <f t="shared" si="1"/>
        <v>240</v>
      </c>
      <c r="S46" s="47">
        <f t="shared" si="2"/>
        <v>413</v>
      </c>
      <c r="T46" s="47">
        <f t="shared" si="3"/>
        <v>42</v>
      </c>
      <c r="U46" s="47">
        <f t="shared" si="4"/>
        <v>29</v>
      </c>
    </row>
    <row r="47" spans="1:21" ht="13">
      <c r="A47" s="53">
        <v>12</v>
      </c>
      <c r="B47" s="52">
        <v>2.5</v>
      </c>
      <c r="C47" s="30">
        <v>20</v>
      </c>
      <c r="D47" s="30">
        <v>1238</v>
      </c>
      <c r="E47" s="30">
        <v>200</v>
      </c>
      <c r="F47" s="50">
        <v>656</v>
      </c>
      <c r="G47" s="50">
        <v>48</v>
      </c>
      <c r="H47" s="50">
        <v>33</v>
      </c>
      <c r="I47" s="53">
        <v>12</v>
      </c>
      <c r="J47" s="52">
        <v>2.5</v>
      </c>
      <c r="K47" s="30" t="str">
        <f>IF(OR(Data!B$3="A",Data!B$3="LH"),IF(I47=Data!B$4,IF(J47=Data!B$6,C47*Data!B$11,""),""),"")</f>
        <v/>
      </c>
      <c r="L47" s="30" t="str">
        <f>IF(Data!B$12&gt;0.1,IF(OR(Data!B$3="A",Data!B$3="LH"),IF($I47=Data!B$4,IF($J47=Data!B$6,D47+E47*Data!B$12,""),""),""),"")</f>
        <v/>
      </c>
      <c r="M47" s="30" t="str">
        <f>IF(Data!B$17="Y",IF(OR(Data!B$3="A",Data!B$3="LH"),IF($I47=Data!B$4,IF($J47=Data!B$6,F47+G47*Data!B$8,""),""),""),"")</f>
        <v/>
      </c>
      <c r="N47" s="30" t="str">
        <f>IF(OR(Data!$B$3="A",Data!$B$3="LH"),IF($I47=Data!$B$4,IF($J47=Data!$B$6,H47*Data!$B$27,""),""),"")</f>
        <v/>
      </c>
      <c r="P47" s="47">
        <f t="shared" si="5"/>
        <v>24</v>
      </c>
      <c r="Q47" s="47">
        <f t="shared" si="0"/>
        <v>1486</v>
      </c>
      <c r="R47" s="47">
        <f t="shared" si="1"/>
        <v>240</v>
      </c>
      <c r="S47" s="47">
        <f t="shared" si="2"/>
        <v>788</v>
      </c>
      <c r="T47" s="47">
        <f t="shared" si="3"/>
        <v>58</v>
      </c>
      <c r="U47" s="47">
        <f t="shared" si="4"/>
        <v>40</v>
      </c>
    </row>
    <row r="48" spans="1:21" ht="13">
      <c r="A48" s="53">
        <v>12</v>
      </c>
      <c r="B48" s="52">
        <v>3</v>
      </c>
      <c r="C48" s="30">
        <v>34</v>
      </c>
      <c r="D48" s="30">
        <v>1238</v>
      </c>
      <c r="E48" s="30">
        <v>200</v>
      </c>
      <c r="F48" s="57">
        <v>1001</v>
      </c>
      <c r="G48" s="57">
        <v>64</v>
      </c>
      <c r="H48" s="57">
        <v>62</v>
      </c>
      <c r="I48" s="53">
        <v>12</v>
      </c>
      <c r="J48" s="52">
        <v>3</v>
      </c>
      <c r="K48" s="30" t="str">
        <f>IF(OR(Data!B$3="A",Data!B$3="LH"),IF(I48=Data!B$4,IF(J48=Data!B$6,C48*Data!B$11,""),""),"")</f>
        <v/>
      </c>
      <c r="L48" s="30" t="str">
        <f>IF(Data!B$12&gt;0.1,IF(OR(Data!B$3="A",Data!B$3="LH"),IF($I48=Data!B$4,IF($J48=Data!B$6,D48+E48*Data!B$12,""),""),""),"")</f>
        <v/>
      </c>
      <c r="M48" s="30" t="str">
        <f>IF(Data!B$17="Y",IF(OR(Data!B$3="A",Data!B$3="LH"),IF($I48=Data!B$4,IF($J48=Data!B$6,F48+G48*Data!B$8,""),""),""),"")</f>
        <v/>
      </c>
      <c r="N48" s="30" t="str">
        <f>IF(OR(Data!$B$3="A",Data!$B$3="LH"),IF($I48=Data!$B$4,IF($J48=Data!$B$6,H48*Data!$B$27,""),""),"")</f>
        <v/>
      </c>
      <c r="P48" s="47">
        <f t="shared" si="5"/>
        <v>41</v>
      </c>
      <c r="Q48" s="47">
        <f t="shared" si="0"/>
        <v>1486</v>
      </c>
      <c r="R48" s="47">
        <f t="shared" si="1"/>
        <v>240</v>
      </c>
      <c r="S48" s="47">
        <f t="shared" si="2"/>
        <v>1202</v>
      </c>
      <c r="T48" s="47">
        <f t="shared" si="3"/>
        <v>77</v>
      </c>
      <c r="U48" s="47">
        <f t="shared" si="4"/>
        <v>75</v>
      </c>
    </row>
    <row r="49" spans="1:21" ht="13">
      <c r="A49" s="53">
        <v>12</v>
      </c>
      <c r="B49" s="52">
        <v>3.5</v>
      </c>
      <c r="C49" s="30">
        <v>41</v>
      </c>
      <c r="D49" s="30">
        <v>1238</v>
      </c>
      <c r="E49" s="30">
        <v>200</v>
      </c>
      <c r="F49" s="57">
        <v>1264</v>
      </c>
      <c r="G49" s="57">
        <v>86</v>
      </c>
      <c r="H49" s="57">
        <v>69</v>
      </c>
      <c r="I49" s="53">
        <v>12</v>
      </c>
      <c r="J49" s="52">
        <v>3.5</v>
      </c>
      <c r="K49" s="30" t="str">
        <f>IF(OR(Data!B$3="A",Data!B$3="LH"),IF(I49=Data!B$4,IF(J49=Data!B$6,C49*Data!B$11,""),""),"")</f>
        <v/>
      </c>
      <c r="L49" s="30" t="str">
        <f>IF(Data!B$12&gt;0.1,IF(OR(Data!B$3="A",Data!B$3="LH"),IF($I49=Data!B$4,IF($J49=Data!B$6,D49+E49*Data!B$12,""),""),""),"")</f>
        <v/>
      </c>
      <c r="M49" s="30" t="str">
        <f>IF(Data!B$17="Y",IF(OR(Data!B$3="A",Data!B$3="LH"),IF($I49=Data!B$4,IF($J49=Data!B$6,F49+G49*Data!B$8,""),""),""),"")</f>
        <v/>
      </c>
      <c r="N49" s="30" t="str">
        <f>IF(OR(Data!$B$3="A",Data!$B$3="LH"),IF($I49=Data!$B$4,IF($J49=Data!$B$6,H49*Data!$B$27,""),""),"")</f>
        <v/>
      </c>
      <c r="P49" s="47">
        <f t="shared" si="5"/>
        <v>50</v>
      </c>
      <c r="Q49" s="47">
        <f t="shared" si="0"/>
        <v>1486</v>
      </c>
      <c r="R49" s="47">
        <f t="shared" si="1"/>
        <v>240</v>
      </c>
      <c r="S49" s="47">
        <f t="shared" si="2"/>
        <v>1517</v>
      </c>
      <c r="T49" s="47">
        <f t="shared" si="3"/>
        <v>104</v>
      </c>
      <c r="U49" s="47">
        <f t="shared" si="4"/>
        <v>83</v>
      </c>
    </row>
    <row r="50" spans="1:21" ht="13">
      <c r="A50" s="53">
        <v>12</v>
      </c>
      <c r="B50" s="52">
        <v>4</v>
      </c>
      <c r="C50" s="30">
        <v>51</v>
      </c>
      <c r="D50" s="30">
        <v>1238</v>
      </c>
      <c r="E50" s="30">
        <v>200</v>
      </c>
      <c r="F50" s="57">
        <v>1508</v>
      </c>
      <c r="G50" s="57">
        <v>119</v>
      </c>
      <c r="H50" s="57">
        <v>89</v>
      </c>
      <c r="I50" s="53">
        <v>12</v>
      </c>
      <c r="J50" s="52">
        <v>4</v>
      </c>
      <c r="K50" s="30" t="str">
        <f>IF(OR(Data!B$3="A",Data!B$3="LH"),IF(I50=Data!B$4,IF(J50=Data!B$6,C50*Data!B$11,""),""),"")</f>
        <v/>
      </c>
      <c r="L50" s="30" t="str">
        <f>IF(Data!B$12&gt;0.1,IF(OR(Data!B$3="A",Data!B$3="LH"),IF($I50=Data!B$4,IF($J50=Data!B$6,D50+E50*Data!B$12,""),""),""),"")</f>
        <v/>
      </c>
      <c r="M50" s="30" t="str">
        <f>IF(Data!B$17="Y",IF(OR(Data!B$3="A",Data!B$3="LH"),IF($I50=Data!B$4,IF($J50=Data!B$6,F50+G50*Data!B$8,""),""),""),"")</f>
        <v/>
      </c>
      <c r="N50" s="30" t="str">
        <f>IF(OR(Data!$B$3="A",Data!$B$3="LH"),IF($I50=Data!$B$4,IF($J50=Data!$B$6,H50*Data!$B$27,""),""),"")</f>
        <v/>
      </c>
      <c r="P50" s="47">
        <f t="shared" si="5"/>
        <v>62</v>
      </c>
      <c r="Q50" s="47">
        <f t="shared" si="0"/>
        <v>1486</v>
      </c>
      <c r="R50" s="47">
        <f t="shared" si="1"/>
        <v>240</v>
      </c>
      <c r="S50" s="47">
        <f t="shared" si="2"/>
        <v>1810</v>
      </c>
      <c r="T50" s="47">
        <f t="shared" si="3"/>
        <v>143</v>
      </c>
      <c r="U50" s="47">
        <f t="shared" si="4"/>
        <v>107</v>
      </c>
    </row>
    <row r="51" spans="1:21" ht="13">
      <c r="A51" s="53">
        <v>14</v>
      </c>
      <c r="B51" s="52">
        <v>2.5</v>
      </c>
      <c r="C51" s="30">
        <v>20</v>
      </c>
      <c r="D51" s="30">
        <v>1596</v>
      </c>
      <c r="E51" s="57">
        <v>227</v>
      </c>
      <c r="F51" s="50">
        <v>656</v>
      </c>
      <c r="G51" s="50">
        <v>48</v>
      </c>
      <c r="H51" s="50">
        <v>33</v>
      </c>
      <c r="I51" s="53">
        <v>14</v>
      </c>
      <c r="J51" s="52">
        <v>2.5</v>
      </c>
      <c r="K51" s="30" t="str">
        <f>IF(OR(Data!B$3="A",Data!B$3="LH"),IF(I51=Data!B$4,IF(J51=Data!B$6,C51*Data!B$11,""),""),"")</f>
        <v/>
      </c>
      <c r="L51" s="30" t="str">
        <f>IF(Data!B$12&gt;0.1,IF(OR(Data!B$3="A",Data!B$3="LH"),IF($I51=Data!B$4,IF($J51=Data!B$6,D51+E51*Data!B$12,""),""),""),"")</f>
        <v/>
      </c>
      <c r="M51" s="30" t="str">
        <f>IF(Data!B$17="Y",IF(OR(Data!B$3="A",Data!B$3="LH"),IF($I51=Data!B$4,IF($J51=Data!B$6,F51+G51*Data!B$8,""),""),""),"")</f>
        <v/>
      </c>
      <c r="N51" s="30" t="str">
        <f>IF(OR(Data!$B$3="A",Data!$B$3="LH"),IF($I51=Data!$B$4,IF($J51=Data!$B$6,H51*Data!$B$27,""),""),"")</f>
        <v/>
      </c>
      <c r="P51" s="47">
        <f t="shared" si="5"/>
        <v>24</v>
      </c>
      <c r="Q51" s="47">
        <f t="shared" si="0"/>
        <v>1916</v>
      </c>
      <c r="R51" s="47">
        <f t="shared" si="1"/>
        <v>273</v>
      </c>
      <c r="S51" s="47">
        <f t="shared" si="2"/>
        <v>788</v>
      </c>
      <c r="T51" s="47">
        <f t="shared" si="3"/>
        <v>58</v>
      </c>
      <c r="U51" s="47">
        <f t="shared" si="4"/>
        <v>40</v>
      </c>
    </row>
    <row r="52" spans="1:21" ht="13">
      <c r="A52" s="53">
        <v>14</v>
      </c>
      <c r="B52" s="52">
        <v>3</v>
      </c>
      <c r="C52" s="30">
        <v>34</v>
      </c>
      <c r="D52" s="30">
        <v>1596</v>
      </c>
      <c r="E52" s="57">
        <v>227</v>
      </c>
      <c r="F52" s="57">
        <v>1001</v>
      </c>
      <c r="G52" s="57">
        <v>64</v>
      </c>
      <c r="H52" s="57">
        <v>62</v>
      </c>
      <c r="I52" s="53">
        <v>14</v>
      </c>
      <c r="J52" s="52">
        <v>3</v>
      </c>
      <c r="K52" s="30" t="str">
        <f>IF(OR(Data!B$3="A",Data!B$3="LH"),IF(I52=Data!B$4,IF(J52=Data!B$6,C52*Data!B$11,""),""),"")</f>
        <v/>
      </c>
      <c r="L52" s="30" t="str">
        <f>IF(Data!B$12&gt;0.1,IF(OR(Data!B$3="A",Data!B$3="LH"),IF($I52=Data!B$4,IF($J52=Data!B$6,D52+E52*Data!B$12,""),""),""),"")</f>
        <v/>
      </c>
      <c r="M52" s="30" t="str">
        <f>IF(Data!B$17="Y",IF(OR(Data!B$3="A",Data!B$3="LH"),IF($I52=Data!B$4,IF($J52=Data!B$6,F52+G52*Data!B$8,""),""),""),"")</f>
        <v/>
      </c>
      <c r="N52" s="30" t="str">
        <f>IF(OR(Data!$B$3="A",Data!$B$3="LH"),IF($I52=Data!$B$4,IF($J52=Data!$B$6,H52*Data!$B$27,""),""),"")</f>
        <v/>
      </c>
      <c r="P52" s="47">
        <f t="shared" si="5"/>
        <v>41</v>
      </c>
      <c r="Q52" s="47">
        <f t="shared" si="0"/>
        <v>1916</v>
      </c>
      <c r="R52" s="47">
        <f t="shared" si="1"/>
        <v>273</v>
      </c>
      <c r="S52" s="47">
        <f t="shared" si="2"/>
        <v>1202</v>
      </c>
      <c r="T52" s="47">
        <f t="shared" si="3"/>
        <v>77</v>
      </c>
      <c r="U52" s="47">
        <f t="shared" si="4"/>
        <v>75</v>
      </c>
    </row>
    <row r="53" spans="1:21" ht="13">
      <c r="A53" s="53">
        <v>14</v>
      </c>
      <c r="B53" s="52">
        <v>3.5</v>
      </c>
      <c r="C53" s="30">
        <v>41</v>
      </c>
      <c r="D53" s="30">
        <v>1596</v>
      </c>
      <c r="E53" s="57">
        <v>227</v>
      </c>
      <c r="F53" s="57">
        <v>1264</v>
      </c>
      <c r="G53" s="57">
        <v>86</v>
      </c>
      <c r="H53" s="57">
        <v>69</v>
      </c>
      <c r="I53" s="53">
        <v>14</v>
      </c>
      <c r="J53" s="52">
        <v>3.5</v>
      </c>
      <c r="K53" s="30" t="str">
        <f>IF(OR(Data!B$3="A",Data!B$3="LH"),IF(I53=Data!B$4,IF(J53=Data!B$6,C53*Data!B$11,""),""),"")</f>
        <v/>
      </c>
      <c r="L53" s="30" t="str">
        <f>IF(Data!B$12&gt;0.1,IF(OR(Data!B$3="A",Data!B$3="LH"),IF($I53=Data!B$4,IF($J53=Data!B$6,D53+E53*Data!B$12,""),""),""),"")</f>
        <v/>
      </c>
      <c r="M53" s="30" t="str">
        <f>IF(Data!B$17="Y",IF(OR(Data!B$3="A",Data!B$3="LH"),IF($I53=Data!B$4,IF($J53=Data!B$6,F53+G53*Data!B$8,""),""),""),"")</f>
        <v/>
      </c>
      <c r="N53" s="30" t="str">
        <f>IF(OR(Data!$B$3="A",Data!$B$3="LH"),IF($I53=Data!$B$4,IF($J53=Data!$B$6,H53*Data!$B$27,""),""),"")</f>
        <v/>
      </c>
      <c r="P53" s="47">
        <f t="shared" si="5"/>
        <v>50</v>
      </c>
      <c r="Q53" s="47">
        <f t="shared" si="0"/>
        <v>1916</v>
      </c>
      <c r="R53" s="47">
        <f t="shared" si="1"/>
        <v>273</v>
      </c>
      <c r="S53" s="47">
        <f t="shared" si="2"/>
        <v>1517</v>
      </c>
      <c r="T53" s="47">
        <f t="shared" si="3"/>
        <v>104</v>
      </c>
      <c r="U53" s="47">
        <f t="shared" si="4"/>
        <v>83</v>
      </c>
    </row>
    <row r="54" spans="1:21" ht="13">
      <c r="A54" s="53">
        <v>14</v>
      </c>
      <c r="B54" s="52">
        <v>4</v>
      </c>
      <c r="C54" s="30">
        <v>51</v>
      </c>
      <c r="D54" s="30">
        <v>1596</v>
      </c>
      <c r="E54" s="57">
        <v>227</v>
      </c>
      <c r="F54" s="57">
        <v>1508</v>
      </c>
      <c r="G54" s="57">
        <v>119</v>
      </c>
      <c r="H54" s="57">
        <v>89</v>
      </c>
      <c r="I54" s="53">
        <v>14</v>
      </c>
      <c r="J54" s="52">
        <v>4</v>
      </c>
      <c r="K54" s="30" t="str">
        <f>IF(OR(Data!B$3="A",Data!B$3="LH"),IF(I54=Data!B$4,IF(J54=Data!B$6,C54*Data!B$11,""),""),"")</f>
        <v/>
      </c>
      <c r="L54" s="30" t="str">
        <f>IF(Data!B$12&gt;0.1,IF(OR(Data!B$3="A",Data!B$3="LH"),IF($I54=Data!B$4,IF($J54=Data!B$6,D54+E54*Data!B$12,""),""),""),"")</f>
        <v/>
      </c>
      <c r="M54" s="30" t="str">
        <f>IF(Data!B$17="Y",IF(OR(Data!B$3="A",Data!B$3="LH"),IF($I54=Data!B$4,IF($J54=Data!B$6,F54+G54*Data!B$8,""),""),""),"")</f>
        <v/>
      </c>
      <c r="N54" s="30" t="str">
        <f>IF(OR(Data!$B$3="A",Data!$B$3="LH"),IF($I54=Data!$B$4,IF($J54=Data!$B$6,H54*Data!$B$27,""),""),"")</f>
        <v/>
      </c>
      <c r="P54" s="47">
        <f t="shared" si="5"/>
        <v>62</v>
      </c>
      <c r="Q54" s="47">
        <f t="shared" si="0"/>
        <v>1916</v>
      </c>
      <c r="R54" s="47">
        <f t="shared" si="1"/>
        <v>273</v>
      </c>
      <c r="S54" s="47">
        <f t="shared" si="2"/>
        <v>1810</v>
      </c>
      <c r="T54" s="47">
        <f t="shared" si="3"/>
        <v>143</v>
      </c>
      <c r="U54" s="47">
        <f t="shared" si="4"/>
        <v>107</v>
      </c>
    </row>
    <row r="55" spans="1:21">
      <c r="H55" s="58"/>
      <c r="K55" s="30">
        <f>SUM(K8:K54)</f>
        <v>0</v>
      </c>
      <c r="L55" s="30">
        <f>SUM(L8:L54)</f>
        <v>0</v>
      </c>
      <c r="M55" s="30">
        <f>SUM(M8:M54)</f>
        <v>0</v>
      </c>
      <c r="N55" s="30">
        <f>SUM(N8:N54)</f>
        <v>0</v>
      </c>
      <c r="O55" s="30">
        <f>SUM(K55:N55)</f>
        <v>0</v>
      </c>
    </row>
    <row r="56" spans="1:21">
      <c r="K56" s="30"/>
      <c r="L56" s="30"/>
      <c r="M56" s="30"/>
    </row>
    <row r="57" spans="1:21">
      <c r="K57" s="30"/>
      <c r="L57" s="30"/>
      <c r="M57" s="30"/>
    </row>
  </sheetData>
  <mergeCells count="16">
    <mergeCell ref="N4:N7"/>
    <mergeCell ref="H4:H7"/>
    <mergeCell ref="A1:H1"/>
    <mergeCell ref="A2:H2"/>
    <mergeCell ref="A4:A7"/>
    <mergeCell ref="B4:B7"/>
    <mergeCell ref="C4:C7"/>
    <mergeCell ref="D4:E6"/>
    <mergeCell ref="F4:G6"/>
    <mergeCell ref="I1:M1"/>
    <mergeCell ref="I2:M2"/>
    <mergeCell ref="K4:K7"/>
    <mergeCell ref="L4:L7"/>
    <mergeCell ref="M4:M7"/>
    <mergeCell ref="I4:I7"/>
    <mergeCell ref="J4:J7"/>
  </mergeCells>
  <phoneticPr fontId="0" type="noConversion"/>
  <printOptions horizontalCentered="1" verticalCentered="1"/>
  <pageMargins left="0.25" right="0.25" top="0.25" bottom="0.25" header="0.5" footer="0.5"/>
  <pageSetup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W162"/>
  <sheetViews>
    <sheetView workbookViewId="0">
      <selection activeCell="G18" sqref="G18"/>
    </sheetView>
  </sheetViews>
  <sheetFormatPr defaultColWidth="9.08984375" defaultRowHeight="11.5"/>
  <cols>
    <col min="1" max="1" width="6" style="30" bestFit="1" customWidth="1"/>
    <col min="2" max="2" width="7.54296875" style="45" customWidth="1"/>
    <col min="3" max="3" width="10" style="30" customWidth="1"/>
    <col min="4" max="4" width="9.81640625" style="30" customWidth="1"/>
    <col min="5" max="5" width="10" style="30" customWidth="1"/>
    <col min="6" max="6" width="9.54296875" style="30" customWidth="1"/>
    <col min="7" max="7" width="8.54296875" style="30" customWidth="1"/>
    <col min="8" max="8" width="9.54296875" style="30" customWidth="1"/>
    <col min="9" max="9" width="6.54296875" style="30" bestFit="1" customWidth="1"/>
    <col min="10" max="10" width="7.36328125" style="30" bestFit="1" customWidth="1"/>
    <col min="11" max="11" width="11.453125" style="30" customWidth="1"/>
    <col min="12" max="16384" width="9.08984375" style="47"/>
  </cols>
  <sheetData>
    <row r="1" spans="1:23">
      <c r="A1" s="592" t="s">
        <v>472</v>
      </c>
      <c r="B1" s="592"/>
      <c r="C1" s="592"/>
      <c r="D1" s="592"/>
      <c r="E1" s="592"/>
      <c r="F1" s="592"/>
      <c r="G1" s="592"/>
      <c r="H1" s="592"/>
      <c r="I1" s="47"/>
      <c r="J1" s="47"/>
      <c r="M1" s="30"/>
      <c r="N1" s="30"/>
      <c r="O1" s="30"/>
      <c r="P1" s="30"/>
      <c r="Q1" s="30"/>
      <c r="R1" s="30"/>
      <c r="S1" s="30"/>
      <c r="T1" s="30"/>
      <c r="U1" s="30"/>
    </row>
    <row r="2" spans="1:23">
      <c r="A2" s="592" t="s">
        <v>385</v>
      </c>
      <c r="B2" s="592"/>
      <c r="C2" s="592"/>
      <c r="D2" s="592"/>
      <c r="E2" s="592"/>
      <c r="F2" s="592"/>
      <c r="G2" s="592"/>
      <c r="H2" s="592"/>
      <c r="I2" s="47"/>
      <c r="J2" s="47"/>
      <c r="M2" s="30"/>
      <c r="N2" s="30"/>
      <c r="O2" s="30"/>
      <c r="P2" s="30"/>
      <c r="Q2" s="30"/>
      <c r="R2" s="30"/>
      <c r="S2" s="30"/>
      <c r="T2" s="30"/>
      <c r="U2" s="30"/>
    </row>
    <row r="3" spans="1:23">
      <c r="B3" s="30"/>
      <c r="M3" s="30"/>
      <c r="N3" s="30"/>
      <c r="O3" s="30"/>
      <c r="P3" s="30"/>
      <c r="Q3" s="30"/>
      <c r="R3" s="30"/>
      <c r="S3" s="30"/>
      <c r="T3" s="30"/>
      <c r="U3" s="30"/>
    </row>
    <row r="4" spans="1:23" ht="13.5" customHeight="1">
      <c r="A4" s="595" t="s">
        <v>440</v>
      </c>
      <c r="B4" s="595" t="s">
        <v>87</v>
      </c>
      <c r="C4" s="595" t="s">
        <v>305</v>
      </c>
      <c r="D4" s="598" t="s">
        <v>390</v>
      </c>
      <c r="E4" s="598" t="s">
        <v>449</v>
      </c>
      <c r="F4" s="595" t="s">
        <v>20268</v>
      </c>
      <c r="G4" s="595"/>
      <c r="H4" s="598" t="s">
        <v>767</v>
      </c>
      <c r="I4" s="47"/>
      <c r="J4" s="595" t="s">
        <v>440</v>
      </c>
      <c r="K4" s="595" t="s">
        <v>87</v>
      </c>
      <c r="L4" s="595" t="s">
        <v>305</v>
      </c>
      <c r="M4" s="598" t="s">
        <v>390</v>
      </c>
      <c r="N4" s="598" t="s">
        <v>449</v>
      </c>
      <c r="O4" s="598" t="s">
        <v>20269</v>
      </c>
      <c r="P4" s="598" t="s">
        <v>767</v>
      </c>
    </row>
    <row r="5" spans="1:23">
      <c r="A5" s="596"/>
      <c r="B5" s="596"/>
      <c r="C5" s="596"/>
      <c r="D5" s="599"/>
      <c r="E5" s="599"/>
      <c r="F5" s="597"/>
      <c r="G5" s="597"/>
      <c r="H5" s="599"/>
      <c r="I5" s="47"/>
      <c r="J5" s="596"/>
      <c r="K5" s="596"/>
      <c r="L5" s="596"/>
      <c r="M5" s="599"/>
      <c r="N5" s="599"/>
      <c r="O5" s="599"/>
      <c r="P5" s="599"/>
    </row>
    <row r="6" spans="1:23">
      <c r="A6" s="596"/>
      <c r="B6" s="596"/>
      <c r="C6" s="596"/>
      <c r="D6" s="599"/>
      <c r="E6" s="599"/>
      <c r="F6" s="597"/>
      <c r="G6" s="597"/>
      <c r="H6" s="599"/>
      <c r="I6" s="47"/>
      <c r="J6" s="596"/>
      <c r="K6" s="596"/>
      <c r="L6" s="596"/>
      <c r="M6" s="599"/>
      <c r="N6" s="599"/>
      <c r="O6" s="599"/>
      <c r="P6" s="599"/>
    </row>
    <row r="7" spans="1:23">
      <c r="A7" s="596"/>
      <c r="B7" s="596"/>
      <c r="C7" s="596"/>
      <c r="D7" s="599"/>
      <c r="E7" s="599"/>
      <c r="F7" s="30" t="s">
        <v>227</v>
      </c>
      <c r="G7" s="30" t="s">
        <v>698</v>
      </c>
      <c r="H7" s="599"/>
      <c r="I7" s="47"/>
      <c r="J7" s="596"/>
      <c r="K7" s="596"/>
      <c r="L7" s="596"/>
      <c r="M7" s="599"/>
      <c r="N7" s="599"/>
      <c r="O7" s="599"/>
      <c r="P7" s="599"/>
    </row>
    <row r="8" spans="1:23" ht="13">
      <c r="A8" s="48">
        <v>1.5</v>
      </c>
      <c r="B8" s="49">
        <v>0.625</v>
      </c>
      <c r="C8" s="31">
        <v>138</v>
      </c>
      <c r="D8" s="50">
        <v>797</v>
      </c>
      <c r="E8" s="50">
        <v>82</v>
      </c>
      <c r="F8" s="50">
        <v>22</v>
      </c>
      <c r="G8" s="50">
        <v>96</v>
      </c>
      <c r="H8" s="31">
        <v>74</v>
      </c>
      <c r="I8" s="47"/>
      <c r="J8" s="48">
        <v>1.5</v>
      </c>
      <c r="K8" s="49">
        <v>0.625</v>
      </c>
      <c r="L8" s="30" t="str">
        <f>IF(Data!$B$23&gt;0.1,IF(OR(Data!B$3="A",Data!B$3="LH"),IF($J8=Data!$B$4,IF($K8=Data!$B$6,C8*Data!B$23,""),""),""),"")</f>
        <v/>
      </c>
      <c r="M8" s="30" t="str">
        <f>IF(Data!$B$19&gt;0,IF(OR(Data!B$3="A",Data!B$3="LH"),IF($J8=Data!$B$4,IF($K8=Data!$B$6,D8*Data!B$19,""),""),""),"")</f>
        <v/>
      </c>
      <c r="N8" s="30" t="str">
        <f>IF(AND($J8=Data!$B$4,$K8=Data!$B$6,Data!A$10="V"),F8+E8,"")</f>
        <v/>
      </c>
      <c r="O8" s="30" t="str">
        <f>IF(AND($J8=Data!$B$4,$K8=Data!$B$6,Data!B$10="V"),G8+F8,"")</f>
        <v/>
      </c>
      <c r="P8" s="30" t="str">
        <f>IF(Data!$B$13&gt;0.1,IF(OR(Data!B$3="A",Data!B$3="LH"),IF($J8=Data!$B$4,IF($K8=Data!$B$6,H8*Data!B$13,""),""),""),"")</f>
        <v/>
      </c>
      <c r="R8" s="47">
        <f>ROUNDUP(C8*1.2,0)</f>
        <v>166</v>
      </c>
      <c r="S8" s="47">
        <f t="shared" ref="S8:W23" si="0">ROUNDUP(D8*1.2,0)</f>
        <v>957</v>
      </c>
      <c r="T8" s="47">
        <f t="shared" si="0"/>
        <v>99</v>
      </c>
      <c r="U8" s="47">
        <f t="shared" si="0"/>
        <v>27</v>
      </c>
      <c r="V8" s="47">
        <f t="shared" si="0"/>
        <v>116</v>
      </c>
      <c r="W8" s="47">
        <f t="shared" si="0"/>
        <v>89</v>
      </c>
    </row>
    <row r="9" spans="1:23" ht="13">
      <c r="A9" s="48">
        <v>1.5</v>
      </c>
      <c r="B9" s="49">
        <v>1</v>
      </c>
      <c r="C9" s="54">
        <v>138</v>
      </c>
      <c r="D9" s="50">
        <v>797</v>
      </c>
      <c r="E9" s="50">
        <v>84</v>
      </c>
      <c r="F9" s="50">
        <v>34</v>
      </c>
      <c r="G9" s="50">
        <v>96</v>
      </c>
      <c r="H9" s="31">
        <v>74</v>
      </c>
      <c r="I9" s="47"/>
      <c r="J9" s="48">
        <v>1.5</v>
      </c>
      <c r="K9" s="49">
        <v>1</v>
      </c>
      <c r="L9" s="30" t="str">
        <f>IF(Data!$B$23&gt;0.1,IF(OR(Data!B$3="A",Data!B$3="LH"),IF($J9=Data!$B$4,IF($K9=Data!$B$6,C9*Data!B$23,""),""),""),"")</f>
        <v/>
      </c>
      <c r="M9" s="30" t="str">
        <f>IF(Data!$B$19&gt;0,IF(OR(Data!B$3="A",Data!B$3="LH"),IF($J9=Data!$B$4,IF($K9=Data!$B$6,D9*Data!B$19,""),""),""),"")</f>
        <v/>
      </c>
      <c r="N9" s="30" t="str">
        <f>IF(Data!$B$15="Y",IF(OR(Data!B$3="A",Data!B$3="LH"),IF($J9=Data!$B$4,IF($K9=Data!$B$6,E9,""),""),""),"")</f>
        <v/>
      </c>
      <c r="O9" s="30" t="str">
        <f>IF(AND($J9=Data!$B$4,$K9=Data!$B$6,Data!B$10="V"),G9+F9,"")</f>
        <v/>
      </c>
      <c r="P9" s="30" t="str">
        <f>IF(Data!$B$13&gt;0.1,IF(OR(Data!B$3="A",Data!B$3="LH"),IF($J9=Data!$B$4,IF($K9=Data!$B$6,H9*Data!B$13,""),""),""),"")</f>
        <v/>
      </c>
      <c r="R9" s="47">
        <f t="shared" ref="R9:R54" si="1">ROUNDUP(C9*1.2,0)</f>
        <v>166</v>
      </c>
      <c r="S9" s="47">
        <f t="shared" si="0"/>
        <v>957</v>
      </c>
      <c r="T9" s="47">
        <f t="shared" si="0"/>
        <v>101</v>
      </c>
      <c r="U9" s="47">
        <f t="shared" si="0"/>
        <v>41</v>
      </c>
      <c r="V9" s="47">
        <f t="shared" si="0"/>
        <v>116</v>
      </c>
      <c r="W9" s="47">
        <f t="shared" si="0"/>
        <v>89</v>
      </c>
    </row>
    <row r="10" spans="1:23" ht="13">
      <c r="A10" s="48">
        <v>2</v>
      </c>
      <c r="B10" s="49">
        <v>0.625</v>
      </c>
      <c r="C10" s="31">
        <v>146</v>
      </c>
      <c r="D10" s="50">
        <v>797</v>
      </c>
      <c r="E10" s="50">
        <v>82</v>
      </c>
      <c r="F10" s="50">
        <v>22</v>
      </c>
      <c r="G10" s="50">
        <v>118</v>
      </c>
      <c r="H10" s="31">
        <v>78</v>
      </c>
      <c r="I10" s="47"/>
      <c r="J10" s="48">
        <v>2</v>
      </c>
      <c r="K10" s="49">
        <v>0.625</v>
      </c>
      <c r="L10" s="30" t="str">
        <f>IF(Data!$B$23&gt;0.1,IF(OR(Data!B$3="A",Data!B$3="LH"),IF($J10=Data!$B$4,IF($K10=Data!$B$6,C10*Data!B$23,""),""),""),"")</f>
        <v/>
      </c>
      <c r="M10" s="30" t="str">
        <f>IF(Data!$B$19&gt;0,IF(OR(Data!B$3="A",Data!B$3="LH"),IF($J10=Data!$B$4,IF($K10=Data!$B$6,D10*Data!B$19,""),""),""),"")</f>
        <v/>
      </c>
      <c r="N10" s="30" t="str">
        <f>IF(Data!$B$15="Y",IF(OR(Data!B$3="A",Data!B$3="LH"),IF($J10=Data!$B$4,IF($K10=Data!$B$6,E10,""),""),""),"")</f>
        <v/>
      </c>
      <c r="O10" s="30" t="str">
        <f>IF(AND($J10=Data!$B$4,$K10=Data!$B$6,Data!B$10="V"),G10+F10,"")</f>
        <v/>
      </c>
      <c r="P10" s="30" t="str">
        <f>IF(Data!$B$13&gt;0.1,IF(OR(Data!B$3="A",Data!B$3="LH"),IF($J10=Data!$B$4,IF($K10=Data!$B$6,H10*Data!B$13,""),""),""),"")</f>
        <v/>
      </c>
      <c r="R10" s="47">
        <f t="shared" si="1"/>
        <v>176</v>
      </c>
      <c r="S10" s="47">
        <f t="shared" si="0"/>
        <v>957</v>
      </c>
      <c r="T10" s="47">
        <f t="shared" si="0"/>
        <v>99</v>
      </c>
      <c r="U10" s="47">
        <f t="shared" si="0"/>
        <v>27</v>
      </c>
      <c r="V10" s="47">
        <f t="shared" si="0"/>
        <v>142</v>
      </c>
      <c r="W10" s="47">
        <f t="shared" si="0"/>
        <v>94</v>
      </c>
    </row>
    <row r="11" spans="1:23" ht="13">
      <c r="A11" s="48">
        <v>2</v>
      </c>
      <c r="B11" s="49">
        <v>1</v>
      </c>
      <c r="C11" s="31">
        <v>146</v>
      </c>
      <c r="D11" s="50">
        <v>797</v>
      </c>
      <c r="E11" s="50">
        <v>84</v>
      </c>
      <c r="F11" s="50">
        <v>34</v>
      </c>
      <c r="G11" s="50">
        <v>118</v>
      </c>
      <c r="H11" s="31">
        <v>78</v>
      </c>
      <c r="I11" s="47"/>
      <c r="J11" s="48">
        <v>2</v>
      </c>
      <c r="K11" s="49">
        <v>1</v>
      </c>
      <c r="L11" s="30" t="str">
        <f>IF(Data!$B$23&gt;0.1,IF(OR(Data!B$3="A",Data!B$3="LH"),IF($J11=Data!$B$4,IF($K11=Data!$B$6,C11*Data!B$23,""),""),""),"")</f>
        <v/>
      </c>
      <c r="M11" s="30" t="str">
        <f>IF(Data!$B$19&gt;0,IF(OR(Data!B$3="A",Data!B$3="LH"),IF($J11=Data!$B$4,IF($K11=Data!$B$6,D11*Data!B$19,""),""),""),"")</f>
        <v/>
      </c>
      <c r="N11" s="30" t="str">
        <f>IF(Data!$B$15="Y",IF(OR(Data!B$3="A",Data!B$3="LH"),IF($J11=Data!$B$4,IF($K11=Data!$B$6,E11,""),""),""),"")</f>
        <v/>
      </c>
      <c r="O11" s="30" t="str">
        <f>IF(AND($J11=Data!$B$4,$K11=Data!$B$6,Data!B$10="V"),G11+F11,"")</f>
        <v/>
      </c>
      <c r="P11" s="30" t="str">
        <f>IF(Data!$B$13&gt;0.1,IF(OR(Data!B$3="A",Data!B$3="LH"),IF($J11=Data!$B$4,IF($K11=Data!$B$6,H11*Data!B$13,""),""),""),"")</f>
        <v/>
      </c>
      <c r="R11" s="47">
        <f t="shared" si="1"/>
        <v>176</v>
      </c>
      <c r="S11" s="47">
        <f t="shared" si="0"/>
        <v>957</v>
      </c>
      <c r="T11" s="47">
        <f t="shared" si="0"/>
        <v>101</v>
      </c>
      <c r="U11" s="47">
        <f t="shared" si="0"/>
        <v>41</v>
      </c>
      <c r="V11" s="47">
        <f t="shared" si="0"/>
        <v>142</v>
      </c>
      <c r="W11" s="47">
        <f t="shared" si="0"/>
        <v>94</v>
      </c>
    </row>
    <row r="12" spans="1:23" ht="13">
      <c r="A12" s="48">
        <v>2</v>
      </c>
      <c r="B12" s="49">
        <v>1.375</v>
      </c>
      <c r="C12" s="31">
        <v>146</v>
      </c>
      <c r="D12" s="50">
        <v>797</v>
      </c>
      <c r="E12" s="50">
        <v>108</v>
      </c>
      <c r="F12" s="50">
        <v>54</v>
      </c>
      <c r="G12" s="50">
        <v>118</v>
      </c>
      <c r="H12" s="31">
        <v>78</v>
      </c>
      <c r="I12" s="47"/>
      <c r="J12" s="48">
        <v>2</v>
      </c>
      <c r="K12" s="49">
        <v>1.375</v>
      </c>
      <c r="L12" s="30" t="str">
        <f>IF(Data!$B$23&gt;0.1,IF(OR(Data!B$3="A",Data!B$3="LH"),IF($J12=Data!$B$4,IF($K12=Data!$B$6,C12*Data!B$23,""),""),""),"")</f>
        <v/>
      </c>
      <c r="M12" s="30" t="str">
        <f>IF(Data!$B$19&gt;0,IF(OR(Data!B$3="A",Data!B$3="LH"),IF($J12=Data!$B$4,IF($K12=Data!$B$6,D12*Data!B$19,""),""),""),"")</f>
        <v/>
      </c>
      <c r="N12" s="30" t="str">
        <f>IF(Data!$B$15="Y",IF(OR(Data!B$3="A",Data!B$3="LH"),IF($J12=Data!$B$4,IF($K12=Data!$B$6,E12,""),""),""),"")</f>
        <v/>
      </c>
      <c r="O12" s="30" t="str">
        <f>IF(AND($J12=Data!$B$4,$K12=Data!$B$6,Data!B$10="V"),G12+F12,"")</f>
        <v/>
      </c>
      <c r="P12" s="30" t="str">
        <f>IF(Data!$B$13&gt;0.1,IF(OR(Data!B$3="A",Data!B$3="LH"),IF($J12=Data!$B$4,IF($K12=Data!$B$6,H12*Data!B$13,""),""),""),"")</f>
        <v/>
      </c>
      <c r="R12" s="47">
        <f t="shared" si="1"/>
        <v>176</v>
      </c>
      <c r="S12" s="47">
        <f t="shared" si="0"/>
        <v>957</v>
      </c>
      <c r="T12" s="47">
        <f t="shared" si="0"/>
        <v>130</v>
      </c>
      <c r="U12" s="47">
        <f t="shared" si="0"/>
        <v>65</v>
      </c>
      <c r="V12" s="47">
        <f t="shared" si="0"/>
        <v>142</v>
      </c>
      <c r="W12" s="47">
        <f t="shared" si="0"/>
        <v>94</v>
      </c>
    </row>
    <row r="13" spans="1:23" ht="13">
      <c r="A13" s="48">
        <v>2.5</v>
      </c>
      <c r="B13" s="49">
        <v>0.625</v>
      </c>
      <c r="C13" s="31">
        <v>152</v>
      </c>
      <c r="D13" s="50">
        <v>797</v>
      </c>
      <c r="E13" s="50">
        <v>82</v>
      </c>
      <c r="F13" s="50">
        <v>23</v>
      </c>
      <c r="G13" s="50">
        <v>147</v>
      </c>
      <c r="H13" s="31">
        <v>81</v>
      </c>
      <c r="I13" s="47"/>
      <c r="J13" s="48">
        <v>2.5</v>
      </c>
      <c r="K13" s="49">
        <v>0.625</v>
      </c>
      <c r="L13" s="30" t="str">
        <f>IF(Data!$B$23&gt;0.1,IF(OR(Data!B$3="A",Data!B$3="LH"),IF($J13=Data!$B$4,IF($K13=Data!$B$6,C13*Data!B$23,""),""),""),"")</f>
        <v/>
      </c>
      <c r="M13" s="30" t="str">
        <f>IF(Data!$B$19&gt;0,IF(OR(Data!B$3="A",Data!B$3="LH"),IF($J13=Data!$B$4,IF($K13=Data!$B$6,D13*Data!B$19,""),""),""),"")</f>
        <v/>
      </c>
      <c r="N13" s="30" t="str">
        <f>IF(Data!$B$15="Y",IF(OR(Data!B$3="A",Data!B$3="LH"),IF($J13=Data!$B$4,IF($K13=Data!$B$6,E13,""),""),""),"")</f>
        <v/>
      </c>
      <c r="O13" s="30" t="str">
        <f>IF(AND($J13=Data!$B$4,$K13=Data!$B$6,Data!B$10="V"),G13+F13,"")</f>
        <v/>
      </c>
      <c r="P13" s="30" t="str">
        <f>IF(Data!$B$13&gt;0.1,IF(OR(Data!B$3="A",Data!B$3="LH"),IF($J13=Data!$B$4,IF($K13=Data!$B$6,H13*Data!B$13,""),""),""),"")</f>
        <v/>
      </c>
      <c r="R13" s="47">
        <f t="shared" si="1"/>
        <v>183</v>
      </c>
      <c r="S13" s="47">
        <f t="shared" si="0"/>
        <v>957</v>
      </c>
      <c r="T13" s="47">
        <f t="shared" si="0"/>
        <v>99</v>
      </c>
      <c r="U13" s="47">
        <f t="shared" si="0"/>
        <v>28</v>
      </c>
      <c r="V13" s="47">
        <f t="shared" si="0"/>
        <v>177</v>
      </c>
      <c r="W13" s="47">
        <f t="shared" si="0"/>
        <v>98</v>
      </c>
    </row>
    <row r="14" spans="1:23" ht="13">
      <c r="A14" s="48">
        <v>2.5</v>
      </c>
      <c r="B14" s="49">
        <v>1</v>
      </c>
      <c r="C14" s="31">
        <v>152</v>
      </c>
      <c r="D14" s="50">
        <v>797</v>
      </c>
      <c r="E14" s="50">
        <v>84</v>
      </c>
      <c r="F14" s="50">
        <v>34</v>
      </c>
      <c r="G14" s="50">
        <v>147</v>
      </c>
      <c r="H14" s="31">
        <v>81</v>
      </c>
      <c r="I14" s="47"/>
      <c r="J14" s="48">
        <v>2.5</v>
      </c>
      <c r="K14" s="49">
        <v>1</v>
      </c>
      <c r="L14" s="30" t="str">
        <f>IF(Data!$B$23&gt;0.1,IF(OR(Data!B$3="A",Data!B$3="LH"),IF($J14=Data!$B$4,IF($K14=Data!$B$6,C14*Data!B$23,""),""),""),"")</f>
        <v/>
      </c>
      <c r="M14" s="30" t="str">
        <f>IF(Data!$B$19&gt;0,IF(OR(Data!B$3="A",Data!B$3="LH"),IF($J14=Data!$B$4,IF($K14=Data!$B$6,D14*Data!B$19,""),""),""),"")</f>
        <v/>
      </c>
      <c r="N14" s="30" t="str">
        <f>IF(Data!$B$15="Y",IF(OR(Data!B$3="A",Data!B$3="LH"),IF($J14=Data!$B$4,IF($K14=Data!$B$6,E14,""),""),""),"")</f>
        <v/>
      </c>
      <c r="O14" s="30" t="str">
        <f>IF(AND($J14=Data!$B$4,$K14=Data!$B$6,Data!B$10="V"),G14+F14,"")</f>
        <v/>
      </c>
      <c r="P14" s="30" t="str">
        <f>IF(Data!$B$13&gt;0.1,IF(OR(Data!B$3="A",Data!B$3="LH"),IF($J14=Data!$B$4,IF($K14=Data!$B$6,H14*Data!B$13,""),""),""),"")</f>
        <v/>
      </c>
      <c r="R14" s="47">
        <f t="shared" si="1"/>
        <v>183</v>
      </c>
      <c r="S14" s="47">
        <f t="shared" si="0"/>
        <v>957</v>
      </c>
      <c r="T14" s="47">
        <f t="shared" si="0"/>
        <v>101</v>
      </c>
      <c r="U14" s="47">
        <f t="shared" si="0"/>
        <v>41</v>
      </c>
      <c r="V14" s="47">
        <f t="shared" si="0"/>
        <v>177</v>
      </c>
      <c r="W14" s="47">
        <f t="shared" si="0"/>
        <v>98</v>
      </c>
    </row>
    <row r="15" spans="1:23" ht="13">
      <c r="A15" s="48">
        <v>2.5</v>
      </c>
      <c r="B15" s="49">
        <v>1.375</v>
      </c>
      <c r="C15" s="31">
        <v>152</v>
      </c>
      <c r="D15" s="50">
        <v>797</v>
      </c>
      <c r="E15" s="50">
        <v>108</v>
      </c>
      <c r="F15" s="50">
        <v>56</v>
      </c>
      <c r="G15" s="50">
        <v>147</v>
      </c>
      <c r="H15" s="31">
        <v>81</v>
      </c>
      <c r="I15" s="47"/>
      <c r="J15" s="48">
        <v>2.5</v>
      </c>
      <c r="K15" s="49">
        <v>1.375</v>
      </c>
      <c r="L15" s="30" t="str">
        <f>IF(Data!$B$23&gt;0.1,IF(OR(Data!B$3="A",Data!B$3="LH"),IF($J15=Data!$B$4,IF($K15=Data!$B$6,C15*Data!B$23,""),""),""),"")</f>
        <v/>
      </c>
      <c r="M15" s="30" t="str">
        <f>IF(Data!$B$19&gt;0,IF(OR(Data!B$3="A",Data!B$3="LH"),IF($J15=Data!$B$4,IF($K15=Data!$B$6,D15*Data!B$19,""),""),""),"")</f>
        <v/>
      </c>
      <c r="N15" s="30" t="str">
        <f>IF(Data!$B$15="Y",IF(OR(Data!B$3="A",Data!B$3="LH"),IF($J15=Data!$B$4,IF($K15=Data!$B$6,E15,""),""),""),"")</f>
        <v/>
      </c>
      <c r="O15" s="30" t="str">
        <f>IF(AND($J15=Data!$B$4,$K15=Data!$B$6,Data!B$10="V"),G15+F15,"")</f>
        <v/>
      </c>
      <c r="P15" s="30" t="str">
        <f>IF(Data!$B$13&gt;0.1,IF(OR(Data!B$3="A",Data!B$3="LH"),IF($J15=Data!$B$4,IF($K15=Data!$B$6,H15*Data!B$13,""),""),""),"")</f>
        <v/>
      </c>
      <c r="R15" s="47">
        <f t="shared" si="1"/>
        <v>183</v>
      </c>
      <c r="S15" s="47">
        <f t="shared" si="0"/>
        <v>957</v>
      </c>
      <c r="T15" s="47">
        <f t="shared" si="0"/>
        <v>130</v>
      </c>
      <c r="U15" s="47">
        <f t="shared" si="0"/>
        <v>68</v>
      </c>
      <c r="V15" s="47">
        <f t="shared" si="0"/>
        <v>177</v>
      </c>
      <c r="W15" s="47">
        <f t="shared" si="0"/>
        <v>98</v>
      </c>
    </row>
    <row r="16" spans="1:23" ht="13">
      <c r="A16" s="48">
        <v>2.5</v>
      </c>
      <c r="B16" s="49">
        <v>1.75</v>
      </c>
      <c r="C16" s="31">
        <v>152</v>
      </c>
      <c r="D16" s="50">
        <v>797</v>
      </c>
      <c r="E16" s="50">
        <v>150</v>
      </c>
      <c r="F16" s="50">
        <v>59</v>
      </c>
      <c r="G16" s="50">
        <v>147</v>
      </c>
      <c r="H16" s="31">
        <v>81</v>
      </c>
      <c r="I16" s="47"/>
      <c r="J16" s="48">
        <v>2.5</v>
      </c>
      <c r="K16" s="49">
        <v>1.75</v>
      </c>
      <c r="L16" s="30" t="str">
        <f>IF(Data!$B$23&gt;0.1,IF(OR(Data!B$3="A",Data!B$3="LH"),IF($J16=Data!$B$4,IF($K16=Data!$B$6,C16*Data!B$23,""),""),""),"")</f>
        <v/>
      </c>
      <c r="M16" s="30" t="str">
        <f>IF(Data!$B$19&gt;0,IF(OR(Data!B$3="A",Data!B$3="LH"),IF($J16=Data!$B$4,IF($K16=Data!$B$6,D16*Data!B$19,""),""),""),"")</f>
        <v/>
      </c>
      <c r="N16" s="30" t="str">
        <f>IF(Data!$B$15="Y",IF(OR(Data!B$3="A",Data!B$3="LH"),IF($J16=Data!$B$4,IF($K16=Data!$B$6,E16,""),""),""),"")</f>
        <v/>
      </c>
      <c r="O16" s="30" t="str">
        <f>IF(AND($J16=Data!$B$4,$K16=Data!$B$6,Data!B$10="V"),G16+F16,"")</f>
        <v/>
      </c>
      <c r="P16" s="30" t="str">
        <f>IF(Data!$B$13&gt;0.1,IF(OR(Data!B$3="A",Data!B$3="LH"),IF($J16=Data!$B$4,IF($K16=Data!$B$6,H16*Data!B$13,""),""),""),"")</f>
        <v/>
      </c>
      <c r="R16" s="47">
        <f t="shared" si="1"/>
        <v>183</v>
      </c>
      <c r="S16" s="47">
        <f t="shared" si="0"/>
        <v>957</v>
      </c>
      <c r="T16" s="47">
        <f t="shared" si="0"/>
        <v>180</v>
      </c>
      <c r="U16" s="47">
        <f t="shared" si="0"/>
        <v>71</v>
      </c>
      <c r="V16" s="47">
        <f t="shared" si="0"/>
        <v>177</v>
      </c>
      <c r="W16" s="47">
        <f t="shared" si="0"/>
        <v>98</v>
      </c>
    </row>
    <row r="17" spans="1:23" ht="13">
      <c r="A17" s="48">
        <v>3.25</v>
      </c>
      <c r="B17" s="49">
        <v>1</v>
      </c>
      <c r="C17" s="31">
        <v>160</v>
      </c>
      <c r="D17" s="50">
        <v>797</v>
      </c>
      <c r="E17" s="50">
        <v>84</v>
      </c>
      <c r="F17" s="50">
        <v>34</v>
      </c>
      <c r="G17" s="50">
        <v>159</v>
      </c>
      <c r="H17" s="31">
        <v>84</v>
      </c>
      <c r="I17" s="47"/>
      <c r="J17" s="48">
        <v>3.25</v>
      </c>
      <c r="K17" s="49">
        <v>1</v>
      </c>
      <c r="L17" s="30" t="str">
        <f>IF(Data!$B$23&gt;0.1,IF(OR(Data!B$3="A",Data!B$3="LH"),IF($J17=Data!$B$4,IF($K17=Data!$B$6,C17*Data!B$23,""),""),""),"")</f>
        <v/>
      </c>
      <c r="M17" s="30" t="str">
        <f>IF(Data!$B$19&gt;0,IF(OR(Data!B$3="A",Data!B$3="LH"),IF($J17=Data!$B$4,IF($K17=Data!$B$6,D17*Data!B$19,""),""),""),"")</f>
        <v/>
      </c>
      <c r="N17" s="30" t="str">
        <f>IF(Data!$B$15="Y",IF(OR(Data!B$3="A",Data!B$3="LH"),IF($J17=Data!$B$4,IF($K17=Data!$B$6,E17,""),""),""),"")</f>
        <v/>
      </c>
      <c r="O17" s="30" t="str">
        <f>IF(AND($J17=Data!$B$4,$K17=Data!$B$6,Data!B$10="V"),G17+F17,"")</f>
        <v/>
      </c>
      <c r="P17" s="30" t="str">
        <f>IF(Data!$B$13&gt;0.1,IF(OR(Data!B$3="A",Data!B$3="LH"),IF($J17=Data!$B$4,IF($K17=Data!$B$6,H17*Data!B$13,""),""),""),"")</f>
        <v/>
      </c>
      <c r="R17" s="47">
        <f t="shared" si="1"/>
        <v>192</v>
      </c>
      <c r="S17" s="47">
        <f t="shared" si="0"/>
        <v>957</v>
      </c>
      <c r="T17" s="47">
        <f t="shared" si="0"/>
        <v>101</v>
      </c>
      <c r="U17" s="47">
        <f t="shared" si="0"/>
        <v>41</v>
      </c>
      <c r="V17" s="47">
        <f t="shared" si="0"/>
        <v>191</v>
      </c>
      <c r="W17" s="47">
        <f t="shared" si="0"/>
        <v>101</v>
      </c>
    </row>
    <row r="18" spans="1:23" ht="13">
      <c r="A18" s="48">
        <v>3.25</v>
      </c>
      <c r="B18" s="49">
        <v>1.375</v>
      </c>
      <c r="C18" s="31">
        <v>160</v>
      </c>
      <c r="D18" s="50">
        <v>797</v>
      </c>
      <c r="E18" s="50">
        <v>108</v>
      </c>
      <c r="F18" s="50">
        <v>56</v>
      </c>
      <c r="G18" s="50">
        <v>159</v>
      </c>
      <c r="H18" s="31">
        <v>84</v>
      </c>
      <c r="I18" s="47"/>
      <c r="J18" s="48">
        <v>3.25</v>
      </c>
      <c r="K18" s="49">
        <v>1.375</v>
      </c>
      <c r="L18" s="30" t="str">
        <f>IF(Data!$B$23&gt;0.1,IF(OR(Data!B$3="A",Data!B$3="LH"),IF($J18=Data!$B$4,IF($K18=Data!$B$6,C18*Data!B$23,""),""),""),"")</f>
        <v/>
      </c>
      <c r="M18" s="30" t="str">
        <f>IF(Data!$B$19&gt;0,IF(OR(Data!B$3="A",Data!B$3="LH"),IF($J18=Data!$B$4,IF($K18=Data!$B$6,D18*Data!B$19,""),""),""),"")</f>
        <v/>
      </c>
      <c r="N18" s="30" t="str">
        <f>IF(Data!$B$15="Y",IF(OR(Data!B$3="A",Data!B$3="LH"),IF($J18=Data!$B$4,IF($K18=Data!$B$6,E18,""),""),""),"")</f>
        <v/>
      </c>
      <c r="O18" s="30" t="str">
        <f>IF(AND($J18=Data!$B$4,$K18=Data!$B$6,Data!B$10="V"),G18+F18,"")</f>
        <v/>
      </c>
      <c r="P18" s="30" t="str">
        <f>IF(Data!$B$13&gt;0.1,IF(OR(Data!B$3="A",Data!B$3="LH"),IF($J18=Data!$B$4,IF($K18=Data!$B$6,H18*Data!B$13,""),""),""),"")</f>
        <v/>
      </c>
      <c r="R18" s="47">
        <f t="shared" si="1"/>
        <v>192</v>
      </c>
      <c r="S18" s="47">
        <f t="shared" si="0"/>
        <v>957</v>
      </c>
      <c r="T18" s="47">
        <f t="shared" si="0"/>
        <v>130</v>
      </c>
      <c r="U18" s="47">
        <f t="shared" si="0"/>
        <v>68</v>
      </c>
      <c r="V18" s="47">
        <f t="shared" si="0"/>
        <v>191</v>
      </c>
      <c r="W18" s="47">
        <f t="shared" si="0"/>
        <v>101</v>
      </c>
    </row>
    <row r="19" spans="1:23" ht="13">
      <c r="A19" s="48">
        <v>3.25</v>
      </c>
      <c r="B19" s="49">
        <v>1.75</v>
      </c>
      <c r="C19" s="54">
        <v>160</v>
      </c>
      <c r="D19" s="50">
        <v>797</v>
      </c>
      <c r="E19" s="50">
        <v>150</v>
      </c>
      <c r="F19" s="50">
        <v>59</v>
      </c>
      <c r="G19" s="50">
        <v>159</v>
      </c>
      <c r="H19" s="31">
        <v>84</v>
      </c>
      <c r="I19" s="47"/>
      <c r="J19" s="48">
        <v>3.25</v>
      </c>
      <c r="K19" s="49">
        <v>1.75</v>
      </c>
      <c r="L19" s="30" t="str">
        <f>IF(Data!$B$23&gt;0.1,IF(OR(Data!B$3="A",Data!B$3="LH"),IF($J19=Data!$B$4,IF($K19=Data!$B$6,C19*Data!B$23,""),""),""),"")</f>
        <v/>
      </c>
      <c r="M19" s="30" t="str">
        <f>IF(Data!$B$19&gt;0,IF(OR(Data!B$3="A",Data!B$3="LH"),IF($J19=Data!$B$4,IF($K19=Data!$B$6,D19*Data!B$19,""),""),""),"")</f>
        <v/>
      </c>
      <c r="N19" s="30" t="str">
        <f>IF(Data!$B$15="Y",IF(OR(Data!B$3="A",Data!B$3="LH"),IF($J19=Data!$B$4,IF($K19=Data!$B$6,E19,""),""),""),"")</f>
        <v/>
      </c>
      <c r="O19" s="30" t="str">
        <f>IF(AND($J19=Data!$B$4,$K19=Data!$B$6,Data!B$10="V"),G19+F19,"")</f>
        <v/>
      </c>
      <c r="P19" s="30" t="str">
        <f>IF(Data!$B$13&gt;0.1,IF(OR(Data!B$3="A",Data!B$3="LH"),IF($J19=Data!$B$4,IF($K19=Data!$B$6,H19*Data!B$13,""),""),""),"")</f>
        <v/>
      </c>
      <c r="R19" s="47">
        <f t="shared" si="1"/>
        <v>192</v>
      </c>
      <c r="S19" s="47">
        <f t="shared" si="0"/>
        <v>957</v>
      </c>
      <c r="T19" s="47">
        <f t="shared" si="0"/>
        <v>180</v>
      </c>
      <c r="U19" s="47">
        <f t="shared" si="0"/>
        <v>71</v>
      </c>
      <c r="V19" s="47">
        <f t="shared" si="0"/>
        <v>191</v>
      </c>
      <c r="W19" s="47">
        <f t="shared" si="0"/>
        <v>101</v>
      </c>
    </row>
    <row r="20" spans="1:23" ht="13">
      <c r="A20" s="48">
        <v>3.25</v>
      </c>
      <c r="B20" s="49">
        <v>2</v>
      </c>
      <c r="C20" s="31">
        <v>160</v>
      </c>
      <c r="D20" s="50">
        <v>797</v>
      </c>
      <c r="E20" s="50">
        <v>230</v>
      </c>
      <c r="F20" s="50">
        <v>94</v>
      </c>
      <c r="G20" s="50">
        <v>159</v>
      </c>
      <c r="H20" s="31">
        <v>84</v>
      </c>
      <c r="I20" s="47"/>
      <c r="J20" s="48">
        <v>3.25</v>
      </c>
      <c r="K20" s="49">
        <v>2</v>
      </c>
      <c r="L20" s="30" t="str">
        <f>IF(Data!$B$23&gt;0.1,IF(OR(Data!B$3="A",Data!B$3="LH"),IF($J20=Data!$B$4,IF($K20=Data!$B$6,C20*Data!B$23,""),""),""),"")</f>
        <v/>
      </c>
      <c r="M20" s="30" t="str">
        <f>IF(Data!$B$19&gt;0,IF(OR(Data!B$3="A",Data!B$3="LH"),IF($J20=Data!$B$4,IF($K20=Data!$B$6,D20*Data!B$19,""),""),""),"")</f>
        <v/>
      </c>
      <c r="N20" s="30" t="str">
        <f>IF(Data!$B$15="Y",IF(OR(Data!B$3="A",Data!B$3="LH"),IF($J20=Data!$B$4,IF($K20=Data!$B$6,E20,""),""),""),"")</f>
        <v/>
      </c>
      <c r="O20" s="30" t="str">
        <f>IF(AND($J20=Data!$B$4,$K20=Data!$B$6,Data!B$10="V"),G20+F20,"")</f>
        <v/>
      </c>
      <c r="P20" s="30" t="str">
        <f>IF(Data!$B$13&gt;0.1,IF(OR(Data!B$3="A",Data!B$3="LH"),IF($J20=Data!$B$4,IF($K20=Data!$B$6,H20*Data!B$13,""),""),""),"")</f>
        <v/>
      </c>
      <c r="R20" s="47">
        <f t="shared" si="1"/>
        <v>192</v>
      </c>
      <c r="S20" s="47">
        <f t="shared" si="0"/>
        <v>957</v>
      </c>
      <c r="T20" s="47">
        <f t="shared" si="0"/>
        <v>276</v>
      </c>
      <c r="U20" s="47">
        <f t="shared" si="0"/>
        <v>113</v>
      </c>
      <c r="V20" s="47">
        <f t="shared" si="0"/>
        <v>191</v>
      </c>
      <c r="W20" s="47">
        <f t="shared" si="0"/>
        <v>101</v>
      </c>
    </row>
    <row r="21" spans="1:23" ht="13">
      <c r="A21" s="48">
        <v>4</v>
      </c>
      <c r="B21" s="49">
        <v>1</v>
      </c>
      <c r="C21" s="31">
        <v>167</v>
      </c>
      <c r="D21" s="50">
        <v>797</v>
      </c>
      <c r="E21" s="50">
        <v>84</v>
      </c>
      <c r="F21" s="50">
        <v>34</v>
      </c>
      <c r="G21" s="50">
        <v>165</v>
      </c>
      <c r="H21" s="31">
        <v>93</v>
      </c>
      <c r="I21" s="47"/>
      <c r="J21" s="48">
        <v>4</v>
      </c>
      <c r="K21" s="49">
        <v>1</v>
      </c>
      <c r="L21" s="30" t="str">
        <f>IF(Data!$B$23&gt;0.1,IF(OR(Data!B$3="A",Data!B$3="LH"),IF($J21=Data!$B$4,IF($K21=Data!$B$6,C21*Data!B$23,""),""),""),"")</f>
        <v/>
      </c>
      <c r="M21" s="30" t="str">
        <f>IF(Data!$B$19&gt;0,IF(OR(Data!B$3="A",Data!B$3="LH"),IF($J21=Data!$B$4,IF($K21=Data!$B$6,D21*Data!B$19,""),""),""),"")</f>
        <v/>
      </c>
      <c r="N21" s="30" t="str">
        <f>IF(Data!$B$15="Y",IF(OR(Data!B$3="A",Data!B$3="LH"),IF($J21=Data!$B$4,IF($K21=Data!$B$6,E21,""),""),""),"")</f>
        <v/>
      </c>
      <c r="O21" s="30" t="str">
        <f>IF(AND($J21=Data!$B$4,$K21=Data!$B$6,Data!B$10="V"),G21+F21,"")</f>
        <v/>
      </c>
      <c r="P21" s="30" t="str">
        <f>IF(Data!$B$13&gt;0.1,IF(OR(Data!B$3="A",Data!B$3="LH"),IF($J21=Data!$B$4,IF($K21=Data!$B$6,H21*Data!B$13,""),""),""),"")</f>
        <v/>
      </c>
      <c r="R21" s="47">
        <f t="shared" si="1"/>
        <v>201</v>
      </c>
      <c r="S21" s="47">
        <f t="shared" si="0"/>
        <v>957</v>
      </c>
      <c r="T21" s="47">
        <f t="shared" si="0"/>
        <v>101</v>
      </c>
      <c r="U21" s="47">
        <f t="shared" si="0"/>
        <v>41</v>
      </c>
      <c r="V21" s="47">
        <f t="shared" si="0"/>
        <v>198</v>
      </c>
      <c r="W21" s="47">
        <f t="shared" si="0"/>
        <v>112</v>
      </c>
    </row>
    <row r="22" spans="1:23" ht="13">
      <c r="A22" s="48">
        <v>4</v>
      </c>
      <c r="B22" s="49">
        <v>1.375</v>
      </c>
      <c r="C22" s="31">
        <v>167</v>
      </c>
      <c r="D22" s="50">
        <v>797</v>
      </c>
      <c r="E22" s="50">
        <v>108</v>
      </c>
      <c r="F22" s="50">
        <v>53</v>
      </c>
      <c r="G22" s="50">
        <v>165</v>
      </c>
      <c r="H22" s="31">
        <v>93</v>
      </c>
      <c r="I22" s="47"/>
      <c r="J22" s="48">
        <v>4</v>
      </c>
      <c r="K22" s="49">
        <v>1.375</v>
      </c>
      <c r="L22" s="30" t="str">
        <f>IF(Data!$B$23&gt;0.1,IF(OR(Data!B$3="A",Data!B$3="LH"),IF($J22=Data!$B$4,IF($K22=Data!$B$6,C22*Data!B$23,""),""),""),"")</f>
        <v/>
      </c>
      <c r="M22" s="30" t="str">
        <f>IF(Data!$B$19&gt;0,IF(OR(Data!B$3="A",Data!B$3="LH"),IF($J22=Data!$B$4,IF($K22=Data!$B$6,D22*Data!B$19,""),""),""),"")</f>
        <v/>
      </c>
      <c r="N22" s="30" t="str">
        <f>IF(Data!$B$15="Y",IF(OR(Data!B$3="A",Data!B$3="LH"),IF($J22=Data!$B$4,IF($K22=Data!$B$6,E22,""),""),""),"")</f>
        <v/>
      </c>
      <c r="O22" s="30" t="str">
        <f>IF(AND($J22=Data!$B$4,$K22=Data!$B$6,Data!B$10="V"),G22+F22,"")</f>
        <v/>
      </c>
      <c r="P22" s="30" t="str">
        <f>IF(Data!$B$13&gt;0.1,IF(OR(Data!B$3="A",Data!B$3="LH"),IF($J22=Data!$B$4,IF($K22=Data!$B$6,H22*Data!B$13,""),""),""),"")</f>
        <v/>
      </c>
      <c r="R22" s="47">
        <f t="shared" si="1"/>
        <v>201</v>
      </c>
      <c r="S22" s="47">
        <f t="shared" si="0"/>
        <v>957</v>
      </c>
      <c r="T22" s="47">
        <f t="shared" si="0"/>
        <v>130</v>
      </c>
      <c r="U22" s="47">
        <f t="shared" si="0"/>
        <v>64</v>
      </c>
      <c r="V22" s="47">
        <f t="shared" si="0"/>
        <v>198</v>
      </c>
      <c r="W22" s="47">
        <f t="shared" si="0"/>
        <v>112</v>
      </c>
    </row>
    <row r="23" spans="1:23" ht="13">
      <c r="A23" s="48">
        <v>4</v>
      </c>
      <c r="B23" s="49">
        <v>1.75</v>
      </c>
      <c r="C23" s="31">
        <v>167</v>
      </c>
      <c r="D23" s="50">
        <v>797</v>
      </c>
      <c r="E23" s="50">
        <v>150</v>
      </c>
      <c r="F23" s="50">
        <v>59</v>
      </c>
      <c r="G23" s="50">
        <v>165</v>
      </c>
      <c r="H23" s="31">
        <v>93</v>
      </c>
      <c r="I23" s="47"/>
      <c r="J23" s="48">
        <v>4</v>
      </c>
      <c r="K23" s="49">
        <v>1.75</v>
      </c>
      <c r="L23" s="30" t="str">
        <f>IF(Data!$B$23&gt;0.1,IF(OR(Data!B$3="A",Data!B$3="LH"),IF($J23=Data!$B$4,IF($K23=Data!$B$6,C23*Data!B$23,""),""),""),"")</f>
        <v/>
      </c>
      <c r="M23" s="30" t="str">
        <f>IF(Data!$B$19&gt;0,IF(OR(Data!B$3="A",Data!B$3="LH"),IF($J23=Data!$B$4,IF($K23=Data!$B$6,D23*Data!B$19,""),""),""),"")</f>
        <v/>
      </c>
      <c r="N23" s="30" t="str">
        <f>IF(Data!$B$15="Y",IF(OR(Data!B$3="A",Data!B$3="LH"),IF($J23=Data!$B$4,IF($K23=Data!$B$6,E23,""),""),""),"")</f>
        <v/>
      </c>
      <c r="O23" s="30" t="str">
        <f>IF(AND($J23=Data!$B$4,$K23=Data!$B$6,Data!B$10="V"),G23+F23,"")</f>
        <v/>
      </c>
      <c r="P23" s="30" t="str">
        <f>IF(Data!$B$13&gt;0.1,IF(OR(Data!B$3="A",Data!B$3="LH"),IF($J23=Data!$B$4,IF($K23=Data!$B$6,H23*Data!B$13,""),""),""),"")</f>
        <v/>
      </c>
      <c r="R23" s="47">
        <f t="shared" si="1"/>
        <v>201</v>
      </c>
      <c r="S23" s="47">
        <f t="shared" si="0"/>
        <v>957</v>
      </c>
      <c r="T23" s="47">
        <f t="shared" si="0"/>
        <v>180</v>
      </c>
      <c r="U23" s="47">
        <f t="shared" si="0"/>
        <v>71</v>
      </c>
      <c r="V23" s="47">
        <f t="shared" si="0"/>
        <v>198</v>
      </c>
      <c r="W23" s="47">
        <f t="shared" si="0"/>
        <v>112</v>
      </c>
    </row>
    <row r="24" spans="1:23" ht="13">
      <c r="A24" s="48">
        <v>4</v>
      </c>
      <c r="B24" s="49">
        <v>2</v>
      </c>
      <c r="C24" s="31">
        <v>167</v>
      </c>
      <c r="D24" s="50">
        <v>797</v>
      </c>
      <c r="E24" s="50">
        <v>230</v>
      </c>
      <c r="F24" s="50">
        <v>94</v>
      </c>
      <c r="G24" s="50">
        <v>165</v>
      </c>
      <c r="H24" s="31">
        <v>93</v>
      </c>
      <c r="I24" s="47"/>
      <c r="J24" s="48">
        <v>4</v>
      </c>
      <c r="K24" s="49">
        <v>2</v>
      </c>
      <c r="L24" s="30" t="str">
        <f>IF(Data!$B$23&gt;0.1,IF(OR(Data!B$3="A",Data!B$3="LH"),IF($J24=Data!$B$4,IF($K24=Data!$B$6,C24*Data!B$23,""),""),""),"")</f>
        <v/>
      </c>
      <c r="M24" s="30" t="str">
        <f>IF(Data!$B$19&gt;0,IF(OR(Data!B$3="A",Data!B$3="LH"),IF($J24=Data!$B$4,IF($K24=Data!$B$6,D24*Data!B$19,""),""),""),"")</f>
        <v/>
      </c>
      <c r="N24" s="30" t="str">
        <f>IF(Data!$B$15="Y",IF(OR(Data!B$3="A",Data!B$3="LH"),IF($J24=Data!$B$4,IF($K24=Data!$B$6,E24,""),""),""),"")</f>
        <v/>
      </c>
      <c r="O24" s="30" t="str">
        <f>IF(AND($J24=Data!$B$4,$K24=Data!$B$6,Data!B$10="V"),G24+F24,"")</f>
        <v/>
      </c>
      <c r="P24" s="30" t="str">
        <f>IF(Data!$B$13&gt;0.1,IF(OR(Data!B$3="A",Data!B$3="LH"),IF($J24=Data!$B$4,IF($K24=Data!$B$6,H24*Data!B$13,""),""),""),"")</f>
        <v/>
      </c>
      <c r="R24" s="47">
        <f t="shared" si="1"/>
        <v>201</v>
      </c>
      <c r="S24" s="47">
        <f t="shared" ref="S24:S54" si="2">ROUNDUP(D24*1.2,0)</f>
        <v>957</v>
      </c>
      <c r="T24" s="47">
        <f t="shared" ref="T24:T54" si="3">ROUNDUP(E24*1.2,0)</f>
        <v>276</v>
      </c>
      <c r="U24" s="47">
        <f t="shared" ref="U24:U54" si="4">ROUNDUP(F24*1.2,0)</f>
        <v>113</v>
      </c>
      <c r="V24" s="47">
        <f t="shared" ref="V24:V54" si="5">ROUNDUP(G24*1.2,0)</f>
        <v>198</v>
      </c>
      <c r="W24" s="47">
        <f t="shared" ref="W24:W54" si="6">ROUNDUP(H24*1.2,0)</f>
        <v>112</v>
      </c>
    </row>
    <row r="25" spans="1:23" ht="13">
      <c r="A25" s="48">
        <v>5</v>
      </c>
      <c r="B25" s="49">
        <v>1</v>
      </c>
      <c r="C25" s="54">
        <v>174</v>
      </c>
      <c r="D25" s="50">
        <v>797</v>
      </c>
      <c r="E25" s="50">
        <v>84</v>
      </c>
      <c r="F25" s="50">
        <v>34</v>
      </c>
      <c r="G25" s="50">
        <v>201</v>
      </c>
      <c r="H25" s="31">
        <v>98</v>
      </c>
      <c r="I25" s="47"/>
      <c r="J25" s="48">
        <v>5</v>
      </c>
      <c r="K25" s="49">
        <v>1</v>
      </c>
      <c r="L25" s="30" t="str">
        <f>IF(Data!$B$23&gt;0.1,IF(OR(Data!B$3="A",Data!B$3="LH"),IF($J25=Data!$B$4,IF($K25=Data!$B$6,C25*Data!B$23,""),""),""),"")</f>
        <v/>
      </c>
      <c r="M25" s="30" t="str">
        <f>IF(Data!$B$19&gt;0,IF(OR(Data!B$3="A",Data!B$3="LH"),IF($J25=Data!$B$4,IF($K25=Data!$B$6,D25*Data!B$19,""),""),""),"")</f>
        <v/>
      </c>
      <c r="N25" s="30" t="str">
        <f>IF(Data!$B$15="Y",IF(OR(Data!B$3="A",Data!B$3="LH"),IF($J25=Data!$B$4,IF($K25=Data!$B$6,E25,""),""),""),"")</f>
        <v/>
      </c>
      <c r="O25" s="30" t="str">
        <f>IF(AND($J25=Data!$B$4,$K25=Data!$B$6,Data!B$10="V"),G25+F25,"")</f>
        <v/>
      </c>
      <c r="P25" s="30" t="str">
        <f>IF(Data!$B$13&gt;0.1,IF(OR(Data!B$3="A",Data!B$3="LH"),IF($J25=Data!$B$4,IF($K25=Data!$B$6,H25*Data!B$13,""),""),""),"")</f>
        <v/>
      </c>
      <c r="R25" s="47">
        <f t="shared" si="1"/>
        <v>209</v>
      </c>
      <c r="S25" s="47">
        <f t="shared" si="2"/>
        <v>957</v>
      </c>
      <c r="T25" s="47">
        <f t="shared" si="3"/>
        <v>101</v>
      </c>
      <c r="U25" s="47">
        <f t="shared" si="4"/>
        <v>41</v>
      </c>
      <c r="V25" s="47">
        <f t="shared" si="5"/>
        <v>242</v>
      </c>
      <c r="W25" s="47">
        <f t="shared" si="6"/>
        <v>118</v>
      </c>
    </row>
    <row r="26" spans="1:23" ht="13">
      <c r="A26" s="48">
        <v>5</v>
      </c>
      <c r="B26" s="49">
        <v>1.375</v>
      </c>
      <c r="C26" s="31">
        <v>174</v>
      </c>
      <c r="D26" s="50">
        <v>797</v>
      </c>
      <c r="E26" s="50">
        <v>108</v>
      </c>
      <c r="F26" s="50">
        <v>54</v>
      </c>
      <c r="G26" s="50">
        <v>201</v>
      </c>
      <c r="H26" s="31">
        <v>98</v>
      </c>
      <c r="I26" s="47"/>
      <c r="J26" s="48">
        <v>5</v>
      </c>
      <c r="K26" s="49">
        <v>1.375</v>
      </c>
      <c r="L26" s="30" t="str">
        <f>IF(Data!$B$23&gt;0.1,IF(OR(Data!B$3="A",Data!B$3="LH"),IF($J26=Data!$B$4,IF($K26=Data!$B$6,C26*Data!B$23,""),""),""),"")</f>
        <v/>
      </c>
      <c r="M26" s="30" t="str">
        <f>IF(Data!$B$19&gt;0,IF(OR(Data!B$3="A",Data!B$3="LH"),IF($J26=Data!$B$4,IF($K26=Data!$B$6,D26*Data!B$19,""),""),""),"")</f>
        <v/>
      </c>
      <c r="N26" s="30" t="str">
        <f>IF(Data!$B$15="Y",IF(OR(Data!B$3="A",Data!B$3="LH"),IF($J26=Data!$B$4,IF($K26=Data!$B$6,E26,""),""),""),"")</f>
        <v/>
      </c>
      <c r="O26" s="30" t="str">
        <f>IF(AND($J26=Data!$B$4,$K26=Data!$B$6,Data!B$10="V"),G26+F26,"")</f>
        <v/>
      </c>
      <c r="P26" s="30" t="str">
        <f>IF(Data!$B$13&gt;0.1,IF(OR(Data!B$3="A",Data!B$3="LH"),IF($J26=Data!$B$4,IF($K26=Data!$B$6,H26*Data!B$13,""),""),""),"")</f>
        <v/>
      </c>
      <c r="R26" s="47">
        <f t="shared" si="1"/>
        <v>209</v>
      </c>
      <c r="S26" s="47">
        <f t="shared" si="2"/>
        <v>957</v>
      </c>
      <c r="T26" s="47">
        <f t="shared" si="3"/>
        <v>130</v>
      </c>
      <c r="U26" s="47">
        <f t="shared" si="4"/>
        <v>65</v>
      </c>
      <c r="V26" s="47">
        <f t="shared" si="5"/>
        <v>242</v>
      </c>
      <c r="W26" s="47">
        <f t="shared" si="6"/>
        <v>118</v>
      </c>
    </row>
    <row r="27" spans="1:23" ht="13">
      <c r="A27" s="48">
        <v>5</v>
      </c>
      <c r="B27" s="49">
        <v>1.75</v>
      </c>
      <c r="C27" s="31">
        <v>174</v>
      </c>
      <c r="D27" s="50">
        <v>797</v>
      </c>
      <c r="E27" s="50">
        <v>150</v>
      </c>
      <c r="F27" s="50">
        <v>59</v>
      </c>
      <c r="G27" s="50">
        <v>201</v>
      </c>
      <c r="H27" s="31">
        <v>98</v>
      </c>
      <c r="I27" s="47"/>
      <c r="J27" s="48">
        <v>5</v>
      </c>
      <c r="K27" s="49">
        <v>1.75</v>
      </c>
      <c r="L27" s="30" t="str">
        <f>IF(Data!$B$23&gt;0.1,IF(OR(Data!B$3="A",Data!B$3="LH"),IF($J27=Data!$B$4,IF($K27=Data!$B$6,C27*Data!B$23,""),""),""),"")</f>
        <v/>
      </c>
      <c r="M27" s="30" t="str">
        <f>IF(Data!$B$19&gt;0,IF(OR(Data!B$3="A",Data!B$3="LH"),IF($J27=Data!$B$4,IF($K27=Data!$B$6,D27*Data!B$19,""),""),""),"")</f>
        <v/>
      </c>
      <c r="N27" s="30" t="str">
        <f>IF(Data!$B$15="Y",IF(OR(Data!B$3="A",Data!B$3="LH"),IF($J27=Data!$B$4,IF($K27=Data!$B$6,E27,""),""),""),"")</f>
        <v/>
      </c>
      <c r="O27" s="30" t="str">
        <f>IF(AND($J27=Data!$B$4,$K27=Data!$B$6,Data!B$10="V"),G27+F27,"")</f>
        <v/>
      </c>
      <c r="P27" s="30" t="str">
        <f>IF(Data!$B$13&gt;0.1,IF(OR(Data!B$3="A",Data!B$3="LH"),IF($J27=Data!$B$4,IF($K27=Data!$B$6,H27*Data!B$13,""),""),""),"")</f>
        <v/>
      </c>
      <c r="R27" s="47">
        <f t="shared" si="1"/>
        <v>209</v>
      </c>
      <c r="S27" s="47">
        <f t="shared" si="2"/>
        <v>957</v>
      </c>
      <c r="T27" s="47">
        <f t="shared" si="3"/>
        <v>180</v>
      </c>
      <c r="U27" s="47">
        <f t="shared" si="4"/>
        <v>71</v>
      </c>
      <c r="V27" s="47">
        <f t="shared" si="5"/>
        <v>242</v>
      </c>
      <c r="W27" s="47">
        <f t="shared" si="6"/>
        <v>118</v>
      </c>
    </row>
    <row r="28" spans="1:23" ht="13">
      <c r="A28" s="48">
        <v>5</v>
      </c>
      <c r="B28" s="49">
        <v>2</v>
      </c>
      <c r="C28" s="54">
        <v>174</v>
      </c>
      <c r="D28" s="50">
        <v>797</v>
      </c>
      <c r="E28" s="50">
        <v>230</v>
      </c>
      <c r="F28" s="50">
        <v>96</v>
      </c>
      <c r="G28" s="50">
        <v>201</v>
      </c>
      <c r="H28" s="31">
        <v>98</v>
      </c>
      <c r="I28" s="47"/>
      <c r="J28" s="48">
        <v>5</v>
      </c>
      <c r="K28" s="49">
        <v>2</v>
      </c>
      <c r="L28" s="30" t="str">
        <f>IF(Data!$B$23&gt;0.1,IF(OR(Data!B$3="A",Data!B$3="LH"),IF($J28=Data!$B$4,IF($K28=Data!$B$6,C28*Data!B$23,""),""),""),"")</f>
        <v/>
      </c>
      <c r="M28" s="30" t="str">
        <f>IF(Data!$B$19&gt;0,IF(OR(Data!B$3="A",Data!B$3="LH"),IF($J28=Data!$B$4,IF($K28=Data!$B$6,D28*Data!B$19,""),""),""),"")</f>
        <v/>
      </c>
      <c r="N28" s="30" t="str">
        <f>IF(Data!$B$15="Y",IF(OR(Data!B$3="A",Data!B$3="LH"),IF($J28=Data!$B$4,IF($K28=Data!$B$6,E28,""),""),""),"")</f>
        <v/>
      </c>
      <c r="O28" s="30" t="str">
        <f>IF(AND($J28=Data!$B$4,$K28=Data!$B$6,Data!B$10="V"),G28+F28,"")</f>
        <v/>
      </c>
      <c r="P28" s="30" t="str">
        <f>IF(Data!$B$13&gt;0.1,IF(OR(Data!B$3="A",Data!B$3="LH"),IF($J28=Data!$B$4,IF($K28=Data!$B$6,H28*Data!B$13,""),""),""),"")</f>
        <v/>
      </c>
      <c r="R28" s="47">
        <f t="shared" si="1"/>
        <v>209</v>
      </c>
      <c r="S28" s="47">
        <f t="shared" si="2"/>
        <v>957</v>
      </c>
      <c r="T28" s="47">
        <f t="shared" si="3"/>
        <v>276</v>
      </c>
      <c r="U28" s="47">
        <f t="shared" si="4"/>
        <v>116</v>
      </c>
      <c r="V28" s="47">
        <f t="shared" si="5"/>
        <v>242</v>
      </c>
      <c r="W28" s="47">
        <f t="shared" si="6"/>
        <v>118</v>
      </c>
    </row>
    <row r="29" spans="1:23" ht="13">
      <c r="A29" s="48">
        <v>6</v>
      </c>
      <c r="B29" s="49">
        <v>1.375</v>
      </c>
      <c r="C29" s="54">
        <v>185</v>
      </c>
      <c r="D29" s="50">
        <v>797</v>
      </c>
      <c r="E29" s="50">
        <v>108</v>
      </c>
      <c r="F29" s="50">
        <v>54</v>
      </c>
      <c r="G29" s="50">
        <v>347</v>
      </c>
      <c r="H29" s="31">
        <v>106</v>
      </c>
      <c r="I29" s="47"/>
      <c r="J29" s="48">
        <v>6</v>
      </c>
      <c r="K29" s="49">
        <v>1.375</v>
      </c>
      <c r="L29" s="30" t="str">
        <f>IF(Data!$B$23&gt;0.1,IF(OR(Data!B$3="A",Data!B$3="LH"),IF($J29=Data!$B$4,IF($K29=Data!$B$6,C29*Data!B$23,""),""),""),"")</f>
        <v/>
      </c>
      <c r="M29" s="30" t="str">
        <f>IF(Data!$B$19&gt;0,IF(OR(Data!B$3="A",Data!B$3="LH"),IF($J29=Data!$B$4,IF($K29=Data!$B$6,D29*Data!B$19,""),""),""),"")</f>
        <v/>
      </c>
      <c r="N29" s="30" t="str">
        <f>IF(Data!$B$15="Y",IF(OR(Data!B$3="A",Data!B$3="LH"),IF($J29=Data!$B$4,IF($K29=Data!$B$6,E29,""),""),""),"")</f>
        <v/>
      </c>
      <c r="O29" s="30" t="str">
        <f>IF(AND($J29=Data!$B$4,$K29=Data!$B$6,Data!B$10="V"),G29+F29,"")</f>
        <v/>
      </c>
      <c r="P29" s="30" t="str">
        <f>IF(Data!$B$13&gt;0.1,IF(OR(Data!B$3="A",Data!B$3="LH"),IF($J29=Data!$B$4,IF($K29=Data!$B$6,H29*Data!B$13,""),""),""),"")</f>
        <v/>
      </c>
      <c r="R29" s="47">
        <f t="shared" si="1"/>
        <v>222</v>
      </c>
      <c r="S29" s="47">
        <f t="shared" si="2"/>
        <v>957</v>
      </c>
      <c r="T29" s="47">
        <f t="shared" si="3"/>
        <v>130</v>
      </c>
      <c r="U29" s="47">
        <f t="shared" si="4"/>
        <v>65</v>
      </c>
      <c r="V29" s="47">
        <f t="shared" si="5"/>
        <v>417</v>
      </c>
      <c r="W29" s="47">
        <f t="shared" si="6"/>
        <v>128</v>
      </c>
    </row>
    <row r="30" spans="1:23" ht="13">
      <c r="A30" s="48">
        <v>6</v>
      </c>
      <c r="B30" s="49">
        <v>1.75</v>
      </c>
      <c r="C30" s="54">
        <v>185</v>
      </c>
      <c r="D30" s="50">
        <v>797</v>
      </c>
      <c r="E30" s="50">
        <v>150</v>
      </c>
      <c r="F30" s="50">
        <v>64</v>
      </c>
      <c r="G30" s="50">
        <v>347</v>
      </c>
      <c r="H30" s="31">
        <v>106</v>
      </c>
      <c r="I30" s="47"/>
      <c r="J30" s="48">
        <v>6</v>
      </c>
      <c r="K30" s="49">
        <v>1.75</v>
      </c>
      <c r="L30" s="30" t="str">
        <f>IF(Data!$B$23&gt;0.1,IF(OR(Data!B$3="A",Data!B$3="LH"),IF($J30=Data!$B$4,IF($K30=Data!$B$6,C30*Data!B$23,""),""),""),"")</f>
        <v/>
      </c>
      <c r="M30" s="30" t="str">
        <f>IF(Data!$B$19&gt;0,IF(OR(Data!B$3="A",Data!B$3="LH"),IF($J30=Data!$B$4,IF($K30=Data!$B$6,D30*Data!B$19,""),""),""),"")</f>
        <v/>
      </c>
      <c r="N30" s="30" t="str">
        <f>IF(Data!$B$15="Y",IF(OR(Data!B$3="A",Data!B$3="LH"),IF($J30=Data!$B$4,IF($K30=Data!$B$6,E30,""),""),""),"")</f>
        <v/>
      </c>
      <c r="O30" s="30" t="str">
        <f>IF(AND($J30=Data!$B$4,$K30=Data!$B$6,Data!B$10="V"),G30+F30,"")</f>
        <v/>
      </c>
      <c r="P30" s="30" t="str">
        <f>IF(Data!$B$13&gt;0.1,IF(OR(Data!B$3="A",Data!B$3="LH"),IF($J30=Data!$B$4,IF($K30=Data!$B$6,H30*Data!B$13,""),""),""),"")</f>
        <v/>
      </c>
      <c r="R30" s="47">
        <f t="shared" si="1"/>
        <v>222</v>
      </c>
      <c r="S30" s="47">
        <f t="shared" si="2"/>
        <v>957</v>
      </c>
      <c r="T30" s="47">
        <f t="shared" si="3"/>
        <v>180</v>
      </c>
      <c r="U30" s="47">
        <f t="shared" si="4"/>
        <v>77</v>
      </c>
      <c r="V30" s="47">
        <f t="shared" si="5"/>
        <v>417</v>
      </c>
      <c r="W30" s="47">
        <f t="shared" si="6"/>
        <v>128</v>
      </c>
    </row>
    <row r="31" spans="1:23" ht="13">
      <c r="A31" s="48">
        <v>6</v>
      </c>
      <c r="B31" s="49">
        <v>2</v>
      </c>
      <c r="C31" s="54">
        <v>185</v>
      </c>
      <c r="D31" s="50">
        <v>797</v>
      </c>
      <c r="E31" s="50">
        <v>230</v>
      </c>
      <c r="F31" s="50">
        <v>96</v>
      </c>
      <c r="G31" s="50">
        <v>347</v>
      </c>
      <c r="H31" s="31">
        <v>106</v>
      </c>
      <c r="I31" s="47"/>
      <c r="J31" s="48">
        <v>6</v>
      </c>
      <c r="K31" s="49">
        <v>2</v>
      </c>
      <c r="L31" s="30" t="str">
        <f>IF(Data!$B$23&gt;0.1,IF(OR(Data!B$3="A",Data!B$3="LH"),IF($J31=Data!$B$4,IF($K31=Data!$B$6,C31*Data!B$23,""),""),""),"")</f>
        <v/>
      </c>
      <c r="M31" s="30" t="str">
        <f>IF(Data!$B$19&gt;0,IF(OR(Data!B$3="A",Data!B$3="LH"),IF($J31=Data!$B$4,IF($K31=Data!$B$6,D31*Data!B$19,""),""),""),"")</f>
        <v/>
      </c>
      <c r="N31" s="30" t="str">
        <f>IF(Data!$B$15="Y",IF(OR(Data!B$3="A",Data!B$3="LH"),IF($J31=Data!$B$4,IF($K31=Data!$B$6,E31,""),""),""),"")</f>
        <v/>
      </c>
      <c r="O31" s="30" t="str">
        <f>IF(AND($J31=Data!$B$4,$K31=Data!$B$6,Data!B$10="V"),G31+F31,"")</f>
        <v/>
      </c>
      <c r="P31" s="30" t="str">
        <f>IF(Data!$B$13&gt;0.1,IF(OR(Data!B$3="A",Data!B$3="LH"),IF($J31=Data!$B$4,IF($K31=Data!$B$6,H31*Data!B$13,""),""),""),"")</f>
        <v/>
      </c>
      <c r="R31" s="47">
        <f t="shared" si="1"/>
        <v>222</v>
      </c>
      <c r="S31" s="47">
        <f t="shared" si="2"/>
        <v>957</v>
      </c>
      <c r="T31" s="47">
        <f t="shared" si="3"/>
        <v>276</v>
      </c>
      <c r="U31" s="47">
        <f t="shared" si="4"/>
        <v>116</v>
      </c>
      <c r="V31" s="47">
        <f t="shared" si="5"/>
        <v>417</v>
      </c>
      <c r="W31" s="47">
        <f t="shared" si="6"/>
        <v>128</v>
      </c>
    </row>
    <row r="32" spans="1:23" ht="13">
      <c r="A32" s="48">
        <v>6</v>
      </c>
      <c r="B32" s="49">
        <v>2.5</v>
      </c>
      <c r="C32" s="54">
        <v>185</v>
      </c>
      <c r="D32" s="50">
        <v>797</v>
      </c>
      <c r="E32" s="50">
        <v>408</v>
      </c>
      <c r="F32" s="50">
        <v>159</v>
      </c>
      <c r="G32" s="50">
        <v>347</v>
      </c>
      <c r="H32" s="31">
        <v>106</v>
      </c>
      <c r="I32" s="47"/>
      <c r="J32" s="48">
        <v>6</v>
      </c>
      <c r="K32" s="49">
        <v>2.5</v>
      </c>
      <c r="L32" s="30" t="str">
        <f>IF(Data!$B$23&gt;0.1,IF(OR(Data!B$3="A",Data!B$3="LH"),IF($J32=Data!$B$4,IF($K32=Data!$B$6,C32*Data!B$23,""),""),""),"")</f>
        <v/>
      </c>
      <c r="M32" s="30" t="str">
        <f>IF(Data!$B$19&gt;0,IF(OR(Data!B$3="A",Data!B$3="LH"),IF($J32=Data!$B$4,IF($K32=Data!$B$6,D32*Data!B$19,""),""),""),"")</f>
        <v/>
      </c>
      <c r="N32" s="30" t="str">
        <f>IF(Data!$B$15="Y",IF(OR(Data!B$3="A",Data!B$3="LH"),IF($J32=Data!$B$4,IF($K32=Data!$B$6,E32,""),""),""),"")</f>
        <v/>
      </c>
      <c r="O32" s="30" t="str">
        <f>IF(AND($J32=Data!$B$4,$K32=Data!$B$6,Data!B$10="V"),G32+F32,"")</f>
        <v/>
      </c>
      <c r="P32" s="30" t="str">
        <f>IF(Data!$B$13&gt;0.1,IF(OR(Data!B$3="A",Data!B$3="LH"),IF($J32=Data!$B$4,IF($K32=Data!$B$6,H32*Data!B$13,""),""),""),"")</f>
        <v/>
      </c>
      <c r="R32" s="47">
        <f t="shared" si="1"/>
        <v>222</v>
      </c>
      <c r="S32" s="47">
        <f t="shared" si="2"/>
        <v>957</v>
      </c>
      <c r="T32" s="47">
        <f t="shared" si="3"/>
        <v>490</v>
      </c>
      <c r="U32" s="47">
        <f t="shared" si="4"/>
        <v>191</v>
      </c>
      <c r="V32" s="47">
        <f t="shared" si="5"/>
        <v>417</v>
      </c>
      <c r="W32" s="47">
        <f t="shared" si="6"/>
        <v>128</v>
      </c>
    </row>
    <row r="33" spans="1:23" ht="13">
      <c r="A33" s="48">
        <v>7</v>
      </c>
      <c r="B33" s="49">
        <v>1.375</v>
      </c>
      <c r="C33" s="54">
        <v>192</v>
      </c>
      <c r="D33" s="50">
        <v>797</v>
      </c>
      <c r="E33" s="50">
        <v>108</v>
      </c>
      <c r="F33" s="50">
        <v>54</v>
      </c>
      <c r="G33" s="50">
        <v>413</v>
      </c>
      <c r="H33" s="31">
        <v>114</v>
      </c>
      <c r="I33" s="47"/>
      <c r="J33" s="48">
        <v>7</v>
      </c>
      <c r="K33" s="49">
        <v>1.375</v>
      </c>
      <c r="L33" s="30" t="str">
        <f>IF(Data!$B$23&gt;0.1,IF(OR(Data!B$3="A",Data!B$3="LH"),IF($J33=Data!$B$4,IF($K33=Data!$B$6,C33*Data!B$23,""),""),""),"")</f>
        <v/>
      </c>
      <c r="M33" s="30" t="str">
        <f>IF(Data!$B$19&gt;0,IF(OR(Data!B$3="A",Data!B$3="LH"),IF($J33=Data!$B$4,IF($K33=Data!$B$6,D33*Data!B$19,""),""),""),"")</f>
        <v/>
      </c>
      <c r="N33" s="30" t="str">
        <f>IF(Data!$B$15="Y",IF(OR(Data!B$3="A",Data!B$3="LH"),IF($J33=Data!$B$4,IF($K33=Data!$B$6,E33,""),""),""),"")</f>
        <v/>
      </c>
      <c r="O33" s="30" t="str">
        <f>IF(AND($J33=Data!$B$4,$K33=Data!$B$6,Data!B$10="V"),G33+F33,"")</f>
        <v/>
      </c>
      <c r="P33" s="30" t="str">
        <f>IF(Data!$B$13&gt;0.1,IF(OR(Data!B$3="A",Data!B$3="LH"),IF($J33=Data!$B$4,IF($K33=Data!$B$6,H33*Data!B$13,""),""),""),"")</f>
        <v/>
      </c>
      <c r="R33" s="47">
        <f t="shared" si="1"/>
        <v>231</v>
      </c>
      <c r="S33" s="47">
        <f t="shared" si="2"/>
        <v>957</v>
      </c>
      <c r="T33" s="47">
        <f t="shared" si="3"/>
        <v>130</v>
      </c>
      <c r="U33" s="47">
        <f t="shared" si="4"/>
        <v>65</v>
      </c>
      <c r="V33" s="47">
        <f t="shared" si="5"/>
        <v>496</v>
      </c>
      <c r="W33" s="47">
        <f t="shared" si="6"/>
        <v>137</v>
      </c>
    </row>
    <row r="34" spans="1:23" ht="13">
      <c r="A34" s="48">
        <v>7</v>
      </c>
      <c r="B34" s="49">
        <v>1.75</v>
      </c>
      <c r="C34" s="54">
        <v>192</v>
      </c>
      <c r="D34" s="50">
        <v>797</v>
      </c>
      <c r="E34" s="50">
        <v>150</v>
      </c>
      <c r="F34" s="50">
        <v>64</v>
      </c>
      <c r="G34" s="50">
        <v>413</v>
      </c>
      <c r="H34" s="31">
        <v>114</v>
      </c>
      <c r="I34" s="47"/>
      <c r="J34" s="48">
        <v>7</v>
      </c>
      <c r="K34" s="49">
        <v>1.75</v>
      </c>
      <c r="L34" s="30" t="str">
        <f>IF(Data!$B$23&gt;0.1,IF(OR(Data!B$3="A",Data!B$3="LH"),IF($J34=Data!$B$4,IF($K34=Data!$B$6,C34*Data!B$23,""),""),""),"")</f>
        <v/>
      </c>
      <c r="M34" s="30" t="str">
        <f>IF(Data!$B$19&gt;0,IF(OR(Data!B$3="A",Data!B$3="LH"),IF($J34=Data!$B$4,IF($K34=Data!$B$6,D34*Data!B$19,""),""),""),"")</f>
        <v/>
      </c>
      <c r="N34" s="30" t="str">
        <f>IF(Data!$B$15="Y",IF(OR(Data!B$3="A",Data!B$3="LH"),IF($J34=Data!$B$4,IF($K34=Data!$B$6,E34,""),""),""),"")</f>
        <v/>
      </c>
      <c r="O34" s="30" t="str">
        <f>IF(AND($J34=Data!$B$4,$K34=Data!$B$6,Data!B$10="V"),G34+F34,"")</f>
        <v/>
      </c>
      <c r="P34" s="30" t="str">
        <f>IF(Data!$B$13&gt;0.1,IF(OR(Data!B$3="A",Data!B$3="LH"),IF($J34=Data!$B$4,IF($K34=Data!$B$6,H34*Data!B$13,""),""),""),"")</f>
        <v/>
      </c>
      <c r="R34" s="47">
        <f t="shared" si="1"/>
        <v>231</v>
      </c>
      <c r="S34" s="47">
        <f t="shared" si="2"/>
        <v>957</v>
      </c>
      <c r="T34" s="47">
        <f t="shared" si="3"/>
        <v>180</v>
      </c>
      <c r="U34" s="47">
        <f t="shared" si="4"/>
        <v>77</v>
      </c>
      <c r="V34" s="47">
        <f t="shared" si="5"/>
        <v>496</v>
      </c>
      <c r="W34" s="47">
        <f t="shared" si="6"/>
        <v>137</v>
      </c>
    </row>
    <row r="35" spans="1:23" ht="13">
      <c r="A35" s="48">
        <v>7</v>
      </c>
      <c r="B35" s="49">
        <v>2</v>
      </c>
      <c r="C35" s="54">
        <v>192</v>
      </c>
      <c r="D35" s="50">
        <v>797</v>
      </c>
      <c r="E35" s="50">
        <v>230</v>
      </c>
      <c r="F35" s="50">
        <v>96</v>
      </c>
      <c r="G35" s="50">
        <v>413</v>
      </c>
      <c r="H35" s="31">
        <v>114</v>
      </c>
      <c r="I35" s="47"/>
      <c r="J35" s="48">
        <v>7</v>
      </c>
      <c r="K35" s="49">
        <v>2</v>
      </c>
      <c r="L35" s="30" t="str">
        <f>IF(Data!$B$23&gt;0.1,IF(OR(Data!B$3="A",Data!B$3="LH"),IF($J35=Data!$B$4,IF($K35=Data!$B$6,C35*Data!B$23,""),""),""),"")</f>
        <v/>
      </c>
      <c r="M35" s="30" t="str">
        <f>IF(Data!$B$19&gt;0,IF(OR(Data!B$3="A",Data!B$3="LH"),IF($J35=Data!$B$4,IF($K35=Data!$B$6,D35*Data!B$19,""),""),""),"")</f>
        <v/>
      </c>
      <c r="N35" s="30" t="str">
        <f>IF(Data!$B$15="Y",IF(OR(Data!B$3="A",Data!B$3="LH"),IF($J35=Data!$B$4,IF($K35=Data!$B$6,E35,""),""),""),"")</f>
        <v/>
      </c>
      <c r="O35" s="30" t="str">
        <f>IF(AND($J35=Data!$B$4,$K35=Data!$B$6,Data!B$10="V"),G35+F35,"")</f>
        <v/>
      </c>
      <c r="P35" s="30" t="str">
        <f>IF(Data!$B$13&gt;0.1,IF(OR(Data!B$3="A",Data!B$3="LH"),IF($J35=Data!$B$4,IF($K35=Data!$B$6,H35*Data!B$13,""),""),""),"")</f>
        <v/>
      </c>
      <c r="R35" s="47">
        <f t="shared" si="1"/>
        <v>231</v>
      </c>
      <c r="S35" s="47">
        <f t="shared" si="2"/>
        <v>957</v>
      </c>
      <c r="T35" s="47">
        <f t="shared" si="3"/>
        <v>276</v>
      </c>
      <c r="U35" s="47">
        <f t="shared" si="4"/>
        <v>116</v>
      </c>
      <c r="V35" s="47">
        <f t="shared" si="5"/>
        <v>496</v>
      </c>
      <c r="W35" s="47">
        <f t="shared" si="6"/>
        <v>137</v>
      </c>
    </row>
    <row r="36" spans="1:23" ht="13">
      <c r="A36" s="48">
        <v>7</v>
      </c>
      <c r="B36" s="49">
        <v>2.5</v>
      </c>
      <c r="C36" s="54">
        <v>192</v>
      </c>
      <c r="D36" s="50">
        <v>797</v>
      </c>
      <c r="E36" s="50">
        <v>408</v>
      </c>
      <c r="F36" s="50">
        <v>159</v>
      </c>
      <c r="G36" s="50">
        <v>413</v>
      </c>
      <c r="H36" s="31">
        <v>114</v>
      </c>
      <c r="I36" s="47"/>
      <c r="J36" s="48">
        <v>7</v>
      </c>
      <c r="K36" s="49">
        <v>2.5</v>
      </c>
      <c r="L36" s="30" t="str">
        <f>IF(Data!$B$23&gt;0.1,IF(OR(Data!B$3="A",Data!B$3="LH"),IF($J36=Data!$B$4,IF($K36=Data!$B$6,C36*Data!B$23,""),""),""),"")</f>
        <v/>
      </c>
      <c r="M36" s="30" t="str">
        <f>IF(Data!$B$19&gt;0,IF(OR(Data!B$3="A",Data!B$3="LH"),IF($J36=Data!$B$4,IF($K36=Data!$B$6,D36*Data!B$19,""),""),""),"")</f>
        <v/>
      </c>
      <c r="N36" s="30" t="str">
        <f>IF(Data!$B$15="Y",IF(OR(Data!B$3="A",Data!B$3="LH"),IF($J36=Data!$B$4,IF($K36=Data!$B$6,E36,""),""),""),"")</f>
        <v/>
      </c>
      <c r="O36" s="30" t="str">
        <f>IF(AND($J36=Data!$B$4,$K36=Data!$B$6,Data!B$10="V"),G36+F36,"")</f>
        <v/>
      </c>
      <c r="P36" s="30" t="str">
        <f>IF(Data!$B$13&gt;0.1,IF(OR(Data!B$3="A",Data!B$3="LH"),IF($J36=Data!$B$4,IF($K36=Data!$B$6,H36*Data!B$13,""),""),""),"")</f>
        <v/>
      </c>
      <c r="R36" s="47">
        <f t="shared" si="1"/>
        <v>231</v>
      </c>
      <c r="S36" s="47">
        <f t="shared" si="2"/>
        <v>957</v>
      </c>
      <c r="T36" s="47">
        <f t="shared" si="3"/>
        <v>490</v>
      </c>
      <c r="U36" s="47">
        <f t="shared" si="4"/>
        <v>191</v>
      </c>
      <c r="V36" s="47">
        <f t="shared" si="5"/>
        <v>496</v>
      </c>
      <c r="W36" s="47">
        <f t="shared" si="6"/>
        <v>137</v>
      </c>
    </row>
    <row r="37" spans="1:23" ht="13">
      <c r="A37" s="48">
        <v>8</v>
      </c>
      <c r="B37" s="49">
        <v>1.375</v>
      </c>
      <c r="C37" s="31">
        <v>201</v>
      </c>
      <c r="D37" s="50">
        <v>797</v>
      </c>
      <c r="E37" s="50">
        <v>108</v>
      </c>
      <c r="F37" s="50">
        <v>54</v>
      </c>
      <c r="G37" s="50">
        <v>452</v>
      </c>
      <c r="H37" s="31">
        <v>122</v>
      </c>
      <c r="I37" s="47"/>
      <c r="J37" s="48">
        <v>8</v>
      </c>
      <c r="K37" s="49">
        <v>1.375</v>
      </c>
      <c r="L37" s="30" t="str">
        <f>IF(Data!$B$23&gt;0.1,IF(OR(Data!B$3="A",Data!B$3="LH"),IF($J37=Data!$B$4,IF($K37=Data!$B$6,C37*Data!B$23,""),""),""),"")</f>
        <v/>
      </c>
      <c r="M37" s="30" t="str">
        <f>IF(Data!$B$19&gt;0,IF(OR(Data!B$3="A",Data!B$3="LH"),IF($J37=Data!$B$4,IF($K37=Data!$B$6,D37*Data!B$19,""),""),""),"")</f>
        <v/>
      </c>
      <c r="N37" s="30" t="str">
        <f>IF(Data!$B$15="Y",IF(OR(Data!B$3="A",Data!B$3="LH"),IF($J37=Data!$B$4,IF($K37=Data!$B$6,E37,""),""),""),"")</f>
        <v/>
      </c>
      <c r="O37" s="30" t="str">
        <f>IF(AND($J37=Data!$B$4,$K37=Data!$B$6,Data!B$10="V"),G37+F37,"")</f>
        <v/>
      </c>
      <c r="P37" s="30" t="str">
        <f>IF(Data!$B$13&gt;0.1,IF(OR(Data!B$3="A",Data!B$3="LH"),IF($J37=Data!$B$4,IF($K37=Data!$B$6,H37*Data!B$13,""),""),""),"")</f>
        <v/>
      </c>
      <c r="R37" s="47">
        <f t="shared" si="1"/>
        <v>242</v>
      </c>
      <c r="S37" s="47">
        <f t="shared" si="2"/>
        <v>957</v>
      </c>
      <c r="T37" s="47">
        <f t="shared" si="3"/>
        <v>130</v>
      </c>
      <c r="U37" s="47">
        <f t="shared" si="4"/>
        <v>65</v>
      </c>
      <c r="V37" s="47">
        <f t="shared" si="5"/>
        <v>543</v>
      </c>
      <c r="W37" s="47">
        <f t="shared" si="6"/>
        <v>147</v>
      </c>
    </row>
    <row r="38" spans="1:23" ht="13">
      <c r="A38" s="51">
        <v>8</v>
      </c>
      <c r="B38" s="49">
        <v>1.75</v>
      </c>
      <c r="C38" s="54">
        <v>201</v>
      </c>
      <c r="D38" s="50">
        <v>797</v>
      </c>
      <c r="E38" s="50">
        <v>150</v>
      </c>
      <c r="F38" s="50">
        <v>64</v>
      </c>
      <c r="G38" s="50">
        <v>452</v>
      </c>
      <c r="H38" s="31">
        <v>122</v>
      </c>
      <c r="I38" s="47"/>
      <c r="J38" s="51">
        <v>8</v>
      </c>
      <c r="K38" s="49">
        <v>1.75</v>
      </c>
      <c r="L38" s="30" t="str">
        <f>IF(Data!$B$23&gt;0.1,IF(OR(Data!B$3="A",Data!B$3="LH"),IF($J38=Data!$B$4,IF($K38=Data!$B$6,C38*Data!B$23,""),""),""),"")</f>
        <v/>
      </c>
      <c r="M38" s="30" t="str">
        <f>IF(Data!$B$19&gt;0,IF(OR(Data!B$3="A",Data!B$3="LH"),IF($J38=Data!$B$4,IF($K38=Data!$B$6,D38*Data!B$19,""),""),""),"")</f>
        <v/>
      </c>
      <c r="N38" s="30" t="str">
        <f>IF(Data!$B$15="Y",IF(OR(Data!B$3="A",Data!B$3="LH"),IF($J38=Data!$B$4,IF($K38=Data!$B$6,E38,""),""),""),"")</f>
        <v/>
      </c>
      <c r="O38" s="30" t="str">
        <f>IF(AND($J38=Data!$B$4,$K38=Data!$B$6,Data!B$10="V"),G38+F38,"")</f>
        <v/>
      </c>
      <c r="P38" s="30" t="str">
        <f>IF(Data!$B$13&gt;0.1,IF(OR(Data!B$3="A",Data!B$3="LH"),IF($J38=Data!$B$4,IF($K38=Data!$B$6,H38*Data!B$13,""),""),""),"")</f>
        <v/>
      </c>
      <c r="R38" s="47">
        <f t="shared" si="1"/>
        <v>242</v>
      </c>
      <c r="S38" s="47">
        <f t="shared" si="2"/>
        <v>957</v>
      </c>
      <c r="T38" s="47">
        <f t="shared" si="3"/>
        <v>180</v>
      </c>
      <c r="U38" s="47">
        <f t="shared" si="4"/>
        <v>77</v>
      </c>
      <c r="V38" s="47">
        <f t="shared" si="5"/>
        <v>543</v>
      </c>
      <c r="W38" s="47">
        <f t="shared" si="6"/>
        <v>147</v>
      </c>
    </row>
    <row r="39" spans="1:23" ht="13">
      <c r="A39" s="51">
        <v>8</v>
      </c>
      <c r="B39" s="49">
        <v>2</v>
      </c>
      <c r="C39" s="54">
        <v>201</v>
      </c>
      <c r="D39" s="50">
        <v>797</v>
      </c>
      <c r="E39" s="50">
        <v>230</v>
      </c>
      <c r="F39" s="50">
        <v>94</v>
      </c>
      <c r="G39" s="50">
        <v>452</v>
      </c>
      <c r="H39" s="31">
        <v>122</v>
      </c>
      <c r="I39" s="47"/>
      <c r="J39" s="51">
        <v>8</v>
      </c>
      <c r="K39" s="49">
        <v>2</v>
      </c>
      <c r="L39" s="30" t="str">
        <f>IF(Data!$B$23&gt;0.1,IF(OR(Data!B$3="A",Data!B$3="LH"),IF($J39=Data!$B$4,IF($K39=Data!$B$6,C39*Data!B$23,""),""),""),"")</f>
        <v/>
      </c>
      <c r="M39" s="30" t="str">
        <f>IF(Data!$B$19&gt;0,IF(OR(Data!B$3="A",Data!B$3="LH"),IF($J39=Data!$B$4,IF($K39=Data!$B$6,D39*Data!B$19,""),""),""),"")</f>
        <v/>
      </c>
      <c r="N39" s="30" t="str">
        <f>IF(Data!$B$15="Y",IF(OR(Data!B$3="A",Data!B$3="LH"),IF($J39=Data!$B$4,IF($K39=Data!$B$6,E39,""),""),""),"")</f>
        <v/>
      </c>
      <c r="O39" s="30" t="str">
        <f>IF(AND($J39=Data!$B$4,$K39=Data!$B$6,Data!B$10="V"),G39+F39,"")</f>
        <v/>
      </c>
      <c r="P39" s="30" t="str">
        <f>IF(Data!$B$13&gt;0.1,IF(OR(Data!B$3="A",Data!B$3="LH"),IF($J39=Data!$B$4,IF($K39=Data!$B$6,H39*Data!B$13,""),""),""),"")</f>
        <v/>
      </c>
      <c r="R39" s="47">
        <f t="shared" si="1"/>
        <v>242</v>
      </c>
      <c r="S39" s="47">
        <f t="shared" si="2"/>
        <v>957</v>
      </c>
      <c r="T39" s="47">
        <f t="shared" si="3"/>
        <v>276</v>
      </c>
      <c r="U39" s="47">
        <f t="shared" si="4"/>
        <v>113</v>
      </c>
      <c r="V39" s="47">
        <f t="shared" si="5"/>
        <v>543</v>
      </c>
      <c r="W39" s="47">
        <f t="shared" si="6"/>
        <v>147</v>
      </c>
    </row>
    <row r="40" spans="1:23" ht="13">
      <c r="A40" s="51">
        <v>8</v>
      </c>
      <c r="B40" s="49">
        <v>2.5</v>
      </c>
      <c r="C40" s="54">
        <v>201</v>
      </c>
      <c r="D40" s="50">
        <v>797</v>
      </c>
      <c r="E40" s="50">
        <v>408</v>
      </c>
      <c r="F40" s="50">
        <v>159</v>
      </c>
      <c r="G40" s="50">
        <v>452</v>
      </c>
      <c r="H40" s="31">
        <v>122</v>
      </c>
      <c r="I40" s="47"/>
      <c r="J40" s="51">
        <v>8</v>
      </c>
      <c r="K40" s="49">
        <v>2.5</v>
      </c>
      <c r="L40" s="30" t="str">
        <f>IF(Data!$B$23&gt;0.1,IF(OR(Data!B$3="A",Data!B$3="LH"),IF($J40=Data!$B$4,IF($K40=Data!$B$6,C40*Data!B$23,""),""),""),"")</f>
        <v/>
      </c>
      <c r="M40" s="30" t="str">
        <f>IF(Data!$B$19&gt;0,IF(OR(Data!B$3="A",Data!B$3="LH"),IF($J40=Data!$B$4,IF($K40=Data!$B$6,D40*Data!B$19,""),""),""),"")</f>
        <v/>
      </c>
      <c r="N40" s="30" t="str">
        <f>IF(Data!$B$15="Y",IF(OR(Data!B$3="A",Data!B$3="LH"),IF($J40=Data!$B$4,IF($K40=Data!$B$6,E40,""),""),""),"")</f>
        <v/>
      </c>
      <c r="O40" s="30" t="str">
        <f>IF(AND($J40=Data!$B$4,$K40=Data!$B$6,Data!B$10="V"),G40+F40,"")</f>
        <v/>
      </c>
      <c r="P40" s="30" t="str">
        <f>IF(Data!$B$13&gt;0.1,IF(OR(Data!B$3="A",Data!B$3="LH"),IF($J40=Data!$B$4,IF($K40=Data!$B$6,H40*Data!B$13,""),""),""),"")</f>
        <v/>
      </c>
      <c r="R40" s="47">
        <f t="shared" si="1"/>
        <v>242</v>
      </c>
      <c r="S40" s="47">
        <f t="shared" si="2"/>
        <v>957</v>
      </c>
      <c r="T40" s="47">
        <f t="shared" si="3"/>
        <v>490</v>
      </c>
      <c r="U40" s="47">
        <f t="shared" si="4"/>
        <v>191</v>
      </c>
      <c r="V40" s="47">
        <f t="shared" si="5"/>
        <v>543</v>
      </c>
      <c r="W40" s="47">
        <f t="shared" si="6"/>
        <v>147</v>
      </c>
    </row>
    <row r="41" spans="1:23" ht="13">
      <c r="A41" s="51">
        <v>10</v>
      </c>
      <c r="B41" s="49">
        <v>1.75</v>
      </c>
      <c r="C41" s="32">
        <v>246</v>
      </c>
      <c r="D41" s="50">
        <v>886</v>
      </c>
      <c r="E41" s="50">
        <v>150</v>
      </c>
      <c r="F41" s="50">
        <v>64</v>
      </c>
      <c r="G41" s="50">
        <v>508</v>
      </c>
      <c r="H41" s="32">
        <v>138</v>
      </c>
      <c r="I41" s="47"/>
      <c r="J41" s="51">
        <v>10</v>
      </c>
      <c r="K41" s="49">
        <v>1.75</v>
      </c>
      <c r="L41" s="30" t="str">
        <f>IF(Data!$B$23&gt;0.1,IF(OR(Data!B$3="A",Data!B$3="LH"),IF($J41=Data!$B$4,IF($K41=Data!$B$6,C41*Data!B$23,""),""),""),"")</f>
        <v/>
      </c>
      <c r="M41" s="30" t="str">
        <f>IF(Data!$B$19&gt;0,IF(OR(Data!B$3="A",Data!B$3="LH"),IF($J41=Data!$B$4,IF($K41=Data!$B$6,D41*Data!B$19,""),""),""),"")</f>
        <v/>
      </c>
      <c r="N41" s="30" t="str">
        <f>IF(Data!$B$15="Y",IF(OR(Data!B$3="A",Data!B$3="LH"),IF($J41=Data!$B$4,IF($K41=Data!$B$6,E41,""),""),""),"")</f>
        <v/>
      </c>
      <c r="O41" s="30" t="str">
        <f>IF(AND($J41=Data!$B$4,$K41=Data!$B$6,Data!B$10="V"),G41+F41,"")</f>
        <v/>
      </c>
      <c r="P41" s="30" t="str">
        <f>IF(Data!$B$13&gt;0.1,IF(OR(Data!B$3="A",Data!B$3="LH"),IF($J41=Data!$B$4,IF($K41=Data!$B$6,H41*Data!B$13,""),""),""),"")</f>
        <v/>
      </c>
      <c r="R41" s="47">
        <f t="shared" si="1"/>
        <v>296</v>
      </c>
      <c r="S41" s="47">
        <f t="shared" si="2"/>
        <v>1064</v>
      </c>
      <c r="T41" s="47">
        <f t="shared" si="3"/>
        <v>180</v>
      </c>
      <c r="U41" s="47">
        <f t="shared" si="4"/>
        <v>77</v>
      </c>
      <c r="V41" s="47">
        <f t="shared" si="5"/>
        <v>610</v>
      </c>
      <c r="W41" s="47">
        <f t="shared" si="6"/>
        <v>166</v>
      </c>
    </row>
    <row r="42" spans="1:23" ht="13">
      <c r="A42" s="51">
        <v>10</v>
      </c>
      <c r="B42" s="49">
        <v>2</v>
      </c>
      <c r="C42" s="32">
        <v>246</v>
      </c>
      <c r="D42" s="50">
        <v>892</v>
      </c>
      <c r="E42" s="50">
        <v>230</v>
      </c>
      <c r="F42" s="50">
        <v>96</v>
      </c>
      <c r="G42" s="50">
        <v>508</v>
      </c>
      <c r="H42" s="32">
        <v>138</v>
      </c>
      <c r="I42" s="47"/>
      <c r="J42" s="51">
        <v>10</v>
      </c>
      <c r="K42" s="49">
        <v>2</v>
      </c>
      <c r="L42" s="30" t="str">
        <f>IF(Data!$B$23&gt;0.1,IF(OR(Data!B$3="A",Data!B$3="LH"),IF($J42=Data!$B$4,IF($K42=Data!$B$6,C42*Data!B$23,""),""),""),"")</f>
        <v/>
      </c>
      <c r="M42" s="30" t="str">
        <f>IF(Data!$B$19&gt;0,IF(OR(Data!B$3="A",Data!B$3="LH"),IF($J42=Data!$B$4,IF($K42=Data!$B$6,D42*Data!B$19,""),""),""),"")</f>
        <v/>
      </c>
      <c r="N42" s="30" t="str">
        <f>IF(Data!$B$15="Y",IF(OR(Data!B$3="A",Data!B$3="LH"),IF($J42=Data!$B$4,IF($K42=Data!$B$6,E42,""),""),""),"")</f>
        <v/>
      </c>
      <c r="O42" s="30" t="str">
        <f>IF(AND($J42=Data!$B$4,$K42=Data!$B$6,Data!B$10="V"),G42+F42,"")</f>
        <v/>
      </c>
      <c r="P42" s="30" t="str">
        <f>IF(Data!$B$13&gt;0.1,IF(OR(Data!B$3="A",Data!B$3="LH"),IF($J42=Data!$B$4,IF($K42=Data!$B$6,H42*Data!B$13,""),""),""),"")</f>
        <v/>
      </c>
      <c r="R42" s="47">
        <f t="shared" si="1"/>
        <v>296</v>
      </c>
      <c r="S42" s="47">
        <f t="shared" si="2"/>
        <v>1071</v>
      </c>
      <c r="T42" s="47">
        <f t="shared" si="3"/>
        <v>276</v>
      </c>
      <c r="U42" s="47">
        <f t="shared" si="4"/>
        <v>116</v>
      </c>
      <c r="V42" s="47">
        <f t="shared" si="5"/>
        <v>610</v>
      </c>
      <c r="W42" s="47">
        <f t="shared" si="6"/>
        <v>166</v>
      </c>
    </row>
    <row r="43" spans="1:23" ht="13">
      <c r="A43" s="51">
        <v>10</v>
      </c>
      <c r="B43" s="49">
        <v>2.5</v>
      </c>
      <c r="C43" s="32">
        <v>246</v>
      </c>
      <c r="D43" s="50">
        <v>894</v>
      </c>
      <c r="E43" s="50">
        <v>408</v>
      </c>
      <c r="F43" s="50">
        <v>159</v>
      </c>
      <c r="G43" s="50">
        <v>508</v>
      </c>
      <c r="H43" s="32">
        <v>138</v>
      </c>
      <c r="I43" s="47"/>
      <c r="J43" s="51">
        <v>10</v>
      </c>
      <c r="K43" s="49">
        <v>2.5</v>
      </c>
      <c r="L43" s="30" t="str">
        <f>IF(Data!$B$23&gt;0.1,IF(OR(Data!B$3="A",Data!B$3="LH"),IF($J43=Data!$B$4,IF($K43=Data!$B$6,C43*Data!B$23,""),""),""),"")</f>
        <v/>
      </c>
      <c r="M43" s="30" t="str">
        <f>IF(Data!$B$19&gt;0,IF(OR(Data!B$3="A",Data!B$3="LH"),IF($J43=Data!$B$4,IF($K43=Data!$B$6,D43*Data!B$19,""),""),""),"")</f>
        <v/>
      </c>
      <c r="N43" s="30" t="str">
        <f>IF(Data!$B$15="Y",IF(OR(Data!B$3="A",Data!B$3="LH"),IF($J43=Data!$B$4,IF($K43=Data!$B$6,E43,""),""),""),"")</f>
        <v/>
      </c>
      <c r="O43" s="30" t="str">
        <f>IF(AND($J43=Data!$B$4,$K43=Data!$B$6,Data!B$10="V"),G43+F43,"")</f>
        <v/>
      </c>
      <c r="P43" s="30" t="str">
        <f>IF(Data!$B$13&gt;0.1,IF(OR(Data!B$3="A",Data!B$3="LH"),IF($J43=Data!$B$4,IF($K43=Data!$B$6,H43*Data!B$13,""),""),""),"")</f>
        <v/>
      </c>
      <c r="R43" s="47">
        <f t="shared" si="1"/>
        <v>296</v>
      </c>
      <c r="S43" s="47">
        <f t="shared" si="2"/>
        <v>1073</v>
      </c>
      <c r="T43" s="47">
        <f t="shared" si="3"/>
        <v>490</v>
      </c>
      <c r="U43" s="47">
        <f t="shared" si="4"/>
        <v>191</v>
      </c>
      <c r="V43" s="47">
        <f t="shared" si="5"/>
        <v>610</v>
      </c>
      <c r="W43" s="47">
        <f t="shared" si="6"/>
        <v>166</v>
      </c>
    </row>
    <row r="44" spans="1:23" ht="13">
      <c r="A44" s="51">
        <v>10</v>
      </c>
      <c r="B44" s="52">
        <v>3</v>
      </c>
      <c r="C44" s="32">
        <v>246</v>
      </c>
      <c r="D44" s="30">
        <v>1061</v>
      </c>
      <c r="E44" s="30">
        <v>450</v>
      </c>
      <c r="F44" s="30">
        <v>192</v>
      </c>
      <c r="G44" s="50">
        <v>508</v>
      </c>
      <c r="H44" s="32">
        <v>138</v>
      </c>
      <c r="J44" s="51">
        <v>10</v>
      </c>
      <c r="K44" s="52">
        <v>3</v>
      </c>
      <c r="L44" s="30" t="str">
        <f>IF(Data!$B$23&gt;0.1,IF(OR(Data!B$3="A",Data!B$3="LH"),IF($J44=Data!$B$4,IF($K44=Data!$B$6,C44*Data!B$23,""),""),""),"")</f>
        <v/>
      </c>
      <c r="M44" s="30" t="str">
        <f>IF(Data!$B$19&gt;0,IF(OR(Data!B$3="A",Data!B$3="LH"),IF($J44=Data!$B$4,IF($K44=Data!$B$6,D44*Data!B$19,""),""),""),"")</f>
        <v/>
      </c>
      <c r="N44" s="30" t="str">
        <f>IF(Data!$B$15="Y",IF(OR(Data!B$3="A",Data!B$3="LH"),IF($J44=Data!$B$4,IF($K44=Data!$B$6,E44,""),""),""),"")</f>
        <v/>
      </c>
      <c r="O44" s="30" t="str">
        <f>IF(AND($J44=Data!$B$4,$K44=Data!$B$6,Data!B$10="V"),G44+F44,"")</f>
        <v/>
      </c>
      <c r="P44" s="30" t="str">
        <f>IF(Data!$B$13&gt;0.1,IF(OR(Data!B$3="A",Data!B$3="LH"),IF($J44=Data!$B$4,IF($K44=Data!$B$6,H44*Data!B$13,""),""),""),"")</f>
        <v/>
      </c>
      <c r="R44" s="47">
        <f t="shared" si="1"/>
        <v>296</v>
      </c>
      <c r="S44" s="47">
        <f t="shared" si="2"/>
        <v>1274</v>
      </c>
      <c r="T44" s="47">
        <f t="shared" si="3"/>
        <v>540</v>
      </c>
      <c r="U44" s="47">
        <f t="shared" si="4"/>
        <v>231</v>
      </c>
      <c r="V44" s="47">
        <f t="shared" si="5"/>
        <v>610</v>
      </c>
      <c r="W44" s="47">
        <f t="shared" si="6"/>
        <v>166</v>
      </c>
    </row>
    <row r="45" spans="1:23" ht="13">
      <c r="A45" s="51">
        <v>10</v>
      </c>
      <c r="B45" s="52">
        <v>3.5</v>
      </c>
      <c r="C45" s="32">
        <v>246</v>
      </c>
      <c r="D45" s="30">
        <v>1066</v>
      </c>
      <c r="E45" s="30">
        <v>633</v>
      </c>
      <c r="F45" s="30">
        <v>240</v>
      </c>
      <c r="G45" s="50">
        <v>508</v>
      </c>
      <c r="H45" s="32">
        <v>138</v>
      </c>
      <c r="J45" s="51">
        <v>10</v>
      </c>
      <c r="K45" s="52">
        <v>3.5</v>
      </c>
      <c r="L45" s="30" t="str">
        <f>IF(Data!$B$23&gt;0.1,IF(OR(Data!B$3="A",Data!B$3="LH"),IF($J45=Data!$B$4,IF($K45=Data!$B$6,C45*Data!B$23,""),""),""),"")</f>
        <v/>
      </c>
      <c r="M45" s="30" t="str">
        <f>IF(Data!$B$19&gt;0,IF(OR(Data!B$3="A",Data!B$3="LH"),IF($J45=Data!$B$4,IF($K45=Data!$B$6,D45*Data!B$19,""),""),""),"")</f>
        <v/>
      </c>
      <c r="N45" s="30" t="str">
        <f>IF(Data!$B$15="Y",IF(OR(Data!B$3="A",Data!B$3="LH"),IF($J45=Data!$B$4,IF($K45=Data!$B$6,E45,""),""),""),"")</f>
        <v/>
      </c>
      <c r="O45" s="30" t="str">
        <f>IF(AND($J45=Data!$B$4,$K45=Data!$B$6,Data!B$10="V"),G45+F45,"")</f>
        <v/>
      </c>
      <c r="P45" s="30" t="str">
        <f>IF(Data!$B$13&gt;0.1,IF(OR(Data!B$3="A",Data!B$3="LH"),IF($J45=Data!$B$4,IF($K45=Data!$B$6,H45*Data!B$13,""),""),""),"")</f>
        <v/>
      </c>
      <c r="R45" s="47">
        <f t="shared" si="1"/>
        <v>296</v>
      </c>
      <c r="S45" s="47">
        <f t="shared" si="2"/>
        <v>1280</v>
      </c>
      <c r="T45" s="47">
        <f t="shared" si="3"/>
        <v>760</v>
      </c>
      <c r="U45" s="47">
        <f t="shared" si="4"/>
        <v>288</v>
      </c>
      <c r="V45" s="47">
        <f t="shared" si="5"/>
        <v>610</v>
      </c>
      <c r="W45" s="47">
        <f t="shared" si="6"/>
        <v>166</v>
      </c>
    </row>
    <row r="46" spans="1:23" ht="13">
      <c r="A46" s="53">
        <v>12</v>
      </c>
      <c r="B46" s="52">
        <v>2</v>
      </c>
      <c r="C46" s="31">
        <v>305</v>
      </c>
      <c r="D46" s="30">
        <v>1071</v>
      </c>
      <c r="E46" s="30">
        <v>230</v>
      </c>
      <c r="F46" s="30">
        <v>96</v>
      </c>
      <c r="G46" s="30">
        <v>545</v>
      </c>
      <c r="H46" s="31">
        <v>154</v>
      </c>
      <c r="J46" s="53">
        <v>12</v>
      </c>
      <c r="K46" s="52">
        <v>2</v>
      </c>
      <c r="L46" s="30" t="str">
        <f>IF(Data!$B$23&gt;0.1,IF(OR(Data!B$3="A",Data!B$3="LH"),IF($J46=Data!$B$4,IF($K46=Data!$B$6,C46*Data!B$23,""),""),""),"")</f>
        <v/>
      </c>
      <c r="M46" s="30" t="str">
        <f>IF(Data!$B$19&gt;0,IF(OR(Data!B$3="A",Data!B$3="LH"),IF($J46=Data!$B$4,IF($K46=Data!$B$6,D46*Data!B$19,""),""),""),"")</f>
        <v/>
      </c>
      <c r="N46" s="30" t="str">
        <f>IF(Data!$B$15="Y",IF(OR(Data!B$3="A",Data!B$3="LH"),IF($J46=Data!$B$4,IF($K46=Data!$B$6,E46,""),""),""),"")</f>
        <v/>
      </c>
      <c r="O46" s="30" t="str">
        <f>IF(AND($J46=Data!$B$4,$K46=Data!$B$6,Data!B$10="V"),G46+F46,"")</f>
        <v/>
      </c>
      <c r="P46" s="30" t="str">
        <f>IF(Data!$B$13&gt;0.1,IF(OR(Data!B$3="A",Data!B$3="LH"),IF($J46=Data!$B$4,IF($K46=Data!$B$6,H46*Data!B$13,""),""),""),"")</f>
        <v/>
      </c>
      <c r="R46" s="47">
        <f t="shared" si="1"/>
        <v>366</v>
      </c>
      <c r="S46" s="47">
        <f t="shared" si="2"/>
        <v>1286</v>
      </c>
      <c r="T46" s="47">
        <f t="shared" si="3"/>
        <v>276</v>
      </c>
      <c r="U46" s="47">
        <f t="shared" si="4"/>
        <v>116</v>
      </c>
      <c r="V46" s="47">
        <f t="shared" si="5"/>
        <v>654</v>
      </c>
      <c r="W46" s="47">
        <f t="shared" si="6"/>
        <v>185</v>
      </c>
    </row>
    <row r="47" spans="1:23" ht="13">
      <c r="A47" s="53">
        <v>12</v>
      </c>
      <c r="B47" s="52">
        <v>2.5</v>
      </c>
      <c r="C47" s="31">
        <v>305</v>
      </c>
      <c r="D47" s="30">
        <v>1271</v>
      </c>
      <c r="E47" s="30">
        <v>408</v>
      </c>
      <c r="F47" s="30">
        <v>159</v>
      </c>
      <c r="G47" s="30">
        <v>545</v>
      </c>
      <c r="H47" s="31">
        <v>154</v>
      </c>
      <c r="J47" s="53">
        <v>12</v>
      </c>
      <c r="K47" s="52">
        <v>2.5</v>
      </c>
      <c r="L47" s="30" t="str">
        <f>IF(Data!$B$23&gt;0.1,IF(OR(Data!B$3="A",Data!B$3="LH"),IF($J47=Data!$B$4,IF($K47=Data!$B$6,C47*Data!B$23,""),""),""),"")</f>
        <v/>
      </c>
      <c r="M47" s="30" t="str">
        <f>IF(Data!$B$19&gt;0,IF(OR(Data!B$3="A",Data!B$3="LH"),IF($J47=Data!$B$4,IF($K47=Data!$B$6,D47*Data!B$19,""),""),""),"")</f>
        <v/>
      </c>
      <c r="N47" s="30" t="str">
        <f>IF(Data!$B$15="Y",IF(OR(Data!B$3="A",Data!B$3="LH"),IF($J47=Data!$B$4,IF($K47=Data!$B$6,E47,""),""),""),"")</f>
        <v/>
      </c>
      <c r="O47" s="30" t="str">
        <f>IF(AND($J47=Data!$B$4,$K47=Data!$B$6,Data!B$10="V"),G47+F47,"")</f>
        <v/>
      </c>
      <c r="P47" s="30" t="str">
        <f>IF(Data!$B$13&gt;0.1,IF(OR(Data!B$3="A",Data!B$3="LH"),IF($J47=Data!$B$4,IF($K47=Data!$B$6,H47*Data!B$13,""),""),""),"")</f>
        <v/>
      </c>
      <c r="R47" s="47">
        <f t="shared" si="1"/>
        <v>366</v>
      </c>
      <c r="S47" s="47">
        <f t="shared" si="2"/>
        <v>1526</v>
      </c>
      <c r="T47" s="47">
        <f t="shared" si="3"/>
        <v>490</v>
      </c>
      <c r="U47" s="47">
        <f t="shared" si="4"/>
        <v>191</v>
      </c>
      <c r="V47" s="47">
        <f t="shared" si="5"/>
        <v>654</v>
      </c>
      <c r="W47" s="47">
        <f t="shared" si="6"/>
        <v>185</v>
      </c>
    </row>
    <row r="48" spans="1:23" ht="13">
      <c r="A48" s="53">
        <v>12</v>
      </c>
      <c r="B48" s="52">
        <v>3</v>
      </c>
      <c r="C48" s="31">
        <v>305</v>
      </c>
      <c r="D48" s="30">
        <v>1281</v>
      </c>
      <c r="E48" s="30">
        <v>450</v>
      </c>
      <c r="F48" s="30">
        <v>192</v>
      </c>
      <c r="G48" s="30">
        <v>545</v>
      </c>
      <c r="H48" s="31">
        <v>154</v>
      </c>
      <c r="J48" s="53">
        <v>12</v>
      </c>
      <c r="K48" s="52">
        <v>3</v>
      </c>
      <c r="L48" s="30" t="str">
        <f>IF(Data!$B$23&gt;0.1,IF(OR(Data!B$3="A",Data!B$3="LH"),IF($J48=Data!$B$4,IF($K48=Data!$B$6,C48*Data!B$23,""),""),""),"")</f>
        <v/>
      </c>
      <c r="M48" s="30" t="str">
        <f>IF(Data!$B$19&gt;0,IF(OR(Data!B$3="A",Data!B$3="LH"),IF($J48=Data!$B$4,IF($K48=Data!$B$6,D48*Data!B$19,""),""),""),"")</f>
        <v/>
      </c>
      <c r="N48" s="30" t="str">
        <f>IF(Data!$B$15="Y",IF(OR(Data!B$3="A",Data!B$3="LH"),IF($J48=Data!$B$4,IF($K48=Data!$B$6,E48,""),""),""),"")</f>
        <v/>
      </c>
      <c r="O48" s="30" t="str">
        <f>IF(AND($J48=Data!$B$4,$K48=Data!$B$6,Data!B$10="V"),G48+F48,"")</f>
        <v/>
      </c>
      <c r="P48" s="30" t="str">
        <f>IF(Data!$B$13&gt;0.1,IF(OR(Data!B$3="A",Data!B$3="LH"),IF($J48=Data!$B$4,IF($K48=Data!$B$6,H48*Data!B$13,""),""),""),"")</f>
        <v/>
      </c>
      <c r="R48" s="47">
        <f t="shared" si="1"/>
        <v>366</v>
      </c>
      <c r="S48" s="47">
        <f t="shared" si="2"/>
        <v>1538</v>
      </c>
      <c r="T48" s="47">
        <f t="shared" si="3"/>
        <v>540</v>
      </c>
      <c r="U48" s="47">
        <f t="shared" si="4"/>
        <v>231</v>
      </c>
      <c r="V48" s="47">
        <f t="shared" si="5"/>
        <v>654</v>
      </c>
      <c r="W48" s="47">
        <f t="shared" si="6"/>
        <v>185</v>
      </c>
    </row>
    <row r="49" spans="1:23" ht="13">
      <c r="A49" s="53">
        <v>12</v>
      </c>
      <c r="B49" s="52">
        <v>3.5</v>
      </c>
      <c r="C49" s="31">
        <v>305</v>
      </c>
      <c r="D49" s="30">
        <v>1284</v>
      </c>
      <c r="E49" s="30">
        <v>633</v>
      </c>
      <c r="F49" s="30">
        <v>240</v>
      </c>
      <c r="G49" s="30">
        <v>545</v>
      </c>
      <c r="H49" s="31">
        <v>154</v>
      </c>
      <c r="J49" s="53">
        <v>12</v>
      </c>
      <c r="K49" s="52">
        <v>3.5</v>
      </c>
      <c r="L49" s="30" t="str">
        <f>IF(Data!$B$23&gt;0.1,IF(OR(Data!B$3="A",Data!B$3="LH"),IF($J49=Data!$B$4,IF($K49=Data!$B$6,C49*Data!B$23,""),""),""),"")</f>
        <v/>
      </c>
      <c r="M49" s="30" t="str">
        <f>IF(Data!$B$19&gt;0,IF(OR(Data!B$3="A",Data!B$3="LH"),IF($J49=Data!$B$4,IF($K49=Data!$B$6,D49*Data!B$19,""),""),""),"")</f>
        <v/>
      </c>
      <c r="N49" s="30" t="str">
        <f>IF(Data!$B$15="Y",IF(OR(Data!B$3="A",Data!B$3="LH"),IF($J49=Data!$B$4,IF($K49=Data!$B$6,E49,""),""),""),"")</f>
        <v/>
      </c>
      <c r="O49" s="30" t="str">
        <f>IF(AND($J49=Data!$B$4,$K49=Data!$B$6,Data!B$10="V"),G49+F49,"")</f>
        <v/>
      </c>
      <c r="P49" s="30" t="str">
        <f>IF(Data!$B$13&gt;0.1,IF(OR(Data!B$3="A",Data!B$3="LH"),IF($J49=Data!$B$4,IF($K49=Data!$B$6,H49*Data!B$13,""),""),""),"")</f>
        <v/>
      </c>
      <c r="R49" s="47">
        <f t="shared" si="1"/>
        <v>366</v>
      </c>
      <c r="S49" s="47">
        <f t="shared" si="2"/>
        <v>1541</v>
      </c>
      <c r="T49" s="47">
        <f t="shared" si="3"/>
        <v>760</v>
      </c>
      <c r="U49" s="47">
        <f t="shared" si="4"/>
        <v>288</v>
      </c>
      <c r="V49" s="47">
        <f t="shared" si="5"/>
        <v>654</v>
      </c>
      <c r="W49" s="47">
        <f t="shared" si="6"/>
        <v>185</v>
      </c>
    </row>
    <row r="50" spans="1:23" ht="13">
      <c r="A50" s="53">
        <v>12</v>
      </c>
      <c r="B50" s="52">
        <v>4</v>
      </c>
      <c r="C50" s="31">
        <v>305</v>
      </c>
      <c r="D50" s="30">
        <v>1526</v>
      </c>
      <c r="E50" s="30">
        <v>693</v>
      </c>
      <c r="F50" s="30">
        <v>286</v>
      </c>
      <c r="G50" s="30">
        <v>545</v>
      </c>
      <c r="H50" s="31">
        <v>154</v>
      </c>
      <c r="J50" s="53">
        <v>12</v>
      </c>
      <c r="K50" s="52">
        <v>4</v>
      </c>
      <c r="L50" s="30" t="str">
        <f>IF(Data!$B$23&gt;0.1,IF(OR(Data!B$3="A",Data!B$3="LH"),IF($J50=Data!$B$4,IF($K50=Data!$B$6,C50*Data!B$23,""),""),""),"")</f>
        <v/>
      </c>
      <c r="M50" s="30" t="str">
        <f>IF(Data!$B$19&gt;0,IF(OR(Data!B$3="A",Data!B$3="LH"),IF($J50=Data!$B$4,IF($K50=Data!$B$6,D50*Data!B$19,""),""),""),"")</f>
        <v/>
      </c>
      <c r="N50" s="30" t="str">
        <f>IF(Data!$B$15="Y",IF(OR(Data!B$3="A",Data!B$3="LH"),IF($J50=Data!$B$4,IF($K50=Data!$B$6,E50,""),""),""),"")</f>
        <v/>
      </c>
      <c r="O50" s="30" t="str">
        <f>IF(AND($J50=Data!$B$4,$K50=Data!$B$6,Data!B$10="V"),G50+F50,"")</f>
        <v/>
      </c>
      <c r="P50" s="30" t="str">
        <f>IF(Data!$B$13&gt;0.1,IF(OR(Data!B$3="A",Data!B$3="LH"),IF($J50=Data!$B$4,IF($K50=Data!$B$6,H50*Data!B$13,""),""),""),"")</f>
        <v/>
      </c>
      <c r="R50" s="47">
        <f t="shared" si="1"/>
        <v>366</v>
      </c>
      <c r="S50" s="47">
        <f t="shared" si="2"/>
        <v>1832</v>
      </c>
      <c r="T50" s="47">
        <f t="shared" si="3"/>
        <v>832</v>
      </c>
      <c r="U50" s="47">
        <f t="shared" si="4"/>
        <v>344</v>
      </c>
      <c r="V50" s="47">
        <f t="shared" si="5"/>
        <v>654</v>
      </c>
      <c r="W50" s="47">
        <f t="shared" si="6"/>
        <v>185</v>
      </c>
    </row>
    <row r="51" spans="1:23" ht="13">
      <c r="A51" s="53">
        <v>14</v>
      </c>
      <c r="B51" s="52">
        <v>2.5</v>
      </c>
      <c r="C51" s="30">
        <v>372</v>
      </c>
      <c r="D51" s="30">
        <v>1536</v>
      </c>
      <c r="E51" s="30">
        <v>408</v>
      </c>
      <c r="F51" s="30">
        <v>159</v>
      </c>
      <c r="G51" s="30">
        <v>1082</v>
      </c>
      <c r="H51" s="31">
        <v>258</v>
      </c>
      <c r="J51" s="53">
        <v>14</v>
      </c>
      <c r="K51" s="52">
        <v>2.5</v>
      </c>
      <c r="L51" s="30" t="str">
        <f>IF(Data!$B$23&gt;0.1,IF(OR(Data!B$3="A",Data!B$3="LH"),IF($J51=Data!$B$4,IF($K51=Data!$B$6,C51*Data!B$23,""),""),""),"")</f>
        <v/>
      </c>
      <c r="M51" s="30" t="str">
        <f>IF(Data!$B$19&gt;0,IF(OR(Data!B$3="A",Data!B$3="LH"),IF($J51=Data!$B$4,IF($K51=Data!$B$6,D51*Data!B$19,""),""),""),"")</f>
        <v/>
      </c>
      <c r="N51" s="30" t="str">
        <f>IF(Data!$B$15="Y",IF(OR(Data!B$3="A",Data!B$3="LH"),IF($J51=Data!$B$4,IF($K51=Data!$B$6,E51,""),""),""),"")</f>
        <v/>
      </c>
      <c r="O51" s="30" t="str">
        <f>IF(AND($J51=Data!$B$4,$K51=Data!$B$6,Data!B$10="V"),G51+F51,"")</f>
        <v/>
      </c>
      <c r="P51" s="30" t="str">
        <f>IF(Data!$B$13&gt;0.1,IF(OR(Data!B$3="A",Data!B$3="LH"),IF($J51=Data!$B$4,IF($K51=Data!$B$6,H51*Data!B$13,""),""),""),"")</f>
        <v/>
      </c>
      <c r="R51" s="47">
        <f t="shared" si="1"/>
        <v>447</v>
      </c>
      <c r="S51" s="47">
        <f t="shared" si="2"/>
        <v>1844</v>
      </c>
      <c r="T51" s="47">
        <f t="shared" si="3"/>
        <v>490</v>
      </c>
      <c r="U51" s="47">
        <f t="shared" si="4"/>
        <v>191</v>
      </c>
      <c r="V51" s="47">
        <f t="shared" si="5"/>
        <v>1299</v>
      </c>
      <c r="W51" s="47">
        <f t="shared" si="6"/>
        <v>310</v>
      </c>
    </row>
    <row r="52" spans="1:23" ht="13">
      <c r="A52" s="53">
        <v>14</v>
      </c>
      <c r="B52" s="52">
        <v>3</v>
      </c>
      <c r="C52" s="30">
        <v>372</v>
      </c>
      <c r="D52" s="30">
        <v>1542</v>
      </c>
      <c r="E52" s="30">
        <v>450</v>
      </c>
      <c r="F52" s="30">
        <v>192</v>
      </c>
      <c r="G52" s="30">
        <v>1082</v>
      </c>
      <c r="H52" s="31">
        <v>258</v>
      </c>
      <c r="J52" s="53">
        <v>14</v>
      </c>
      <c r="K52" s="52">
        <v>3</v>
      </c>
      <c r="L52" s="30" t="str">
        <f>IF(Data!$B$23&gt;0.1,IF(OR(Data!B$3="A",Data!B$3="LH"),IF($J52=Data!$B$4,IF($K52=Data!$B$6,C52*Data!B$23,""),""),""),"")</f>
        <v/>
      </c>
      <c r="M52" s="30" t="str">
        <f>IF(Data!$B$19&gt;0,IF(OR(Data!B$3="A",Data!B$3="LH"),IF($J52=Data!$B$4,IF($K52=Data!$B$6,D52*Data!B$19,""),""),""),"")</f>
        <v/>
      </c>
      <c r="N52" s="30" t="str">
        <f>IF(Data!$B$15="Y",IF(OR(Data!B$3="A",Data!B$3="LH"),IF($J52=Data!$B$4,IF($K52=Data!$B$6,E52,""),""),""),"")</f>
        <v/>
      </c>
      <c r="O52" s="30" t="str">
        <f>IF(AND($J52=Data!$B$4,$K52=Data!$B$6,Data!B$10="V"),G52+F52,"")</f>
        <v/>
      </c>
      <c r="P52" s="30" t="str">
        <f>IF(Data!$B$13&gt;0.1,IF(OR(Data!B$3="A",Data!B$3="LH"),IF($J52=Data!$B$4,IF($K52=Data!$B$6,H52*Data!B$13,""),""),""),"")</f>
        <v/>
      </c>
      <c r="Q52" s="30"/>
      <c r="R52" s="47">
        <f t="shared" si="1"/>
        <v>447</v>
      </c>
      <c r="S52" s="47">
        <f t="shared" si="2"/>
        <v>1851</v>
      </c>
      <c r="T52" s="47">
        <f t="shared" si="3"/>
        <v>540</v>
      </c>
      <c r="U52" s="47">
        <f t="shared" si="4"/>
        <v>231</v>
      </c>
      <c r="V52" s="47">
        <f t="shared" si="5"/>
        <v>1299</v>
      </c>
      <c r="W52" s="47">
        <f t="shared" si="6"/>
        <v>310</v>
      </c>
    </row>
    <row r="53" spans="1:23" ht="13">
      <c r="A53" s="53">
        <v>14</v>
      </c>
      <c r="B53" s="52">
        <v>3.5</v>
      </c>
      <c r="C53" s="30">
        <v>372</v>
      </c>
      <c r="D53" s="30">
        <v>1828</v>
      </c>
      <c r="E53" s="30">
        <v>633</v>
      </c>
      <c r="F53" s="30">
        <v>240</v>
      </c>
      <c r="G53" s="30">
        <v>1082</v>
      </c>
      <c r="H53" s="31">
        <v>258</v>
      </c>
      <c r="J53" s="53">
        <v>14</v>
      </c>
      <c r="K53" s="52">
        <v>3.5</v>
      </c>
      <c r="L53" s="30" t="str">
        <f>IF(Data!$B$23&gt;0.1,IF(OR(Data!B$3="A",Data!B$3="LH"),IF($J53=Data!$B$4,IF($K53=Data!$B$6,C53*Data!B$23,""),""),""),"")</f>
        <v/>
      </c>
      <c r="M53" s="30" t="str">
        <f>IF(Data!$B$19&gt;0,IF(OR(Data!B$3="A",Data!B$3="LH"),IF($J53=Data!$B$4,IF($K53=Data!$B$6,D53*Data!B$19,""),""),""),"")</f>
        <v/>
      </c>
      <c r="N53" s="30" t="str">
        <f>IF(Data!$B$15="Y",IF(OR(Data!B$3="A",Data!B$3="LH"),IF($J53=Data!$B$4,IF($K53=Data!$B$6,E53,""),""),""),"")</f>
        <v/>
      </c>
      <c r="O53" s="30" t="str">
        <f>IF(AND($J53=Data!$B$4,$K53=Data!$B$6,Data!B$10="V"),G53+F53,"")</f>
        <v/>
      </c>
      <c r="P53" s="30" t="str">
        <f>IF(Data!$B$13&gt;0.1,IF(OR(Data!B$3="A",Data!B$3="LH"),IF($J53=Data!$B$4,IF($K53=Data!$B$6,H53*Data!B$13,""),""),""),"")</f>
        <v/>
      </c>
      <c r="Q53" s="30"/>
      <c r="R53" s="47">
        <f t="shared" si="1"/>
        <v>447</v>
      </c>
      <c r="S53" s="47">
        <f t="shared" si="2"/>
        <v>2194</v>
      </c>
      <c r="T53" s="47">
        <f t="shared" si="3"/>
        <v>760</v>
      </c>
      <c r="U53" s="47">
        <f t="shared" si="4"/>
        <v>288</v>
      </c>
      <c r="V53" s="47">
        <f t="shared" si="5"/>
        <v>1299</v>
      </c>
      <c r="W53" s="47">
        <f t="shared" si="6"/>
        <v>310</v>
      </c>
    </row>
    <row r="54" spans="1:23" ht="13">
      <c r="A54" s="53">
        <v>14</v>
      </c>
      <c r="B54" s="52">
        <v>4</v>
      </c>
      <c r="C54" s="30">
        <v>372</v>
      </c>
      <c r="D54" s="30">
        <v>1845</v>
      </c>
      <c r="E54" s="30">
        <v>693</v>
      </c>
      <c r="F54" s="30">
        <v>286</v>
      </c>
      <c r="G54" s="30">
        <v>1082</v>
      </c>
      <c r="H54" s="31">
        <v>258</v>
      </c>
      <c r="J54" s="53">
        <v>14</v>
      </c>
      <c r="K54" s="52">
        <v>4</v>
      </c>
      <c r="L54" s="30" t="str">
        <f>IF(Data!$B$23&gt;0.1,IF(OR(Data!B$3="A",Data!B$3="LH"),IF($J54=Data!$B$4,IF($K54=Data!$B$6,C54*Data!B$23,""),""),""),"")</f>
        <v/>
      </c>
      <c r="M54" s="30" t="str">
        <f>IF(Data!$B$19&gt;0,IF(OR(Data!B$3="A",Data!B$3="LH"),IF($J54=Data!$B$4,IF($K54=Data!$B$6,D54*Data!B$19,""),""),""),"")</f>
        <v/>
      </c>
      <c r="N54" s="30" t="str">
        <f>IF(Data!$B$15="Y",IF(OR(Data!B$3="A",Data!B$3="LH"),IF($J54=Data!$B$4,IF($K54=Data!$B$6,E54,""),""),""),"")</f>
        <v/>
      </c>
      <c r="O54" s="30" t="str">
        <f>IF(AND($J54=Data!$B$4,$K54=Data!$B$6,Data!B$10="V"),G54+F54,"")</f>
        <v/>
      </c>
      <c r="P54" s="30" t="str">
        <f>IF(Data!$B$13&gt;0.1,IF(OR(Data!B$3="A",Data!B$3="LH"),IF($J54=Data!$B$4,IF($K54=Data!$B$6,H54*Data!B$13,""),""),""),"")</f>
        <v/>
      </c>
      <c r="Q54" s="30"/>
      <c r="R54" s="47">
        <f t="shared" si="1"/>
        <v>447</v>
      </c>
      <c r="S54" s="47">
        <f t="shared" si="2"/>
        <v>2214</v>
      </c>
      <c r="T54" s="47">
        <f t="shared" si="3"/>
        <v>832</v>
      </c>
      <c r="U54" s="47">
        <f t="shared" si="4"/>
        <v>344</v>
      </c>
      <c r="V54" s="47">
        <f t="shared" si="5"/>
        <v>1299</v>
      </c>
      <c r="W54" s="47">
        <f t="shared" si="6"/>
        <v>310</v>
      </c>
    </row>
    <row r="55" spans="1:23">
      <c r="J55" s="47"/>
      <c r="K55" s="47"/>
      <c r="L55" s="30">
        <f>SUM(L8:L54)</f>
        <v>0</v>
      </c>
      <c r="M55" s="30">
        <f>SUM(M8:M54)</f>
        <v>0</v>
      </c>
      <c r="N55" s="30">
        <f>SUM(N8:N54)</f>
        <v>0</v>
      </c>
      <c r="O55" s="30">
        <f>SUM(O8:O54)</f>
        <v>0</v>
      </c>
      <c r="P55" s="30">
        <f>SUM(P8:P54)</f>
        <v>0</v>
      </c>
      <c r="Q55" s="30">
        <f>SUM(L55:P55)</f>
        <v>0</v>
      </c>
    </row>
    <row r="56" spans="1:23">
      <c r="J56" s="47"/>
      <c r="K56" s="47"/>
    </row>
    <row r="57" spans="1:23">
      <c r="J57" s="47"/>
      <c r="K57" s="47"/>
    </row>
    <row r="58" spans="1:23">
      <c r="J58" s="47"/>
      <c r="K58" s="47"/>
    </row>
    <row r="59" spans="1:23">
      <c r="J59" s="47"/>
      <c r="K59" s="47"/>
    </row>
    <row r="60" spans="1:23">
      <c r="J60" s="47"/>
      <c r="K60" s="47"/>
    </row>
    <row r="61" spans="1:23">
      <c r="J61" s="47"/>
      <c r="K61" s="47"/>
    </row>
    <row r="62" spans="1:23">
      <c r="J62" s="47"/>
      <c r="K62" s="47"/>
    </row>
    <row r="63" spans="1:23" ht="14.25" customHeight="1">
      <c r="D63" s="55"/>
      <c r="J63" s="47"/>
      <c r="K63" s="47"/>
    </row>
    <row r="64" spans="1:23" ht="14.25" customHeight="1">
      <c r="D64" s="55"/>
      <c r="J64" s="47"/>
      <c r="K64" s="47"/>
    </row>
    <row r="65" spans="4:11" ht="14.25" customHeight="1">
      <c r="D65" s="55"/>
      <c r="J65" s="47"/>
      <c r="K65" s="47"/>
    </row>
    <row r="66" spans="4:11" ht="13.5" customHeight="1">
      <c r="D66" s="55"/>
      <c r="J66" s="47"/>
      <c r="K66" s="47"/>
    </row>
    <row r="67" spans="4:11" ht="14.25" customHeight="1">
      <c r="D67" s="55"/>
      <c r="J67" s="47"/>
      <c r="K67" s="47"/>
    </row>
    <row r="68" spans="4:11" ht="14.25" customHeight="1">
      <c r="D68" s="55"/>
      <c r="J68" s="47"/>
      <c r="K68" s="47"/>
    </row>
    <row r="69" spans="4:11" ht="13.5" customHeight="1">
      <c r="D69" s="55"/>
      <c r="J69" s="47"/>
      <c r="K69" s="47"/>
    </row>
    <row r="70" spans="4:11" ht="13.5" customHeight="1">
      <c r="D70" s="55"/>
      <c r="J70" s="47"/>
      <c r="K70" s="47"/>
    </row>
    <row r="71" spans="4:11" ht="14.25" customHeight="1">
      <c r="D71" s="55"/>
      <c r="J71" s="47"/>
      <c r="K71" s="47"/>
    </row>
    <row r="72" spans="4:11" ht="14.25" customHeight="1">
      <c r="D72" s="55"/>
      <c r="J72" s="47"/>
      <c r="K72" s="47"/>
    </row>
    <row r="73" spans="4:11" ht="13.5" customHeight="1">
      <c r="D73" s="55"/>
      <c r="J73" s="47"/>
      <c r="K73" s="47"/>
    </row>
    <row r="74" spans="4:11" ht="13.5" customHeight="1">
      <c r="D74" s="55"/>
      <c r="J74" s="47"/>
      <c r="K74" s="47"/>
    </row>
    <row r="75" spans="4:11" ht="14.25" customHeight="1">
      <c r="D75" s="55"/>
      <c r="J75" s="47"/>
      <c r="K75" s="47"/>
    </row>
    <row r="76" spans="4:11" ht="14.25" customHeight="1">
      <c r="D76" s="55"/>
      <c r="J76" s="47"/>
      <c r="K76" s="47"/>
    </row>
    <row r="77" spans="4:11" ht="13.5" customHeight="1">
      <c r="D77" s="55"/>
      <c r="J77" s="47"/>
      <c r="K77" s="47"/>
    </row>
    <row r="78" spans="4:11" ht="13.5" customHeight="1">
      <c r="D78" s="55"/>
      <c r="J78" s="47"/>
      <c r="K78" s="47"/>
    </row>
    <row r="79" spans="4:11" ht="14.25" customHeight="1">
      <c r="D79" s="55"/>
      <c r="J79" s="47"/>
      <c r="K79" s="47"/>
    </row>
    <row r="80" spans="4:11" ht="14.25" customHeight="1">
      <c r="D80" s="55"/>
      <c r="J80" s="47"/>
      <c r="K80" s="47"/>
    </row>
    <row r="81" spans="4:11" ht="13.5" customHeight="1">
      <c r="D81" s="55"/>
      <c r="J81" s="47"/>
      <c r="K81" s="47"/>
    </row>
    <row r="82" spans="4:11" ht="13.5" customHeight="1">
      <c r="D82" s="55"/>
      <c r="J82" s="47"/>
      <c r="K82" s="47"/>
    </row>
    <row r="83" spans="4:11" ht="14.25" customHeight="1">
      <c r="D83" s="55"/>
      <c r="J83" s="47"/>
      <c r="K83" s="47"/>
    </row>
    <row r="84" spans="4:11" ht="12.5">
      <c r="D84" s="56"/>
      <c r="J84" s="47"/>
      <c r="K84" s="47"/>
    </row>
    <row r="85" spans="4:11" ht="12.5">
      <c r="D85" s="56"/>
      <c r="J85" s="47"/>
      <c r="K85" s="47"/>
    </row>
    <row r="86" spans="4:11" ht="12.5">
      <c r="D86" s="56"/>
      <c r="J86" s="47"/>
      <c r="K86" s="47"/>
    </row>
    <row r="87" spans="4:11" ht="12.5">
      <c r="D87" s="56"/>
      <c r="J87" s="47"/>
      <c r="K87" s="47"/>
    </row>
    <row r="88" spans="4:11" ht="14.25" customHeight="1">
      <c r="D88" s="55"/>
      <c r="J88" s="47"/>
      <c r="K88" s="47"/>
    </row>
    <row r="89" spans="4:11" ht="13.5" customHeight="1">
      <c r="D89" s="55"/>
      <c r="J89" s="47"/>
      <c r="K89" s="47"/>
    </row>
    <row r="90" spans="4:11" ht="13.5" customHeight="1">
      <c r="D90" s="55"/>
      <c r="J90" s="47"/>
      <c r="K90" s="47"/>
    </row>
    <row r="91" spans="4:11" ht="14.25" customHeight="1">
      <c r="D91" s="55"/>
      <c r="J91" s="47"/>
      <c r="K91" s="47"/>
    </row>
    <row r="92" spans="4:11" ht="14.25" customHeight="1">
      <c r="D92" s="55"/>
      <c r="J92" s="47"/>
      <c r="K92" s="47"/>
    </row>
    <row r="93" spans="4:11" ht="13.5" customHeight="1">
      <c r="D93" s="55"/>
      <c r="J93" s="47"/>
      <c r="K93" s="47"/>
    </row>
    <row r="94" spans="4:11" ht="13.5" customHeight="1">
      <c r="D94" s="55"/>
      <c r="J94" s="47"/>
      <c r="K94" s="47"/>
    </row>
    <row r="95" spans="4:11" ht="14.25" customHeight="1">
      <c r="D95" s="55"/>
      <c r="J95" s="47"/>
      <c r="K95" s="47"/>
    </row>
    <row r="96" spans="4:11" ht="14.25" customHeight="1">
      <c r="D96" s="55"/>
      <c r="J96" s="47"/>
      <c r="K96" s="47"/>
    </row>
    <row r="97" spans="4:11" ht="13.5" customHeight="1">
      <c r="D97" s="55"/>
      <c r="J97" s="47"/>
      <c r="K97" s="47"/>
    </row>
    <row r="98" spans="4:11" ht="13.5" customHeight="1">
      <c r="D98" s="55"/>
      <c r="J98" s="47"/>
      <c r="K98" s="47"/>
    </row>
    <row r="99" spans="4:11" ht="13.5" customHeight="1">
      <c r="D99" s="55"/>
      <c r="J99" s="47"/>
      <c r="K99" s="47"/>
    </row>
    <row r="100" spans="4:11" ht="14.25" customHeight="1">
      <c r="D100" s="55"/>
      <c r="J100" s="47"/>
      <c r="K100" s="47"/>
    </row>
    <row r="101" spans="4:11" ht="14.25" customHeight="1">
      <c r="D101" s="55"/>
      <c r="J101" s="47"/>
      <c r="K101" s="47"/>
    </row>
    <row r="102" spans="4:11" ht="13.5" customHeight="1">
      <c r="D102" s="55"/>
      <c r="J102" s="47"/>
      <c r="K102" s="47"/>
    </row>
    <row r="103" spans="4:11" ht="13.5" customHeight="1">
      <c r="D103" s="55"/>
      <c r="J103" s="47"/>
      <c r="K103" s="47"/>
    </row>
    <row r="104" spans="4:11" ht="13.5" customHeight="1">
      <c r="D104" s="55"/>
      <c r="J104" s="47"/>
      <c r="K104" s="47"/>
    </row>
    <row r="105" spans="4:11" ht="14.25" customHeight="1">
      <c r="D105" s="55"/>
      <c r="J105" s="47"/>
      <c r="K105" s="47"/>
    </row>
    <row r="106" spans="4:11" ht="14.25" customHeight="1">
      <c r="D106" s="55"/>
      <c r="J106" s="47"/>
      <c r="K106" s="47"/>
    </row>
    <row r="107" spans="4:11" ht="13.5" customHeight="1">
      <c r="D107" s="55"/>
      <c r="J107" s="47"/>
      <c r="K107" s="47"/>
    </row>
    <row r="108" spans="4:11" ht="13.5" customHeight="1">
      <c r="D108" s="55"/>
      <c r="J108" s="47"/>
      <c r="K108" s="47"/>
    </row>
    <row r="109" spans="4:11" ht="14.25" customHeight="1">
      <c r="D109" s="55"/>
      <c r="J109" s="47"/>
      <c r="K109" s="47"/>
    </row>
    <row r="110" spans="4:11">
      <c r="J110" s="47"/>
      <c r="K110" s="47"/>
    </row>
    <row r="111" spans="4:11">
      <c r="J111" s="47"/>
      <c r="K111" s="47"/>
    </row>
    <row r="112" spans="4:11">
      <c r="J112" s="47"/>
      <c r="K112" s="47"/>
    </row>
    <row r="113" spans="10:11">
      <c r="J113" s="47"/>
      <c r="K113" s="47"/>
    </row>
    <row r="114" spans="10:11">
      <c r="J114" s="47"/>
      <c r="K114" s="47"/>
    </row>
    <row r="115" spans="10:11">
      <c r="J115" s="47"/>
      <c r="K115" s="47"/>
    </row>
    <row r="116" spans="10:11">
      <c r="J116" s="47"/>
      <c r="K116" s="47"/>
    </row>
    <row r="117" spans="10:11">
      <c r="J117" s="47"/>
      <c r="K117" s="47"/>
    </row>
    <row r="118" spans="10:11">
      <c r="J118" s="47"/>
      <c r="K118" s="47"/>
    </row>
    <row r="119" spans="10:11">
      <c r="J119" s="47"/>
      <c r="K119" s="47"/>
    </row>
    <row r="120" spans="10:11">
      <c r="J120" s="47"/>
      <c r="K120" s="47"/>
    </row>
    <row r="121" spans="10:11">
      <c r="J121" s="47"/>
      <c r="K121" s="47"/>
    </row>
    <row r="122" spans="10:11">
      <c r="J122" s="47"/>
      <c r="K122" s="47"/>
    </row>
    <row r="123" spans="10:11">
      <c r="J123" s="47"/>
      <c r="K123" s="47"/>
    </row>
    <row r="124" spans="10:11">
      <c r="J124" s="47"/>
      <c r="K124" s="47"/>
    </row>
    <row r="125" spans="10:11">
      <c r="J125" s="47"/>
      <c r="K125" s="47"/>
    </row>
    <row r="126" spans="10:11">
      <c r="J126" s="47"/>
      <c r="K126" s="47"/>
    </row>
    <row r="127" spans="10:11">
      <c r="J127" s="47"/>
      <c r="K127" s="47"/>
    </row>
    <row r="128" spans="10:11">
      <c r="J128" s="47"/>
      <c r="K128" s="47"/>
    </row>
    <row r="129" spans="10:11">
      <c r="J129" s="47"/>
      <c r="K129" s="47"/>
    </row>
    <row r="130" spans="10:11">
      <c r="J130" s="47"/>
      <c r="K130" s="47"/>
    </row>
    <row r="131" spans="10:11">
      <c r="J131" s="47"/>
      <c r="K131" s="47"/>
    </row>
    <row r="132" spans="10:11">
      <c r="J132" s="47"/>
      <c r="K132" s="47"/>
    </row>
    <row r="133" spans="10:11">
      <c r="J133" s="47"/>
      <c r="K133" s="47"/>
    </row>
    <row r="134" spans="10:11">
      <c r="J134" s="47"/>
      <c r="K134" s="47"/>
    </row>
    <row r="135" spans="10:11">
      <c r="J135" s="47"/>
      <c r="K135" s="47"/>
    </row>
    <row r="136" spans="10:11">
      <c r="J136" s="47"/>
      <c r="K136" s="47"/>
    </row>
    <row r="137" spans="10:11">
      <c r="J137" s="47"/>
      <c r="K137" s="47"/>
    </row>
    <row r="138" spans="10:11">
      <c r="J138" s="47"/>
      <c r="K138" s="47"/>
    </row>
    <row r="139" spans="10:11">
      <c r="J139" s="47"/>
      <c r="K139" s="47"/>
    </row>
    <row r="140" spans="10:11">
      <c r="J140" s="47"/>
      <c r="K140" s="47"/>
    </row>
    <row r="141" spans="10:11">
      <c r="J141" s="47"/>
      <c r="K141" s="47"/>
    </row>
    <row r="142" spans="10:11">
      <c r="J142" s="47"/>
      <c r="K142" s="47"/>
    </row>
    <row r="143" spans="10:11">
      <c r="J143" s="47"/>
      <c r="K143" s="47"/>
    </row>
    <row r="144" spans="10:11">
      <c r="J144" s="47"/>
      <c r="K144" s="47"/>
    </row>
    <row r="145" spans="10:11">
      <c r="J145" s="47"/>
      <c r="K145" s="47"/>
    </row>
    <row r="146" spans="10:11">
      <c r="J146" s="47"/>
      <c r="K146" s="47"/>
    </row>
    <row r="147" spans="10:11">
      <c r="J147" s="47"/>
      <c r="K147" s="47"/>
    </row>
    <row r="148" spans="10:11">
      <c r="J148" s="47"/>
      <c r="K148" s="47"/>
    </row>
    <row r="149" spans="10:11">
      <c r="J149" s="47"/>
      <c r="K149" s="47"/>
    </row>
    <row r="150" spans="10:11">
      <c r="J150" s="47"/>
      <c r="K150" s="47"/>
    </row>
    <row r="151" spans="10:11">
      <c r="J151" s="47"/>
      <c r="K151" s="47"/>
    </row>
    <row r="152" spans="10:11">
      <c r="J152" s="47"/>
      <c r="K152" s="47"/>
    </row>
    <row r="153" spans="10:11">
      <c r="J153" s="47"/>
      <c r="K153" s="47"/>
    </row>
    <row r="154" spans="10:11">
      <c r="J154" s="47"/>
      <c r="K154" s="47"/>
    </row>
    <row r="155" spans="10:11">
      <c r="J155" s="47"/>
      <c r="K155" s="47"/>
    </row>
    <row r="156" spans="10:11">
      <c r="J156" s="47"/>
      <c r="K156" s="47"/>
    </row>
    <row r="157" spans="10:11">
      <c r="J157" s="47"/>
      <c r="K157" s="47"/>
    </row>
    <row r="158" spans="10:11">
      <c r="J158" s="47"/>
      <c r="K158" s="47"/>
    </row>
    <row r="159" spans="10:11">
      <c r="J159" s="47"/>
      <c r="K159" s="47"/>
    </row>
    <row r="160" spans="10:11">
      <c r="J160" s="47"/>
      <c r="K160" s="47"/>
    </row>
    <row r="161" spans="10:11">
      <c r="J161" s="47"/>
      <c r="K161" s="47"/>
    </row>
    <row r="162" spans="10:11">
      <c r="J162" s="47"/>
      <c r="K162" s="47"/>
    </row>
  </sheetData>
  <mergeCells count="16">
    <mergeCell ref="P4:P7"/>
    <mergeCell ref="J4:J7"/>
    <mergeCell ref="K4:K7"/>
    <mergeCell ref="L4:L7"/>
    <mergeCell ref="M4:M7"/>
    <mergeCell ref="N4:N7"/>
    <mergeCell ref="O4:O7"/>
    <mergeCell ref="A1:H1"/>
    <mergeCell ref="A2:H2"/>
    <mergeCell ref="A4:A7"/>
    <mergeCell ref="B4:B7"/>
    <mergeCell ref="F4:G6"/>
    <mergeCell ref="C4:C7"/>
    <mergeCell ref="D4:D7"/>
    <mergeCell ref="E4:E7"/>
    <mergeCell ref="H4:H7"/>
  </mergeCells>
  <phoneticPr fontId="0" type="noConversion"/>
  <printOptions horizontalCentered="1" verticalCentered="1"/>
  <pageMargins left="0.25" right="0.25" top="0.25" bottom="0.25" header="0.5" footer="0.5"/>
  <pageSetup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O55"/>
  <sheetViews>
    <sheetView workbookViewId="0">
      <selection activeCell="D8" sqref="D8:E54"/>
    </sheetView>
  </sheetViews>
  <sheetFormatPr defaultColWidth="9.08984375" defaultRowHeight="11.5"/>
  <cols>
    <col min="1" max="1" width="6.36328125" style="30" bestFit="1" customWidth="1"/>
    <col min="2" max="2" width="8" style="45" bestFit="1" customWidth="1"/>
    <col min="3" max="3" width="10" style="30" bestFit="1" customWidth="1"/>
    <col min="4" max="4" width="6.54296875" style="30" bestFit="1" customWidth="1"/>
    <col min="5" max="5" width="7.36328125" style="30" bestFit="1" customWidth="1"/>
    <col min="6" max="16384" width="9.08984375" style="47"/>
  </cols>
  <sheetData>
    <row r="1" spans="1:15">
      <c r="A1" s="47" t="s">
        <v>472</v>
      </c>
      <c r="B1" s="47"/>
      <c r="C1" s="47"/>
      <c r="D1" s="47"/>
      <c r="E1" s="47"/>
      <c r="G1" s="30"/>
      <c r="H1" s="30"/>
      <c r="I1" s="30"/>
      <c r="J1" s="30"/>
    </row>
    <row r="2" spans="1:15">
      <c r="A2" s="47" t="s">
        <v>385</v>
      </c>
      <c r="B2" s="47"/>
      <c r="C2" s="47"/>
      <c r="D2" s="47"/>
      <c r="E2" s="47"/>
      <c r="G2" s="30"/>
      <c r="H2" s="30"/>
      <c r="I2" s="30"/>
      <c r="J2" s="30"/>
    </row>
    <row r="3" spans="1:15">
      <c r="B3" s="30"/>
      <c r="G3" s="30"/>
      <c r="H3" s="30"/>
      <c r="I3" s="30"/>
      <c r="J3" s="30"/>
    </row>
    <row r="4" spans="1:15" ht="9" customHeight="1">
      <c r="A4" s="595" t="s">
        <v>440</v>
      </c>
      <c r="B4" s="595" t="s">
        <v>87</v>
      </c>
      <c r="C4" s="595" t="s">
        <v>864</v>
      </c>
      <c r="D4" s="595" t="s">
        <v>22200</v>
      </c>
      <c r="E4" s="595"/>
      <c r="F4" s="595" t="s">
        <v>39482</v>
      </c>
      <c r="G4" s="595" t="s">
        <v>440</v>
      </c>
      <c r="H4" s="595" t="s">
        <v>87</v>
      </c>
      <c r="I4" s="595" t="s">
        <v>626</v>
      </c>
      <c r="J4" s="598" t="s">
        <v>22200</v>
      </c>
      <c r="K4" s="595" t="s">
        <v>39482</v>
      </c>
    </row>
    <row r="5" spans="1:15" ht="12.75" customHeight="1">
      <c r="A5" s="596"/>
      <c r="B5" s="596"/>
      <c r="C5" s="596"/>
      <c r="D5" s="597"/>
      <c r="E5" s="597"/>
      <c r="F5" s="596"/>
      <c r="G5" s="596"/>
      <c r="H5" s="596"/>
      <c r="I5" s="596"/>
      <c r="J5" s="599"/>
      <c r="K5" s="596"/>
    </row>
    <row r="6" spans="1:15" ht="12.75" customHeight="1">
      <c r="A6" s="596"/>
      <c r="B6" s="596"/>
      <c r="C6" s="596"/>
      <c r="D6" s="597"/>
      <c r="E6" s="597"/>
      <c r="F6" s="596"/>
      <c r="G6" s="596"/>
      <c r="H6" s="596"/>
      <c r="I6" s="596"/>
      <c r="J6" s="599"/>
      <c r="K6" s="596"/>
    </row>
    <row r="7" spans="1:15">
      <c r="A7" s="596"/>
      <c r="B7" s="596"/>
      <c r="C7" s="596"/>
      <c r="D7" s="30" t="s">
        <v>181</v>
      </c>
      <c r="E7" s="30" t="s">
        <v>190</v>
      </c>
      <c r="F7" s="596"/>
      <c r="G7" s="596"/>
      <c r="H7" s="596"/>
      <c r="I7" s="596"/>
      <c r="J7" s="599"/>
      <c r="K7" s="596"/>
    </row>
    <row r="8" spans="1:15" ht="13">
      <c r="A8" s="48">
        <v>1.5</v>
      </c>
      <c r="B8" s="49">
        <v>0.625</v>
      </c>
      <c r="C8" s="50">
        <v>8</v>
      </c>
      <c r="D8" s="50">
        <v>312</v>
      </c>
      <c r="E8" s="50">
        <v>24</v>
      </c>
      <c r="F8" s="466">
        <v>341</v>
      </c>
      <c r="G8" s="48">
        <v>1.5</v>
      </c>
      <c r="H8" s="49">
        <v>0.625</v>
      </c>
      <c r="I8" s="30" t="str">
        <f>IF(Data!$B$25&gt;0.1,IF(OR(Data!B$3="A",Data!B$3="LH"),IF($G8=Data!$B$4,IF($H8=Data!$B$6,C8*4*Data!B$25,""),""),""),"")</f>
        <v/>
      </c>
      <c r="J8" s="30" t="str">
        <f>IF(Data!$B$16="Y",IF(OR(Data!B$3="A",Data!B$3="LH"),IF($G8=Data!$B$4,IF($H8=Data!$B$6,D8+Data!B$8*E8,""),""),""),"")</f>
        <v/>
      </c>
      <c r="K8" s="47" t="str">
        <f>IF(Data!$B$14="Y",IF(Data!B$3="A",IF($G8=Data!$B$4,IF($H8=Data!$B$6,F8,""),""),""),"")</f>
        <v/>
      </c>
      <c r="M8" s="47">
        <f>ROUNDUP(C8*1.2,0)</f>
        <v>10</v>
      </c>
      <c r="N8" s="117">
        <f t="shared" ref="N8:N54" si="0">ROUNDUP(D8*1.2,0)</f>
        <v>375</v>
      </c>
      <c r="O8" s="47">
        <f t="shared" ref="O8:O54" si="1">ROUNDUP(E8*1.2,0)</f>
        <v>29</v>
      </c>
    </row>
    <row r="9" spans="1:15" ht="13">
      <c r="A9" s="48">
        <v>1.5</v>
      </c>
      <c r="B9" s="49">
        <v>1</v>
      </c>
      <c r="C9" s="50">
        <v>8</v>
      </c>
      <c r="D9" s="50">
        <v>312</v>
      </c>
      <c r="E9" s="50">
        <v>24</v>
      </c>
      <c r="F9" s="466">
        <v>341</v>
      </c>
      <c r="G9" s="48">
        <v>1.5</v>
      </c>
      <c r="H9" s="49">
        <v>1</v>
      </c>
      <c r="I9" s="30" t="str">
        <f>IF(Data!$B$25&gt;0.1,IF(OR(Data!B$3="A",Data!B$3="LH"),IF($G9=Data!$B$4,IF($H9=Data!$B$6,C9*4*Data!B$25,""),""),""),"")</f>
        <v/>
      </c>
      <c r="J9" s="30" t="str">
        <f>IF(Data!$B$16="Y",IF(OR(Data!B$3="A",Data!B$3="LH"),IF($G9=Data!$B$4,IF($H9=Data!$B$6,D9+Data!B$8*E9,""),""),""),"")</f>
        <v/>
      </c>
      <c r="K9" s="47" t="str">
        <f>IF(Data!$B$14="Y",IF(Data!B$3="A",IF($G9=Data!$B$4,IF($H9=Data!$B$6,F9,""),""),""),"")</f>
        <v/>
      </c>
      <c r="M9" s="47">
        <f t="shared" ref="M9:M54" si="2">ROUNDUP(C9*1.2,0)</f>
        <v>10</v>
      </c>
      <c r="N9" s="117">
        <f t="shared" si="0"/>
        <v>375</v>
      </c>
      <c r="O9" s="47">
        <f t="shared" si="1"/>
        <v>29</v>
      </c>
    </row>
    <row r="10" spans="1:15" ht="13">
      <c r="A10" s="48">
        <v>2</v>
      </c>
      <c r="B10" s="49">
        <v>0.625</v>
      </c>
      <c r="C10" s="50">
        <v>9</v>
      </c>
      <c r="D10" s="50">
        <v>346</v>
      </c>
      <c r="E10" s="50">
        <v>28</v>
      </c>
      <c r="F10" s="466">
        <v>341</v>
      </c>
      <c r="G10" s="48">
        <v>2</v>
      </c>
      <c r="H10" s="49">
        <v>0.625</v>
      </c>
      <c r="I10" s="30" t="str">
        <f>IF(Data!$B$25&gt;0.1,IF(OR(Data!B$3="A",Data!B$3="LH"),IF($G10=Data!$B$4,IF($H10=Data!$B$6,C10*4*Data!B$25,""),""),""),"")</f>
        <v/>
      </c>
      <c r="J10" s="30" t="str">
        <f>IF(Data!$B$16="Y",IF(OR(Data!B$3="A",Data!B$3="LH"),IF($G10=Data!$B$4,IF($H10=Data!$B$6,D10+Data!B$8*E10,""),""),""),"")</f>
        <v/>
      </c>
      <c r="K10" s="47" t="str">
        <f>IF(Data!$B$14="Y",IF(Data!B$3="A",IF($G10=Data!$B$4,IF($H10=Data!$B$6,F10,""),""),""),"")</f>
        <v/>
      </c>
      <c r="M10" s="47">
        <f t="shared" si="2"/>
        <v>11</v>
      </c>
      <c r="N10" s="117">
        <f t="shared" si="0"/>
        <v>416</v>
      </c>
      <c r="O10" s="47">
        <f t="shared" si="1"/>
        <v>34</v>
      </c>
    </row>
    <row r="11" spans="1:15" ht="13">
      <c r="A11" s="48">
        <v>2</v>
      </c>
      <c r="B11" s="49">
        <v>1</v>
      </c>
      <c r="C11" s="50">
        <v>9</v>
      </c>
      <c r="D11" s="50">
        <v>346</v>
      </c>
      <c r="E11" s="50">
        <v>28</v>
      </c>
      <c r="F11" s="466">
        <v>341</v>
      </c>
      <c r="G11" s="48">
        <v>2</v>
      </c>
      <c r="H11" s="49">
        <v>1</v>
      </c>
      <c r="I11" s="30" t="str">
        <f>IF(Data!$B$25&gt;0.1,IF(OR(Data!B$3="A",Data!B$3="LH"),IF($G11=Data!$B$4,IF($H11=Data!$B$6,C11*4*Data!B$25,""),""),""),"")</f>
        <v/>
      </c>
      <c r="J11" s="30" t="str">
        <f>IF(Data!$B$16="Y",IF(OR(Data!B$3="A",Data!B$3="LH"),IF($G11=Data!$B$4,IF($H11=Data!$B$6,D11+Data!B$8*E11,""),""),""),"")</f>
        <v/>
      </c>
      <c r="K11" s="47" t="str">
        <f>IF(Data!$B$14="Y",IF(Data!B$3="A",IF($G11=Data!$B$4,IF($H11=Data!$B$6,F11,""),""),""),"")</f>
        <v/>
      </c>
      <c r="M11" s="47">
        <f t="shared" si="2"/>
        <v>11</v>
      </c>
      <c r="N11" s="117">
        <f t="shared" si="0"/>
        <v>416</v>
      </c>
      <c r="O11" s="47">
        <f t="shared" si="1"/>
        <v>34</v>
      </c>
    </row>
    <row r="12" spans="1:15" ht="13">
      <c r="A12" s="48">
        <v>2</v>
      </c>
      <c r="B12" s="49">
        <v>1.375</v>
      </c>
      <c r="C12" s="50">
        <v>9</v>
      </c>
      <c r="D12" s="50">
        <v>346</v>
      </c>
      <c r="E12" s="50">
        <v>28</v>
      </c>
      <c r="F12" s="466">
        <v>341</v>
      </c>
      <c r="G12" s="48">
        <v>2</v>
      </c>
      <c r="H12" s="49">
        <v>1.375</v>
      </c>
      <c r="I12" s="30" t="str">
        <f>IF(Data!$B$25&gt;0.1,IF(OR(Data!B$3="A",Data!B$3="LH"),IF($G12=Data!$B$4,IF($H12=Data!$B$6,C12*4*Data!B$25,""),""),""),"")</f>
        <v/>
      </c>
      <c r="J12" s="30" t="str">
        <f>IF(Data!$B$16="Y",IF(OR(Data!B$3="A",Data!B$3="LH"),IF($G12=Data!$B$4,IF($H12=Data!$B$6,D12+Data!B$8*E12,""),""),""),"")</f>
        <v/>
      </c>
      <c r="K12" s="47" t="str">
        <f>IF(Data!$B$14="Y",IF(Data!B$3="A",IF($G12=Data!$B$4,IF($H12=Data!$B$6,F12,""),""),""),"")</f>
        <v/>
      </c>
      <c r="M12" s="47">
        <f t="shared" si="2"/>
        <v>11</v>
      </c>
      <c r="N12" s="117">
        <f t="shared" si="0"/>
        <v>416</v>
      </c>
      <c r="O12" s="47">
        <f t="shared" si="1"/>
        <v>34</v>
      </c>
    </row>
    <row r="13" spans="1:15" ht="13">
      <c r="A13" s="48">
        <v>2.5</v>
      </c>
      <c r="B13" s="49">
        <v>0.625</v>
      </c>
      <c r="C13" s="50">
        <v>10</v>
      </c>
      <c r="D13" s="50">
        <v>384</v>
      </c>
      <c r="E13" s="50">
        <v>31</v>
      </c>
      <c r="F13" s="466">
        <v>341</v>
      </c>
      <c r="G13" s="48">
        <v>2.5</v>
      </c>
      <c r="H13" s="49">
        <v>0.625</v>
      </c>
      <c r="I13" s="30" t="str">
        <f>IF(Data!$B$25&gt;0.1,IF(OR(Data!B$3="A",Data!B$3="LH"),IF($G13=Data!$B$4,IF($H13=Data!$B$6,C13*4*Data!B$25,""),""),""),"")</f>
        <v/>
      </c>
      <c r="J13" s="30" t="str">
        <f>IF(Data!$B$16="Y",IF(OR(Data!B$3="A",Data!B$3="LH"),IF($G13=Data!$B$4,IF($H13=Data!$B$6,D13+Data!B$8*E13,""),""),""),"")</f>
        <v/>
      </c>
      <c r="K13" s="47" t="str">
        <f>IF(Data!$B$14="Y",IF(Data!B$3="A",IF($G13=Data!$B$4,IF($H13=Data!$B$6,F13,""),""),""),"")</f>
        <v/>
      </c>
      <c r="M13" s="47">
        <f t="shared" si="2"/>
        <v>12</v>
      </c>
      <c r="N13" s="117">
        <f t="shared" si="0"/>
        <v>461</v>
      </c>
      <c r="O13" s="47">
        <f t="shared" si="1"/>
        <v>38</v>
      </c>
    </row>
    <row r="14" spans="1:15" ht="13">
      <c r="A14" s="48">
        <v>2.5</v>
      </c>
      <c r="B14" s="49">
        <v>1</v>
      </c>
      <c r="C14" s="50">
        <v>10</v>
      </c>
      <c r="D14" s="50">
        <v>384</v>
      </c>
      <c r="E14" s="50">
        <v>31</v>
      </c>
      <c r="F14" s="466">
        <v>341</v>
      </c>
      <c r="G14" s="48">
        <v>2.5</v>
      </c>
      <c r="H14" s="49">
        <v>1</v>
      </c>
      <c r="I14" s="30" t="str">
        <f>IF(Data!$B$25&gt;0.1,IF(OR(Data!B$3="A",Data!B$3="LH"),IF($G14=Data!$B$4,IF($H14=Data!$B$6,C14*4*Data!B$25,""),""),""),"")</f>
        <v/>
      </c>
      <c r="J14" s="30" t="str">
        <f>IF(Data!$B$16="Y",IF(OR(Data!B$3="A",Data!B$3="LH"),IF($G14=Data!$B$4,IF($H14=Data!$B$6,D14+Data!B$8*E14,""),""),""),"")</f>
        <v/>
      </c>
      <c r="K14" s="47" t="str">
        <f>IF(Data!$B$14="Y",IF(Data!B$3="A",IF($G14=Data!$B$4,IF($H14=Data!$B$6,F14,""),""),""),"")</f>
        <v/>
      </c>
      <c r="M14" s="47">
        <f t="shared" si="2"/>
        <v>12</v>
      </c>
      <c r="N14" s="117">
        <f t="shared" si="0"/>
        <v>461</v>
      </c>
      <c r="O14" s="47">
        <f t="shared" si="1"/>
        <v>38</v>
      </c>
    </row>
    <row r="15" spans="1:15" ht="13">
      <c r="A15" s="48">
        <v>2.5</v>
      </c>
      <c r="B15" s="49">
        <v>1.375</v>
      </c>
      <c r="C15" s="50">
        <v>10</v>
      </c>
      <c r="D15" s="50">
        <v>384</v>
      </c>
      <c r="E15" s="50">
        <v>31</v>
      </c>
      <c r="F15" s="466">
        <v>341</v>
      </c>
      <c r="G15" s="48">
        <v>2.5</v>
      </c>
      <c r="H15" s="49">
        <v>1.375</v>
      </c>
      <c r="I15" s="30" t="str">
        <f>IF(Data!$B$25&gt;0.1,IF(OR(Data!B$3="A",Data!B$3="LH"),IF($G15=Data!$B$4,IF($H15=Data!$B$6,C15*4*Data!B$25,""),""),""),"")</f>
        <v/>
      </c>
      <c r="J15" s="30" t="str">
        <f>IF(Data!$B$16="Y",IF(OR(Data!B$3="A",Data!B$3="LH"),IF($G15=Data!$B$4,IF($H15=Data!$B$6,D15+Data!B$8*E15,""),""),""),"")</f>
        <v/>
      </c>
      <c r="K15" s="47" t="str">
        <f>IF(Data!$B$14="Y",IF(Data!B$3="A",IF($G15=Data!$B$4,IF($H15=Data!$B$6,F15,""),""),""),"")</f>
        <v/>
      </c>
      <c r="M15" s="47">
        <f t="shared" si="2"/>
        <v>12</v>
      </c>
      <c r="N15" s="117">
        <f t="shared" si="0"/>
        <v>461</v>
      </c>
      <c r="O15" s="47">
        <f t="shared" si="1"/>
        <v>38</v>
      </c>
    </row>
    <row r="16" spans="1:15" ht="13">
      <c r="A16" s="48">
        <v>2.5</v>
      </c>
      <c r="B16" s="49">
        <v>1.75</v>
      </c>
      <c r="C16" s="50">
        <v>10</v>
      </c>
      <c r="D16" s="50">
        <v>384</v>
      </c>
      <c r="E16" s="50">
        <v>31</v>
      </c>
      <c r="F16" s="466">
        <v>341</v>
      </c>
      <c r="G16" s="48">
        <v>2.5</v>
      </c>
      <c r="H16" s="49">
        <v>1.75</v>
      </c>
      <c r="I16" s="30" t="str">
        <f>IF(Data!$B$25&gt;0.1,IF(OR(Data!B$3="A",Data!B$3="LH"),IF($G16=Data!$B$4,IF($H16=Data!$B$6,C16*4*Data!B$25,""),""),""),"")</f>
        <v/>
      </c>
      <c r="J16" s="30" t="str">
        <f>IF(Data!$B$16="Y",IF(OR(Data!B$3="A",Data!B$3="LH"),IF($G16=Data!$B$4,IF($H16=Data!$B$6,D16+Data!B$8*E16,""),""),""),"")</f>
        <v/>
      </c>
      <c r="K16" s="47" t="str">
        <f>IF(Data!$B$14="Y",IF(Data!B$3="A",IF($G16=Data!$B$4,IF($H16=Data!$B$6,F16,""),""),""),"")</f>
        <v/>
      </c>
      <c r="M16" s="47">
        <f t="shared" si="2"/>
        <v>12</v>
      </c>
      <c r="N16" s="117">
        <f t="shared" si="0"/>
        <v>461</v>
      </c>
      <c r="O16" s="47">
        <f t="shared" si="1"/>
        <v>38</v>
      </c>
    </row>
    <row r="17" spans="1:15" ht="13">
      <c r="A17" s="48">
        <v>3.25</v>
      </c>
      <c r="B17" s="49">
        <v>1</v>
      </c>
      <c r="C17" s="50">
        <v>11</v>
      </c>
      <c r="D17" s="50">
        <v>418</v>
      </c>
      <c r="E17" s="50">
        <v>33</v>
      </c>
      <c r="F17" s="466">
        <v>341</v>
      </c>
      <c r="G17" s="48">
        <v>3.25</v>
      </c>
      <c r="H17" s="49">
        <v>1</v>
      </c>
      <c r="I17" s="30" t="str">
        <f>IF(Data!$B$25&gt;0.1,IF(OR(Data!B$3="A",Data!B$3="LH"),IF($G17=Data!$B$4,IF($H17=Data!$B$6,C17*4*Data!B$25,""),""),""),"")</f>
        <v/>
      </c>
      <c r="J17" s="30" t="str">
        <f>IF(Data!$B$16="Y",IF(OR(Data!B$3="A",Data!B$3="LH"),IF($G17=Data!$B$4,IF($H17=Data!$B$6,D17+Data!B$8*E17,""),""),""),"")</f>
        <v/>
      </c>
      <c r="K17" s="47" t="str">
        <f>IF(Data!$B$14="Y",IF(Data!B$3="A",IF($G17=Data!$B$4,IF($H17=Data!$B$6,F17,""),""),""),"")</f>
        <v/>
      </c>
      <c r="M17" s="47">
        <f t="shared" si="2"/>
        <v>14</v>
      </c>
      <c r="N17" s="117">
        <f t="shared" si="0"/>
        <v>502</v>
      </c>
      <c r="O17" s="47">
        <f t="shared" si="1"/>
        <v>40</v>
      </c>
    </row>
    <row r="18" spans="1:15" ht="13">
      <c r="A18" s="48">
        <v>3.25</v>
      </c>
      <c r="B18" s="49">
        <v>1.375</v>
      </c>
      <c r="C18" s="50">
        <v>11</v>
      </c>
      <c r="D18" s="50">
        <v>418</v>
      </c>
      <c r="E18" s="50">
        <v>33</v>
      </c>
      <c r="F18" s="466">
        <v>341</v>
      </c>
      <c r="G18" s="48">
        <v>3.25</v>
      </c>
      <c r="H18" s="49">
        <v>1.375</v>
      </c>
      <c r="I18" s="30" t="str">
        <f>IF(Data!$B$25&gt;0.1,IF(OR(Data!B$3="A",Data!B$3="LH"),IF($G18=Data!$B$4,IF($H18=Data!$B$6,C18*4*Data!B$25,""),""),""),"")</f>
        <v/>
      </c>
      <c r="J18" s="30" t="str">
        <f>IF(Data!$B$16="Y",IF(OR(Data!B$3="A",Data!B$3="LH"),IF($G18=Data!$B$4,IF($H18=Data!$B$6,D18+Data!B$8*E18,""),""),""),"")</f>
        <v/>
      </c>
      <c r="K18" s="47" t="str">
        <f>IF(Data!$B$14="Y",IF(Data!B$3="A",IF($G18=Data!$B$4,IF($H18=Data!$B$6,F18,""),""),""),"")</f>
        <v/>
      </c>
      <c r="M18" s="47">
        <f t="shared" si="2"/>
        <v>14</v>
      </c>
      <c r="N18" s="117">
        <f t="shared" si="0"/>
        <v>502</v>
      </c>
      <c r="O18" s="47">
        <f t="shared" si="1"/>
        <v>40</v>
      </c>
    </row>
    <row r="19" spans="1:15" ht="13">
      <c r="A19" s="48">
        <v>3.25</v>
      </c>
      <c r="B19" s="49">
        <v>1.75</v>
      </c>
      <c r="C19" s="50">
        <v>11</v>
      </c>
      <c r="D19" s="50">
        <v>418</v>
      </c>
      <c r="E19" s="50">
        <v>33</v>
      </c>
      <c r="F19" s="466">
        <v>341</v>
      </c>
      <c r="G19" s="48">
        <v>3.25</v>
      </c>
      <c r="H19" s="49">
        <v>1.75</v>
      </c>
      <c r="I19" s="30" t="str">
        <f>IF(Data!$B$25&gt;0.1,IF(OR(Data!B$3="A",Data!B$3="LH"),IF($G19=Data!$B$4,IF($H19=Data!$B$6,C19*4*Data!B$25,""),""),""),"")</f>
        <v/>
      </c>
      <c r="J19" s="30" t="str">
        <f>IF(Data!$B$16="Y",IF(OR(Data!B$3="A",Data!B$3="LH"),IF($G19=Data!$B$4,IF($H19=Data!$B$6,D19+Data!B$8*E19,""),""),""),"")</f>
        <v/>
      </c>
      <c r="K19" s="47" t="str">
        <f>IF(Data!$B$14="Y",IF(Data!B$3="A",IF($G19=Data!$B$4,IF($H19=Data!$B$6,F19,""),""),""),"")</f>
        <v/>
      </c>
      <c r="M19" s="47">
        <f t="shared" si="2"/>
        <v>14</v>
      </c>
      <c r="N19" s="117">
        <f t="shared" si="0"/>
        <v>502</v>
      </c>
      <c r="O19" s="47">
        <f t="shared" si="1"/>
        <v>40</v>
      </c>
    </row>
    <row r="20" spans="1:15" ht="13">
      <c r="A20" s="48">
        <v>3.25</v>
      </c>
      <c r="B20" s="49">
        <v>2</v>
      </c>
      <c r="C20" s="50">
        <v>11</v>
      </c>
      <c r="D20" s="50">
        <v>418</v>
      </c>
      <c r="E20" s="50">
        <v>33</v>
      </c>
      <c r="F20" s="466">
        <v>341</v>
      </c>
      <c r="G20" s="48">
        <v>3.25</v>
      </c>
      <c r="H20" s="49">
        <v>2</v>
      </c>
      <c r="I20" s="30" t="str">
        <f>IF(Data!$B$25&gt;0.1,IF(OR(Data!B$3="A",Data!B$3="LH"),IF($G20=Data!$B$4,IF($H20=Data!$B$6,C20*4*Data!B$25,""),""),""),"")</f>
        <v/>
      </c>
      <c r="J20" s="30" t="str">
        <f>IF(Data!$B$16="Y",IF(OR(Data!B$3="A",Data!B$3="LH"),IF($G20=Data!$B$4,IF($H20=Data!$B$6,D20+Data!B$8*E20,""),""),""),"")</f>
        <v/>
      </c>
      <c r="K20" s="47" t="str">
        <f>IF(Data!$B$14="Y",IF(Data!B$3="A",IF($G20=Data!$B$4,IF($H20=Data!$B$6,F20,""),""),""),"")</f>
        <v/>
      </c>
      <c r="M20" s="47">
        <f t="shared" si="2"/>
        <v>14</v>
      </c>
      <c r="N20" s="117">
        <f t="shared" si="0"/>
        <v>502</v>
      </c>
      <c r="O20" s="47">
        <f t="shared" si="1"/>
        <v>40</v>
      </c>
    </row>
    <row r="21" spans="1:15" ht="13">
      <c r="A21" s="48">
        <v>4</v>
      </c>
      <c r="B21" s="49">
        <v>1</v>
      </c>
      <c r="C21" s="50">
        <v>12</v>
      </c>
      <c r="D21" s="50">
        <v>490</v>
      </c>
      <c r="E21" s="50">
        <v>36</v>
      </c>
      <c r="F21" s="466">
        <v>341</v>
      </c>
      <c r="G21" s="48">
        <v>4</v>
      </c>
      <c r="H21" s="49">
        <v>1</v>
      </c>
      <c r="I21" s="30" t="str">
        <f>IF(Data!$B$25&gt;0.1,IF(OR(Data!B$3="A",Data!B$3="LH"),IF($G21=Data!$B$4,IF($H21=Data!$B$6,C21*4*Data!B$25,""),""),""),"")</f>
        <v/>
      </c>
      <c r="J21" s="30" t="str">
        <f>IF(Data!$B$16="Y",IF(OR(Data!B$3="A",Data!B$3="LH"),IF($G21=Data!$B$4,IF($H21=Data!$B$6,D21+Data!B$8*E21,""),""),""),"")</f>
        <v/>
      </c>
      <c r="K21" s="47" t="str">
        <f>IF(Data!$B$14="Y",IF(Data!B$3="A",IF($G21=Data!$B$4,IF($H21=Data!$B$6,F21,""),""),""),"")</f>
        <v/>
      </c>
      <c r="M21" s="47">
        <f t="shared" si="2"/>
        <v>15</v>
      </c>
      <c r="N21" s="117">
        <f t="shared" si="0"/>
        <v>588</v>
      </c>
      <c r="O21" s="47">
        <f t="shared" si="1"/>
        <v>44</v>
      </c>
    </row>
    <row r="22" spans="1:15" ht="13">
      <c r="A22" s="48">
        <v>4</v>
      </c>
      <c r="B22" s="49">
        <v>1.375</v>
      </c>
      <c r="C22" s="50">
        <v>12</v>
      </c>
      <c r="D22" s="50">
        <v>490</v>
      </c>
      <c r="E22" s="50">
        <v>36</v>
      </c>
      <c r="F22" s="466">
        <v>341</v>
      </c>
      <c r="G22" s="48">
        <v>4</v>
      </c>
      <c r="H22" s="49">
        <v>1.375</v>
      </c>
      <c r="I22" s="30" t="str">
        <f>IF(Data!$B$25&gt;0.1,IF(OR(Data!B$3="A",Data!B$3="LH"),IF($G22=Data!$B$4,IF($H22=Data!$B$6,C22*4*Data!B$25,""),""),""),"")</f>
        <v/>
      </c>
      <c r="J22" s="30" t="str">
        <f>IF(Data!$B$16="Y",IF(OR(Data!B$3="A",Data!B$3="LH"),IF($G22=Data!$B$4,IF($H22=Data!$B$6,D22+Data!B$8*E22,""),""),""),"")</f>
        <v/>
      </c>
      <c r="K22" s="47" t="str">
        <f>IF(Data!$B$14="Y",IF(Data!B$3="A",IF($G22=Data!$B$4,IF($H22=Data!$B$6,F22,""),""),""),"")</f>
        <v/>
      </c>
      <c r="M22" s="47">
        <f t="shared" si="2"/>
        <v>15</v>
      </c>
      <c r="N22" s="117">
        <f t="shared" si="0"/>
        <v>588</v>
      </c>
      <c r="O22" s="47">
        <f t="shared" si="1"/>
        <v>44</v>
      </c>
    </row>
    <row r="23" spans="1:15" ht="13">
      <c r="A23" s="48">
        <v>4</v>
      </c>
      <c r="B23" s="49">
        <v>1.75</v>
      </c>
      <c r="C23" s="50">
        <v>12</v>
      </c>
      <c r="D23" s="50">
        <v>490</v>
      </c>
      <c r="E23" s="50">
        <v>36</v>
      </c>
      <c r="F23" s="466">
        <v>341</v>
      </c>
      <c r="G23" s="48">
        <v>4</v>
      </c>
      <c r="H23" s="49">
        <v>1.75</v>
      </c>
      <c r="I23" s="30" t="str">
        <f>IF(Data!$B$25&gt;0.1,IF(OR(Data!B$3="A",Data!B$3="LH"),IF($G23=Data!$B$4,IF($H23=Data!$B$6,C23*4*Data!B$25,""),""),""),"")</f>
        <v/>
      </c>
      <c r="J23" s="30" t="str">
        <f>IF(Data!$B$16="Y",IF(OR(Data!B$3="A",Data!B$3="LH"),IF($G23=Data!$B$4,IF($H23=Data!$B$6,D23+Data!B$8*E23,""),""),""),"")</f>
        <v/>
      </c>
      <c r="K23" s="47" t="str">
        <f>IF(Data!$B$14="Y",IF(Data!B$3="A",IF($G23=Data!$B$4,IF($H23=Data!$B$6,F23,""),""),""),"")</f>
        <v/>
      </c>
      <c r="M23" s="47">
        <f t="shared" si="2"/>
        <v>15</v>
      </c>
      <c r="N23" s="117">
        <f t="shared" si="0"/>
        <v>588</v>
      </c>
      <c r="O23" s="47">
        <f t="shared" si="1"/>
        <v>44</v>
      </c>
    </row>
    <row r="24" spans="1:15" ht="13">
      <c r="A24" s="48">
        <v>4</v>
      </c>
      <c r="B24" s="49">
        <v>2</v>
      </c>
      <c r="C24" s="50">
        <v>12</v>
      </c>
      <c r="D24" s="50">
        <v>490</v>
      </c>
      <c r="E24" s="50">
        <v>36</v>
      </c>
      <c r="F24" s="466">
        <v>341</v>
      </c>
      <c r="G24" s="48">
        <v>4</v>
      </c>
      <c r="H24" s="49">
        <v>2</v>
      </c>
      <c r="I24" s="30" t="str">
        <f>IF(Data!$B$25&gt;0.1,IF(OR(Data!B$3="A",Data!B$3="LH"),IF($G24=Data!$B$4,IF($H24=Data!$B$6,C24*4*Data!B$25,""),""),""),"")</f>
        <v/>
      </c>
      <c r="J24" s="30" t="str">
        <f>IF(Data!$B$16="Y",IF(OR(Data!B$3="A",Data!B$3="LH"),IF($G24=Data!$B$4,IF($H24=Data!$B$6,D24+Data!B$8*E24,""),""),""),"")</f>
        <v/>
      </c>
      <c r="K24" s="47" t="str">
        <f>IF(Data!$B$14="Y",IF(Data!B$3="A",IF($G24=Data!$B$4,IF($H24=Data!$B$6,F24,""),""),""),"")</f>
        <v/>
      </c>
      <c r="M24" s="47">
        <f t="shared" si="2"/>
        <v>15</v>
      </c>
      <c r="N24" s="117">
        <f t="shared" si="0"/>
        <v>588</v>
      </c>
      <c r="O24" s="47">
        <f t="shared" si="1"/>
        <v>44</v>
      </c>
    </row>
    <row r="25" spans="1:15" ht="13">
      <c r="A25" s="48">
        <v>5</v>
      </c>
      <c r="B25" s="49">
        <v>1</v>
      </c>
      <c r="C25" s="50">
        <v>14</v>
      </c>
      <c r="D25" s="50">
        <v>567</v>
      </c>
      <c r="E25" s="50">
        <v>39</v>
      </c>
      <c r="F25" s="466">
        <v>341</v>
      </c>
      <c r="G25" s="48">
        <v>5</v>
      </c>
      <c r="H25" s="49">
        <v>1</v>
      </c>
      <c r="I25" s="30" t="str">
        <f>IF(Data!$B$25&gt;0.1,IF(OR(Data!B$3="A",Data!B$3="LH"),IF($G25=Data!$B$4,IF($H25=Data!$B$6,C25*4*Data!B$25,""),""),""),"")</f>
        <v/>
      </c>
      <c r="J25" s="30" t="str">
        <f>IF(Data!$B$16="Y",IF(OR(Data!B$3="A",Data!B$3="LH"),IF($G25=Data!$B$4,IF($H25=Data!$B$6,D25+Data!B$8*E25,""),""),""),"")</f>
        <v/>
      </c>
      <c r="K25" s="47" t="str">
        <f>IF(Data!$B$14="Y",IF(Data!B$3="A",IF($G25=Data!$B$4,IF($H25=Data!$B$6,F25,""),""),""),"")</f>
        <v/>
      </c>
      <c r="M25" s="47">
        <f t="shared" si="2"/>
        <v>17</v>
      </c>
      <c r="N25" s="117">
        <f t="shared" si="0"/>
        <v>681</v>
      </c>
      <c r="O25" s="47">
        <f t="shared" si="1"/>
        <v>47</v>
      </c>
    </row>
    <row r="26" spans="1:15" ht="13">
      <c r="A26" s="48">
        <v>5</v>
      </c>
      <c r="B26" s="49">
        <v>1.375</v>
      </c>
      <c r="C26" s="50">
        <v>14</v>
      </c>
      <c r="D26" s="50">
        <v>567</v>
      </c>
      <c r="E26" s="50">
        <v>39</v>
      </c>
      <c r="F26" s="466">
        <v>341</v>
      </c>
      <c r="G26" s="48">
        <v>5</v>
      </c>
      <c r="H26" s="49">
        <v>1.375</v>
      </c>
      <c r="I26" s="30" t="str">
        <f>IF(Data!$B$25&gt;0.1,IF(OR(Data!B$3="A",Data!B$3="LH"),IF($G26=Data!$B$4,IF($H26=Data!$B$6,C26*4*Data!B$25,""),""),""),"")</f>
        <v/>
      </c>
      <c r="J26" s="30" t="str">
        <f>IF(Data!$B$16="Y",IF(OR(Data!B$3="A",Data!B$3="LH"),IF($G26=Data!$B$4,IF($H26=Data!$B$6,D26+Data!B$8*E26,""),""),""),"")</f>
        <v/>
      </c>
      <c r="K26" s="47" t="str">
        <f>IF(Data!$B$14="Y",IF(Data!B$3="A",IF($G26=Data!$B$4,IF($H26=Data!$B$6,F26,""),""),""),"")</f>
        <v/>
      </c>
      <c r="M26" s="47">
        <f t="shared" si="2"/>
        <v>17</v>
      </c>
      <c r="N26" s="117">
        <f t="shared" si="0"/>
        <v>681</v>
      </c>
      <c r="O26" s="47">
        <f t="shared" si="1"/>
        <v>47</v>
      </c>
    </row>
    <row r="27" spans="1:15" ht="13">
      <c r="A27" s="48">
        <v>5</v>
      </c>
      <c r="B27" s="49">
        <v>1.75</v>
      </c>
      <c r="C27" s="50">
        <v>14</v>
      </c>
      <c r="D27" s="50">
        <v>567</v>
      </c>
      <c r="E27" s="50">
        <v>39</v>
      </c>
      <c r="F27" s="466">
        <v>341</v>
      </c>
      <c r="G27" s="48">
        <v>5</v>
      </c>
      <c r="H27" s="49">
        <v>1.75</v>
      </c>
      <c r="I27" s="30" t="str">
        <f>IF(Data!$B$25&gt;0.1,IF(OR(Data!B$3="A",Data!B$3="LH"),IF($G27=Data!$B$4,IF($H27=Data!$B$6,C27*4*Data!B$25,""),""),""),"")</f>
        <v/>
      </c>
      <c r="J27" s="30" t="str">
        <f>IF(Data!$B$16="Y",IF(OR(Data!B$3="A",Data!B$3="LH"),IF($G27=Data!$B$4,IF($H27=Data!$B$6,D27+Data!B$8*E27,""),""),""),"")</f>
        <v/>
      </c>
      <c r="K27" s="47" t="str">
        <f>IF(Data!$B$14="Y",IF(Data!B$3="A",IF($G27=Data!$B$4,IF($H27=Data!$B$6,F27,""),""),""),"")</f>
        <v/>
      </c>
      <c r="M27" s="47">
        <f t="shared" si="2"/>
        <v>17</v>
      </c>
      <c r="N27" s="117">
        <f t="shared" si="0"/>
        <v>681</v>
      </c>
      <c r="O27" s="47">
        <f t="shared" si="1"/>
        <v>47</v>
      </c>
    </row>
    <row r="28" spans="1:15" ht="13">
      <c r="A28" s="48">
        <v>5</v>
      </c>
      <c r="B28" s="49">
        <v>2</v>
      </c>
      <c r="C28" s="50">
        <v>14</v>
      </c>
      <c r="D28" s="50">
        <v>567</v>
      </c>
      <c r="E28" s="50">
        <v>39</v>
      </c>
      <c r="F28" s="466">
        <v>341</v>
      </c>
      <c r="G28" s="48">
        <v>5</v>
      </c>
      <c r="H28" s="49">
        <v>2</v>
      </c>
      <c r="I28" s="30" t="str">
        <f>IF(Data!$B$25&gt;0.1,IF(OR(Data!B$3="A",Data!B$3="LH"),IF($G28=Data!$B$4,IF($H28=Data!$B$6,C28*4*Data!B$25,""),""),""),"")</f>
        <v/>
      </c>
      <c r="J28" s="30" t="str">
        <f>IF(Data!$B$16="Y",IF(OR(Data!B$3="A",Data!B$3="LH"),IF($G28=Data!$B$4,IF($H28=Data!$B$6,D28+Data!B$8*E28,""),""),""),"")</f>
        <v/>
      </c>
      <c r="K28" s="47" t="str">
        <f>IF(Data!$B$14="Y",IF(Data!B$3="A",IF($G28=Data!$B$4,IF($H28=Data!$B$6,F28,""),""),""),"")</f>
        <v/>
      </c>
      <c r="M28" s="47">
        <f t="shared" si="2"/>
        <v>17</v>
      </c>
      <c r="N28" s="117">
        <f t="shared" si="0"/>
        <v>681</v>
      </c>
      <c r="O28" s="47">
        <f t="shared" si="1"/>
        <v>47</v>
      </c>
    </row>
    <row r="29" spans="1:15" ht="12.75" customHeight="1">
      <c r="A29" s="48">
        <v>6</v>
      </c>
      <c r="B29" s="49">
        <v>1.375</v>
      </c>
      <c r="C29" s="50">
        <v>15</v>
      </c>
      <c r="D29" s="50">
        <v>1085</v>
      </c>
      <c r="E29" s="50">
        <v>41</v>
      </c>
      <c r="F29" s="466">
        <v>341</v>
      </c>
      <c r="G29" s="48">
        <v>6</v>
      </c>
      <c r="H29" s="49">
        <v>1.375</v>
      </c>
      <c r="I29" s="30" t="str">
        <f>IF(Data!$B$25&gt;0.1,IF(OR(Data!B$3="A",Data!B$3="LH"),IF($G29=Data!$B$4,IF($H29=Data!$B$6,C29*4*Data!B$25,""),""),""),"")</f>
        <v/>
      </c>
      <c r="J29" s="30" t="str">
        <f>IF(Data!$B$16="Y",IF(OR(Data!B$3="A",Data!B$3="LH"),IF($G29=Data!$B$4,IF($H29=Data!$B$6,D29+Data!B$8*E29,""),""),""),"")</f>
        <v/>
      </c>
      <c r="K29" s="47" t="str">
        <f>IF(Data!$B$14="Y",IF(Data!B$3="A",IF($G29=Data!$B$4,IF($H29=Data!$B$6,F29,""),""),""),"")</f>
        <v/>
      </c>
      <c r="M29" s="47">
        <f t="shared" si="2"/>
        <v>18</v>
      </c>
      <c r="N29" s="117">
        <f t="shared" si="0"/>
        <v>1302</v>
      </c>
      <c r="O29" s="47">
        <f t="shared" si="1"/>
        <v>50</v>
      </c>
    </row>
    <row r="30" spans="1:15" ht="13">
      <c r="A30" s="48">
        <v>6</v>
      </c>
      <c r="B30" s="49">
        <v>1.75</v>
      </c>
      <c r="C30" s="50">
        <v>15</v>
      </c>
      <c r="D30" s="50">
        <v>1085</v>
      </c>
      <c r="E30" s="50">
        <v>41</v>
      </c>
      <c r="F30" s="466">
        <v>341</v>
      </c>
      <c r="G30" s="48">
        <v>6</v>
      </c>
      <c r="H30" s="49">
        <v>1.75</v>
      </c>
      <c r="I30" s="30" t="str">
        <f>IF(Data!$B$25&gt;0.1,IF(OR(Data!B$3="A",Data!B$3="LH"),IF($G30=Data!$B$4,IF($H30=Data!$B$6,C30*4*Data!B$25,""),""),""),"")</f>
        <v/>
      </c>
      <c r="J30" s="30" t="str">
        <f>IF(Data!$B$16="Y",IF(OR(Data!B$3="A",Data!B$3="LH"),IF($G30=Data!$B$4,IF($H30=Data!$B$6,D30+Data!B$8*E30,""),""),""),"")</f>
        <v/>
      </c>
      <c r="K30" s="47" t="str">
        <f>IF(Data!$B$14="Y",IF(Data!B$3="A",IF($G30=Data!$B$4,IF($H30=Data!$B$6,F30,""),""),""),"")</f>
        <v/>
      </c>
      <c r="M30" s="47">
        <f t="shared" si="2"/>
        <v>18</v>
      </c>
      <c r="N30" s="117">
        <f t="shared" si="0"/>
        <v>1302</v>
      </c>
      <c r="O30" s="47">
        <f t="shared" si="1"/>
        <v>50</v>
      </c>
    </row>
    <row r="31" spans="1:15" ht="13">
      <c r="A31" s="48">
        <v>6</v>
      </c>
      <c r="B31" s="49">
        <v>2</v>
      </c>
      <c r="C31" s="50">
        <v>15</v>
      </c>
      <c r="D31" s="50">
        <v>1085</v>
      </c>
      <c r="E31" s="50">
        <v>41</v>
      </c>
      <c r="F31" s="466">
        <v>341</v>
      </c>
      <c r="G31" s="48">
        <v>6</v>
      </c>
      <c r="H31" s="49">
        <v>2</v>
      </c>
      <c r="I31" s="30" t="str">
        <f>IF(Data!$B$25&gt;0.1,IF(OR(Data!B$3="A",Data!B$3="LH"),IF($G31=Data!$B$4,IF($H31=Data!$B$6,C31*4*Data!B$25,""),""),""),"")</f>
        <v/>
      </c>
      <c r="J31" s="30" t="str">
        <f>IF(Data!$B$16="Y",IF(OR(Data!B$3="A",Data!B$3="LH"),IF($G31=Data!$B$4,IF($H31=Data!$B$6,D31+Data!B$8*E31,""),""),""),"")</f>
        <v/>
      </c>
      <c r="K31" s="47" t="str">
        <f>IF(Data!$B$14="Y",IF(Data!B$3="A",IF($G31=Data!$B$4,IF($H31=Data!$B$6,F31,""),""),""),"")</f>
        <v/>
      </c>
      <c r="M31" s="47">
        <f t="shared" si="2"/>
        <v>18</v>
      </c>
      <c r="N31" s="117">
        <f t="shared" si="0"/>
        <v>1302</v>
      </c>
      <c r="O31" s="47">
        <f t="shared" si="1"/>
        <v>50</v>
      </c>
    </row>
    <row r="32" spans="1:15" ht="13">
      <c r="A32" s="48">
        <v>6</v>
      </c>
      <c r="B32" s="49">
        <v>2.5</v>
      </c>
      <c r="C32" s="50">
        <v>15</v>
      </c>
      <c r="D32" s="50">
        <v>1085</v>
      </c>
      <c r="E32" s="50">
        <v>41</v>
      </c>
      <c r="F32" s="466">
        <v>341</v>
      </c>
      <c r="G32" s="48">
        <v>6</v>
      </c>
      <c r="H32" s="49">
        <v>2.5</v>
      </c>
      <c r="I32" s="30" t="str">
        <f>IF(Data!$B$25&gt;0.1,IF(OR(Data!B$3="A",Data!B$3="LH"),IF($G32=Data!$B$4,IF($H32=Data!$B$6,C32*4*Data!B$25,""),""),""),"")</f>
        <v/>
      </c>
      <c r="J32" s="30" t="str">
        <f>IF(Data!$B$16="Y",IF(OR(Data!B$3="A",Data!B$3="LH"),IF($G32=Data!$B$4,IF($H32=Data!$B$6,D32+Data!B$8*E32,""),""),""),"")</f>
        <v/>
      </c>
      <c r="K32" s="47" t="str">
        <f>IF(Data!$B$14="Y",IF(Data!B$3="A",IF($G32=Data!$B$4,IF($H32=Data!$B$6,F32,""),""),""),"")</f>
        <v/>
      </c>
      <c r="M32" s="47">
        <f t="shared" si="2"/>
        <v>18</v>
      </c>
      <c r="N32" s="117">
        <f t="shared" si="0"/>
        <v>1302</v>
      </c>
      <c r="O32" s="47">
        <f t="shared" si="1"/>
        <v>50</v>
      </c>
    </row>
    <row r="33" spans="1:15" ht="13">
      <c r="A33" s="48">
        <v>7</v>
      </c>
      <c r="B33" s="49">
        <v>1.375</v>
      </c>
      <c r="C33" s="50">
        <v>16</v>
      </c>
      <c r="D33" s="50">
        <v>1743</v>
      </c>
      <c r="E33" s="50">
        <v>57</v>
      </c>
      <c r="F33" s="105">
        <v>364</v>
      </c>
      <c r="G33" s="48">
        <v>7</v>
      </c>
      <c r="H33" s="49">
        <v>1.375</v>
      </c>
      <c r="I33" s="30" t="str">
        <f>IF(Data!$B$25&gt;0.1,IF(OR(Data!B$3="A",Data!B$3="LH"),IF($G33=Data!$B$4,IF($H33=Data!$B$6,C33*4*Data!B$25,""),""),""),"")</f>
        <v/>
      </c>
      <c r="J33" s="30" t="str">
        <f>IF(Data!$B$16="Y",IF(OR(Data!B$3="A",Data!B$3="LH"),IF($G33=Data!$B$4,IF($H33=Data!$B$6,D33+Data!B$8*E33,""),""),""),"")</f>
        <v/>
      </c>
      <c r="K33" s="47" t="str">
        <f>IF(Data!$B$14="Y",IF(Data!B$3="A",IF($G33=Data!$B$4,IF($H33=Data!$B$6,F33,""),""),""),"")</f>
        <v/>
      </c>
      <c r="M33" s="47">
        <f t="shared" si="2"/>
        <v>20</v>
      </c>
      <c r="N33" s="117">
        <f t="shared" si="0"/>
        <v>2092</v>
      </c>
      <c r="O33" s="47">
        <f t="shared" si="1"/>
        <v>69</v>
      </c>
    </row>
    <row r="34" spans="1:15" ht="13">
      <c r="A34" s="48">
        <v>7</v>
      </c>
      <c r="B34" s="49">
        <v>1.75</v>
      </c>
      <c r="C34" s="50">
        <v>16</v>
      </c>
      <c r="D34" s="50">
        <v>1743</v>
      </c>
      <c r="E34" s="50">
        <v>57</v>
      </c>
      <c r="F34" s="105">
        <v>364</v>
      </c>
      <c r="G34" s="48">
        <v>7</v>
      </c>
      <c r="H34" s="49">
        <v>1.75</v>
      </c>
      <c r="I34" s="30" t="str">
        <f>IF(Data!$B$25&gt;0.1,IF(OR(Data!B$3="A",Data!B$3="LH"),IF($G34=Data!$B$4,IF($H34=Data!$B$6,C34*4*Data!B$25,""),""),""),"")</f>
        <v/>
      </c>
      <c r="J34" s="30" t="str">
        <f>IF(Data!$B$16="Y",IF(OR(Data!B$3="A",Data!B$3="LH"),IF($G34=Data!$B$4,IF($H34=Data!$B$6,D34+Data!B$8*E34,""),""),""),"")</f>
        <v/>
      </c>
      <c r="K34" s="47" t="str">
        <f>IF(Data!$B$14="Y",IF(Data!B$3="A",IF($G34=Data!$B$4,IF($H34=Data!$B$6,F34,""),""),""),"")</f>
        <v/>
      </c>
      <c r="M34" s="47">
        <f t="shared" si="2"/>
        <v>20</v>
      </c>
      <c r="N34" s="117">
        <f t="shared" si="0"/>
        <v>2092</v>
      </c>
      <c r="O34" s="47">
        <f t="shared" si="1"/>
        <v>69</v>
      </c>
    </row>
    <row r="35" spans="1:15" ht="13">
      <c r="A35" s="48">
        <v>7</v>
      </c>
      <c r="B35" s="49">
        <v>2</v>
      </c>
      <c r="C35" s="50">
        <v>16</v>
      </c>
      <c r="D35" s="50">
        <v>1743</v>
      </c>
      <c r="E35" s="50">
        <v>57</v>
      </c>
      <c r="F35" s="105">
        <v>364</v>
      </c>
      <c r="G35" s="48">
        <v>7</v>
      </c>
      <c r="H35" s="49">
        <v>2</v>
      </c>
      <c r="I35" s="30" t="str">
        <f>IF(Data!$B$25&gt;0.1,IF(OR(Data!B$3="A",Data!B$3="LH"),IF($G35=Data!$B$4,IF($H35=Data!$B$6,C35*4*Data!B$25,""),""),""),"")</f>
        <v/>
      </c>
      <c r="J35" s="30" t="str">
        <f>IF(Data!$B$16="Y",IF(OR(Data!B$3="A",Data!B$3="LH"),IF($G35=Data!$B$4,IF($H35=Data!$B$6,D35+Data!B$8*E35,""),""),""),"")</f>
        <v/>
      </c>
      <c r="K35" s="47" t="str">
        <f>IF(Data!$B$14="Y",IF(Data!B$3="A",IF($G35=Data!$B$4,IF($H35=Data!$B$6,F35,""),""),""),"")</f>
        <v/>
      </c>
      <c r="M35" s="47">
        <f t="shared" si="2"/>
        <v>20</v>
      </c>
      <c r="N35" s="117">
        <f t="shared" si="0"/>
        <v>2092</v>
      </c>
      <c r="O35" s="47">
        <f t="shared" si="1"/>
        <v>69</v>
      </c>
    </row>
    <row r="36" spans="1:15" ht="13">
      <c r="A36" s="48">
        <v>7</v>
      </c>
      <c r="B36" s="49">
        <v>2.5</v>
      </c>
      <c r="C36" s="50">
        <v>16</v>
      </c>
      <c r="D36" s="50">
        <v>1743</v>
      </c>
      <c r="E36" s="50">
        <v>57</v>
      </c>
      <c r="F36" s="105">
        <v>364</v>
      </c>
      <c r="G36" s="48">
        <v>7</v>
      </c>
      <c r="H36" s="49">
        <v>2.5</v>
      </c>
      <c r="I36" s="30" t="str">
        <f>IF(Data!$B$25&gt;0.1,IF(OR(Data!B$3="A",Data!B$3="LH"),IF($G36=Data!$B$4,IF($H36=Data!$B$6,C36*4*Data!B$25,""),""),""),"")</f>
        <v/>
      </c>
      <c r="J36" s="30" t="str">
        <f>IF(Data!$B$16="Y",IF(OR(Data!B$3="A",Data!B$3="LH"),IF($G36=Data!$B$4,IF($H36=Data!$B$6,D36+Data!B$8*E36,""),""),""),"")</f>
        <v/>
      </c>
      <c r="K36" s="47" t="str">
        <f>IF(Data!$B$14="Y",IF(Data!B$3="A",IF($G36=Data!$B$4,IF($H36=Data!$B$6,F36,""),""),""),"")</f>
        <v/>
      </c>
      <c r="M36" s="47">
        <f t="shared" si="2"/>
        <v>20</v>
      </c>
      <c r="N36" s="117">
        <f t="shared" si="0"/>
        <v>2092</v>
      </c>
      <c r="O36" s="47">
        <f t="shared" si="1"/>
        <v>69</v>
      </c>
    </row>
    <row r="37" spans="1:15" ht="13">
      <c r="A37" s="48">
        <v>8</v>
      </c>
      <c r="B37" s="49">
        <v>1.375</v>
      </c>
      <c r="C37" s="50">
        <v>17</v>
      </c>
      <c r="D37" s="50">
        <v>1925</v>
      </c>
      <c r="E37" s="50">
        <v>65</v>
      </c>
      <c r="F37" s="30">
        <v>453</v>
      </c>
      <c r="G37" s="48">
        <v>8</v>
      </c>
      <c r="H37" s="49">
        <v>1.375</v>
      </c>
      <c r="I37" s="30" t="str">
        <f>IF(Data!$B$25&gt;0.1,IF(OR(Data!B$3="A",Data!B$3="LH"),IF($G37=Data!$B$4,IF($H37=Data!$B$6,C37*4*Data!B$25,""),""),""),"")</f>
        <v/>
      </c>
      <c r="J37" s="30" t="str">
        <f>IF(Data!$B$16="Y",IF(OR(Data!B$3="A",Data!B$3="LH"),IF($G37=Data!$B$4,IF($H37=Data!$B$6,D37+Data!B$8*E37,""),""),""),"")</f>
        <v/>
      </c>
      <c r="K37" s="47" t="str">
        <f>IF(Data!$B$14="Y",IF(Data!B$3="A",IF($G37=Data!$B$4,IF($H37=Data!$B$6,F37,""),""),""),"")</f>
        <v/>
      </c>
      <c r="M37" s="47">
        <f t="shared" si="2"/>
        <v>21</v>
      </c>
      <c r="N37" s="117">
        <f t="shared" si="0"/>
        <v>2310</v>
      </c>
      <c r="O37" s="47">
        <f t="shared" si="1"/>
        <v>78</v>
      </c>
    </row>
    <row r="38" spans="1:15" ht="13">
      <c r="A38" s="51">
        <v>8</v>
      </c>
      <c r="B38" s="49">
        <v>1.75</v>
      </c>
      <c r="C38" s="50">
        <v>17</v>
      </c>
      <c r="D38" s="50">
        <v>1925</v>
      </c>
      <c r="E38" s="50">
        <v>65</v>
      </c>
      <c r="F38" s="30">
        <v>435</v>
      </c>
      <c r="G38" s="51">
        <v>8</v>
      </c>
      <c r="H38" s="49">
        <v>1.75</v>
      </c>
      <c r="I38" s="30" t="str">
        <f>IF(Data!$B$25&gt;0.1,IF(OR(Data!B$3="A",Data!B$3="LH"),IF($G38=Data!$B$4,IF($H38=Data!$B$6,C38*4*Data!B$25,""),""),""),"")</f>
        <v/>
      </c>
      <c r="J38" s="30" t="str">
        <f>IF(Data!$B$16="Y",IF(OR(Data!B$3="A",Data!B$3="LH"),IF($G38=Data!$B$4,IF($H38=Data!$B$6,D38+Data!B$8*E38,""),""),""),"")</f>
        <v/>
      </c>
      <c r="K38" s="47" t="str">
        <f>IF(Data!$B$14="Y",IF(Data!B$3="A",IF($G38=Data!$B$4,IF($H38=Data!$B$6,F38,""),""),""),"")</f>
        <v/>
      </c>
      <c r="M38" s="47">
        <f t="shared" si="2"/>
        <v>21</v>
      </c>
      <c r="N38" s="117">
        <f t="shared" si="0"/>
        <v>2310</v>
      </c>
      <c r="O38" s="47">
        <f t="shared" si="1"/>
        <v>78</v>
      </c>
    </row>
    <row r="39" spans="1:15" ht="13">
      <c r="A39" s="51">
        <v>8</v>
      </c>
      <c r="B39" s="49">
        <v>2</v>
      </c>
      <c r="C39" s="50">
        <v>17</v>
      </c>
      <c r="D39" s="50">
        <v>1925</v>
      </c>
      <c r="E39" s="50">
        <v>65</v>
      </c>
      <c r="F39" s="30">
        <v>435</v>
      </c>
      <c r="G39" s="51">
        <v>8</v>
      </c>
      <c r="H39" s="49">
        <v>2</v>
      </c>
      <c r="I39" s="30" t="str">
        <f>IF(Data!$B$25&gt;0.1,IF(OR(Data!B$3="A",Data!B$3="LH"),IF($G39=Data!$B$4,IF($H39=Data!$B$6,C39*4*Data!B$25,""),""),""),"")</f>
        <v/>
      </c>
      <c r="J39" s="30" t="str">
        <f>IF(Data!$B$16="Y",IF(OR(Data!B$3="A",Data!B$3="LH"),IF($G39=Data!$B$4,IF($H39=Data!$B$6,D39+Data!B$8*E39,""),""),""),"")</f>
        <v/>
      </c>
      <c r="K39" s="47" t="str">
        <f>IF(Data!$B$14="Y",IF(Data!B$3="A",IF($G39=Data!$B$4,IF($H39=Data!$B$6,F39,""),""),""),"")</f>
        <v/>
      </c>
      <c r="M39" s="47">
        <f t="shared" si="2"/>
        <v>21</v>
      </c>
      <c r="N39" s="117">
        <f t="shared" si="0"/>
        <v>2310</v>
      </c>
      <c r="O39" s="47">
        <f t="shared" si="1"/>
        <v>78</v>
      </c>
    </row>
    <row r="40" spans="1:15" ht="13">
      <c r="A40" s="51">
        <v>8</v>
      </c>
      <c r="B40" s="49">
        <v>2.5</v>
      </c>
      <c r="C40" s="50">
        <v>17</v>
      </c>
      <c r="D40" s="50">
        <v>1925</v>
      </c>
      <c r="E40" s="50">
        <v>65</v>
      </c>
      <c r="F40" s="30">
        <v>453</v>
      </c>
      <c r="G40" s="51">
        <v>8</v>
      </c>
      <c r="H40" s="49">
        <v>2.5</v>
      </c>
      <c r="I40" s="30" t="str">
        <f>IF(Data!$B$25&gt;0.1,IF(OR(Data!B$3="A",Data!B$3="LH"),IF($G40=Data!$B$4,IF($H40=Data!$B$6,C40*4*Data!B$25,""),""),""),"")</f>
        <v/>
      </c>
      <c r="J40" s="30" t="str">
        <f>IF(Data!$B$16="Y",IF(OR(Data!B$3="A",Data!B$3="LH"),IF($G40=Data!$B$4,IF($H40=Data!$B$6,D40+Data!B$8*E40,""),""),""),"")</f>
        <v/>
      </c>
      <c r="K40" s="47" t="str">
        <f>IF(Data!$B$14="Y",IF(Data!B$3="A",IF($G40=Data!$B$4,IF($H40=Data!$B$6,F40,""),""),""),"")</f>
        <v/>
      </c>
      <c r="M40" s="47">
        <f t="shared" si="2"/>
        <v>21</v>
      </c>
      <c r="N40" s="117">
        <f t="shared" si="0"/>
        <v>2310</v>
      </c>
      <c r="O40" s="47">
        <f t="shared" si="1"/>
        <v>78</v>
      </c>
    </row>
    <row r="41" spans="1:15" ht="13">
      <c r="A41" s="51">
        <v>10</v>
      </c>
      <c r="B41" s="49">
        <v>1.75</v>
      </c>
      <c r="C41" s="50">
        <v>20</v>
      </c>
      <c r="D41" s="50">
        <v>2410</v>
      </c>
      <c r="E41" s="50">
        <v>81</v>
      </c>
      <c r="F41" s="30">
        <v>589</v>
      </c>
      <c r="G41" s="51">
        <v>10</v>
      </c>
      <c r="H41" s="49">
        <v>1.75</v>
      </c>
      <c r="I41" s="30" t="str">
        <f>IF(Data!$B$25&gt;0.1,IF(OR(Data!B$3="A",Data!B$3="LH"),IF($G41=Data!$B$4,IF($H41=Data!$B$6,C41*4*Data!B$25,""),""),""),"")</f>
        <v/>
      </c>
      <c r="J41" s="30" t="str">
        <f>IF(Data!$B$16="Y",IF(OR(Data!B$3="A",Data!B$3="LH"),IF($G41=Data!$B$4,IF($H41=Data!$B$6,D41+Data!B$8*E41,""),""),""),"")</f>
        <v/>
      </c>
      <c r="K41" s="47" t="str">
        <f>IF(Data!$B$14="Y",IF(Data!B$3="A",IF($G41=Data!$B$4,IF($H41=Data!$B$6,F41,""),""),""),"")</f>
        <v/>
      </c>
      <c r="M41" s="47">
        <f t="shared" si="2"/>
        <v>24</v>
      </c>
      <c r="N41" s="117">
        <f t="shared" si="0"/>
        <v>2892</v>
      </c>
      <c r="O41" s="47">
        <f t="shared" si="1"/>
        <v>98</v>
      </c>
    </row>
    <row r="42" spans="1:15" ht="13">
      <c r="A42" s="51">
        <v>10</v>
      </c>
      <c r="B42" s="49">
        <v>2</v>
      </c>
      <c r="C42" s="50">
        <v>20</v>
      </c>
      <c r="D42" s="50">
        <v>2410</v>
      </c>
      <c r="E42" s="50">
        <v>81</v>
      </c>
      <c r="F42" s="30">
        <v>589</v>
      </c>
      <c r="G42" s="51">
        <v>10</v>
      </c>
      <c r="H42" s="49">
        <v>2</v>
      </c>
      <c r="I42" s="30" t="str">
        <f>IF(Data!$B$25&gt;0.1,IF(OR(Data!B$3="A",Data!B$3="LH"),IF($G42=Data!$B$4,IF($H42=Data!$B$6,C42*4*Data!B$25,""),""),""),"")</f>
        <v/>
      </c>
      <c r="J42" s="30" t="str">
        <f>IF(Data!$B$16="Y",IF(OR(Data!B$3="A",Data!B$3="LH"),IF($G42=Data!$B$4,IF($H42=Data!$B$6,D42+Data!B$8*E42,""),""),""),"")</f>
        <v/>
      </c>
      <c r="K42" s="47" t="str">
        <f>IF(Data!$B$14="Y",IF(Data!B$3="A",IF($G42=Data!$B$4,IF($H42=Data!$B$6,F42,""),""),""),"")</f>
        <v/>
      </c>
      <c r="M42" s="47">
        <f t="shared" si="2"/>
        <v>24</v>
      </c>
      <c r="N42" s="117">
        <f t="shared" si="0"/>
        <v>2892</v>
      </c>
      <c r="O42" s="47">
        <f t="shared" si="1"/>
        <v>98</v>
      </c>
    </row>
    <row r="43" spans="1:15" ht="13">
      <c r="A43" s="51">
        <v>10</v>
      </c>
      <c r="B43" s="49">
        <v>2.5</v>
      </c>
      <c r="C43" s="50">
        <v>20</v>
      </c>
      <c r="D43" s="50">
        <v>2410</v>
      </c>
      <c r="E43" s="50">
        <v>81</v>
      </c>
      <c r="F43" s="30">
        <v>589</v>
      </c>
      <c r="G43" s="51">
        <v>10</v>
      </c>
      <c r="H43" s="49">
        <v>2.5</v>
      </c>
      <c r="I43" s="30" t="str">
        <f>IF(Data!$B$25&gt;0.1,IF(OR(Data!B$3="A",Data!B$3="LH"),IF($G43=Data!$B$4,IF($H43=Data!$B$6,C43*4*Data!B$25,""),""),""),"")</f>
        <v/>
      </c>
      <c r="J43" s="30" t="str">
        <f>IF(Data!$B$16="Y",IF(OR(Data!B$3="A",Data!B$3="LH"),IF($G43=Data!$B$4,IF($H43=Data!$B$6,D43+Data!B$8*E43,""),""),""),"")</f>
        <v/>
      </c>
      <c r="K43" s="47" t="str">
        <f>IF(Data!$B$14="Y",IF(Data!B$3="A",IF($G43=Data!$B$4,IF($H43=Data!$B$6,F43,""),""),""),"")</f>
        <v/>
      </c>
      <c r="M43" s="47">
        <f t="shared" si="2"/>
        <v>24</v>
      </c>
      <c r="N43" s="117">
        <f t="shared" si="0"/>
        <v>2892</v>
      </c>
      <c r="O43" s="47">
        <f t="shared" si="1"/>
        <v>98</v>
      </c>
    </row>
    <row r="44" spans="1:15" ht="13">
      <c r="A44" s="51">
        <v>10</v>
      </c>
      <c r="B44" s="52">
        <v>3</v>
      </c>
      <c r="C44" s="57">
        <v>20</v>
      </c>
      <c r="D44" s="50">
        <v>2410</v>
      </c>
      <c r="E44" s="50">
        <v>81</v>
      </c>
      <c r="F44" s="30">
        <v>589</v>
      </c>
      <c r="G44" s="51">
        <v>10</v>
      </c>
      <c r="H44" s="52">
        <v>3</v>
      </c>
      <c r="I44" s="30" t="str">
        <f>IF(Data!$B$25&gt;0.1,IF(OR(Data!B$3="A",Data!B$3="LH"),IF($G44=Data!$B$4,IF($H44=Data!$B$6,C44*4*Data!B$25,""),""),""),"")</f>
        <v/>
      </c>
      <c r="J44" s="30" t="str">
        <f>IF(Data!$B$16="Y",IF(OR(Data!B$3="A",Data!B$3="LH"),IF($G44=Data!$B$4,IF($H44=Data!$B$6,D44+Data!B$8*E44,""),""),""),"")</f>
        <v/>
      </c>
      <c r="K44" s="47" t="str">
        <f>IF(Data!$B$14="Y",IF(Data!B$3="A",IF($G44=Data!$B$4,IF($H44=Data!$B$6,F44,""),""),""),"")</f>
        <v/>
      </c>
      <c r="M44" s="47">
        <f t="shared" si="2"/>
        <v>24</v>
      </c>
      <c r="N44" s="117">
        <f t="shared" si="0"/>
        <v>2892</v>
      </c>
      <c r="O44" s="47">
        <f t="shared" si="1"/>
        <v>98</v>
      </c>
    </row>
    <row r="45" spans="1:15" ht="13">
      <c r="A45" s="51">
        <v>10</v>
      </c>
      <c r="B45" s="52">
        <v>3.5</v>
      </c>
      <c r="C45" s="57">
        <v>20</v>
      </c>
      <c r="D45" s="50">
        <v>2410</v>
      </c>
      <c r="E45" s="50">
        <v>81</v>
      </c>
      <c r="F45" s="30">
        <v>589</v>
      </c>
      <c r="G45" s="51">
        <v>10</v>
      </c>
      <c r="H45" s="52">
        <v>3.5</v>
      </c>
      <c r="I45" s="30" t="str">
        <f>IF(Data!$B$25&gt;0.1,IF(OR(Data!B$3="A",Data!B$3="LH"),IF($G45=Data!$B$4,IF($H45=Data!$B$6,C45*4*Data!B$25,""),""),""),"")</f>
        <v/>
      </c>
      <c r="J45" s="30" t="str">
        <f>IF(Data!$B$16="Y",IF(OR(Data!B$3="A",Data!B$3="LH"),IF($G45=Data!$B$4,IF($H45=Data!$B$6,D45+Data!B$8*E45,""),""),""),"")</f>
        <v/>
      </c>
      <c r="K45" s="47" t="str">
        <f>IF(Data!$B$14="Y",IF(Data!B$3="A",IF($G45=Data!$B$4,IF($H45=Data!$B$6,F45,""),""),""),"")</f>
        <v/>
      </c>
      <c r="M45" s="47">
        <f t="shared" si="2"/>
        <v>24</v>
      </c>
      <c r="N45" s="117">
        <f t="shared" si="0"/>
        <v>2892</v>
      </c>
      <c r="O45" s="47">
        <f t="shared" si="1"/>
        <v>98</v>
      </c>
    </row>
    <row r="46" spans="1:15" ht="13">
      <c r="A46" s="53">
        <v>12</v>
      </c>
      <c r="B46" s="52">
        <v>2</v>
      </c>
      <c r="C46" s="30">
        <v>22</v>
      </c>
      <c r="D46" s="30">
        <v>2698</v>
      </c>
      <c r="E46" s="30">
        <v>96</v>
      </c>
      <c r="F46" s="30">
        <v>766</v>
      </c>
      <c r="G46" s="53">
        <v>12</v>
      </c>
      <c r="H46" s="52">
        <v>2</v>
      </c>
      <c r="I46" s="30" t="str">
        <f>IF(Data!$B$25&gt;0.1,IF(OR(Data!B$3="A",Data!B$3="LH"),IF($G46=Data!$B$4,IF($H46=Data!$B$6,C46*4*Data!B$25,""),""),""),"")</f>
        <v/>
      </c>
      <c r="J46" s="30" t="str">
        <f>IF(Data!$B$16="Y",IF(OR(Data!B$3="A",Data!B$3="LH"),IF($G46=Data!$B$4,IF($H46=Data!$B$6,D46+Data!B$8*E46,""),""),""),"")</f>
        <v/>
      </c>
      <c r="K46" s="47" t="str">
        <f>IF(Data!$B$14="Y",IF(Data!B$3="A",IF($G46=Data!$B$4,IF($H46=Data!$B$6,F46,""),""),""),"")</f>
        <v/>
      </c>
      <c r="M46" s="47">
        <f t="shared" si="2"/>
        <v>27</v>
      </c>
      <c r="N46" s="117">
        <f t="shared" si="0"/>
        <v>3238</v>
      </c>
      <c r="O46" s="47">
        <f t="shared" si="1"/>
        <v>116</v>
      </c>
    </row>
    <row r="47" spans="1:15" ht="13">
      <c r="A47" s="53">
        <v>12</v>
      </c>
      <c r="B47" s="52">
        <v>2.5</v>
      </c>
      <c r="C47" s="30">
        <v>22</v>
      </c>
      <c r="D47" s="30">
        <v>2698</v>
      </c>
      <c r="E47" s="30">
        <v>96</v>
      </c>
      <c r="F47" s="30">
        <v>766</v>
      </c>
      <c r="G47" s="53">
        <v>12</v>
      </c>
      <c r="H47" s="52">
        <v>2.5</v>
      </c>
      <c r="I47" s="30" t="str">
        <f>IF(Data!$B$25&gt;0.1,IF(OR(Data!B$3="A",Data!B$3="LH"),IF($G47=Data!$B$4,IF($H47=Data!$B$6,C47*4*Data!B$25,""),""),""),"")</f>
        <v/>
      </c>
      <c r="J47" s="30" t="str">
        <f>IF(Data!$B$16="Y",IF(OR(Data!B$3="A",Data!B$3="LH"),IF($G47=Data!$B$4,IF($H47=Data!$B$6,D47+Data!B$8*E47,""),""),""),"")</f>
        <v/>
      </c>
      <c r="K47" s="47" t="str">
        <f>IF(Data!$B$14="Y",IF(Data!B$3="A",IF($G47=Data!$B$4,IF($H47=Data!$B$6,F47,""),""),""),"")</f>
        <v/>
      </c>
      <c r="M47" s="47">
        <f t="shared" si="2"/>
        <v>27</v>
      </c>
      <c r="N47" s="117">
        <f t="shared" si="0"/>
        <v>3238</v>
      </c>
      <c r="O47" s="47">
        <f t="shared" si="1"/>
        <v>116</v>
      </c>
    </row>
    <row r="48" spans="1:15" ht="13">
      <c r="A48" s="53">
        <v>12</v>
      </c>
      <c r="B48" s="52">
        <v>3</v>
      </c>
      <c r="C48" s="30">
        <v>22</v>
      </c>
      <c r="D48" s="30">
        <v>2698</v>
      </c>
      <c r="E48" s="30">
        <v>96</v>
      </c>
      <c r="F48" s="30">
        <v>766</v>
      </c>
      <c r="G48" s="53">
        <v>12</v>
      </c>
      <c r="H48" s="52">
        <v>3</v>
      </c>
      <c r="I48" s="30" t="str">
        <f>IF(Data!$B$25&gt;0.1,IF(OR(Data!B$3="A",Data!B$3="LH"),IF($G48=Data!$B$4,IF($H48=Data!$B$6,C48*4*Data!B$25,""),""),""),"")</f>
        <v/>
      </c>
      <c r="J48" s="30" t="str">
        <f>IF(Data!$B$16="Y",IF(OR(Data!B$3="A",Data!B$3="LH"),IF($G48=Data!$B$4,IF($H48=Data!$B$6,D48+Data!B$8*E48,""),""),""),"")</f>
        <v/>
      </c>
      <c r="K48" s="47" t="str">
        <f>IF(Data!$B$14="Y",IF(Data!B$3="A",IF($G48=Data!$B$4,IF($H48=Data!$B$6,F48,""),""),""),"")</f>
        <v/>
      </c>
      <c r="M48" s="47">
        <f t="shared" si="2"/>
        <v>27</v>
      </c>
      <c r="N48" s="117">
        <f t="shared" si="0"/>
        <v>3238</v>
      </c>
      <c r="O48" s="47">
        <f t="shared" si="1"/>
        <v>116</v>
      </c>
    </row>
    <row r="49" spans="1:15" ht="13">
      <c r="A49" s="53">
        <v>12</v>
      </c>
      <c r="B49" s="52">
        <v>3.5</v>
      </c>
      <c r="C49" s="30">
        <v>22</v>
      </c>
      <c r="D49" s="30">
        <v>2698</v>
      </c>
      <c r="E49" s="30">
        <v>96</v>
      </c>
      <c r="F49" s="30">
        <v>766</v>
      </c>
      <c r="G49" s="53">
        <v>12</v>
      </c>
      <c r="H49" s="52">
        <v>3.5</v>
      </c>
      <c r="I49" s="30" t="str">
        <f>IF(Data!$B$25&gt;0.1,IF(OR(Data!B$3="A",Data!B$3="LH"),IF($G49=Data!$B$4,IF($H49=Data!$B$6,C49*4*Data!B$25,""),""),""),"")</f>
        <v/>
      </c>
      <c r="J49" s="30" t="str">
        <f>IF(Data!$B$16="Y",IF(OR(Data!B$3="A",Data!B$3="LH"),IF($G49=Data!$B$4,IF($H49=Data!$B$6,D49+Data!B$8*E49,""),""),""),"")</f>
        <v/>
      </c>
      <c r="K49" s="47" t="str">
        <f>IF(Data!$B$14="Y",IF(Data!B$3="A",IF($G49=Data!$B$4,IF($H49=Data!$B$6,F49,""),""),""),"")</f>
        <v/>
      </c>
      <c r="M49" s="47">
        <f t="shared" si="2"/>
        <v>27</v>
      </c>
      <c r="N49" s="117">
        <f t="shared" si="0"/>
        <v>3238</v>
      </c>
      <c r="O49" s="47">
        <f t="shared" si="1"/>
        <v>116</v>
      </c>
    </row>
    <row r="50" spans="1:15" ht="13">
      <c r="A50" s="53">
        <v>12</v>
      </c>
      <c r="B50" s="52">
        <v>4</v>
      </c>
      <c r="C50" s="30">
        <v>22</v>
      </c>
      <c r="D50" s="30">
        <v>2698</v>
      </c>
      <c r="E50" s="30">
        <v>96</v>
      </c>
      <c r="F50" s="30">
        <v>766</v>
      </c>
      <c r="G50" s="53">
        <v>12</v>
      </c>
      <c r="H50" s="52">
        <v>4</v>
      </c>
      <c r="I50" s="30" t="str">
        <f>IF(Data!$B$25&gt;0.1,IF(OR(Data!B$3="A",Data!B$3="LH"),IF($G50=Data!$B$4,IF($H50=Data!$B$6,C50*4*Data!B$25,""),""),""),"")</f>
        <v/>
      </c>
      <c r="J50" s="30" t="str">
        <f>IF(Data!$B$16="Y",IF(OR(Data!B$3="A",Data!B$3="LH"),IF($G50=Data!$B$4,IF($H50=Data!$B$6,D50+Data!B$8*E50,""),""),""),"")</f>
        <v/>
      </c>
      <c r="K50" s="47" t="str">
        <f>IF(Data!$B$14="Y",IF(Data!B$3="A",IF($G50=Data!$B$4,IF($H50=Data!$B$6,F50,""),""),""),"")</f>
        <v/>
      </c>
      <c r="M50" s="47">
        <f t="shared" si="2"/>
        <v>27</v>
      </c>
      <c r="N50" s="117">
        <f t="shared" si="0"/>
        <v>3238</v>
      </c>
      <c r="O50" s="47">
        <f t="shared" si="1"/>
        <v>116</v>
      </c>
    </row>
    <row r="51" spans="1:15" ht="13">
      <c r="A51" s="53">
        <v>14</v>
      </c>
      <c r="B51" s="52">
        <v>2.5</v>
      </c>
      <c r="C51" s="30">
        <v>24</v>
      </c>
      <c r="D51" s="30">
        <v>3216</v>
      </c>
      <c r="E51" s="30">
        <v>109</v>
      </c>
      <c r="F51" s="30">
        <v>995</v>
      </c>
      <c r="G51" s="53">
        <v>14</v>
      </c>
      <c r="H51" s="52">
        <v>2.5</v>
      </c>
      <c r="I51" s="30" t="str">
        <f>IF(Data!$B$25&gt;0.1,IF(OR(Data!B$3="A",Data!B$3="LH"),IF($G51=Data!$B$4,IF($H51=Data!$B$6,C51*4*Data!B$25,""),""),""),"")</f>
        <v/>
      </c>
      <c r="J51" s="30" t="str">
        <f>IF(Data!$B$16="Y",IF(OR(Data!B$3="A",Data!B$3="LH"),IF($G51=Data!$B$4,IF($H51=Data!$B$6,D51+Data!B$8*E51,""),""),""),"")</f>
        <v/>
      </c>
      <c r="K51" s="47" t="str">
        <f>IF(Data!$B$14="Y",IF(Data!B$3="A",IF($G51=Data!$B$4,IF($H51=Data!$B$6,F51,""),""),""),"")</f>
        <v/>
      </c>
      <c r="M51" s="47">
        <f t="shared" si="2"/>
        <v>29</v>
      </c>
      <c r="N51" s="117">
        <f t="shared" si="0"/>
        <v>3860</v>
      </c>
      <c r="O51" s="47">
        <f t="shared" si="1"/>
        <v>131</v>
      </c>
    </row>
    <row r="52" spans="1:15" ht="13">
      <c r="A52" s="53">
        <v>14</v>
      </c>
      <c r="B52" s="52">
        <v>3</v>
      </c>
      <c r="C52" s="30">
        <v>24</v>
      </c>
      <c r="D52" s="30">
        <v>3216</v>
      </c>
      <c r="E52" s="30">
        <v>109</v>
      </c>
      <c r="F52" s="30">
        <v>995</v>
      </c>
      <c r="G52" s="53">
        <v>14</v>
      </c>
      <c r="H52" s="52">
        <v>3</v>
      </c>
      <c r="I52" s="30" t="str">
        <f>IF(Data!$B$25&gt;0.1,IF(OR(Data!B$3="A",Data!B$3="LH"),IF($G52=Data!$B$4,IF($H52=Data!$B$6,C52*4*Data!B$25,""),""),""),"")</f>
        <v/>
      </c>
      <c r="J52" s="30" t="str">
        <f>IF(Data!$B$16="Y",IF(OR(Data!B$3="A",Data!B$3="LH"),IF($G52=Data!$B$4,IF($H52=Data!$B$6,D52+Data!B$8*E52,""),""),""),"")</f>
        <v/>
      </c>
      <c r="K52" s="47" t="str">
        <f>IF(Data!$B$14="Y",IF(Data!B$3="A",IF($G52=Data!$B$4,IF($H52=Data!$B$6,F52,""),""),""),"")</f>
        <v/>
      </c>
      <c r="M52" s="47">
        <f t="shared" si="2"/>
        <v>29</v>
      </c>
      <c r="N52" s="117">
        <f t="shared" si="0"/>
        <v>3860</v>
      </c>
      <c r="O52" s="47">
        <f t="shared" si="1"/>
        <v>131</v>
      </c>
    </row>
    <row r="53" spans="1:15" ht="13">
      <c r="A53" s="53">
        <v>14</v>
      </c>
      <c r="B53" s="52">
        <v>3.5</v>
      </c>
      <c r="C53" s="30">
        <v>24</v>
      </c>
      <c r="D53" s="30">
        <v>3216</v>
      </c>
      <c r="E53" s="30">
        <v>109</v>
      </c>
      <c r="F53" s="30">
        <v>995</v>
      </c>
      <c r="G53" s="53">
        <v>14</v>
      </c>
      <c r="H53" s="52">
        <v>3.5</v>
      </c>
      <c r="I53" s="30" t="str">
        <f>IF(Data!$B$25&gt;0.1,IF(OR(Data!B$3="A",Data!B$3="LH"),IF($G53=Data!$B$4,IF($H53=Data!$B$6,C53*4*Data!B$25,""),""),""),"")</f>
        <v/>
      </c>
      <c r="J53" s="30" t="str">
        <f>IF(Data!$B$16="Y",IF(OR(Data!B$3="A",Data!B$3="LH"),IF($G53=Data!$B$4,IF($H53=Data!$B$6,D53+Data!B$8*E53,""),""),""),"")</f>
        <v/>
      </c>
      <c r="K53" s="47" t="str">
        <f>IF(Data!$B$14="Y",IF(Data!B$3="A",IF($G53=Data!$B$4,IF($H53=Data!$B$6,F53,""),""),""),"")</f>
        <v/>
      </c>
      <c r="M53" s="47">
        <f t="shared" si="2"/>
        <v>29</v>
      </c>
      <c r="N53" s="117">
        <f t="shared" si="0"/>
        <v>3860</v>
      </c>
      <c r="O53" s="47">
        <f t="shared" si="1"/>
        <v>131</v>
      </c>
    </row>
    <row r="54" spans="1:15" ht="13">
      <c r="A54" s="53">
        <v>14</v>
      </c>
      <c r="B54" s="52">
        <v>4</v>
      </c>
      <c r="C54" s="30">
        <v>24</v>
      </c>
      <c r="D54" s="30">
        <v>3216</v>
      </c>
      <c r="E54" s="30">
        <v>109</v>
      </c>
      <c r="F54" s="30">
        <v>995</v>
      </c>
      <c r="G54" s="53">
        <v>14</v>
      </c>
      <c r="H54" s="52">
        <v>4</v>
      </c>
      <c r="I54" s="30" t="str">
        <f>IF(Data!$B$25&gt;0.1,IF(OR(Data!B$3="A",Data!B$3="LH"),IF($G54=Data!$B$4,IF($H54=Data!$B$6,C54*4*Data!B$25,""),""),""),"")</f>
        <v/>
      </c>
      <c r="J54" s="30" t="str">
        <f>IF(Data!$B$16="Y",IF(OR(Data!B$3="A",Data!B$3="LH"),IF($G54=Data!$B$4,IF($H54=Data!$B$6,D54+Data!B$8*E54,""),""),""),"")</f>
        <v/>
      </c>
      <c r="K54" s="47" t="str">
        <f>IF(Data!$B$14="Y",IF(Data!B$3="A",IF($G54=Data!$B$4,IF($H54=Data!$B$6,F54,""),""),""),"")</f>
        <v/>
      </c>
      <c r="M54" s="47">
        <f t="shared" si="2"/>
        <v>29</v>
      </c>
      <c r="N54" s="117">
        <f t="shared" si="0"/>
        <v>3860</v>
      </c>
      <c r="O54" s="47">
        <f t="shared" si="1"/>
        <v>131</v>
      </c>
    </row>
    <row r="55" spans="1:15">
      <c r="H55" s="45"/>
      <c r="I55" s="30">
        <f>SUM(I8:I54)</f>
        <v>0</v>
      </c>
      <c r="J55" s="30">
        <f>SUM(J8:J54)</f>
        <v>0</v>
      </c>
      <c r="K55" s="47">
        <f>SUM(I55:J55)+SUM(K8:K54)</f>
        <v>0</v>
      </c>
    </row>
  </sheetData>
  <mergeCells count="10">
    <mergeCell ref="K4:K7"/>
    <mergeCell ref="A4:A7"/>
    <mergeCell ref="B4:B7"/>
    <mergeCell ref="D4:E6"/>
    <mergeCell ref="J4:J7"/>
    <mergeCell ref="G4:G7"/>
    <mergeCell ref="H4:H7"/>
    <mergeCell ref="I4:I7"/>
    <mergeCell ref="C4:C7"/>
    <mergeCell ref="F4:F7"/>
  </mergeCells>
  <phoneticPr fontId="0" type="noConversion"/>
  <printOptions horizontalCentered="1" verticalCentered="1"/>
  <pageMargins left="0.25" right="0.25" top="0.25" bottom="0.25" header="0.5" footer="0.5"/>
  <pageSetup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0"/>
  <dimension ref="A1:AB107"/>
  <sheetViews>
    <sheetView showGridLines="0" topLeftCell="H1" zoomScale="75" workbookViewId="0">
      <selection activeCell="J20" sqref="J20"/>
    </sheetView>
  </sheetViews>
  <sheetFormatPr defaultColWidth="9.08984375" defaultRowHeight="16"/>
  <cols>
    <col min="1" max="1" width="10.54296875" style="383" bestFit="1" customWidth="1"/>
    <col min="2" max="2" width="8" style="384" bestFit="1" customWidth="1"/>
    <col min="3" max="3" width="5.81640625" style="383" bestFit="1" customWidth="1"/>
    <col min="4" max="4" width="15.453125" style="383" bestFit="1" customWidth="1"/>
    <col min="5" max="5" width="8" style="383" bestFit="1" customWidth="1"/>
    <col min="6" max="6" width="5.81640625" style="383" bestFit="1" customWidth="1"/>
    <col min="7" max="7" width="9.08984375" style="383"/>
    <col min="8" max="8" width="10.08984375" style="383" bestFit="1" customWidth="1"/>
    <col min="9" max="9" width="7.54296875" style="383" bestFit="1" customWidth="1"/>
    <col min="10" max="10" width="17.54296875" style="383" bestFit="1" customWidth="1"/>
    <col min="11" max="11" width="9.08984375" style="320"/>
    <col min="12" max="12" width="10.54296875" style="383" bestFit="1" customWidth="1"/>
    <col min="13" max="13" width="8" style="384" bestFit="1" customWidth="1"/>
    <col min="14" max="14" width="9" style="383" bestFit="1" customWidth="1"/>
    <col min="15" max="15" width="15.453125" style="383" bestFit="1" customWidth="1"/>
    <col min="16" max="16" width="6" style="383" bestFit="1" customWidth="1"/>
    <col min="17" max="17" width="9" style="383" bestFit="1" customWidth="1"/>
    <col min="18" max="18" width="9.08984375" style="383"/>
    <col min="19" max="19" width="10.08984375" style="383" bestFit="1" customWidth="1"/>
    <col min="20" max="20" width="7.54296875" style="383" bestFit="1" customWidth="1"/>
    <col min="21" max="21" width="17.54296875" style="383" bestFit="1" customWidth="1"/>
    <col min="22" max="22" width="8.54296875" style="383" customWidth="1"/>
    <col min="23" max="25" width="7.54296875" style="383" customWidth="1"/>
    <col min="26" max="26" width="8.54296875" style="383" customWidth="1"/>
    <col min="27" max="27" width="9.08984375" style="320"/>
    <col min="28" max="28" width="9.08984375" style="383"/>
    <col min="29" max="16384" width="9.08984375" style="320"/>
  </cols>
  <sheetData>
    <row r="1" spans="1:28">
      <c r="A1" s="523" t="s">
        <v>710</v>
      </c>
      <c r="B1" s="523"/>
      <c r="C1" s="523"/>
      <c r="D1" s="523"/>
      <c r="E1" s="523"/>
      <c r="F1" s="523"/>
      <c r="G1" s="523"/>
      <c r="H1" s="523"/>
      <c r="I1" s="523"/>
      <c r="J1" s="523"/>
      <c r="L1" s="523" t="s">
        <v>22178</v>
      </c>
      <c r="M1" s="523"/>
      <c r="N1" s="523"/>
      <c r="O1" s="523"/>
      <c r="P1" s="523"/>
      <c r="Q1" s="523"/>
      <c r="R1" s="523"/>
      <c r="S1" s="523"/>
      <c r="T1" s="523"/>
      <c r="U1" s="523"/>
      <c r="V1" s="320"/>
      <c r="W1" s="320"/>
      <c r="X1" s="320"/>
      <c r="Y1" s="320"/>
      <c r="Z1" s="320"/>
    </row>
    <row r="2" spans="1:28" ht="16.5" thickBot="1">
      <c r="V2" s="320"/>
      <c r="W2" s="320"/>
      <c r="X2" s="320"/>
      <c r="Y2" s="320"/>
      <c r="Z2" s="320"/>
    </row>
    <row r="3" spans="1:28" ht="17.25" customHeight="1" thickTop="1">
      <c r="A3" s="645" t="s">
        <v>440</v>
      </c>
      <c r="B3" s="647" t="s">
        <v>158</v>
      </c>
      <c r="C3" s="647"/>
      <c r="D3" s="647" t="s">
        <v>110</v>
      </c>
      <c r="E3" s="647" t="s">
        <v>462</v>
      </c>
      <c r="F3" s="647"/>
      <c r="H3" s="320"/>
      <c r="I3" s="320"/>
      <c r="J3" s="320"/>
      <c r="L3" s="645" t="s">
        <v>440</v>
      </c>
      <c r="M3" s="647" t="s">
        <v>158</v>
      </c>
      <c r="N3" s="647"/>
      <c r="O3" s="647" t="s">
        <v>110</v>
      </c>
      <c r="P3" s="647" t="s">
        <v>462</v>
      </c>
      <c r="Q3" s="647"/>
      <c r="S3" s="320"/>
      <c r="T3" s="320"/>
      <c r="U3" s="320"/>
      <c r="Z3" s="385"/>
    </row>
    <row r="4" spans="1:28" ht="16.5" thickBot="1">
      <c r="A4" s="646"/>
      <c r="B4" s="386" t="s">
        <v>181</v>
      </c>
      <c r="C4" s="386" t="s">
        <v>427</v>
      </c>
      <c r="D4" s="648"/>
      <c r="E4" s="386" t="s">
        <v>181</v>
      </c>
      <c r="F4" s="386" t="s">
        <v>427</v>
      </c>
      <c r="H4" s="320" t="s">
        <v>111</v>
      </c>
      <c r="I4" s="320" t="s">
        <v>220</v>
      </c>
      <c r="J4" s="320" t="s">
        <v>462</v>
      </c>
      <c r="L4" s="646"/>
      <c r="M4" s="386" t="s">
        <v>181</v>
      </c>
      <c r="N4" s="386" t="s">
        <v>22177</v>
      </c>
      <c r="O4" s="648"/>
      <c r="P4" s="386" t="s">
        <v>181</v>
      </c>
      <c r="Q4" s="386" t="s">
        <v>22177</v>
      </c>
      <c r="S4" s="320" t="s">
        <v>111</v>
      </c>
      <c r="T4" s="320" t="s">
        <v>220</v>
      </c>
      <c r="U4" s="320" t="s">
        <v>462</v>
      </c>
    </row>
    <row r="5" spans="1:28" ht="16.5" thickTop="1">
      <c r="A5" s="431">
        <v>1.5</v>
      </c>
      <c r="B5" s="387">
        <v>677</v>
      </c>
      <c r="C5" s="387">
        <v>18</v>
      </c>
      <c r="D5" s="387">
        <v>385</v>
      </c>
      <c r="E5" s="387">
        <v>882</v>
      </c>
      <c r="F5" s="388">
        <v>14</v>
      </c>
      <c r="H5" s="320" t="str">
        <f>IF(AND(A5=Data!B$4,OR(Data!B$18="y",Data!B$22="y")),B5+C5*Data!B$8,"")</f>
        <v/>
      </c>
      <c r="I5" s="320" t="str">
        <f>IF(AND($A5=Data!$B$4,Data!B$24="y"),IF(OR(Data!B$5="mp1",Data!B$5="MP2",Data!B$5="mp3",Data!B$5="mpu3"),$D5*2,358),"")</f>
        <v/>
      </c>
      <c r="J5" s="320" t="str">
        <f>IF(AND($A5=Data!$B$4,Data!$B$26="y"),E5+F5*Data!$B$8,"")</f>
        <v/>
      </c>
      <c r="K5" s="389"/>
      <c r="L5" s="431">
        <v>25</v>
      </c>
      <c r="M5" s="387">
        <v>677</v>
      </c>
      <c r="N5" s="390">
        <v>0.9</v>
      </c>
      <c r="O5" s="387">
        <v>385</v>
      </c>
      <c r="P5" s="387">
        <v>882</v>
      </c>
      <c r="Q5" s="391">
        <v>0.7</v>
      </c>
      <c r="S5" s="320" t="str">
        <f>IF(AND(L5=Data!B$4,OR(Data!$B$18="y",Data!B$22="y")),M5+N5*Data!$B$8,"")</f>
        <v/>
      </c>
      <c r="T5" s="320" t="str">
        <f>IF(AND(L5=Data!$B$4,Data!B$24="y"),IF(OR(Data!B$5="mp1",Data!B$5="MP2",Data!B$5="mp3",Data!B$5="mpu3"),$D5*2,358),"")</f>
        <v/>
      </c>
      <c r="U5" s="320" t="str">
        <f>IF(AND(L5=Data!$B$4,Data!$B$26="y"),P5+Q5*Data!$B$8,"")</f>
        <v/>
      </c>
      <c r="V5" s="392"/>
      <c r="W5" s="392"/>
      <c r="X5" s="392"/>
      <c r="Y5" s="320"/>
      <c r="Z5" s="320"/>
      <c r="AB5" s="320"/>
    </row>
    <row r="6" spans="1:28">
      <c r="A6" s="432">
        <v>2</v>
      </c>
      <c r="B6" s="393">
        <v>677</v>
      </c>
      <c r="C6" s="393">
        <v>18</v>
      </c>
      <c r="D6" s="393">
        <v>385</v>
      </c>
      <c r="E6" s="393">
        <v>882</v>
      </c>
      <c r="F6" s="394">
        <v>14</v>
      </c>
      <c r="H6" s="320" t="str">
        <f>IF(AND(A6=Data!B$4,OR(Data!B$18="y",Data!B$22="y")),B6+C6*Data!B$8,"")</f>
        <v/>
      </c>
      <c r="I6" s="320" t="str">
        <f>IF(AND($A6=Data!$B$4,Data!B$24="y"),IF(OR(Data!B$5="mp1",Data!B$5="MP2",Data!B$5="mp3",Data!B$5="mpu3"),$D6*2,358),"")</f>
        <v/>
      </c>
      <c r="J6" s="320" t="str">
        <f>IF(AND($A6=Data!$B$4,Data!$B$26="y"),E6+F6*Data!$B$8,"")</f>
        <v/>
      </c>
      <c r="K6" s="392"/>
      <c r="L6" s="432">
        <v>32</v>
      </c>
      <c r="M6" s="393">
        <v>677</v>
      </c>
      <c r="N6" s="395">
        <v>0.9</v>
      </c>
      <c r="O6" s="393">
        <v>385</v>
      </c>
      <c r="P6" s="393">
        <v>882</v>
      </c>
      <c r="Q6" s="396">
        <v>0.7</v>
      </c>
      <c r="S6" s="320" t="str">
        <f>IF(AND(L6=Data!$B$4,OR(Data!$B$18="y",Data!B$22="y")),M6+N6*Data!$B$8,"")</f>
        <v/>
      </c>
      <c r="T6" s="320" t="str">
        <f>IF(AND(6=Data!$B$4,Data!B$24="y"),IF(OR(Data!B$5="mp1",Data!B$5="MP2",Data!B$5="mp3",Data!B$5="mpu3"),$D6*2,358),"")</f>
        <v/>
      </c>
      <c r="U6" s="320" t="str">
        <f>IF(AND(L6=Data!$B$4,Data!$B$26="y"),P6+Q6*Data!$B$8,"")</f>
        <v/>
      </c>
      <c r="V6" s="392"/>
      <c r="W6" s="392"/>
      <c r="X6" s="392"/>
      <c r="Y6" s="320"/>
      <c r="Z6" s="320"/>
      <c r="AB6" s="320"/>
    </row>
    <row r="7" spans="1:28">
      <c r="A7" s="432">
        <v>2.5</v>
      </c>
      <c r="B7" s="397">
        <v>677</v>
      </c>
      <c r="C7" s="397">
        <v>18</v>
      </c>
      <c r="D7" s="397">
        <v>385</v>
      </c>
      <c r="E7" s="397">
        <v>882</v>
      </c>
      <c r="F7" s="394">
        <v>14</v>
      </c>
      <c r="H7" s="320" t="str">
        <f>IF(AND(A7=Data!B$4,OR(Data!B$18="y",Data!B$22="y")),B7+C7*Data!B$8,"")</f>
        <v/>
      </c>
      <c r="I7" s="320" t="str">
        <f>IF(AND($A7=Data!$B$4,Data!B$24="y"),IF(OR(Data!B$5="mp1",Data!B$5="MP2",Data!B$5="mp3",Data!B$5="mpu3"),$D7*2,358),"")</f>
        <v/>
      </c>
      <c r="J7" s="320" t="str">
        <f>IF(AND($A7=Data!$B$4,Data!$B$26="y"),E7+F7*Data!$B$8,"")</f>
        <v/>
      </c>
      <c r="K7" s="383"/>
      <c r="L7" s="432">
        <v>40</v>
      </c>
      <c r="M7" s="397">
        <v>677</v>
      </c>
      <c r="N7" s="398">
        <v>0.9</v>
      </c>
      <c r="O7" s="397">
        <v>385</v>
      </c>
      <c r="P7" s="397">
        <v>882</v>
      </c>
      <c r="Q7" s="396">
        <v>0.7</v>
      </c>
      <c r="S7" s="320" t="str">
        <f>IF(AND(L7=Data!$B$4,OR(Data!$B$18="y",Data!B$22="y")),M7+N7*Data!$B$8,"")</f>
        <v/>
      </c>
      <c r="T7" s="320" t="str">
        <f>IF(AND(L7=Data!$B$4,Data!B$24="y"),IF(OR(Data!B$5="mp1",Data!B$5="MP2",Data!B$5="mp3",Data!B$5="mpu3"),$D7*2,358),"")</f>
        <v/>
      </c>
      <c r="U7" s="320" t="str">
        <f>IF(AND(L7=Data!$B$4,Data!$B$26="y"),P7+Q7*Data!$B$8,"")</f>
        <v/>
      </c>
      <c r="V7" s="392"/>
      <c r="W7" s="392"/>
      <c r="X7" s="392"/>
      <c r="Y7" s="320"/>
      <c r="Z7" s="320"/>
      <c r="AB7" s="320"/>
    </row>
    <row r="8" spans="1:28">
      <c r="A8" s="432">
        <v>3.25</v>
      </c>
      <c r="B8" s="393">
        <v>677</v>
      </c>
      <c r="C8" s="393">
        <v>18</v>
      </c>
      <c r="D8" s="393">
        <v>385</v>
      </c>
      <c r="E8" s="393">
        <v>882</v>
      </c>
      <c r="F8" s="394">
        <v>14</v>
      </c>
      <c r="G8" s="320"/>
      <c r="H8" s="320" t="str">
        <f>IF(AND(A8=Data!B$4,OR(Data!B$18="y",Data!B$22="y")),B8+C8*Data!B$8,"")</f>
        <v/>
      </c>
      <c r="I8" s="320" t="str">
        <f>IF(AND($A8=Data!$B$4,Data!B$24="y"),IF(OR(Data!B$5="mp1",Data!B$5="MP2",Data!B$5="mp3",Data!B$5="mpu3"),$D8*2,358),"")</f>
        <v/>
      </c>
      <c r="J8" s="320" t="str">
        <f>IF(AND($A8=Data!$B$4,Data!$B$26="y"),E8+F8*Data!$B$8,"")</f>
        <v/>
      </c>
      <c r="K8" s="383"/>
      <c r="L8" s="432">
        <v>50</v>
      </c>
      <c r="M8" s="393">
        <v>677</v>
      </c>
      <c r="N8" s="395">
        <v>0.9</v>
      </c>
      <c r="O8" s="393">
        <v>385</v>
      </c>
      <c r="P8" s="393">
        <v>882</v>
      </c>
      <c r="Q8" s="396">
        <v>0.7</v>
      </c>
      <c r="R8" s="320"/>
      <c r="S8" s="320" t="str">
        <f>IF(AND(L8=Data!$B$4,OR(Data!$B$18="y",Data!B$22="y")),M8+N8*Data!$B$8,"")</f>
        <v/>
      </c>
      <c r="T8" s="320" t="str">
        <f>IF(AND(L8=Data!$B$4,Data!B$24="y"),IF(OR(Data!B$5="mp1",Data!B$5="MP2",Data!B$5="mp3",Data!B$5="mpu3"),$D8*2,358),"")</f>
        <v/>
      </c>
      <c r="U8" s="320" t="str">
        <f>IF(AND(L8=Data!$B$4,Data!$B$26="y"),P8+Q8*Data!$B$8,"")</f>
        <v/>
      </c>
      <c r="V8" s="392"/>
      <c r="W8" s="392"/>
      <c r="X8" s="392"/>
      <c r="Y8" s="320"/>
      <c r="Z8" s="320"/>
      <c r="AB8" s="320"/>
    </row>
    <row r="9" spans="1:28">
      <c r="A9" s="432">
        <v>4</v>
      </c>
      <c r="B9" s="397">
        <v>677</v>
      </c>
      <c r="C9" s="397">
        <v>18</v>
      </c>
      <c r="D9" s="397">
        <v>385</v>
      </c>
      <c r="E9" s="397">
        <v>882</v>
      </c>
      <c r="F9" s="394">
        <v>14</v>
      </c>
      <c r="G9" s="320"/>
      <c r="H9" s="320" t="str">
        <f>IF(AND(A9=Data!B$4,OR(Data!B$18="y",Data!B$22="y")),B9+C9*Data!B$8,"")</f>
        <v/>
      </c>
      <c r="I9" s="320" t="str">
        <f>IF(AND($A9=Data!$B$4,Data!B$24="y"),IF(OR(Data!B$5="mp1",Data!B$5="MP2",Data!B$5="mp3",Data!B$5="mpu3"),$D9*2,358),"")</f>
        <v/>
      </c>
      <c r="J9" s="320" t="str">
        <f>IF(AND($A9=Data!$B$4,Data!$B$26="y"),E9+F9*Data!$B$8,"")</f>
        <v/>
      </c>
      <c r="K9" s="383"/>
      <c r="L9" s="432">
        <v>63</v>
      </c>
      <c r="M9" s="397">
        <v>677</v>
      </c>
      <c r="N9" s="398">
        <v>0.9</v>
      </c>
      <c r="O9" s="397">
        <v>385</v>
      </c>
      <c r="P9" s="397">
        <v>882</v>
      </c>
      <c r="Q9" s="396">
        <v>0.7</v>
      </c>
      <c r="R9" s="320"/>
      <c r="S9" s="320" t="str">
        <f>IF(AND(L9=Data!$B$4,OR(Data!$B$18="y",Data!B$22="y")),M9+N9*Data!$B$8,"")</f>
        <v/>
      </c>
      <c r="T9" s="320" t="str">
        <f>IF(AND(L9=Data!$B$4,Data!B$24="y"),IF(OR(Data!B$5="mp1",Data!B$5="MP2",Data!B$5="mp3",Data!B$5="mpu3"),$D9*2,358),"")</f>
        <v/>
      </c>
      <c r="U9" s="320" t="str">
        <f>IF(AND(9=Data!$B$4,Data!$B$26="y"),P9+Q9*Data!$B$8,"")</f>
        <v/>
      </c>
      <c r="V9" s="392"/>
      <c r="W9" s="392"/>
      <c r="X9" s="392"/>
      <c r="Y9" s="320"/>
      <c r="Z9" s="320"/>
      <c r="AB9" s="320"/>
    </row>
    <row r="10" spans="1:28">
      <c r="A10" s="432">
        <v>5</v>
      </c>
      <c r="B10" s="393">
        <v>752</v>
      </c>
      <c r="C10" s="393">
        <v>18</v>
      </c>
      <c r="D10" s="393">
        <v>385</v>
      </c>
      <c r="E10" s="393">
        <v>882</v>
      </c>
      <c r="F10" s="394">
        <v>14</v>
      </c>
      <c r="G10" s="320"/>
      <c r="H10" s="320" t="str">
        <f>IF(AND(A10=Data!B$4,OR(Data!B$18="y",Data!B$22="y")),B10+C10*Data!B$8,"")</f>
        <v/>
      </c>
      <c r="I10" s="320" t="str">
        <f>IF(AND($A10=Data!$B$4,Data!B$24="y"),IF(OR(Data!B$5="mp1",Data!B$5="MP2",Data!B$5="mp3",Data!B$5="mpu3"),$D10*2,358),"")</f>
        <v/>
      </c>
      <c r="J10" s="320" t="str">
        <f>IF(AND($A10=Data!$B$4,Data!$B$26="y"),E10+F10*Data!$B$8,"")</f>
        <v/>
      </c>
      <c r="K10" s="383"/>
      <c r="L10" s="432">
        <v>80</v>
      </c>
      <c r="M10" s="393">
        <v>752</v>
      </c>
      <c r="N10" s="395">
        <v>0.9</v>
      </c>
      <c r="O10" s="393">
        <v>385</v>
      </c>
      <c r="P10" s="393">
        <v>882</v>
      </c>
      <c r="Q10" s="396">
        <v>0.7</v>
      </c>
      <c r="R10" s="320"/>
      <c r="S10" s="320" t="str">
        <f>IF(AND(L10=Data!$B$4,OR(Data!$B$18="y",Data!B$22="y")),M10+N10*Data!$B$8,"")</f>
        <v/>
      </c>
      <c r="T10" s="320" t="str">
        <f>IF(AND(L10=Data!$B$4,Data!B$24="y"),IF(OR(Data!B$5="mp1",Data!B$5="MP2",Data!B$5="mp3",Data!B$5="mpu3"),$D10*2,358),"")</f>
        <v/>
      </c>
      <c r="U10" s="320" t="str">
        <f>IF(AND(L10=Data!$B$4,Data!$B$26="y"),P10+Q10*Data!$B$8,"")</f>
        <v/>
      </c>
      <c r="V10" s="392"/>
      <c r="W10" s="392"/>
      <c r="X10" s="392"/>
      <c r="Y10" s="320"/>
      <c r="Z10" s="320"/>
      <c r="AB10" s="320"/>
    </row>
    <row r="11" spans="1:28">
      <c r="A11" s="432">
        <v>6</v>
      </c>
      <c r="B11" s="397">
        <v>752</v>
      </c>
      <c r="C11" s="397">
        <v>18</v>
      </c>
      <c r="D11" s="397">
        <v>385</v>
      </c>
      <c r="E11" s="397">
        <v>882</v>
      </c>
      <c r="F11" s="394">
        <v>14</v>
      </c>
      <c r="G11" s="320"/>
      <c r="H11" s="320" t="str">
        <f>IF(AND(A11=Data!B$4,OR(Data!B$18="y",Data!B$22="y")),B11+C11*Data!B$8,"")</f>
        <v/>
      </c>
      <c r="I11" s="320" t="str">
        <f>IF(AND($A11=Data!$B$4,Data!B$24="y"),IF(OR(Data!B$5="mp1",Data!B$5="MP2",Data!B$5="mp3",Data!B$5="mpu3"),$D11*2,358),"")</f>
        <v/>
      </c>
      <c r="J11" s="320" t="str">
        <f>IF(AND($A11=Data!$B$4,Data!$B$26="y"),E11+F11*Data!$B$8,"")</f>
        <v/>
      </c>
      <c r="K11" s="383"/>
      <c r="L11" s="432">
        <v>100</v>
      </c>
      <c r="M11" s="397">
        <v>752</v>
      </c>
      <c r="N11" s="398">
        <v>0.9</v>
      </c>
      <c r="O11" s="397">
        <v>385</v>
      </c>
      <c r="P11" s="397">
        <v>882</v>
      </c>
      <c r="Q11" s="396">
        <v>0.7</v>
      </c>
      <c r="R11" s="320"/>
      <c r="S11" s="320" t="str">
        <f>IF(AND(L11=Data!$B$4,OR(Data!$B$18="y",Data!B$22="y")),M11+N11*Data!$B$8,"")</f>
        <v/>
      </c>
      <c r="T11" s="320" t="str">
        <f>IF(AND(L11=Data!$B$4,Data!B$24="y"),IF(OR(Data!B$5="mp1",Data!B$5="MP2",Data!B$5="mp3",Data!B$5="mpu3"),$D11*2,358),"")</f>
        <v/>
      </c>
      <c r="U11" s="320" t="str">
        <f>IF(AND(L11=Data!$B$4,Data!$B$26="y"),P11+Q11*Data!$B$8,"")</f>
        <v/>
      </c>
      <c r="V11" s="392"/>
      <c r="W11" s="392"/>
      <c r="X11" s="392"/>
      <c r="Y11" s="320"/>
      <c r="Z11" s="320"/>
      <c r="AB11" s="320"/>
    </row>
    <row r="12" spans="1:28">
      <c r="A12" s="432">
        <v>7</v>
      </c>
      <c r="B12" s="393">
        <v>752</v>
      </c>
      <c r="C12" s="393">
        <v>18</v>
      </c>
      <c r="D12" s="393">
        <v>385</v>
      </c>
      <c r="E12" s="393">
        <v>882</v>
      </c>
      <c r="F12" s="394">
        <v>14</v>
      </c>
      <c r="G12" s="320"/>
      <c r="H12" s="320" t="str">
        <f>IF(AND(A12=Data!B$4,OR(Data!B$18="y",Data!B$22="y")),B12+C12*Data!B$8,"")</f>
        <v/>
      </c>
      <c r="I12" s="320" t="str">
        <f>IF(AND($A12=Data!$B$4,Data!B$24="y"),IF(OR(Data!B$5="mp1",Data!B$5="MP2",Data!B$5="mp3",Data!B$5="mpu3"),$D12*2,358),"")</f>
        <v/>
      </c>
      <c r="J12" s="320" t="str">
        <f>IF(AND($A12=Data!$B$4,Data!$B$26="y"),E12+F12*Data!$B$8,"")</f>
        <v/>
      </c>
      <c r="K12" s="392"/>
      <c r="L12" s="432">
        <v>125</v>
      </c>
      <c r="M12" s="393">
        <v>752</v>
      </c>
      <c r="N12" s="395">
        <v>0.9</v>
      </c>
      <c r="O12" s="393">
        <v>385</v>
      </c>
      <c r="P12" s="393">
        <v>882</v>
      </c>
      <c r="Q12" s="396">
        <v>0.7</v>
      </c>
      <c r="R12" s="320"/>
      <c r="S12" s="320" t="str">
        <f>IF(AND(L12=Data!$B$4,OR(Data!$B$18="y",Data!B$22="y")),M12+N12*Data!$B$8,"")</f>
        <v/>
      </c>
      <c r="T12" s="320" t="str">
        <f>IF(AND(L12=Data!$B$4,Data!B$24="y"),IF(OR(Data!B$5="mp1",Data!B$5="MP2",Data!B$5="mp3",Data!B$5="mpu3"),$D12*2,358),"")</f>
        <v/>
      </c>
      <c r="U12" s="320" t="str">
        <f>IF(AND(L12=Data!$B$4,Data!$B$26="y"),P12+Q12*Data!$B$8,"")</f>
        <v/>
      </c>
      <c r="V12" s="392"/>
      <c r="W12" s="392"/>
      <c r="X12" s="392"/>
      <c r="Y12" s="320"/>
      <c r="Z12" s="320"/>
      <c r="AB12" s="320"/>
    </row>
    <row r="13" spans="1:28">
      <c r="A13" s="432">
        <v>8</v>
      </c>
      <c r="B13" s="397">
        <v>752</v>
      </c>
      <c r="C13" s="397">
        <v>18</v>
      </c>
      <c r="D13" s="397">
        <v>385</v>
      </c>
      <c r="E13" s="397">
        <v>882</v>
      </c>
      <c r="F13" s="394">
        <v>14</v>
      </c>
      <c r="G13" s="320"/>
      <c r="H13" s="320" t="str">
        <f>IF(AND(A13=Data!B$4,OR(Data!B$18="y",Data!B$22="y")),B13+C13*Data!B$8,"")</f>
        <v/>
      </c>
      <c r="I13" s="320" t="str">
        <f>IF(AND($A13=Data!$B$4,Data!B$24="y"),IF(OR(Data!B$5="mp1",Data!B$5="MP2",Data!B$5="mp3",Data!B$5="mpu3"),$D13*2,358),"")</f>
        <v/>
      </c>
      <c r="J13" s="320" t="str">
        <f>IF(AND($A13=Data!$B$4,Data!$B$26="y"),E13+F13*Data!$B$8,"")</f>
        <v/>
      </c>
      <c r="K13" s="383"/>
      <c r="L13" s="432">
        <v>160</v>
      </c>
      <c r="M13" s="397">
        <v>752</v>
      </c>
      <c r="N13" s="398">
        <v>0.9</v>
      </c>
      <c r="O13" s="397">
        <v>385</v>
      </c>
      <c r="P13" s="397">
        <v>882</v>
      </c>
      <c r="Q13" s="396">
        <v>0.7</v>
      </c>
      <c r="R13" s="320"/>
      <c r="S13" s="320" t="str">
        <f>IF(AND(L13=Data!$B$4,OR(Data!$B$18="y",Data!B$22="y")),M13+N13*Data!$B$8,"")</f>
        <v/>
      </c>
      <c r="T13" s="320" t="str">
        <f>IF(AND(L13=Data!$B$4,Data!B$24="y"),IF(OR(Data!B$5="mp1",Data!B$5="MP2",Data!B$5="mp3",Data!B$5="mpu3"),$D13*2,358),"")</f>
        <v/>
      </c>
      <c r="U13" s="320" t="str">
        <f>IF(AND(L13=Data!$B$4,Data!$B$26="y"),P13+Q13*Data!$B$8,"")</f>
        <v/>
      </c>
      <c r="V13" s="392"/>
      <c r="W13" s="392"/>
      <c r="X13" s="392"/>
      <c r="Y13" s="320"/>
      <c r="Z13" s="320"/>
      <c r="AB13" s="320"/>
    </row>
    <row r="14" spans="1:28">
      <c r="A14" s="432">
        <v>10</v>
      </c>
      <c r="B14" s="393">
        <v>900</v>
      </c>
      <c r="C14" s="393">
        <v>18</v>
      </c>
      <c r="D14" s="393">
        <v>385</v>
      </c>
      <c r="E14" s="393">
        <v>945</v>
      </c>
      <c r="F14" s="394">
        <v>14</v>
      </c>
      <c r="G14" s="320"/>
      <c r="H14" s="320" t="str">
        <f>IF(AND(A14=Data!B$4,OR(Data!B$18="y",Data!B$22="y")),B14+C14*Data!B$8,"")</f>
        <v/>
      </c>
      <c r="I14" s="320" t="str">
        <f>IF(AND($A14=Data!$B$4,Data!B$24="y"),IF(OR(Data!B$5="mp1",Data!B$5="MP2",Data!B$5="mp3",Data!B$5="mpu3"),$D14*2,358),"")</f>
        <v/>
      </c>
      <c r="J14" s="320" t="str">
        <f>IF(AND($A14=Data!$B$4,Data!$B$26="y"),E14+F14*Data!$B$8,"")</f>
        <v/>
      </c>
      <c r="K14" s="383"/>
      <c r="L14" s="432">
        <v>200</v>
      </c>
      <c r="M14" s="393">
        <v>900</v>
      </c>
      <c r="N14" s="395">
        <v>0.9</v>
      </c>
      <c r="O14" s="393">
        <v>385</v>
      </c>
      <c r="P14" s="393">
        <v>945</v>
      </c>
      <c r="Q14" s="396">
        <v>0.7</v>
      </c>
      <c r="R14" s="320"/>
      <c r="S14" s="320" t="str">
        <f>IF(AND(L14=Data!$B$4,OR(Data!$B$18="y",Data!B$22="y")),M14+N14*Data!$B$8,"")</f>
        <v/>
      </c>
      <c r="T14" s="320" t="str">
        <f>IF(AND(L14=Data!$B$4,Data!B$24="y"),IF(OR(Data!B$5="mp1",Data!B$5="MP2",Data!B$5="mp3",Data!B$5="mpu3"),$D14*2,358),"")</f>
        <v/>
      </c>
      <c r="U14" s="320" t="str">
        <f>IF(AND(L14=Data!$B$4,Data!$B$26="y"),P14+Q14*Data!$B$8,"")</f>
        <v/>
      </c>
      <c r="V14" s="392"/>
      <c r="W14" s="392"/>
      <c r="X14" s="392"/>
      <c r="Y14" s="320"/>
      <c r="Z14" s="320"/>
      <c r="AB14" s="320"/>
    </row>
    <row r="15" spans="1:28">
      <c r="A15" s="432">
        <v>12</v>
      </c>
      <c r="B15" s="397">
        <v>1109</v>
      </c>
      <c r="C15" s="397">
        <v>18</v>
      </c>
      <c r="D15" s="397">
        <v>385</v>
      </c>
      <c r="E15" s="397">
        <v>1164</v>
      </c>
      <c r="F15" s="394">
        <v>14</v>
      </c>
      <c r="G15" s="320"/>
      <c r="H15" s="320" t="str">
        <f>IF(AND(A15=Data!B$4,OR(Data!B$18="y",Data!B$22="y")),B15+C15*Data!B$8,"")</f>
        <v/>
      </c>
      <c r="I15" s="320" t="str">
        <f>IF(AND($A15=Data!$B$4,Data!B$24="y"),IF(OR(Data!B$5="mp1",Data!B$5="MP2",Data!B$5="mp3",Data!B$5="mpu3"),$D15*2,358),"")</f>
        <v/>
      </c>
      <c r="J15" s="320" t="str">
        <f>IF(AND($A15=Data!$B$4,Data!$B$26="y"),E15+F15*Data!$B$8,"")</f>
        <v/>
      </c>
      <c r="K15" s="383"/>
      <c r="L15" s="432"/>
      <c r="M15" s="397"/>
      <c r="N15" s="398"/>
      <c r="O15" s="397"/>
      <c r="P15" s="397"/>
      <c r="Q15" s="396"/>
      <c r="R15" s="320"/>
      <c r="S15" s="320"/>
      <c r="T15" s="320"/>
      <c r="U15" s="320"/>
      <c r="V15" s="392"/>
      <c r="W15" s="392"/>
      <c r="X15" s="392"/>
      <c r="Y15" s="320"/>
      <c r="Z15" s="320"/>
      <c r="AB15" s="320"/>
    </row>
    <row r="16" spans="1:28">
      <c r="A16" s="432">
        <v>14</v>
      </c>
      <c r="B16" s="393">
        <v>1370</v>
      </c>
      <c r="C16" s="393">
        <v>18</v>
      </c>
      <c r="D16" s="393">
        <v>385</v>
      </c>
      <c r="E16" s="393">
        <v>1438</v>
      </c>
      <c r="F16" s="399">
        <v>14</v>
      </c>
      <c r="G16" s="320"/>
      <c r="H16" s="320" t="str">
        <f>IF(AND(A16=Data!B$4,OR(Data!B$18="y",Data!B$22="y")),B16+C16*Data!B$8,"")</f>
        <v/>
      </c>
      <c r="I16" s="320" t="str">
        <f>IF(AND($A16=Data!$B$4,Data!B$24="y"),IF(OR(Data!B$5="mp1",Data!B$5="MP2",Data!B$5="mp3",Data!B$5="mpu3"),$D16*2,358),"")</f>
        <v/>
      </c>
      <c r="J16" s="320" t="str">
        <f>IF(AND($A16=Data!$B$4,Data!$B$26="y"),E16+F16*Data!$B$8,"")</f>
        <v/>
      </c>
      <c r="K16" s="383"/>
      <c r="L16" s="432"/>
      <c r="M16" s="393"/>
      <c r="N16" s="395"/>
      <c r="O16" s="393"/>
      <c r="P16" s="393"/>
      <c r="Q16" s="400"/>
      <c r="R16" s="320"/>
      <c r="S16" s="320"/>
      <c r="T16" s="320"/>
      <c r="U16" s="320"/>
      <c r="V16" s="392"/>
      <c r="W16" s="392"/>
      <c r="X16" s="392"/>
      <c r="Y16" s="320"/>
      <c r="Z16" s="320"/>
      <c r="AB16" s="320"/>
    </row>
    <row r="17" spans="1:28">
      <c r="A17" s="432">
        <v>16</v>
      </c>
      <c r="B17" s="397">
        <v>1687</v>
      </c>
      <c r="C17" s="397">
        <v>18</v>
      </c>
      <c r="D17" s="397">
        <v>385</v>
      </c>
      <c r="E17" s="397">
        <v>1771</v>
      </c>
      <c r="F17" s="394">
        <v>14</v>
      </c>
      <c r="G17" s="320"/>
      <c r="H17" s="320" t="str">
        <f>IF(AND(A17=Data!B$4,OR(Data!B$18="y",Data!B$22="y")),B17+C17*Data!B$8,"")</f>
        <v/>
      </c>
      <c r="I17" s="320" t="str">
        <f>IF(AND($A17=Data!$B$4,Data!B$24="y"),IF(OR(Data!B$5="mp1",Data!B$5="MP2",Data!B$5="mp3",Data!B$5="mpu3"),$D17*2,358),"")</f>
        <v/>
      </c>
      <c r="J17" s="320" t="str">
        <f>IF(AND($A17=Data!$B$4,Data!$B$26="y"),E17+F17*Data!$B$8,"")</f>
        <v/>
      </c>
      <c r="K17" s="383"/>
      <c r="L17" s="432"/>
      <c r="M17" s="397"/>
      <c r="N17" s="398"/>
      <c r="O17" s="397"/>
      <c r="P17" s="397"/>
      <c r="Q17" s="396"/>
      <c r="R17" s="320"/>
      <c r="S17" s="320"/>
      <c r="T17" s="320"/>
      <c r="U17" s="320"/>
      <c r="V17" s="392"/>
      <c r="W17" s="392"/>
      <c r="X17" s="392"/>
      <c r="Y17" s="320"/>
      <c r="Z17" s="320"/>
      <c r="AB17" s="320"/>
    </row>
    <row r="18" spans="1:28">
      <c r="A18" s="432">
        <v>18</v>
      </c>
      <c r="B18" s="393">
        <v>2081</v>
      </c>
      <c r="C18" s="393">
        <v>18</v>
      </c>
      <c r="D18" s="393">
        <v>385</v>
      </c>
      <c r="E18" s="393">
        <v>2187</v>
      </c>
      <c r="F18" s="399">
        <v>14</v>
      </c>
      <c r="G18" s="320"/>
      <c r="H18" s="320" t="str">
        <f>IF(AND(A18=Data!B$4,OR(Data!B$18="y",Data!B$22="y")),B18+C18*Data!B$8,"")</f>
        <v/>
      </c>
      <c r="I18" s="320" t="str">
        <f>IF(AND($A18=Data!$B$4,Data!B$24="y"),IF(OR(Data!B$5="mp1",Data!B$5="MP2",Data!B$5="mp3",Data!B$5="mpu3"),$D18*2,358),"")</f>
        <v/>
      </c>
      <c r="J18" s="320" t="str">
        <f>IF(AND($A18=Data!$B$4,Data!$B$26="y"),E18+F18*Data!$B$8,"")</f>
        <v/>
      </c>
      <c r="K18" s="392"/>
      <c r="L18" s="432"/>
      <c r="M18" s="393"/>
      <c r="N18" s="395"/>
      <c r="O18" s="393"/>
      <c r="P18" s="393"/>
      <c r="Q18" s="400"/>
      <c r="R18" s="320"/>
      <c r="S18" s="320"/>
      <c r="T18" s="320"/>
      <c r="U18" s="320"/>
      <c r="V18" s="392"/>
      <c r="W18" s="392"/>
      <c r="X18" s="392"/>
      <c r="Y18" s="320"/>
      <c r="Z18" s="320"/>
      <c r="AB18" s="320"/>
    </row>
    <row r="19" spans="1:28" ht="16.5" thickBot="1">
      <c r="A19" s="410">
        <v>20</v>
      </c>
      <c r="B19" s="401">
        <v>2566</v>
      </c>
      <c r="C19" s="401">
        <v>18</v>
      </c>
      <c r="D19" s="401">
        <v>385</v>
      </c>
      <c r="E19" s="401">
        <v>2695</v>
      </c>
      <c r="F19" s="402">
        <v>14</v>
      </c>
      <c r="G19" s="320"/>
      <c r="H19" s="320" t="str">
        <f>IF(AND(A19=Data!B$4,OR(Data!B$18="y",Data!B$22="y")),B19+C19*Data!B$8,"")</f>
        <v/>
      </c>
      <c r="I19" s="320" t="str">
        <f>IF(AND($A19=Data!$B$4,Data!B$24="y"),IF(OR(Data!B$5="mp1",Data!B$5="MP2",Data!B$5="mp3",Data!B$5="mpu3"),$D19*2,358),"")</f>
        <v/>
      </c>
      <c r="J19" s="320" t="str">
        <f>IF(AND($A19=Data!$B$4,Data!$B$26="y"),E19+F19*Data!$B$8,"")</f>
        <v/>
      </c>
      <c r="K19" s="383"/>
      <c r="L19" s="410"/>
      <c r="M19" s="401"/>
      <c r="N19" s="403"/>
      <c r="O19" s="401"/>
      <c r="P19" s="401"/>
      <c r="Q19" s="404"/>
      <c r="R19" s="320"/>
      <c r="S19" s="320"/>
      <c r="T19" s="320"/>
      <c r="U19" s="320"/>
      <c r="V19" s="392"/>
      <c r="W19" s="392"/>
      <c r="X19" s="392"/>
      <c r="Y19" s="320"/>
      <c r="Z19" s="320"/>
      <c r="AB19" s="320"/>
    </row>
    <row r="20" spans="1:28" ht="17" thickTop="1" thickBot="1">
      <c r="A20" s="405"/>
      <c r="B20" s="406"/>
      <c r="C20" s="407"/>
      <c r="D20" s="407"/>
      <c r="E20" s="407"/>
      <c r="F20" s="407"/>
      <c r="H20" s="320">
        <f>SUM(H5:H19)</f>
        <v>0</v>
      </c>
      <c r="I20" s="320">
        <f>SUM(I5:I19)</f>
        <v>0</v>
      </c>
      <c r="J20" s="320">
        <f>SUM(J5:J19)</f>
        <v>0</v>
      </c>
      <c r="K20" s="383"/>
      <c r="L20" s="405"/>
      <c r="M20" s="406"/>
      <c r="N20" s="407"/>
      <c r="O20" s="407"/>
      <c r="P20" s="407"/>
      <c r="Q20" s="407"/>
      <c r="S20" s="320">
        <f>SUM(S5:S19)</f>
        <v>0</v>
      </c>
      <c r="T20" s="320">
        <f>SUM(T5:T19)</f>
        <v>0</v>
      </c>
      <c r="U20" s="320">
        <f>SUM(U5:U19)</f>
        <v>0</v>
      </c>
      <c r="W20" s="320"/>
      <c r="X20" s="433"/>
      <c r="Y20" s="320"/>
      <c r="Z20" s="320"/>
      <c r="AB20" s="320"/>
    </row>
    <row r="21" spans="1:28" ht="17.25" customHeight="1" thickTop="1">
      <c r="A21" s="642" t="s">
        <v>692</v>
      </c>
      <c r="B21" s="643"/>
      <c r="C21" s="407"/>
      <c r="D21" s="407"/>
      <c r="E21" s="407"/>
      <c r="F21" s="407"/>
      <c r="G21" s="320"/>
      <c r="H21" s="408"/>
      <c r="I21" s="409"/>
      <c r="K21" s="383"/>
      <c r="L21" s="642" t="s">
        <v>692</v>
      </c>
      <c r="M21" s="643"/>
      <c r="N21" s="407"/>
      <c r="O21" s="407"/>
      <c r="P21" s="407"/>
      <c r="Q21" s="407"/>
      <c r="R21" s="320"/>
      <c r="S21" s="408"/>
      <c r="T21" s="409"/>
      <c r="V21" s="320"/>
      <c r="W21" s="433"/>
      <c r="X21" s="320"/>
      <c r="Y21" s="320"/>
      <c r="Z21" s="320"/>
      <c r="AB21" s="320"/>
    </row>
    <row r="22" spans="1:28" ht="16.5" thickBot="1">
      <c r="A22" s="410" t="s">
        <v>524</v>
      </c>
      <c r="B22" s="411"/>
      <c r="C22" s="407"/>
      <c r="D22" s="407"/>
      <c r="E22" s="407"/>
      <c r="F22" s="407"/>
      <c r="G22" s="320"/>
      <c r="H22" s="408"/>
      <c r="I22" s="409"/>
      <c r="K22" s="383"/>
      <c r="L22" s="410" t="s">
        <v>22176</v>
      </c>
      <c r="M22" s="411" t="s">
        <v>231</v>
      </c>
      <c r="N22" s="407"/>
      <c r="O22" s="407"/>
      <c r="P22" s="407"/>
      <c r="Q22" s="407"/>
      <c r="R22" s="320"/>
      <c r="S22" s="408"/>
      <c r="T22" s="409"/>
      <c r="V22" s="320"/>
      <c r="W22" s="433"/>
      <c r="X22" s="320"/>
      <c r="Y22" s="320"/>
      <c r="Z22" s="320"/>
      <c r="AB22" s="320"/>
    </row>
    <row r="23" spans="1:28" ht="16.5" thickTop="1">
      <c r="A23" s="412" t="s">
        <v>468</v>
      </c>
      <c r="B23" s="387">
        <v>2064</v>
      </c>
      <c r="C23" s="413"/>
      <c r="D23" s="407" t="str">
        <f>IF(OR(Data!B$3="IH",Data!B$3="IHM"),"",IF(AND(Data!B$18="y",Data!B$8&gt;0,Data!B$8&lt;13),B23,""))</f>
        <v/>
      </c>
      <c r="E23" s="407"/>
      <c r="F23" s="407"/>
      <c r="G23" s="320"/>
      <c r="H23" s="408"/>
      <c r="I23" s="409"/>
      <c r="J23" s="414"/>
      <c r="K23" s="383"/>
      <c r="L23" s="415">
        <v>250</v>
      </c>
      <c r="M23" s="387">
        <v>2064</v>
      </c>
      <c r="N23" s="413"/>
      <c r="O23" s="407" t="str">
        <f>IF(AND(Data!$B$18="y",Data!$B$8&gt;0,Data!$B$8&lt;250),M23,"")</f>
        <v/>
      </c>
      <c r="P23" s="407"/>
      <c r="Q23" s="407"/>
      <c r="R23" s="320"/>
      <c r="S23" s="408"/>
      <c r="T23" s="409"/>
      <c r="U23" s="414"/>
      <c r="V23" s="320"/>
      <c r="W23" s="433"/>
      <c r="X23" s="320"/>
      <c r="Y23" s="320"/>
      <c r="Z23" s="320"/>
      <c r="AB23" s="320"/>
    </row>
    <row r="24" spans="1:28">
      <c r="A24" s="416" t="s">
        <v>499</v>
      </c>
      <c r="B24" s="393">
        <v>2195</v>
      </c>
      <c r="C24" s="413"/>
      <c r="D24" s="407" t="str">
        <f>IF(OR(Data!B$3="IH",Data!B$3="IHM"),"",IF(AND(Data!B$18="y",Data!B$8&gt;12.9,Data!B$8&lt;25),B24,""))</f>
        <v/>
      </c>
      <c r="E24" s="407"/>
      <c r="F24" s="407"/>
      <c r="G24" s="320"/>
      <c r="H24" s="408"/>
      <c r="I24" s="409"/>
      <c r="K24" s="383"/>
      <c r="L24" s="417">
        <v>600</v>
      </c>
      <c r="M24" s="393">
        <v>2195</v>
      </c>
      <c r="N24" s="413"/>
      <c r="O24" s="407" t="str">
        <f>IF(AND(Data!$B$18="y",Data!$B$8&gt;249,Data!$B$8&lt;600),M24,"")</f>
        <v/>
      </c>
      <c r="P24" s="407"/>
      <c r="Q24" s="407"/>
      <c r="R24" s="320"/>
      <c r="S24" s="408"/>
      <c r="T24" s="409"/>
      <c r="V24" s="320"/>
      <c r="W24" s="433"/>
      <c r="X24" s="320"/>
      <c r="Y24" s="320"/>
      <c r="Z24" s="320"/>
      <c r="AB24" s="320"/>
    </row>
    <row r="25" spans="1:28">
      <c r="A25" s="418" t="s">
        <v>313</v>
      </c>
      <c r="B25" s="397">
        <v>2320</v>
      </c>
      <c r="C25" s="413"/>
      <c r="D25" s="407" t="str">
        <f>IF(OR(Data!B$3="IH",Data!B$3="IHM"),"",IF(AND(Data!B$18="y",Data!B$8&gt;24.9,Data!B$8&lt;37),B25,""))</f>
        <v/>
      </c>
      <c r="E25" s="407"/>
      <c r="F25" s="407"/>
      <c r="G25" s="320"/>
      <c r="H25" s="408"/>
      <c r="I25" s="409"/>
      <c r="K25" s="383"/>
      <c r="L25" s="419">
        <v>900</v>
      </c>
      <c r="M25" s="397">
        <v>2320</v>
      </c>
      <c r="N25" s="413"/>
      <c r="O25" s="407" t="str">
        <f>IF(AND(Data!$B$18="y",Data!$B$8&gt;599,Data!$B$8&lt;900),M25,"")</f>
        <v/>
      </c>
      <c r="P25" s="407"/>
      <c r="Q25" s="407"/>
      <c r="R25" s="320"/>
      <c r="S25" s="408"/>
      <c r="T25" s="409"/>
      <c r="V25" s="320"/>
      <c r="W25" s="433"/>
      <c r="X25" s="320"/>
      <c r="Y25" s="320"/>
      <c r="Z25" s="320"/>
      <c r="AB25" s="320"/>
    </row>
    <row r="26" spans="1:28">
      <c r="A26" s="416" t="s">
        <v>314</v>
      </c>
      <c r="B26" s="393">
        <v>2434</v>
      </c>
      <c r="C26" s="413"/>
      <c r="D26" s="407" t="str">
        <f>IF(OR(Data!B$3="IH",Data!B$3="IHM"),"",IF(AND(Data!B$18="y",Data!B$8&gt;36.9,Data!B$8&lt;49),B26,""))</f>
        <v/>
      </c>
      <c r="E26" s="407"/>
      <c r="F26" s="407"/>
      <c r="G26" s="320"/>
      <c r="H26" s="408"/>
      <c r="I26" s="409"/>
      <c r="K26" s="383"/>
      <c r="L26" s="417">
        <v>1200</v>
      </c>
      <c r="M26" s="393">
        <v>2434</v>
      </c>
      <c r="N26" s="413"/>
      <c r="O26" s="407" t="str">
        <f>IF(AND(Data!$B$18="y",Data!$B$8&gt;899,Data!$B$8&lt;1200),M26,"")</f>
        <v/>
      </c>
      <c r="P26" s="407"/>
      <c r="Q26" s="407"/>
      <c r="R26" s="320"/>
      <c r="S26" s="408"/>
      <c r="T26" s="409"/>
      <c r="V26" s="320"/>
      <c r="W26" s="433"/>
      <c r="X26" s="320"/>
      <c r="Y26" s="320"/>
      <c r="Z26" s="320"/>
      <c r="AB26" s="320"/>
    </row>
    <row r="27" spans="1:28">
      <c r="A27" s="418" t="s">
        <v>315</v>
      </c>
      <c r="B27" s="397">
        <v>2578</v>
      </c>
      <c r="C27" s="413"/>
      <c r="D27" s="407" t="str">
        <f>IF(OR(Data!B$3="IH",Data!B$3="IHM"),"",IF(AND(Data!B$18="y",Data!B$8&gt;48.9,Data!B$8&lt;61),B27,""))</f>
        <v/>
      </c>
      <c r="E27" s="407"/>
      <c r="F27" s="407"/>
      <c r="G27" s="320"/>
      <c r="H27" s="408"/>
      <c r="I27" s="409"/>
      <c r="J27" s="392"/>
      <c r="K27" s="383"/>
      <c r="L27" s="419">
        <v>1500</v>
      </c>
      <c r="M27" s="397">
        <v>2578</v>
      </c>
      <c r="N27" s="413"/>
      <c r="O27" s="407" t="str">
        <f>IF(AND(Data!$B$18="y",Data!$B$8&gt;1199,Data!$B$8&lt;1500),M27,"")</f>
        <v/>
      </c>
      <c r="P27" s="407"/>
      <c r="Q27" s="407"/>
      <c r="R27" s="320"/>
      <c r="S27" s="408"/>
      <c r="T27" s="409"/>
      <c r="U27" s="392"/>
      <c r="V27" s="320"/>
      <c r="W27" s="433"/>
      <c r="X27" s="320"/>
      <c r="Y27" s="320"/>
      <c r="Z27" s="320"/>
      <c r="AB27" s="320"/>
    </row>
    <row r="28" spans="1:28">
      <c r="A28" s="416" t="s">
        <v>316</v>
      </c>
      <c r="B28" s="393">
        <v>2711</v>
      </c>
      <c r="C28" s="413"/>
      <c r="D28" s="407" t="str">
        <f>IF(OR(Data!B$3="IH",Data!B$3="IHM"),"",IF(AND(Data!B$18="y",Data!B$8&gt;60.9,Data!B$8&lt;73),B28,""))</f>
        <v/>
      </c>
      <c r="E28" s="407"/>
      <c r="F28" s="407"/>
      <c r="G28" s="320"/>
      <c r="H28" s="408"/>
      <c r="I28" s="409"/>
      <c r="J28" s="392"/>
      <c r="K28" s="383"/>
      <c r="L28" s="417">
        <v>1800</v>
      </c>
      <c r="M28" s="393">
        <v>2711</v>
      </c>
      <c r="N28" s="413"/>
      <c r="O28" s="407" t="str">
        <f>IF(AND(Data!$B$18="y",Data!$B$8&gt;1499,Data!$B$8&lt;1800),M28,"")</f>
        <v/>
      </c>
      <c r="P28" s="407"/>
      <c r="Q28" s="407"/>
      <c r="R28" s="320"/>
      <c r="S28" s="408"/>
      <c r="T28" s="409"/>
      <c r="U28" s="392"/>
      <c r="V28" s="320"/>
      <c r="W28" s="433"/>
      <c r="X28" s="320"/>
      <c r="Y28" s="320"/>
      <c r="Z28" s="320"/>
      <c r="AB28" s="320"/>
    </row>
    <row r="29" spans="1:28">
      <c r="A29" s="418" t="s">
        <v>508</v>
      </c>
      <c r="B29" s="397">
        <v>2892</v>
      </c>
      <c r="C29" s="413"/>
      <c r="D29" s="407" t="str">
        <f>IF(OR(Data!B$3="IH",Data!B$3="IHM"),"",IF(AND(Data!B$18="y",Data!B$8&gt;72.9,Data!B$8&lt;85),B29,""))</f>
        <v/>
      </c>
      <c r="E29" s="407"/>
      <c r="F29" s="407"/>
      <c r="G29" s="320"/>
      <c r="H29" s="408"/>
      <c r="I29" s="409"/>
      <c r="K29" s="383"/>
      <c r="L29" s="419">
        <v>2100</v>
      </c>
      <c r="M29" s="397">
        <v>2892</v>
      </c>
      <c r="N29" s="413"/>
      <c r="O29" s="407" t="str">
        <f>IF(AND(Data!$B$18="y",Data!$B$8&gt;1799,Data!$B$8&lt;2100),M29,"")</f>
        <v/>
      </c>
      <c r="P29" s="407"/>
      <c r="Q29" s="407"/>
      <c r="R29" s="320"/>
      <c r="S29" s="408"/>
      <c r="T29" s="409"/>
      <c r="V29" s="320"/>
      <c r="W29" s="433"/>
      <c r="X29" s="320"/>
      <c r="Y29" s="320"/>
      <c r="Z29" s="320"/>
      <c r="AB29" s="320"/>
    </row>
    <row r="30" spans="1:28">
      <c r="A30" s="416" t="s">
        <v>509</v>
      </c>
      <c r="B30" s="393">
        <v>3031</v>
      </c>
      <c r="C30" s="413"/>
      <c r="D30" s="407" t="str">
        <f>IF(OR(Data!B$3="IH",Data!B$3="IHM"),"",IF(AND(Data!B$18="y",Data!B$8&gt;84.9,Data!B$8&lt;97),B30,""))</f>
        <v/>
      </c>
      <c r="E30" s="407"/>
      <c r="F30" s="407"/>
      <c r="G30" s="320"/>
      <c r="H30" s="408"/>
      <c r="I30" s="409"/>
      <c r="K30" s="383"/>
      <c r="L30" s="417">
        <v>2500</v>
      </c>
      <c r="M30" s="393">
        <v>3031</v>
      </c>
      <c r="N30" s="413"/>
      <c r="O30" s="407" t="str">
        <f>IF(AND(Data!$B$18="y",Data!$B$8&gt;2099,Data!$B$8&lt;2500),M30,"")</f>
        <v/>
      </c>
      <c r="P30" s="407"/>
      <c r="Q30" s="407"/>
      <c r="R30" s="320"/>
      <c r="S30" s="408"/>
      <c r="T30" s="409"/>
      <c r="V30" s="320"/>
      <c r="W30" s="433"/>
      <c r="X30" s="320"/>
      <c r="Y30" s="320"/>
      <c r="Z30" s="320"/>
      <c r="AB30" s="320"/>
    </row>
    <row r="31" spans="1:28" ht="16.5" thickBot="1">
      <c r="A31" s="420" t="s">
        <v>115</v>
      </c>
      <c r="B31" s="401">
        <v>3174</v>
      </c>
      <c r="C31" s="413"/>
      <c r="D31" s="407" t="str">
        <f>IF(OR(Data!B$3="IH",Data!B$3="IHM"),"",IF(AND(Data!B$18="y",Data!B$8&gt;96.9,Data!B$8&lt;180),B31,""))</f>
        <v/>
      </c>
      <c r="E31" s="407"/>
      <c r="F31" s="407"/>
      <c r="G31" s="320"/>
      <c r="H31" s="408"/>
      <c r="I31" s="409"/>
      <c r="K31" s="383"/>
      <c r="L31" s="421">
        <v>6000</v>
      </c>
      <c r="M31" s="401">
        <v>3174</v>
      </c>
      <c r="N31" s="413"/>
      <c r="O31" s="407" t="str">
        <f>IF(AND(Data!$B$18="y",Data!$B$8&gt;2499,Data!$B$8&lt;6000),M31,"")</f>
        <v/>
      </c>
      <c r="P31" s="407"/>
      <c r="Q31" s="407"/>
      <c r="R31" s="320"/>
      <c r="S31" s="408"/>
      <c r="T31" s="409"/>
      <c r="V31" s="320"/>
      <c r="W31" s="433"/>
      <c r="X31" s="320"/>
      <c r="Y31" s="320"/>
      <c r="Z31" s="320"/>
      <c r="AB31" s="320"/>
    </row>
    <row r="32" spans="1:28" ht="16.5" thickTop="1">
      <c r="A32" s="644"/>
      <c r="B32" s="644"/>
      <c r="C32" s="644"/>
      <c r="D32" s="383">
        <f>SUM(D23:D31)</f>
        <v>0</v>
      </c>
      <c r="H32" s="320"/>
      <c r="I32" s="408"/>
      <c r="J32" s="409"/>
      <c r="K32" s="383"/>
      <c r="L32" s="644"/>
      <c r="M32" s="644"/>
      <c r="N32" s="644"/>
      <c r="O32" s="383">
        <f>SUM(O23:O31)</f>
        <v>0</v>
      </c>
      <c r="S32" s="320"/>
      <c r="T32" s="408"/>
      <c r="U32" s="409"/>
      <c r="W32" s="320"/>
      <c r="X32" s="433"/>
      <c r="Y32" s="320"/>
      <c r="Z32" s="320"/>
      <c r="AB32" s="320"/>
    </row>
    <row r="33" spans="1:28" ht="17.25" customHeight="1">
      <c r="A33" s="392">
        <f>IF(L33&gt;1,L33,D32+H20+I20+J20)</f>
        <v>0</v>
      </c>
      <c r="B33" s="383"/>
      <c r="G33" s="409"/>
      <c r="H33" s="392"/>
      <c r="I33" s="392"/>
      <c r="K33" s="383"/>
      <c r="L33" s="392">
        <f>IF(OR(Data!B3="IH",Data!B3="IMH",Data!B3="IHM"),O32+S20+T20+U20,0)</f>
        <v>0</v>
      </c>
      <c r="M33" s="383"/>
      <c r="R33" s="409"/>
      <c r="S33" s="392"/>
      <c r="T33" s="392"/>
      <c r="V33" s="320"/>
      <c r="W33" s="320"/>
      <c r="X33" s="320"/>
      <c r="Y33" s="320"/>
      <c r="Z33" s="320"/>
      <c r="AB33" s="320"/>
    </row>
    <row r="34" spans="1:28">
      <c r="A34" s="320"/>
      <c r="B34" s="320"/>
      <c r="C34" s="320"/>
      <c r="D34" s="320"/>
      <c r="E34" s="320"/>
      <c r="F34" s="320"/>
      <c r="G34" s="320"/>
      <c r="H34" s="320"/>
      <c r="I34" s="320"/>
      <c r="K34" s="383"/>
      <c r="L34" s="320"/>
      <c r="M34" s="320"/>
      <c r="N34" s="320"/>
      <c r="O34" s="320"/>
      <c r="P34" s="320"/>
      <c r="Q34" s="320"/>
      <c r="R34" s="320"/>
      <c r="S34" s="320"/>
      <c r="T34" s="320"/>
      <c r="V34" s="433"/>
      <c r="W34" s="320"/>
      <c r="X34" s="320"/>
      <c r="Y34" s="320"/>
      <c r="Z34" s="320"/>
      <c r="AB34" s="320"/>
    </row>
    <row r="35" spans="1:28">
      <c r="A35" s="320"/>
      <c r="B35" s="320"/>
      <c r="C35" s="320"/>
      <c r="D35" s="320"/>
      <c r="E35" s="320"/>
      <c r="F35" s="320"/>
      <c r="G35" s="320"/>
      <c r="H35" s="320"/>
      <c r="I35" s="320"/>
      <c r="K35" s="383"/>
      <c r="M35" s="383"/>
      <c r="T35" s="320"/>
      <c r="U35" s="433"/>
      <c r="V35" s="320"/>
      <c r="W35" s="320"/>
      <c r="X35" s="320"/>
      <c r="Y35" s="320"/>
      <c r="Z35" s="320"/>
      <c r="AB35" s="320"/>
    </row>
    <row r="36" spans="1:28">
      <c r="A36" s="422"/>
      <c r="B36" s="422"/>
      <c r="C36" s="422"/>
      <c r="D36" s="422"/>
      <c r="E36" s="422"/>
      <c r="F36" s="422"/>
      <c r="G36" s="422"/>
      <c r="H36" s="422"/>
      <c r="I36" s="422"/>
      <c r="J36" s="422"/>
      <c r="K36" s="423"/>
      <c r="L36" s="423"/>
      <c r="M36" s="423"/>
      <c r="N36" s="422"/>
      <c r="O36" s="423"/>
      <c r="P36" s="422"/>
      <c r="U36" s="320"/>
      <c r="V36" s="409"/>
      <c r="W36" s="320"/>
      <c r="X36" s="320"/>
      <c r="Y36" s="320"/>
      <c r="Z36" s="320"/>
      <c r="AB36" s="320"/>
    </row>
    <row r="37" spans="1:28">
      <c r="A37" s="425"/>
      <c r="B37" s="425"/>
      <c r="C37" s="429"/>
      <c r="D37" s="429"/>
      <c r="E37" s="425"/>
      <c r="F37" s="425"/>
      <c r="G37" s="424"/>
      <c r="H37" s="422"/>
      <c r="I37" s="424"/>
      <c r="J37" s="424"/>
      <c r="K37" s="425"/>
      <c r="L37" s="425"/>
      <c r="M37" s="425"/>
      <c r="N37" s="424"/>
      <c r="O37" s="423"/>
      <c r="P37" s="424"/>
      <c r="U37" s="320"/>
      <c r="V37" s="433"/>
      <c r="W37" s="320"/>
      <c r="X37" s="320"/>
      <c r="Y37" s="320"/>
      <c r="Z37" s="320"/>
      <c r="AB37" s="320"/>
    </row>
    <row r="38" spans="1:28">
      <c r="A38" s="424"/>
      <c r="B38" s="424"/>
      <c r="C38" s="424"/>
      <c r="H38" s="424"/>
      <c r="I38" s="424"/>
      <c r="J38" s="424"/>
      <c r="K38" s="424"/>
      <c r="L38" s="424"/>
      <c r="M38" s="424"/>
      <c r="N38" s="425"/>
      <c r="O38" s="425"/>
      <c r="P38" s="425"/>
      <c r="Q38" s="424"/>
      <c r="R38" s="423"/>
      <c r="S38" s="424"/>
      <c r="T38" s="320"/>
      <c r="U38" s="320"/>
      <c r="V38" s="320"/>
      <c r="W38" s="320"/>
      <c r="X38" s="320"/>
      <c r="Y38" s="433"/>
      <c r="Z38" s="320"/>
      <c r="AB38" s="320"/>
    </row>
    <row r="39" spans="1:28">
      <c r="A39" s="408"/>
      <c r="B39" s="409"/>
      <c r="C39" s="426"/>
      <c r="D39" s="426"/>
      <c r="E39" s="426"/>
      <c r="F39" s="426"/>
      <c r="G39" s="426"/>
      <c r="H39" s="427"/>
      <c r="I39" s="426"/>
      <c r="J39" s="426"/>
      <c r="K39" s="408"/>
      <c r="L39" s="409"/>
      <c r="M39" s="383"/>
      <c r="T39" s="320"/>
      <c r="U39" s="320"/>
      <c r="V39" s="320"/>
      <c r="W39" s="320"/>
      <c r="X39" s="320"/>
      <c r="Y39" s="433"/>
      <c r="Z39" s="320"/>
      <c r="AB39" s="320"/>
    </row>
    <row r="40" spans="1:28">
      <c r="A40" s="408"/>
      <c r="B40" s="409"/>
      <c r="C40" s="426"/>
      <c r="D40" s="426"/>
      <c r="E40" s="426"/>
      <c r="F40" s="426"/>
      <c r="G40" s="426"/>
      <c r="H40" s="427"/>
      <c r="I40" s="428"/>
      <c r="J40" s="428"/>
      <c r="K40" s="408"/>
      <c r="L40" s="409"/>
      <c r="M40" s="383"/>
      <c r="T40" s="320"/>
      <c r="U40" s="320"/>
      <c r="V40" s="320"/>
      <c r="W40" s="320"/>
      <c r="X40" s="320"/>
      <c r="Y40" s="433"/>
      <c r="Z40" s="320"/>
      <c r="AB40" s="320"/>
    </row>
    <row r="41" spans="1:28">
      <c r="A41" s="408"/>
      <c r="B41" s="409"/>
      <c r="C41" s="426"/>
      <c r="D41" s="426"/>
      <c r="E41" s="426"/>
      <c r="F41" s="426"/>
      <c r="G41" s="426"/>
      <c r="H41" s="427"/>
      <c r="I41" s="426"/>
      <c r="J41" s="426"/>
      <c r="K41" s="408"/>
      <c r="L41" s="409"/>
      <c r="M41" s="383"/>
      <c r="T41" s="320"/>
      <c r="U41" s="320"/>
      <c r="V41" s="320"/>
      <c r="W41" s="320"/>
      <c r="X41" s="320"/>
      <c r="Y41" s="433"/>
      <c r="Z41" s="320"/>
      <c r="AB41" s="320"/>
    </row>
    <row r="42" spans="1:28">
      <c r="A42" s="408"/>
      <c r="B42" s="409"/>
      <c r="C42" s="426"/>
      <c r="D42" s="426"/>
      <c r="E42" s="426"/>
      <c r="F42" s="426"/>
      <c r="G42" s="426"/>
      <c r="H42" s="427"/>
      <c r="I42" s="428"/>
      <c r="J42" s="426"/>
      <c r="K42" s="408"/>
      <c r="L42" s="409"/>
      <c r="M42" s="383"/>
      <c r="T42" s="320"/>
      <c r="U42" s="320"/>
      <c r="V42" s="320"/>
      <c r="W42" s="320"/>
      <c r="X42" s="320"/>
      <c r="Y42" s="433"/>
      <c r="Z42" s="320"/>
      <c r="AB42" s="320"/>
    </row>
    <row r="43" spans="1:28">
      <c r="A43" s="408"/>
      <c r="B43" s="409"/>
      <c r="C43" s="428"/>
      <c r="D43" s="426"/>
      <c r="E43" s="426"/>
      <c r="F43" s="426"/>
      <c r="G43" s="426"/>
      <c r="H43" s="427"/>
      <c r="I43" s="426"/>
      <c r="J43" s="426"/>
      <c r="K43" s="408"/>
      <c r="L43" s="409"/>
      <c r="M43" s="383"/>
      <c r="T43" s="320"/>
      <c r="U43" s="320"/>
      <c r="V43" s="320"/>
      <c r="W43" s="320"/>
      <c r="X43" s="320"/>
      <c r="Y43" s="433"/>
      <c r="Z43" s="320"/>
      <c r="AB43" s="320"/>
    </row>
    <row r="44" spans="1:28">
      <c r="A44" s="408"/>
      <c r="B44" s="409"/>
      <c r="C44" s="426"/>
      <c r="D44" s="426"/>
      <c r="E44" s="426"/>
      <c r="F44" s="426"/>
      <c r="G44" s="426"/>
      <c r="H44" s="427"/>
      <c r="I44" s="426"/>
      <c r="J44" s="426"/>
      <c r="K44" s="408"/>
      <c r="L44" s="409"/>
      <c r="M44" s="383"/>
      <c r="T44" s="320"/>
      <c r="U44" s="320"/>
      <c r="V44" s="320"/>
      <c r="W44" s="320"/>
      <c r="X44" s="320"/>
      <c r="Y44" s="433"/>
      <c r="Z44" s="320"/>
      <c r="AB44" s="320"/>
    </row>
    <row r="45" spans="1:28">
      <c r="A45" s="408"/>
      <c r="B45" s="409"/>
      <c r="C45" s="426"/>
      <c r="D45" s="426"/>
      <c r="E45" s="426"/>
      <c r="F45" s="426"/>
      <c r="G45" s="426"/>
      <c r="H45" s="427"/>
      <c r="I45" s="428"/>
      <c r="J45" s="426"/>
      <c r="K45" s="408"/>
      <c r="L45" s="409"/>
      <c r="M45" s="383"/>
      <c r="T45" s="320"/>
      <c r="U45" s="320"/>
      <c r="V45" s="320"/>
      <c r="W45" s="320"/>
      <c r="X45" s="320"/>
      <c r="Y45" s="409"/>
      <c r="Z45" s="320"/>
      <c r="AB45" s="320"/>
    </row>
    <row r="46" spans="1:28">
      <c r="A46" s="408"/>
      <c r="B46" s="409"/>
      <c r="C46" s="428"/>
      <c r="D46" s="426"/>
      <c r="E46" s="426"/>
      <c r="F46" s="426"/>
      <c r="G46" s="426"/>
      <c r="H46" s="427"/>
      <c r="I46" s="426"/>
      <c r="J46" s="426"/>
      <c r="K46" s="408"/>
      <c r="L46" s="409"/>
      <c r="M46" s="383"/>
      <c r="T46" s="320"/>
      <c r="U46" s="320"/>
      <c r="V46" s="320"/>
      <c r="W46" s="320"/>
      <c r="X46" s="320"/>
      <c r="Y46" s="433"/>
      <c r="Z46" s="320"/>
      <c r="AB46" s="320"/>
    </row>
    <row r="47" spans="1:28">
      <c r="A47" s="408"/>
      <c r="B47" s="409"/>
      <c r="C47" s="426"/>
      <c r="D47" s="426"/>
      <c r="E47" s="426"/>
      <c r="F47" s="426"/>
      <c r="G47" s="426"/>
      <c r="H47" s="427"/>
      <c r="I47" s="426"/>
      <c r="J47" s="426"/>
      <c r="K47" s="408"/>
      <c r="L47" s="409"/>
      <c r="M47" s="383"/>
      <c r="T47" s="320"/>
      <c r="U47" s="320"/>
      <c r="V47" s="320"/>
      <c r="W47" s="320"/>
      <c r="X47" s="320"/>
      <c r="Y47" s="433"/>
      <c r="Z47" s="320"/>
      <c r="AB47" s="320"/>
    </row>
    <row r="48" spans="1:28">
      <c r="A48" s="408"/>
      <c r="B48" s="409"/>
      <c r="C48" s="426"/>
      <c r="D48" s="426"/>
      <c r="E48" s="426"/>
      <c r="F48" s="426"/>
      <c r="G48" s="426"/>
      <c r="H48" s="427"/>
      <c r="I48" s="428"/>
      <c r="J48" s="428"/>
      <c r="K48" s="408"/>
      <c r="L48" s="409"/>
      <c r="M48" s="383"/>
      <c r="T48" s="320"/>
      <c r="U48" s="320"/>
      <c r="V48" s="320"/>
      <c r="W48" s="320"/>
      <c r="X48" s="320"/>
      <c r="Y48" s="433"/>
      <c r="Z48" s="320"/>
      <c r="AB48" s="320"/>
    </row>
    <row r="49" spans="1:28">
      <c r="A49" s="408"/>
      <c r="B49" s="409"/>
      <c r="C49" s="428"/>
      <c r="D49" s="426"/>
      <c r="E49" s="426"/>
      <c r="F49" s="426"/>
      <c r="G49" s="426"/>
      <c r="H49" s="427"/>
      <c r="I49" s="426"/>
      <c r="J49" s="426"/>
      <c r="K49" s="408"/>
      <c r="L49" s="409"/>
      <c r="M49" s="383"/>
      <c r="T49" s="320"/>
      <c r="U49" s="320"/>
      <c r="V49" s="320"/>
      <c r="W49" s="320"/>
      <c r="X49" s="320"/>
      <c r="Y49" s="433"/>
      <c r="Z49" s="320"/>
      <c r="AB49" s="320"/>
    </row>
    <row r="50" spans="1:28">
      <c r="A50" s="408"/>
      <c r="B50" s="409"/>
      <c r="D50" s="426"/>
      <c r="E50" s="426"/>
      <c r="F50" s="426"/>
      <c r="G50" s="426"/>
      <c r="H50" s="427"/>
      <c r="I50" s="426"/>
      <c r="J50" s="426"/>
      <c r="K50" s="408"/>
      <c r="L50" s="409"/>
      <c r="M50" s="383"/>
      <c r="T50" s="320"/>
      <c r="U50" s="320"/>
      <c r="V50" s="320"/>
      <c r="W50" s="320"/>
      <c r="X50" s="320"/>
      <c r="Y50" s="433"/>
      <c r="Z50" s="320"/>
      <c r="AB50" s="320"/>
    </row>
    <row r="51" spans="1:28">
      <c r="A51" s="408"/>
      <c r="B51" s="409"/>
      <c r="D51" s="426"/>
      <c r="E51" s="426"/>
      <c r="F51" s="426"/>
      <c r="G51" s="426"/>
      <c r="H51" s="427"/>
      <c r="I51" s="428"/>
      <c r="J51" s="426"/>
      <c r="K51" s="408"/>
      <c r="L51" s="409"/>
      <c r="M51" s="383"/>
      <c r="T51" s="320"/>
      <c r="U51" s="320"/>
      <c r="V51" s="320"/>
      <c r="W51" s="320"/>
      <c r="X51" s="320"/>
      <c r="Y51" s="433"/>
      <c r="Z51" s="320"/>
      <c r="AB51" s="320"/>
    </row>
    <row r="52" spans="1:28">
      <c r="A52" s="408"/>
      <c r="B52" s="409"/>
      <c r="D52" s="426"/>
      <c r="F52" s="426"/>
      <c r="K52" s="408"/>
      <c r="L52" s="409"/>
      <c r="M52" s="383"/>
      <c r="R52" s="320"/>
      <c r="S52" s="320"/>
      <c r="T52" s="320"/>
      <c r="U52" s="320"/>
      <c r="V52" s="320"/>
      <c r="W52" s="320"/>
      <c r="X52" s="320"/>
      <c r="Y52" s="433"/>
      <c r="Z52" s="320"/>
      <c r="AB52" s="320"/>
    </row>
    <row r="53" spans="1:28">
      <c r="A53" s="408"/>
      <c r="B53" s="409"/>
      <c r="D53" s="426"/>
      <c r="F53" s="426"/>
      <c r="K53" s="408"/>
      <c r="L53" s="409"/>
      <c r="M53" s="383"/>
      <c r="R53" s="320"/>
      <c r="S53" s="320"/>
      <c r="T53" s="320"/>
      <c r="U53" s="320"/>
      <c r="V53" s="320"/>
      <c r="W53" s="320"/>
      <c r="X53" s="320"/>
      <c r="Y53" s="433"/>
      <c r="Z53" s="320"/>
      <c r="AB53" s="320"/>
    </row>
    <row r="54" spans="1:28">
      <c r="A54" s="408"/>
      <c r="B54" s="409"/>
      <c r="D54" s="426"/>
      <c r="F54" s="426"/>
      <c r="K54" s="408"/>
      <c r="L54" s="409"/>
      <c r="M54" s="383"/>
      <c r="R54" s="320"/>
      <c r="S54" s="320"/>
      <c r="T54" s="320"/>
      <c r="U54" s="320"/>
      <c r="V54" s="320"/>
      <c r="W54" s="320"/>
      <c r="X54" s="320"/>
      <c r="Y54" s="433"/>
      <c r="Z54" s="320"/>
      <c r="AB54" s="320"/>
    </row>
    <row r="55" spans="1:28">
      <c r="A55" s="408"/>
      <c r="B55" s="409"/>
      <c r="D55" s="426"/>
      <c r="F55" s="426"/>
      <c r="K55" s="408"/>
      <c r="L55" s="409"/>
      <c r="M55" s="383"/>
      <c r="R55" s="320"/>
      <c r="S55" s="320"/>
      <c r="T55" s="320"/>
      <c r="U55" s="320"/>
      <c r="V55" s="320"/>
      <c r="W55" s="320"/>
      <c r="X55" s="320"/>
      <c r="Y55" s="433"/>
      <c r="Z55" s="320"/>
      <c r="AB55" s="320"/>
    </row>
    <row r="56" spans="1:28">
      <c r="A56" s="408"/>
      <c r="B56" s="409"/>
      <c r="D56" s="426"/>
      <c r="F56" s="426"/>
      <c r="K56" s="408"/>
      <c r="L56" s="409"/>
      <c r="M56" s="383"/>
      <c r="R56" s="320"/>
      <c r="S56" s="320"/>
      <c r="T56" s="320"/>
      <c r="U56" s="320"/>
      <c r="V56" s="320"/>
      <c r="W56" s="320"/>
      <c r="X56" s="320"/>
      <c r="Y56" s="433"/>
      <c r="Z56" s="320"/>
      <c r="AB56" s="320"/>
    </row>
    <row r="57" spans="1:28">
      <c r="A57" s="408"/>
      <c r="B57" s="409"/>
      <c r="D57" s="426"/>
      <c r="F57" s="426"/>
      <c r="K57" s="408"/>
      <c r="L57" s="409"/>
      <c r="M57" s="383"/>
      <c r="R57" s="320"/>
      <c r="S57" s="320"/>
      <c r="T57" s="320"/>
      <c r="U57" s="320"/>
      <c r="V57" s="320"/>
      <c r="W57" s="320"/>
      <c r="X57" s="320"/>
      <c r="Y57" s="433"/>
      <c r="Z57" s="320"/>
      <c r="AB57" s="320"/>
    </row>
    <row r="58" spans="1:28">
      <c r="A58" s="408"/>
      <c r="B58" s="409"/>
      <c r="D58" s="426"/>
      <c r="F58" s="426"/>
      <c r="K58" s="408"/>
      <c r="L58" s="409"/>
      <c r="M58" s="383"/>
      <c r="R58" s="320"/>
      <c r="S58" s="320"/>
      <c r="T58" s="320"/>
      <c r="U58" s="320"/>
      <c r="V58" s="320"/>
      <c r="W58" s="320"/>
      <c r="X58" s="320"/>
      <c r="Y58" s="433"/>
      <c r="Z58" s="320"/>
      <c r="AB58" s="320"/>
    </row>
    <row r="59" spans="1:28">
      <c r="A59" s="408"/>
      <c r="B59" s="409"/>
      <c r="D59" s="426"/>
      <c r="F59" s="426"/>
      <c r="K59" s="408"/>
      <c r="L59" s="409"/>
      <c r="M59" s="383"/>
      <c r="R59" s="320"/>
      <c r="S59" s="320"/>
      <c r="T59" s="320"/>
      <c r="U59" s="320"/>
      <c r="V59" s="320"/>
      <c r="W59" s="320"/>
      <c r="X59" s="320"/>
      <c r="Y59" s="433"/>
      <c r="Z59" s="320"/>
      <c r="AB59" s="320"/>
    </row>
    <row r="60" spans="1:28">
      <c r="A60" s="408"/>
      <c r="B60" s="409"/>
      <c r="D60" s="426"/>
      <c r="F60" s="426"/>
      <c r="K60" s="408"/>
      <c r="L60" s="409"/>
      <c r="M60" s="383"/>
      <c r="R60" s="320"/>
      <c r="S60" s="320"/>
      <c r="T60" s="320"/>
      <c r="U60" s="320"/>
      <c r="V60" s="320"/>
      <c r="W60" s="320"/>
      <c r="X60" s="320"/>
      <c r="Y60" s="433"/>
      <c r="Z60" s="320"/>
      <c r="AB60" s="320"/>
    </row>
    <row r="61" spans="1:28">
      <c r="A61" s="408"/>
      <c r="B61" s="409"/>
      <c r="D61" s="426"/>
      <c r="F61" s="426"/>
      <c r="K61" s="408"/>
      <c r="L61" s="409"/>
      <c r="M61" s="383"/>
      <c r="R61" s="320"/>
      <c r="S61" s="320"/>
      <c r="T61" s="320"/>
      <c r="U61" s="320"/>
      <c r="V61" s="320"/>
      <c r="W61" s="320"/>
      <c r="X61" s="320"/>
      <c r="Y61" s="433"/>
      <c r="Z61" s="320"/>
      <c r="AB61" s="320"/>
    </row>
    <row r="62" spans="1:28">
      <c r="A62" s="408"/>
      <c r="B62" s="409"/>
      <c r="D62" s="426"/>
      <c r="F62" s="426"/>
      <c r="K62" s="408"/>
      <c r="L62" s="409"/>
      <c r="M62" s="383"/>
      <c r="R62" s="320"/>
      <c r="S62" s="320"/>
      <c r="T62" s="320"/>
      <c r="U62" s="320"/>
      <c r="V62" s="320"/>
      <c r="W62" s="320"/>
      <c r="X62" s="320"/>
      <c r="Y62" s="433"/>
      <c r="Z62" s="320"/>
      <c r="AB62" s="320"/>
    </row>
    <row r="63" spans="1:28">
      <c r="A63" s="408"/>
      <c r="B63" s="409"/>
      <c r="D63" s="426"/>
      <c r="F63" s="426"/>
      <c r="K63" s="408"/>
      <c r="L63" s="409"/>
      <c r="M63" s="383"/>
      <c r="R63" s="320"/>
      <c r="S63" s="320"/>
      <c r="T63" s="320"/>
      <c r="U63" s="320"/>
      <c r="V63" s="320"/>
      <c r="W63" s="320"/>
      <c r="X63" s="320"/>
      <c r="Y63" s="433"/>
      <c r="Z63" s="320"/>
      <c r="AB63" s="320"/>
    </row>
    <row r="64" spans="1:28">
      <c r="A64" s="408"/>
      <c r="B64" s="409"/>
      <c r="D64" s="426"/>
      <c r="F64" s="426"/>
      <c r="K64" s="408"/>
      <c r="L64" s="409"/>
      <c r="M64" s="383"/>
      <c r="R64" s="320"/>
      <c r="S64" s="320"/>
      <c r="T64" s="320"/>
      <c r="U64" s="320"/>
      <c r="V64" s="320"/>
      <c r="W64" s="320"/>
      <c r="X64" s="320"/>
      <c r="Y64" s="433"/>
      <c r="Z64" s="320"/>
      <c r="AB64" s="320"/>
    </row>
    <row r="65" spans="1:28">
      <c r="A65" s="408"/>
      <c r="B65" s="409"/>
      <c r="D65" s="426"/>
      <c r="F65" s="426"/>
      <c r="K65" s="408"/>
      <c r="L65" s="409"/>
      <c r="M65" s="383"/>
      <c r="R65" s="320"/>
      <c r="S65" s="320"/>
      <c r="T65" s="320"/>
      <c r="U65" s="320"/>
      <c r="V65" s="320"/>
      <c r="W65" s="320"/>
      <c r="X65" s="320"/>
      <c r="Y65" s="433"/>
      <c r="Z65" s="320"/>
      <c r="AB65" s="320"/>
    </row>
    <row r="66" spans="1:28">
      <c r="A66" s="408"/>
      <c r="B66" s="409"/>
      <c r="D66" s="426"/>
      <c r="F66" s="426"/>
      <c r="K66" s="408"/>
      <c r="L66" s="409"/>
      <c r="M66" s="383"/>
      <c r="R66" s="320"/>
      <c r="S66" s="320"/>
      <c r="T66" s="320"/>
      <c r="U66" s="320"/>
      <c r="V66" s="320"/>
      <c r="W66" s="320"/>
      <c r="X66" s="320"/>
      <c r="Y66" s="433"/>
      <c r="Z66" s="320"/>
      <c r="AB66" s="320"/>
    </row>
    <row r="67" spans="1:28">
      <c r="B67" s="383"/>
      <c r="C67" s="320"/>
      <c r="K67" s="383"/>
      <c r="L67" s="384"/>
      <c r="M67" s="383"/>
      <c r="T67" s="320"/>
      <c r="U67" s="320"/>
      <c r="V67" s="320"/>
      <c r="W67" s="320"/>
      <c r="X67" s="320"/>
      <c r="Y67" s="433"/>
      <c r="Z67" s="320"/>
      <c r="AB67" s="320"/>
    </row>
    <row r="68" spans="1:28">
      <c r="A68" s="320"/>
      <c r="B68" s="320"/>
      <c r="C68" s="320"/>
      <c r="D68" s="320"/>
      <c r="E68" s="320"/>
      <c r="F68" s="320"/>
      <c r="G68" s="320"/>
      <c r="H68" s="320"/>
      <c r="I68" s="320"/>
      <c r="J68" s="320"/>
      <c r="K68" s="383"/>
      <c r="L68" s="384"/>
      <c r="M68" s="383"/>
      <c r="R68" s="320"/>
      <c r="S68" s="320"/>
      <c r="T68" s="320"/>
      <c r="U68" s="320"/>
      <c r="V68" s="320"/>
      <c r="W68" s="320"/>
      <c r="X68" s="320"/>
      <c r="Y68" s="433"/>
      <c r="Z68" s="320"/>
      <c r="AB68" s="320"/>
    </row>
    <row r="69" spans="1:28">
      <c r="A69" s="320"/>
      <c r="B69" s="320"/>
      <c r="C69" s="320"/>
      <c r="D69" s="320"/>
      <c r="E69" s="320"/>
      <c r="F69" s="320"/>
      <c r="G69" s="320"/>
      <c r="H69" s="320"/>
      <c r="I69" s="320"/>
      <c r="J69" s="320"/>
      <c r="K69" s="383"/>
      <c r="L69" s="384"/>
      <c r="M69" s="383"/>
      <c r="R69" s="320"/>
      <c r="S69" s="320"/>
      <c r="T69" s="320"/>
      <c r="U69" s="320"/>
      <c r="V69" s="320"/>
      <c r="W69" s="320"/>
      <c r="X69" s="320"/>
      <c r="Y69" s="433"/>
      <c r="Z69" s="320"/>
      <c r="AB69" s="320"/>
    </row>
    <row r="70" spans="1:28">
      <c r="A70" s="320"/>
      <c r="B70" s="320"/>
      <c r="C70" s="320"/>
      <c r="D70" s="320"/>
      <c r="E70" s="320"/>
      <c r="F70" s="320"/>
      <c r="G70" s="320"/>
      <c r="H70" s="320"/>
      <c r="I70" s="320"/>
      <c r="J70" s="320"/>
      <c r="K70" s="383"/>
      <c r="L70" s="384"/>
      <c r="M70" s="383"/>
      <c r="R70" s="320"/>
      <c r="S70" s="320"/>
      <c r="T70" s="320"/>
      <c r="U70" s="320"/>
      <c r="V70" s="320"/>
      <c r="W70" s="320"/>
      <c r="X70" s="320"/>
      <c r="Y70" s="433"/>
      <c r="Z70" s="320"/>
      <c r="AB70" s="320"/>
    </row>
    <row r="71" spans="1:28" ht="14.25" customHeight="1">
      <c r="A71" s="422"/>
      <c r="B71" s="422"/>
      <c r="C71" s="423"/>
      <c r="D71" s="423"/>
      <c r="E71" s="422"/>
      <c r="F71" s="422"/>
      <c r="G71" s="422"/>
      <c r="H71" s="422"/>
      <c r="I71" s="422"/>
      <c r="J71" s="422"/>
      <c r="K71" s="422"/>
      <c r="L71" s="422"/>
      <c r="M71" s="423"/>
      <c r="N71" s="423"/>
      <c r="O71" s="422"/>
      <c r="P71" s="423"/>
      <c r="Q71" s="423"/>
      <c r="R71" s="422"/>
      <c r="S71" s="320"/>
      <c r="T71" s="433"/>
      <c r="U71" s="320"/>
      <c r="V71" s="320"/>
      <c r="W71" s="320"/>
      <c r="X71" s="320"/>
      <c r="Y71" s="320"/>
      <c r="Z71" s="320"/>
      <c r="AB71" s="320"/>
    </row>
    <row r="72" spans="1:28" ht="13.5" customHeight="1">
      <c r="A72" s="424"/>
      <c r="B72" s="424"/>
      <c r="C72" s="425"/>
      <c r="D72" s="425"/>
      <c r="E72" s="429"/>
      <c r="F72" s="429"/>
      <c r="G72" s="424"/>
      <c r="H72" s="429"/>
      <c r="I72" s="429"/>
      <c r="J72" s="425"/>
      <c r="K72" s="424"/>
      <c r="L72" s="424"/>
      <c r="M72" s="425"/>
      <c r="N72" s="425"/>
      <c r="O72" s="422"/>
      <c r="P72" s="425"/>
      <c r="Q72" s="425"/>
      <c r="R72" s="424"/>
      <c r="S72" s="320"/>
      <c r="T72" s="409"/>
      <c r="U72" s="320"/>
      <c r="V72" s="320"/>
      <c r="W72" s="320"/>
      <c r="X72" s="320"/>
      <c r="Y72" s="320"/>
      <c r="Z72" s="320"/>
      <c r="AB72" s="320"/>
    </row>
    <row r="73" spans="1:28">
      <c r="A73" s="424"/>
      <c r="B73" s="424"/>
      <c r="C73" s="425"/>
      <c r="D73" s="425"/>
      <c r="G73" s="424"/>
      <c r="K73" s="424"/>
      <c r="L73" s="424"/>
      <c r="M73" s="425"/>
      <c r="N73" s="425"/>
      <c r="O73" s="422"/>
      <c r="P73" s="425"/>
      <c r="Q73" s="425"/>
      <c r="R73" s="424"/>
      <c r="S73" s="320"/>
      <c r="T73" s="433"/>
      <c r="U73" s="320"/>
      <c r="V73" s="320"/>
      <c r="W73" s="320"/>
      <c r="X73" s="320"/>
      <c r="Y73" s="320"/>
      <c r="Z73" s="320"/>
      <c r="AB73" s="320"/>
    </row>
    <row r="74" spans="1:28">
      <c r="A74" s="384"/>
      <c r="C74" s="426"/>
      <c r="D74" s="426"/>
      <c r="E74" s="426"/>
      <c r="F74" s="426"/>
      <c r="G74" s="426"/>
      <c r="H74" s="426"/>
      <c r="I74" s="426"/>
      <c r="J74" s="426"/>
      <c r="K74" s="408"/>
      <c r="L74" s="409"/>
      <c r="M74" s="383"/>
      <c r="Q74" s="430"/>
      <c r="W74" s="320"/>
      <c r="X74" s="433"/>
      <c r="Y74" s="320"/>
      <c r="Z74" s="320"/>
      <c r="AB74" s="320"/>
    </row>
    <row r="75" spans="1:28">
      <c r="A75" s="384"/>
      <c r="C75" s="426"/>
      <c r="D75" s="426"/>
      <c r="E75" s="426"/>
      <c r="F75" s="426"/>
      <c r="G75" s="428"/>
      <c r="H75" s="426"/>
      <c r="I75" s="426"/>
      <c r="J75" s="426"/>
      <c r="K75" s="408"/>
      <c r="L75" s="409"/>
      <c r="M75" s="383"/>
      <c r="Q75" s="430"/>
      <c r="R75" s="392"/>
      <c r="W75" s="320"/>
      <c r="X75" s="433"/>
      <c r="Y75" s="320"/>
      <c r="Z75" s="320"/>
      <c r="AB75" s="320"/>
    </row>
    <row r="76" spans="1:28">
      <c r="C76" s="426"/>
      <c r="D76" s="426"/>
      <c r="E76" s="426"/>
      <c r="F76" s="426"/>
      <c r="G76" s="426"/>
      <c r="H76" s="426"/>
      <c r="I76" s="426"/>
      <c r="J76" s="426"/>
      <c r="K76" s="408"/>
      <c r="L76" s="409"/>
      <c r="M76" s="383"/>
      <c r="Q76" s="430"/>
      <c r="X76" s="320"/>
      <c r="Y76" s="433"/>
      <c r="Z76" s="320"/>
      <c r="AB76" s="320"/>
    </row>
    <row r="77" spans="1:28">
      <c r="C77" s="426"/>
      <c r="D77" s="426"/>
      <c r="E77" s="426"/>
      <c r="F77" s="426"/>
      <c r="G77" s="426"/>
      <c r="H77" s="426"/>
      <c r="I77" s="426"/>
      <c r="J77" s="426"/>
      <c r="K77" s="408"/>
      <c r="L77" s="409"/>
      <c r="M77" s="383"/>
      <c r="Q77" s="430"/>
      <c r="X77" s="320"/>
      <c r="Y77" s="433"/>
      <c r="Z77" s="320"/>
      <c r="AB77" s="320"/>
    </row>
    <row r="78" spans="1:28">
      <c r="A78" s="384"/>
      <c r="C78" s="426"/>
      <c r="D78" s="426"/>
      <c r="E78" s="426"/>
      <c r="F78" s="426"/>
      <c r="G78" s="426"/>
      <c r="H78" s="426"/>
      <c r="I78" s="426"/>
      <c r="J78" s="426"/>
      <c r="K78" s="408"/>
      <c r="L78" s="409"/>
      <c r="M78" s="383"/>
      <c r="X78" s="320"/>
      <c r="Y78" s="433"/>
      <c r="Z78" s="320"/>
      <c r="AB78" s="320"/>
    </row>
    <row r="79" spans="1:28">
      <c r="C79" s="426"/>
      <c r="D79" s="426"/>
      <c r="E79" s="426"/>
      <c r="F79" s="426"/>
      <c r="G79" s="426"/>
      <c r="H79" s="426"/>
      <c r="I79" s="426"/>
      <c r="J79" s="426"/>
      <c r="K79" s="408"/>
      <c r="L79" s="409"/>
      <c r="M79" s="383"/>
      <c r="X79" s="320"/>
      <c r="Y79" s="433"/>
      <c r="Z79" s="320"/>
      <c r="AB79" s="320"/>
    </row>
    <row r="80" spans="1:28">
      <c r="A80" s="384"/>
      <c r="C80" s="426"/>
      <c r="D80" s="426"/>
      <c r="E80" s="426"/>
      <c r="F80" s="426"/>
      <c r="G80" s="426"/>
      <c r="H80" s="426"/>
      <c r="I80" s="426"/>
      <c r="J80" s="426"/>
      <c r="K80" s="408"/>
      <c r="L80" s="409"/>
      <c r="M80" s="383"/>
      <c r="Q80" s="392"/>
      <c r="X80" s="320"/>
      <c r="Y80" s="433"/>
      <c r="Z80" s="320"/>
      <c r="AB80" s="320"/>
    </row>
    <row r="81" spans="1:28">
      <c r="A81" s="384"/>
      <c r="C81" s="426"/>
      <c r="D81" s="426"/>
      <c r="E81" s="426"/>
      <c r="F81" s="426"/>
      <c r="G81" s="426"/>
      <c r="H81" s="426"/>
      <c r="I81" s="426"/>
      <c r="J81" s="426"/>
      <c r="K81" s="408"/>
      <c r="L81" s="409"/>
      <c r="M81" s="383"/>
      <c r="X81" s="320"/>
      <c r="Y81" s="409"/>
      <c r="Z81" s="320"/>
      <c r="AB81" s="320"/>
    </row>
    <row r="82" spans="1:28">
      <c r="C82" s="426"/>
      <c r="D82" s="426"/>
      <c r="E82" s="426"/>
      <c r="F82" s="426"/>
      <c r="G82" s="426"/>
      <c r="H82" s="426"/>
      <c r="I82" s="426"/>
      <c r="J82" s="426"/>
      <c r="K82" s="408"/>
      <c r="L82" s="409"/>
      <c r="M82" s="383"/>
      <c r="X82" s="320"/>
      <c r="Y82" s="433"/>
      <c r="Z82" s="320"/>
      <c r="AB82" s="320"/>
    </row>
    <row r="83" spans="1:28">
      <c r="A83" s="384"/>
      <c r="C83" s="426"/>
      <c r="D83" s="426"/>
      <c r="E83" s="426"/>
      <c r="F83" s="426"/>
      <c r="G83" s="428"/>
      <c r="H83" s="426"/>
      <c r="I83" s="426"/>
      <c r="J83" s="426"/>
      <c r="K83" s="408"/>
      <c r="L83" s="409"/>
      <c r="M83" s="383"/>
      <c r="Q83" s="392"/>
      <c r="R83" s="392"/>
      <c r="X83" s="320"/>
      <c r="Y83" s="433"/>
      <c r="Z83" s="320"/>
      <c r="AB83" s="320"/>
    </row>
    <row r="84" spans="1:28">
      <c r="C84" s="426"/>
      <c r="D84" s="426"/>
      <c r="E84" s="426"/>
      <c r="F84" s="426"/>
      <c r="G84" s="426"/>
      <c r="H84" s="426"/>
      <c r="I84" s="426"/>
      <c r="J84" s="426"/>
      <c r="K84" s="408"/>
      <c r="L84" s="409"/>
      <c r="M84" s="383"/>
      <c r="X84" s="320"/>
      <c r="Y84" s="433"/>
      <c r="Z84" s="320"/>
      <c r="AB84" s="320"/>
    </row>
    <row r="85" spans="1:28">
      <c r="C85" s="426"/>
      <c r="D85" s="426"/>
      <c r="E85" s="426"/>
      <c r="F85" s="426"/>
      <c r="G85" s="426"/>
      <c r="H85" s="426"/>
      <c r="I85" s="426"/>
      <c r="J85" s="426"/>
      <c r="K85" s="408"/>
      <c r="L85" s="409"/>
      <c r="M85" s="383"/>
      <c r="X85" s="320"/>
      <c r="Y85" s="433"/>
      <c r="Z85" s="320"/>
      <c r="AB85" s="320"/>
    </row>
    <row r="86" spans="1:28">
      <c r="C86" s="426"/>
      <c r="D86" s="426"/>
      <c r="E86" s="426"/>
      <c r="F86" s="426"/>
      <c r="G86" s="426"/>
      <c r="H86" s="426"/>
      <c r="I86" s="426"/>
      <c r="J86" s="426"/>
      <c r="K86" s="408"/>
      <c r="L86" s="409"/>
      <c r="M86" s="383"/>
      <c r="Q86" s="392"/>
      <c r="X86" s="320"/>
      <c r="Y86" s="433"/>
      <c r="Z86" s="320"/>
      <c r="AB86" s="320"/>
    </row>
    <row r="87" spans="1:28">
      <c r="K87" s="383"/>
      <c r="L87" s="384"/>
      <c r="M87" s="383"/>
      <c r="Y87" s="320"/>
      <c r="Z87" s="433"/>
      <c r="AB87" s="320"/>
    </row>
    <row r="88" spans="1:28">
      <c r="K88" s="383"/>
      <c r="L88" s="384"/>
      <c r="M88" s="383"/>
      <c r="Z88" s="320"/>
      <c r="AA88" s="433"/>
      <c r="AB88" s="320"/>
    </row>
    <row r="89" spans="1:28">
      <c r="K89" s="383"/>
      <c r="L89" s="384"/>
      <c r="M89" s="383"/>
      <c r="Z89" s="320"/>
      <c r="AA89" s="433"/>
      <c r="AB89" s="320"/>
    </row>
    <row r="90" spans="1:28">
      <c r="K90" s="383"/>
      <c r="L90" s="384"/>
      <c r="M90" s="383"/>
      <c r="Z90" s="320"/>
      <c r="AA90" s="409"/>
      <c r="AB90" s="320"/>
    </row>
    <row r="91" spans="1:28">
      <c r="K91" s="383"/>
      <c r="L91" s="384"/>
      <c r="M91" s="383"/>
      <c r="Z91" s="320"/>
      <c r="AA91" s="433"/>
      <c r="AB91" s="320"/>
    </row>
    <row r="92" spans="1:28">
      <c r="K92" s="383"/>
      <c r="L92" s="384"/>
      <c r="M92" s="383"/>
      <c r="Z92" s="320"/>
      <c r="AA92" s="433"/>
      <c r="AB92" s="320"/>
    </row>
    <row r="93" spans="1:28">
      <c r="K93" s="383"/>
      <c r="L93" s="384"/>
      <c r="M93" s="383"/>
      <c r="Z93" s="320"/>
      <c r="AA93" s="433"/>
      <c r="AB93" s="320"/>
    </row>
    <row r="94" spans="1:28">
      <c r="K94" s="383"/>
      <c r="L94" s="384"/>
      <c r="M94" s="383"/>
      <c r="Z94" s="320"/>
      <c r="AA94" s="433"/>
      <c r="AB94" s="320"/>
    </row>
    <row r="95" spans="1:28">
      <c r="K95" s="383"/>
      <c r="L95" s="384"/>
      <c r="M95" s="383"/>
      <c r="Z95" s="320"/>
      <c r="AA95" s="433"/>
      <c r="AB95" s="320"/>
    </row>
    <row r="96" spans="1:28">
      <c r="K96" s="383"/>
      <c r="L96" s="384"/>
      <c r="M96" s="383"/>
      <c r="Z96" s="320"/>
      <c r="AA96" s="433"/>
      <c r="AB96" s="320"/>
    </row>
    <row r="97" spans="28:28">
      <c r="AB97" s="433"/>
    </row>
    <row r="98" spans="28:28">
      <c r="AB98" s="433"/>
    </row>
    <row r="99" spans="28:28">
      <c r="AB99" s="409"/>
    </row>
    <row r="100" spans="28:28">
      <c r="AB100" s="433"/>
    </row>
    <row r="101" spans="28:28">
      <c r="AB101" s="433"/>
    </row>
    <row r="102" spans="28:28">
      <c r="AB102" s="433"/>
    </row>
    <row r="103" spans="28:28">
      <c r="AB103" s="433"/>
    </row>
    <row r="104" spans="28:28">
      <c r="AB104" s="433"/>
    </row>
    <row r="105" spans="28:28">
      <c r="AB105" s="433"/>
    </row>
    <row r="106" spans="28:28">
      <c r="AB106" s="433"/>
    </row>
    <row r="107" spans="28:28">
      <c r="AB107" s="433"/>
    </row>
  </sheetData>
  <mergeCells count="14">
    <mergeCell ref="A21:B21"/>
    <mergeCell ref="A32:C32"/>
    <mergeCell ref="A1:J1"/>
    <mergeCell ref="A3:A4"/>
    <mergeCell ref="B3:C3"/>
    <mergeCell ref="D3:D4"/>
    <mergeCell ref="E3:F3"/>
    <mergeCell ref="L21:M21"/>
    <mergeCell ref="L32:N32"/>
    <mergeCell ref="L1:U1"/>
    <mergeCell ref="L3:L4"/>
    <mergeCell ref="M3:N3"/>
    <mergeCell ref="O3:O4"/>
    <mergeCell ref="P3:Q3"/>
  </mergeCells>
  <phoneticPr fontId="2" type="noConversion"/>
  <printOptions horizontalCentered="1" verticalCentered="1"/>
  <pageMargins left="0.25" right="0.25" top="0.25" bottom="0.25" header="0.5" footer="0.5"/>
  <pageSetup scale="85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4"/>
  <dimension ref="A1:Q37"/>
  <sheetViews>
    <sheetView workbookViewId="0">
      <selection activeCell="E14" sqref="E14"/>
    </sheetView>
  </sheetViews>
  <sheetFormatPr defaultColWidth="9.08984375" defaultRowHeight="13.5"/>
  <cols>
    <col min="1" max="1" width="6.36328125" style="83" bestFit="1" customWidth="1"/>
    <col min="2" max="2" width="7.54296875" style="134" customWidth="1"/>
    <col min="3" max="3" width="10" style="83" customWidth="1"/>
    <col min="4" max="4" width="10.81640625" style="83" customWidth="1"/>
    <col min="5" max="5" width="10.08984375" style="83" customWidth="1"/>
    <col min="6" max="6" width="10" style="83" customWidth="1"/>
    <col min="7" max="7" width="10.08984375" style="83" customWidth="1"/>
    <col min="8" max="9" width="9.54296875" style="83" customWidth="1"/>
    <col min="10" max="10" width="9.81640625" style="119" customWidth="1"/>
    <col min="11" max="11" width="9.08984375" style="119"/>
    <col min="12" max="12" width="11.54296875" style="119" customWidth="1"/>
    <col min="13" max="16384" width="9.08984375" style="119"/>
  </cols>
  <sheetData>
    <row r="1" spans="1:14" ht="20.5">
      <c r="A1" s="650" t="s">
        <v>472</v>
      </c>
      <c r="B1" s="650"/>
      <c r="C1" s="650"/>
      <c r="D1" s="650"/>
      <c r="E1" s="650"/>
      <c r="F1" s="650"/>
      <c r="G1" s="650"/>
      <c r="H1" s="650"/>
      <c r="I1" s="118"/>
      <c r="J1" s="118"/>
    </row>
    <row r="2" spans="1:14" ht="25.5" customHeight="1">
      <c r="A2" s="651" t="s">
        <v>233</v>
      </c>
      <c r="B2" s="651"/>
      <c r="C2" s="651"/>
      <c r="D2" s="651"/>
      <c r="E2" s="651"/>
      <c r="F2" s="651"/>
      <c r="G2" s="651"/>
      <c r="H2" s="651"/>
      <c r="I2" s="121"/>
      <c r="J2" s="120"/>
      <c r="K2" s="83"/>
      <c r="L2" s="83"/>
      <c r="M2" s="83"/>
      <c r="N2" s="83"/>
    </row>
    <row r="3" spans="1:14" ht="9" customHeight="1">
      <c r="A3" s="122"/>
      <c r="B3" s="122"/>
      <c r="C3" s="122"/>
      <c r="D3" s="122"/>
      <c r="E3" s="122"/>
      <c r="F3" s="122"/>
      <c r="G3" s="122"/>
      <c r="H3" s="122"/>
      <c r="I3" s="123"/>
      <c r="J3" s="83"/>
      <c r="K3" s="83"/>
      <c r="L3" s="83"/>
      <c r="M3" s="83"/>
      <c r="N3" s="83"/>
    </row>
    <row r="4" spans="1:14" ht="40.5">
      <c r="A4" s="124" t="s">
        <v>412</v>
      </c>
      <c r="B4" s="125" t="s">
        <v>962</v>
      </c>
      <c r="C4" s="37" t="s">
        <v>541</v>
      </c>
      <c r="D4" s="37" t="s">
        <v>606</v>
      </c>
      <c r="E4" s="37" t="s">
        <v>596</v>
      </c>
      <c r="F4" s="37" t="s">
        <v>242</v>
      </c>
      <c r="G4" s="37" t="s">
        <v>416</v>
      </c>
      <c r="H4" s="37"/>
      <c r="I4" s="119"/>
      <c r="J4" s="83" t="s">
        <v>91</v>
      </c>
      <c r="K4" s="83"/>
      <c r="L4" s="83"/>
      <c r="M4" s="83"/>
      <c r="N4" s="83"/>
    </row>
    <row r="5" spans="1:14" ht="14.5">
      <c r="A5" s="126">
        <v>2.5</v>
      </c>
      <c r="B5" s="127" t="s">
        <v>640</v>
      </c>
      <c r="C5" s="128" t="s">
        <v>607</v>
      </c>
      <c r="D5" s="128" t="s">
        <v>189</v>
      </c>
      <c r="E5" s="147">
        <v>360</v>
      </c>
      <c r="F5" s="147">
        <v>12</v>
      </c>
      <c r="G5" s="649">
        <v>100</v>
      </c>
      <c r="H5" s="129"/>
      <c r="I5" s="119"/>
      <c r="J5" s="83" t="str">
        <f>IF(AND(Data!B$3="VA",Data!B$4=2.5),E5+Data!B$8*VA!F5,"")</f>
        <v/>
      </c>
      <c r="K5" s="83"/>
      <c r="L5" s="83"/>
      <c r="M5" s="83"/>
      <c r="N5" s="83"/>
    </row>
    <row r="6" spans="1:14" ht="14.5">
      <c r="A6" s="130">
        <v>3.25</v>
      </c>
      <c r="B6" s="127" t="s">
        <v>686</v>
      </c>
      <c r="C6" s="131" t="s">
        <v>856</v>
      </c>
      <c r="D6" s="131" t="s">
        <v>392</v>
      </c>
      <c r="E6" s="147">
        <v>420</v>
      </c>
      <c r="F6" s="147">
        <v>13</v>
      </c>
      <c r="G6" s="649"/>
      <c r="H6" s="129"/>
      <c r="I6" s="119"/>
      <c r="J6" s="83" t="str">
        <f>IF(AND(Data!B$3="VA",Data!B$4=3.25),E6+Data!B$8*VA!F6,"")</f>
        <v/>
      </c>
      <c r="K6" s="83"/>
      <c r="L6" s="83"/>
      <c r="M6" s="83"/>
      <c r="N6" s="83"/>
    </row>
    <row r="7" spans="1:14" ht="14.5">
      <c r="A7" s="126">
        <v>4</v>
      </c>
      <c r="B7" s="127" t="s">
        <v>686</v>
      </c>
      <c r="C7" s="128" t="s">
        <v>607</v>
      </c>
      <c r="D7" s="128" t="s">
        <v>189</v>
      </c>
      <c r="E7" s="147">
        <v>510</v>
      </c>
      <c r="F7" s="147">
        <v>15</v>
      </c>
      <c r="G7" s="649"/>
      <c r="H7" s="129"/>
      <c r="I7" s="119"/>
      <c r="J7" s="83" t="str">
        <f>IF(AND(Data!B$3="VA",Data!B$4=4),E7+Data!B$8*VA!F7,"")</f>
        <v/>
      </c>
      <c r="K7" s="83"/>
      <c r="L7" s="83"/>
      <c r="M7" s="83"/>
      <c r="N7" s="83"/>
    </row>
    <row r="8" spans="1:14" ht="14.5">
      <c r="A8" s="126">
        <v>5</v>
      </c>
      <c r="B8" s="127" t="s">
        <v>686</v>
      </c>
      <c r="C8" s="128" t="s">
        <v>856</v>
      </c>
      <c r="D8" s="128" t="s">
        <v>392</v>
      </c>
      <c r="E8" s="147">
        <v>600</v>
      </c>
      <c r="F8" s="147">
        <v>18</v>
      </c>
      <c r="G8" s="649"/>
      <c r="H8" s="129"/>
      <c r="I8" s="119"/>
      <c r="J8" s="83" t="str">
        <f>IF(AND(Data!B$3="VA",Data!B$4=5),E8+Data!B$8*VA!F8,"")</f>
        <v/>
      </c>
      <c r="K8" s="83"/>
      <c r="L8" s="83"/>
      <c r="M8" s="83"/>
      <c r="N8" s="83"/>
    </row>
    <row r="9" spans="1:14" ht="14.5">
      <c r="A9" s="126">
        <v>6</v>
      </c>
      <c r="B9" s="127" t="s">
        <v>686</v>
      </c>
      <c r="C9" s="132" t="s">
        <v>857</v>
      </c>
      <c r="D9" s="128" t="s">
        <v>858</v>
      </c>
      <c r="E9" s="147">
        <v>690</v>
      </c>
      <c r="F9" s="147">
        <v>21</v>
      </c>
      <c r="G9" s="649"/>
      <c r="H9" s="129"/>
      <c r="I9" s="119"/>
      <c r="J9" s="83" t="str">
        <f>IF(AND(Data!B$3="VA",Data!B$4=6),E9+Data!B$8*VA!F9,"")</f>
        <v/>
      </c>
      <c r="K9" s="83"/>
      <c r="L9" s="83"/>
      <c r="M9" s="83"/>
      <c r="N9" s="83"/>
    </row>
    <row r="10" spans="1:14" ht="14.5">
      <c r="A10" s="126">
        <v>7</v>
      </c>
      <c r="B10" s="127" t="s">
        <v>686</v>
      </c>
      <c r="C10" s="128" t="s">
        <v>607</v>
      </c>
      <c r="D10" s="128" t="s">
        <v>189</v>
      </c>
      <c r="E10" s="147">
        <v>900</v>
      </c>
      <c r="F10" s="147">
        <v>28</v>
      </c>
      <c r="G10" s="649"/>
      <c r="H10" s="129"/>
      <c r="I10" s="119"/>
      <c r="J10" s="83" t="str">
        <f>IF(AND(Data!B$3="VA",Data!B$4=7),E10+Data!B$8*VA!F10,"")</f>
        <v/>
      </c>
      <c r="K10" s="83"/>
      <c r="L10" s="83"/>
      <c r="M10" s="83"/>
      <c r="N10" s="83"/>
    </row>
    <row r="11" spans="1:14" ht="14.5">
      <c r="A11" s="126">
        <v>8</v>
      </c>
      <c r="B11" s="127" t="s">
        <v>686</v>
      </c>
      <c r="C11" s="128" t="s">
        <v>856</v>
      </c>
      <c r="D11" s="128" t="s">
        <v>392</v>
      </c>
      <c r="E11" s="147">
        <v>960</v>
      </c>
      <c r="F11" s="147">
        <v>39</v>
      </c>
      <c r="G11" s="649"/>
      <c r="H11" s="129"/>
      <c r="I11" s="119"/>
      <c r="J11" s="83" t="str">
        <f>IF(AND(Data!B$3="VA",Data!B$4=8),E11+Data!B$8*VA!F11,"")</f>
        <v/>
      </c>
      <c r="K11" s="83"/>
      <c r="L11" s="83"/>
      <c r="M11" s="83"/>
      <c r="N11" s="83"/>
    </row>
    <row r="12" spans="1:14" ht="14.5">
      <c r="A12" s="126">
        <v>10</v>
      </c>
      <c r="B12" s="127" t="s">
        <v>686</v>
      </c>
      <c r="C12" s="133" t="s">
        <v>856</v>
      </c>
      <c r="D12" s="133" t="s">
        <v>392</v>
      </c>
      <c r="E12" s="147">
        <v>1200</v>
      </c>
      <c r="F12" s="147">
        <v>51</v>
      </c>
      <c r="G12" s="649"/>
      <c r="H12" s="129"/>
      <c r="I12" s="119"/>
      <c r="J12" s="83" t="str">
        <f>IF(AND(Data!B$3="VA",Data!B$4=10),E12+Data!B$8*VA!F12,"")</f>
        <v/>
      </c>
      <c r="K12" s="83"/>
      <c r="L12" s="83"/>
      <c r="M12" s="83"/>
      <c r="N12" s="83"/>
    </row>
    <row r="13" spans="1:14" ht="14.5">
      <c r="A13" s="126">
        <v>12</v>
      </c>
      <c r="B13" s="127" t="s">
        <v>216</v>
      </c>
      <c r="C13" s="132" t="s">
        <v>857</v>
      </c>
      <c r="D13" s="131" t="s">
        <v>858</v>
      </c>
      <c r="E13" s="147">
        <v>2100</v>
      </c>
      <c r="F13" s="147">
        <v>68</v>
      </c>
      <c r="G13" s="649"/>
      <c r="H13" s="129"/>
      <c r="I13" s="119"/>
      <c r="J13" s="83" t="str">
        <f>IF(AND(Data!B$3="VA",Data!B$4=12),E13+Data!B$8*VA!F13,"")</f>
        <v/>
      </c>
      <c r="K13" s="83"/>
      <c r="L13" s="83"/>
      <c r="M13" s="83"/>
      <c r="N13" s="83"/>
    </row>
    <row r="14" spans="1:14" ht="14.5">
      <c r="A14" s="126">
        <v>14</v>
      </c>
      <c r="B14" s="127" t="s">
        <v>216</v>
      </c>
      <c r="C14" s="131" t="s">
        <v>857</v>
      </c>
      <c r="D14" s="131" t="s">
        <v>251</v>
      </c>
      <c r="E14" s="147">
        <v>2800</v>
      </c>
      <c r="F14" s="147">
        <v>72</v>
      </c>
      <c r="G14" s="649"/>
      <c r="H14" s="129"/>
      <c r="I14" s="119"/>
      <c r="J14" s="83" t="str">
        <f>IF(AND(Data!B$3="VA",Data!B$4=14),E14+Data!B$8*VA!F14,"")</f>
        <v/>
      </c>
      <c r="K14" s="83"/>
      <c r="L14" s="83"/>
      <c r="M14" s="83"/>
      <c r="N14" s="83"/>
    </row>
    <row r="15" spans="1:14" ht="14.5">
      <c r="A15" s="126">
        <v>16</v>
      </c>
      <c r="B15" s="127" t="s">
        <v>113</v>
      </c>
      <c r="C15" s="128" t="s">
        <v>857</v>
      </c>
      <c r="D15" s="128" t="s">
        <v>858</v>
      </c>
      <c r="E15" s="147">
        <v>5400</v>
      </c>
      <c r="F15" s="147">
        <v>258</v>
      </c>
      <c r="G15" s="649"/>
      <c r="H15" s="129"/>
      <c r="I15" s="119"/>
      <c r="J15" s="83" t="str">
        <f>IF(AND(Data!B$3="VA",Data!B$4=16),E15+Data!B$8*VA!F15,"")</f>
        <v/>
      </c>
      <c r="K15" s="83"/>
      <c r="L15" s="83"/>
      <c r="M15" s="83"/>
      <c r="N15" s="83"/>
    </row>
    <row r="16" spans="1:14" ht="14.5">
      <c r="A16" s="126">
        <v>18</v>
      </c>
      <c r="B16" s="127" t="s">
        <v>114</v>
      </c>
      <c r="C16" s="131" t="s">
        <v>521</v>
      </c>
      <c r="D16" s="131" t="s">
        <v>602</v>
      </c>
      <c r="E16" s="147">
        <v>9000</v>
      </c>
      <c r="F16" s="147">
        <v>317</v>
      </c>
      <c r="G16" s="649"/>
      <c r="H16" s="129"/>
      <c r="I16" s="119"/>
      <c r="J16" s="83" t="str">
        <f>IF(AND(Data!B$3="VA",Data!B$4=18),E16+Data!B$8*VA!F16,"")</f>
        <v/>
      </c>
      <c r="K16" s="83"/>
      <c r="L16" s="83"/>
      <c r="M16" s="83"/>
      <c r="N16" s="83"/>
    </row>
    <row r="17" spans="1:17" ht="14.5">
      <c r="A17" s="126">
        <v>20</v>
      </c>
      <c r="B17" s="127" t="s">
        <v>114</v>
      </c>
      <c r="C17" s="131" t="s">
        <v>521</v>
      </c>
      <c r="D17" s="131" t="s">
        <v>602</v>
      </c>
      <c r="E17" s="147">
        <v>9500</v>
      </c>
      <c r="F17" s="147">
        <v>399</v>
      </c>
      <c r="G17" s="649"/>
      <c r="H17" s="129"/>
      <c r="I17" s="119"/>
      <c r="J17" s="83" t="str">
        <f>IF(AND(Data!B$3="VA",Data!B$4=20),E17+Data!B$8*VA!F17,"")</f>
        <v/>
      </c>
      <c r="K17" s="83"/>
      <c r="L17" s="83"/>
      <c r="M17" s="83"/>
      <c r="N17" s="83"/>
    </row>
    <row r="18" spans="1:17" ht="14.5">
      <c r="A18" s="126">
        <v>22</v>
      </c>
      <c r="B18" s="127" t="s">
        <v>155</v>
      </c>
      <c r="C18" s="131" t="s">
        <v>619</v>
      </c>
      <c r="D18" s="131" t="s">
        <v>721</v>
      </c>
      <c r="E18" s="147">
        <v>10000</v>
      </c>
      <c r="F18" s="147">
        <v>511</v>
      </c>
      <c r="G18" s="649"/>
      <c r="H18" s="129"/>
      <c r="I18" s="119"/>
      <c r="J18" s="83" t="str">
        <f>IF(AND(Data!B$3="VA",Data!B$4=22),E18+Data!B$8*VA!F18,"")</f>
        <v/>
      </c>
      <c r="K18" s="83"/>
      <c r="L18" s="83"/>
      <c r="M18" s="83"/>
      <c r="N18" s="83"/>
    </row>
    <row r="19" spans="1:17">
      <c r="H19" s="119"/>
      <c r="I19" s="119"/>
      <c r="J19" s="83">
        <f>SUM(J5:J18)</f>
        <v>0</v>
      </c>
      <c r="K19" s="83"/>
      <c r="L19" s="83"/>
      <c r="M19" s="83"/>
      <c r="N19" s="83"/>
    </row>
    <row r="20" spans="1:17" ht="15.5">
      <c r="A20" s="121" t="s">
        <v>501</v>
      </c>
      <c r="B20" s="121"/>
      <c r="C20" s="121"/>
      <c r="D20" s="121"/>
      <c r="E20" s="121"/>
      <c r="F20" s="121"/>
      <c r="G20" s="121"/>
      <c r="H20" s="121"/>
      <c r="I20" s="121"/>
      <c r="J20" s="120" t="s">
        <v>671</v>
      </c>
      <c r="K20" s="83">
        <f>SUM(J37:N37)+J19</f>
        <v>0</v>
      </c>
      <c r="L20" s="83"/>
      <c r="M20" s="83"/>
      <c r="N20" s="83"/>
    </row>
    <row r="21" spans="1:17" ht="15" customHeight="1">
      <c r="G21" s="119"/>
      <c r="H21" s="135"/>
      <c r="I21" s="119"/>
      <c r="J21" s="136"/>
      <c r="K21" s="83"/>
      <c r="L21" s="83"/>
      <c r="M21" s="83"/>
      <c r="N21" s="83"/>
    </row>
    <row r="22" spans="1:17" ht="50.25" customHeight="1">
      <c r="A22" s="37" t="s">
        <v>440</v>
      </c>
      <c r="B22" s="125" t="s">
        <v>382</v>
      </c>
      <c r="C22" s="37" t="s">
        <v>617</v>
      </c>
      <c r="D22" s="37" t="s">
        <v>618</v>
      </c>
      <c r="E22" s="37" t="s">
        <v>341</v>
      </c>
      <c r="F22" s="37" t="s">
        <v>410</v>
      </c>
      <c r="G22" s="37" t="s">
        <v>284</v>
      </c>
      <c r="H22" s="37" t="s">
        <v>503</v>
      </c>
      <c r="I22" s="119"/>
      <c r="J22" s="83"/>
      <c r="K22" s="83"/>
      <c r="L22" s="83"/>
      <c r="M22" s="83"/>
      <c r="N22" s="83"/>
    </row>
    <row r="23" spans="1:17" ht="14.5">
      <c r="A23" s="128">
        <v>2.5</v>
      </c>
      <c r="B23" s="127" t="s">
        <v>640</v>
      </c>
      <c r="C23" s="147">
        <v>6</v>
      </c>
      <c r="D23" s="147">
        <v>3</v>
      </c>
      <c r="E23" s="147">
        <v>22</v>
      </c>
      <c r="F23" s="147">
        <v>8</v>
      </c>
      <c r="G23" s="147">
        <v>73</v>
      </c>
      <c r="H23" s="147">
        <v>5</v>
      </c>
      <c r="I23" s="119"/>
      <c r="J23" s="83" t="str">
        <f>IF(AND(Data!$B$3="VA",Data!B$4=A23,Data!$B$27&gt;0.001),C23*Data!$B$27,"")</f>
        <v/>
      </c>
      <c r="K23" s="83" t="str">
        <f>IF(AND(Data!$B$3="VA",Data!B$4=A23,Data!$B$11&gt;0.001),D23*Data!$B$11,"")</f>
        <v/>
      </c>
      <c r="L23" s="83" t="str">
        <f>IF(AND(Data!$B$3="VA",Data!B$4=A23,Data!$B$17="Y"),E23+F23*Data!$B$8,"")</f>
        <v/>
      </c>
      <c r="M23" s="83" t="str">
        <f>IF(AND(Data!$B$3="VA",Data!B$4=A23,Data!$B$10="V"),G23,"")</f>
        <v/>
      </c>
      <c r="N23" s="83" t="str">
        <f>IF(AND(Data!$B$3="VA",Data!B$4=A23,Data!$B$25&gt;0.001),H23*Data!$B$27,"")</f>
        <v/>
      </c>
      <c r="O23" s="83"/>
      <c r="P23" s="83"/>
      <c r="Q23" s="83"/>
    </row>
    <row r="24" spans="1:17" ht="14.5">
      <c r="A24" s="128">
        <v>3.25</v>
      </c>
      <c r="B24" s="127" t="s">
        <v>686</v>
      </c>
      <c r="C24" s="147">
        <v>7</v>
      </c>
      <c r="D24" s="147">
        <v>4</v>
      </c>
      <c r="E24" s="147">
        <v>41</v>
      </c>
      <c r="F24" s="147">
        <v>12</v>
      </c>
      <c r="G24" s="147">
        <v>87</v>
      </c>
      <c r="H24" s="147">
        <v>8</v>
      </c>
      <c r="I24" s="119"/>
      <c r="J24" s="83" t="str">
        <f>IF(AND(Data!$B$3="VA",Data!B$4=A24,Data!$B$27&gt;0.001),C24*Data!$B$27,"")</f>
        <v/>
      </c>
      <c r="K24" s="83" t="str">
        <f>IF(AND(Data!$B$3="VA",Data!B$4=A24,Data!$B$11&gt;0.001),D24*Data!$B$11,"")</f>
        <v/>
      </c>
      <c r="L24" s="83" t="str">
        <f>IF(AND(Data!$B$3="VA",Data!B$4=A24,Data!$B$17="Y"),E24+F24*Data!$B$8,"")</f>
        <v/>
      </c>
      <c r="M24" s="83" t="str">
        <f>IF(AND(Data!$B$3="VA",Data!B$4=A24,Data!$B$10="V"),G24,"")</f>
        <v/>
      </c>
      <c r="N24" s="83" t="str">
        <f>IF(AND(Data!$B$3="VA",Data!B$4=A24,Data!$B$25&gt;0.001),H24*Data!$B$27,"")</f>
        <v/>
      </c>
    </row>
    <row r="25" spans="1:17" ht="14.5">
      <c r="A25" s="128">
        <v>4</v>
      </c>
      <c r="B25" s="127" t="s">
        <v>686</v>
      </c>
      <c r="C25" s="147">
        <v>7</v>
      </c>
      <c r="D25" s="147">
        <v>4</v>
      </c>
      <c r="E25" s="147">
        <v>41</v>
      </c>
      <c r="F25" s="147">
        <v>12</v>
      </c>
      <c r="G25" s="147">
        <v>92</v>
      </c>
      <c r="H25" s="147">
        <v>8</v>
      </c>
      <c r="I25" s="119"/>
      <c r="J25" s="83" t="str">
        <f>IF(AND(Data!$B$3="VA",Data!B$4=A25,Data!$B$27&gt;0.001),C25*Data!$B$27,"")</f>
        <v/>
      </c>
      <c r="K25" s="83" t="str">
        <f>IF(AND(Data!$B$3="VA",Data!B$4=A25,Data!$B$11&gt;0.001),D25*Data!$B$11,"")</f>
        <v/>
      </c>
      <c r="L25" s="83" t="str">
        <f>IF(AND(Data!$B$3="VA",Data!B$4=A25,Data!$B$17="Y"),E25+F25*Data!$B$8,"")</f>
        <v/>
      </c>
      <c r="M25" s="83" t="str">
        <f>IF(AND(Data!$B$3="VA",Data!B$4=A25,Data!$B$10="V"),G25,"")</f>
        <v/>
      </c>
      <c r="N25" s="83" t="str">
        <f>IF(AND(Data!$B$3="VA",Data!B$4=A25,Data!$B$25&gt;0.001),H25*Data!$B$27,"")</f>
        <v/>
      </c>
    </row>
    <row r="26" spans="1:17" ht="14.5">
      <c r="A26" s="128">
        <v>5</v>
      </c>
      <c r="B26" s="127" t="s">
        <v>686</v>
      </c>
      <c r="C26" s="147">
        <v>7</v>
      </c>
      <c r="D26" s="147">
        <v>4</v>
      </c>
      <c r="E26" s="147">
        <v>41</v>
      </c>
      <c r="F26" s="147">
        <v>12</v>
      </c>
      <c r="G26" s="147">
        <v>118</v>
      </c>
      <c r="H26" s="147">
        <v>8</v>
      </c>
      <c r="I26" s="119"/>
      <c r="J26" s="83" t="str">
        <f>IF(AND(Data!$B$3="VA",Data!B$4=A26,Data!$B$27&gt;0.001),C26*Data!$B$27,"")</f>
        <v/>
      </c>
      <c r="K26" s="83" t="str">
        <f>IF(AND(Data!$B$3="VA",Data!B$4=A26,Data!$B$11&gt;0.001),D26*Data!$B$11,"")</f>
        <v/>
      </c>
      <c r="L26" s="83" t="str">
        <f>IF(AND(Data!$B$3="VA",Data!B$4=A26,Data!$B$17="Y"),E26+F26*Data!$B$8,"")</f>
        <v/>
      </c>
      <c r="M26" s="83" t="str">
        <f>IF(AND(Data!$B$3="VA",Data!B$4=A26,Data!$B$10="V"),G26,"")</f>
        <v/>
      </c>
      <c r="N26" s="83" t="str">
        <f>IF(AND(Data!$B$3="VA",Data!B$4=A26,Data!$B$25&gt;0.001),H26*Data!$B$27,"")</f>
        <v/>
      </c>
    </row>
    <row r="27" spans="1:17" ht="14.5">
      <c r="A27" s="128">
        <v>6</v>
      </c>
      <c r="B27" s="127" t="s">
        <v>686</v>
      </c>
      <c r="C27" s="147">
        <v>7</v>
      </c>
      <c r="D27" s="147">
        <v>4</v>
      </c>
      <c r="E27" s="147">
        <v>41</v>
      </c>
      <c r="F27" s="147">
        <v>12</v>
      </c>
      <c r="G27" s="147">
        <v>168</v>
      </c>
      <c r="H27" s="147">
        <v>8</v>
      </c>
      <c r="I27" s="119"/>
      <c r="J27" s="83" t="str">
        <f>IF(AND(Data!$B$3="VA",Data!B$4=A27,Data!$B$27&gt;0.001),C27*Data!$B$27,"")</f>
        <v/>
      </c>
      <c r="K27" s="83" t="str">
        <f>IF(AND(Data!$B$3="VA",Data!B$4=A27,Data!$B$11&gt;0.001),D27*Data!$B$11,"")</f>
        <v/>
      </c>
      <c r="L27" s="83" t="str">
        <f>IF(AND(Data!$B$3="VA",Data!B$4=A27,Data!$B$17="Y"),E27+F27*Data!$B$8,"")</f>
        <v/>
      </c>
      <c r="M27" s="83" t="str">
        <f>IF(AND(Data!$B$3="VA",Data!B$4=A27,Data!$B$10="V"),G27,"")</f>
        <v/>
      </c>
      <c r="N27" s="83" t="str">
        <f>IF(AND(Data!$B$3="VA",Data!B$4=A27,Data!$B$25&gt;0.001),H27*Data!$B$27,"")</f>
        <v/>
      </c>
    </row>
    <row r="28" spans="1:17" ht="14.5">
      <c r="A28" s="128">
        <v>7</v>
      </c>
      <c r="B28" s="127" t="s">
        <v>686</v>
      </c>
      <c r="C28" s="147">
        <v>7</v>
      </c>
      <c r="D28" s="147">
        <v>4</v>
      </c>
      <c r="E28" s="147">
        <v>41</v>
      </c>
      <c r="F28" s="147">
        <v>12</v>
      </c>
      <c r="G28" s="147">
        <v>182</v>
      </c>
      <c r="H28" s="147">
        <v>9</v>
      </c>
      <c r="I28" s="119"/>
      <c r="J28" s="83" t="str">
        <f>IF(AND(Data!$B$3="VA",Data!B$4=A28,Data!$B$27&gt;0.001),C28*Data!$B$27,"")</f>
        <v/>
      </c>
      <c r="K28" s="83" t="str">
        <f>IF(AND(Data!$B$3="VA",Data!B$4=A28,Data!$B$11&gt;0.001),D28*Data!$B$11,"")</f>
        <v/>
      </c>
      <c r="L28" s="83" t="str">
        <f>IF(AND(Data!$B$3="VA",Data!B$4=A28,Data!$B$17="Y"),E28+F28*Data!$B$8,"")</f>
        <v/>
      </c>
      <c r="M28" s="83" t="str">
        <f>IF(AND(Data!$B$3="VA",Data!B$4=A28,Data!$B$10="V"),G28,"")</f>
        <v/>
      </c>
      <c r="N28" s="83" t="str">
        <f>IF(AND(Data!$B$3="VA",Data!B$4=A28,Data!$B$25&gt;0.001),H28*Data!$B$27,"")</f>
        <v/>
      </c>
    </row>
    <row r="29" spans="1:17" ht="14.5">
      <c r="A29" s="128">
        <v>8</v>
      </c>
      <c r="B29" s="127" t="s">
        <v>686</v>
      </c>
      <c r="C29" s="147">
        <v>7</v>
      </c>
      <c r="D29" s="147">
        <v>4</v>
      </c>
      <c r="E29" s="147">
        <v>41</v>
      </c>
      <c r="F29" s="147">
        <v>12</v>
      </c>
      <c r="G29" s="147">
        <v>217</v>
      </c>
      <c r="H29" s="147">
        <v>9</v>
      </c>
      <c r="I29" s="119"/>
      <c r="J29" s="83" t="str">
        <f>IF(AND(Data!$B$3="VA",Data!B$4=A29,Data!$B$27&gt;0.001),C29*Data!$B$27,"")</f>
        <v/>
      </c>
      <c r="K29" s="83" t="str">
        <f>IF(AND(Data!$B$3="VA",Data!B$4=A29,Data!$B$11&gt;0.001),D29*Data!$B$11,"")</f>
        <v/>
      </c>
      <c r="L29" s="83" t="str">
        <f>IF(AND(Data!$B$3="VA",Data!B$4=A29,Data!$B$17="Y"),E29+F29*Data!$B$8,"")</f>
        <v/>
      </c>
      <c r="M29" s="83" t="str">
        <f>IF(AND(Data!$B$3="VA",Data!B$4=A29,Data!$B$10="V"),G29,"")</f>
        <v/>
      </c>
      <c r="N29" s="83" t="str">
        <f>IF(AND(Data!$B$3="VA",Data!B$4=A29,Data!$B$25&gt;0.001),H29*Data!$B$27,"")</f>
        <v/>
      </c>
    </row>
    <row r="30" spans="1:17" ht="14.5">
      <c r="A30" s="128">
        <v>10</v>
      </c>
      <c r="B30" s="127" t="s">
        <v>686</v>
      </c>
      <c r="C30" s="147">
        <v>7</v>
      </c>
      <c r="D30" s="147">
        <v>4</v>
      </c>
      <c r="E30" s="147">
        <v>41</v>
      </c>
      <c r="F30" s="147">
        <v>12</v>
      </c>
      <c r="G30" s="147">
        <v>264</v>
      </c>
      <c r="H30" s="83">
        <v>9</v>
      </c>
      <c r="I30" s="119"/>
      <c r="J30" s="83" t="str">
        <f>IF(AND(Data!$B$3="VA",Data!B$4=A30,Data!$B$27&gt;0.001),C30*Data!$B$27,"")</f>
        <v/>
      </c>
      <c r="K30" s="83" t="str">
        <f>IF(AND(Data!$B$3="VA",Data!B$4=A30,Data!$B$11&gt;0.001),D30*Data!$B$11,"")</f>
        <v/>
      </c>
      <c r="L30" s="83" t="str">
        <f>IF(AND(Data!$B$3="VA",Data!B$4=A30,Data!$B$17="Y"),E30+F30*Data!$B$8,"")</f>
        <v/>
      </c>
      <c r="M30" s="83" t="str">
        <f>IF(AND(Data!$B$3="VA",Data!B$4=A30,Data!$B$10="V"),G30,"")</f>
        <v/>
      </c>
      <c r="N30" s="83" t="str">
        <f>IF(AND(Data!$B$3="VA",Data!B$4=A30,Data!$B$25&gt;0.001),H30*Data!$B$27,"")</f>
        <v/>
      </c>
    </row>
    <row r="31" spans="1:17" ht="14.5">
      <c r="A31" s="128">
        <v>12</v>
      </c>
      <c r="B31" s="127" t="s">
        <v>216</v>
      </c>
      <c r="C31" s="147">
        <v>10</v>
      </c>
      <c r="D31" s="147">
        <v>5</v>
      </c>
      <c r="E31" s="147">
        <v>87</v>
      </c>
      <c r="F31" s="147">
        <v>20</v>
      </c>
      <c r="G31" s="147">
        <v>305</v>
      </c>
      <c r="H31" s="83">
        <v>9</v>
      </c>
      <c r="I31" s="119"/>
      <c r="J31" s="83" t="str">
        <f>IF(AND(Data!$B$3="VA",Data!B$4=A31,Data!$B$27&gt;0.001),C31*Data!$B$27,"")</f>
        <v/>
      </c>
      <c r="K31" s="83" t="str">
        <f>IF(AND(Data!$B$3="VA",Data!B$4=A31,Data!$B$11&gt;0.001),D31*Data!$B$11,"")</f>
        <v/>
      </c>
      <c r="L31" s="83" t="str">
        <f>IF(AND(Data!$B$3="VA",Data!B$4=A31,Data!$B$17="Y"),E31+F31*Data!$B$8,"")</f>
        <v/>
      </c>
      <c r="M31" s="83" t="str">
        <f>IF(AND(Data!$B$3="VA",Data!B$4=A31,Data!$B$10="V"),G31,"")</f>
        <v/>
      </c>
      <c r="N31" s="83" t="str">
        <f>IF(AND(Data!$B$3="VA",Data!B$4=A31,Data!$B$25&gt;0.001),H31*Data!$B$27,"")</f>
        <v/>
      </c>
    </row>
    <row r="32" spans="1:17" ht="14.5">
      <c r="A32" s="128">
        <v>14</v>
      </c>
      <c r="B32" s="127" t="s">
        <v>216</v>
      </c>
      <c r="C32" s="147">
        <v>10</v>
      </c>
      <c r="D32" s="147">
        <v>5</v>
      </c>
      <c r="E32" s="147">
        <v>87</v>
      </c>
      <c r="F32" s="147">
        <v>20</v>
      </c>
      <c r="G32" s="147">
        <v>369</v>
      </c>
      <c r="H32" s="83">
        <v>10</v>
      </c>
      <c r="I32" s="119"/>
      <c r="J32" s="83" t="str">
        <f>IF(AND(Data!$B$3="VA",Data!B$4=A32,Data!$B$27&gt;0.001),C32*Data!$B$27,"")</f>
        <v/>
      </c>
      <c r="K32" s="83" t="str">
        <f>IF(AND(Data!$B$3="VA",Data!B$4=A32,Data!$B$11&gt;0.001),D32*Data!$B$11,"")</f>
        <v/>
      </c>
      <c r="L32" s="83" t="str">
        <f>IF(AND(Data!$B$3="VA",Data!B$4=A32,Data!$B$17="Y"),E32+F32*Data!$B$8,"")</f>
        <v/>
      </c>
      <c r="M32" s="83" t="str">
        <f>IF(AND(Data!$B$3="VA",Data!B$4=A32,Data!$B$10="V"),G32,"")</f>
        <v/>
      </c>
      <c r="N32" s="83" t="str">
        <f>IF(AND(Data!$B$3="VA",Data!B$4=A32,Data!$B$25&gt;0.001),H32*Data!$B$27,"")</f>
        <v/>
      </c>
    </row>
    <row r="33" spans="1:14" ht="14.5">
      <c r="A33" s="128">
        <v>16</v>
      </c>
      <c r="B33" s="127" t="s">
        <v>113</v>
      </c>
      <c r="C33" s="147">
        <v>13</v>
      </c>
      <c r="D33" s="147">
        <v>6</v>
      </c>
      <c r="E33" s="147">
        <v>182</v>
      </c>
      <c r="F33" s="147">
        <v>24</v>
      </c>
      <c r="G33" s="147">
        <v>464</v>
      </c>
      <c r="H33" s="83">
        <v>14</v>
      </c>
      <c r="I33" s="119"/>
      <c r="J33" s="83" t="str">
        <f>IF(AND(Data!$B$3="VA",Data!B$4=A33,Data!$B$27&gt;0.001),C33*Data!$B$27,"")</f>
        <v/>
      </c>
      <c r="K33" s="83" t="str">
        <f>IF(AND(Data!$B$3="VA",Data!B$4=A33,Data!$B$11&gt;0.001),D33*Data!$B$11,"")</f>
        <v/>
      </c>
      <c r="L33" s="83" t="str">
        <f>IF(AND(Data!$B$3="VA",Data!B$4=A33,Data!$B$17="Y"),E33+F33*Data!$B$8,"")</f>
        <v/>
      </c>
      <c r="M33" s="83" t="str">
        <f>IF(AND(Data!$B$3="VA",Data!B$4=A33,Data!$B$10="V"),G33,"")</f>
        <v/>
      </c>
      <c r="N33" s="83" t="str">
        <f>IF(AND(Data!$B$3="VA",Data!B$4=A33,Data!$B$25&gt;0.001),H33*Data!$B$27,"")</f>
        <v/>
      </c>
    </row>
    <row r="34" spans="1:14" ht="14.5">
      <c r="A34" s="128">
        <v>18</v>
      </c>
      <c r="B34" s="127" t="s">
        <v>114</v>
      </c>
      <c r="C34" s="147">
        <v>14</v>
      </c>
      <c r="D34" s="147">
        <v>7</v>
      </c>
      <c r="E34" s="147">
        <v>262</v>
      </c>
      <c r="F34" s="147">
        <v>34</v>
      </c>
      <c r="G34" s="147">
        <v>524</v>
      </c>
      <c r="H34" s="83">
        <v>16</v>
      </c>
      <c r="I34" s="119"/>
      <c r="J34" s="83" t="str">
        <f>IF(AND(Data!$B$3="VA",Data!B$4=A34,Data!$B$27&gt;0.001),C34*Data!$B$27,"")</f>
        <v/>
      </c>
      <c r="K34" s="83" t="str">
        <f>IF(AND(Data!$B$3="VA",Data!B$4=A34,Data!$B$11&gt;0.001),D34*Data!$B$11,"")</f>
        <v/>
      </c>
      <c r="L34" s="83" t="str">
        <f>IF(AND(Data!$B$3="VA",Data!B$4=A34,Data!$B$17="Y"),E34+F34*Data!$B$8,"")</f>
        <v/>
      </c>
      <c r="M34" s="83" t="str">
        <f>IF(AND(Data!$B$3="VA",Data!B$4=A34,Data!$B$10="V"),G34,"")</f>
        <v/>
      </c>
      <c r="N34" s="83" t="str">
        <f>IF(AND(Data!$B$3="VA",Data!B$4=A34,Data!$B$25&gt;0.001),H34*Data!$B$27,"")</f>
        <v/>
      </c>
    </row>
    <row r="35" spans="1:14" ht="14.5">
      <c r="A35" s="128">
        <v>20</v>
      </c>
      <c r="B35" s="127" t="s">
        <v>114</v>
      </c>
      <c r="C35" s="147">
        <v>14</v>
      </c>
      <c r="D35" s="147">
        <v>7</v>
      </c>
      <c r="E35" s="147">
        <v>262</v>
      </c>
      <c r="F35" s="147">
        <v>34</v>
      </c>
      <c r="G35" s="147">
        <v>600</v>
      </c>
      <c r="H35" s="83">
        <v>17</v>
      </c>
      <c r="I35" s="119"/>
      <c r="J35" s="83" t="str">
        <f>IF(AND(Data!$B$3="VA",Data!B$4=A35,Data!$B$27&gt;0.001),C35*Data!$B$27,"")</f>
        <v/>
      </c>
      <c r="K35" s="83" t="str">
        <f>IF(AND(Data!$B$3="VA",Data!B$4=A35,Data!$B$11&gt;0.001),D35*Data!$B$11,"")</f>
        <v/>
      </c>
      <c r="L35" s="83" t="str">
        <f>IF(AND(Data!$B$3="VA",Data!B$4=A35,Data!$B$17="Y"),E35+F35*Data!$B$8,"")</f>
        <v/>
      </c>
      <c r="M35" s="83" t="str">
        <f>IF(AND(Data!$B$3="VA",Data!B$4=A35,Data!$B$10="V"),G35,"")</f>
        <v/>
      </c>
      <c r="N35" s="83" t="str">
        <f>IF(AND(Data!$B$3="VA",Data!B$4=A35,Data!$B$25&gt;0.001),H35*Data!$B$27,"")</f>
        <v/>
      </c>
    </row>
    <row r="36" spans="1:14" ht="14.5">
      <c r="A36" s="128">
        <v>22</v>
      </c>
      <c r="B36" s="127" t="s">
        <v>155</v>
      </c>
      <c r="C36" s="147">
        <v>19</v>
      </c>
      <c r="D36" s="147">
        <v>19</v>
      </c>
      <c r="E36" s="147">
        <v>770</v>
      </c>
      <c r="F36" s="147">
        <v>68</v>
      </c>
      <c r="G36" s="83">
        <v>632</v>
      </c>
      <c r="H36" s="83">
        <v>17</v>
      </c>
      <c r="I36" s="119"/>
      <c r="J36" s="83" t="str">
        <f>IF(AND(Data!$B$3="VA",Data!B$4=A36,Data!$B$27&gt;0.001),C36*Data!$B$27,"")</f>
        <v/>
      </c>
      <c r="K36" s="83" t="str">
        <f>IF(AND(Data!$B$3="VA",Data!B$4=A36,Data!$B$11&gt;0.001),D36*Data!$B$11,"")</f>
        <v/>
      </c>
      <c r="L36" s="83" t="str">
        <f>IF(AND(Data!$B$3="VA",Data!B$4=A36,Data!$B$17="Y"),E36+F36*Data!$B$8,"")</f>
        <v/>
      </c>
      <c r="M36" s="83" t="str">
        <f>IF(AND(Data!$B$3="VA",Data!B$4=A36,Data!$B$10="V"),G36,"")</f>
        <v/>
      </c>
      <c r="N36" s="83" t="str">
        <f>IF(AND(Data!$B$3="VA",Data!B$4=A36,Data!$B$25&gt;0.001),H36*Data!$B$27,"")</f>
        <v/>
      </c>
    </row>
    <row r="37" spans="1:14" ht="15" customHeight="1">
      <c r="F37" s="135"/>
      <c r="G37" s="137"/>
      <c r="H37" s="137"/>
      <c r="J37" s="83">
        <f>SUM(J23:J36)</f>
        <v>0</v>
      </c>
      <c r="K37" s="83">
        <f>SUM(K23:K36)</f>
        <v>0</v>
      </c>
      <c r="L37" s="83">
        <f>SUM(L23:L36)</f>
        <v>0</v>
      </c>
      <c r="M37" s="83">
        <f>SUM(M23:M36)</f>
        <v>0</v>
      </c>
      <c r="N37" s="83">
        <f>SUM(N23:N36)</f>
        <v>0</v>
      </c>
    </row>
  </sheetData>
  <mergeCells count="3">
    <mergeCell ref="G5:G18"/>
    <mergeCell ref="A1:H1"/>
    <mergeCell ref="A2:H2"/>
  </mergeCells>
  <phoneticPr fontId="2" type="noConversion"/>
  <printOptions horizontalCentered="1"/>
  <pageMargins left="0" right="0" top="0.75" bottom="0.25" header="0.5" footer="0.5"/>
  <pageSetup scale="95"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3"/>
  <dimension ref="A1:J947"/>
  <sheetViews>
    <sheetView topLeftCell="A537" workbookViewId="0">
      <selection activeCell="A372" sqref="A372"/>
    </sheetView>
  </sheetViews>
  <sheetFormatPr defaultColWidth="31.453125" defaultRowHeight="12.5"/>
  <cols>
    <col min="1" max="1" width="12.54296875" style="267" bestFit="1" customWidth="1"/>
    <col min="2" max="2" width="23" style="267" bestFit="1" customWidth="1"/>
    <col min="3" max="3" width="9.453125" style="267" bestFit="1" customWidth="1"/>
    <col min="4" max="4" width="10" style="267" bestFit="1" customWidth="1"/>
    <col min="5" max="5" width="12" style="268" bestFit="1" customWidth="1"/>
    <col min="6" max="6" width="31.453125" style="267"/>
    <col min="7" max="7" width="11.54296875" style="267" bestFit="1" customWidth="1"/>
    <col min="8" max="8" width="30.54296875" style="267" bestFit="1" customWidth="1"/>
    <col min="9" max="9" width="6" style="267" bestFit="1" customWidth="1"/>
    <col min="10" max="16384" width="31.453125" style="267"/>
  </cols>
  <sheetData>
    <row r="1" spans="1:5">
      <c r="A1" s="269" t="s">
        <v>20069</v>
      </c>
      <c r="B1" s="269" t="s">
        <v>19258</v>
      </c>
      <c r="C1" s="270" t="s">
        <v>19259</v>
      </c>
      <c r="D1" s="271" t="s">
        <v>19260</v>
      </c>
      <c r="E1" s="272">
        <f>SUM(E2:E947)</f>
        <v>621.97713999999996</v>
      </c>
    </row>
    <row r="2" spans="1:5" ht="13">
      <c r="A2" s="276" t="s">
        <v>19317</v>
      </c>
      <c r="B2" s="276" t="s">
        <v>19318</v>
      </c>
      <c r="C2" s="277">
        <v>5.7799999999999994</v>
      </c>
      <c r="D2" s="278">
        <f>IF(AND(Data!B$6=0.625,Data!B$10="V"),1,0)</f>
        <v>0</v>
      </c>
      <c r="E2" s="268">
        <f>D2*C2</f>
        <v>0</v>
      </c>
    </row>
    <row r="3" spans="1:5" ht="13">
      <c r="A3" s="276" t="s">
        <v>19319</v>
      </c>
      <c r="B3" s="276" t="s">
        <v>19318</v>
      </c>
      <c r="C3" s="277">
        <v>6.22</v>
      </c>
      <c r="D3" s="278">
        <f>IF(AND(Data!B$6=1,Data!B$10="V"),1,0)</f>
        <v>0</v>
      </c>
      <c r="E3" s="268">
        <f t="shared" ref="E3:E66" si="0">D3*C3</f>
        <v>0</v>
      </c>
    </row>
    <row r="4" spans="1:5" ht="13">
      <c r="A4" s="276" t="s">
        <v>19320</v>
      </c>
      <c r="B4" s="276" t="s">
        <v>19318</v>
      </c>
      <c r="C4" s="277">
        <v>11.55</v>
      </c>
      <c r="D4" s="278">
        <f>IF(AND(Data!B$6&gt;1.3,Data!B$6&lt;1.4,Data!B$10="V"),1,0)</f>
        <v>0</v>
      </c>
      <c r="E4" s="268">
        <f t="shared" si="0"/>
        <v>0</v>
      </c>
    </row>
    <row r="5" spans="1:5" ht="13">
      <c r="A5" s="276" t="s">
        <v>19321</v>
      </c>
      <c r="B5" s="276" t="s">
        <v>19318</v>
      </c>
      <c r="C5" s="277">
        <v>17.600000000000001</v>
      </c>
      <c r="D5" s="278">
        <f>IF(AND(Data!B$6=1.75,Data!B$10="V"),1,0)</f>
        <v>0</v>
      </c>
      <c r="E5" s="268">
        <f t="shared" si="0"/>
        <v>0</v>
      </c>
    </row>
    <row r="6" spans="1:5" ht="13">
      <c r="A6" s="276" t="s">
        <v>19322</v>
      </c>
      <c r="B6" s="276" t="s">
        <v>19318</v>
      </c>
      <c r="C6" s="277">
        <v>8.8000000000000007</v>
      </c>
      <c r="D6" s="278">
        <f>IF(AND(Data!B$6=2,Data!B20="V"),1,0)</f>
        <v>0</v>
      </c>
      <c r="E6" s="268">
        <f t="shared" si="0"/>
        <v>0</v>
      </c>
    </row>
    <row r="7" spans="1:5" ht="13">
      <c r="A7" s="276" t="s">
        <v>19323</v>
      </c>
      <c r="B7" s="276" t="s">
        <v>19318</v>
      </c>
      <c r="C7" s="277">
        <v>9.9</v>
      </c>
      <c r="D7" s="278">
        <f>IF(AND(Data!B$6=2.5,Data!B$10="V"),1,0)</f>
        <v>0</v>
      </c>
      <c r="E7" s="268">
        <f t="shared" si="0"/>
        <v>0</v>
      </c>
    </row>
    <row r="8" spans="1:5" ht="13">
      <c r="A8" s="276" t="s">
        <v>19324</v>
      </c>
      <c r="B8" s="276" t="s">
        <v>19318</v>
      </c>
      <c r="C8" s="277">
        <v>13.2</v>
      </c>
      <c r="D8" s="278">
        <f>IF(AND(Data!B$6=3,Data!B$10="V"),1,0)</f>
        <v>0</v>
      </c>
      <c r="E8" s="268">
        <f t="shared" si="0"/>
        <v>0</v>
      </c>
    </row>
    <row r="9" spans="1:5" ht="13">
      <c r="A9" s="276" t="s">
        <v>19325</v>
      </c>
      <c r="B9" s="276" t="s">
        <v>19318</v>
      </c>
      <c r="C9" s="277">
        <v>16.5</v>
      </c>
      <c r="D9" s="278">
        <f>IF(AND(Data!B$6=3.5,Data!B$10="V"),1,0)</f>
        <v>0</v>
      </c>
      <c r="E9" s="268">
        <f t="shared" si="0"/>
        <v>0</v>
      </c>
    </row>
    <row r="10" spans="1:5" ht="13">
      <c r="A10" s="276" t="s">
        <v>19326</v>
      </c>
      <c r="B10" s="276" t="s">
        <v>19318</v>
      </c>
      <c r="C10" s="277">
        <v>18.7</v>
      </c>
      <c r="D10" s="278">
        <f>IF(AND(Data!B$6=4,Data!B$10="V"),1,0)</f>
        <v>0</v>
      </c>
      <c r="E10" s="268">
        <f t="shared" si="0"/>
        <v>0</v>
      </c>
    </row>
    <row r="11" spans="1:5" ht="13">
      <c r="A11" s="276" t="s">
        <v>19327</v>
      </c>
      <c r="B11" s="276" t="s">
        <v>19318</v>
      </c>
      <c r="C11" s="277">
        <v>19.8</v>
      </c>
      <c r="D11" s="278">
        <f>IF(AND(Data!B$6=4.5,Data!B$10="V"),1,0)</f>
        <v>0</v>
      </c>
      <c r="E11" s="268">
        <f t="shared" si="0"/>
        <v>0</v>
      </c>
    </row>
    <row r="12" spans="1:5" ht="13">
      <c r="A12" s="276" t="s">
        <v>19328</v>
      </c>
      <c r="B12" s="276" t="s">
        <v>19318</v>
      </c>
      <c r="C12" s="277">
        <v>19.8</v>
      </c>
      <c r="D12" s="278">
        <f>IF(AND(Data!B$6=5,Data!B$10="V"),1,0)</f>
        <v>0</v>
      </c>
      <c r="E12" s="268">
        <f t="shared" si="0"/>
        <v>0</v>
      </c>
    </row>
    <row r="13" spans="1:5" ht="13">
      <c r="A13" s="276" t="s">
        <v>20085</v>
      </c>
      <c r="B13" s="276" t="s">
        <v>19318</v>
      </c>
      <c r="C13" s="277">
        <v>20.9</v>
      </c>
      <c r="D13" s="278">
        <f>IF(AND(Data!B$6=5.5,Data!B$10="V"),1,0)</f>
        <v>0</v>
      </c>
      <c r="E13" s="268">
        <f t="shared" si="0"/>
        <v>0</v>
      </c>
    </row>
    <row r="14" spans="1:5" ht="13">
      <c r="A14" s="276" t="s">
        <v>19329</v>
      </c>
      <c r="B14" s="276" t="s">
        <v>19330</v>
      </c>
      <c r="C14" s="277">
        <v>11</v>
      </c>
      <c r="D14" s="278">
        <f>IF(AND(Data!B$6=0.625,Data!B$10="V"),1,0)</f>
        <v>0</v>
      </c>
      <c r="E14" s="268">
        <f t="shared" si="0"/>
        <v>0</v>
      </c>
    </row>
    <row r="15" spans="1:5" ht="13">
      <c r="A15" s="276" t="s">
        <v>19331</v>
      </c>
      <c r="B15" s="276" t="s">
        <v>19330</v>
      </c>
      <c r="C15" s="277">
        <v>13.2</v>
      </c>
      <c r="D15" s="278">
        <f>IF(AND(Data!B$6=1,Data!B$10="V"),1,0)</f>
        <v>0</v>
      </c>
      <c r="E15" s="268">
        <f t="shared" si="0"/>
        <v>0</v>
      </c>
    </row>
    <row r="16" spans="1:5" ht="13">
      <c r="A16" s="276" t="s">
        <v>19332</v>
      </c>
      <c r="B16" s="276" t="s">
        <v>19330</v>
      </c>
      <c r="C16" s="277">
        <v>15.4</v>
      </c>
      <c r="D16" s="278">
        <f>IF(AND(Data!B$6&gt;1.3,Data!B$6&lt;1.4,Data!B$10="V"),1,0)</f>
        <v>0</v>
      </c>
      <c r="E16" s="268">
        <f t="shared" si="0"/>
        <v>0</v>
      </c>
    </row>
    <row r="17" spans="1:5" ht="13">
      <c r="A17" s="276" t="s">
        <v>19333</v>
      </c>
      <c r="B17" s="276" t="s">
        <v>19330</v>
      </c>
      <c r="C17" s="277">
        <v>18.7</v>
      </c>
      <c r="D17" s="278">
        <f>IF(AND(Data!B$6=1.75,Data!B$10="V"),1,0)</f>
        <v>0</v>
      </c>
      <c r="E17" s="268">
        <f t="shared" si="0"/>
        <v>0</v>
      </c>
    </row>
    <row r="18" spans="1:5" ht="13">
      <c r="A18" s="276" t="s">
        <v>19334</v>
      </c>
      <c r="B18" s="276" t="s">
        <v>19330</v>
      </c>
      <c r="C18" s="277">
        <v>20.9</v>
      </c>
      <c r="D18" s="278">
        <f>IF(AND(Data!B$6=2,Data!B30="V"),1,0)</f>
        <v>0</v>
      </c>
      <c r="E18" s="268">
        <f t="shared" si="0"/>
        <v>0</v>
      </c>
    </row>
    <row r="19" spans="1:5" ht="13">
      <c r="A19" s="276" t="s">
        <v>19335</v>
      </c>
      <c r="B19" s="276" t="s">
        <v>19330</v>
      </c>
      <c r="C19" s="277">
        <v>23.1</v>
      </c>
      <c r="D19" s="278">
        <f>IF(AND(Data!B$6=2.5,Data!B$10="V"),1,0)</f>
        <v>0</v>
      </c>
      <c r="E19" s="268">
        <f t="shared" si="0"/>
        <v>0</v>
      </c>
    </row>
    <row r="20" spans="1:5" ht="13">
      <c r="A20" s="276" t="s">
        <v>19336</v>
      </c>
      <c r="B20" s="276" t="s">
        <v>19330</v>
      </c>
      <c r="C20" s="277">
        <v>26.4</v>
      </c>
      <c r="D20" s="278">
        <f>IF(AND(Data!B$6=3,Data!B$10="V"),1,0)</f>
        <v>0</v>
      </c>
      <c r="E20" s="268">
        <f t="shared" si="0"/>
        <v>0</v>
      </c>
    </row>
    <row r="21" spans="1:5" ht="13">
      <c r="A21" s="276" t="s">
        <v>19337</v>
      </c>
      <c r="B21" s="276" t="s">
        <v>19330</v>
      </c>
      <c r="C21" s="277">
        <v>30.8</v>
      </c>
      <c r="D21" s="278">
        <f>IF(AND(Data!B$6=3.5,Data!B$10="V"),1,0)</f>
        <v>0</v>
      </c>
      <c r="E21" s="268">
        <f t="shared" si="0"/>
        <v>0</v>
      </c>
    </row>
    <row r="22" spans="1:5" ht="13">
      <c r="A22" s="276" t="s">
        <v>19338</v>
      </c>
      <c r="B22" s="276" t="s">
        <v>19330</v>
      </c>
      <c r="C22" s="277">
        <v>38.5</v>
      </c>
      <c r="D22" s="278">
        <f>IF(AND(Data!B$6=4,Data!B$10="V"),1,0)</f>
        <v>0</v>
      </c>
      <c r="E22" s="268">
        <f t="shared" si="0"/>
        <v>0</v>
      </c>
    </row>
    <row r="23" spans="1:5" ht="13">
      <c r="A23" s="276" t="s">
        <v>19339</v>
      </c>
      <c r="B23" s="276" t="s">
        <v>19330</v>
      </c>
      <c r="C23" s="277">
        <v>47.3</v>
      </c>
      <c r="D23" s="278">
        <f>IF(AND(Data!B$6=4.5,Data!B$10="V"),1,0)</f>
        <v>0</v>
      </c>
      <c r="E23" s="268">
        <f t="shared" si="0"/>
        <v>0</v>
      </c>
    </row>
    <row r="24" spans="1:5" ht="13">
      <c r="A24" s="276" t="s">
        <v>19340</v>
      </c>
      <c r="B24" s="276" t="s">
        <v>19330</v>
      </c>
      <c r="C24" s="277">
        <v>57.2</v>
      </c>
      <c r="D24" s="278">
        <f>IF(AND(Data!B$6=5,Data!B36="V"),1,0)</f>
        <v>0</v>
      </c>
      <c r="E24" s="268">
        <f t="shared" si="0"/>
        <v>0</v>
      </c>
    </row>
    <row r="25" spans="1:5" ht="13">
      <c r="A25" s="276" t="s">
        <v>19341</v>
      </c>
      <c r="B25" s="276" t="s">
        <v>19330</v>
      </c>
      <c r="C25" s="277">
        <v>7.7</v>
      </c>
      <c r="D25" s="278">
        <f>IF(AND(Data!B$6=5.5,Data!B$10="V"),1,0)</f>
        <v>0</v>
      </c>
      <c r="E25" s="268">
        <f t="shared" si="0"/>
        <v>0</v>
      </c>
    </row>
    <row r="26" spans="1:5" ht="13">
      <c r="A26" s="276" t="s">
        <v>19342</v>
      </c>
      <c r="B26" s="276" t="s">
        <v>19343</v>
      </c>
      <c r="C26" s="277">
        <v>0.88</v>
      </c>
      <c r="D26" s="278">
        <f>IF(AND(Data!B$6=0.625,Data!B$10="V"),1,0)</f>
        <v>0</v>
      </c>
      <c r="E26" s="268">
        <f t="shared" si="0"/>
        <v>0</v>
      </c>
    </row>
    <row r="27" spans="1:5" ht="13">
      <c r="A27" s="276" t="s">
        <v>19344</v>
      </c>
      <c r="B27" s="276" t="s">
        <v>19343</v>
      </c>
      <c r="C27" s="277">
        <v>0.99</v>
      </c>
      <c r="D27" s="278">
        <f>IF(AND(Data!B$6=1,Data!B$10="V"),1,0)</f>
        <v>0</v>
      </c>
      <c r="E27" s="268">
        <f t="shared" si="0"/>
        <v>0</v>
      </c>
    </row>
    <row r="28" spans="1:5" ht="13">
      <c r="A28" s="276" t="s">
        <v>19345</v>
      </c>
      <c r="B28" s="276" t="s">
        <v>19343</v>
      </c>
      <c r="C28" s="277">
        <v>1.1000000000000001</v>
      </c>
      <c r="D28" s="278">
        <f>IF(AND(Data!B$6&gt;1.3,Data!B$6&lt;1.4,Data!B$10="V"),1,0)</f>
        <v>0</v>
      </c>
      <c r="E28" s="268">
        <f t="shared" si="0"/>
        <v>0</v>
      </c>
    </row>
    <row r="29" spans="1:5" ht="13">
      <c r="A29" s="276" t="s">
        <v>19346</v>
      </c>
      <c r="B29" s="276" t="s">
        <v>19343</v>
      </c>
      <c r="C29" s="277">
        <v>1.21</v>
      </c>
      <c r="D29" s="278">
        <f>IF(AND(Data!B$6=1.75,Data!B$10="V"),1,0)</f>
        <v>0</v>
      </c>
      <c r="E29" s="268">
        <f t="shared" si="0"/>
        <v>0</v>
      </c>
    </row>
    <row r="30" spans="1:5" ht="13">
      <c r="A30" s="276" t="s">
        <v>19347</v>
      </c>
      <c r="B30" s="276" t="s">
        <v>19343</v>
      </c>
      <c r="C30" s="277">
        <v>1.65</v>
      </c>
      <c r="D30" s="278">
        <f>IF(AND(Data!B$6=2,Data!B$10="V"),1,0)</f>
        <v>0</v>
      </c>
      <c r="E30" s="268">
        <f t="shared" si="0"/>
        <v>0</v>
      </c>
    </row>
    <row r="31" spans="1:5" ht="13">
      <c r="A31" s="276" t="s">
        <v>19348</v>
      </c>
      <c r="B31" s="276" t="s">
        <v>19343</v>
      </c>
      <c r="C31" s="277">
        <v>2.2000000000000002</v>
      </c>
      <c r="D31" s="278">
        <f>IF(AND(Data!B$6=2.5,Data!B$10="V"),1,0)</f>
        <v>0</v>
      </c>
      <c r="E31" s="268">
        <f t="shared" si="0"/>
        <v>0</v>
      </c>
    </row>
    <row r="32" spans="1:5" ht="13">
      <c r="A32" s="276" t="s">
        <v>19349</v>
      </c>
      <c r="B32" s="276" t="s">
        <v>19343</v>
      </c>
      <c r="C32" s="277">
        <v>3.3</v>
      </c>
      <c r="D32" s="278">
        <f>IF(AND(Data!B$6=3,Data!B$10="V"),1,0)</f>
        <v>0</v>
      </c>
      <c r="E32" s="268">
        <f t="shared" si="0"/>
        <v>0</v>
      </c>
    </row>
    <row r="33" spans="1:5" ht="13">
      <c r="A33" s="276" t="s">
        <v>19350</v>
      </c>
      <c r="B33" s="276" t="s">
        <v>19343</v>
      </c>
      <c r="C33" s="277">
        <v>3.3</v>
      </c>
      <c r="D33" s="278">
        <f>IF(AND(Data!B$6=3.5,Data!B$10="V"),1,0)</f>
        <v>0</v>
      </c>
      <c r="E33" s="268">
        <f t="shared" si="0"/>
        <v>0</v>
      </c>
    </row>
    <row r="34" spans="1:5" ht="13">
      <c r="A34" s="276" t="s">
        <v>19351</v>
      </c>
      <c r="B34" s="276" t="s">
        <v>19343</v>
      </c>
      <c r="C34" s="277">
        <v>4.4000000000000004</v>
      </c>
      <c r="D34" s="278">
        <f>IF(AND(Data!B$6=4,Data!B$10="V"),1,0)</f>
        <v>0</v>
      </c>
      <c r="E34" s="268">
        <f t="shared" si="0"/>
        <v>0</v>
      </c>
    </row>
    <row r="35" spans="1:5" ht="13">
      <c r="A35" s="276" t="s">
        <v>19352</v>
      </c>
      <c r="B35" s="276" t="s">
        <v>19343</v>
      </c>
      <c r="C35" s="277">
        <v>5.5</v>
      </c>
      <c r="D35" s="278">
        <f>IF(AND(Data!B$6=4.5,Data!B$1="V"),1,0)</f>
        <v>0</v>
      </c>
      <c r="E35" s="268">
        <f t="shared" si="0"/>
        <v>0</v>
      </c>
    </row>
    <row r="36" spans="1:5" ht="13">
      <c r="A36" s="276" t="s">
        <v>19353</v>
      </c>
      <c r="B36" s="276" t="s">
        <v>19343</v>
      </c>
      <c r="C36" s="277">
        <v>5.5</v>
      </c>
      <c r="D36" s="278">
        <f>IF(AND(Data!B$6=5,Data!B$10="V"),1,0)</f>
        <v>0</v>
      </c>
      <c r="E36" s="268">
        <f t="shared" si="0"/>
        <v>0</v>
      </c>
    </row>
    <row r="37" spans="1:5" ht="13">
      <c r="A37" s="276" t="s">
        <v>19354</v>
      </c>
      <c r="B37" s="276" t="s">
        <v>19343</v>
      </c>
      <c r="C37" s="277">
        <v>7.7</v>
      </c>
      <c r="D37" s="278">
        <f>IF(AND(Data!B$6=5.5,Data!B$10="V"),1,0)</f>
        <v>0</v>
      </c>
      <c r="E37" s="268">
        <f t="shared" si="0"/>
        <v>0</v>
      </c>
    </row>
    <row r="38" spans="1:5" ht="13">
      <c r="A38" s="276" t="s">
        <v>19355</v>
      </c>
      <c r="B38" s="276" t="s">
        <v>593</v>
      </c>
      <c r="C38" s="277">
        <v>92.4</v>
      </c>
      <c r="D38" s="278">
        <f>ShipVia!I107</f>
        <v>0</v>
      </c>
      <c r="E38" s="268">
        <f t="shared" si="0"/>
        <v>0</v>
      </c>
    </row>
    <row r="39" spans="1:5" ht="13">
      <c r="A39" s="276" t="s">
        <v>19356</v>
      </c>
      <c r="B39" s="276" t="s">
        <v>19264</v>
      </c>
      <c r="C39" s="277">
        <v>0.28000000000000003</v>
      </c>
      <c r="D39" s="278">
        <f>IF(AND(OR(Data!B$3="A",Data!B$3="LH"),Data!B$4=1.5,Data!B$16=""),1*8,0)</f>
        <v>0</v>
      </c>
      <c r="E39" s="268">
        <f t="shared" si="0"/>
        <v>0</v>
      </c>
    </row>
    <row r="40" spans="1:5" ht="13">
      <c r="A40" s="276" t="s">
        <v>19263</v>
      </c>
      <c r="B40" s="276" t="s">
        <v>19264</v>
      </c>
      <c r="C40" s="277">
        <v>0.33</v>
      </c>
      <c r="D40" s="278">
        <f>IF(AND(OR(Data!B$3="A",Data!B$3="LH"),OR(Data!B$4=2,Data!B$4=2.5),Data!B$16=""),1*8,0)</f>
        <v>0</v>
      </c>
      <c r="E40" s="268">
        <f t="shared" si="0"/>
        <v>0</v>
      </c>
    </row>
    <row r="41" spans="1:5" ht="13">
      <c r="A41" s="276" t="s">
        <v>19283</v>
      </c>
      <c r="B41" s="276" t="s">
        <v>19264</v>
      </c>
      <c r="C41" s="277">
        <v>0.11</v>
      </c>
      <c r="D41" s="278">
        <f>IF(AND(Data!B$3="H",Data!B$4=1.5,Data!B$16=""),1*8,IF(AND(OR(Data!B$3="A",Data!B$3="LH"),OR(Data!B$4=3.25,Data!B$4=4),Data!B$16=""),1*8,0))</f>
        <v>0</v>
      </c>
      <c r="E41" s="268">
        <f t="shared" si="0"/>
        <v>0</v>
      </c>
    </row>
    <row r="42" spans="1:5" ht="13">
      <c r="A42" s="276" t="s">
        <v>19357</v>
      </c>
      <c r="B42" s="276" t="s">
        <v>19264</v>
      </c>
      <c r="C42" s="277">
        <v>0.24000000000000002</v>
      </c>
      <c r="D42" s="278">
        <f>IF(AND(Data!B$3="H",OR(Data!B$4=2,Data!B$4=2.5),Data!B$16=""),1*8,IF(AND(OR(Data!B$3="A",Data!B$3="LH"),OR(Data!B$4=5,Data!B$4=6),Data!B$16=""),1*8,0))</f>
        <v>0</v>
      </c>
      <c r="E42" s="268">
        <f t="shared" si="0"/>
        <v>0</v>
      </c>
    </row>
    <row r="43" spans="1:5" ht="13">
      <c r="A43" s="276" t="s">
        <v>19358</v>
      </c>
      <c r="B43" s="276" t="s">
        <v>19264</v>
      </c>
      <c r="C43" s="277">
        <v>0.5</v>
      </c>
      <c r="D43" s="278">
        <f>IF(AND(Data!B$3="H",OR(Data!B$4=3.25,Data!B$4=4),Data!B$16=""),1*8,IF(AND(OR(Data!B$3="A",Data!B$3="LH"),OR(Data!B$4=7,Data!B$4=8),Data!B$16=""),1*8,0))</f>
        <v>0</v>
      </c>
      <c r="E43" s="268">
        <f t="shared" si="0"/>
        <v>0</v>
      </c>
    </row>
    <row r="44" spans="1:5" ht="13">
      <c r="A44" s="276" t="s">
        <v>19359</v>
      </c>
      <c r="B44" s="276" t="s">
        <v>19264</v>
      </c>
      <c r="C44" s="277">
        <v>1.43</v>
      </c>
      <c r="D44" s="278">
        <f>IF(AND(Data!B$3="H",Data!B$4=5,Data!B$16=""),1*8,0)</f>
        <v>8</v>
      </c>
      <c r="E44" s="268">
        <f t="shared" si="0"/>
        <v>11.44</v>
      </c>
    </row>
    <row r="45" spans="1:5" ht="13">
      <c r="A45" s="276" t="s">
        <v>19360</v>
      </c>
      <c r="B45" s="276" t="s">
        <v>19264</v>
      </c>
      <c r="C45" s="277">
        <v>1.98</v>
      </c>
      <c r="D45" s="278">
        <f>IF(AND(Data!B$3="H",Data!B$4=6,Data!B$16=""),1*8,0)</f>
        <v>0</v>
      </c>
      <c r="E45" s="268">
        <f t="shared" si="0"/>
        <v>0</v>
      </c>
    </row>
    <row r="46" spans="1:5" ht="13">
      <c r="A46" s="276" t="s">
        <v>19361</v>
      </c>
      <c r="B46" s="276" t="s">
        <v>19264</v>
      </c>
      <c r="C46" s="277">
        <v>3.3</v>
      </c>
      <c r="D46" s="278">
        <f>IF(AND(Data!B$3="H",Data!B$4=7,Data!B$16=""),1*8,0)</f>
        <v>0</v>
      </c>
      <c r="E46" s="268">
        <f t="shared" si="0"/>
        <v>0</v>
      </c>
    </row>
    <row r="47" spans="1:5" ht="13">
      <c r="A47" s="276" t="s">
        <v>19362</v>
      </c>
      <c r="B47" s="276" t="s">
        <v>19264</v>
      </c>
      <c r="C47" s="277">
        <v>4.13</v>
      </c>
      <c r="D47" s="278">
        <f>IF(AND(Data!B$3="H",Data!B$4=8,Data!B$16=""),1*8,0)</f>
        <v>0</v>
      </c>
      <c r="E47" s="268">
        <f t="shared" si="0"/>
        <v>0</v>
      </c>
    </row>
    <row r="48" spans="1:5" ht="13">
      <c r="A48" s="276" t="s">
        <v>19363</v>
      </c>
      <c r="B48" s="276" t="s">
        <v>19262</v>
      </c>
      <c r="C48" s="277">
        <v>0.02</v>
      </c>
      <c r="D48" s="279">
        <f>IF(AND(OR(Data!B$3="A",Data!B$3="LH"),Data!B$4=1.5,Data!B$16=""),1*(Data!B$8+H!AE7)*4,0)</f>
        <v>0</v>
      </c>
      <c r="E48" s="268">
        <f t="shared" si="0"/>
        <v>0</v>
      </c>
    </row>
    <row r="49" spans="1:5" ht="13">
      <c r="A49" s="276" t="s">
        <v>19261</v>
      </c>
      <c r="B49" s="276" t="s">
        <v>19262</v>
      </c>
      <c r="C49" s="277">
        <v>0.04</v>
      </c>
      <c r="D49" s="279">
        <f>IF(AND(OR(Data!B$3="A",Data!B$3="LH"),OR(Data!B$4=2,Data!B$4=2.5),Data!B$16=""),1*(Data!B$8+H!AE7)*4,0)</f>
        <v>0</v>
      </c>
      <c r="E49" s="268">
        <f t="shared" si="0"/>
        <v>0</v>
      </c>
    </row>
    <row r="50" spans="1:5" ht="13">
      <c r="A50" s="276" t="s">
        <v>19282</v>
      </c>
      <c r="B50" s="276" t="s">
        <v>19262</v>
      </c>
      <c r="C50" s="277">
        <v>0.05</v>
      </c>
      <c r="D50" s="279">
        <f>IF(AND(Data!B$3="H",Data!B$4=1.5,Data!B$16=""),1*(Data!B$8+H!AE7)*4,IF(AND(OR(Data!B$3="A",Data!B$3="LH"),OR(Data!B$4=3.25,Data!B$4=4),Data!B$16=""),1*(Data!B$8+H!AE7)*4,0))</f>
        <v>0</v>
      </c>
      <c r="E50" s="268">
        <f t="shared" si="0"/>
        <v>0</v>
      </c>
    </row>
    <row r="51" spans="1:5" ht="13">
      <c r="A51" s="276" t="s">
        <v>19364</v>
      </c>
      <c r="B51" s="276" t="s">
        <v>19262</v>
      </c>
      <c r="C51" s="277">
        <v>0.08</v>
      </c>
      <c r="D51" s="279">
        <f>IF(AND(Data!B$3="H",OR(Data!B$4=2,Data!B$4=2.5),Data!B$16=""),1*(Data!B$8+H!AE7)*4,IF(AND(OR(Data!B$3="A",Data!B$3="LH"),OR(Data!B$4=5,Data!B$4=6),Data!B$16=""),1*(Data!B$8+H!AE7)*4,0))</f>
        <v>0</v>
      </c>
      <c r="E51" s="268">
        <f t="shared" si="0"/>
        <v>0</v>
      </c>
    </row>
    <row r="52" spans="1:5" ht="13">
      <c r="A52" s="276" t="s">
        <v>19365</v>
      </c>
      <c r="B52" s="276" t="s">
        <v>19262</v>
      </c>
      <c r="C52" s="277">
        <v>0.14000000000000001</v>
      </c>
      <c r="D52" s="279">
        <f>IF(AND(Data!B$3="H",Data!B$16="",OR(Data!B$4=3.25,Data!B$4=4)),1*(Data!B$8+H!AE7)*4,IF(AND(OR(Data!B$3="A",Data!B$3="LH"),Data!B$16="",OR(Data!B$4=7,Data!B$4=8)),1*(Data!B$8+H!AE7)*4,0))</f>
        <v>0</v>
      </c>
      <c r="E52" s="268">
        <f t="shared" si="0"/>
        <v>0</v>
      </c>
    </row>
    <row r="53" spans="1:5" ht="13">
      <c r="A53" s="276" t="s">
        <v>19366</v>
      </c>
      <c r="B53" s="276" t="s">
        <v>19262</v>
      </c>
      <c r="C53" s="277">
        <v>0.26</v>
      </c>
      <c r="D53" s="279">
        <f>IF(AND(Data!B$3="H",Data!B$4=5,Data!B$16=""),1*(Data!B$8+H!AE7)*4,0)</f>
        <v>48</v>
      </c>
      <c r="E53" s="268">
        <f t="shared" si="0"/>
        <v>12.48</v>
      </c>
    </row>
    <row r="54" spans="1:5" ht="13">
      <c r="A54" s="276" t="s">
        <v>19367</v>
      </c>
      <c r="B54" s="276" t="s">
        <v>19262</v>
      </c>
      <c r="C54" s="277">
        <v>0.36</v>
      </c>
      <c r="D54" s="279">
        <f>IF(AND(Data!B$3="H",Data!B$4=6,Data!B$16=""),1*(Data!B$8+H!AE7)*4,0)</f>
        <v>0</v>
      </c>
      <c r="E54" s="268">
        <f t="shared" si="0"/>
        <v>0</v>
      </c>
    </row>
    <row r="55" spans="1:5" ht="13">
      <c r="A55" s="276" t="s">
        <v>19368</v>
      </c>
      <c r="B55" s="276" t="s">
        <v>19262</v>
      </c>
      <c r="C55" s="277">
        <v>0.44</v>
      </c>
      <c r="D55" s="279">
        <f>IF(AND(Data!B$3="H",Data!B$4=7,Data!B$16=""),1*(Data!B$8+H!AE7)*4,0)</f>
        <v>0</v>
      </c>
      <c r="E55" s="268">
        <f t="shared" si="0"/>
        <v>0</v>
      </c>
    </row>
    <row r="56" spans="1:5" ht="13">
      <c r="A56" s="276" t="s">
        <v>19369</v>
      </c>
      <c r="B56" s="276" t="s">
        <v>19262</v>
      </c>
      <c r="C56" s="277">
        <v>0.6</v>
      </c>
      <c r="D56" s="279">
        <f>IF(AND(Data!B$3="H",Data!B$4=8,Data!B$16=""),1*(Data!B$8+H!AE7)*4,0)</f>
        <v>0</v>
      </c>
      <c r="E56" s="268">
        <f t="shared" si="0"/>
        <v>0</v>
      </c>
    </row>
    <row r="57" spans="1:5" ht="13">
      <c r="A57" s="276" t="s">
        <v>19370</v>
      </c>
      <c r="B57" s="276" t="s">
        <v>19371</v>
      </c>
      <c r="C57" s="277">
        <v>2.2000000000000002</v>
      </c>
      <c r="D57" s="278">
        <f>IF(AND(Data!B$6=0.625,Data!B3="H"),1,0)</f>
        <v>0</v>
      </c>
      <c r="E57" s="268">
        <f t="shared" si="0"/>
        <v>0</v>
      </c>
    </row>
    <row r="58" spans="1:5" ht="13">
      <c r="A58" s="276" t="s">
        <v>19372</v>
      </c>
      <c r="B58" s="276" t="s">
        <v>19371</v>
      </c>
      <c r="C58" s="277">
        <v>2.2000000000000002</v>
      </c>
      <c r="D58" s="278">
        <f>IF(AND(Data!B$6=1,Data!B3="H"),1,0)</f>
        <v>0</v>
      </c>
      <c r="E58" s="268">
        <f t="shared" si="0"/>
        <v>0</v>
      </c>
    </row>
    <row r="59" spans="1:5" ht="13">
      <c r="A59" s="276" t="s">
        <v>19373</v>
      </c>
      <c r="B59" s="276" t="s">
        <v>19371</v>
      </c>
      <c r="C59" s="277">
        <v>2.2000000000000002</v>
      </c>
      <c r="D59" s="278">
        <f>IF(AND(Data!B$6&gt;1.3,Data!B$6&lt;1.4,Data!B3="H"),1,0)</f>
        <v>0</v>
      </c>
      <c r="E59" s="268">
        <f t="shared" si="0"/>
        <v>0</v>
      </c>
    </row>
    <row r="60" spans="1:5" ht="13">
      <c r="A60" s="276" t="s">
        <v>19374</v>
      </c>
      <c r="B60" s="276" t="s">
        <v>19371</v>
      </c>
      <c r="C60" s="277">
        <v>3.3</v>
      </c>
      <c r="D60" s="278">
        <f>IF(AND(Data!B$6=1.75,Data!B3="H"),1,0)</f>
        <v>0</v>
      </c>
      <c r="E60" s="268">
        <f t="shared" si="0"/>
        <v>0</v>
      </c>
    </row>
    <row r="61" spans="1:5" ht="13">
      <c r="A61" s="276" t="s">
        <v>19375</v>
      </c>
      <c r="B61" s="276" t="s">
        <v>19371</v>
      </c>
      <c r="C61" s="277">
        <v>3.3</v>
      </c>
      <c r="D61" s="278">
        <f>IF(AND(Data!B$6=2,Data!B3="H"),1,0)</f>
        <v>1</v>
      </c>
      <c r="E61" s="268">
        <f t="shared" si="0"/>
        <v>3.3</v>
      </c>
    </row>
    <row r="62" spans="1:5" ht="13">
      <c r="A62" s="276" t="s">
        <v>19376</v>
      </c>
      <c r="B62" s="276" t="s">
        <v>19371</v>
      </c>
      <c r="C62" s="277">
        <v>3.3</v>
      </c>
      <c r="D62" s="278">
        <f>IF(AND(Data!B$6=2.5,Data!B3="H"),1,0)</f>
        <v>0</v>
      </c>
      <c r="E62" s="268">
        <f t="shared" si="0"/>
        <v>0</v>
      </c>
    </row>
    <row r="63" spans="1:5" ht="13">
      <c r="A63" s="276" t="s">
        <v>19377</v>
      </c>
      <c r="B63" s="276" t="s">
        <v>19371</v>
      </c>
      <c r="C63" s="277">
        <v>4.4000000000000004</v>
      </c>
      <c r="D63" s="278">
        <f>IF(AND(Data!B$6=3,Data!B3="H"),1,0)</f>
        <v>0</v>
      </c>
      <c r="E63" s="268">
        <f t="shared" si="0"/>
        <v>0</v>
      </c>
    </row>
    <row r="64" spans="1:5" ht="13">
      <c r="A64" s="276" t="s">
        <v>19378</v>
      </c>
      <c r="B64" s="276" t="s">
        <v>19371</v>
      </c>
      <c r="C64" s="277">
        <v>5.5</v>
      </c>
      <c r="D64" s="278">
        <f>IF(AND(Data!B$6=3.5,Data!B3="H"),1,0)</f>
        <v>0</v>
      </c>
      <c r="E64" s="268">
        <f t="shared" si="0"/>
        <v>0</v>
      </c>
    </row>
    <row r="65" spans="1:5" ht="13">
      <c r="A65" s="276" t="s">
        <v>19379</v>
      </c>
      <c r="B65" s="276" t="s">
        <v>19371</v>
      </c>
      <c r="C65" s="277">
        <v>5.5</v>
      </c>
      <c r="D65" s="278">
        <f>IF(AND(Data!B$6=4,Data!B3="H"),1,0)</f>
        <v>0</v>
      </c>
      <c r="E65" s="268">
        <f t="shared" si="0"/>
        <v>0</v>
      </c>
    </row>
    <row r="66" spans="1:5" ht="13">
      <c r="A66" s="276" t="s">
        <v>19380</v>
      </c>
      <c r="B66" s="276" t="s">
        <v>19371</v>
      </c>
      <c r="C66" s="277">
        <v>6.6</v>
      </c>
      <c r="D66" s="278">
        <f>IF(AND(Data!B$6=4.5,Data!B3="H"),1,0)</f>
        <v>0</v>
      </c>
      <c r="E66" s="268">
        <f t="shared" si="0"/>
        <v>0</v>
      </c>
    </row>
    <row r="67" spans="1:5" ht="13">
      <c r="A67" s="276" t="s">
        <v>19381</v>
      </c>
      <c r="B67" s="276" t="s">
        <v>19371</v>
      </c>
      <c r="C67" s="277">
        <v>6.6</v>
      </c>
      <c r="D67" s="278">
        <f>IF(AND(Data!B$6=5,Data!B9="H"),1,0)</f>
        <v>0</v>
      </c>
      <c r="E67" s="268">
        <f t="shared" ref="E67:E130" si="1">D67*C67</f>
        <v>0</v>
      </c>
    </row>
    <row r="68" spans="1:5" ht="13">
      <c r="A68" s="276" t="s">
        <v>19382</v>
      </c>
      <c r="B68" s="276" t="s">
        <v>19371</v>
      </c>
      <c r="C68" s="277">
        <v>8.8000000000000007</v>
      </c>
      <c r="D68" s="278">
        <f>IF(AND(Data!B$6=5.5,Data!B9="H"),1,0)</f>
        <v>0</v>
      </c>
      <c r="E68" s="268">
        <f t="shared" si="1"/>
        <v>0</v>
      </c>
    </row>
    <row r="69" spans="1:5" ht="13">
      <c r="A69" s="276" t="s">
        <v>670</v>
      </c>
      <c r="B69" s="276" t="s">
        <v>670</v>
      </c>
      <c r="C69" s="277">
        <v>88</v>
      </c>
      <c r="D69" s="278">
        <f>IF(Data!B12&gt;0.01,1,0)</f>
        <v>0</v>
      </c>
      <c r="E69" s="268">
        <f t="shared" si="1"/>
        <v>0</v>
      </c>
    </row>
    <row r="70" spans="1:5" ht="13">
      <c r="A70" s="276" t="s">
        <v>19383</v>
      </c>
      <c r="B70" s="276" t="s">
        <v>19384</v>
      </c>
      <c r="C70" s="277">
        <v>0.55000000000000004</v>
      </c>
      <c r="D70" s="279">
        <f>IF(AND(OR(Data!B$3="A",Data!B$3="LH"),Data!B$4=1.5,Data!B$16="Y"),1*(Data!B$8+H!AE7),0)</f>
        <v>0</v>
      </c>
      <c r="E70" s="268">
        <f t="shared" si="1"/>
        <v>0</v>
      </c>
    </row>
    <row r="71" spans="1:5" ht="13">
      <c r="A71" s="276" t="s">
        <v>19385</v>
      </c>
      <c r="B71" s="276" t="s">
        <v>19384</v>
      </c>
      <c r="C71" s="277">
        <v>0.55000000000000004</v>
      </c>
      <c r="D71" s="279">
        <f>IF(AND(OR(Data!B$3="A",Data!B$3="LH"),OR(Data!B$4=2,Data!B$4=2.5),Data!B$16="Y"),1*(Data!B$8+H!AE7)*4,0)</f>
        <v>0</v>
      </c>
      <c r="E71" s="268">
        <f t="shared" si="1"/>
        <v>0</v>
      </c>
    </row>
    <row r="72" spans="1:5" ht="13">
      <c r="A72" s="276" t="s">
        <v>19386</v>
      </c>
      <c r="B72" s="276" t="s">
        <v>19384</v>
      </c>
      <c r="C72" s="277">
        <v>0.66</v>
      </c>
      <c r="D72" s="279">
        <f>IF(AND(Data!B$3="H",Data!B$4=1.5,Data!B$16="Y"),1*(Data!B$8+H!AE7),IF(AND(OR(Data!B$3="A",Data!B$3="LH"),OR(Data!B$4=3.25,Data!B$4=4),Data!B$16="Y"),1*(Data!B$8+H!AE7),0))</f>
        <v>0</v>
      </c>
      <c r="E72" s="268">
        <f t="shared" si="1"/>
        <v>0</v>
      </c>
    </row>
    <row r="73" spans="1:5" ht="13">
      <c r="A73" s="276" t="s">
        <v>19387</v>
      </c>
      <c r="B73" s="276" t="s">
        <v>19384</v>
      </c>
      <c r="C73" s="277">
        <v>0.77</v>
      </c>
      <c r="D73" s="279">
        <f>IF(AND(Data!B$3="H",OR(Data!B$4=2,Data!B$4=2.5),Data!B$16="Y"),1*(Data!B$8+H!AE7),IF(AND(OR(Data!B$3="A",Data!B$3="LH"),OR(Data!B$4=5,Data!B$4=6),Data!B$16="Y"),1*(Data!B$8+H!AE7),0))</f>
        <v>0</v>
      </c>
      <c r="E73" s="268">
        <f t="shared" si="1"/>
        <v>0</v>
      </c>
    </row>
    <row r="74" spans="1:5" ht="13">
      <c r="A74" s="276" t="s">
        <v>19388</v>
      </c>
      <c r="B74" s="276" t="s">
        <v>19384</v>
      </c>
      <c r="C74" s="277">
        <v>0.83</v>
      </c>
      <c r="D74" s="279">
        <f>IF(AND(Data!B$3="H",Data!B$16="Y",OR(Data!B$4=3.25,Data!B$4=4)),1*(Data!B$8+H!AE7),IF(AND(OR(Data!B$3="A",Data!B$3="LH"),Data!B$16="Y",OR(Data!B$4=7,Data!B$4=8)),1*(Data!B$8+H!AE7),0))</f>
        <v>0</v>
      </c>
      <c r="E74" s="268">
        <f t="shared" si="1"/>
        <v>0</v>
      </c>
    </row>
    <row r="75" spans="1:5" ht="13">
      <c r="A75" s="276" t="s">
        <v>19389</v>
      </c>
      <c r="B75" s="276" t="s">
        <v>19384</v>
      </c>
      <c r="C75" s="277">
        <v>1.65</v>
      </c>
      <c r="D75" s="279">
        <f>IF(AND(Data!B$3="H",Data!B$4=5,Data!B$16="Y"),1*(Data!B$8+H!AE7),0)</f>
        <v>0</v>
      </c>
      <c r="E75" s="268">
        <f t="shared" si="1"/>
        <v>0</v>
      </c>
    </row>
    <row r="76" spans="1:5" ht="13">
      <c r="A76" s="276" t="s">
        <v>19390</v>
      </c>
      <c r="B76" s="276" t="s">
        <v>19384</v>
      </c>
      <c r="C76" s="277">
        <v>1.71</v>
      </c>
      <c r="D76" s="279">
        <f>IF(AND(Data!B$3="H",Data!B$4=6,Data!B$16="Y"),1*(Data!B$8+H!AE7),0)</f>
        <v>0</v>
      </c>
      <c r="E76" s="268">
        <f t="shared" si="1"/>
        <v>0</v>
      </c>
    </row>
    <row r="77" spans="1:5" ht="13">
      <c r="A77" s="276" t="s">
        <v>19391</v>
      </c>
      <c r="B77" s="276" t="s">
        <v>19384</v>
      </c>
      <c r="C77" s="277">
        <v>2.2000000000000002</v>
      </c>
      <c r="D77" s="279">
        <f>IF(AND(Data!B$3="H",Data!B$4=7,Data!B$16="Y"),1*(Data!B$8+H!AE7),0)</f>
        <v>0</v>
      </c>
      <c r="E77" s="268">
        <f t="shared" si="1"/>
        <v>0</v>
      </c>
    </row>
    <row r="78" spans="1:5" ht="13">
      <c r="A78" s="276" t="s">
        <v>19392</v>
      </c>
      <c r="B78" s="276" t="s">
        <v>19384</v>
      </c>
      <c r="C78" s="277">
        <v>2.86</v>
      </c>
      <c r="D78" s="279">
        <f>IF(AND(Data!B$3="H",Data!B$4=8,Data!B$16="Y"),1*(Data!B$8+H!AE7),0)</f>
        <v>0</v>
      </c>
      <c r="E78" s="268">
        <f t="shared" si="1"/>
        <v>0</v>
      </c>
    </row>
    <row r="79" spans="1:5" ht="13">
      <c r="A79" s="276" t="s">
        <v>19393</v>
      </c>
      <c r="B79" s="276" t="s">
        <v>19394</v>
      </c>
      <c r="C79" s="277">
        <v>0.83</v>
      </c>
      <c r="D79" s="278">
        <f>IF(AND(Data!B$17="Y",Data!B$6=0.625),1*(Data!B$8+H!AD$7),0)</f>
        <v>0</v>
      </c>
      <c r="E79" s="268">
        <f t="shared" si="1"/>
        <v>0</v>
      </c>
    </row>
    <row r="80" spans="1:5" ht="13">
      <c r="A80" s="276" t="s">
        <v>19395</v>
      </c>
      <c r="B80" s="276" t="s">
        <v>19394</v>
      </c>
      <c r="C80" s="277">
        <v>1.71</v>
      </c>
      <c r="D80" s="278">
        <f>IF(AND(Data!B$17="Y",Data!B$6=1),1*(Data!B$8+H!AD$7),0)</f>
        <v>0</v>
      </c>
      <c r="E80" s="268">
        <f t="shared" si="1"/>
        <v>0</v>
      </c>
    </row>
    <row r="81" spans="1:5" ht="13">
      <c r="A81" s="276" t="s">
        <v>19396</v>
      </c>
      <c r="B81" s="276" t="s">
        <v>19394</v>
      </c>
      <c r="C81" s="277">
        <v>3.07</v>
      </c>
      <c r="D81" s="278">
        <f>IF(AND(Data!B$17="Y",Data!B$6=1.375),1*(Data!B$8+H!AD$7),0)</f>
        <v>0</v>
      </c>
      <c r="E81" s="268">
        <f t="shared" si="1"/>
        <v>0</v>
      </c>
    </row>
    <row r="82" spans="1:5" ht="13">
      <c r="A82" s="276" t="s">
        <v>19397</v>
      </c>
      <c r="B82" s="276" t="s">
        <v>19394</v>
      </c>
      <c r="C82" s="277">
        <v>4.5199999999999996</v>
      </c>
      <c r="D82" s="278">
        <f>IF(AND(Data!B$17="Y",Data!B$6=1.75),1*(Data!B$8+H!AD$7),0)</f>
        <v>0</v>
      </c>
      <c r="E82" s="268">
        <f t="shared" si="1"/>
        <v>0</v>
      </c>
    </row>
    <row r="83" spans="1:5" ht="13">
      <c r="A83" s="276" t="s">
        <v>19398</v>
      </c>
      <c r="B83" s="276" t="s">
        <v>19394</v>
      </c>
      <c r="C83" s="277">
        <v>6.26</v>
      </c>
      <c r="D83" s="278">
        <f>IF(AND(Data!B$17="Y",Data!B$6=2),1*(Data!B$8+H!AD$7),0)</f>
        <v>0</v>
      </c>
      <c r="E83" s="268">
        <f t="shared" si="1"/>
        <v>0</v>
      </c>
    </row>
    <row r="84" spans="1:5" ht="13">
      <c r="A84" s="276" t="s">
        <v>19399</v>
      </c>
      <c r="B84" s="276" t="s">
        <v>19394</v>
      </c>
      <c r="C84" s="277">
        <v>9.24</v>
      </c>
      <c r="D84" s="278">
        <f>IF(AND(Data!B$17="Y",Data!B$6=2.5),1*(Data!B$8+H!AD$7),0)</f>
        <v>0</v>
      </c>
      <c r="E84" s="268">
        <f t="shared" si="1"/>
        <v>0</v>
      </c>
    </row>
    <row r="85" spans="1:5" ht="13">
      <c r="A85" s="276" t="s">
        <v>19400</v>
      </c>
      <c r="B85" s="276" t="s">
        <v>19394</v>
      </c>
      <c r="C85" s="277">
        <v>12.83</v>
      </c>
      <c r="D85" s="278">
        <f>IF(AND(Data!B$17="Y",Data!B$6=3),1*(Data!B$8+H!AD$7),0)</f>
        <v>0</v>
      </c>
      <c r="E85" s="268">
        <f t="shared" si="1"/>
        <v>0</v>
      </c>
    </row>
    <row r="86" spans="1:5" ht="13">
      <c r="A86" s="276" t="s">
        <v>19401</v>
      </c>
      <c r="B86" s="276" t="s">
        <v>19394</v>
      </c>
      <c r="C86" s="277">
        <v>17.46</v>
      </c>
      <c r="D86" s="278">
        <f>IF(AND(Data!B$17="Y",Data!B$6=3.5),1*(Data!B$8+H!AD$7),0)</f>
        <v>0</v>
      </c>
      <c r="E86" s="268">
        <f t="shared" si="1"/>
        <v>0</v>
      </c>
    </row>
    <row r="87" spans="1:5" ht="13">
      <c r="A87" s="276" t="s">
        <v>19402</v>
      </c>
      <c r="B87" s="276" t="s">
        <v>19394</v>
      </c>
      <c r="C87" s="277">
        <v>28.700000000000003</v>
      </c>
      <c r="D87" s="278">
        <f>IF(AND(Data!B$17="Y",Data!B$6=4),1*(Data!B$8+H!AD$7),0)</f>
        <v>0</v>
      </c>
      <c r="E87" s="268">
        <f t="shared" si="1"/>
        <v>0</v>
      </c>
    </row>
    <row r="88" spans="1:5" ht="13">
      <c r="A88" s="276" t="s">
        <v>19403</v>
      </c>
      <c r="B88" s="276" t="s">
        <v>19394</v>
      </c>
      <c r="C88" s="277">
        <v>44</v>
      </c>
      <c r="D88" s="278">
        <f>IF(AND(Data!B$17="Y",Data!B$6=4.5),1*(Data!B$8+H!AD$7),0)</f>
        <v>0</v>
      </c>
      <c r="E88" s="268">
        <f t="shared" si="1"/>
        <v>0</v>
      </c>
    </row>
    <row r="89" spans="1:5" ht="13">
      <c r="A89" s="276" t="s">
        <v>19404</v>
      </c>
      <c r="B89" s="276" t="s">
        <v>19394</v>
      </c>
      <c r="C89" s="277">
        <v>88</v>
      </c>
      <c r="D89" s="278">
        <f>IF(AND(Data!B$17="Y",Data!B$6=5),1*(Data!B$8+H!AD$7),0)</f>
        <v>0</v>
      </c>
      <c r="E89" s="268">
        <f t="shared" si="1"/>
        <v>0</v>
      </c>
    </row>
    <row r="90" spans="1:5" ht="13">
      <c r="A90" s="276" t="s">
        <v>19405</v>
      </c>
      <c r="B90" s="276" t="s">
        <v>19394</v>
      </c>
      <c r="C90" s="277">
        <v>110</v>
      </c>
      <c r="D90" s="278">
        <f>IF(AND(Data!B$17="Y",Data!B$6=5.5),1*(Data!B$8+H!AD$7),0)</f>
        <v>0</v>
      </c>
      <c r="E90" s="268">
        <f t="shared" si="1"/>
        <v>0</v>
      </c>
    </row>
    <row r="91" spans="1:5" ht="13">
      <c r="A91" s="276" t="s">
        <v>19406</v>
      </c>
      <c r="B91" s="276" t="s">
        <v>19407</v>
      </c>
      <c r="C91" s="277">
        <v>2.2000000000000002</v>
      </c>
      <c r="D91" s="278">
        <f>IF(AND(OR(Data!B$3="A",Data!B$3="LH"),Data!B$4=1.5,Data!B$16="Y"),1*8,0)</f>
        <v>0</v>
      </c>
      <c r="E91" s="268">
        <f t="shared" si="1"/>
        <v>0</v>
      </c>
    </row>
    <row r="92" spans="1:5" ht="13">
      <c r="A92" s="276" t="s">
        <v>19408</v>
      </c>
      <c r="B92" s="276" t="s">
        <v>19407</v>
      </c>
      <c r="C92" s="277">
        <v>3.3</v>
      </c>
      <c r="D92" s="278">
        <f>IF(AND(OR(Data!B$3="A",Data!B$3="LH"),OR(Data!B$4=2,Data!B$4=2.5),Data!B$16="Y"),1*8,0)</f>
        <v>0</v>
      </c>
      <c r="E92" s="268">
        <f t="shared" si="1"/>
        <v>0</v>
      </c>
    </row>
    <row r="93" spans="1:5" ht="13">
      <c r="A93" s="276" t="s">
        <v>19409</v>
      </c>
      <c r="B93" s="276" t="s">
        <v>19407</v>
      </c>
      <c r="C93" s="277">
        <v>3.3</v>
      </c>
      <c r="D93" s="278">
        <f>IF(AND(Data!B$3="H",Data!B$4=1.5,Data!B$16="Y"),1*8,IF(AND(OR(Data!B$3="A",Data!B$3="LH"),OR(Data!B$4=3.25,Data!B$4=4),Data!B$16="Y"),1*8,0))</f>
        <v>0</v>
      </c>
      <c r="E93" s="268">
        <f t="shared" si="1"/>
        <v>0</v>
      </c>
    </row>
    <row r="94" spans="1:5" ht="13">
      <c r="A94" s="276" t="s">
        <v>19410</v>
      </c>
      <c r="B94" s="276" t="s">
        <v>19407</v>
      </c>
      <c r="C94" s="277">
        <v>6.6</v>
      </c>
      <c r="D94" s="278">
        <f>IF(AND(Data!B$3="H",OR(Data!B$4=2,Data!B$4=2.5),Data!B$16="Y"),1*8,IF(AND(OR(Data!B$3="A",Data!B$3="LH"),OR(Data!B$4=5,Data!B$4=6),Data!B$16="Y"),1*8,0))</f>
        <v>0</v>
      </c>
      <c r="E94" s="268">
        <f t="shared" si="1"/>
        <v>0</v>
      </c>
    </row>
    <row r="95" spans="1:5" ht="13">
      <c r="A95" s="276" t="s">
        <v>19411</v>
      </c>
      <c r="B95" s="276" t="s">
        <v>19407</v>
      </c>
      <c r="C95" s="277">
        <v>9.9</v>
      </c>
      <c r="D95" s="278">
        <f>IF(AND(Data!B$3="H",OR(Data!B$4=3.25,Data!B$4=4),Data!B$16="Y"),1*8,IF(AND(OR(Data!B$3="A",Data!B$3="LH"),OR(Data!B$4=7,Data!B$4=8),Data!B$16="Y"),1*8,0))</f>
        <v>0</v>
      </c>
      <c r="E95" s="268">
        <f t="shared" si="1"/>
        <v>0</v>
      </c>
    </row>
    <row r="96" spans="1:5" ht="13">
      <c r="A96" s="276" t="s">
        <v>19412</v>
      </c>
      <c r="B96" s="276" t="s">
        <v>19407</v>
      </c>
      <c r="C96" s="277">
        <v>14.3</v>
      </c>
      <c r="D96" s="278">
        <f>IF(AND(Data!B$3="H",Data!B$4=5,Data!B$16="Y"),1*8,0)</f>
        <v>0</v>
      </c>
      <c r="E96" s="268">
        <f t="shared" si="1"/>
        <v>0</v>
      </c>
    </row>
    <row r="97" spans="1:5" ht="13">
      <c r="A97" s="276" t="s">
        <v>19413</v>
      </c>
      <c r="B97" s="276" t="s">
        <v>19407</v>
      </c>
      <c r="C97" s="277">
        <v>15.4</v>
      </c>
      <c r="D97" s="278">
        <f>IF(AND(Data!B$3="H",Data!B$4=6,Data!B$16="Y"),1*8,0)</f>
        <v>0</v>
      </c>
      <c r="E97" s="268">
        <f t="shared" si="1"/>
        <v>0</v>
      </c>
    </row>
    <row r="98" spans="1:5" ht="13">
      <c r="A98" s="276" t="s">
        <v>19414</v>
      </c>
      <c r="B98" s="276" t="s">
        <v>19407</v>
      </c>
      <c r="C98" s="277">
        <v>25.3</v>
      </c>
      <c r="D98" s="278">
        <f>IF(AND(Data!B$3="H",Data!B$4=7,Data!B$16="Y"),1*8,0)</f>
        <v>0</v>
      </c>
      <c r="E98" s="268">
        <f t="shared" si="1"/>
        <v>0</v>
      </c>
    </row>
    <row r="99" spans="1:5" ht="13">
      <c r="A99" s="276" t="s">
        <v>19415</v>
      </c>
      <c r="B99" s="276" t="s">
        <v>19407</v>
      </c>
      <c r="C99" s="277">
        <v>37.4</v>
      </c>
      <c r="D99" s="278">
        <f>IF(AND(Data!B$3="H",Data!B$4=8,Data!B$16="Y"),1*8,0)</f>
        <v>0</v>
      </c>
      <c r="E99" s="268">
        <f t="shared" si="1"/>
        <v>0</v>
      </c>
    </row>
    <row r="100" spans="1:5" ht="13">
      <c r="A100" s="306" t="s">
        <v>442</v>
      </c>
      <c r="B100" s="306" t="s">
        <v>717</v>
      </c>
      <c r="C100" s="307">
        <v>45.1</v>
      </c>
      <c r="D100" s="278">
        <f>IF(AND(Data!G$19&gt;0.1,Acc!M36="X"),Data!G$19,IF(Data!F$26=A100,Data!G$26,IF(Data!F$27=A100,Data!G$27,IF(Data!F$28=A100,Data!G$28,IF(Data!F$29=A100,Data!G$29,IF(Data!F$30=A100,Data!G$30,IF(Data!F$31=A100,Data!G$31,IF(Data!F$32=A100,Data!G$32,0))))))))</f>
        <v>0</v>
      </c>
      <c r="E100" s="268">
        <f t="shared" si="1"/>
        <v>0</v>
      </c>
    </row>
    <row r="101" spans="1:5" ht="13">
      <c r="A101" s="306" t="s">
        <v>694</v>
      </c>
      <c r="B101" s="306" t="s">
        <v>717</v>
      </c>
      <c r="C101" s="307">
        <v>59.4</v>
      </c>
      <c r="D101" s="278">
        <f>IF(AND(Data!G$19&gt;0.1,Acc!M37="X"),Data!G$19,IF(Data!F$26=A101,Data!G$26,IF(Data!F$27=A101,Data!G$27,IF(Data!F$28=A101,Data!G$28,IF(Data!F$29=A101,Data!G$29,IF(Data!F$30=A101,Data!G$30,IF(Data!F$31=A101,Data!G$31,IF(Data!F$32=A101,Data!G$32,0))))))))</f>
        <v>0</v>
      </c>
      <c r="E101" s="268">
        <f t="shared" si="1"/>
        <v>0</v>
      </c>
    </row>
    <row r="102" spans="1:5" ht="13">
      <c r="A102" s="306" t="s">
        <v>500</v>
      </c>
      <c r="B102" s="306" t="s">
        <v>717</v>
      </c>
      <c r="C102" s="307">
        <v>70.400000000000006</v>
      </c>
      <c r="D102" s="278">
        <f>IF(AND(Data!G$19&gt;0.1,Acc!M38="X"),Data!G$19,IF(Data!F$26=A102,Data!G$26,IF(Data!F$27=A102,Data!G$27,IF(Data!F$28=A102,Data!G$28,IF(Data!F$29=A102,Data!G$29,IF(Data!F$30=A102,Data!G$30,IF(Data!F$31=A102,Data!G$31,IF(Data!F$32=A102,Data!G$32,0))))))))</f>
        <v>0</v>
      </c>
      <c r="E102" s="268">
        <f t="shared" si="1"/>
        <v>0</v>
      </c>
    </row>
    <row r="103" spans="1:5" ht="13">
      <c r="A103" s="306" t="s">
        <v>739</v>
      </c>
      <c r="B103" s="306" t="s">
        <v>717</v>
      </c>
      <c r="C103" s="307">
        <v>95.7</v>
      </c>
      <c r="D103" s="278">
        <f>IF(AND(Data!G$19&gt;0.1,Acc!M39="X"),Data!G$19,IF(Data!F$26=A103,Data!G$26,IF(Data!F$27=A103,Data!G$27,IF(Data!F$28=A103,Data!G$28,IF(Data!F$29=A103,Data!G$29,IF(Data!F$30=A103,Data!G$30,IF(Data!F$31=A103,Data!G$31,IF(Data!F$32=A103,Data!G$32,0))))))))</f>
        <v>0</v>
      </c>
      <c r="E103" s="268">
        <f t="shared" si="1"/>
        <v>0</v>
      </c>
    </row>
    <row r="104" spans="1:5" ht="13">
      <c r="A104" s="306" t="s">
        <v>740</v>
      </c>
      <c r="B104" s="306" t="s">
        <v>717</v>
      </c>
      <c r="C104" s="307">
        <v>132</v>
      </c>
      <c r="D104" s="278">
        <f>IF(AND(Data!G$19&gt;0.1,Acc!M40="X"),Data!G$19,IF(Data!F$26=A104,Data!G$26,IF(Data!F$27=A104,Data!G$27,IF(Data!F$28=A104,Data!G$28,IF(Data!F$29=A104,Data!G$29,IF(Data!F$30=A104,Data!G$30,IF(Data!F$31=A104,Data!G$31,IF(Data!F$32=A104,Data!G$32,0))))))))</f>
        <v>0</v>
      </c>
      <c r="E104" s="268">
        <f t="shared" si="1"/>
        <v>0</v>
      </c>
    </row>
    <row r="105" spans="1:5" ht="13">
      <c r="A105" s="306" t="s">
        <v>434</v>
      </c>
      <c r="B105" s="306" t="s">
        <v>717</v>
      </c>
      <c r="C105" s="307">
        <v>193.6</v>
      </c>
      <c r="D105" s="278">
        <f>IF(AND(Data!G$19&gt;0.1,Acc!M41="X"),Data!G$19,IF(Data!F$26=A105,Data!G$26,IF(Data!F$27=A105,Data!G$27,IF(Data!F$28=A105,Data!G$28,IF(Data!F$29=A105,Data!G$29,IF(Data!F$30=A105,Data!G$30,IF(Data!F$31=A105,Data!G$31,IF(Data!F$32=A105,Data!G$32,0))))))))</f>
        <v>0</v>
      </c>
      <c r="E105" s="268">
        <f t="shared" si="1"/>
        <v>0</v>
      </c>
    </row>
    <row r="106" spans="1:5" ht="13">
      <c r="A106" s="306" t="s">
        <v>291</v>
      </c>
      <c r="B106" s="306" t="s">
        <v>717</v>
      </c>
      <c r="C106" s="307">
        <v>256.3</v>
      </c>
      <c r="D106" s="278">
        <f>IF(AND(Data!G$19&gt;0.1,Acc!M42="X"),Data!G$19,IF(Data!F$26=A106,Data!G$26,IF(Data!F$27=A106,Data!G$27,IF(Data!F$28=A106,Data!G$28,IF(Data!F$29=A106,Data!G$29,IF(Data!F$30=A106,Data!G$30,IF(Data!F$31=A106,Data!G$31,IF(Data!F$32=A106,Data!G$32,0))))))))</f>
        <v>0</v>
      </c>
      <c r="E106" s="268">
        <f t="shared" si="1"/>
        <v>0</v>
      </c>
    </row>
    <row r="107" spans="1:5" ht="13">
      <c r="A107" s="306" t="s">
        <v>464</v>
      </c>
      <c r="B107" s="306" t="s">
        <v>717</v>
      </c>
      <c r="C107" s="307">
        <v>322.3</v>
      </c>
      <c r="D107" s="278">
        <f>IF(AND(Data!G$19&gt;0.1,Acc!M43="X"),Data!G$19,IF(Data!F$26=A107,Data!G$26,IF(Data!F$27=A107,Data!G$27,IF(Data!F$28=A107,Data!G$28,IF(Data!F$29=A107,Data!G$29,IF(Data!F$30=A107,Data!G$30,IF(Data!F$31=A107,Data!G$31,IF(Data!F$32=A107,Data!G$32,0))))))))</f>
        <v>0</v>
      </c>
      <c r="E107" s="268">
        <f t="shared" si="1"/>
        <v>0</v>
      </c>
    </row>
    <row r="108" spans="1:5" ht="13">
      <c r="A108" s="306" t="s">
        <v>199</v>
      </c>
      <c r="B108" s="306" t="s">
        <v>717</v>
      </c>
      <c r="C108" s="307">
        <v>397.1</v>
      </c>
      <c r="D108" s="278">
        <f>IF(AND(Data!G$19&gt;0.1,Acc!M44="X"),Data!G$19,IF(Data!F$26=A108,Data!G$26,IF(Data!F$27=A108,Data!G$27,IF(Data!F$28=A108,Data!G$28,IF(Data!F$29=A108,Data!G$29,IF(Data!F$30=A108,Data!G$30,IF(Data!F$31=A108,Data!G$31,IF(Data!F$32=A108,Data!G$32,0))))))))</f>
        <v>0</v>
      </c>
      <c r="E108" s="268">
        <f t="shared" si="1"/>
        <v>0</v>
      </c>
    </row>
    <row r="109" spans="1:5" ht="13">
      <c r="A109" s="306" t="s">
        <v>101</v>
      </c>
      <c r="B109" s="306" t="s">
        <v>717</v>
      </c>
      <c r="C109" s="307">
        <v>434.5</v>
      </c>
      <c r="D109" s="278">
        <f>IF(AND(Data!G$19&gt;0.1,Acc!M45="X"),Data!G$19,IF(Data!F$26=A109,Data!G$26,IF(Data!F$27=A109,Data!G$27,IF(Data!F$28=A109,Data!G$28,IF(Data!F$29=A109,Data!G$29,IF(Data!F$30=A109,Data!G$30,IF(Data!F$31=A109,Data!G$31,IF(Data!F$32=A109,Data!G$32,0))))))))</f>
        <v>0</v>
      </c>
      <c r="E109" s="268">
        <f t="shared" si="1"/>
        <v>0</v>
      </c>
    </row>
    <row r="110" spans="1:5" ht="13">
      <c r="A110" s="306" t="s">
        <v>422</v>
      </c>
      <c r="B110" s="306" t="s">
        <v>19416</v>
      </c>
      <c r="C110" s="307">
        <v>42.9</v>
      </c>
      <c r="D110" s="278">
        <f>IF(AND(Data!G$14&gt;0.1,Acc!M22="X"),Data!G$14,IF(Data!F$26=A110,Data!G$26,IF(Data!F$27=A110,Data!G$27,IF(Data!F$28=A110,Data!G$28,IF(Data!F$29=A110,Data!G$29,IF(Data!F$30=A110,Data!G$30,IF(Data!F$31=A110,Data!G$31,IF(Data!F$32=A110,Data!G$32,0))))))))</f>
        <v>0</v>
      </c>
      <c r="E110" s="268">
        <f t="shared" si="1"/>
        <v>0</v>
      </c>
    </row>
    <row r="111" spans="1:5" ht="13">
      <c r="A111" s="306" t="s">
        <v>741</v>
      </c>
      <c r="B111" s="306" t="s">
        <v>19417</v>
      </c>
      <c r="C111" s="307">
        <v>47.3</v>
      </c>
      <c r="D111" s="278">
        <f>IF(AND(Data!G$14&gt;0.1,Acc!M24="X"),Data!G$14,IF(Data!F$26=A111,Data!G$26,IF(Data!F$27=A111,Data!G$27,IF(Data!F$28=A111,Data!G$28,IF(Data!F$29=A111,Data!G$29,IF(Data!F$30=A111,Data!G$30,IF(Data!F$31=A111,Data!G$31,IF(Data!F$32=A111,Data!G$32,0))))))))</f>
        <v>0</v>
      </c>
      <c r="E111" s="268">
        <f t="shared" si="1"/>
        <v>0</v>
      </c>
    </row>
    <row r="112" spans="1:5" ht="13">
      <c r="A112" s="306" t="s">
        <v>662</v>
      </c>
      <c r="B112" s="306" t="s">
        <v>19418</v>
      </c>
      <c r="C112" s="277">
        <v>57.2</v>
      </c>
      <c r="D112" s="278">
        <f>IF(AND(Data!G$14&gt;0.1,Acc!M26="X"),Data!G$14,IF(Data!F$26=A112,Data!G$26,IF(Data!F$27=A112,Data!G$27,IF(Data!F$28=A112,Data!G$28,IF(Data!F$29=A112,Data!G$29,IF(Data!F$30=A112,Data!G$30,IF(Data!F$31=A112,Data!G$31,IF(Data!F$32=A112,Data!G$32,0))))))))</f>
        <v>0</v>
      </c>
      <c r="E112" s="268">
        <f t="shared" si="1"/>
        <v>0</v>
      </c>
    </row>
    <row r="113" spans="1:5" ht="13">
      <c r="A113" s="306" t="s">
        <v>536</v>
      </c>
      <c r="B113" s="306" t="s">
        <v>19419</v>
      </c>
      <c r="C113" s="307">
        <v>284.89999999999998</v>
      </c>
      <c r="D113" s="278">
        <f>IF(AND(Data!G$14&gt;0.1,Acc!M30="X"),Data!G$14,IF(Data!F$26=A113,Data!G$26,IF(Data!F$27=A113,Data!G$27,IF(Data!F$28=A113,Data!G$28,IF(Data!F$29=A113,Data!G$29,IF(Data!F$30=A113,Data!G$30,IF(Data!F$31=A113,Data!G$31,IF(Data!F$32=A113,Data!G$32,0))))))))</f>
        <v>0</v>
      </c>
      <c r="E113" s="268">
        <f t="shared" si="1"/>
        <v>0</v>
      </c>
    </row>
    <row r="114" spans="1:5" ht="13">
      <c r="A114" s="306" t="s">
        <v>699</v>
      </c>
      <c r="B114" s="306" t="s">
        <v>19420</v>
      </c>
      <c r="C114" s="307">
        <v>90.2</v>
      </c>
      <c r="D114" s="278">
        <f>IF(AND(Data!G$14&gt;0.1,Acc!M27="X"),Data!G$14,IF(Data!F$26=A114,Data!G$26,IF(Data!F$27=A114,Data!G$27,IF(Data!F$28=A114,Data!G$28,IF(Data!F$29=A114,Data!G$29,IF(Data!F$30=A114,Data!G$30,IF(Data!F$31=A114,Data!G$31,IF(Data!F$32=A114,Data!G$32,0))))))))</f>
        <v>0</v>
      </c>
      <c r="E114" s="268">
        <f t="shared" si="1"/>
        <v>0</v>
      </c>
    </row>
    <row r="115" spans="1:5" ht="13">
      <c r="A115" s="306" t="s">
        <v>188</v>
      </c>
      <c r="B115" s="306" t="s">
        <v>19421</v>
      </c>
      <c r="C115" s="307">
        <v>159.5</v>
      </c>
      <c r="D115" s="278">
        <f>IF(AND(Data!G$14&gt;0.1,Acc!M28="X"),Data!G$14,IF(Data!F$26=A115,Data!G$26,IF(Data!F$27=A115,Data!G$27,IF(Data!F$28=A115,Data!G$28,IF(Data!F$29=A115,Data!G$29,IF(Data!F$30=A115,Data!G$30,IF(Data!F$31=A115,Data!G$31,IF(Data!F$32=A115,Data!G$32,0))))))))</f>
        <v>0</v>
      </c>
      <c r="E115" s="268">
        <f t="shared" si="1"/>
        <v>0</v>
      </c>
    </row>
    <row r="116" spans="1:5" ht="13">
      <c r="A116" s="306" t="s">
        <v>681</v>
      </c>
      <c r="B116" s="306" t="s">
        <v>19422</v>
      </c>
      <c r="C116" s="307">
        <v>57.2</v>
      </c>
      <c r="D116" s="278">
        <f>IF(AND(Data!G$15&gt;0.1,Acc!M22="X"),Data!G$15,IF(Data!F$26=A116,Data!G$26,IF(Data!F$27=A116,Data!G$27,IF(Data!F$28=A116,Data!G$28,IF(Data!F$29=A116,Data!G$29,IF(Data!F$30=A116,Data!G$30,IF(Data!F$31=A116,Data!G$31,IF(Data!F$32=A116,Data!G$32,0))))))))</f>
        <v>0</v>
      </c>
      <c r="E116" s="268">
        <f t="shared" si="1"/>
        <v>0</v>
      </c>
    </row>
    <row r="117" spans="1:5" ht="13">
      <c r="A117" s="306" t="s">
        <v>308</v>
      </c>
      <c r="B117" s="306" t="s">
        <v>19422</v>
      </c>
      <c r="C117" s="307">
        <v>91.3</v>
      </c>
      <c r="D117" s="278">
        <f>IF(AND(Data!G$15&gt;0.1,Acc!M24="X"),Data!G$15,IF(Data!F$26=A117,Data!G$26,IF(Data!F$27=A117,Data!G$27,IF(Data!F$28=A117,Data!G$28,IF(Data!F$29=A117,Data!G$29,IF(Data!F$30=A117,Data!G$30,IF(Data!F$31=A117,Data!G$31,IF(Data!F$32=A117,Data!G$32,0))))))))</f>
        <v>0</v>
      </c>
      <c r="E117" s="268">
        <f t="shared" si="1"/>
        <v>0</v>
      </c>
    </row>
    <row r="118" spans="1:5" ht="13">
      <c r="A118" s="306" t="s">
        <v>855</v>
      </c>
      <c r="B118" s="306" t="s">
        <v>19422</v>
      </c>
      <c r="C118" s="307">
        <v>114.4</v>
      </c>
      <c r="D118" s="278">
        <f>IF(AND(Data!G$15&gt;0.1,Acc!M26="X"),Data!G$15,IF(Data!F$26=A118,Data!G$26,IF(Data!F$27=A118,Data!G$27,IF(Data!F$28=A118,Data!G$28,IF(Data!F$29=A118,Data!G$29,IF(Data!F$30=A118,Data!G$30,IF(Data!F$31=A118,Data!G$31,IF(Data!F$32=A118,Data!G$32,0))))))))</f>
        <v>0</v>
      </c>
      <c r="E118" s="268">
        <f t="shared" si="1"/>
        <v>0</v>
      </c>
    </row>
    <row r="119" spans="1:5" ht="13">
      <c r="A119" s="306" t="s">
        <v>19423</v>
      </c>
      <c r="B119" s="306" t="s">
        <v>19422</v>
      </c>
      <c r="C119" s="307">
        <v>171.6</v>
      </c>
      <c r="D119" s="278">
        <f>IF(AND(Data!G$15&gt;0.1,Acc!M27="X"),Data!G$15,IF(Data!F$26=A119,Data!G$26,IF(Data!F$27=A119,Data!G$27,IF(Data!F$28=A119,Data!G$28,IF(Data!F$29=A119,Data!G$29,IF(Data!F$30=A119,Data!G$30,IF(Data!F$31=A119,Data!G$31,IF(Data!F$32=A119,Data!G$32,0))))))))</f>
        <v>0</v>
      </c>
      <c r="E119" s="268">
        <f t="shared" si="1"/>
        <v>0</v>
      </c>
    </row>
    <row r="120" spans="1:5" ht="13">
      <c r="A120" s="306" t="s">
        <v>19424</v>
      </c>
      <c r="B120" s="306" t="s">
        <v>19422</v>
      </c>
      <c r="C120" s="307">
        <v>311.3</v>
      </c>
      <c r="D120" s="278">
        <f>IF(AND(Data!G$15&gt;0.1,Acc!M28="X"),Data!G$15,IF(Data!F$26=A120,Data!G$26,IF(Data!F$27=A120,Data!G$27,IF(Data!F$28=A120,Data!G$28,IF(Data!F$29=A120,Data!G$29,IF(Data!F$30=A120,Data!G$30,IF(Data!F$31=A120,Data!G$31,IF(Data!F$32=A120,Data!G$32,0))))))))</f>
        <v>0</v>
      </c>
      <c r="E120" s="268">
        <f t="shared" si="1"/>
        <v>0</v>
      </c>
    </row>
    <row r="121" spans="1:5" ht="13">
      <c r="A121" s="306" t="s">
        <v>576</v>
      </c>
      <c r="B121" s="306" t="s">
        <v>19422</v>
      </c>
      <c r="C121" s="307">
        <v>488.4</v>
      </c>
      <c r="D121" s="278">
        <f>IF(AND(Data!G$15&gt;0.1,Acc!M30="X"),Data!G$15,IF(Data!F$26=A121,Data!G$26,IF(Data!F$27=A121,Data!G$27,IF(Data!F$28=A121,Data!G$28,IF(Data!F$29=A121,Data!G$29,IF(Data!F$30=A121,Data!G$30,IF(Data!F$31=A121,Data!G$31,IF(Data!F$32=A121,Data!G$32,0))))))))</f>
        <v>0</v>
      </c>
      <c r="E121" s="268">
        <f t="shared" si="1"/>
        <v>0</v>
      </c>
    </row>
    <row r="122" spans="1:5" ht="13">
      <c r="A122" s="306" t="s">
        <v>612</v>
      </c>
      <c r="B122" s="306" t="s">
        <v>90</v>
      </c>
      <c r="C122" s="307">
        <v>18.7</v>
      </c>
      <c r="D122" s="278">
        <f>IF(AND(Data!G$20&gt;0.1,Acc!Q39="X"),Data!G$20,IF(Data!F$26=A122,Data!G$26,IF(Data!F$27=A122,Data!G$27,IF(Data!F$28=A122,Data!G$28,IF(Data!F$29=A122,Data!G$29,IF(Data!F$30=A122,Data!G$30,IF(Data!F$31=A122,Data!G$31,IF(Data!F$32=A122,Data!G$32,0))))))))</f>
        <v>0</v>
      </c>
      <c r="E122" s="268">
        <f t="shared" si="1"/>
        <v>0</v>
      </c>
    </row>
    <row r="123" spans="1:5" ht="13">
      <c r="A123" s="306" t="s">
        <v>522</v>
      </c>
      <c r="B123" s="306" t="s">
        <v>413</v>
      </c>
      <c r="C123" s="307">
        <v>14.3</v>
      </c>
      <c r="D123" s="278">
        <f>IF(AND(Data!G$20&gt;0.1,Acc!Q36="X"),Data!G$20,IF(Data!F$26=A123,Data!G$26,IF(Data!F$27=A123,Data!G$27,IF(Data!F$28=A123,Data!G$28,IF(Data!F$29=A123,Data!G$29,IF(Data!F$30=A123,Data!G$30,IF(Data!F$31=A123,Data!G$31,IF(Data!F$32=A123,Data!G$32,0))))))))</f>
        <v>0</v>
      </c>
      <c r="E123" s="268">
        <f t="shared" si="1"/>
        <v>0</v>
      </c>
    </row>
    <row r="124" spans="1:5" ht="13">
      <c r="A124" s="306" t="s">
        <v>202</v>
      </c>
      <c r="B124" s="306" t="s">
        <v>718</v>
      </c>
      <c r="C124" s="307">
        <v>17.600000000000001</v>
      </c>
      <c r="D124" s="278">
        <f>IF(AND(Data!G$20&gt;0.1,Acc!Q38="X"),Data!G$20,IF(Data!F$26=A124,Data!G$26,IF(Data!F$27=A124,Data!G$27,IF(Data!F$28=A124,Data!G$28,IF(Data!F$29=A124,Data!G$29,IF(Data!F$30=A124,Data!G$30,IF(Data!F$31=A124,Data!G$31,IF(Data!F$32=A124,Data!G$32,0))))))))</f>
        <v>0</v>
      </c>
      <c r="E124" s="268">
        <f t="shared" si="1"/>
        <v>0</v>
      </c>
    </row>
    <row r="125" spans="1:5" ht="13">
      <c r="A125" s="306" t="s">
        <v>201</v>
      </c>
      <c r="B125" s="306" t="s">
        <v>502</v>
      </c>
      <c r="C125" s="307">
        <v>47.3</v>
      </c>
      <c r="D125" s="278">
        <f>IF(AND(Data!G$20&gt;0.1,Acc!Q45="X"),Data!G$20,IF(Data!F$26=A125,Data!G$26,IF(Data!F$27=A125,Data!G$27,IF(Data!F$28=A125,Data!G$28,IF(Data!F$29=A125,Data!G$29,IF(Data!F$30=A125,Data!G$30,IF(Data!F$31=A125,Data!G$31,IF(Data!F$32=A125,Data!G$32,0))))))))</f>
        <v>0</v>
      </c>
      <c r="E125" s="268">
        <f t="shared" si="1"/>
        <v>0</v>
      </c>
    </row>
    <row r="126" spans="1:5" ht="13">
      <c r="A126" s="306" t="s">
        <v>452</v>
      </c>
      <c r="B126" s="306" t="s">
        <v>129</v>
      </c>
      <c r="C126" s="307">
        <v>20.9</v>
      </c>
      <c r="D126" s="278">
        <f>IF(AND(Data!G$20&gt;0.1,Acc!Q40="X"),Data!G$20,IF(Data!F$26=A126,Data!G$26,IF(Data!F$27=A126,Data!G$27,IF(Data!F$28=A126,Data!G$28,IF(Data!F$29=A126,Data!G$29,IF(Data!F$30=A126,Data!G$30,IF(Data!F$31=A126,Data!G$31,IF(Data!F$32=A126,Data!G$32,0))))))))</f>
        <v>0</v>
      </c>
      <c r="E126" s="268">
        <f t="shared" si="1"/>
        <v>0</v>
      </c>
    </row>
    <row r="127" spans="1:5" ht="13">
      <c r="A127" s="306" t="s">
        <v>207</v>
      </c>
      <c r="B127" s="306" t="s">
        <v>570</v>
      </c>
      <c r="C127" s="307">
        <v>16.5</v>
      </c>
      <c r="D127" s="278">
        <f>IF(AND(Data!G$20&gt;0.1,Acc!Q37="X"),Data!G$20,IF(Data!F$26=A127,Data!G$26,IF(Data!F$27=A127,Data!G$27,IF(Data!F$28=A127,Data!G$28,IF(Data!F$29=A127,Data!G$29,IF(Data!F$30=A127,Data!G$30,IF(Data!F$31=A127,Data!G$31,IF(Data!F$32=A127,Data!G$32,0))))))))</f>
        <v>0</v>
      </c>
      <c r="E127" s="268">
        <f t="shared" si="1"/>
        <v>0</v>
      </c>
    </row>
    <row r="128" spans="1:5" ht="13">
      <c r="A128" s="306" t="s">
        <v>206</v>
      </c>
      <c r="B128" s="306" t="s">
        <v>455</v>
      </c>
      <c r="C128" s="307">
        <v>39.6</v>
      </c>
      <c r="D128" s="278">
        <f>IF(AND(Data!G$20&gt;0.1,Acc!Q44="X"),Data!G$20,IF(Data!F$26=A128,Data!G$26,IF(Data!F$27=A128,Data!G$27,IF(Data!F$28=A128,Data!G$28,IF(Data!F$29=A128,Data!G$29,IF(Data!F$30=A128,Data!G$30,IF(Data!F$31=A128,Data!G$31,IF(Data!F$32=A128,Data!G$32,0))))))))</f>
        <v>0</v>
      </c>
      <c r="E128" s="268">
        <f t="shared" si="1"/>
        <v>0</v>
      </c>
    </row>
    <row r="129" spans="1:5" ht="13">
      <c r="A129" s="306" t="s">
        <v>205</v>
      </c>
      <c r="B129" s="306" t="s">
        <v>106</v>
      </c>
      <c r="C129" s="307">
        <v>31.9</v>
      </c>
      <c r="D129" s="278">
        <f>IF(AND(Data!G$20&gt;0.1,Acc!Q43="X"),Data!G$20,IF(Data!F$26=A129,Data!G$26,IF(Data!F$27=A129,Data!G$27,IF(Data!F$28=A129,Data!G$28,IF(Data!F$29=A129,Data!G$29,IF(Data!F$30=A129,Data!G$30,IF(Data!F$31=A129,Data!G$31,IF(Data!F$32=A129,Data!G$32,0))))))))</f>
        <v>0</v>
      </c>
      <c r="E129" s="268">
        <f t="shared" si="1"/>
        <v>0</v>
      </c>
    </row>
    <row r="130" spans="1:5" ht="13">
      <c r="A130" s="306" t="s">
        <v>164</v>
      </c>
      <c r="B130" s="306" t="s">
        <v>198</v>
      </c>
      <c r="C130" s="307">
        <v>22</v>
      </c>
      <c r="D130" s="278">
        <f>IF(AND(Data!G$20&gt;0.1,Acc!Q41="X"),Data!G$20,IF(Data!F$26=A130,Data!G$26,IF(Data!F$27=A130,Data!G$27,IF(Data!F$28=A130,Data!G$28,IF(Data!F$29=A130,Data!G$29,IF(Data!F$30=A130,Data!G$30,IF(Data!F$31=A130,Data!G$31,IF(Data!F$32=A130,Data!G$32,0))))))))</f>
        <v>0</v>
      </c>
      <c r="E130" s="268">
        <f t="shared" si="1"/>
        <v>0</v>
      </c>
    </row>
    <row r="131" spans="1:5" ht="13">
      <c r="A131" s="306" t="s">
        <v>163</v>
      </c>
      <c r="B131" s="306" t="s">
        <v>454</v>
      </c>
      <c r="C131" s="307">
        <v>24.2</v>
      </c>
      <c r="D131" s="278">
        <f>IF(AND(Data!G$20&gt;0.1,Acc!Q42="X"),Data!G$20,IF(Data!F$26=A131,Data!G$26,IF(Data!F$27=A131,Data!G$27,IF(Data!F$28=A131,Data!G$28,IF(Data!F$29=A131,Data!G$29,IF(Data!F$30=A131,Data!G$30,IF(Data!F$31=A131,Data!G$31,IF(Data!F$32=A131,Data!G$32,0))))))))</f>
        <v>0</v>
      </c>
      <c r="E131" s="268">
        <f t="shared" ref="E131:E194" si="2">D131*C131</f>
        <v>0</v>
      </c>
    </row>
    <row r="132" spans="1:5" ht="13">
      <c r="A132" s="306" t="s">
        <v>546</v>
      </c>
      <c r="B132" s="306" t="s">
        <v>184</v>
      </c>
      <c r="C132" s="307">
        <v>20.9</v>
      </c>
      <c r="D132" s="308">
        <f>IF(AND(Data!G$9&gt;0.1,Acc!M8="X"),Data!G$9,IF(Data!F$26=A132,Data!G$26,IF(Data!F$27=A132,Data!G$27,IF(Data!F$28=A132,Data!G$28,IF(Data!F$29=A132,Data!G$29,IF(Data!F$30=A132,Data!G$30,IF(Data!F$31=A132,Data!G$31,IF(Data!F$32=A132,Data!G$32,0))))))))</f>
        <v>0</v>
      </c>
      <c r="E132" s="268">
        <f t="shared" si="2"/>
        <v>0</v>
      </c>
    </row>
    <row r="133" spans="1:5" ht="13">
      <c r="A133" s="306" t="s">
        <v>693</v>
      </c>
      <c r="B133" s="306" t="s">
        <v>404</v>
      </c>
      <c r="C133" s="307">
        <v>8.8000000000000007</v>
      </c>
      <c r="D133" s="308">
        <f>IF(AND(Data!G$9&gt;0.1,Acc!M5="X"),Data!G$9,IF(Data!F$26=A133,Data!G$26,IF(Data!F$27=A133,Data!G$27,IF(Data!F$28=A133,Data!G$28,IF(Data!F$29=A133,Data!G$29,IF(Data!F$30=A133,Data!G$30,IF(Data!F$31=A133,Data!G$31,IF(Data!F$32=A133,Data!G$32,0))))))))</f>
        <v>0</v>
      </c>
      <c r="E133" s="268">
        <f t="shared" si="2"/>
        <v>0</v>
      </c>
    </row>
    <row r="134" spans="1:5" ht="13">
      <c r="A134" s="306" t="s">
        <v>94</v>
      </c>
      <c r="B134" s="306" t="s">
        <v>733</v>
      </c>
      <c r="C134" s="307">
        <v>687.5</v>
      </c>
      <c r="D134" s="308">
        <f>IF(AND(Data!G$9&gt;0.1,Acc!M19="X"),Data!G$9,IF(Data!F$26=A134,Data!G$26,IF(Data!F$27=A134,Data!G$27,IF(Data!F$28=A134,Data!G$28,IF(Data!F$29=A134,Data!G$29,IF(Data!F$30=A134,Data!G$30,IF(Data!F$31=A134,Data!G$31,IF(Data!F$32=A134,Data!G$32,0))))))))</f>
        <v>0</v>
      </c>
      <c r="E134" s="268">
        <f t="shared" si="2"/>
        <v>0</v>
      </c>
    </row>
    <row r="135" spans="1:5" ht="13">
      <c r="A135" s="306" t="s">
        <v>237</v>
      </c>
      <c r="B135" s="306" t="s">
        <v>729</v>
      </c>
      <c r="C135" s="307">
        <v>18.7</v>
      </c>
      <c r="D135" s="308">
        <f>IF(AND(Data!G$9&gt;0.1,Acc!M6="X"),Data!G$9,IF(Data!F$26=A135,Data!G$26,IF(Data!F$27=A135,Data!G$27,IF(Data!F$28=A135,Data!G$28,IF(Data!F$29=A135,Data!G$29,IF(Data!F$30=A135,Data!G$30,IF(Data!F$31=A135,Data!G$31,IF(Data!F$32=A135,Data!G$32,0))))))))</f>
        <v>0</v>
      </c>
      <c r="E135" s="268">
        <f t="shared" si="2"/>
        <v>0</v>
      </c>
    </row>
    <row r="136" spans="1:5" ht="13">
      <c r="A136" s="306" t="s">
        <v>515</v>
      </c>
      <c r="B136" s="306" t="s">
        <v>108</v>
      </c>
      <c r="C136" s="307">
        <v>465.3</v>
      </c>
      <c r="D136" s="308">
        <f>IF(AND(Data!G$9&gt;0.1,Acc!M17="X"),Data!G$9,IF(Data!F$26=A136,Data!G$26,IF(Data!F$27=A136,Data!G$27,IF(Data!F$28=A136,Data!G$28,IF(Data!F$29=A136,Data!G$29,IF(Data!F$30=A136,Data!G$30,IF(Data!F$31=A136,Data!G$31,IF(Data!F$32=A136,Data!G$32,0))))))))</f>
        <v>0</v>
      </c>
      <c r="E136" s="268">
        <f t="shared" si="2"/>
        <v>0</v>
      </c>
    </row>
    <row r="137" spans="1:5" ht="13">
      <c r="A137" s="306" t="s">
        <v>93</v>
      </c>
      <c r="B137" s="306" t="s">
        <v>426</v>
      </c>
      <c r="C137" s="307">
        <v>542.29999999999995</v>
      </c>
      <c r="D137" s="308">
        <f>IF(AND(Data!G$9&gt;0.1,Acc!M18="X"),Data!G$9,IF(Data!F$26=A137,Data!G$26,IF(Data!F$27=A137,Data!G$27,IF(Data!F$28=A137,Data!G$28,IF(Data!F$29=A137,Data!G$29,IF(Data!F$30=A137,Data!G$30,IF(Data!F$31=A137,Data!G$31,IF(Data!F$32=A137,Data!G$32,0))))))))</f>
        <v>0</v>
      </c>
      <c r="E137" s="268">
        <f t="shared" si="2"/>
        <v>0</v>
      </c>
    </row>
    <row r="138" spans="1:5" ht="13">
      <c r="A138" s="306" t="s">
        <v>514</v>
      </c>
      <c r="B138" s="306" t="s">
        <v>326</v>
      </c>
      <c r="C138" s="307">
        <v>387.2</v>
      </c>
      <c r="D138" s="308">
        <f>IF(AND(Data!G$9&gt;0.1,Acc!M16="X"),Data!G$9,IF(Data!F$26=A138,Data!G$26,IF(Data!F$27=A138,Data!G$27,IF(Data!F$28=A138,Data!G$28,IF(Data!F$29=A138,Data!G$29,IF(Data!F$30=A138,Data!G$30,IF(Data!F$31=A138,Data!G$31,IF(Data!F$32=A138,Data!G$32,0))))))))</f>
        <v>0</v>
      </c>
      <c r="E138" s="268">
        <f t="shared" si="2"/>
        <v>0</v>
      </c>
    </row>
    <row r="139" spans="1:5" ht="13">
      <c r="A139" s="306" t="s">
        <v>513</v>
      </c>
      <c r="B139" s="306" t="s">
        <v>660</v>
      </c>
      <c r="C139" s="307">
        <v>170.5</v>
      </c>
      <c r="D139" s="308">
        <f>IF(AND(Data!G$9&gt;0.1,Acc!M14="X"),Data!G$9,IF(Data!F$26=A139,Data!G$26,IF(Data!F$27=A139,Data!G$27,IF(Data!F$28=A139,Data!G$28,IF(Data!F$29=A139,Data!G$29,IF(Data!F$30=A139,Data!G$30,IF(Data!F$31=A139,Data!G$31,IF(Data!F$32=A139,Data!G$32,0))))))))</f>
        <v>0</v>
      </c>
      <c r="E139" s="268">
        <f t="shared" si="2"/>
        <v>0</v>
      </c>
    </row>
    <row r="140" spans="1:5" ht="13">
      <c r="A140" s="306" t="s">
        <v>439</v>
      </c>
      <c r="B140" s="306" t="s">
        <v>441</v>
      </c>
      <c r="C140" s="307">
        <v>294.8</v>
      </c>
      <c r="D140" s="308">
        <f>IF(AND(Data!G$9&gt;0.1,Acc!M15="X"),Data!G$9,IF(Data!F$26=A140,Data!G$26,IF(Data!F$27=A140,Data!G$27,IF(Data!F$28=A140,Data!G$28,IF(Data!F$29=A140,Data!G$29,IF(Data!F$30=A140,Data!G$30,IF(Data!F$31=A140,Data!G$31,IF(Data!F$32=A140,Data!G$32,0))))))))</f>
        <v>0</v>
      </c>
      <c r="E140" s="268">
        <f t="shared" si="2"/>
        <v>0</v>
      </c>
    </row>
    <row r="141" spans="1:5" ht="13">
      <c r="A141" s="306" t="s">
        <v>339</v>
      </c>
      <c r="B141" s="306" t="s">
        <v>537</v>
      </c>
      <c r="C141" s="307">
        <v>25.3</v>
      </c>
      <c r="D141" s="308">
        <f>IF(AND(Data!G$9&gt;0.1,Acc!M9="X"),Data!G$9,IF(Data!F$26=A141,Data!G$26,IF(Data!F$27=A141,Data!G$27,IF(Data!F$28=A141,Data!G$28,IF(Data!F$29=A141,Data!G$29,IF(Data!F$30=A141,Data!G$30,IF(Data!F$31=A141,Data!G$31,IF(Data!F$32=A141,Data!G$32,0))))))))</f>
        <v>0</v>
      </c>
      <c r="E141" s="268">
        <f t="shared" si="2"/>
        <v>0</v>
      </c>
    </row>
    <row r="142" spans="1:5" ht="13">
      <c r="A142" s="306" t="s">
        <v>837</v>
      </c>
      <c r="B142" s="306" t="s">
        <v>336</v>
      </c>
      <c r="C142" s="307">
        <v>18.7</v>
      </c>
      <c r="D142" s="308">
        <f>IF(AND(Data!G$9&gt;0.1,Acc!M6="X"),Data!G$9,IF(Data!F$26=A142,Data!G$26,IF(Data!F$27=A142,Data!G$27,IF(Data!F$28=A142,Data!G$28,IF(Data!F$29=A142,Data!G$29,IF(Data!F$30=A142,Data!G$30,IF(Data!F$31=A142,Data!G$31,IF(Data!F$32=A142,Data!G$32,0))))))))</f>
        <v>0</v>
      </c>
      <c r="E142" s="268">
        <f t="shared" si="2"/>
        <v>0</v>
      </c>
    </row>
    <row r="143" spans="1:5" ht="13">
      <c r="A143" s="306" t="s">
        <v>512</v>
      </c>
      <c r="B143" s="306" t="s">
        <v>598</v>
      </c>
      <c r="C143" s="307">
        <v>108.9</v>
      </c>
      <c r="D143" s="308">
        <f>IF(AND(Data!G$9&gt;0.1,Acc!M13="X"),Data!G$9,IF(Data!F$26=A143,Data!G$26,IF(Data!F$27=A143,Data!G$27,IF(Data!F$28=A143,Data!G$28,IF(Data!F$29=A143,Data!G$29,IF(Data!F$30=A143,Data!G$30,IF(Data!F$31=A143,Data!G$31,IF(Data!F$32=A143,Data!G$32,0))))))))</f>
        <v>0</v>
      </c>
      <c r="E143" s="268">
        <f t="shared" si="2"/>
        <v>0</v>
      </c>
    </row>
    <row r="144" spans="1:5" ht="13">
      <c r="A144" s="306" t="s">
        <v>264</v>
      </c>
      <c r="B144" s="306" t="s">
        <v>104</v>
      </c>
      <c r="C144" s="307">
        <v>124.3</v>
      </c>
      <c r="D144" s="308">
        <f>IF(AND(Data!G$9&gt;0.1,Acc!M12="X"),Data!G$9,IF(Data!F$26=A144,Data!G$26,IF(Data!F$27=A144,Data!G$27,IF(Data!F$28=A144,Data!G$28,IF(Data!F$29=A144,Data!G$29,IF(Data!F$30=A144,Data!G$30,IF(Data!F$31=A144,Data!G$31,IF(Data!F$32=A144,Data!G$32,0))))))))</f>
        <v>0</v>
      </c>
      <c r="E144" s="268">
        <f t="shared" si="2"/>
        <v>0</v>
      </c>
    </row>
    <row r="145" spans="1:10" ht="13">
      <c r="A145" s="306" t="s">
        <v>262</v>
      </c>
      <c r="B145" s="306" t="s">
        <v>236</v>
      </c>
      <c r="C145" s="307">
        <v>70.400000000000006</v>
      </c>
      <c r="D145" s="308">
        <f>IF(AND(Data!G$9&gt;0.1,Acc!M10="X"),Data!G$9,IF(Data!F$26=A145,Data!G$26,IF(Data!F$27=A145,Data!G$27,IF(Data!F$28=A145,Data!G$28,IF(Data!F$29=A145,Data!G$29,IF(Data!F$30=A145,Data!G$30,IF(Data!F$31=A145,Data!G$31,IF(Data!F$32=A145,Data!G$32,0))))))))</f>
        <v>0</v>
      </c>
      <c r="E145" s="268">
        <f t="shared" si="2"/>
        <v>0</v>
      </c>
    </row>
    <row r="146" spans="1:10" ht="13">
      <c r="A146" s="306" t="s">
        <v>263</v>
      </c>
      <c r="B146" s="306" t="s">
        <v>838</v>
      </c>
      <c r="C146" s="307">
        <v>63.8</v>
      </c>
      <c r="D146" s="308">
        <f>IF(AND(Data!G$9&gt;0.1,Acc!M11="X"),Data!G$9,IF(Data!F$26=A146,Data!G$26,IF(Data!F$27=A146,Data!G$27,IF(Data!F$28=A146,Data!G$28,IF(Data!F$29=A146,Data!G$29,IF(Data!F$30=A146,Data!G$30,IF(Data!F$31=A146,Data!G$31,IF(Data!F$32=A146,Data!G$32,0))))))))</f>
        <v>0</v>
      </c>
      <c r="E146" s="268">
        <f t="shared" si="2"/>
        <v>0</v>
      </c>
    </row>
    <row r="147" spans="1:10" ht="13">
      <c r="A147" s="276" t="s">
        <v>19299</v>
      </c>
      <c r="B147" s="276" t="s">
        <v>227</v>
      </c>
      <c r="C147" s="277">
        <v>0.35000000000000003</v>
      </c>
      <c r="D147" s="278">
        <f>IF(AND(Data!B$17="",Data!B$6=0.625),1*(Data!B$8+H!AD$7),0)</f>
        <v>0</v>
      </c>
      <c r="E147" s="268">
        <f t="shared" si="2"/>
        <v>0</v>
      </c>
      <c r="H147" s="267">
        <v>3.51</v>
      </c>
      <c r="I147" s="267">
        <f>H147/12</f>
        <v>0.29249999999999998</v>
      </c>
      <c r="J147" s="267">
        <f>ROUNDUP(I147*1.1,2)</f>
        <v>0.33</v>
      </c>
    </row>
    <row r="148" spans="1:10" ht="13">
      <c r="A148" s="276" t="s">
        <v>19306</v>
      </c>
      <c r="B148" s="276" t="s">
        <v>227</v>
      </c>
      <c r="C148" s="277">
        <v>0.59</v>
      </c>
      <c r="D148" s="278">
        <f>IF(AND(Data!B$17="",Data!B$6=1),1*(Data!B$8+H!AD$7),0)</f>
        <v>0</v>
      </c>
      <c r="E148" s="268">
        <f t="shared" si="2"/>
        <v>0</v>
      </c>
      <c r="H148" s="267">
        <v>5.93</v>
      </c>
      <c r="I148" s="267">
        <f t="shared" ref="I148:I158" si="3">H148/12</f>
        <v>0.49416666666666664</v>
      </c>
      <c r="J148" s="267">
        <f t="shared" ref="J148:J158" si="4">ROUNDUP(I148*1.1,2)</f>
        <v>0.55000000000000004</v>
      </c>
    </row>
    <row r="149" spans="1:10" ht="13">
      <c r="A149" s="276" t="s">
        <v>19266</v>
      </c>
      <c r="B149" s="276" t="s">
        <v>227</v>
      </c>
      <c r="C149" s="277">
        <v>0.94000000000000006</v>
      </c>
      <c r="D149" s="278">
        <f>IF(AND(Data!B$17="",Data!B$6=1.375),1*(Data!B$8+H!AD$7),0)</f>
        <v>0</v>
      </c>
      <c r="E149" s="268">
        <f t="shared" si="2"/>
        <v>0</v>
      </c>
      <c r="H149" s="267">
        <v>9.51</v>
      </c>
      <c r="I149" s="267">
        <f t="shared" si="3"/>
        <v>0.79249999999999998</v>
      </c>
      <c r="J149" s="267">
        <f t="shared" si="4"/>
        <v>0.88</v>
      </c>
    </row>
    <row r="150" spans="1:10" ht="13">
      <c r="A150" s="276" t="s">
        <v>19425</v>
      </c>
      <c r="B150" s="276" t="s">
        <v>227</v>
      </c>
      <c r="C150" s="277">
        <v>1.55</v>
      </c>
      <c r="D150" s="278">
        <f>IF(AND(Data!B$17="",Data!B$6=1.75),1*(Data!B$8+H!AD$7),0)</f>
        <v>0</v>
      </c>
      <c r="E150" s="268">
        <f t="shared" si="2"/>
        <v>0</v>
      </c>
      <c r="H150" s="267">
        <v>15.64</v>
      </c>
      <c r="I150" s="267">
        <f t="shared" si="3"/>
        <v>1.3033333333333335</v>
      </c>
      <c r="J150" s="267">
        <f t="shared" si="4"/>
        <v>1.44</v>
      </c>
    </row>
    <row r="151" spans="1:10" ht="13">
      <c r="A151" s="276" t="s">
        <v>19426</v>
      </c>
      <c r="B151" s="276" t="s">
        <v>227</v>
      </c>
      <c r="C151" s="277">
        <v>1.93</v>
      </c>
      <c r="D151" s="278">
        <f>IF(AND(Data!B$17="",Data!B$6=2),1*(Data!B$8+H!AD$7),0)</f>
        <v>20.73</v>
      </c>
      <c r="E151" s="268">
        <f t="shared" si="2"/>
        <v>40.008899999999997</v>
      </c>
      <c r="H151" s="267">
        <v>19.52</v>
      </c>
      <c r="I151" s="267">
        <f t="shared" si="3"/>
        <v>1.6266666666666667</v>
      </c>
      <c r="J151" s="267">
        <f t="shared" si="4"/>
        <v>1.79</v>
      </c>
    </row>
    <row r="152" spans="1:10" ht="13">
      <c r="A152" s="276" t="s">
        <v>19427</v>
      </c>
      <c r="B152" s="276" t="s">
        <v>227</v>
      </c>
      <c r="C152" s="277">
        <v>2.9099999999999997</v>
      </c>
      <c r="D152" s="278">
        <f>IF(AND(Data!B$17="",Data!B$6=2.5),1*(Data!B$8+H!AD$7),0)</f>
        <v>0</v>
      </c>
      <c r="E152" s="268">
        <f t="shared" si="2"/>
        <v>0</v>
      </c>
      <c r="H152" s="267">
        <v>29.55</v>
      </c>
      <c r="I152" s="267">
        <f t="shared" si="3"/>
        <v>2.4624999999999999</v>
      </c>
      <c r="J152" s="267">
        <f t="shared" si="4"/>
        <v>2.71</v>
      </c>
    </row>
    <row r="153" spans="1:10" ht="13">
      <c r="A153" s="276" t="s">
        <v>19428</v>
      </c>
      <c r="B153" s="276" t="s">
        <v>227</v>
      </c>
      <c r="C153" s="277">
        <v>4.21</v>
      </c>
      <c r="D153" s="278">
        <f>IF(AND(Data!B$17="",Data!B$6=3),1*(Data!B$8+H!AD$7),0)</f>
        <v>0</v>
      </c>
      <c r="E153" s="268">
        <f t="shared" si="2"/>
        <v>0</v>
      </c>
      <c r="H153" s="267">
        <v>42.75</v>
      </c>
      <c r="I153" s="267">
        <f t="shared" si="3"/>
        <v>3.5625</v>
      </c>
      <c r="J153" s="267">
        <f t="shared" si="4"/>
        <v>3.92</v>
      </c>
    </row>
    <row r="154" spans="1:10" ht="13">
      <c r="A154" s="276" t="s">
        <v>19429</v>
      </c>
      <c r="B154" s="276" t="s">
        <v>227</v>
      </c>
      <c r="C154" s="277">
        <v>5.85</v>
      </c>
      <c r="D154" s="278">
        <f>IF(AND(Data!B$17="",Data!B$6=3.5),1*(Data!B$8+H!AD$7),0)</f>
        <v>0</v>
      </c>
      <c r="E154" s="268">
        <f t="shared" si="2"/>
        <v>0</v>
      </c>
      <c r="H154" s="267">
        <v>59.42</v>
      </c>
      <c r="I154" s="267">
        <f t="shared" si="3"/>
        <v>4.9516666666666671</v>
      </c>
      <c r="J154" s="267">
        <f t="shared" si="4"/>
        <v>5.45</v>
      </c>
    </row>
    <row r="155" spans="1:10" ht="13">
      <c r="A155" s="276" t="s">
        <v>19430</v>
      </c>
      <c r="B155" s="276" t="s">
        <v>227</v>
      </c>
      <c r="C155" s="277">
        <v>7.71</v>
      </c>
      <c r="D155" s="278">
        <f>IF(AND(Data!B$17="",Data!B$6=4),1*(Data!B$8+H!AD$7),0)</f>
        <v>0</v>
      </c>
      <c r="E155" s="268">
        <f t="shared" si="2"/>
        <v>0</v>
      </c>
      <c r="H155" s="267">
        <v>77.84</v>
      </c>
      <c r="I155" s="267">
        <f t="shared" si="3"/>
        <v>6.4866666666666672</v>
      </c>
      <c r="J155" s="267">
        <f t="shared" si="4"/>
        <v>7.14</v>
      </c>
    </row>
    <row r="156" spans="1:10" ht="13">
      <c r="A156" s="276" t="s">
        <v>19431</v>
      </c>
      <c r="B156" s="276" t="s">
        <v>227</v>
      </c>
      <c r="C156" s="277">
        <v>11.24</v>
      </c>
      <c r="D156" s="278">
        <f>IF(AND(Data!B$17="",Data!B$6=4.5),1*(Data!B$8+H!AD$7),0)</f>
        <v>0</v>
      </c>
      <c r="E156" s="268">
        <f t="shared" si="2"/>
        <v>0</v>
      </c>
      <c r="H156" s="267">
        <v>113.27</v>
      </c>
      <c r="I156" s="267">
        <f t="shared" si="3"/>
        <v>9.4391666666666669</v>
      </c>
      <c r="J156" s="267">
        <f t="shared" si="4"/>
        <v>10.39</v>
      </c>
    </row>
    <row r="157" spans="1:10" ht="13">
      <c r="A157" s="276" t="s">
        <v>19432</v>
      </c>
      <c r="B157" s="276" t="s">
        <v>227</v>
      </c>
      <c r="C157" s="277">
        <v>14.02</v>
      </c>
      <c r="D157" s="278">
        <f>IF(AND(Data!B$17="",Data!B$6=5),1*(Data!B$8+H!AD$7),0)</f>
        <v>0</v>
      </c>
      <c r="E157" s="268">
        <f t="shared" si="2"/>
        <v>0</v>
      </c>
      <c r="H157" s="267">
        <v>141.26</v>
      </c>
      <c r="I157" s="267">
        <f t="shared" si="3"/>
        <v>11.771666666666667</v>
      </c>
      <c r="J157" s="267">
        <f t="shared" si="4"/>
        <v>12.95</v>
      </c>
    </row>
    <row r="158" spans="1:10" ht="13">
      <c r="A158" s="276" t="s">
        <v>19433</v>
      </c>
      <c r="B158" s="276" t="s">
        <v>227</v>
      </c>
      <c r="C158" s="277">
        <v>17.430000000000003</v>
      </c>
      <c r="D158" s="278">
        <f>IF(AND(Data!B$17="",Data!B$6=5.5),1*(Data!B$8+H!AD$7),0)</f>
        <v>0</v>
      </c>
      <c r="E158" s="268">
        <f t="shared" si="2"/>
        <v>0</v>
      </c>
      <c r="H158" s="267">
        <v>175.45</v>
      </c>
      <c r="I158" s="267">
        <f t="shared" si="3"/>
        <v>14.620833333333332</v>
      </c>
      <c r="J158" s="267">
        <f t="shared" si="4"/>
        <v>16.09</v>
      </c>
    </row>
    <row r="159" spans="1:10" ht="13">
      <c r="A159" s="276" t="s">
        <v>20086</v>
      </c>
      <c r="B159" s="276" t="s">
        <v>19434</v>
      </c>
      <c r="C159" s="277">
        <v>0.77</v>
      </c>
      <c r="D159" s="278">
        <f>IF(Data!B$6=0.625,1,0)</f>
        <v>0</v>
      </c>
      <c r="E159" s="268">
        <f t="shared" si="2"/>
        <v>0</v>
      </c>
    </row>
    <row r="160" spans="1:10" ht="13">
      <c r="A160" s="276" t="s">
        <v>19435</v>
      </c>
      <c r="B160" s="276" t="s">
        <v>19434</v>
      </c>
      <c r="C160" s="277">
        <v>0.99</v>
      </c>
      <c r="D160" s="278">
        <f>IF(Data!B$6=1,1,0)</f>
        <v>0</v>
      </c>
      <c r="E160" s="268">
        <f t="shared" si="2"/>
        <v>0</v>
      </c>
    </row>
    <row r="161" spans="1:5" ht="13">
      <c r="A161" s="276" t="s">
        <v>19436</v>
      </c>
      <c r="B161" s="276" t="s">
        <v>19434</v>
      </c>
      <c r="C161" s="277">
        <v>1.1000000000000001</v>
      </c>
      <c r="D161" s="278">
        <f>IF(AND(Data!B$6&gt;1.3,Data!B$6&lt;1.4),1,0)</f>
        <v>0</v>
      </c>
      <c r="E161" s="268">
        <f t="shared" si="2"/>
        <v>0</v>
      </c>
    </row>
    <row r="162" spans="1:5" ht="13">
      <c r="A162" s="276" t="s">
        <v>19437</v>
      </c>
      <c r="B162" s="276" t="s">
        <v>19434</v>
      </c>
      <c r="C162" s="277">
        <v>1.32</v>
      </c>
      <c r="D162" s="278">
        <f>IF(Data!B$6=1.75,1,0)</f>
        <v>0</v>
      </c>
      <c r="E162" s="268">
        <f t="shared" si="2"/>
        <v>0</v>
      </c>
    </row>
    <row r="163" spans="1:5" ht="13">
      <c r="A163" s="276" t="s">
        <v>19438</v>
      </c>
      <c r="B163" s="276" t="s">
        <v>19434</v>
      </c>
      <c r="C163" s="277">
        <v>1.76</v>
      </c>
      <c r="D163" s="278">
        <f>IF(Data!B$6=2,1,0)</f>
        <v>1</v>
      </c>
      <c r="E163" s="268">
        <f t="shared" si="2"/>
        <v>1.76</v>
      </c>
    </row>
    <row r="164" spans="1:5" ht="13">
      <c r="A164" s="276" t="s">
        <v>19439</v>
      </c>
      <c r="B164" s="276" t="s">
        <v>19434</v>
      </c>
      <c r="C164" s="277">
        <v>2.75</v>
      </c>
      <c r="D164" s="278">
        <f>IF(Data!B$6=2.5,1,0)</f>
        <v>0</v>
      </c>
      <c r="E164" s="268">
        <f t="shared" si="2"/>
        <v>0</v>
      </c>
    </row>
    <row r="165" spans="1:5" ht="13">
      <c r="A165" s="276" t="s">
        <v>19440</v>
      </c>
      <c r="B165" s="276" t="s">
        <v>19434</v>
      </c>
      <c r="C165" s="277">
        <v>3.3</v>
      </c>
      <c r="D165" s="278">
        <f>IF(Data!B$6=3,1,0)</f>
        <v>0</v>
      </c>
      <c r="E165" s="268">
        <f t="shared" si="2"/>
        <v>0</v>
      </c>
    </row>
    <row r="166" spans="1:5" ht="13">
      <c r="A166" s="276" t="s">
        <v>19441</v>
      </c>
      <c r="B166" s="276" t="s">
        <v>19434</v>
      </c>
      <c r="C166" s="277">
        <v>3.52</v>
      </c>
      <c r="D166" s="278">
        <f>IF(Data!B$6=3.5,1,0)</f>
        <v>0</v>
      </c>
      <c r="E166" s="268">
        <f t="shared" si="2"/>
        <v>0</v>
      </c>
    </row>
    <row r="167" spans="1:5" ht="13">
      <c r="A167" s="276" t="s">
        <v>19442</v>
      </c>
      <c r="B167" s="276" t="s">
        <v>19434</v>
      </c>
      <c r="C167" s="277">
        <v>5.5</v>
      </c>
      <c r="D167" s="278">
        <f>IF(Data!B$6=4,1,0)</f>
        <v>0</v>
      </c>
      <c r="E167" s="268">
        <f t="shared" si="2"/>
        <v>0</v>
      </c>
    </row>
    <row r="168" spans="1:5" ht="13">
      <c r="A168" s="276" t="s">
        <v>19443</v>
      </c>
      <c r="B168" s="276" t="s">
        <v>19434</v>
      </c>
      <c r="C168" s="277">
        <v>6.6</v>
      </c>
      <c r="D168" s="278">
        <f>IF(Data!B$6=4.5,1,0)</f>
        <v>0</v>
      </c>
      <c r="E168" s="268">
        <f t="shared" si="2"/>
        <v>0</v>
      </c>
    </row>
    <row r="169" spans="1:5" ht="13">
      <c r="A169" s="276" t="s">
        <v>19444</v>
      </c>
      <c r="B169" s="276" t="s">
        <v>19434</v>
      </c>
      <c r="C169" s="277">
        <v>7.7</v>
      </c>
      <c r="D169" s="278">
        <f>IF(Data!B$6=5,1,0)</f>
        <v>0</v>
      </c>
      <c r="E169" s="268">
        <f t="shared" si="2"/>
        <v>0</v>
      </c>
    </row>
    <row r="170" spans="1:5" ht="13">
      <c r="A170" s="276" t="s">
        <v>19445</v>
      </c>
      <c r="B170" s="276" t="s">
        <v>19434</v>
      </c>
      <c r="C170" s="277">
        <v>9.9</v>
      </c>
      <c r="D170" s="278">
        <f>IF(Data!B$6=5.5,1,0)</f>
        <v>0</v>
      </c>
      <c r="E170" s="268">
        <f t="shared" si="2"/>
        <v>0</v>
      </c>
    </row>
    <row r="171" spans="1:5" ht="13">
      <c r="A171" s="276" t="s">
        <v>20087</v>
      </c>
      <c r="B171" s="276" t="s">
        <v>19271</v>
      </c>
      <c r="C171" s="277">
        <v>2.2000000000000002</v>
      </c>
      <c r="D171" s="278">
        <f>IF(AND(Data!B$6=0.625,Data!B$10&lt;&gt;"V"),1,0)</f>
        <v>0</v>
      </c>
      <c r="E171" s="268">
        <f t="shared" si="2"/>
        <v>0</v>
      </c>
    </row>
    <row r="172" spans="1:5" ht="13">
      <c r="A172" s="276" t="s">
        <v>19310</v>
      </c>
      <c r="B172" s="276" t="s">
        <v>19271</v>
      </c>
      <c r="C172" s="277">
        <v>4.4000000000000004</v>
      </c>
      <c r="D172" s="278">
        <f>IF(AND(Data!B$6=1,Data!B$10&lt;&gt;"V"),1,0)</f>
        <v>0</v>
      </c>
      <c r="E172" s="268">
        <f t="shared" si="2"/>
        <v>0</v>
      </c>
    </row>
    <row r="173" spans="1:5" ht="13">
      <c r="A173" s="276" t="s">
        <v>19270</v>
      </c>
      <c r="B173" s="276" t="s">
        <v>19271</v>
      </c>
      <c r="C173" s="277">
        <v>4.4000000000000004</v>
      </c>
      <c r="D173" s="278">
        <f>IF(AND(Data!B$6&gt;1.3,Data!B$6&lt;1.4,Data!B$10&lt;&gt;"V"),1,0)</f>
        <v>0</v>
      </c>
      <c r="E173" s="268">
        <f t="shared" si="2"/>
        <v>0</v>
      </c>
    </row>
    <row r="174" spans="1:5" ht="13">
      <c r="A174" s="276" t="s">
        <v>19446</v>
      </c>
      <c r="B174" s="276" t="s">
        <v>19271</v>
      </c>
      <c r="C174" s="277">
        <v>3.3</v>
      </c>
      <c r="D174" s="278">
        <f>IF(AND(Data!B$6=1.75,Data!B$10&lt;&gt;"V"),1,0)</f>
        <v>0</v>
      </c>
      <c r="E174" s="268">
        <f t="shared" si="2"/>
        <v>0</v>
      </c>
    </row>
    <row r="175" spans="1:5" ht="13">
      <c r="A175" s="276" t="s">
        <v>19447</v>
      </c>
      <c r="B175" s="276" t="s">
        <v>19271</v>
      </c>
      <c r="C175" s="277">
        <v>5.5</v>
      </c>
      <c r="D175" s="278">
        <f>IF(AND(Data!B$6=2,Data!B$10&lt;&gt;"V"),1,0)</f>
        <v>1</v>
      </c>
      <c r="E175" s="268">
        <f t="shared" si="2"/>
        <v>5.5</v>
      </c>
    </row>
    <row r="176" spans="1:5" ht="13">
      <c r="A176" s="276" t="s">
        <v>19448</v>
      </c>
      <c r="B176" s="276" t="s">
        <v>19271</v>
      </c>
      <c r="C176" s="277">
        <v>5.5</v>
      </c>
      <c r="D176" s="278">
        <f>IF(AND(Data!B$6=2.5,Data!B$10&lt;&gt;"V"),1,0)</f>
        <v>0</v>
      </c>
      <c r="E176" s="268">
        <f t="shared" si="2"/>
        <v>0</v>
      </c>
    </row>
    <row r="177" spans="1:5" ht="13">
      <c r="A177" s="276" t="s">
        <v>19449</v>
      </c>
      <c r="B177" s="276" t="s">
        <v>19271</v>
      </c>
      <c r="C177" s="277">
        <v>6.6</v>
      </c>
      <c r="D177" s="278">
        <f>IF(AND(Data!B$6=3,Data!B$10&lt;&gt;"V"),1,0)</f>
        <v>0</v>
      </c>
      <c r="E177" s="268">
        <f t="shared" si="2"/>
        <v>0</v>
      </c>
    </row>
    <row r="178" spans="1:5" ht="13">
      <c r="A178" s="276" t="s">
        <v>19450</v>
      </c>
      <c r="B178" s="276" t="s">
        <v>19271</v>
      </c>
      <c r="C178" s="277">
        <v>7.7</v>
      </c>
      <c r="D178" s="278">
        <f>IF(AND(Data!B$6=3.5,Data!B$10&lt;&gt;"V"),1,0)</f>
        <v>0</v>
      </c>
      <c r="E178" s="268">
        <f t="shared" si="2"/>
        <v>0</v>
      </c>
    </row>
    <row r="179" spans="1:5" ht="13">
      <c r="A179" s="276" t="s">
        <v>19451</v>
      </c>
      <c r="B179" s="276" t="s">
        <v>19271</v>
      </c>
      <c r="C179" s="277">
        <v>9.9</v>
      </c>
      <c r="D179" s="278">
        <f>IF(AND(Data!B$6=4,Data!B$10&lt;&gt;"V"),1,0)</f>
        <v>0</v>
      </c>
      <c r="E179" s="268">
        <f t="shared" si="2"/>
        <v>0</v>
      </c>
    </row>
    <row r="180" spans="1:5" ht="13">
      <c r="A180" s="276" t="s">
        <v>19452</v>
      </c>
      <c r="B180" s="276" t="s">
        <v>19271</v>
      </c>
      <c r="C180" s="277">
        <v>9.9</v>
      </c>
      <c r="D180" s="278">
        <f>IF(AND(Data!B$6=4.5,Data!B$10&lt;&gt;"V"),1,0)</f>
        <v>0</v>
      </c>
      <c r="E180" s="268">
        <f t="shared" si="2"/>
        <v>0</v>
      </c>
    </row>
    <row r="181" spans="1:5" ht="13">
      <c r="A181" s="276" t="s">
        <v>19453</v>
      </c>
      <c r="B181" s="276" t="s">
        <v>19271</v>
      </c>
      <c r="C181" s="277">
        <v>11</v>
      </c>
      <c r="D181" s="278">
        <f>IF(AND(Data!B$6=5,Data!B$10&lt;&gt;"V"),1,0)</f>
        <v>0</v>
      </c>
      <c r="E181" s="268">
        <f t="shared" si="2"/>
        <v>0</v>
      </c>
    </row>
    <row r="182" spans="1:5" ht="13">
      <c r="A182" s="276" t="s">
        <v>19454</v>
      </c>
      <c r="B182" s="276" t="s">
        <v>19271</v>
      </c>
      <c r="C182" s="277">
        <v>11</v>
      </c>
      <c r="D182" s="278">
        <f>IF(AND(Data!B$6=5.5,Data!B$10&lt;&gt;"V"),1,0)</f>
        <v>0</v>
      </c>
      <c r="E182" s="268">
        <f t="shared" si="2"/>
        <v>0</v>
      </c>
    </row>
    <row r="183" spans="1:5" ht="13">
      <c r="A183" s="306" t="s">
        <v>476</v>
      </c>
      <c r="B183" s="306" t="s">
        <v>79</v>
      </c>
      <c r="C183" s="277">
        <v>3.3</v>
      </c>
      <c r="D183" s="278">
        <f>IF(Acc!T5&lt;&gt;"",1+Data!G$13,IF(Data!F$26=A183,Data!G$26,IF(Data!F$27=A183,Data!G$27,IF(Data!F$28=A183,Data!G$28,IF(Data!F$29=A183,Data!G$29,IF(Data!F$30=A183,Data!G$30,IF(Data!F$31=A183,Data!G$31,0)))))))</f>
        <v>0</v>
      </c>
      <c r="E183" s="268">
        <f t="shared" si="2"/>
        <v>0</v>
      </c>
    </row>
    <row r="184" spans="1:5" ht="13">
      <c r="A184" s="306" t="s">
        <v>218</v>
      </c>
      <c r="B184" s="306" t="s">
        <v>79</v>
      </c>
      <c r="C184" s="277">
        <v>5.5</v>
      </c>
      <c r="D184" s="278">
        <f>IF(Acc!T6&lt;&gt;"",1+Data!G$13,IF(Data!F$26=A184,Data!G$26,IF(Data!F$27=A184,Data!G$27,IF(Data!F$28=A184,Data!G$28,IF(Data!F$29=A184,Data!G$29,IF(Data!F$30=A184,Data!G$30,IF(Data!F$31=A184,Data!G$31,0)))))))</f>
        <v>0</v>
      </c>
      <c r="E184" s="268">
        <f t="shared" si="2"/>
        <v>0</v>
      </c>
    </row>
    <row r="185" spans="1:5" ht="13">
      <c r="A185" s="306" t="s">
        <v>361</v>
      </c>
      <c r="B185" s="306" t="s">
        <v>79</v>
      </c>
      <c r="C185" s="277">
        <v>6.6</v>
      </c>
      <c r="D185" s="278">
        <f>IF(Acc!T7&lt;&gt;"",1+Data!G$13,IF(Data!F$26=A185,Data!G$26,IF(Data!F$27=A185,Data!G$27,IF(Data!F$28=A185,Data!G$28,IF(Data!F$29=A185,Data!G$29,IF(Data!F$30=A185,Data!G$30,IF(Data!F$31=A185,Data!G$31,0)))))))</f>
        <v>0</v>
      </c>
      <c r="E185" s="268">
        <f t="shared" si="2"/>
        <v>0</v>
      </c>
    </row>
    <row r="186" spans="1:5" ht="13">
      <c r="A186" s="306" t="s">
        <v>539</v>
      </c>
      <c r="B186" s="306" t="s">
        <v>79</v>
      </c>
      <c r="C186" s="307">
        <v>11</v>
      </c>
      <c r="D186" s="278">
        <f>IF(Acc!T8&lt;&gt;"",1+Data!G$13,IF(Data!F$26=A186,Data!G$26,IF(Data!F$27=A186,Data!G$27,IF(Data!F$28=A186,Data!G$28,IF(Data!F$29=A186,Data!G$29,IF(Data!F$30=A186,Data!G$30,IF(Data!F$31=A186,Data!G$31,0)))))))</f>
        <v>0</v>
      </c>
      <c r="E186" s="268">
        <f t="shared" si="2"/>
        <v>0</v>
      </c>
    </row>
    <row r="187" spans="1:5" ht="13">
      <c r="A187" s="306" t="s">
        <v>354</v>
      </c>
      <c r="B187" s="306" t="s">
        <v>79</v>
      </c>
      <c r="C187" s="307">
        <v>15.4</v>
      </c>
      <c r="D187" s="278">
        <f>IF(Acc!T9&lt;&gt;"",1+Data!G$13,IF(Data!F$26=A187,Data!G$26,IF(Data!F$27=A187,Data!G$27,IF(Data!F$28=A187,Data!G$28,IF(Data!F$29=A187,Data!G$29,IF(Data!F$30=A187,Data!G$30,IF(Data!F$31=A187,Data!G$31,0)))))))</f>
        <v>0</v>
      </c>
      <c r="E187" s="268">
        <f t="shared" si="2"/>
        <v>0</v>
      </c>
    </row>
    <row r="188" spans="1:5" ht="13">
      <c r="A188" s="306" t="s">
        <v>355</v>
      </c>
      <c r="B188" s="306" t="s">
        <v>79</v>
      </c>
      <c r="C188" s="307">
        <v>19.8</v>
      </c>
      <c r="D188" s="278">
        <f>IF(Acc!T10&lt;&gt;"",1+Data!G$13,IF(Data!F$26=A188,Data!G$26,IF(Data!F$27=A188,Data!G$27,IF(Data!F$28=A188,Data!G$28,IF(Data!F$29=A188,Data!G$29,IF(Data!F$30=A188,Data!G$30,IF(Data!F$31=A188,Data!G$31,0)))))))</f>
        <v>0</v>
      </c>
      <c r="E188" s="268">
        <f t="shared" si="2"/>
        <v>0</v>
      </c>
    </row>
    <row r="189" spans="1:5" ht="13">
      <c r="A189" s="306" t="s">
        <v>312</v>
      </c>
      <c r="B189" s="306" t="s">
        <v>79</v>
      </c>
      <c r="C189" s="277">
        <v>44</v>
      </c>
      <c r="D189" s="278">
        <f>IF(Acc!T11&lt;&gt;"",1+Data!G$13,IF(Data!F$26=A189,Data!G$26,IF(Data!F$27=A189,Data!G$27,IF(Data!F$28=A189,Data!G$28,IF(Data!F$29=A189,Data!G$29,IF(Data!F$30=A189,Data!G$30,IF(Data!F$31=A189,Data!G$31,0)))))))</f>
        <v>0</v>
      </c>
      <c r="E189" s="268">
        <f t="shared" si="2"/>
        <v>0</v>
      </c>
    </row>
    <row r="190" spans="1:5" ht="13">
      <c r="A190" s="306" t="s">
        <v>764</v>
      </c>
      <c r="B190" s="306" t="s">
        <v>79</v>
      </c>
      <c r="C190" s="277">
        <v>59.4</v>
      </c>
      <c r="D190" s="278">
        <f>IF(Acc!T12&lt;&gt;"",1+Data!G$13,IF(Data!F$26=A190,Data!G$26,IF(Data!F$27=A190,Data!G$27,IF(Data!F$28=A190,Data!G$28,IF(Data!F$29=A190,Data!G$29,IF(Data!F$30=A190,Data!G$30,IF(Data!F$31=A190,Data!G$31,0)))))))</f>
        <v>0</v>
      </c>
      <c r="E190" s="268">
        <f t="shared" si="2"/>
        <v>0</v>
      </c>
    </row>
    <row r="191" spans="1:5" ht="13">
      <c r="A191" s="276" t="s">
        <v>19301</v>
      </c>
      <c r="B191" s="276" t="s">
        <v>19273</v>
      </c>
      <c r="C191" s="277">
        <v>1.1000000000000001</v>
      </c>
      <c r="D191" s="278">
        <f>IF(Data!B$6=0.625,1,0)</f>
        <v>0</v>
      </c>
      <c r="E191" s="268">
        <f t="shared" si="2"/>
        <v>0</v>
      </c>
    </row>
    <row r="192" spans="1:5" ht="13">
      <c r="A192" s="276" t="s">
        <v>19311</v>
      </c>
      <c r="B192" s="276" t="s">
        <v>19273</v>
      </c>
      <c r="C192" s="277">
        <v>1.1000000000000001</v>
      </c>
      <c r="D192" s="278">
        <f>IF(Data!B$6=1,1,0)</f>
        <v>0</v>
      </c>
      <c r="E192" s="268">
        <f t="shared" si="2"/>
        <v>0</v>
      </c>
    </row>
    <row r="193" spans="1:5" ht="13">
      <c r="A193" s="276" t="s">
        <v>19272</v>
      </c>
      <c r="B193" s="276" t="s">
        <v>19273</v>
      </c>
      <c r="C193" s="277">
        <v>1.1000000000000001</v>
      </c>
      <c r="D193" s="278">
        <f>IF(AND(Data!B$6&gt;1.3,Data!B$6&lt;1.4),1,0)</f>
        <v>0</v>
      </c>
      <c r="E193" s="268">
        <f t="shared" si="2"/>
        <v>0</v>
      </c>
    </row>
    <row r="194" spans="1:5" ht="13">
      <c r="A194" s="276" t="s">
        <v>19455</v>
      </c>
      <c r="B194" s="276" t="s">
        <v>19273</v>
      </c>
      <c r="C194" s="277">
        <v>1.1000000000000001</v>
      </c>
      <c r="D194" s="278">
        <f>IF(Data!B$6=1.75,1,0)</f>
        <v>0</v>
      </c>
      <c r="E194" s="268">
        <f t="shared" si="2"/>
        <v>0</v>
      </c>
    </row>
    <row r="195" spans="1:5" ht="13">
      <c r="A195" s="276" t="s">
        <v>19456</v>
      </c>
      <c r="B195" s="276" t="s">
        <v>19273</v>
      </c>
      <c r="C195" s="277">
        <v>1.1000000000000001</v>
      </c>
      <c r="D195" s="278">
        <f>IF(Data!B$6=2,1,0)</f>
        <v>1</v>
      </c>
      <c r="E195" s="268">
        <f t="shared" ref="E195:E258" si="5">D195*C195</f>
        <v>1.1000000000000001</v>
      </c>
    </row>
    <row r="196" spans="1:5" ht="13">
      <c r="A196" s="276" t="s">
        <v>19457</v>
      </c>
      <c r="B196" s="276" t="s">
        <v>19273</v>
      </c>
      <c r="C196" s="277">
        <v>1.1000000000000001</v>
      </c>
      <c r="D196" s="278">
        <f>IF(Data!B$6=2.5,1,0)</f>
        <v>0</v>
      </c>
      <c r="E196" s="268">
        <f t="shared" si="5"/>
        <v>0</v>
      </c>
    </row>
    <row r="197" spans="1:5" ht="13">
      <c r="A197" s="276" t="s">
        <v>19458</v>
      </c>
      <c r="B197" s="276" t="s">
        <v>19273</v>
      </c>
      <c r="C197" s="277">
        <v>1.1000000000000001</v>
      </c>
      <c r="D197" s="278">
        <f>IF(Data!B$6=3,1,0)</f>
        <v>0</v>
      </c>
      <c r="E197" s="268">
        <f t="shared" si="5"/>
        <v>0</v>
      </c>
    </row>
    <row r="198" spans="1:5" ht="13">
      <c r="A198" s="276" t="s">
        <v>19459</v>
      </c>
      <c r="B198" s="276" t="s">
        <v>19273</v>
      </c>
      <c r="C198" s="277">
        <v>1.1000000000000001</v>
      </c>
      <c r="D198" s="278">
        <f>IF(Data!B$6=3.5,1,0)</f>
        <v>0</v>
      </c>
      <c r="E198" s="268">
        <f t="shared" si="5"/>
        <v>0</v>
      </c>
    </row>
    <row r="199" spans="1:5" ht="13">
      <c r="A199" s="276" t="s">
        <v>19460</v>
      </c>
      <c r="B199" s="276" t="s">
        <v>19273</v>
      </c>
      <c r="C199" s="277">
        <v>1.1000000000000001</v>
      </c>
      <c r="D199" s="278">
        <f>IF(Data!B$6=4,1,0)</f>
        <v>0</v>
      </c>
      <c r="E199" s="268">
        <f t="shared" si="5"/>
        <v>0</v>
      </c>
    </row>
    <row r="200" spans="1:5" ht="13">
      <c r="A200" s="276" t="s">
        <v>19461</v>
      </c>
      <c r="B200" s="276" t="s">
        <v>19273</v>
      </c>
      <c r="C200" s="277">
        <v>1.1000000000000001</v>
      </c>
      <c r="D200" s="278">
        <f>IF(Data!B$6=4.5,1,0)</f>
        <v>0</v>
      </c>
      <c r="E200" s="268">
        <f t="shared" si="5"/>
        <v>0</v>
      </c>
    </row>
    <row r="201" spans="1:5" ht="13">
      <c r="A201" s="276" t="s">
        <v>19462</v>
      </c>
      <c r="B201" s="276" t="s">
        <v>19273</v>
      </c>
      <c r="C201" s="277">
        <v>1.1000000000000001</v>
      </c>
      <c r="D201" s="278">
        <f>IF(Data!B$6=5,1,0)</f>
        <v>0</v>
      </c>
      <c r="E201" s="268">
        <f t="shared" si="5"/>
        <v>0</v>
      </c>
    </row>
    <row r="202" spans="1:5" ht="13">
      <c r="A202" s="276" t="s">
        <v>19463</v>
      </c>
      <c r="B202" s="276" t="s">
        <v>19273</v>
      </c>
      <c r="C202" s="277">
        <v>1.1000000000000001</v>
      </c>
      <c r="D202" s="278">
        <f>IF(Data!B$6=5.5,1,0)</f>
        <v>0</v>
      </c>
      <c r="E202" s="268">
        <f t="shared" si="5"/>
        <v>0</v>
      </c>
    </row>
    <row r="203" spans="1:5" ht="13">
      <c r="A203" s="276" t="s">
        <v>19302</v>
      </c>
      <c r="B203" s="276" t="s">
        <v>19275</v>
      </c>
      <c r="C203" s="277">
        <v>1.1000000000000001</v>
      </c>
      <c r="D203" s="278">
        <f>IF(AND(Data!B$6=0.625,Data!B$10&lt;&gt;"V"),1,0)</f>
        <v>0</v>
      </c>
      <c r="E203" s="268">
        <f t="shared" si="5"/>
        <v>0</v>
      </c>
    </row>
    <row r="204" spans="1:5" ht="13">
      <c r="A204" s="276" t="s">
        <v>19312</v>
      </c>
      <c r="B204" s="276" t="s">
        <v>19275</v>
      </c>
      <c r="C204" s="277">
        <v>1.1000000000000001</v>
      </c>
      <c r="D204" s="278">
        <f>IF(AND(Data!B$6=1,Data!B$10&lt;&gt;"V"),1,0)</f>
        <v>0</v>
      </c>
      <c r="E204" s="268">
        <f t="shared" si="5"/>
        <v>0</v>
      </c>
    </row>
    <row r="205" spans="1:5" ht="13">
      <c r="A205" s="276" t="s">
        <v>19274</v>
      </c>
      <c r="B205" s="276" t="s">
        <v>19275</v>
      </c>
      <c r="C205" s="277">
        <v>1.1000000000000001</v>
      </c>
      <c r="D205" s="278">
        <f>IF(AND(Data!B$6&gt;1.3,Data!B$6&lt;1.4,Data!B$10&lt;&gt;"V"),1,0)</f>
        <v>0</v>
      </c>
      <c r="E205" s="268">
        <f t="shared" si="5"/>
        <v>0</v>
      </c>
    </row>
    <row r="206" spans="1:5" ht="13">
      <c r="A206" s="276" t="s">
        <v>19464</v>
      </c>
      <c r="B206" s="276" t="s">
        <v>19275</v>
      </c>
      <c r="C206" s="277">
        <v>1.1000000000000001</v>
      </c>
      <c r="D206" s="278">
        <f>IF(AND(Data!B$6=1.75,Data!B$10&lt;&gt;"V"),1,0)</f>
        <v>0</v>
      </c>
      <c r="E206" s="268">
        <f t="shared" si="5"/>
        <v>0</v>
      </c>
    </row>
    <row r="207" spans="1:5" ht="13">
      <c r="A207" s="276" t="s">
        <v>19465</v>
      </c>
      <c r="B207" s="276" t="s">
        <v>19275</v>
      </c>
      <c r="C207" s="277">
        <v>1.1000000000000001</v>
      </c>
      <c r="D207" s="278">
        <f>IF(AND(Data!B$6=2,Data!B$10&lt;&gt;"V"),1,0)</f>
        <v>1</v>
      </c>
      <c r="E207" s="268">
        <f t="shared" si="5"/>
        <v>1.1000000000000001</v>
      </c>
    </row>
    <row r="208" spans="1:5" ht="13">
      <c r="A208" s="276" t="s">
        <v>19466</v>
      </c>
      <c r="B208" s="276" t="s">
        <v>19275</v>
      </c>
      <c r="C208" s="277">
        <v>1.1000000000000001</v>
      </c>
      <c r="D208" s="278">
        <f>IF(AND(Data!B$6=2.5,Data!B$10&lt;&gt;"V"),1,0)</f>
        <v>0</v>
      </c>
      <c r="E208" s="268">
        <f t="shared" si="5"/>
        <v>0</v>
      </c>
    </row>
    <row r="209" spans="1:5" ht="13">
      <c r="A209" s="276" t="s">
        <v>19467</v>
      </c>
      <c r="B209" s="276" t="s">
        <v>19275</v>
      </c>
      <c r="C209" s="277">
        <v>1.1000000000000001</v>
      </c>
      <c r="D209" s="278">
        <f>IF(AND(Data!B$6=3,Data!B$10&lt;&gt;"V"),1,0)</f>
        <v>0</v>
      </c>
      <c r="E209" s="268">
        <f t="shared" si="5"/>
        <v>0</v>
      </c>
    </row>
    <row r="210" spans="1:5" ht="13">
      <c r="A210" s="276" t="s">
        <v>19468</v>
      </c>
      <c r="B210" s="276" t="s">
        <v>19275</v>
      </c>
      <c r="C210" s="277">
        <v>1.1000000000000001</v>
      </c>
      <c r="D210" s="278">
        <f>IF(AND(Data!B$6=3.5,Data!B$10&lt;&gt;"V"),1,0)</f>
        <v>0</v>
      </c>
      <c r="E210" s="268">
        <f t="shared" si="5"/>
        <v>0</v>
      </c>
    </row>
    <row r="211" spans="1:5" ht="13">
      <c r="A211" s="276" t="s">
        <v>19469</v>
      </c>
      <c r="B211" s="276" t="s">
        <v>19275</v>
      </c>
      <c r="C211" s="277">
        <v>1.1000000000000001</v>
      </c>
      <c r="D211" s="278">
        <f>IF(AND(Data!B$6=4,Data!B$10&lt;&gt;"V"),1,0)</f>
        <v>0</v>
      </c>
      <c r="E211" s="268">
        <f t="shared" si="5"/>
        <v>0</v>
      </c>
    </row>
    <row r="212" spans="1:5" ht="13">
      <c r="A212" s="276" t="s">
        <v>19470</v>
      </c>
      <c r="B212" s="276" t="s">
        <v>19275</v>
      </c>
      <c r="C212" s="277">
        <v>1.1000000000000001</v>
      </c>
      <c r="D212" s="278">
        <f>IF(AND(Data!B$6=4.5,Data!B$1&lt;&gt;"V"),1,0)</f>
        <v>0</v>
      </c>
      <c r="E212" s="268">
        <f t="shared" si="5"/>
        <v>0</v>
      </c>
    </row>
    <row r="213" spans="1:5" ht="13">
      <c r="A213" s="306" t="s">
        <v>19471</v>
      </c>
      <c r="B213" s="306" t="s">
        <v>19275</v>
      </c>
      <c r="C213" s="277">
        <v>1.1000000000000001</v>
      </c>
      <c r="D213" s="278">
        <f>IF(AND(Data!B$6=5,Data!B$1&lt;&gt;"V"),1,0)</f>
        <v>0</v>
      </c>
      <c r="E213" s="268">
        <f t="shared" si="5"/>
        <v>0</v>
      </c>
    </row>
    <row r="214" spans="1:5" ht="13">
      <c r="A214" s="306" t="s">
        <v>19472</v>
      </c>
      <c r="B214" s="306" t="s">
        <v>19275</v>
      </c>
      <c r="C214" s="277">
        <v>1.1000000000000001</v>
      </c>
      <c r="D214" s="278">
        <f>IF(AND(Data!B$6=5.5,Data!B$1&lt;&gt;"V"),1,0)</f>
        <v>0</v>
      </c>
      <c r="E214" s="268">
        <f t="shared" si="5"/>
        <v>0</v>
      </c>
    </row>
    <row r="215" spans="1:5" ht="13">
      <c r="A215" s="306" t="s">
        <v>117</v>
      </c>
      <c r="B215" s="306" t="s">
        <v>234</v>
      </c>
      <c r="C215" s="307">
        <v>5.5</v>
      </c>
      <c r="D215" s="308">
        <f>IF(AND(Data!G$22&gt;0.1,Acc!Q39="X"),Data!G$22,IF(Data!F$26=A215,Data!G$26,IF(Data!F$27=A215,Data!G$27,IF(Data!F$28=A215,Data!G$28,IF(Data!F$29=A215,Data!G$29,IF(Data!F$30=A215,Data!G$30,IF(Data!F$31=A215,Data!G$31,IF(Data!F$32=A215,Data!G$32,0))))))))</f>
        <v>0</v>
      </c>
      <c r="E215" s="268">
        <f t="shared" si="5"/>
        <v>0</v>
      </c>
    </row>
    <row r="216" spans="1:5" ht="13">
      <c r="A216" s="306" t="s">
        <v>116</v>
      </c>
      <c r="B216" s="306" t="s">
        <v>620</v>
      </c>
      <c r="C216" s="307">
        <v>3.3</v>
      </c>
      <c r="D216" s="308">
        <f>IF(AND(Data!G$22&gt;0.1,Acc!Q36="X"),Data!G$22,IF(Data!F$26=A216,Data!G$26,IF(Data!F$27=A216,Data!G$27,IF(Data!F$28=A216,Data!G$28,IF(Data!F$29=A216,Data!G$29,IF(Data!F$30=A216,Data!G$30,IF(Data!F$31=A216,Data!G$31,IF(Data!F$32=A216,Data!G$32,0))))))))</f>
        <v>0</v>
      </c>
      <c r="E216" s="268">
        <f t="shared" si="5"/>
        <v>0</v>
      </c>
    </row>
    <row r="217" spans="1:5" ht="13">
      <c r="A217" s="306" t="s">
        <v>680</v>
      </c>
      <c r="B217" s="306" t="s">
        <v>591</v>
      </c>
      <c r="C217" s="307">
        <v>3.3</v>
      </c>
      <c r="D217" s="308">
        <f>IF(AND(Data!G$22&gt;0.1,Acc!Q38="X"),Data!G$22,IF(Data!F$26=A217,Data!G$26,IF(Data!F$27=A217,Data!G$27,IF(Data!F$28=A217,Data!G$28,IF(Data!F$29=A217,Data!G$29,IF(Data!F$30=A217,Data!G$30,IF(Data!F$31=A217,Data!G$31,IF(Data!F$32=A217,Data!G$32,0))))))))</f>
        <v>0</v>
      </c>
      <c r="E217" s="268">
        <f t="shared" si="5"/>
        <v>0</v>
      </c>
    </row>
    <row r="218" spans="1:5" ht="13">
      <c r="A218" s="306" t="s">
        <v>208</v>
      </c>
      <c r="B218" s="306" t="s">
        <v>432</v>
      </c>
      <c r="C218" s="307">
        <v>5.5</v>
      </c>
      <c r="D218" s="308">
        <f>IF(AND(Data!G$22&gt;0.1,Acc!Q40="X"),Data!G$22,IF(Data!F$26=A218,Data!G$26,IF(Data!F$27=A218,Data!G$27,IF(Data!F$28=A218,Data!G$28,IF(Data!F$29=A218,Data!G$29,IF(Data!F$30=A218,Data!G$30,IF(Data!F$31=A218,Data!G$31,IF(Data!F$32=A218,Data!G$32,0))))))))</f>
        <v>0</v>
      </c>
      <c r="E218" s="268">
        <f t="shared" si="5"/>
        <v>0</v>
      </c>
    </row>
    <row r="219" spans="1:5" ht="13">
      <c r="A219" s="306" t="s">
        <v>471</v>
      </c>
      <c r="B219" s="306" t="s">
        <v>359</v>
      </c>
      <c r="C219" s="307">
        <v>3.3</v>
      </c>
      <c r="D219" s="308">
        <f>IF(AND(Data!G$22&gt;0.1,Acc!Q37="X"),Data!G$22,IF(Data!F$26=A219,Data!G$26,IF(Data!F$27=A219,Data!G$27,IF(Data!F$28=A219,Data!G$28,IF(Data!F$29=A219,Data!G$29,IF(Data!F$30=A219,Data!G$30,IF(Data!F$31=A219,Data!G$31,IF(Data!F$32=A219,Data!G$32,0))))))))</f>
        <v>0</v>
      </c>
      <c r="E219" s="268">
        <f t="shared" si="5"/>
        <v>0</v>
      </c>
    </row>
    <row r="220" spans="1:5" ht="13">
      <c r="A220" s="306" t="s">
        <v>148</v>
      </c>
      <c r="B220" s="306" t="s">
        <v>493</v>
      </c>
      <c r="C220" s="307">
        <v>6.6</v>
      </c>
      <c r="D220" s="308">
        <f>IF(AND(Data!G$22&gt;0.1,Acc!Q41="X"),Data!G$22,IF(Data!F$26=A220,Data!G$26,IF(Data!F$27=A220,Data!G$27,IF(Data!F$28=A220,Data!G$28,IF(Data!F$29=A220,Data!G$29,IF(Data!F$30=A220,Data!G$30,IF(Data!F$31=A220,Data!G$31,IF(Data!F$32=A220,Data!G$32,0))))))))</f>
        <v>0</v>
      </c>
      <c r="E220" s="268">
        <f t="shared" si="5"/>
        <v>0</v>
      </c>
    </row>
    <row r="221" spans="1:5" ht="13">
      <c r="A221" s="306" t="s">
        <v>344</v>
      </c>
      <c r="B221" s="306" t="s">
        <v>751</v>
      </c>
      <c r="C221" s="307">
        <v>6.6</v>
      </c>
      <c r="D221" s="308">
        <f>IF(AND(Data!G$22&gt;0.1,Acc!Q42="X"),Data!G$22,IF(Data!F$26=A221,Data!G$26,IF(Data!F$27=A221,Data!G$27,IF(Data!F$28=A221,Data!G$28,IF(Data!F$29=A221,Data!G$29,IF(Data!F$30=A221,Data!G$30,IF(Data!F$31=A221,Data!G$31,IF(Data!F$32=A221,Data!G$32,0))))))))</f>
        <v>0</v>
      </c>
      <c r="E221" s="268">
        <f t="shared" si="5"/>
        <v>0</v>
      </c>
    </row>
    <row r="222" spans="1:5" ht="13">
      <c r="A222" s="276" t="s">
        <v>19480</v>
      </c>
      <c r="B222" s="276" t="s">
        <v>19479</v>
      </c>
      <c r="C222" s="277">
        <v>5.5</v>
      </c>
      <c r="D222" s="278">
        <f>IF(AND(Data!B$3="H",Data!B$4=1.5,Data!M$2="YES",Data!B$5&lt;&gt;"MF1",Data!B$5&lt;&gt;"MF5"),1,0)</f>
        <v>0</v>
      </c>
      <c r="E222" s="268">
        <f t="shared" si="5"/>
        <v>0</v>
      </c>
    </row>
    <row r="223" spans="1:5" ht="13">
      <c r="A223" s="276" t="s">
        <v>19481</v>
      </c>
      <c r="B223" s="276" t="s">
        <v>19479</v>
      </c>
      <c r="C223" s="277">
        <v>6.6</v>
      </c>
      <c r="D223" s="278">
        <f>IF(AND(Data!B$3="H",Data!B$4=2,Data!M$2="YES",Data!B$5&lt;&gt;"MF1",Data!B$5&lt;&gt;"MF5"),1,0)</f>
        <v>0</v>
      </c>
      <c r="E223" s="268">
        <f t="shared" si="5"/>
        <v>0</v>
      </c>
    </row>
    <row r="224" spans="1:5" ht="13">
      <c r="A224" s="276" t="s">
        <v>19482</v>
      </c>
      <c r="B224" s="276" t="s">
        <v>19479</v>
      </c>
      <c r="C224" s="277">
        <v>8.8000000000000007</v>
      </c>
      <c r="D224" s="278">
        <f>IF(AND(Data!B$3="H",Data!B$4=2.5,Data!M$2="YES",Data!B$5&lt;&gt;"MF1",Data!B$5&lt;&gt;"MF5"),1,0)</f>
        <v>0</v>
      </c>
      <c r="E224" s="268">
        <f t="shared" si="5"/>
        <v>0</v>
      </c>
    </row>
    <row r="225" spans="1:9" ht="13">
      <c r="A225" s="276" t="s">
        <v>19483</v>
      </c>
      <c r="B225" s="276" t="s">
        <v>19479</v>
      </c>
      <c r="C225" s="277">
        <v>11</v>
      </c>
      <c r="D225" s="278">
        <f>IF(AND(Data!B$3="H",Data!B$4=3.25,Data!M$2="YES",Data!B$5&lt;&gt;"MF1",Data!B$5&lt;&gt;"MF5"),1,0)</f>
        <v>0</v>
      </c>
      <c r="E225" s="268">
        <f t="shared" si="5"/>
        <v>0</v>
      </c>
    </row>
    <row r="226" spans="1:9" ht="13">
      <c r="A226" s="276" t="s">
        <v>19484</v>
      </c>
      <c r="B226" s="276" t="s">
        <v>19479</v>
      </c>
      <c r="C226" s="277">
        <v>62.7</v>
      </c>
      <c r="D226" s="278">
        <f>IF(AND(Data!B$3="H",Data!B$4=4,Data!M$2="YES",Data!B$5&lt;&gt;"MF1",Data!B$5&lt;&gt;"MF5"),1,0)</f>
        <v>0</v>
      </c>
      <c r="E226" s="268">
        <f t="shared" si="5"/>
        <v>0</v>
      </c>
    </row>
    <row r="227" spans="1:9" ht="13">
      <c r="A227" s="276" t="s">
        <v>19485</v>
      </c>
      <c r="B227" s="276" t="s">
        <v>19479</v>
      </c>
      <c r="C227" s="277">
        <v>78.099999999999994</v>
      </c>
      <c r="D227" s="278">
        <f>IF(AND(Data!B$3="H",Data!B$4=5,Data!M$2="YES",Data!B$5&lt;&gt;"MF1",Data!B$5&lt;&gt;"MF5"),1,0)</f>
        <v>0</v>
      </c>
      <c r="E227" s="268">
        <f t="shared" si="5"/>
        <v>0</v>
      </c>
    </row>
    <row r="228" spans="1:9" ht="13">
      <c r="A228" s="276" t="s">
        <v>19486</v>
      </c>
      <c r="B228" s="276" t="s">
        <v>19479</v>
      </c>
      <c r="C228" s="277">
        <v>47.3</v>
      </c>
      <c r="D228" s="278">
        <f>IF(AND(Data!B$3="H",Data!B$4=6,Data!M$2="YES",Data!B$5&lt;&gt;"MF1",Data!B$5&lt;&gt;"MF5"),1,0)</f>
        <v>0</v>
      </c>
      <c r="E228" s="268">
        <f t="shared" si="5"/>
        <v>0</v>
      </c>
    </row>
    <row r="229" spans="1:9" ht="13">
      <c r="A229" s="276" t="s">
        <v>19487</v>
      </c>
      <c r="B229" s="276" t="s">
        <v>19479</v>
      </c>
      <c r="C229" s="277">
        <v>116.6</v>
      </c>
      <c r="D229" s="278">
        <f>IF(AND(Data!B$3="H",Data!B$4=7,Data!M$2="YES",Data!B$5&lt;&gt;"MF1",Data!B$5&lt;&gt;"MF5"),1,0)</f>
        <v>0</v>
      </c>
      <c r="E229" s="268">
        <f t="shared" si="5"/>
        <v>0</v>
      </c>
    </row>
    <row r="230" spans="1:9" ht="13">
      <c r="A230" s="276" t="s">
        <v>19488</v>
      </c>
      <c r="B230" s="276" t="s">
        <v>19479</v>
      </c>
      <c r="C230" s="277">
        <v>155.1</v>
      </c>
      <c r="D230" s="278">
        <f>IF(AND(Data!B$3="H",Data!B$4=8,Data!M$2="YES",Data!B$5&lt;&gt;"MF1",Data!B$5&lt;&gt;"MF5"),1,0)</f>
        <v>0</v>
      </c>
      <c r="E230" s="268">
        <f t="shared" si="5"/>
        <v>0</v>
      </c>
    </row>
    <row r="231" spans="1:9" ht="13">
      <c r="A231" s="276" t="s">
        <v>19489</v>
      </c>
      <c r="B231" s="276" t="s">
        <v>19490</v>
      </c>
      <c r="C231" s="277">
        <v>16.5</v>
      </c>
      <c r="D231" s="278">
        <f>IF(AND(Data!B$6=0.625,OR(Data!B$7="BE",Data!B$7="RE"),Data!B$3="H"),1,0)</f>
        <v>0</v>
      </c>
      <c r="E231" s="268">
        <f t="shared" si="5"/>
        <v>0</v>
      </c>
      <c r="G231" s="276"/>
      <c r="H231" s="276"/>
      <c r="I231" s="277"/>
    </row>
    <row r="232" spans="1:9" ht="13">
      <c r="A232" s="276" t="s">
        <v>19491</v>
      </c>
      <c r="B232" s="276" t="s">
        <v>19490</v>
      </c>
      <c r="C232" s="277">
        <v>16.5</v>
      </c>
      <c r="D232" s="278">
        <f>IF(AND(Data!B$6=1,OR(Data!B$7="BE",Data!B$7="RE"),Data!B$3="H"),1,0)</f>
        <v>0</v>
      </c>
      <c r="E232" s="268">
        <f t="shared" si="5"/>
        <v>0</v>
      </c>
      <c r="G232" s="276"/>
      <c r="H232" s="276"/>
      <c r="I232" s="277"/>
    </row>
    <row r="233" spans="1:9" ht="13">
      <c r="A233" s="276" t="s">
        <v>19492</v>
      </c>
      <c r="B233" s="276" t="s">
        <v>19490</v>
      </c>
      <c r="C233" s="277">
        <v>16.5</v>
      </c>
      <c r="D233" s="278">
        <f>IF(AND(Data!B$6=1.375,OR(Data!B$7="BE",Data!B$7="RE"),Data!B$3="H"),1,0)</f>
        <v>0</v>
      </c>
      <c r="E233" s="268">
        <f t="shared" si="5"/>
        <v>0</v>
      </c>
      <c r="G233" s="276"/>
      <c r="H233" s="276"/>
      <c r="I233" s="277"/>
    </row>
    <row r="234" spans="1:9" ht="13">
      <c r="A234" s="276" t="s">
        <v>19493</v>
      </c>
      <c r="B234" s="276" t="s">
        <v>19490</v>
      </c>
      <c r="C234" s="277">
        <v>16.5</v>
      </c>
      <c r="D234" s="278">
        <f>IF(AND(Data!B$6=1.75,OR(Data!B$7="BE",Data!B$7="RE"),Data!B$3="H"),1,0)</f>
        <v>0</v>
      </c>
      <c r="E234" s="268">
        <f t="shared" si="5"/>
        <v>0</v>
      </c>
      <c r="G234" s="276"/>
      <c r="H234" s="276"/>
      <c r="I234" s="277"/>
    </row>
    <row r="235" spans="1:9" ht="13">
      <c r="A235" s="276" t="s">
        <v>19494</v>
      </c>
      <c r="B235" s="276" t="s">
        <v>19490</v>
      </c>
      <c r="C235" s="277">
        <v>16.5</v>
      </c>
      <c r="D235" s="278">
        <f>IF(AND(Data!B$6=2,OR(Data!B$7="BE",Data!B$7="RE"),Data!B$3="H"),1,0)</f>
        <v>0</v>
      </c>
      <c r="E235" s="268">
        <f t="shared" si="5"/>
        <v>0</v>
      </c>
      <c r="G235" s="276"/>
      <c r="H235" s="276"/>
      <c r="I235" s="277"/>
    </row>
    <row r="236" spans="1:9" ht="13">
      <c r="A236" s="276" t="s">
        <v>19495</v>
      </c>
      <c r="B236" s="276" t="s">
        <v>19490</v>
      </c>
      <c r="C236" s="277">
        <v>24.2</v>
      </c>
      <c r="D236" s="278">
        <f>IF(AND(Data!B$6=2.5,OR(Data!B$7="BE",Data!B$7="RE"),Data!B$3="H"),1,0)</f>
        <v>0</v>
      </c>
      <c r="E236" s="268">
        <f t="shared" si="5"/>
        <v>0</v>
      </c>
      <c r="G236" s="276"/>
      <c r="H236" s="276"/>
      <c r="I236" s="277"/>
    </row>
    <row r="237" spans="1:9" ht="13">
      <c r="A237" s="276" t="s">
        <v>19496</v>
      </c>
      <c r="B237" s="276" t="s">
        <v>19490</v>
      </c>
      <c r="C237" s="277">
        <v>24.2</v>
      </c>
      <c r="D237" s="278">
        <f>IF(AND(Data!B$6=3,OR(Data!B$7="BE",Data!B$7="RE"),Data!B$3="H"),1,0)</f>
        <v>0</v>
      </c>
      <c r="E237" s="268">
        <f t="shared" si="5"/>
        <v>0</v>
      </c>
      <c r="G237" s="276"/>
      <c r="H237" s="276"/>
      <c r="I237" s="277"/>
    </row>
    <row r="238" spans="1:9" ht="13">
      <c r="A238" s="276" t="s">
        <v>19497</v>
      </c>
      <c r="B238" s="276" t="s">
        <v>19490</v>
      </c>
      <c r="C238" s="277">
        <v>24.2</v>
      </c>
      <c r="D238" s="278">
        <f>IF(AND(Data!B$6=4,OR(Data!B$7="BE",Data!B$7="RE"),Data!B$3="H"),1,0)</f>
        <v>0</v>
      </c>
      <c r="E238" s="268">
        <f t="shared" si="5"/>
        <v>0</v>
      </c>
      <c r="G238" s="276"/>
      <c r="H238" s="276"/>
      <c r="I238" s="277"/>
    </row>
    <row r="239" spans="1:9" ht="13">
      <c r="A239" s="276" t="s">
        <v>19498</v>
      </c>
      <c r="B239" s="276" t="s">
        <v>19490</v>
      </c>
      <c r="C239" s="277">
        <v>39.6</v>
      </c>
      <c r="D239" s="278">
        <f>IF(AND(Data!B$6=4.5,OR(Data!B$7="BE",Data!B$7="RE"),Data!B$3="H"),1,0)</f>
        <v>0</v>
      </c>
      <c r="E239" s="268">
        <f t="shared" si="5"/>
        <v>0</v>
      </c>
      <c r="G239" s="276"/>
      <c r="H239" s="276"/>
      <c r="I239" s="277"/>
    </row>
    <row r="240" spans="1:9" ht="13">
      <c r="A240" s="276" t="s">
        <v>19499</v>
      </c>
      <c r="B240" s="276" t="s">
        <v>19490</v>
      </c>
      <c r="C240" s="277">
        <v>78.099999999999994</v>
      </c>
      <c r="D240" s="278">
        <f>IF(AND(Data!B$6=5,OR(Data!B$7="BE",Data!B$7="RE"),Data!B$3="H"),1,0)</f>
        <v>0</v>
      </c>
      <c r="E240" s="268">
        <f t="shared" si="5"/>
        <v>0</v>
      </c>
      <c r="G240" s="276"/>
      <c r="H240" s="276"/>
      <c r="I240" s="277"/>
    </row>
    <row r="241" spans="1:9" ht="13">
      <c r="A241" s="276" t="s">
        <v>19500</v>
      </c>
      <c r="B241" s="276" t="s">
        <v>19490</v>
      </c>
      <c r="C241" s="277">
        <v>78.099999999999994</v>
      </c>
      <c r="D241" s="278">
        <f>IF(AND(Data!B$6=5.5,OR(Data!B$7="BE",Data!B$7="RE"),Data!B$3="H"),1,0)</f>
        <v>0</v>
      </c>
      <c r="E241" s="268">
        <f t="shared" si="5"/>
        <v>0</v>
      </c>
      <c r="G241" s="276"/>
      <c r="H241" s="276"/>
      <c r="I241" s="277"/>
    </row>
    <row r="242" spans="1:9" ht="13">
      <c r="A242" s="276" t="s">
        <v>19502</v>
      </c>
      <c r="B242" s="276" t="s">
        <v>19501</v>
      </c>
      <c r="C242" s="277">
        <v>47.3</v>
      </c>
      <c r="D242" s="278">
        <f>IF(AND(Data!B$4=1.5,Data!B$3="H",Data!B$5="ME5"),1,0)</f>
        <v>0</v>
      </c>
      <c r="E242" s="268">
        <f t="shared" si="5"/>
        <v>0</v>
      </c>
    </row>
    <row r="243" spans="1:9" ht="13">
      <c r="A243" s="276" t="s">
        <v>19503</v>
      </c>
      <c r="B243" s="276" t="s">
        <v>19501</v>
      </c>
      <c r="C243" s="277">
        <v>47.3</v>
      </c>
      <c r="D243" s="278">
        <f>IF(AND(Data!B$4=1.5,Data!B$3="H",Data!B$5="MS2"),1,0)</f>
        <v>0</v>
      </c>
      <c r="E243" s="268">
        <f t="shared" si="5"/>
        <v>0</v>
      </c>
    </row>
    <row r="244" spans="1:9" ht="13">
      <c r="A244" s="276" t="s">
        <v>19504</v>
      </c>
      <c r="B244" s="276" t="s">
        <v>19501</v>
      </c>
      <c r="C244" s="277">
        <v>105.6</v>
      </c>
      <c r="D244" s="278">
        <f>IF(AND(Data!B$4=1.5,Data!B$3="H",Data!B$5="MT1"),1,0)</f>
        <v>0</v>
      </c>
      <c r="E244" s="268">
        <f t="shared" si="5"/>
        <v>0</v>
      </c>
    </row>
    <row r="245" spans="1:9" ht="13">
      <c r="A245" s="276" t="s">
        <v>19505</v>
      </c>
      <c r="B245" s="276" t="s">
        <v>19501</v>
      </c>
      <c r="C245" s="277">
        <v>31.9</v>
      </c>
      <c r="D245" s="278">
        <f>IF(AND(Data!B$4=1.5,Data!B$6=0.625,Data!B$3="H",Data!B$5&lt;&gt;"MS2",Data!B$5&lt;&gt;"MT1",Data!B$5&lt;&gt;"ME3",Data!B$5&lt;&gt;"ME5",Data!B$5&lt;&gt;"IH3"),1,0)</f>
        <v>0</v>
      </c>
      <c r="E245" s="268">
        <f t="shared" si="5"/>
        <v>0</v>
      </c>
    </row>
    <row r="246" spans="1:9" ht="13">
      <c r="A246" s="276" t="s">
        <v>19506</v>
      </c>
      <c r="B246" s="276" t="s">
        <v>19501</v>
      </c>
      <c r="C246" s="277">
        <v>31.9</v>
      </c>
      <c r="D246" s="278">
        <f>IF(AND(Data!B$4=1.5,Data!B$6=1,Data!B$3="H",Data!B$5&lt;&gt;"MS2",Data!B$5&lt;&gt;"MT1",Data!B$5&lt;&gt;"ME3",Data!B$5&lt;&gt;"ME5",Data!B$5&lt;&gt;"IH3"),1,0)</f>
        <v>0</v>
      </c>
      <c r="E246" s="268">
        <f t="shared" si="5"/>
        <v>0</v>
      </c>
    </row>
    <row r="247" spans="1:9" ht="13">
      <c r="A247" s="276" t="s">
        <v>19507</v>
      </c>
      <c r="B247" s="276" t="s">
        <v>19501</v>
      </c>
      <c r="C247" s="277">
        <v>85.8</v>
      </c>
      <c r="D247" s="278">
        <f>IF(AND(Data!B$4=2,Data!B$3="H",Data!B$5="ME5"),1,0)</f>
        <v>0</v>
      </c>
      <c r="E247" s="268">
        <f t="shared" si="5"/>
        <v>0</v>
      </c>
    </row>
    <row r="248" spans="1:9" ht="13">
      <c r="A248" s="276" t="s">
        <v>19508</v>
      </c>
      <c r="B248" s="276" t="s">
        <v>19501</v>
      </c>
      <c r="C248" s="277">
        <v>66</v>
      </c>
      <c r="D248" s="278">
        <f>IF(AND(Data!B$4=2,Data!B$3="H",Data!B$5="MS2"),1,0)</f>
        <v>0</v>
      </c>
      <c r="E248" s="268">
        <f t="shared" si="5"/>
        <v>0</v>
      </c>
    </row>
    <row r="249" spans="1:9" ht="13">
      <c r="A249" s="276" t="s">
        <v>19509</v>
      </c>
      <c r="B249" s="276" t="s">
        <v>19501</v>
      </c>
      <c r="C249" s="277">
        <v>119.9</v>
      </c>
      <c r="D249" s="278">
        <f>IF(AND(Data!B$4=2,Data!B$3="H",Data!B$5="MT1"),1,0)</f>
        <v>0</v>
      </c>
      <c r="E249" s="268">
        <f t="shared" si="5"/>
        <v>0</v>
      </c>
    </row>
    <row r="250" spans="1:9" ht="13">
      <c r="A250" s="276" t="s">
        <v>19510</v>
      </c>
      <c r="B250" s="276" t="s">
        <v>19501</v>
      </c>
      <c r="C250" s="277">
        <v>49.5</v>
      </c>
      <c r="D250" s="278">
        <f>IF(AND(Data!B$4=2,Data!B$6=1,Data!B$3="H",Data!B$5&lt;&gt;"MS2",Data!B$5&lt;&gt;"MT1",Data!B$5&lt;&gt;"ME3",Data!B$5&lt;&gt;"ME5",Data!B$5&lt;&gt;"IH3"),1,0)</f>
        <v>0</v>
      </c>
      <c r="E250" s="268">
        <f t="shared" si="5"/>
        <v>0</v>
      </c>
    </row>
    <row r="251" spans="1:9" ht="13">
      <c r="A251" s="276" t="s">
        <v>19511</v>
      </c>
      <c r="B251" s="276" t="s">
        <v>19501</v>
      </c>
      <c r="C251" s="277">
        <v>49.5</v>
      </c>
      <c r="D251" s="278">
        <f>IF(AND(Data!B$4=2,Data!B$6=1.375,Data!B$3="H",Data!B$5&lt;&gt;"MS2",Data!B$5&lt;&gt;"MT1",Data!B$5&lt;&gt;"ME3",Data!B$5&lt;&gt;"ME5",Data!B$5&lt;&gt;"IH3"),1,0)</f>
        <v>0</v>
      </c>
      <c r="E251" s="268">
        <f t="shared" si="5"/>
        <v>0</v>
      </c>
    </row>
    <row r="252" spans="1:9" ht="13">
      <c r="A252" s="276" t="s">
        <v>19512</v>
      </c>
      <c r="B252" s="276" t="s">
        <v>19501</v>
      </c>
      <c r="C252" s="277">
        <v>89.1</v>
      </c>
      <c r="D252" s="278">
        <f>IF(AND(Data!B$4=2.5,Data!B$3="H",Data!B$5="ME5"),1,0)</f>
        <v>0</v>
      </c>
      <c r="E252" s="268">
        <f t="shared" si="5"/>
        <v>0</v>
      </c>
    </row>
    <row r="253" spans="1:9" ht="13">
      <c r="A253" s="276" t="s">
        <v>19513</v>
      </c>
      <c r="B253" s="276" t="s">
        <v>19501</v>
      </c>
      <c r="C253" s="277">
        <v>66</v>
      </c>
      <c r="D253" s="278">
        <f>IF(AND(Data!B$4=2.5,Data!B$3="H",Data!B$5="MS2"),1,0)</f>
        <v>0</v>
      </c>
      <c r="E253" s="268">
        <f t="shared" si="5"/>
        <v>0</v>
      </c>
    </row>
    <row r="254" spans="1:9" ht="13">
      <c r="A254" s="276" t="s">
        <v>19514</v>
      </c>
      <c r="B254" s="276" t="s">
        <v>19501</v>
      </c>
      <c r="C254" s="277">
        <v>132</v>
      </c>
      <c r="D254" s="278">
        <f>IF(AND(Data!B$4=2.5,Data!B$3="H",Data!B$5="MT1"),1,0)</f>
        <v>0</v>
      </c>
      <c r="E254" s="268">
        <f t="shared" si="5"/>
        <v>0</v>
      </c>
    </row>
    <row r="255" spans="1:9" ht="13">
      <c r="A255" s="276" t="s">
        <v>19515</v>
      </c>
      <c r="B255" s="276" t="s">
        <v>19501</v>
      </c>
      <c r="C255" s="277">
        <v>83.6</v>
      </c>
      <c r="D255" s="278">
        <f>IF(AND(Data!B$4=2.5,Data!B$6=1,Data!B$3="H",Data!B$5&lt;&gt;"MS2",Data!B$5&lt;&gt;"MT1",Data!B$5&lt;&gt;"ME3",Data!B$5&lt;&gt;"ME5",Data!B$5&lt;&gt;"IH3"),1,0)</f>
        <v>0</v>
      </c>
      <c r="E255" s="268">
        <f t="shared" si="5"/>
        <v>0</v>
      </c>
    </row>
    <row r="256" spans="1:9" ht="13">
      <c r="A256" s="276" t="s">
        <v>19516</v>
      </c>
      <c r="B256" s="276" t="s">
        <v>19501</v>
      </c>
      <c r="C256" s="277">
        <v>83.6</v>
      </c>
      <c r="D256" s="278">
        <f>IF(AND(Data!B$4=2.5,Data!B$6=1.375,Data!B$3="H",Data!B$5&lt;&gt;"MS2",Data!B$5&lt;&gt;"MT1",Data!B$5&lt;&gt;"ME3",Data!B$5&lt;&gt;"ME5",Data!B$5&lt;&gt;"IH3"),1,0)</f>
        <v>0</v>
      </c>
      <c r="E256" s="268">
        <f t="shared" si="5"/>
        <v>0</v>
      </c>
    </row>
    <row r="257" spans="1:5" ht="13">
      <c r="A257" s="276" t="s">
        <v>19517</v>
      </c>
      <c r="B257" s="276" t="s">
        <v>19501</v>
      </c>
      <c r="C257" s="277">
        <v>83.6</v>
      </c>
      <c r="D257" s="278">
        <f>IF(AND(Data!B$4=2.5,Data!B$6=1.75,Data!B$3="H",Data!B$5&lt;&gt;"MS2",Data!B$5&lt;&gt;"MT1",Data!B$5&lt;&gt;"ME3",Data!B$5&lt;&gt;"ME5",Data!B$5&lt;&gt;"IH3"),1,0)</f>
        <v>0</v>
      </c>
      <c r="E257" s="268">
        <f t="shared" si="5"/>
        <v>0</v>
      </c>
    </row>
    <row r="258" spans="1:5" ht="13">
      <c r="A258" s="276" t="s">
        <v>19518</v>
      </c>
      <c r="B258" s="276" t="s">
        <v>19501</v>
      </c>
      <c r="C258" s="277">
        <v>101.2</v>
      </c>
      <c r="D258" s="278">
        <f>IF(AND(Data!B$4=3.25,Data!B$3="H",Data!B$5="ME5"),1,0)</f>
        <v>0</v>
      </c>
      <c r="E258" s="268">
        <f t="shared" si="5"/>
        <v>0</v>
      </c>
    </row>
    <row r="259" spans="1:5" ht="13">
      <c r="A259" s="276" t="s">
        <v>19519</v>
      </c>
      <c r="B259" s="276" t="s">
        <v>19501</v>
      </c>
      <c r="C259" s="277">
        <v>124.3</v>
      </c>
      <c r="D259" s="278">
        <f>IF(AND(Data!B$4=3.25,Data!B$3="H",Data!B$5="MS2"),1,0)</f>
        <v>0</v>
      </c>
      <c r="E259" s="268">
        <f t="shared" ref="E259:E322" si="6">D259*C259</f>
        <v>0</v>
      </c>
    </row>
    <row r="260" spans="1:5" ht="13">
      <c r="A260" s="276" t="s">
        <v>19520</v>
      </c>
      <c r="B260" s="276" t="s">
        <v>19501</v>
      </c>
      <c r="C260" s="277">
        <v>162.80000000000001</v>
      </c>
      <c r="D260" s="278">
        <f>IF(AND(Data!B$4=3.25,Data!B$3="H",Data!B$5="MT1"),1,0)</f>
        <v>0</v>
      </c>
      <c r="E260" s="268">
        <f t="shared" si="6"/>
        <v>0</v>
      </c>
    </row>
    <row r="261" spans="1:5" ht="13">
      <c r="A261" s="276" t="s">
        <v>19521</v>
      </c>
      <c r="B261" s="276" t="s">
        <v>19501</v>
      </c>
      <c r="C261" s="277">
        <v>70.400000000000006</v>
      </c>
      <c r="D261" s="278">
        <f>IF(AND(Data!B$4=3.25,Data!B$6=1.375,Data!B$3="H",Data!B$5&lt;&gt;"MS2",Data!B$5&lt;&gt;"MT1",Data!B$5&lt;&gt;"ME3",Data!B$5&lt;&gt;"ME5",Data!B$5&lt;&gt;"IH3"),1,0)</f>
        <v>0</v>
      </c>
      <c r="E261" s="268">
        <f t="shared" si="6"/>
        <v>0</v>
      </c>
    </row>
    <row r="262" spans="1:5" ht="13">
      <c r="A262" s="276" t="s">
        <v>19522</v>
      </c>
      <c r="B262" s="276" t="s">
        <v>19501</v>
      </c>
      <c r="C262" s="277">
        <v>71.5</v>
      </c>
      <c r="D262" s="278">
        <f>IF(AND(Data!B$4=3.25,Data!B$6=1.75,Data!B$3="H",Data!B$5&lt;&gt;"MS2",Data!B$5&lt;&gt;"MT1",Data!B$5&lt;&gt;"ME3",Data!B$5&lt;&gt;"ME5",Data!B$5&lt;&gt;"IH3"),1,0)</f>
        <v>0</v>
      </c>
      <c r="E262" s="268">
        <f t="shared" si="6"/>
        <v>0</v>
      </c>
    </row>
    <row r="263" spans="1:5" ht="13">
      <c r="A263" s="276" t="s">
        <v>19523</v>
      </c>
      <c r="B263" s="276" t="s">
        <v>19501</v>
      </c>
      <c r="C263" s="277">
        <v>71.5</v>
      </c>
      <c r="D263" s="278">
        <f>IF(AND(Data!B$4=3.25,Data!B$6=2,Data!B$3="H",Data!B$5&lt;&gt;"MS2",Data!B$5&lt;&gt;"MT1",Data!B$5&lt;&gt;"ME3",Data!B$5&lt;&gt;"ME5",Data!B$5&lt;&gt;"IH3"),1,0)</f>
        <v>0</v>
      </c>
      <c r="E263" s="268">
        <f t="shared" si="6"/>
        <v>0</v>
      </c>
    </row>
    <row r="264" spans="1:5" ht="13">
      <c r="A264" s="276" t="s">
        <v>19524</v>
      </c>
      <c r="B264" s="276" t="s">
        <v>19501</v>
      </c>
      <c r="C264" s="277">
        <v>196.9</v>
      </c>
      <c r="D264" s="278">
        <f>IF(AND(Data!B$4=4,Data!B$3="H",Data!B$5="ME5"),1,0)</f>
        <v>0</v>
      </c>
      <c r="E264" s="268">
        <f t="shared" si="6"/>
        <v>0</v>
      </c>
    </row>
    <row r="265" spans="1:5" ht="13">
      <c r="A265" s="276" t="s">
        <v>19525</v>
      </c>
      <c r="B265" s="276" t="s">
        <v>19501</v>
      </c>
      <c r="C265" s="277">
        <v>132</v>
      </c>
      <c r="D265" s="278">
        <f>IF(AND(Data!B$4=4,Data!B$3="H",Data!B$5="MS2"),1,0)</f>
        <v>0</v>
      </c>
      <c r="E265" s="268">
        <f t="shared" si="6"/>
        <v>0</v>
      </c>
    </row>
    <row r="266" spans="1:5" ht="13">
      <c r="A266" s="276" t="s">
        <v>19526</v>
      </c>
      <c r="B266" s="276" t="s">
        <v>19501</v>
      </c>
      <c r="C266" s="277">
        <v>170.5</v>
      </c>
      <c r="D266" s="278">
        <f>IF(AND(Data!B$4=4,Data!B$3="H",Data!B$5="MT1"),1,0)</f>
        <v>0</v>
      </c>
      <c r="E266" s="268">
        <f t="shared" si="6"/>
        <v>0</v>
      </c>
    </row>
    <row r="267" spans="1:5" ht="13">
      <c r="A267" s="276" t="s">
        <v>19527</v>
      </c>
      <c r="B267" s="276" t="s">
        <v>19501</v>
      </c>
      <c r="C267" s="277">
        <v>67.099999999999994</v>
      </c>
      <c r="D267" s="278">
        <f>IF(AND(Data!B$4=4,Data!B$6=1.75,Data!B$3="H",Data!B$5&lt;&gt;"MS2",Data!B$5&lt;&gt;"MT1",Data!B$5&lt;&gt;"ME3",Data!B$5&lt;&gt;"ME5",Data!B$5&lt;&gt;"IH3"),1,0)</f>
        <v>0</v>
      </c>
      <c r="E267" s="268">
        <f t="shared" si="6"/>
        <v>0</v>
      </c>
    </row>
    <row r="268" spans="1:5" ht="13">
      <c r="A268" s="276" t="s">
        <v>19528</v>
      </c>
      <c r="B268" s="276" t="s">
        <v>19501</v>
      </c>
      <c r="C268" s="277">
        <v>67.099999999999994</v>
      </c>
      <c r="D268" s="278">
        <f>IF(AND(Data!B$4=4,Data!B$6=2,Data!B$3="H",Data!B$5&lt;&gt;"MS2",Data!B$5&lt;&gt;"MT1",Data!B$5&lt;&gt;"ME3",Data!B$5&lt;&gt;"ME5",Data!B$5&lt;&gt;"IH3"),1,0)</f>
        <v>0</v>
      </c>
      <c r="E268" s="268">
        <f t="shared" si="6"/>
        <v>0</v>
      </c>
    </row>
    <row r="269" spans="1:5" ht="13">
      <c r="A269" s="276" t="s">
        <v>19529</v>
      </c>
      <c r="B269" s="276" t="s">
        <v>19501</v>
      </c>
      <c r="C269" s="277">
        <v>67.099999999999994</v>
      </c>
      <c r="D269" s="278">
        <f>IF(AND(Data!B$4=4,Data!B$6=2.5,Data!B$3="H",Data!B$5&lt;&gt;"MS2",Data!B$5&lt;&gt;"MT1",Data!B$5&lt;&gt;"ME3",Data!B$5&lt;&gt;"ME5",Data!B$5&lt;&gt;"IH3"),1,0)</f>
        <v>0</v>
      </c>
      <c r="E269" s="268">
        <f t="shared" si="6"/>
        <v>0</v>
      </c>
    </row>
    <row r="270" spans="1:5" ht="13">
      <c r="A270" s="276" t="s">
        <v>19530</v>
      </c>
      <c r="B270" s="276" t="s">
        <v>19501</v>
      </c>
      <c r="C270" s="277">
        <v>210.1</v>
      </c>
      <c r="D270" s="278">
        <f>IF(AND(Data!B$4=5,Data!B$3="H",Data!B$5="ME5"),1,0)</f>
        <v>0</v>
      </c>
      <c r="E270" s="268">
        <f t="shared" si="6"/>
        <v>0</v>
      </c>
    </row>
    <row r="271" spans="1:5" ht="13">
      <c r="A271" s="276" t="s">
        <v>19531</v>
      </c>
      <c r="B271" s="276" t="s">
        <v>19501</v>
      </c>
      <c r="C271" s="277">
        <v>139.69999999999999</v>
      </c>
      <c r="D271" s="278">
        <f>IF(AND(Data!B$4=5,Data!B$3="H",Data!B$5="MS2"),1,0)</f>
        <v>0</v>
      </c>
      <c r="E271" s="268">
        <f t="shared" si="6"/>
        <v>0</v>
      </c>
    </row>
    <row r="272" spans="1:5" ht="13">
      <c r="A272" s="276" t="s">
        <v>19532</v>
      </c>
      <c r="B272" s="276" t="s">
        <v>19501</v>
      </c>
      <c r="C272" s="277">
        <v>185.9</v>
      </c>
      <c r="D272" s="278">
        <f>IF(AND(Data!B$4=5,Data!B$3="H",Data!B$5="MT1"),1,0)</f>
        <v>0</v>
      </c>
      <c r="E272" s="268">
        <f t="shared" si="6"/>
        <v>0</v>
      </c>
    </row>
    <row r="273" spans="1:5" ht="13">
      <c r="A273" s="276" t="s">
        <v>19533</v>
      </c>
      <c r="B273" s="276" t="s">
        <v>19501</v>
      </c>
      <c r="C273" s="277">
        <v>139.69999999999999</v>
      </c>
      <c r="D273" s="278">
        <f>IF(AND(Data!B$4=5,Data!B$6=2,Data!B$3="H",Data!B$5&lt;&gt;"MS2",Data!B$5&lt;&gt;"MT1",Data!B$5&lt;&gt;"ME3",Data!B$5&lt;&gt;"ME5",Data!B$5&lt;&gt;"IH3"),1,0)</f>
        <v>1</v>
      </c>
      <c r="E273" s="268">
        <f t="shared" si="6"/>
        <v>139.69999999999999</v>
      </c>
    </row>
    <row r="274" spans="1:5" ht="13">
      <c r="A274" s="276" t="s">
        <v>19534</v>
      </c>
      <c r="B274" s="276" t="s">
        <v>19501</v>
      </c>
      <c r="C274" s="277">
        <v>147.4</v>
      </c>
      <c r="D274" s="278">
        <f>IF(AND(Data!B$4=5,Data!B$6=2.5,Data!B$3="H",Data!B$5&lt;&gt;"MS2",Data!B$5&lt;&gt;"MT1",Data!B$5&lt;&gt;"ME3",Data!B$5&lt;&gt;"ME5",Data!B$5&lt;&gt;"IH3"),1,0)</f>
        <v>0</v>
      </c>
      <c r="E274" s="268">
        <f t="shared" si="6"/>
        <v>0</v>
      </c>
    </row>
    <row r="275" spans="1:5" ht="13">
      <c r="A275" s="276" t="s">
        <v>19535</v>
      </c>
      <c r="B275" s="276" t="s">
        <v>19501</v>
      </c>
      <c r="C275" s="277">
        <v>149.6</v>
      </c>
      <c r="D275" s="278">
        <f>IF(AND(Data!B$4=5,Data!B$6=3,Data!B$3="H",Data!B$5&lt;&gt;"MS2",Data!B$5&lt;&gt;"MT1",Data!B$5&lt;&gt;"ME3",Data!B$5&lt;&gt;"ME5",Data!B$5&lt;&gt;"IH3"),1,0)</f>
        <v>0</v>
      </c>
      <c r="E275" s="268">
        <f t="shared" si="6"/>
        <v>0</v>
      </c>
    </row>
    <row r="276" spans="1:5" ht="13">
      <c r="A276" s="276" t="s">
        <v>19536</v>
      </c>
      <c r="B276" s="276" t="s">
        <v>19501</v>
      </c>
      <c r="C276" s="277">
        <v>155.1</v>
      </c>
      <c r="D276" s="278">
        <f>IF(AND(Data!B$4=5,Data!B$6=3.5,Data!B$3="H",Data!B$5&lt;&gt;"MS2",Data!B$5&lt;&gt;"MT1",Data!B$5&lt;&gt;"ME3",Data!B$5&lt;&gt;"ME5",Data!B$5&lt;&gt;"IH3"),1,0)</f>
        <v>0</v>
      </c>
      <c r="E276" s="268">
        <f t="shared" si="6"/>
        <v>0</v>
      </c>
    </row>
    <row r="277" spans="1:5" ht="13">
      <c r="A277" s="276" t="s">
        <v>19537</v>
      </c>
      <c r="B277" s="276" t="s">
        <v>19501</v>
      </c>
      <c r="C277" s="277">
        <v>233.2</v>
      </c>
      <c r="D277" s="278">
        <f>IF(AND(Data!B$4=6,Data!B$3="H",Data!B$5="ME5"),1,0)</f>
        <v>0</v>
      </c>
      <c r="E277" s="268">
        <f t="shared" si="6"/>
        <v>0</v>
      </c>
    </row>
    <row r="278" spans="1:5" ht="13">
      <c r="A278" s="276" t="s">
        <v>19538</v>
      </c>
      <c r="B278" s="276" t="s">
        <v>19501</v>
      </c>
      <c r="C278" s="277">
        <v>156.19999999999999</v>
      </c>
      <c r="D278" s="278">
        <f>IF(AND(Data!B$4=6,Data!B$3="H",Data!B$5="MS2"),1,0)</f>
        <v>0</v>
      </c>
      <c r="E278" s="268">
        <f t="shared" si="6"/>
        <v>0</v>
      </c>
    </row>
    <row r="279" spans="1:5" ht="13">
      <c r="A279" s="276" t="s">
        <v>19539</v>
      </c>
      <c r="B279" s="276" t="s">
        <v>19501</v>
      </c>
      <c r="C279" s="277">
        <v>233.2</v>
      </c>
      <c r="D279" s="278">
        <f>IF(AND(Data!B$4=6,Data!B$3="H",Data!B$5="MT1"),1,0)</f>
        <v>0</v>
      </c>
      <c r="E279" s="268">
        <f t="shared" si="6"/>
        <v>0</v>
      </c>
    </row>
    <row r="280" spans="1:5" ht="13">
      <c r="A280" s="276" t="s">
        <v>19540</v>
      </c>
      <c r="B280" s="276" t="s">
        <v>19501</v>
      </c>
      <c r="C280" s="277">
        <v>264</v>
      </c>
      <c r="D280" s="278">
        <f>IF(AND(Data!B$4=6,Data!B$6=2.5,Data!B$3="H",Data!B$5&lt;&gt;"MS2",Data!B$5&lt;&gt;"MT1",Data!B$5&lt;&gt;"ME3",Data!B$5&lt;&gt;"ME5",Data!B$5&lt;&gt;"IH3"),1,0)</f>
        <v>0</v>
      </c>
      <c r="E280" s="268">
        <f t="shared" si="6"/>
        <v>0</v>
      </c>
    </row>
    <row r="281" spans="1:5" ht="13">
      <c r="A281" s="276" t="s">
        <v>19541</v>
      </c>
      <c r="B281" s="276" t="s">
        <v>19501</v>
      </c>
      <c r="C281" s="277">
        <v>264</v>
      </c>
      <c r="D281" s="278">
        <f>IF(AND(Data!B$4=6,Data!B$6=3,Data!B$3="H",Data!B$5&lt;&gt;"MS2",Data!B$5&lt;&gt;"MT1",Data!B$5&lt;&gt;"ME3",Data!B$5&lt;&gt;"ME5",Data!B$5&lt;&gt;"IH3"),1,0)</f>
        <v>0</v>
      </c>
      <c r="E281" s="268">
        <f t="shared" si="6"/>
        <v>0</v>
      </c>
    </row>
    <row r="282" spans="1:5" ht="13">
      <c r="A282" s="276" t="s">
        <v>19542</v>
      </c>
      <c r="B282" s="276" t="s">
        <v>19501</v>
      </c>
      <c r="C282" s="277">
        <v>264</v>
      </c>
      <c r="D282" s="278">
        <f>IF(AND(Data!B$4=6,Data!B$6=3.5,Data!B$3="H",Data!B$5&lt;&gt;"MS2",Data!B$5&lt;&gt;"MT1",Data!B$5&lt;&gt;"ME3",Data!B$5&lt;&gt;"ME5",Data!B$5&lt;&gt;"IH3"),1,0)</f>
        <v>0</v>
      </c>
      <c r="E282" s="268">
        <f t="shared" si="6"/>
        <v>0</v>
      </c>
    </row>
    <row r="283" spans="1:5" ht="13">
      <c r="A283" s="276" t="s">
        <v>19543</v>
      </c>
      <c r="B283" s="276" t="s">
        <v>19501</v>
      </c>
      <c r="C283" s="277">
        <v>264</v>
      </c>
      <c r="D283" s="278">
        <f>IF(AND(Data!B$4=6,Data!B$6=4,Data!B$3="H",Data!B$5&lt;&gt;"MS2",Data!B$5&lt;&gt;"MT1",Data!B$5&lt;&gt;"ME3",Data!B$5&lt;&gt;"ME5",Data!B$5&lt;&gt;"IH3"),1,0)</f>
        <v>0</v>
      </c>
      <c r="E283" s="268">
        <f t="shared" si="6"/>
        <v>0</v>
      </c>
    </row>
    <row r="284" spans="1:5" ht="13">
      <c r="A284" s="276" t="s">
        <v>19544</v>
      </c>
      <c r="B284" s="276" t="s">
        <v>19501</v>
      </c>
      <c r="C284" s="277">
        <v>310.2</v>
      </c>
      <c r="D284" s="278">
        <f>IF(AND(Data!B$4=7,Data!B$5="ME3",Data!B$3="H"),1,0)</f>
        <v>0</v>
      </c>
      <c r="E284" s="268">
        <f t="shared" si="6"/>
        <v>0</v>
      </c>
    </row>
    <row r="285" spans="1:5" ht="13">
      <c r="A285" s="276" t="s">
        <v>19545</v>
      </c>
      <c r="B285" s="276" t="s">
        <v>19501</v>
      </c>
      <c r="C285" s="277">
        <v>348.7</v>
      </c>
      <c r="D285" s="278">
        <f>IF(AND(Data!B$4=7,Data!B$3="H",Data!B$5="ME5"),1,0)</f>
        <v>0</v>
      </c>
      <c r="E285" s="268">
        <f t="shared" si="6"/>
        <v>0</v>
      </c>
    </row>
    <row r="286" spans="1:5" ht="13">
      <c r="A286" s="276" t="s">
        <v>19546</v>
      </c>
      <c r="B286" s="276" t="s">
        <v>19501</v>
      </c>
      <c r="C286" s="277">
        <v>364.1</v>
      </c>
      <c r="D286" s="278">
        <f>IF(AND(Data!B$4=7,Data!B$3="H",Data!B$5="MS2"),1,0)</f>
        <v>0</v>
      </c>
      <c r="E286" s="268">
        <f t="shared" si="6"/>
        <v>0</v>
      </c>
    </row>
    <row r="287" spans="1:5" ht="13">
      <c r="A287" s="276" t="s">
        <v>19547</v>
      </c>
      <c r="B287" s="276" t="s">
        <v>19501</v>
      </c>
      <c r="C287" s="277">
        <v>465.3</v>
      </c>
      <c r="D287" s="278">
        <f>IF(AND(Data!B$4=7,Data!B$3="H",Data!B$5="MT1"),1,0)</f>
        <v>0</v>
      </c>
      <c r="E287" s="268">
        <f t="shared" si="6"/>
        <v>0</v>
      </c>
    </row>
    <row r="288" spans="1:5" ht="13">
      <c r="A288" s="276" t="s">
        <v>19548</v>
      </c>
      <c r="B288" s="276" t="s">
        <v>19501</v>
      </c>
      <c r="C288" s="277">
        <v>310.2</v>
      </c>
      <c r="D288" s="278">
        <f>IF(AND(Data!B$4=7,Data!B$6=3,Data!B$3="H",Data!B$5&lt;&gt;"MS2",Data!B$5&lt;&gt;"MT1",Data!B$5&lt;&gt;"ME3",Data!B$5&lt;&gt;"ME5",Data!B$5&lt;&gt;"IH3"),1,0)</f>
        <v>0</v>
      </c>
      <c r="E288" s="268">
        <f t="shared" si="6"/>
        <v>0</v>
      </c>
    </row>
    <row r="289" spans="1:5" ht="13">
      <c r="A289" s="276" t="s">
        <v>19549</v>
      </c>
      <c r="B289" s="276" t="s">
        <v>19501</v>
      </c>
      <c r="C289" s="277">
        <v>310.2</v>
      </c>
      <c r="D289" s="278">
        <f>IF(AND(Data!B$4=7,Data!B$6=3.5,Data!B$3="H",Data!B$5&lt;&gt;"MS2",Data!B$5&lt;&gt;"MT1",Data!B$5&lt;&gt;"ME3",Data!B$5&lt;&gt;"ME5",Data!B$5&lt;&gt;"IH3"),1,0)</f>
        <v>0</v>
      </c>
      <c r="E289" s="268">
        <f t="shared" si="6"/>
        <v>0</v>
      </c>
    </row>
    <row r="290" spans="1:5" ht="13">
      <c r="A290" s="276" t="s">
        <v>19550</v>
      </c>
      <c r="B290" s="276" t="s">
        <v>19501</v>
      </c>
      <c r="C290" s="277">
        <v>310.2</v>
      </c>
      <c r="D290" s="278">
        <f>IF(AND(Data!B$4=7,Data!B$6=4,Data!B$3="H",Data!B$5&lt;&gt;"MS2",Data!B$5&lt;&gt;"MT1",Data!B$5&lt;&gt;"ME3",Data!B$5&lt;&gt;"ME5",Data!B$5&lt;&gt;"IH3"),1,0)</f>
        <v>0</v>
      </c>
      <c r="E290" s="268">
        <f t="shared" si="6"/>
        <v>0</v>
      </c>
    </row>
    <row r="291" spans="1:5" ht="13">
      <c r="A291" s="276" t="s">
        <v>19551</v>
      </c>
      <c r="B291" s="276" t="s">
        <v>19501</v>
      </c>
      <c r="C291" s="277">
        <v>310.2</v>
      </c>
      <c r="D291" s="278">
        <f>IF(AND(Data!B$4=7,Data!B$6=4.5,Data!B$3="H",Data!B$5&lt;&gt;"MS2",Data!B$5&lt;&gt;"MT1",Data!B$5&lt;&gt;"ME3",Data!B$5&lt;&gt;"ME5",Data!B$5&lt;&gt;"IH3"),1,0)</f>
        <v>0</v>
      </c>
      <c r="E291" s="268">
        <f t="shared" si="6"/>
        <v>0</v>
      </c>
    </row>
    <row r="292" spans="1:5" ht="13">
      <c r="A292" s="276" t="s">
        <v>19552</v>
      </c>
      <c r="B292" s="276" t="s">
        <v>19501</v>
      </c>
      <c r="C292" s="277">
        <v>310.2</v>
      </c>
      <c r="D292" s="278">
        <f>IF(AND(Data!B$4=7,Data!B$6=5,Data!B$3="H",Data!B$5&lt;&gt;"MS2",Data!B$5&lt;&gt;"MT1",Data!B$5&lt;&gt;"ME3",Data!B$5&lt;&gt;"ME5",Data!B$5&lt;&gt;"IH3"),1,0)</f>
        <v>0</v>
      </c>
      <c r="E292" s="268">
        <f t="shared" si="6"/>
        <v>0</v>
      </c>
    </row>
    <row r="293" spans="1:5" ht="13">
      <c r="A293" s="276" t="s">
        <v>19553</v>
      </c>
      <c r="B293" s="276" t="s">
        <v>19501</v>
      </c>
      <c r="C293" s="277">
        <v>387.2</v>
      </c>
      <c r="D293" s="278">
        <f>IF(AND(Data!B$4=8,Data!B$5="ME3",Data!B$3="H"),1,0)</f>
        <v>0</v>
      </c>
      <c r="E293" s="268">
        <f t="shared" si="6"/>
        <v>0</v>
      </c>
    </row>
    <row r="294" spans="1:5" ht="13">
      <c r="A294" s="276" t="s">
        <v>19554</v>
      </c>
      <c r="B294" s="276" t="s">
        <v>19501</v>
      </c>
      <c r="C294" s="277">
        <v>465.3</v>
      </c>
      <c r="D294" s="278">
        <f>IF(AND(Data!B$4=8,Data!B$3="H",Data!B$5="ME5"),1,0)</f>
        <v>0</v>
      </c>
      <c r="E294" s="268">
        <f t="shared" si="6"/>
        <v>0</v>
      </c>
    </row>
    <row r="295" spans="1:5" ht="13">
      <c r="A295" s="276" t="s">
        <v>19555</v>
      </c>
      <c r="B295" s="276" t="s">
        <v>19501</v>
      </c>
      <c r="C295" s="277">
        <v>503.8</v>
      </c>
      <c r="D295" s="278">
        <f>IF(AND(Data!B$4=8,Data!B$3="H",Data!B$5="MS2"),1,0)</f>
        <v>0</v>
      </c>
      <c r="E295" s="268">
        <f t="shared" si="6"/>
        <v>0</v>
      </c>
    </row>
    <row r="296" spans="1:5" ht="13">
      <c r="A296" s="276" t="s">
        <v>19556</v>
      </c>
      <c r="B296" s="276" t="s">
        <v>19501</v>
      </c>
      <c r="C296" s="277">
        <v>465.3</v>
      </c>
      <c r="D296" s="278">
        <f>IF(AND(Data!B$4=8,Data!B$3="H",Data!B$5="MT1"),1,0)</f>
        <v>0</v>
      </c>
      <c r="E296" s="268">
        <f t="shared" si="6"/>
        <v>0</v>
      </c>
    </row>
    <row r="297" spans="1:5" ht="13">
      <c r="A297" s="276" t="s">
        <v>19557</v>
      </c>
      <c r="B297" s="276" t="s">
        <v>19501</v>
      </c>
      <c r="C297" s="277">
        <v>348.7</v>
      </c>
      <c r="D297" s="278">
        <f>IF(AND(Data!B$4=8,Data!B$6=3.5,Data!B$3="H",Data!B$5&lt;&gt;"MS2",Data!B$5&lt;&gt;"MT1",Data!B$5&lt;&gt;"ME3",Data!B$5&lt;&gt;"ME5",Data!B$5&lt;&gt;"IH3"),1,0)</f>
        <v>0</v>
      </c>
      <c r="E297" s="268">
        <f t="shared" si="6"/>
        <v>0</v>
      </c>
    </row>
    <row r="298" spans="1:5" ht="13">
      <c r="A298" s="276" t="s">
        <v>19558</v>
      </c>
      <c r="B298" s="276" t="s">
        <v>19501</v>
      </c>
      <c r="C298" s="277">
        <v>348.7</v>
      </c>
      <c r="D298" s="278">
        <f>IF(AND(Data!B$4=8,Data!B$6=4,Data!B$3="H",Data!B$5&lt;&gt;"MS2",Data!B$5&lt;&gt;"MT1",Data!B$5&lt;&gt;"ME3",Data!B$5&lt;&gt;"ME5",Data!B$5&lt;&gt;"IH3"),1,0)</f>
        <v>0</v>
      </c>
      <c r="E298" s="268">
        <f t="shared" si="6"/>
        <v>0</v>
      </c>
    </row>
    <row r="299" spans="1:5" ht="13">
      <c r="A299" s="276" t="s">
        <v>19559</v>
      </c>
      <c r="B299" s="276" t="s">
        <v>19501</v>
      </c>
      <c r="C299" s="277">
        <v>348.7</v>
      </c>
      <c r="D299" s="278">
        <f>IF(AND(Data!B$4=8,Data!B$6=4.5,Data!B$3="H",Data!B$5&lt;&gt;"MS2",Data!B$5&lt;&gt;"MT1",Data!B$5&lt;&gt;"ME3",Data!B$5&lt;&gt;"ME5",Data!B$5&lt;&gt;"IH3"),1,0)</f>
        <v>0</v>
      </c>
      <c r="E299" s="268">
        <f t="shared" si="6"/>
        <v>0</v>
      </c>
    </row>
    <row r="300" spans="1:5" ht="13">
      <c r="A300" s="276" t="s">
        <v>19560</v>
      </c>
      <c r="B300" s="276" t="s">
        <v>19501</v>
      </c>
      <c r="C300" s="277">
        <v>348.7</v>
      </c>
      <c r="D300" s="278">
        <f>IF(AND(Data!B$4=8,Data!B$6=5,Data!B$3="H",Data!B$5&lt;&gt;"MS2",Data!B$5&lt;&gt;"MT1",Data!B$5&lt;&gt;"ME3",Data!B$5&lt;&gt;"ME5",Data!B$5&lt;&gt;"IH3"),1,0)</f>
        <v>0</v>
      </c>
      <c r="E300" s="268">
        <f t="shared" si="6"/>
        <v>0</v>
      </c>
    </row>
    <row r="301" spans="1:5" ht="13">
      <c r="A301" s="276" t="s">
        <v>19561</v>
      </c>
      <c r="B301" s="276" t="s">
        <v>19501</v>
      </c>
      <c r="C301" s="277">
        <v>348.7</v>
      </c>
      <c r="D301" s="278">
        <f>IF(AND(Data!B$4=8,Data!B$6=5.5,Data!B$3="H",Data!B$5&lt;&gt;"MS2",Data!B$5&lt;&gt;"MT1",Data!B$5&lt;&gt;"ME3",Data!B$5&lt;&gt;"ME5",Data!B$5&lt;&gt;"IH3"),1,0)</f>
        <v>0</v>
      </c>
      <c r="E301" s="268">
        <f t="shared" si="6"/>
        <v>0</v>
      </c>
    </row>
    <row r="302" spans="1:5" ht="13">
      <c r="A302" s="276" t="s">
        <v>19563</v>
      </c>
      <c r="B302" s="276" t="s">
        <v>19562</v>
      </c>
      <c r="C302" s="277">
        <v>29.7</v>
      </c>
      <c r="D302" s="278">
        <f>IF(AND(Data!B$4=1.5,Data!B$3="H",Data!B$5&lt;&gt;"MP1",Data!B$5&lt;&gt;"MP3",Data!B$5&lt;&gt;"MS2",Data!B$5&lt;&gt;"MT2",Data!B$5&lt;&gt;"ME4",Data!B$5&lt;&gt;"MPU3",Data!B$5&lt;&gt;"ME6",Data!B$5&lt;&gt;"IH4"),1,0)</f>
        <v>0</v>
      </c>
      <c r="E302" s="268">
        <f t="shared" si="6"/>
        <v>0</v>
      </c>
    </row>
    <row r="303" spans="1:5" ht="13">
      <c r="A303" s="276" t="s">
        <v>19564</v>
      </c>
      <c r="B303" s="276" t="s">
        <v>19562</v>
      </c>
      <c r="C303" s="277">
        <v>29.7</v>
      </c>
      <c r="D303" s="278">
        <v>0</v>
      </c>
      <c r="E303" s="268">
        <f t="shared" si="6"/>
        <v>0</v>
      </c>
    </row>
    <row r="304" spans="1:5" ht="13">
      <c r="A304" s="276" t="s">
        <v>19565</v>
      </c>
      <c r="B304" s="276" t="s">
        <v>19562</v>
      </c>
      <c r="C304" s="277">
        <v>52.8</v>
      </c>
      <c r="D304" s="278">
        <f>IF(AND(Data!B$4=1.5,Data!B$3="H",Data!B$5="ME6"),1,0)</f>
        <v>0</v>
      </c>
      <c r="E304" s="268">
        <f t="shared" si="6"/>
        <v>0</v>
      </c>
    </row>
    <row r="305" spans="1:5" ht="13">
      <c r="A305" s="276" t="s">
        <v>19566</v>
      </c>
      <c r="B305" s="276" t="s">
        <v>19562</v>
      </c>
      <c r="C305" s="277">
        <v>55</v>
      </c>
      <c r="D305" s="278">
        <f>IF(AND(Data!B$4=1.5,Data!B$3="H",Data!B$5="MP1"),1,0)</f>
        <v>0</v>
      </c>
      <c r="E305" s="268">
        <f t="shared" si="6"/>
        <v>0</v>
      </c>
    </row>
    <row r="306" spans="1:5" ht="13">
      <c r="A306" s="276" t="s">
        <v>19567</v>
      </c>
      <c r="B306" s="276" t="s">
        <v>19562</v>
      </c>
      <c r="C306" s="277">
        <v>62.7</v>
      </c>
      <c r="D306" s="278">
        <f>IF(AND(Data!B$4=1.5,Data!B$3="H",Data!B$5="MP2"),1,0)</f>
        <v>0</v>
      </c>
      <c r="E306" s="268">
        <f t="shared" si="6"/>
        <v>0</v>
      </c>
    </row>
    <row r="307" spans="1:5" ht="13">
      <c r="A307" s="276" t="s">
        <v>19568</v>
      </c>
      <c r="B307" s="276" t="s">
        <v>19562</v>
      </c>
      <c r="C307" s="277">
        <v>55</v>
      </c>
      <c r="D307" s="278">
        <f>IF(AND(Data!B$4=1.5,Data!B$3="H",Data!B$5="MP3"),1,0)</f>
        <v>0</v>
      </c>
      <c r="E307" s="268">
        <f t="shared" si="6"/>
        <v>0</v>
      </c>
    </row>
    <row r="308" spans="1:5" ht="13">
      <c r="A308" s="276" t="s">
        <v>19569</v>
      </c>
      <c r="B308" s="276" t="s">
        <v>19562</v>
      </c>
      <c r="C308" s="277">
        <v>85.8</v>
      </c>
      <c r="D308" s="278">
        <f>IF(AND(Data!B$4=1.5,Data!B$3="H",Data!B$5="MPU3"),1,0)</f>
        <v>0</v>
      </c>
      <c r="E308" s="268">
        <f t="shared" si="6"/>
        <v>0</v>
      </c>
    </row>
    <row r="309" spans="1:5" ht="13">
      <c r="A309" s="276" t="s">
        <v>19570</v>
      </c>
      <c r="B309" s="276" t="s">
        <v>19562</v>
      </c>
      <c r="C309" s="277">
        <v>55</v>
      </c>
      <c r="D309" s="278">
        <f>IF(AND(Data!B$4=1.5,Data!B$3="H",Data!B$5="MS2"),1,0)</f>
        <v>0</v>
      </c>
      <c r="E309" s="268">
        <f t="shared" si="6"/>
        <v>0</v>
      </c>
    </row>
    <row r="310" spans="1:5" ht="13">
      <c r="A310" s="276" t="s">
        <v>19571</v>
      </c>
      <c r="B310" s="276" t="s">
        <v>19562</v>
      </c>
      <c r="C310" s="277">
        <v>85.8</v>
      </c>
      <c r="D310" s="278">
        <f>IF(AND(Data!B$4=1.5,Data!B$3="H",Data!B$5="MT2"),1,0)</f>
        <v>0</v>
      </c>
      <c r="E310" s="268">
        <f t="shared" si="6"/>
        <v>0</v>
      </c>
    </row>
    <row r="311" spans="1:5" ht="13">
      <c r="A311" s="276" t="s">
        <v>19572</v>
      </c>
      <c r="B311" s="276" t="s">
        <v>19562</v>
      </c>
      <c r="C311" s="277">
        <v>29.7</v>
      </c>
      <c r="D311" s="278">
        <f>IF(AND(Data!B$4=2,Data!B$3="H",Data!B$5&lt;&gt;"MP1",Data!B$5&lt;&gt;"MP3",Data!B$5&lt;&gt;"MS2",Data!B$5&lt;&gt;"MT2",Data!B$5&lt;&gt;"ME4",Data!B$5&lt;&gt;"MPU3",Data!B$5&lt;&gt;"ME6",Data!B$5&lt;&gt;"IH4"),1,0)</f>
        <v>0</v>
      </c>
      <c r="E311" s="268">
        <f t="shared" si="6"/>
        <v>0</v>
      </c>
    </row>
    <row r="312" spans="1:5" ht="13">
      <c r="A312" s="276" t="s">
        <v>19573</v>
      </c>
      <c r="B312" s="276" t="s">
        <v>19562</v>
      </c>
      <c r="C312" s="277">
        <v>30.8</v>
      </c>
      <c r="D312" s="278">
        <v>0</v>
      </c>
      <c r="E312" s="268">
        <f t="shared" si="6"/>
        <v>0</v>
      </c>
    </row>
    <row r="313" spans="1:5" ht="13">
      <c r="A313" s="276" t="s">
        <v>19574</v>
      </c>
      <c r="B313" s="276" t="s">
        <v>19562</v>
      </c>
      <c r="C313" s="277">
        <v>70.400000000000006</v>
      </c>
      <c r="D313" s="278">
        <f>IF(AND(Data!B$4=2,Data!B$3="H",Data!B$5="ME6"),1,0)</f>
        <v>0</v>
      </c>
      <c r="E313" s="268">
        <f t="shared" si="6"/>
        <v>0</v>
      </c>
    </row>
    <row r="314" spans="1:5" ht="13">
      <c r="A314" s="276" t="s">
        <v>19575</v>
      </c>
      <c r="B314" s="276" t="s">
        <v>19562</v>
      </c>
      <c r="C314" s="277">
        <v>62.7</v>
      </c>
      <c r="D314" s="278">
        <f>IF(AND(Data!B$4=2,Data!B$3="H",Data!B$5="MP1"),1,0)</f>
        <v>0</v>
      </c>
      <c r="E314" s="268">
        <f t="shared" si="6"/>
        <v>0</v>
      </c>
    </row>
    <row r="315" spans="1:5" ht="13">
      <c r="A315" s="276" t="s">
        <v>19576</v>
      </c>
      <c r="B315" s="276" t="s">
        <v>19562</v>
      </c>
      <c r="C315" s="277">
        <v>73.7</v>
      </c>
      <c r="D315" s="278">
        <f>IF(AND(Data!B$4=2,Data!B$3="H",Data!B$5="MP2"),1,0)</f>
        <v>0</v>
      </c>
      <c r="E315" s="268">
        <f t="shared" si="6"/>
        <v>0</v>
      </c>
    </row>
    <row r="316" spans="1:5" ht="13">
      <c r="A316" s="276" t="s">
        <v>19577</v>
      </c>
      <c r="B316" s="276" t="s">
        <v>19562</v>
      </c>
      <c r="C316" s="277">
        <v>70.400000000000006</v>
      </c>
      <c r="D316" s="278">
        <f>IF(AND(Data!B$4=2,Data!B$3="H",Data!B$5="MP3"),1,0)</f>
        <v>0</v>
      </c>
      <c r="E316" s="268">
        <f t="shared" si="6"/>
        <v>0</v>
      </c>
    </row>
    <row r="317" spans="1:5" ht="13">
      <c r="A317" s="276" t="s">
        <v>19578</v>
      </c>
      <c r="B317" s="276" t="s">
        <v>19562</v>
      </c>
      <c r="C317" s="277">
        <v>85.8</v>
      </c>
      <c r="D317" s="278">
        <f>IF(AND(Data!B$4=2,Data!B$3="H",Data!B$5="MPU3"),1,0)</f>
        <v>0</v>
      </c>
      <c r="E317" s="268">
        <f t="shared" si="6"/>
        <v>0</v>
      </c>
    </row>
    <row r="318" spans="1:5" ht="13">
      <c r="A318" s="276" t="s">
        <v>19579</v>
      </c>
      <c r="B318" s="276" t="s">
        <v>19562</v>
      </c>
      <c r="C318" s="277">
        <v>70.400000000000006</v>
      </c>
      <c r="D318" s="278">
        <f>IF(AND(Data!B$4=2,Data!B$3="H",Data!B$5="MS2"),1,0)</f>
        <v>0</v>
      </c>
      <c r="E318" s="268">
        <f t="shared" si="6"/>
        <v>0</v>
      </c>
    </row>
    <row r="319" spans="1:5" ht="13">
      <c r="A319" s="276" t="s">
        <v>19580</v>
      </c>
      <c r="B319" s="276" t="s">
        <v>19562</v>
      </c>
      <c r="C319" s="277">
        <v>93.5</v>
      </c>
      <c r="D319" s="278">
        <f>IF(AND(Data!B$4=2,Data!B$3="H",Data!B$5="MT2"),1,0)</f>
        <v>0</v>
      </c>
      <c r="E319" s="268">
        <f t="shared" si="6"/>
        <v>0</v>
      </c>
    </row>
    <row r="320" spans="1:5" ht="13">
      <c r="A320" s="276" t="s">
        <v>19581</v>
      </c>
      <c r="B320" s="276" t="s">
        <v>19562</v>
      </c>
      <c r="C320" s="277">
        <v>38.5</v>
      </c>
      <c r="D320" s="278">
        <f>IF(AND(Data!B$4=2.5,Data!B$3="H",Data!B$5&lt;&gt;"MP1",Data!B$5&lt;&gt;"MP3",Data!B$5&lt;&gt;"MS2",Data!B$5&lt;&gt;"MT2",Data!B$5&lt;&gt;"ME4",Data!B$5&lt;&gt;"MPU3",Data!B$5&lt;&gt;"ME6",Data!B$5&lt;&gt;"IH4"),1,0)</f>
        <v>0</v>
      </c>
      <c r="E320" s="268">
        <f t="shared" si="6"/>
        <v>0</v>
      </c>
    </row>
    <row r="321" spans="1:5" ht="13">
      <c r="A321" s="276" t="s">
        <v>19582</v>
      </c>
      <c r="B321" s="276" t="s">
        <v>19562</v>
      </c>
      <c r="C321" s="277">
        <v>40.700000000000003</v>
      </c>
      <c r="D321" s="278">
        <v>0</v>
      </c>
      <c r="E321" s="268">
        <f t="shared" si="6"/>
        <v>0</v>
      </c>
    </row>
    <row r="322" spans="1:5" ht="13">
      <c r="A322" s="276" t="s">
        <v>19583</v>
      </c>
      <c r="B322" s="276" t="s">
        <v>19562</v>
      </c>
      <c r="C322" s="277">
        <v>70.400000000000006</v>
      </c>
      <c r="D322" s="278">
        <f>IF(AND(Data!B$4=2.5,Data!B$3="H",Data!B$5="ME6"),1,0)</f>
        <v>0</v>
      </c>
      <c r="E322" s="268">
        <f t="shared" si="6"/>
        <v>0</v>
      </c>
    </row>
    <row r="323" spans="1:5" ht="13">
      <c r="A323" s="276" t="s">
        <v>19584</v>
      </c>
      <c r="B323" s="276" t="s">
        <v>19562</v>
      </c>
      <c r="C323" s="277">
        <v>79.2</v>
      </c>
      <c r="D323" s="278">
        <f>IF(AND(Data!B$4=2.5,Data!B$3="H",Data!B$5="MP1"),1,0)</f>
        <v>0</v>
      </c>
      <c r="E323" s="268">
        <f t="shared" ref="E323:E386" si="7">D323*C323</f>
        <v>0</v>
      </c>
    </row>
    <row r="324" spans="1:5" ht="13">
      <c r="A324" s="276" t="s">
        <v>19585</v>
      </c>
      <c r="B324" s="276" t="s">
        <v>19562</v>
      </c>
      <c r="C324" s="277">
        <v>78.099999999999994</v>
      </c>
      <c r="D324" s="278">
        <f>IF(AND(Data!B$4=2.5,Data!B$3="H",Data!B$5="MP2"),1,0)</f>
        <v>0</v>
      </c>
      <c r="E324" s="268">
        <f t="shared" si="7"/>
        <v>0</v>
      </c>
    </row>
    <row r="325" spans="1:5" ht="13">
      <c r="A325" s="276" t="s">
        <v>19586</v>
      </c>
      <c r="B325" s="276" t="s">
        <v>19562</v>
      </c>
      <c r="C325" s="277">
        <v>79.2</v>
      </c>
      <c r="D325" s="278">
        <f>IF(AND(Data!B$4=2.5,Data!B$3="H",Data!B$5="MP3"),1,0)</f>
        <v>0</v>
      </c>
      <c r="E325" s="268">
        <f t="shared" si="7"/>
        <v>0</v>
      </c>
    </row>
    <row r="326" spans="1:5" ht="13">
      <c r="A326" s="276" t="s">
        <v>19587</v>
      </c>
      <c r="B326" s="276" t="s">
        <v>19562</v>
      </c>
      <c r="C326" s="277">
        <v>96.8</v>
      </c>
      <c r="D326" s="278">
        <f>IF(AND(Data!B$4=2.5,Data!B$3="H",Data!B$5="MPU3"),1,0)</f>
        <v>0</v>
      </c>
      <c r="E326" s="268">
        <f t="shared" si="7"/>
        <v>0</v>
      </c>
    </row>
    <row r="327" spans="1:5" ht="13">
      <c r="A327" s="276" t="s">
        <v>19588</v>
      </c>
      <c r="B327" s="276" t="s">
        <v>19562</v>
      </c>
      <c r="C327" s="277">
        <v>79.2</v>
      </c>
      <c r="D327" s="278">
        <f>IF(AND(Data!B$4=2.5,Data!B$3="H",Data!B$5="MS2"),1,0)</f>
        <v>0</v>
      </c>
      <c r="E327" s="268">
        <f t="shared" si="7"/>
        <v>0</v>
      </c>
    </row>
    <row r="328" spans="1:5" ht="13">
      <c r="A328" s="276" t="s">
        <v>19589</v>
      </c>
      <c r="B328" s="276" t="s">
        <v>19562</v>
      </c>
      <c r="C328" s="277">
        <v>108.9</v>
      </c>
      <c r="D328" s="278">
        <f>IF(AND(Data!B$4=2.5,Data!B$3="H",Data!B$5="MT2"),1,0)</f>
        <v>0</v>
      </c>
      <c r="E328" s="268">
        <f t="shared" si="7"/>
        <v>0</v>
      </c>
    </row>
    <row r="329" spans="1:5" ht="13">
      <c r="A329" s="276" t="s">
        <v>19590</v>
      </c>
      <c r="B329" s="276" t="s">
        <v>19562</v>
      </c>
      <c r="C329" s="277">
        <v>53.9</v>
      </c>
      <c r="D329" s="278">
        <f>IF(AND(Data!B$4=3.25,Data!B$3="H",Data!B$5&lt;&gt;"MP1",Data!B$5&lt;&gt;"MP3",Data!B$5&lt;&gt;"MS2",Data!B$5&lt;&gt;"MT2",Data!B$5&lt;&gt;"ME4",Data!B$5&lt;&gt;"MPU3",Data!B$5&lt;&gt;"ME6",Data!B$5&lt;&gt;"IH4"),1,0)</f>
        <v>0</v>
      </c>
      <c r="E329" s="268">
        <f t="shared" si="7"/>
        <v>0</v>
      </c>
    </row>
    <row r="330" spans="1:5" ht="13">
      <c r="A330" s="276" t="s">
        <v>19591</v>
      </c>
      <c r="B330" s="276" t="s">
        <v>19562</v>
      </c>
      <c r="C330" s="277">
        <v>53.9</v>
      </c>
      <c r="D330" s="278">
        <v>0</v>
      </c>
      <c r="E330" s="268">
        <f t="shared" si="7"/>
        <v>0</v>
      </c>
    </row>
    <row r="331" spans="1:5" ht="13">
      <c r="A331" s="276" t="s">
        <v>19592</v>
      </c>
      <c r="B331" s="276" t="s">
        <v>19562</v>
      </c>
      <c r="C331" s="277">
        <v>94.6</v>
      </c>
      <c r="D331" s="278">
        <f>IF(AND(Data!B$4=3.25,Data!B$3="H",Data!B$5="ME6"),1,0)</f>
        <v>0</v>
      </c>
      <c r="E331" s="268">
        <f t="shared" si="7"/>
        <v>0</v>
      </c>
    </row>
    <row r="332" spans="1:5" ht="13">
      <c r="A332" s="276" t="s">
        <v>19593</v>
      </c>
      <c r="B332" s="276" t="s">
        <v>19562</v>
      </c>
      <c r="C332" s="277">
        <v>85.8</v>
      </c>
      <c r="D332" s="278">
        <f>IF(AND(Data!B$4=3.25,Data!B$3="H",Data!B$5="MP1"),1,0)</f>
        <v>0</v>
      </c>
      <c r="E332" s="268">
        <f t="shared" si="7"/>
        <v>0</v>
      </c>
    </row>
    <row r="333" spans="1:5" ht="13">
      <c r="A333" s="276" t="s">
        <v>19594</v>
      </c>
      <c r="B333" s="276" t="s">
        <v>19562</v>
      </c>
      <c r="C333" s="277">
        <v>82.5</v>
      </c>
      <c r="D333" s="278">
        <f>IF(AND(Data!B$4=3.25,Data!B$3="H",Data!B$5="MP2"),1,0)</f>
        <v>0</v>
      </c>
      <c r="E333" s="268">
        <f t="shared" si="7"/>
        <v>0</v>
      </c>
    </row>
    <row r="334" spans="1:5" ht="13">
      <c r="A334" s="276" t="s">
        <v>19595</v>
      </c>
      <c r="B334" s="276" t="s">
        <v>19562</v>
      </c>
      <c r="C334" s="277">
        <v>85.8</v>
      </c>
      <c r="D334" s="278">
        <f>IF(AND(Data!B$4=3.25,Data!B$3="H",Data!B$5="MP3"),1,0)</f>
        <v>0</v>
      </c>
      <c r="E334" s="268">
        <f t="shared" si="7"/>
        <v>0</v>
      </c>
    </row>
    <row r="335" spans="1:5" ht="13">
      <c r="A335" s="276" t="s">
        <v>19596</v>
      </c>
      <c r="B335" s="276" t="s">
        <v>19562</v>
      </c>
      <c r="C335" s="277">
        <v>101.2</v>
      </c>
      <c r="D335" s="278">
        <f>IF(AND(Data!B$4=3.25,Data!B$3="H",Data!B$5="MPU3"),1,0)</f>
        <v>0</v>
      </c>
      <c r="E335" s="268">
        <f t="shared" si="7"/>
        <v>0</v>
      </c>
    </row>
    <row r="336" spans="1:5" ht="13">
      <c r="A336" s="276" t="s">
        <v>19597</v>
      </c>
      <c r="B336" s="276" t="s">
        <v>19562</v>
      </c>
      <c r="C336" s="277">
        <v>85.8</v>
      </c>
      <c r="D336" s="278">
        <f>IF(AND(Data!B$4=3.25,Data!B$3="H",Data!B$5="MS2"),1,0)</f>
        <v>0</v>
      </c>
      <c r="E336" s="268">
        <f t="shared" si="7"/>
        <v>0</v>
      </c>
    </row>
    <row r="337" spans="1:5" ht="13">
      <c r="A337" s="276" t="s">
        <v>19598</v>
      </c>
      <c r="B337" s="276" t="s">
        <v>19562</v>
      </c>
      <c r="C337" s="277">
        <v>132</v>
      </c>
      <c r="D337" s="278">
        <f>IF(AND(Data!B$4=3.25,Data!B$3="H",Data!B$5="MT2"),1,0)</f>
        <v>0</v>
      </c>
      <c r="E337" s="268">
        <f t="shared" si="7"/>
        <v>0</v>
      </c>
    </row>
    <row r="338" spans="1:5" ht="13">
      <c r="A338" s="276" t="s">
        <v>19599</v>
      </c>
      <c r="B338" s="276" t="s">
        <v>19562</v>
      </c>
      <c r="C338" s="277">
        <v>75.900000000000006</v>
      </c>
      <c r="D338" s="278">
        <f>IF(AND(Data!B$4=4,Data!B$3="H",Data!B$5&lt;&gt;"MP1",Data!B$5&lt;&gt;"MP3",Data!B$5&lt;&gt;"MS2",Data!B$5&lt;&gt;"MT2",Data!B$5&lt;&gt;"ME4",Data!B$5&lt;&gt;"MPU3",Data!B$5&lt;&gt;"ME6",Data!B$5&lt;&gt;"IH4"),1,0)</f>
        <v>0</v>
      </c>
      <c r="E338" s="268">
        <f t="shared" si="7"/>
        <v>0</v>
      </c>
    </row>
    <row r="339" spans="1:5" ht="13">
      <c r="A339" s="276" t="s">
        <v>19600</v>
      </c>
      <c r="B339" s="276" t="s">
        <v>19562</v>
      </c>
      <c r="C339" s="277">
        <v>77</v>
      </c>
      <c r="D339" s="278">
        <v>0</v>
      </c>
      <c r="E339" s="268">
        <f t="shared" si="7"/>
        <v>0</v>
      </c>
    </row>
    <row r="340" spans="1:5" ht="13">
      <c r="A340" s="276" t="s">
        <v>19601</v>
      </c>
      <c r="B340" s="276" t="s">
        <v>19562</v>
      </c>
      <c r="C340" s="277">
        <v>196.9</v>
      </c>
      <c r="D340" s="278">
        <f>IF(AND(Data!B$4=4,Data!B$3="H",Data!B$5="ME6"),1,0)</f>
        <v>0</v>
      </c>
      <c r="E340" s="268">
        <f t="shared" si="7"/>
        <v>0</v>
      </c>
    </row>
    <row r="341" spans="1:5" ht="13">
      <c r="A341" s="276" t="s">
        <v>19602</v>
      </c>
      <c r="B341" s="276" t="s">
        <v>19562</v>
      </c>
      <c r="C341" s="277">
        <v>101.2</v>
      </c>
      <c r="D341" s="278">
        <f>IF(AND(Data!B$4=4,Data!B$3="H",Data!B$5="MP1"),1,0)</f>
        <v>0</v>
      </c>
      <c r="E341" s="268">
        <f t="shared" si="7"/>
        <v>0</v>
      </c>
    </row>
    <row r="342" spans="1:5" ht="13">
      <c r="A342" s="276" t="s">
        <v>19603</v>
      </c>
      <c r="B342" s="276" t="s">
        <v>19562</v>
      </c>
      <c r="C342" s="277">
        <v>97.9</v>
      </c>
      <c r="D342" s="278">
        <f>IF(AND(Data!B$4=4,Data!B$3="H",Data!B$5="MP2"),1,0)</f>
        <v>0</v>
      </c>
      <c r="E342" s="268">
        <f t="shared" si="7"/>
        <v>0</v>
      </c>
    </row>
    <row r="343" spans="1:5" ht="13">
      <c r="A343" s="276" t="s">
        <v>19604</v>
      </c>
      <c r="B343" s="276" t="s">
        <v>19562</v>
      </c>
      <c r="C343" s="277">
        <v>101.2</v>
      </c>
      <c r="D343" s="278">
        <f>IF(AND(Data!B$4=4,Data!B$3="H",Data!B$5="MP3"),1,0)</f>
        <v>0</v>
      </c>
      <c r="E343" s="268">
        <f t="shared" si="7"/>
        <v>0</v>
      </c>
    </row>
    <row r="344" spans="1:5" ht="13">
      <c r="A344" s="276" t="s">
        <v>19605</v>
      </c>
      <c r="B344" s="276" t="s">
        <v>19562</v>
      </c>
      <c r="C344" s="277">
        <v>169.4</v>
      </c>
      <c r="D344" s="278">
        <f>IF(AND(Data!B$4=4,Data!B$3="H",Data!B$5="MPU3"),1,0)</f>
        <v>0</v>
      </c>
      <c r="E344" s="268">
        <f t="shared" si="7"/>
        <v>0</v>
      </c>
    </row>
    <row r="345" spans="1:5" ht="13">
      <c r="A345" s="276" t="s">
        <v>19606</v>
      </c>
      <c r="B345" s="276" t="s">
        <v>19562</v>
      </c>
      <c r="C345" s="277">
        <v>178.2</v>
      </c>
      <c r="D345" s="278">
        <f>IF(AND(Data!B$4=4,Data!B$3="H",Data!B$5="MS2"),1,0)</f>
        <v>0</v>
      </c>
      <c r="E345" s="268">
        <f t="shared" si="7"/>
        <v>0</v>
      </c>
    </row>
    <row r="346" spans="1:5" ht="13">
      <c r="A346" s="276" t="s">
        <v>19607</v>
      </c>
      <c r="B346" s="276" t="s">
        <v>19562</v>
      </c>
      <c r="C346" s="277">
        <v>193.6</v>
      </c>
      <c r="D346" s="278">
        <f>IF(AND(Data!B$4=4,Data!B$3="H",Data!B$5="MT2"),1,0)</f>
        <v>0</v>
      </c>
      <c r="E346" s="268">
        <f t="shared" si="7"/>
        <v>0</v>
      </c>
    </row>
    <row r="347" spans="1:5" ht="13">
      <c r="A347" s="276" t="s">
        <v>19608</v>
      </c>
      <c r="B347" s="276" t="s">
        <v>19562</v>
      </c>
      <c r="C347" s="277">
        <v>94.6</v>
      </c>
      <c r="D347" s="278">
        <f>IF(AND(Data!B$4=5,Data!B$3="H",Data!B$5&lt;&gt;"MP1",Data!B$5&lt;&gt;"MP3",Data!B$5&lt;&gt;"MS2",Data!B$5&lt;&gt;"MT2",Data!B$5&lt;&gt;"ME4",Data!B$5&lt;&gt;"MPU3",Data!B$5&lt;&gt;"ME6",Data!B$5&lt;&gt;"IH4"),1,0)</f>
        <v>1</v>
      </c>
      <c r="E347" s="268">
        <f t="shared" si="7"/>
        <v>94.6</v>
      </c>
    </row>
    <row r="348" spans="1:5" ht="13">
      <c r="A348" s="276" t="s">
        <v>19609</v>
      </c>
      <c r="B348" s="276" t="s">
        <v>19562</v>
      </c>
      <c r="C348" s="277">
        <v>94.6</v>
      </c>
      <c r="D348" s="278">
        <v>0</v>
      </c>
      <c r="E348" s="268">
        <f t="shared" si="7"/>
        <v>0</v>
      </c>
    </row>
    <row r="349" spans="1:5" ht="13">
      <c r="A349" s="276" t="s">
        <v>19610</v>
      </c>
      <c r="B349" s="276" t="s">
        <v>19562</v>
      </c>
      <c r="C349" s="277">
        <v>148.5</v>
      </c>
      <c r="D349" s="278">
        <f>IF(AND(Data!B$4=5,Data!B$3="H",Data!B$5="ME6"),1,0)</f>
        <v>0</v>
      </c>
      <c r="E349" s="268">
        <f t="shared" si="7"/>
        <v>0</v>
      </c>
    </row>
    <row r="350" spans="1:5" ht="13">
      <c r="A350" s="276" t="s">
        <v>19611</v>
      </c>
      <c r="B350" s="276" t="s">
        <v>19562</v>
      </c>
      <c r="C350" s="277">
        <v>173.8</v>
      </c>
      <c r="D350" s="278">
        <f>IF(AND(Data!B$4=5,Data!B$3="H",Data!B$5="MP1"),1,0)</f>
        <v>0</v>
      </c>
      <c r="E350" s="268">
        <f t="shared" si="7"/>
        <v>0</v>
      </c>
    </row>
    <row r="351" spans="1:5" ht="13">
      <c r="A351" s="276" t="s">
        <v>19612</v>
      </c>
      <c r="B351" s="276" t="s">
        <v>19562</v>
      </c>
      <c r="C351" s="277">
        <v>104.5</v>
      </c>
      <c r="D351" s="278">
        <f>IF(AND(Data!B$4=5,Data!B$3="H",Data!B$5="MP2"),1,0)</f>
        <v>0</v>
      </c>
      <c r="E351" s="268">
        <f t="shared" si="7"/>
        <v>0</v>
      </c>
    </row>
    <row r="352" spans="1:5" ht="13">
      <c r="A352" s="276" t="s">
        <v>19613</v>
      </c>
      <c r="B352" s="276" t="s">
        <v>19562</v>
      </c>
      <c r="C352" s="277">
        <v>173.8</v>
      </c>
      <c r="D352" s="278">
        <f>IF(AND(Data!B$4=5,Data!B$3="H",Data!B$5="MP3"),1,0)</f>
        <v>0</v>
      </c>
      <c r="E352" s="268">
        <f t="shared" si="7"/>
        <v>0</v>
      </c>
    </row>
    <row r="353" spans="1:5" ht="13">
      <c r="A353" s="276" t="s">
        <v>19614</v>
      </c>
      <c r="B353" s="276" t="s">
        <v>19562</v>
      </c>
      <c r="C353" s="277">
        <v>193.6</v>
      </c>
      <c r="D353" s="278">
        <f>IF(AND(Data!B$4=5,Data!B$3="H",Data!B$5="MS2"),1,0)</f>
        <v>0</v>
      </c>
      <c r="E353" s="268">
        <f t="shared" si="7"/>
        <v>0</v>
      </c>
    </row>
    <row r="354" spans="1:5" ht="13">
      <c r="A354" s="276" t="s">
        <v>19615</v>
      </c>
      <c r="B354" s="276" t="s">
        <v>19562</v>
      </c>
      <c r="C354" s="277">
        <v>193.6</v>
      </c>
      <c r="D354" s="278">
        <f>IF(AND(Data!B$4=5,Data!B$3="H",Data!B$5="MT2"),1,0)</f>
        <v>0</v>
      </c>
      <c r="E354" s="268">
        <f t="shared" si="7"/>
        <v>0</v>
      </c>
    </row>
    <row r="355" spans="1:5" ht="13">
      <c r="A355" s="276" t="s">
        <v>19616</v>
      </c>
      <c r="B355" s="276" t="s">
        <v>19562</v>
      </c>
      <c r="C355" s="277">
        <v>202.4</v>
      </c>
      <c r="D355" s="278">
        <f>IF(AND(Data!B$4=6,Data!B$3="H",Data!B$5&lt;&gt;"MP1",Data!B$5&lt;&gt;"MP3",Data!B$5&lt;&gt;"MS2",Data!B$5&lt;&gt;"MT2",Data!B$5&lt;&gt;"ME4",Data!B$5&lt;&gt;"MPU3",Data!B$5&lt;&gt;"ME6",Data!B$5&lt;&gt;"IH4"),1,0)</f>
        <v>0</v>
      </c>
      <c r="E355" s="268">
        <f t="shared" si="7"/>
        <v>0</v>
      </c>
    </row>
    <row r="356" spans="1:5" ht="13">
      <c r="A356" s="276" t="s">
        <v>19617</v>
      </c>
      <c r="B356" s="276" t="s">
        <v>19562</v>
      </c>
      <c r="C356" s="277">
        <v>210.1</v>
      </c>
      <c r="D356" s="278">
        <v>0</v>
      </c>
      <c r="E356" s="268">
        <f t="shared" si="7"/>
        <v>0</v>
      </c>
    </row>
    <row r="357" spans="1:5" ht="13">
      <c r="A357" s="276" t="s">
        <v>19618</v>
      </c>
      <c r="B357" s="276" t="s">
        <v>19562</v>
      </c>
      <c r="C357" s="277">
        <v>225.5</v>
      </c>
      <c r="D357" s="278">
        <f>IF(AND(Data!B$4=6,Data!B$3="H",Data!B$5="ME6"),1,0)</f>
        <v>0</v>
      </c>
      <c r="E357" s="268">
        <f t="shared" si="7"/>
        <v>0</v>
      </c>
    </row>
    <row r="358" spans="1:5" ht="13">
      <c r="A358" s="276" t="s">
        <v>19619</v>
      </c>
      <c r="B358" s="276" t="s">
        <v>19562</v>
      </c>
      <c r="C358" s="277">
        <v>217.8</v>
      </c>
      <c r="D358" s="278">
        <f>IF(AND(Data!B$4=6,Data!B$3="H",Data!B$5="MP1"),1,0)</f>
        <v>0</v>
      </c>
      <c r="E358" s="268">
        <f t="shared" si="7"/>
        <v>0</v>
      </c>
    </row>
    <row r="359" spans="1:5" ht="13">
      <c r="A359" s="276" t="s">
        <v>19620</v>
      </c>
      <c r="B359" s="276" t="s">
        <v>19562</v>
      </c>
      <c r="C359" s="277">
        <v>240.9</v>
      </c>
      <c r="D359" s="278">
        <f>IF(AND(Data!B$4=6,Data!B$3="H",Data!B$5="MP2"),1,0)</f>
        <v>0</v>
      </c>
      <c r="E359" s="268">
        <f t="shared" si="7"/>
        <v>0</v>
      </c>
    </row>
    <row r="360" spans="1:5" ht="13">
      <c r="A360" s="276" t="s">
        <v>19621</v>
      </c>
      <c r="B360" s="276" t="s">
        <v>19562</v>
      </c>
      <c r="C360" s="277">
        <v>240.9</v>
      </c>
      <c r="D360" s="278">
        <f>IF(AND(Data!B$4=6,Data!B$3="H",Data!B$5="MP3"),1,0)</f>
        <v>0</v>
      </c>
      <c r="E360" s="268">
        <f t="shared" si="7"/>
        <v>0</v>
      </c>
    </row>
    <row r="361" spans="1:5" ht="13">
      <c r="A361" s="276" t="s">
        <v>19622</v>
      </c>
      <c r="B361" s="276" t="s">
        <v>19562</v>
      </c>
      <c r="C361" s="277">
        <v>240.9</v>
      </c>
      <c r="D361" s="278">
        <f>IF(AND(Data!B$4=6,Data!B$3="H",Data!B$5="MS2"),1,0)</f>
        <v>0</v>
      </c>
      <c r="E361" s="268">
        <f t="shared" si="7"/>
        <v>0</v>
      </c>
    </row>
    <row r="362" spans="1:5" ht="13">
      <c r="A362" s="276" t="s">
        <v>19623</v>
      </c>
      <c r="B362" s="276" t="s">
        <v>19562</v>
      </c>
      <c r="C362" s="277">
        <v>233.2</v>
      </c>
      <c r="D362" s="278">
        <f>IF(AND(Data!B$4=6,Data!B$3="H",Data!B$5="MT2"),1,0)</f>
        <v>0</v>
      </c>
      <c r="E362" s="268">
        <f t="shared" si="7"/>
        <v>0</v>
      </c>
    </row>
    <row r="363" spans="1:5" ht="13">
      <c r="A363" s="276" t="s">
        <v>19624</v>
      </c>
      <c r="B363" s="276" t="s">
        <v>19562</v>
      </c>
      <c r="C363" s="277">
        <v>207.9</v>
      </c>
      <c r="D363" s="278">
        <f>IF(AND(Data!B$4=7,Data!B$3="H",Data!B$5&lt;&gt;"MP1",Data!B$5&lt;&gt;"MP3",Data!B$5&lt;&gt;"MS2",Data!B$5&lt;&gt;"MT2",Data!B$5&lt;&gt;"ME4",Data!B$5&lt;&gt;"MPU3",Data!B$5&lt;&gt;"ME6",Data!B$5&lt;&gt;"IH4"),1,0)</f>
        <v>0</v>
      </c>
      <c r="E363" s="268">
        <f t="shared" si="7"/>
        <v>0</v>
      </c>
    </row>
    <row r="364" spans="1:5" ht="13">
      <c r="A364" s="276" t="s">
        <v>19625</v>
      </c>
      <c r="B364" s="276" t="s">
        <v>19562</v>
      </c>
      <c r="C364" s="277">
        <v>248.6</v>
      </c>
      <c r="D364" s="278">
        <v>0</v>
      </c>
      <c r="E364" s="268">
        <f t="shared" si="7"/>
        <v>0</v>
      </c>
    </row>
    <row r="365" spans="1:5" ht="13">
      <c r="A365" s="276" t="s">
        <v>19626</v>
      </c>
      <c r="B365" s="276" t="s">
        <v>19562</v>
      </c>
      <c r="C365" s="277">
        <v>325.60000000000002</v>
      </c>
      <c r="D365" s="278">
        <f>IF(AND(Data!B$4=7,Data!B$5="ME4",Data!B$3="H"),1,0)</f>
        <v>0</v>
      </c>
      <c r="E365" s="268">
        <f t="shared" si="7"/>
        <v>0</v>
      </c>
    </row>
    <row r="366" spans="1:5" ht="13">
      <c r="A366" s="276" t="s">
        <v>19627</v>
      </c>
      <c r="B366" s="276" t="s">
        <v>19562</v>
      </c>
      <c r="C366" s="277">
        <v>341</v>
      </c>
      <c r="D366" s="278">
        <f>IF(AND(Data!B$4=7,Data!B$3="H",Data!B$5="ME6"),1,0)</f>
        <v>0</v>
      </c>
      <c r="E366" s="268">
        <f t="shared" si="7"/>
        <v>0</v>
      </c>
    </row>
    <row r="367" spans="1:5" ht="13">
      <c r="A367" s="276" t="s">
        <v>19628</v>
      </c>
      <c r="B367" s="276" t="s">
        <v>19562</v>
      </c>
      <c r="C367" s="277">
        <v>390.5</v>
      </c>
      <c r="D367" s="278">
        <f>IF(AND(Data!B$4=7,Data!B$3="H",Data!B$5="MP1"),1,0)</f>
        <v>0</v>
      </c>
      <c r="E367" s="268">
        <f t="shared" si="7"/>
        <v>0</v>
      </c>
    </row>
    <row r="368" spans="1:5" ht="13">
      <c r="A368" s="276" t="s">
        <v>19629</v>
      </c>
      <c r="B368" s="276" t="s">
        <v>19562</v>
      </c>
      <c r="C368" s="277">
        <v>193.6</v>
      </c>
      <c r="D368" s="278">
        <f>IF(AND(Data!B$4=7,Data!B$3="H",Data!B$5="MP2"),1,0)</f>
        <v>0</v>
      </c>
      <c r="E368" s="268">
        <f t="shared" si="7"/>
        <v>0</v>
      </c>
    </row>
    <row r="369" spans="1:5" ht="13">
      <c r="A369" s="276" t="s">
        <v>19630</v>
      </c>
      <c r="B369" s="276" t="s">
        <v>19562</v>
      </c>
      <c r="C369" s="277">
        <v>390.5</v>
      </c>
      <c r="D369" s="278">
        <f>IF(AND(Data!B$4=7,Data!B$3="H",Data!B$5="MP3"),1,0)</f>
        <v>0</v>
      </c>
      <c r="E369" s="268">
        <f t="shared" si="7"/>
        <v>0</v>
      </c>
    </row>
    <row r="370" spans="1:5" ht="13">
      <c r="A370" s="276" t="s">
        <v>19631</v>
      </c>
      <c r="B370" s="276" t="s">
        <v>19562</v>
      </c>
      <c r="C370" s="277">
        <v>260.7</v>
      </c>
      <c r="D370" s="278">
        <f>IF(AND(Data!B$4=7,Data!B$3="H",Data!B$5="MS2"),1,0)</f>
        <v>0</v>
      </c>
      <c r="E370" s="268">
        <f t="shared" si="7"/>
        <v>0</v>
      </c>
    </row>
    <row r="371" spans="1:5" ht="13">
      <c r="A371" s="276" t="s">
        <v>19632</v>
      </c>
      <c r="B371" s="276" t="s">
        <v>19562</v>
      </c>
      <c r="C371" s="277">
        <v>260.7</v>
      </c>
      <c r="D371" s="278">
        <f>IF(AND(Data!B$4=7,Data!B$3="H",Data!B$5="MT2"),1,0)</f>
        <v>0</v>
      </c>
      <c r="E371" s="268">
        <f t="shared" si="7"/>
        <v>0</v>
      </c>
    </row>
    <row r="372" spans="1:5" ht="13">
      <c r="A372" s="276" t="s">
        <v>19633</v>
      </c>
      <c r="B372" s="276" t="s">
        <v>19562</v>
      </c>
      <c r="C372" s="277">
        <v>264</v>
      </c>
      <c r="D372" s="278">
        <f>IF(AND(Data!B$4=8,Data!B$3="H",Data!B$5&lt;&gt;"MP1",Data!B$5&lt;&gt;"MP3",Data!B$5&lt;&gt;"MS2",Data!B$5&lt;&gt;"MT2",Data!B$5&lt;&gt;"ME4",Data!B$5&lt;&gt;"MPU3",Data!B$5&lt;&gt;"ME6",Data!B$5&lt;&gt;"IH4"),1,0)</f>
        <v>0</v>
      </c>
      <c r="E372" s="268">
        <f t="shared" si="7"/>
        <v>0</v>
      </c>
    </row>
    <row r="373" spans="1:5" ht="13">
      <c r="A373" s="276" t="s">
        <v>19634</v>
      </c>
      <c r="B373" s="276" t="s">
        <v>19562</v>
      </c>
      <c r="C373" s="277">
        <v>302.5</v>
      </c>
      <c r="D373" s="278">
        <v>0</v>
      </c>
      <c r="E373" s="268">
        <f t="shared" si="7"/>
        <v>0</v>
      </c>
    </row>
    <row r="374" spans="1:5" ht="13">
      <c r="A374" s="276" t="s">
        <v>19635</v>
      </c>
      <c r="B374" s="276" t="s">
        <v>19562</v>
      </c>
      <c r="C374" s="277">
        <v>325.60000000000002</v>
      </c>
      <c r="D374" s="278">
        <f>IF(AND(Data!B$4=8,Data!B$5="ME4",Data!B$3="H"),1,0)</f>
        <v>0</v>
      </c>
      <c r="E374" s="268">
        <f t="shared" si="7"/>
        <v>0</v>
      </c>
    </row>
    <row r="375" spans="1:5" ht="13">
      <c r="A375" s="276" t="s">
        <v>19636</v>
      </c>
      <c r="B375" s="276" t="s">
        <v>19562</v>
      </c>
      <c r="C375" s="277">
        <v>387.2</v>
      </c>
      <c r="D375" s="278">
        <f>IF(AND(Data!B$4=8,Data!B$3="H",Data!B$5="ME6"),1,0)</f>
        <v>0</v>
      </c>
      <c r="E375" s="268">
        <f t="shared" si="7"/>
        <v>0</v>
      </c>
    </row>
    <row r="376" spans="1:5" ht="13">
      <c r="A376" s="276" t="s">
        <v>19637</v>
      </c>
      <c r="B376" s="276" t="s">
        <v>19562</v>
      </c>
      <c r="C376" s="277">
        <v>390.5</v>
      </c>
      <c r="D376" s="278">
        <f>IF(AND(Data!B$4=8,Data!B$3="H",Data!B$5="MP1"),1,0)</f>
        <v>0</v>
      </c>
      <c r="E376" s="268">
        <f t="shared" si="7"/>
        <v>0</v>
      </c>
    </row>
    <row r="377" spans="1:5" ht="13">
      <c r="A377" s="276" t="s">
        <v>19638</v>
      </c>
      <c r="B377" s="276" t="s">
        <v>19562</v>
      </c>
      <c r="C377" s="277">
        <v>234.3</v>
      </c>
      <c r="D377" s="278">
        <f>IF(AND(Data!B$4=8,Data!B$3="H",Data!B$5="MP2"),1,0)</f>
        <v>0</v>
      </c>
      <c r="E377" s="268">
        <f t="shared" si="7"/>
        <v>0</v>
      </c>
    </row>
    <row r="378" spans="1:5" ht="13">
      <c r="A378" s="276" t="s">
        <v>19639</v>
      </c>
      <c r="B378" s="276" t="s">
        <v>19562</v>
      </c>
      <c r="C378" s="277">
        <v>390.5</v>
      </c>
      <c r="D378" s="278">
        <f>IF(AND(Data!B$4=8,Data!B$3="H",Data!B$5="MP3"),1,0)</f>
        <v>0</v>
      </c>
      <c r="E378" s="268">
        <f t="shared" si="7"/>
        <v>0</v>
      </c>
    </row>
    <row r="379" spans="1:5" ht="13">
      <c r="A379" s="276" t="s">
        <v>19640</v>
      </c>
      <c r="B379" s="276" t="s">
        <v>19562</v>
      </c>
      <c r="C379" s="277">
        <v>387.2</v>
      </c>
      <c r="D379" s="278">
        <f>IF(AND(Data!B$4=8,Data!B$3="H",Data!B$5="MS2"),1,0)</f>
        <v>0</v>
      </c>
      <c r="E379" s="268">
        <f t="shared" si="7"/>
        <v>0</v>
      </c>
    </row>
    <row r="380" spans="1:5" ht="13">
      <c r="A380" s="276" t="s">
        <v>19641</v>
      </c>
      <c r="B380" s="276" t="s">
        <v>19562</v>
      </c>
      <c r="C380" s="277">
        <v>442.2</v>
      </c>
      <c r="D380" s="278">
        <f>IF(AND(Data!B$4=8,Data!B$3="H",Data!B$5="MT2"),1,0)</f>
        <v>0</v>
      </c>
      <c r="E380" s="268">
        <f t="shared" si="7"/>
        <v>0</v>
      </c>
    </row>
    <row r="381" spans="1:5" ht="13">
      <c r="A381" s="276" t="s">
        <v>19651</v>
      </c>
      <c r="B381" s="276" t="s">
        <v>19652</v>
      </c>
      <c r="C381" s="277">
        <v>8.8000000000000007</v>
      </c>
      <c r="D381" s="278">
        <f>IF(OR(AND(Data!B$3="H",Data!B$4&gt;3.3),AND(OR(Data!B$3="A",Data!B$3="LH"),OR(Data!B$4&gt;4.1))),IF(OR(Data!B$7="re",Data!B$7="ce"),1,IF(Data!B$7="be",2,0)),0)*1</f>
        <v>0</v>
      </c>
      <c r="E381" s="268">
        <f t="shared" si="7"/>
        <v>0</v>
      </c>
    </row>
    <row r="382" spans="1:5" ht="13">
      <c r="A382" s="276" t="s">
        <v>19653</v>
      </c>
      <c r="B382" s="276" t="s">
        <v>19654</v>
      </c>
      <c r="C382" s="277">
        <v>8.8000000000000007</v>
      </c>
      <c r="D382" s="278">
        <f>IF(OR(AND(Data!B$3="H",Data!B$4&lt;2.1)),IF(OR(Data!B$7="re",Data!B$7="ce"),1,IF(Data!B$7="be",2,0)),0)*1</f>
        <v>0</v>
      </c>
      <c r="E382" s="268">
        <f t="shared" si="7"/>
        <v>0</v>
      </c>
    </row>
    <row r="383" spans="1:5" ht="13">
      <c r="A383" s="276" t="s">
        <v>19656</v>
      </c>
      <c r="B383" s="276" t="s">
        <v>19655</v>
      </c>
      <c r="C383" s="277">
        <v>14.3</v>
      </c>
      <c r="D383" s="278">
        <f>IF(AND(Data!B$4=1.5,Data!B$3="H",Data!B$10="V"),1*2,0)</f>
        <v>0</v>
      </c>
      <c r="E383" s="268">
        <f t="shared" si="7"/>
        <v>0</v>
      </c>
    </row>
    <row r="384" spans="1:5" ht="13">
      <c r="A384" s="276" t="s">
        <v>19657</v>
      </c>
      <c r="B384" s="276" t="s">
        <v>19655</v>
      </c>
      <c r="C384" s="277">
        <v>16.5</v>
      </c>
      <c r="D384" s="278">
        <f>IF(AND(Data!B$4=2,Data!B$3="H",Data!B$10="V"),1*2,0)</f>
        <v>0</v>
      </c>
      <c r="E384" s="268">
        <f t="shared" si="7"/>
        <v>0</v>
      </c>
    </row>
    <row r="385" spans="1:5" ht="13">
      <c r="A385" s="276" t="s">
        <v>19658</v>
      </c>
      <c r="B385" s="276" t="s">
        <v>19655</v>
      </c>
      <c r="C385" s="277">
        <v>20.9</v>
      </c>
      <c r="D385" s="278">
        <f>IF(AND(Data!B$4=2.5,Data!B$3="H",Data!B$10="V"),1*2,0)</f>
        <v>0</v>
      </c>
      <c r="E385" s="268">
        <f t="shared" si="7"/>
        <v>0</v>
      </c>
    </row>
    <row r="386" spans="1:5" ht="13">
      <c r="A386" s="276" t="s">
        <v>19659</v>
      </c>
      <c r="B386" s="276" t="s">
        <v>19655</v>
      </c>
      <c r="C386" s="277">
        <v>24.2</v>
      </c>
      <c r="D386" s="278">
        <f>IF(AND(Data!B$4=3.25,Data!B$3="H",Data!B$10="V"),1*2,0)</f>
        <v>0</v>
      </c>
      <c r="E386" s="268">
        <f t="shared" si="7"/>
        <v>0</v>
      </c>
    </row>
    <row r="387" spans="1:5" ht="13">
      <c r="A387" s="276" t="s">
        <v>19660</v>
      </c>
      <c r="B387" s="276" t="s">
        <v>19655</v>
      </c>
      <c r="C387" s="277">
        <v>37.4</v>
      </c>
      <c r="D387" s="278">
        <f>IF(AND(Data!B$4=4,Data!B$3="H",Data!B$10="V"),1*2,0)</f>
        <v>0</v>
      </c>
      <c r="E387" s="268">
        <f t="shared" ref="E387:E450" si="8">D387*C387</f>
        <v>0</v>
      </c>
    </row>
    <row r="388" spans="1:5" ht="13">
      <c r="A388" s="276" t="s">
        <v>19661</v>
      </c>
      <c r="B388" s="276" t="s">
        <v>19655</v>
      </c>
      <c r="C388" s="277">
        <v>47.3</v>
      </c>
      <c r="D388" s="278">
        <f>IF(AND(Data!B$4=5,Data!B$3="H",Data!B$10="V"),1*2,0)</f>
        <v>0</v>
      </c>
      <c r="E388" s="268">
        <f t="shared" si="8"/>
        <v>0</v>
      </c>
    </row>
    <row r="389" spans="1:5" ht="13">
      <c r="A389" s="276" t="s">
        <v>19662</v>
      </c>
      <c r="B389" s="276" t="s">
        <v>19655</v>
      </c>
      <c r="C389" s="277">
        <v>66</v>
      </c>
      <c r="D389" s="278">
        <f>IF(AND(Data!B$4=6,Data!B$3="H",Data!B$10="V"),1*2,0)</f>
        <v>0</v>
      </c>
      <c r="E389" s="268">
        <f t="shared" si="8"/>
        <v>0</v>
      </c>
    </row>
    <row r="390" spans="1:5" ht="13">
      <c r="A390" s="276" t="s">
        <v>19663</v>
      </c>
      <c r="B390" s="276" t="s">
        <v>19655</v>
      </c>
      <c r="C390" s="277">
        <v>85.8</v>
      </c>
      <c r="D390" s="278">
        <f>IF(AND(Data!B$4=7,Data!B$3="H",Data!B$10="V"),1*2,0)</f>
        <v>0</v>
      </c>
      <c r="E390" s="268">
        <f t="shared" si="8"/>
        <v>0</v>
      </c>
    </row>
    <row r="391" spans="1:5" ht="13">
      <c r="A391" s="276" t="s">
        <v>19664</v>
      </c>
      <c r="B391" s="276" t="s">
        <v>19655</v>
      </c>
      <c r="C391" s="277">
        <v>93.5</v>
      </c>
      <c r="D391" s="278">
        <f>IF(AND(Data!B$4=8,Data!B$3="H",Data!B$10="V"),1*2,0)</f>
        <v>0</v>
      </c>
      <c r="E391" s="268">
        <f t="shared" si="8"/>
        <v>0</v>
      </c>
    </row>
    <row r="392" spans="1:5" ht="13">
      <c r="A392" s="276" t="s">
        <v>19666</v>
      </c>
      <c r="B392" s="276" t="s">
        <v>19665</v>
      </c>
      <c r="C392" s="277">
        <v>1.1000000000000001</v>
      </c>
      <c r="D392" s="278">
        <f>IF(AND(Data!B$4=1.5,Data!B$10="V",Data!B$3="H"),1*2,0)</f>
        <v>0</v>
      </c>
      <c r="E392" s="268">
        <f t="shared" si="8"/>
        <v>0</v>
      </c>
    </row>
    <row r="393" spans="1:5" ht="13">
      <c r="A393" s="276" t="s">
        <v>19667</v>
      </c>
      <c r="B393" s="276" t="s">
        <v>19665</v>
      </c>
      <c r="C393" s="277">
        <v>1.1000000000000001</v>
      </c>
      <c r="D393" s="278">
        <f>IF(AND(Data!B$4=2,Data!B$10="V",Data!B$3="H"),1*2,0)</f>
        <v>0</v>
      </c>
      <c r="E393" s="268">
        <f t="shared" si="8"/>
        <v>0</v>
      </c>
    </row>
    <row r="394" spans="1:5" ht="13">
      <c r="A394" s="276" t="s">
        <v>19668</v>
      </c>
      <c r="B394" s="276" t="s">
        <v>19665</v>
      </c>
      <c r="C394" s="277">
        <v>2.2000000000000002</v>
      </c>
      <c r="D394" s="278">
        <f>IF(AND(Data!B$4=2.5,Data!B$10="V",Data!B$3="H"),1*2,0)</f>
        <v>0</v>
      </c>
      <c r="E394" s="268">
        <f t="shared" si="8"/>
        <v>0</v>
      </c>
    </row>
    <row r="395" spans="1:5" ht="13">
      <c r="A395" s="276" t="s">
        <v>19669</v>
      </c>
      <c r="B395" s="276" t="s">
        <v>19665</v>
      </c>
      <c r="C395" s="277">
        <v>2.2000000000000002</v>
      </c>
      <c r="D395" s="278">
        <f>IF(AND(Data!B$4=3.25,Data!B$10="V",Data!B$3="H"),1*2,0)</f>
        <v>0</v>
      </c>
      <c r="E395" s="268">
        <f t="shared" si="8"/>
        <v>0</v>
      </c>
    </row>
    <row r="396" spans="1:5" ht="13">
      <c r="A396" s="276" t="s">
        <v>19670</v>
      </c>
      <c r="B396" s="276" t="s">
        <v>19665</v>
      </c>
      <c r="C396" s="277">
        <v>3.3</v>
      </c>
      <c r="D396" s="278">
        <f>IF(AND(Data!B$4=4,Data!B$10="V",Data!B$3="H"),1*2,0)</f>
        <v>0</v>
      </c>
      <c r="E396" s="268">
        <f t="shared" si="8"/>
        <v>0</v>
      </c>
    </row>
    <row r="397" spans="1:5" ht="13">
      <c r="A397" s="276" t="s">
        <v>19671</v>
      </c>
      <c r="B397" s="276" t="s">
        <v>19665</v>
      </c>
      <c r="C397" s="277">
        <v>3.3</v>
      </c>
      <c r="D397" s="278">
        <f>IF(AND(Data!B$4=5,Data!B$10="V",Data!B$3="H"),1*2,0)</f>
        <v>0</v>
      </c>
      <c r="E397" s="268">
        <f t="shared" si="8"/>
        <v>0</v>
      </c>
    </row>
    <row r="398" spans="1:5" ht="13">
      <c r="A398" s="276" t="s">
        <v>19672</v>
      </c>
      <c r="B398" s="276" t="s">
        <v>19665</v>
      </c>
      <c r="C398" s="277">
        <v>7.7</v>
      </c>
      <c r="D398" s="278">
        <f>IF(AND(Data!B$4=6,Data!B$10="V",Data!B$3="H"),1*2,0)</f>
        <v>0</v>
      </c>
      <c r="E398" s="268">
        <f t="shared" si="8"/>
        <v>0</v>
      </c>
    </row>
    <row r="399" spans="1:5" ht="13">
      <c r="A399" s="276" t="s">
        <v>19673</v>
      </c>
      <c r="B399" s="276" t="s">
        <v>19665</v>
      </c>
      <c r="C399" s="277">
        <v>7.7</v>
      </c>
      <c r="D399" s="278">
        <f>IF(AND(Data!B$4=7,Data!B$10="V",Data!B$3="H"),1*2,0)</f>
        <v>0</v>
      </c>
      <c r="E399" s="268">
        <f t="shared" si="8"/>
        <v>0</v>
      </c>
    </row>
    <row r="400" spans="1:5" ht="13">
      <c r="A400" s="276" t="s">
        <v>19674</v>
      </c>
      <c r="B400" s="276" t="s">
        <v>19665</v>
      </c>
      <c r="C400" s="277">
        <v>8.8000000000000007</v>
      </c>
      <c r="D400" s="278">
        <f>IF(AND(Data!B$4=8,Data!B$10="V",Data!B$3="H"),1*2,0)</f>
        <v>0</v>
      </c>
      <c r="E400" s="268">
        <f t="shared" si="8"/>
        <v>0</v>
      </c>
    </row>
    <row r="401" spans="1:5" ht="13">
      <c r="A401" s="276" t="s">
        <v>19676</v>
      </c>
      <c r="B401" s="276" t="s">
        <v>19675</v>
      </c>
      <c r="C401" s="277">
        <v>3.3</v>
      </c>
      <c r="D401" s="278">
        <f>IF(AND(Data!B$4=1.5,Data!B$10="P",Data!B$3="H"),1*2,0)</f>
        <v>0</v>
      </c>
      <c r="E401" s="268">
        <f t="shared" si="8"/>
        <v>0</v>
      </c>
    </row>
    <row r="402" spans="1:5" ht="13">
      <c r="A402" s="276" t="s">
        <v>19677</v>
      </c>
      <c r="B402" s="276" t="s">
        <v>19675</v>
      </c>
      <c r="C402" s="277">
        <v>3.3</v>
      </c>
      <c r="D402" s="278">
        <f>IF(AND(Data!B$4=2,Data!B$10="P",Data!B$3="H"),1*2,0)</f>
        <v>0</v>
      </c>
      <c r="E402" s="268">
        <f t="shared" si="8"/>
        <v>0</v>
      </c>
    </row>
    <row r="403" spans="1:5" ht="13">
      <c r="A403" s="276" t="s">
        <v>19678</v>
      </c>
      <c r="B403" s="276" t="s">
        <v>19675</v>
      </c>
      <c r="C403" s="277">
        <v>3.3</v>
      </c>
      <c r="D403" s="278">
        <f>IF(AND(Data!B$4=2.5,Data!B$10="P",Data!B$3="H"),1*2,0)</f>
        <v>0</v>
      </c>
      <c r="E403" s="268">
        <f t="shared" si="8"/>
        <v>0</v>
      </c>
    </row>
    <row r="404" spans="1:5" ht="13">
      <c r="A404" s="276" t="s">
        <v>19679</v>
      </c>
      <c r="B404" s="276" t="s">
        <v>19675</v>
      </c>
      <c r="C404" s="277">
        <v>3.3</v>
      </c>
      <c r="D404" s="278">
        <f>IF(AND(Data!B$4=3.25,Data!B$10="P",Data!B$3="H"),1*2,0)</f>
        <v>0</v>
      </c>
      <c r="E404" s="268">
        <f t="shared" si="8"/>
        <v>0</v>
      </c>
    </row>
    <row r="405" spans="1:5" ht="13">
      <c r="A405" s="276" t="s">
        <v>19680</v>
      </c>
      <c r="B405" s="276" t="s">
        <v>19675</v>
      </c>
      <c r="C405" s="277">
        <v>7.7</v>
      </c>
      <c r="D405" s="278">
        <f>IF(AND(Data!B$4=4,Data!B$10="P",Data!B$3="H"),1*2,0)</f>
        <v>0</v>
      </c>
      <c r="E405" s="268">
        <f t="shared" si="8"/>
        <v>0</v>
      </c>
    </row>
    <row r="406" spans="1:5" ht="13">
      <c r="A406" s="276" t="s">
        <v>19681</v>
      </c>
      <c r="B406" s="276" t="s">
        <v>19675</v>
      </c>
      <c r="C406" s="277">
        <v>8.8000000000000007</v>
      </c>
      <c r="D406" s="278">
        <f>IF(AND(Data!B$4=5,Data!B$10="P",Data!B$3="H"),1*2,0)</f>
        <v>2</v>
      </c>
      <c r="E406" s="268">
        <f t="shared" si="8"/>
        <v>17.600000000000001</v>
      </c>
    </row>
    <row r="407" spans="1:5" ht="13">
      <c r="A407" s="276" t="s">
        <v>19682</v>
      </c>
      <c r="B407" s="276" t="s">
        <v>19675</v>
      </c>
      <c r="C407" s="277">
        <v>18.7</v>
      </c>
      <c r="D407" s="278">
        <f>IF(AND(Data!B$4=6,Data!B$10="P",Data!B$3="H"),1*2,0)</f>
        <v>0</v>
      </c>
      <c r="E407" s="268">
        <f t="shared" si="8"/>
        <v>0</v>
      </c>
    </row>
    <row r="408" spans="1:5" ht="13">
      <c r="A408" s="276" t="s">
        <v>19683</v>
      </c>
      <c r="B408" s="276" t="s">
        <v>19675</v>
      </c>
      <c r="C408" s="277">
        <v>22</v>
      </c>
      <c r="D408" s="278">
        <f>IF(AND(Data!B$4=7,Data!B$10="P",Data!B$3="H"),1*2,0)</f>
        <v>0</v>
      </c>
      <c r="E408" s="268">
        <f t="shared" si="8"/>
        <v>0</v>
      </c>
    </row>
    <row r="409" spans="1:5" ht="13">
      <c r="A409" s="276" t="s">
        <v>19684</v>
      </c>
      <c r="B409" s="276" t="s">
        <v>19675</v>
      </c>
      <c r="C409" s="277">
        <v>25.3</v>
      </c>
      <c r="D409" s="278">
        <f>IF(AND(Data!B$4=8,Data!B$10="P",Data!B$3="H"),1*2,0)</f>
        <v>0</v>
      </c>
      <c r="E409" s="268">
        <f t="shared" si="8"/>
        <v>0</v>
      </c>
    </row>
    <row r="410" spans="1:5" ht="13">
      <c r="A410" s="276" t="s">
        <v>19686</v>
      </c>
      <c r="B410" s="276" t="s">
        <v>19685</v>
      </c>
      <c r="C410" s="277">
        <v>23.1</v>
      </c>
      <c r="D410" s="278">
        <f>IF(AND(Data!B$4=1.5,Data!B$6=0.625,Data!B$3="H"),1,0)</f>
        <v>0</v>
      </c>
      <c r="E410" s="268">
        <f t="shared" si="8"/>
        <v>0</v>
      </c>
    </row>
    <row r="411" spans="1:5" ht="13">
      <c r="A411" s="276" t="s">
        <v>19687</v>
      </c>
      <c r="B411" s="276" t="s">
        <v>19685</v>
      </c>
      <c r="C411" s="277">
        <v>23.1</v>
      </c>
      <c r="D411" s="278">
        <f>IF(AND(Data!B$4=1.5,Data!B$6=1,Data!B$3="H"),1,0)</f>
        <v>0</v>
      </c>
      <c r="E411" s="268">
        <f t="shared" si="8"/>
        <v>0</v>
      </c>
    </row>
    <row r="412" spans="1:5" ht="13">
      <c r="A412" s="276" t="s">
        <v>19688</v>
      </c>
      <c r="B412" s="276" t="s">
        <v>19685</v>
      </c>
      <c r="C412" s="277">
        <v>25.3</v>
      </c>
      <c r="D412" s="278">
        <f>IF(AND(Data!B$4=2,Data!B$6=1,Data!B$3="H"),1,0)</f>
        <v>0</v>
      </c>
      <c r="E412" s="268">
        <f t="shared" si="8"/>
        <v>0</v>
      </c>
    </row>
    <row r="413" spans="1:5" ht="13">
      <c r="A413" s="276" t="s">
        <v>19689</v>
      </c>
      <c r="B413" s="276" t="s">
        <v>19685</v>
      </c>
      <c r="C413" s="277">
        <v>25.3</v>
      </c>
      <c r="D413" s="278">
        <f>IF(AND(Data!B$4=2,Data!B$6=1.375,Data!B$3="H"),1,0)</f>
        <v>0</v>
      </c>
      <c r="E413" s="268">
        <f t="shared" si="8"/>
        <v>0</v>
      </c>
    </row>
    <row r="414" spans="1:5" ht="13">
      <c r="A414" s="276" t="s">
        <v>19690</v>
      </c>
      <c r="B414" s="276" t="s">
        <v>19685</v>
      </c>
      <c r="C414" s="277">
        <v>26.4</v>
      </c>
      <c r="D414" s="278">
        <f>IF(AND(Data!B$4=2.5,Data!B$6=1,Data!B$3="H"),1,0)</f>
        <v>0</v>
      </c>
      <c r="E414" s="268">
        <f t="shared" si="8"/>
        <v>0</v>
      </c>
    </row>
    <row r="415" spans="1:5" ht="13">
      <c r="A415" s="276" t="s">
        <v>19691</v>
      </c>
      <c r="B415" s="276" t="s">
        <v>19685</v>
      </c>
      <c r="C415" s="277">
        <v>26.4</v>
      </c>
      <c r="D415" s="278">
        <f>IF(AND(Data!B$4=2.5,Data!B$6=1.375,Data!B$3="H"),1,0)</f>
        <v>0</v>
      </c>
      <c r="E415" s="268">
        <f t="shared" si="8"/>
        <v>0</v>
      </c>
    </row>
    <row r="416" spans="1:5" ht="13">
      <c r="A416" s="276" t="s">
        <v>19692</v>
      </c>
      <c r="B416" s="276" t="s">
        <v>19685</v>
      </c>
      <c r="C416" s="277">
        <v>26.4</v>
      </c>
      <c r="D416" s="278">
        <f>IF(AND(Data!B$4=2.5,Data!B$6=1.75,Data!B$3="H"),1,0)</f>
        <v>0</v>
      </c>
      <c r="E416" s="268">
        <f t="shared" si="8"/>
        <v>0</v>
      </c>
    </row>
    <row r="417" spans="1:5" ht="13">
      <c r="A417" s="276" t="s">
        <v>19693</v>
      </c>
      <c r="B417" s="276" t="s">
        <v>19685</v>
      </c>
      <c r="C417" s="277">
        <v>34.1</v>
      </c>
      <c r="D417" s="278">
        <f>IF(AND(Data!B$4=3.25,Data!B$6=1.375,Data!B$3="H"),1,0)</f>
        <v>0</v>
      </c>
      <c r="E417" s="268">
        <f t="shared" si="8"/>
        <v>0</v>
      </c>
    </row>
    <row r="418" spans="1:5" ht="13">
      <c r="A418" s="276" t="s">
        <v>19694</v>
      </c>
      <c r="B418" s="276" t="s">
        <v>19685</v>
      </c>
      <c r="C418" s="277">
        <v>34.1</v>
      </c>
      <c r="D418" s="278">
        <f>IF(AND(Data!B$4=3.25,Data!B$6=1.75,Data!B$3="H"),1,0)</f>
        <v>0</v>
      </c>
      <c r="E418" s="268">
        <f t="shared" si="8"/>
        <v>0</v>
      </c>
    </row>
    <row r="419" spans="1:5" ht="13">
      <c r="A419" s="276" t="s">
        <v>19695</v>
      </c>
      <c r="B419" s="276" t="s">
        <v>19685</v>
      </c>
      <c r="C419" s="277">
        <v>34.1</v>
      </c>
      <c r="D419" s="278">
        <f>IF(AND(Data!B$4=3.25,Data!B$6=2,Data!B$3="H"),1,0)</f>
        <v>0</v>
      </c>
      <c r="E419" s="268">
        <f t="shared" si="8"/>
        <v>0</v>
      </c>
    </row>
    <row r="420" spans="1:5" ht="13">
      <c r="A420" s="276" t="s">
        <v>19696</v>
      </c>
      <c r="B420" s="276" t="s">
        <v>19685</v>
      </c>
      <c r="C420" s="277">
        <v>47.3</v>
      </c>
      <c r="D420" s="278">
        <f>IF(AND(Data!B$4=4,Data!B$6=1.75,Data!B$3="H"),1,0)</f>
        <v>0</v>
      </c>
      <c r="E420" s="268">
        <f t="shared" si="8"/>
        <v>0</v>
      </c>
    </row>
    <row r="421" spans="1:5" ht="13">
      <c r="A421" s="276" t="s">
        <v>19697</v>
      </c>
      <c r="B421" s="276" t="s">
        <v>19685</v>
      </c>
      <c r="C421" s="277">
        <v>47.3</v>
      </c>
      <c r="D421" s="278">
        <f>IF(AND(Data!B$4=4,Data!B$6=2,Data!B$3="H"),1,0)</f>
        <v>0</v>
      </c>
      <c r="E421" s="268">
        <f t="shared" si="8"/>
        <v>0</v>
      </c>
    </row>
    <row r="422" spans="1:5" ht="13">
      <c r="A422" s="276" t="s">
        <v>19698</v>
      </c>
      <c r="B422" s="276" t="s">
        <v>19685</v>
      </c>
      <c r="C422" s="277">
        <v>47.3</v>
      </c>
      <c r="D422" s="278">
        <f>IF(AND(Data!B$4=4,Data!B$6=2.5,Data!B$3="H"),1,0)</f>
        <v>0</v>
      </c>
      <c r="E422" s="268">
        <f t="shared" si="8"/>
        <v>0</v>
      </c>
    </row>
    <row r="423" spans="1:5" ht="13">
      <c r="A423" s="276" t="s">
        <v>19699</v>
      </c>
      <c r="B423" s="276" t="s">
        <v>19685</v>
      </c>
      <c r="C423" s="277">
        <v>77</v>
      </c>
      <c r="D423" s="278">
        <f>IF(AND(Data!B$4=5,Data!B$6=2,Data!B$3="H"),1,0)</f>
        <v>1</v>
      </c>
      <c r="E423" s="268">
        <f t="shared" si="8"/>
        <v>77</v>
      </c>
    </row>
    <row r="424" spans="1:5" ht="13">
      <c r="A424" s="276" t="s">
        <v>19700</v>
      </c>
      <c r="B424" s="276" t="s">
        <v>19685</v>
      </c>
      <c r="C424" s="277">
        <v>77</v>
      </c>
      <c r="D424" s="278">
        <f>IF(AND(Data!B$4=5,Data!B$6=2.5,Data!B$3="H"),1,0)</f>
        <v>0</v>
      </c>
      <c r="E424" s="268">
        <f t="shared" si="8"/>
        <v>0</v>
      </c>
    </row>
    <row r="425" spans="1:5" ht="13">
      <c r="A425" s="276" t="s">
        <v>19701</v>
      </c>
      <c r="B425" s="276" t="s">
        <v>19685</v>
      </c>
      <c r="C425" s="277">
        <v>77</v>
      </c>
      <c r="D425" s="278">
        <f>IF(AND(Data!B$4=5,Data!B$6=3,Data!B$3="H"),1,0)</f>
        <v>0</v>
      </c>
      <c r="E425" s="268">
        <f t="shared" si="8"/>
        <v>0</v>
      </c>
    </row>
    <row r="426" spans="1:5" ht="13">
      <c r="A426" s="276" t="s">
        <v>19702</v>
      </c>
      <c r="B426" s="276" t="s">
        <v>19685</v>
      </c>
      <c r="C426" s="277">
        <v>77</v>
      </c>
      <c r="D426" s="278">
        <f>IF(AND(Data!B$4=5,Data!B$6=3.5,Data!B$3="H"),1,0)</f>
        <v>0</v>
      </c>
      <c r="E426" s="268">
        <f t="shared" si="8"/>
        <v>0</v>
      </c>
    </row>
    <row r="427" spans="1:5" ht="13">
      <c r="A427" s="276" t="s">
        <v>19703</v>
      </c>
      <c r="B427" s="276" t="s">
        <v>19685</v>
      </c>
      <c r="C427" s="277">
        <v>104.5</v>
      </c>
      <c r="D427" s="278">
        <f>IF(AND(Data!B$4=6,Data!B$6=2.5,Data!B$3="H"),1,0)</f>
        <v>0</v>
      </c>
      <c r="E427" s="268">
        <f t="shared" si="8"/>
        <v>0</v>
      </c>
    </row>
    <row r="428" spans="1:5" ht="13">
      <c r="A428" s="276" t="s">
        <v>19704</v>
      </c>
      <c r="B428" s="276" t="s">
        <v>19685</v>
      </c>
      <c r="C428" s="277">
        <v>104.5</v>
      </c>
      <c r="D428" s="278">
        <f>IF(AND(Data!B$4=6,Data!B$6=3,Data!B$3="H"),1,0)</f>
        <v>0</v>
      </c>
      <c r="E428" s="268">
        <f t="shared" si="8"/>
        <v>0</v>
      </c>
    </row>
    <row r="429" spans="1:5" ht="13">
      <c r="A429" s="276" t="s">
        <v>19705</v>
      </c>
      <c r="B429" s="276" t="s">
        <v>19685</v>
      </c>
      <c r="C429" s="277">
        <v>104.5</v>
      </c>
      <c r="D429" s="278">
        <f>IF(AND(Data!B$4=6,Data!B$6=3.5,Data!B$3="H"),1,0)</f>
        <v>0</v>
      </c>
      <c r="E429" s="268">
        <f t="shared" si="8"/>
        <v>0</v>
      </c>
    </row>
    <row r="430" spans="1:5" ht="13">
      <c r="A430" s="276" t="s">
        <v>19706</v>
      </c>
      <c r="B430" s="276" t="s">
        <v>19685</v>
      </c>
      <c r="C430" s="277">
        <v>104.5</v>
      </c>
      <c r="D430" s="278">
        <f>IF(AND(Data!B$4=6,Data!B$6=4,Data!B$3="H"),1,0)</f>
        <v>0</v>
      </c>
      <c r="E430" s="268">
        <f t="shared" si="8"/>
        <v>0</v>
      </c>
    </row>
    <row r="431" spans="1:5" ht="13">
      <c r="A431" s="276" t="s">
        <v>19707</v>
      </c>
      <c r="B431" s="276" t="s">
        <v>19685</v>
      </c>
      <c r="C431" s="277">
        <v>176</v>
      </c>
      <c r="D431" s="278">
        <f>IF(AND(Data!B$4=7,Data!B$6=3,Data!B$3="H"),1,0)</f>
        <v>0</v>
      </c>
      <c r="E431" s="268">
        <f t="shared" si="8"/>
        <v>0</v>
      </c>
    </row>
    <row r="432" spans="1:5" ht="13">
      <c r="A432" s="276" t="s">
        <v>19708</v>
      </c>
      <c r="B432" s="276" t="s">
        <v>19685</v>
      </c>
      <c r="C432" s="277">
        <v>176</v>
      </c>
      <c r="D432" s="278">
        <f>IF(AND(Data!B$4=7,Data!B$6=3.5,Data!B$3="H"),1,0)</f>
        <v>0</v>
      </c>
      <c r="E432" s="268">
        <f t="shared" si="8"/>
        <v>0</v>
      </c>
    </row>
    <row r="433" spans="1:5" ht="13">
      <c r="A433" s="276" t="s">
        <v>19709</v>
      </c>
      <c r="B433" s="276" t="s">
        <v>19685</v>
      </c>
      <c r="C433" s="277">
        <v>176</v>
      </c>
      <c r="D433" s="278">
        <f>IF(AND(Data!B$4=7,Data!B$6=4,Data!B$3="H"),1,0)</f>
        <v>0</v>
      </c>
      <c r="E433" s="268">
        <f t="shared" si="8"/>
        <v>0</v>
      </c>
    </row>
    <row r="434" spans="1:5" ht="13">
      <c r="A434" s="276" t="s">
        <v>19710</v>
      </c>
      <c r="B434" s="276" t="s">
        <v>19685</v>
      </c>
      <c r="C434" s="277">
        <v>176</v>
      </c>
      <c r="D434" s="278">
        <f>IF(AND(Data!B$4=7,Data!B$6=4.5,Data!B$3="H"),1,0)</f>
        <v>0</v>
      </c>
      <c r="E434" s="268">
        <f t="shared" si="8"/>
        <v>0</v>
      </c>
    </row>
    <row r="435" spans="1:5" ht="13">
      <c r="A435" s="276" t="s">
        <v>19711</v>
      </c>
      <c r="B435" s="276" t="s">
        <v>19685</v>
      </c>
      <c r="C435" s="277">
        <v>176</v>
      </c>
      <c r="D435" s="278">
        <f>IF(AND(Data!B$4=7,Data!B$6=5,Data!B$3="H"),1,0)</f>
        <v>0</v>
      </c>
      <c r="E435" s="268">
        <f t="shared" si="8"/>
        <v>0</v>
      </c>
    </row>
    <row r="436" spans="1:5" ht="13">
      <c r="A436" s="276" t="s">
        <v>19712</v>
      </c>
      <c r="B436" s="276" t="s">
        <v>19685</v>
      </c>
      <c r="C436" s="277">
        <v>211.2</v>
      </c>
      <c r="D436" s="278">
        <f>IF(AND(Data!B$4=8,Data!B$6=3.5,Data!B$3="H"),1,0)</f>
        <v>0</v>
      </c>
      <c r="E436" s="268">
        <f t="shared" si="8"/>
        <v>0</v>
      </c>
    </row>
    <row r="437" spans="1:5" ht="13">
      <c r="A437" s="276" t="s">
        <v>19713</v>
      </c>
      <c r="B437" s="276" t="s">
        <v>19685</v>
      </c>
      <c r="C437" s="277">
        <v>211.2</v>
      </c>
      <c r="D437" s="278">
        <f>IF(AND(Data!B$4=8,Data!B$6=4,Data!B$3="H"),1,0)</f>
        <v>0</v>
      </c>
      <c r="E437" s="268">
        <f t="shared" si="8"/>
        <v>0</v>
      </c>
    </row>
    <row r="438" spans="1:5" ht="13">
      <c r="A438" s="276" t="s">
        <v>19714</v>
      </c>
      <c r="B438" s="276" t="s">
        <v>19685</v>
      </c>
      <c r="C438" s="277">
        <v>211.2</v>
      </c>
      <c r="D438" s="278">
        <f>IF(AND(Data!B$4=8,Data!B$6=4.5,Data!B$3="H"),1,0)</f>
        <v>0</v>
      </c>
      <c r="E438" s="268">
        <f t="shared" si="8"/>
        <v>0</v>
      </c>
    </row>
    <row r="439" spans="1:5" ht="13">
      <c r="A439" s="276" t="s">
        <v>19715</v>
      </c>
      <c r="B439" s="276" t="s">
        <v>19685</v>
      </c>
      <c r="C439" s="277">
        <v>211.2</v>
      </c>
      <c r="D439" s="278">
        <f>IF(AND(Data!B$4=8,Data!B$6=5,Data!B$3="H"),1,0)</f>
        <v>0</v>
      </c>
      <c r="E439" s="268">
        <f t="shared" si="8"/>
        <v>0</v>
      </c>
    </row>
    <row r="440" spans="1:5" ht="13">
      <c r="A440" s="276" t="s">
        <v>19716</v>
      </c>
      <c r="B440" s="276" t="s">
        <v>19685</v>
      </c>
      <c r="C440" s="277">
        <v>211.2</v>
      </c>
      <c r="D440" s="278">
        <f>IF(AND(Data!B$4=8,Data!B$6=5.5,Data!B$3="H"),1,0)</f>
        <v>0</v>
      </c>
      <c r="E440" s="268">
        <f t="shared" si="8"/>
        <v>0</v>
      </c>
    </row>
    <row r="441" spans="1:5" ht="13">
      <c r="A441" s="276" t="s">
        <v>19718</v>
      </c>
      <c r="B441" s="276" t="s">
        <v>19717</v>
      </c>
      <c r="C441" s="277">
        <v>2.2000000000000002</v>
      </c>
      <c r="D441" s="278">
        <f>IF(AND(Data!B$4=1.5,Data!B$10="B",Data!B$3="H"),1*2,0)</f>
        <v>0</v>
      </c>
      <c r="E441" s="268">
        <f t="shared" si="8"/>
        <v>0</v>
      </c>
    </row>
    <row r="442" spans="1:5" ht="13">
      <c r="A442" s="276" t="s">
        <v>19719</v>
      </c>
      <c r="B442" s="276" t="s">
        <v>19717</v>
      </c>
      <c r="C442" s="277">
        <v>3.3</v>
      </c>
      <c r="D442" s="278">
        <f>IF(AND(Data!B$4=2,Data!B$10="B",Data!B$3="H"),1*2,0)</f>
        <v>0</v>
      </c>
      <c r="E442" s="268">
        <f t="shared" si="8"/>
        <v>0</v>
      </c>
    </row>
    <row r="443" spans="1:5" ht="13">
      <c r="A443" s="276" t="s">
        <v>19720</v>
      </c>
      <c r="B443" s="276" t="s">
        <v>19717</v>
      </c>
      <c r="C443" s="277">
        <v>3.3</v>
      </c>
      <c r="D443" s="278">
        <f>IF(AND(Data!B$4=2.5,Data!B$10="B",Data!B$3="H"),1*2,0)</f>
        <v>0</v>
      </c>
      <c r="E443" s="268">
        <f t="shared" si="8"/>
        <v>0</v>
      </c>
    </row>
    <row r="444" spans="1:5" ht="13">
      <c r="A444" s="276" t="s">
        <v>19721</v>
      </c>
      <c r="B444" s="276" t="s">
        <v>19717</v>
      </c>
      <c r="C444" s="277">
        <v>3.3</v>
      </c>
      <c r="D444" s="278">
        <f>IF(AND(Data!B$4=3.25,Data!B$10="B",Data!B$3="H"),1*2,0)</f>
        <v>0</v>
      </c>
      <c r="E444" s="268">
        <f t="shared" si="8"/>
        <v>0</v>
      </c>
    </row>
    <row r="445" spans="1:5" ht="13">
      <c r="A445" s="276" t="s">
        <v>19722</v>
      </c>
      <c r="B445" s="276" t="s">
        <v>19717</v>
      </c>
      <c r="C445" s="277">
        <v>4.4000000000000004</v>
      </c>
      <c r="D445" s="278">
        <f>IF(AND(Data!B$4=4,Data!B$10="B",Data!B$3="H"),1*2,0)</f>
        <v>0</v>
      </c>
      <c r="E445" s="268">
        <f t="shared" si="8"/>
        <v>0</v>
      </c>
    </row>
    <row r="446" spans="1:5" ht="13">
      <c r="A446" s="276" t="s">
        <v>19723</v>
      </c>
      <c r="B446" s="276" t="s">
        <v>19717</v>
      </c>
      <c r="C446" s="277">
        <v>8.8000000000000007</v>
      </c>
      <c r="D446" s="278">
        <f>IF(AND(Data!B$4=5,Data!B$10="B",Data!B$3="H"),1*2,0)</f>
        <v>0</v>
      </c>
      <c r="E446" s="268">
        <f t="shared" si="8"/>
        <v>0</v>
      </c>
    </row>
    <row r="447" spans="1:5" ht="13">
      <c r="A447" s="276" t="s">
        <v>19724</v>
      </c>
      <c r="B447" s="276" t="s">
        <v>19717</v>
      </c>
      <c r="C447" s="277">
        <v>11</v>
      </c>
      <c r="D447" s="278">
        <f>IF(AND(Data!B$4=6,Data!B$10="B",Data!B$3="H"),1*2,0)</f>
        <v>0</v>
      </c>
      <c r="E447" s="268">
        <f t="shared" si="8"/>
        <v>0</v>
      </c>
    </row>
    <row r="448" spans="1:5" ht="13">
      <c r="A448" s="276" t="s">
        <v>19725</v>
      </c>
      <c r="B448" s="276" t="s">
        <v>19717</v>
      </c>
      <c r="C448" s="277">
        <v>18.7</v>
      </c>
      <c r="D448" s="278">
        <f>IF(AND(Data!B$4=7,Data!B$10="B",Data!B$3="H"),1*2,0)</f>
        <v>0</v>
      </c>
      <c r="E448" s="268">
        <f t="shared" si="8"/>
        <v>0</v>
      </c>
    </row>
    <row r="449" spans="1:5" ht="13">
      <c r="A449" s="276" t="s">
        <v>19726</v>
      </c>
      <c r="B449" s="276" t="s">
        <v>19717</v>
      </c>
      <c r="C449" s="277">
        <v>19.8</v>
      </c>
      <c r="D449" s="278">
        <f>IF(AND(Data!B$4=8,Data!B$10="B",Data!B$3="H"),1*2,0)</f>
        <v>0</v>
      </c>
      <c r="E449" s="268">
        <f t="shared" si="8"/>
        <v>0</v>
      </c>
    </row>
    <row r="450" spans="1:5" ht="13">
      <c r="A450" s="276" t="s">
        <v>19728</v>
      </c>
      <c r="B450" s="276" t="s">
        <v>19727</v>
      </c>
      <c r="C450" s="277">
        <v>1.1000000000000001</v>
      </c>
      <c r="D450" s="278">
        <f>IF(AND(Data!B$4=1.5,Data!B$10&lt;&gt;"V",Data!B$3="H"),1*2,0)</f>
        <v>0</v>
      </c>
      <c r="E450" s="268">
        <f t="shared" si="8"/>
        <v>0</v>
      </c>
    </row>
    <row r="451" spans="1:5" ht="13">
      <c r="A451" s="276" t="s">
        <v>19729</v>
      </c>
      <c r="B451" s="276" t="s">
        <v>19727</v>
      </c>
      <c r="C451" s="277">
        <v>1.1000000000000001</v>
      </c>
      <c r="D451" s="278">
        <f>IF(AND(Data!B$4=2,Data!B$10&lt;&gt;"V",Data!B$3="H"),1*2,0)</f>
        <v>0</v>
      </c>
      <c r="E451" s="268">
        <f t="shared" ref="E451:E514" si="9">D451*C451</f>
        <v>0</v>
      </c>
    </row>
    <row r="452" spans="1:5" ht="13">
      <c r="A452" s="276" t="s">
        <v>19730</v>
      </c>
      <c r="B452" s="276" t="s">
        <v>19727</v>
      </c>
      <c r="C452" s="277">
        <v>1.1000000000000001</v>
      </c>
      <c r="D452" s="278">
        <f>IF(AND(Data!B$4=2.5,Data!B$10&lt;&gt;"V",Data!B$3="H"),1*2,0)</f>
        <v>0</v>
      </c>
      <c r="E452" s="268">
        <f t="shared" si="9"/>
        <v>0</v>
      </c>
    </row>
    <row r="453" spans="1:5" ht="13">
      <c r="A453" s="276" t="s">
        <v>19731</v>
      </c>
      <c r="B453" s="276" t="s">
        <v>19727</v>
      </c>
      <c r="C453" s="277">
        <v>1.1000000000000001</v>
      </c>
      <c r="D453" s="278">
        <f>IF(AND(Data!B$4=3.25,Data!B$10&lt;&gt;"V",Data!B$3="H"),1*2,0)</f>
        <v>0</v>
      </c>
      <c r="E453" s="268">
        <f t="shared" si="9"/>
        <v>0</v>
      </c>
    </row>
    <row r="454" spans="1:5" ht="13">
      <c r="A454" s="276" t="s">
        <v>19732</v>
      </c>
      <c r="B454" s="276" t="s">
        <v>19727</v>
      </c>
      <c r="C454" s="277">
        <v>1.1000000000000001</v>
      </c>
      <c r="D454" s="278">
        <f>IF(AND(Data!B$4=4,Data!B$10&lt;&gt;"V",Data!B$3="H"),1*2,0)</f>
        <v>0</v>
      </c>
      <c r="E454" s="268">
        <f t="shared" si="9"/>
        <v>0</v>
      </c>
    </row>
    <row r="455" spans="1:5" ht="13">
      <c r="A455" s="276" t="s">
        <v>19733</v>
      </c>
      <c r="B455" s="276" t="s">
        <v>19727</v>
      </c>
      <c r="C455" s="277">
        <v>1.1000000000000001</v>
      </c>
      <c r="D455" s="278">
        <f>IF(AND(Data!B$4=5,Data!B$10&lt;&gt;"V",Data!B$3="H"),1*2,0)</f>
        <v>2</v>
      </c>
      <c r="E455" s="268">
        <f t="shared" si="9"/>
        <v>2.2000000000000002</v>
      </c>
    </row>
    <row r="456" spans="1:5" ht="13">
      <c r="A456" s="276" t="s">
        <v>19734</v>
      </c>
      <c r="B456" s="276" t="s">
        <v>19727</v>
      </c>
      <c r="C456" s="277">
        <v>1.1000000000000001</v>
      </c>
      <c r="D456" s="278">
        <f>IF(AND(Data!B$4=6,Data!B$10&lt;&gt;"V",Data!B$3="H"),1*2,0)</f>
        <v>0</v>
      </c>
      <c r="E456" s="268">
        <f t="shared" si="9"/>
        <v>0</v>
      </c>
    </row>
    <row r="457" spans="1:5" ht="13">
      <c r="A457" s="276" t="s">
        <v>19735</v>
      </c>
      <c r="B457" s="276" t="s">
        <v>19727</v>
      </c>
      <c r="C457" s="277">
        <v>1.1000000000000001</v>
      </c>
      <c r="D457" s="278">
        <f>IF(AND(Data!B$4=7,Data!B$10&lt;&gt;"V",Data!B$3="H"),1*2,0)</f>
        <v>0</v>
      </c>
      <c r="E457" s="268">
        <f t="shared" si="9"/>
        <v>0</v>
      </c>
    </row>
    <row r="458" spans="1:5" ht="13">
      <c r="A458" s="276" t="s">
        <v>19736</v>
      </c>
      <c r="B458" s="276" t="s">
        <v>19727</v>
      </c>
      <c r="C458" s="277">
        <v>2.2000000000000002</v>
      </c>
      <c r="D458" s="278">
        <f>IF(AND(Data!B$4=8,Data!B$10&lt;&gt;"V",Data!B$3="H"),1*2,0)</f>
        <v>0</v>
      </c>
      <c r="E458" s="268">
        <f t="shared" si="9"/>
        <v>0</v>
      </c>
    </row>
    <row r="459" spans="1:5" ht="13">
      <c r="A459" s="276" t="s">
        <v>19738</v>
      </c>
      <c r="B459" s="276" t="s">
        <v>19737</v>
      </c>
      <c r="C459" s="277">
        <v>50.6</v>
      </c>
      <c r="D459" s="278">
        <f>IF(AND(Data!B$4=1.5,Data!B$3="H",Data!B$5="MT4"),1,0)</f>
        <v>0</v>
      </c>
      <c r="E459" s="268">
        <f t="shared" si="9"/>
        <v>0</v>
      </c>
    </row>
    <row r="460" spans="1:5" ht="13">
      <c r="A460" s="276" t="s">
        <v>19739</v>
      </c>
      <c r="B460" s="276" t="s">
        <v>19737</v>
      </c>
      <c r="C460" s="277">
        <v>121</v>
      </c>
      <c r="D460" s="278">
        <f>IF(AND(Data!B$4=2,Data!B$3="H",Data!B$5="MT4"),1,0)</f>
        <v>0</v>
      </c>
      <c r="E460" s="268">
        <f t="shared" si="9"/>
        <v>0</v>
      </c>
    </row>
    <row r="461" spans="1:5" ht="13">
      <c r="A461" s="276" t="s">
        <v>19740</v>
      </c>
      <c r="B461" s="276" t="s">
        <v>19737</v>
      </c>
      <c r="C461" s="277">
        <v>126.5</v>
      </c>
      <c r="D461" s="278">
        <f>IF(AND(Data!B$4=2.5,Data!B$3="H",Data!B$5="MT4"),1,0)</f>
        <v>0</v>
      </c>
      <c r="E461" s="268">
        <f t="shared" si="9"/>
        <v>0</v>
      </c>
    </row>
    <row r="462" spans="1:5" ht="13">
      <c r="A462" s="276" t="s">
        <v>19741</v>
      </c>
      <c r="B462" s="276" t="s">
        <v>19737</v>
      </c>
      <c r="C462" s="277">
        <v>137.5</v>
      </c>
      <c r="D462" s="278">
        <f>IF(AND(Data!B$4=3.25,Data!B$3="H",Data!B$5="MT4"),1,0)</f>
        <v>0</v>
      </c>
      <c r="E462" s="268">
        <f t="shared" si="9"/>
        <v>0</v>
      </c>
    </row>
    <row r="463" spans="1:5" ht="13">
      <c r="A463" s="276" t="s">
        <v>19742</v>
      </c>
      <c r="B463" s="276" t="s">
        <v>19737</v>
      </c>
      <c r="C463" s="277">
        <v>176</v>
      </c>
      <c r="D463" s="278">
        <f>IF(AND(Data!B$4=4,Data!B$3="H",Data!B$5="MT4"),1,0)</f>
        <v>0</v>
      </c>
      <c r="E463" s="268">
        <f t="shared" si="9"/>
        <v>0</v>
      </c>
    </row>
    <row r="464" spans="1:5" ht="13">
      <c r="A464" s="276" t="s">
        <v>19743</v>
      </c>
      <c r="B464" s="276" t="s">
        <v>19737</v>
      </c>
      <c r="C464" s="277">
        <v>403.7</v>
      </c>
      <c r="D464" s="278">
        <f>IF(AND(Data!B$4=5,Data!B$3="H",Data!B$5="MT4"),1,0)</f>
        <v>0</v>
      </c>
      <c r="E464" s="268">
        <f t="shared" si="9"/>
        <v>0</v>
      </c>
    </row>
    <row r="465" spans="1:5" ht="13">
      <c r="A465" s="276" t="s">
        <v>19744</v>
      </c>
      <c r="B465" s="276" t="s">
        <v>19737</v>
      </c>
      <c r="C465" s="277">
        <v>442.2</v>
      </c>
      <c r="D465" s="278">
        <f>IF(AND(Data!B$4=6,Data!B$3="H",Data!B$5="MT4"),1,0)</f>
        <v>0</v>
      </c>
      <c r="E465" s="268">
        <f t="shared" si="9"/>
        <v>0</v>
      </c>
    </row>
    <row r="466" spans="1:5" ht="13">
      <c r="A466" s="276" t="s">
        <v>19745</v>
      </c>
      <c r="B466" s="276" t="s">
        <v>19737</v>
      </c>
      <c r="C466" s="277">
        <v>500.5</v>
      </c>
      <c r="D466" s="278">
        <f>IF(AND(Data!B$4=7,Data!B$3="H",Data!B$5="MT4"),1,0)</f>
        <v>0</v>
      </c>
      <c r="E466" s="268">
        <f t="shared" si="9"/>
        <v>0</v>
      </c>
    </row>
    <row r="467" spans="1:5" ht="13">
      <c r="A467" s="276" t="s">
        <v>19746</v>
      </c>
      <c r="B467" s="276" t="s">
        <v>19737</v>
      </c>
      <c r="C467" s="277">
        <v>542.29999999999995</v>
      </c>
      <c r="D467" s="278">
        <f>IF(AND(Data!B$4=8,Data!B$3="H",Data!B$5="MT4"),1,0)</f>
        <v>0</v>
      </c>
      <c r="E467" s="268">
        <f t="shared" si="9"/>
        <v>0</v>
      </c>
    </row>
    <row r="468" spans="1:5" ht="13">
      <c r="A468" s="276" t="s">
        <v>19747</v>
      </c>
      <c r="B468" s="276" t="s">
        <v>19748</v>
      </c>
      <c r="C468" s="277">
        <v>27.5</v>
      </c>
      <c r="D468" s="278">
        <f>IF(AND(Data!B$4=1.5,Data!B$3="H",Data!B$5="MF6"),1,0)</f>
        <v>0</v>
      </c>
      <c r="E468" s="268">
        <f t="shared" si="9"/>
        <v>0</v>
      </c>
    </row>
    <row r="469" spans="1:5" ht="13">
      <c r="A469" s="276" t="s">
        <v>19749</v>
      </c>
      <c r="B469" s="276" t="s">
        <v>19748</v>
      </c>
      <c r="C469" s="277">
        <v>33</v>
      </c>
      <c r="D469" s="278">
        <f>IF(AND(Data!B$4=2,Data!B$3="H",Data!B$5="MF6"),1,0)</f>
        <v>0</v>
      </c>
      <c r="E469" s="268">
        <f t="shared" si="9"/>
        <v>0</v>
      </c>
    </row>
    <row r="470" spans="1:5" ht="13">
      <c r="A470" s="276" t="s">
        <v>19750</v>
      </c>
      <c r="B470" s="276" t="s">
        <v>19748</v>
      </c>
      <c r="C470" s="277">
        <v>39.6</v>
      </c>
      <c r="D470" s="278">
        <f>IF(AND(Data!B$4=2.5,Data!B$3="H",Data!B$5="MF6"),1,0)</f>
        <v>0</v>
      </c>
      <c r="E470" s="268">
        <f t="shared" si="9"/>
        <v>0</v>
      </c>
    </row>
    <row r="471" spans="1:5" ht="13">
      <c r="A471" s="276" t="s">
        <v>19751</v>
      </c>
      <c r="B471" s="276" t="s">
        <v>19748</v>
      </c>
      <c r="C471" s="277">
        <v>47.3</v>
      </c>
      <c r="D471" s="278">
        <f>IF(AND(Data!B$4=3.25,Data!B$3="H",Data!B$5="MF6"),1,0)</f>
        <v>0</v>
      </c>
      <c r="E471" s="268">
        <f t="shared" si="9"/>
        <v>0</v>
      </c>
    </row>
    <row r="472" spans="1:5" ht="13">
      <c r="A472" s="276" t="s">
        <v>19752</v>
      </c>
      <c r="B472" s="276" t="s">
        <v>19748</v>
      </c>
      <c r="C472" s="277">
        <v>57.2</v>
      </c>
      <c r="D472" s="278">
        <f>IF(AND(Data!B$4=4,Data!B$3="H",Data!B$5="MF6"),1,0)</f>
        <v>0</v>
      </c>
      <c r="E472" s="268">
        <f t="shared" si="9"/>
        <v>0</v>
      </c>
    </row>
    <row r="473" spans="1:5" ht="13">
      <c r="A473" s="276" t="s">
        <v>19753</v>
      </c>
      <c r="B473" s="276" t="s">
        <v>19748</v>
      </c>
      <c r="C473" s="277">
        <v>68.2</v>
      </c>
      <c r="D473" s="278">
        <f>IF(AND(Data!B$4=5,Data!B$3="H",Data!B$5="MF6"),1,0)</f>
        <v>0</v>
      </c>
      <c r="E473" s="268">
        <f t="shared" si="9"/>
        <v>0</v>
      </c>
    </row>
    <row r="474" spans="1:5" ht="13">
      <c r="A474" s="276" t="s">
        <v>19754</v>
      </c>
      <c r="B474" s="276" t="s">
        <v>19748</v>
      </c>
      <c r="C474" s="277">
        <v>81.400000000000006</v>
      </c>
      <c r="D474" s="278">
        <f>IF(AND(Data!B$4=6,Data!B$3="H",Data!B$5="MF6"),1,0)</f>
        <v>0</v>
      </c>
      <c r="E474" s="268">
        <f t="shared" si="9"/>
        <v>0</v>
      </c>
    </row>
    <row r="475" spans="1:5" ht="13">
      <c r="A475" s="276" t="s">
        <v>19755</v>
      </c>
      <c r="B475" s="276" t="s">
        <v>19748</v>
      </c>
      <c r="C475" s="277">
        <v>97.9</v>
      </c>
      <c r="D475" s="278">
        <f>IF(AND(Data!B$4=7,Data!B$3="H",Data!B$5="MF6"),1,0)</f>
        <v>0</v>
      </c>
      <c r="E475" s="268">
        <f t="shared" si="9"/>
        <v>0</v>
      </c>
    </row>
    <row r="476" spans="1:5" ht="13">
      <c r="A476" s="276" t="s">
        <v>19756</v>
      </c>
      <c r="B476" s="276" t="s">
        <v>19748</v>
      </c>
      <c r="C476" s="277">
        <v>117.7</v>
      </c>
      <c r="D476" s="278">
        <f>IF(AND(Data!B$4=8,Data!B$3="H",Data!B$5="MF6"),1,0)</f>
        <v>0</v>
      </c>
      <c r="E476" s="268">
        <f t="shared" si="9"/>
        <v>0</v>
      </c>
    </row>
    <row r="477" spans="1:5" ht="13">
      <c r="A477" s="276" t="s">
        <v>19757</v>
      </c>
      <c r="B477" s="276" t="s">
        <v>19758</v>
      </c>
      <c r="C477" s="277">
        <v>37.4</v>
      </c>
      <c r="D477" s="278">
        <f>IF(AND(Data!B$4=1.5,Data!B$3="H",Data!B$5="MF5"),1,0)</f>
        <v>0</v>
      </c>
      <c r="E477" s="268">
        <f t="shared" si="9"/>
        <v>0</v>
      </c>
    </row>
    <row r="478" spans="1:5" ht="13">
      <c r="A478" s="276" t="s">
        <v>19759</v>
      </c>
      <c r="B478" s="276" t="s">
        <v>19758</v>
      </c>
      <c r="C478" s="277">
        <v>45.1</v>
      </c>
      <c r="D478" s="278">
        <f>IF(AND(Data!B$4=2,Data!B$3="H",Data!B$5="MF5"),1,0)</f>
        <v>0</v>
      </c>
      <c r="E478" s="268">
        <f t="shared" si="9"/>
        <v>0</v>
      </c>
    </row>
    <row r="479" spans="1:5" ht="13">
      <c r="A479" s="276" t="s">
        <v>19760</v>
      </c>
      <c r="B479" s="276" t="s">
        <v>19758</v>
      </c>
      <c r="C479" s="277">
        <v>53.9</v>
      </c>
      <c r="D479" s="278">
        <f>IF(AND(Data!B$4=2.5,Data!B$3="H",Data!B$5="MF5"),1,0)</f>
        <v>0</v>
      </c>
      <c r="E479" s="268">
        <f t="shared" si="9"/>
        <v>0</v>
      </c>
    </row>
    <row r="480" spans="1:5" ht="13">
      <c r="A480" s="276" t="s">
        <v>19761</v>
      </c>
      <c r="B480" s="276" t="s">
        <v>19758</v>
      </c>
      <c r="C480" s="277">
        <v>63.8</v>
      </c>
      <c r="D480" s="278">
        <f>IF(AND(Data!B$4=3.25,Data!B$3="H",Data!B$5="MF5"),1,0)</f>
        <v>0</v>
      </c>
      <c r="E480" s="268">
        <f t="shared" si="9"/>
        <v>0</v>
      </c>
    </row>
    <row r="481" spans="1:5" ht="13">
      <c r="A481" s="276" t="s">
        <v>19762</v>
      </c>
      <c r="B481" s="276" t="s">
        <v>19758</v>
      </c>
      <c r="C481" s="277">
        <v>77</v>
      </c>
      <c r="D481" s="278">
        <f>IF(AND(Data!B$4=4,Data!B$3="H",Data!B$5="MF5"),1,0)</f>
        <v>0</v>
      </c>
      <c r="E481" s="268">
        <f t="shared" si="9"/>
        <v>0</v>
      </c>
    </row>
    <row r="482" spans="1:5" ht="13">
      <c r="A482" s="276" t="s">
        <v>19763</v>
      </c>
      <c r="B482" s="276" t="s">
        <v>19758</v>
      </c>
      <c r="C482" s="277">
        <v>92.4</v>
      </c>
      <c r="D482" s="278">
        <f>IF(AND(Data!B$4=5,Data!B$3="H",Data!B$5="MF5"),1,0)</f>
        <v>0</v>
      </c>
      <c r="E482" s="268">
        <f t="shared" si="9"/>
        <v>0</v>
      </c>
    </row>
    <row r="483" spans="1:5" ht="13">
      <c r="A483" s="276" t="s">
        <v>19764</v>
      </c>
      <c r="B483" s="276" t="s">
        <v>19758</v>
      </c>
      <c r="C483" s="277">
        <v>129.80000000000001</v>
      </c>
      <c r="D483" s="278">
        <f>IF(AND(Data!B$4=6,Data!B$3="H",Data!B$5="MF5"),1,0)</f>
        <v>0</v>
      </c>
      <c r="E483" s="268">
        <f t="shared" si="9"/>
        <v>0</v>
      </c>
    </row>
    <row r="484" spans="1:5" ht="13">
      <c r="A484" s="276" t="s">
        <v>19765</v>
      </c>
      <c r="B484" s="276" t="s">
        <v>19758</v>
      </c>
      <c r="C484" s="277">
        <v>143</v>
      </c>
      <c r="D484" s="278">
        <f>IF(AND(Data!B$4=7,Data!B$3="H",Data!B$5="MF5"),1,0)</f>
        <v>0</v>
      </c>
      <c r="E484" s="268">
        <f t="shared" si="9"/>
        <v>0</v>
      </c>
    </row>
    <row r="485" spans="1:5" ht="13">
      <c r="A485" s="276" t="s">
        <v>19766</v>
      </c>
      <c r="B485" s="276" t="s">
        <v>19758</v>
      </c>
      <c r="C485" s="277">
        <v>158.4</v>
      </c>
      <c r="D485" s="278">
        <f>IF(AND(Data!B$4=8,Data!B$3="H",Data!B$5="MF5"),1,0)</f>
        <v>0</v>
      </c>
      <c r="E485" s="268">
        <f t="shared" si="9"/>
        <v>0</v>
      </c>
    </row>
    <row r="486" spans="1:5" ht="13">
      <c r="A486" s="276" t="s">
        <v>19767</v>
      </c>
      <c r="B486" s="276" t="s">
        <v>19768</v>
      </c>
      <c r="C486" s="277">
        <v>20.9</v>
      </c>
      <c r="D486" s="278">
        <f>IF(AND(Data!B$4=1.5,Data!B$3="H",Data!B$5="MF2"),1,0)</f>
        <v>0</v>
      </c>
      <c r="E486" s="268">
        <f t="shared" si="9"/>
        <v>0</v>
      </c>
    </row>
    <row r="487" spans="1:5" ht="13">
      <c r="A487" s="276" t="s">
        <v>19769</v>
      </c>
      <c r="B487" s="276" t="s">
        <v>19768</v>
      </c>
      <c r="C487" s="277">
        <v>24.2</v>
      </c>
      <c r="D487" s="278">
        <f>IF(AND(Data!B$4=2,Data!B$3="H",Data!B$5="MF2"),1,0)</f>
        <v>0</v>
      </c>
      <c r="E487" s="268">
        <f t="shared" si="9"/>
        <v>0</v>
      </c>
    </row>
    <row r="488" spans="1:5" ht="13">
      <c r="A488" s="276" t="s">
        <v>19770</v>
      </c>
      <c r="B488" s="276" t="s">
        <v>19768</v>
      </c>
      <c r="C488" s="277">
        <v>29.7</v>
      </c>
      <c r="D488" s="278">
        <f>IF(AND(Data!B$4=2.5,Data!B$3="H",Data!B$5="MF2"),1,0)</f>
        <v>0</v>
      </c>
      <c r="E488" s="268">
        <f t="shared" si="9"/>
        <v>0</v>
      </c>
    </row>
    <row r="489" spans="1:5" ht="13">
      <c r="A489" s="276" t="s">
        <v>19771</v>
      </c>
      <c r="B489" s="276" t="s">
        <v>19768</v>
      </c>
      <c r="C489" s="277">
        <v>35.200000000000003</v>
      </c>
      <c r="D489" s="278">
        <f>IF(AND(Data!B$4=3.25,Data!B$3="H",Data!B$5="MF2"),1,0)</f>
        <v>0</v>
      </c>
      <c r="E489" s="268">
        <f t="shared" si="9"/>
        <v>0</v>
      </c>
    </row>
    <row r="490" spans="1:5" ht="13">
      <c r="A490" s="276" t="s">
        <v>19772</v>
      </c>
      <c r="B490" s="276" t="s">
        <v>19768</v>
      </c>
      <c r="C490" s="277">
        <v>41.8</v>
      </c>
      <c r="D490" s="278">
        <f>IF(AND(Data!B$4=4,Data!B$3="H",Data!B$5="MF2"),1,0)</f>
        <v>0</v>
      </c>
      <c r="E490" s="268">
        <f t="shared" si="9"/>
        <v>0</v>
      </c>
    </row>
    <row r="491" spans="1:5" ht="13">
      <c r="A491" s="276" t="s">
        <v>19773</v>
      </c>
      <c r="B491" s="276" t="s">
        <v>19768</v>
      </c>
      <c r="C491" s="277">
        <v>50.6</v>
      </c>
      <c r="D491" s="278">
        <f>IF(AND(Data!B$4=5,Data!B$3="H",Data!B$5="MF2"),1,0)</f>
        <v>0</v>
      </c>
      <c r="E491" s="268">
        <f t="shared" si="9"/>
        <v>0</v>
      </c>
    </row>
    <row r="492" spans="1:5" ht="13">
      <c r="A492" s="276" t="s">
        <v>19774</v>
      </c>
      <c r="B492" s="276" t="s">
        <v>19768</v>
      </c>
      <c r="C492" s="277">
        <v>60.5</v>
      </c>
      <c r="D492" s="278">
        <f>IF(AND(Data!B$4=6,Data!B$3="H",Data!B$5="MF2"),1,0)</f>
        <v>0</v>
      </c>
      <c r="E492" s="268">
        <f t="shared" si="9"/>
        <v>0</v>
      </c>
    </row>
    <row r="493" spans="1:5" ht="13">
      <c r="A493" s="276" t="s">
        <v>19775</v>
      </c>
      <c r="B493" s="276" t="s">
        <v>19768</v>
      </c>
      <c r="C493" s="277">
        <v>72.599999999999994</v>
      </c>
      <c r="D493" s="278">
        <f>IF(AND(Data!B$4=7,Data!B$3="H",Data!B$5="MF2"),1,0)</f>
        <v>0</v>
      </c>
      <c r="E493" s="268">
        <f t="shared" si="9"/>
        <v>0</v>
      </c>
    </row>
    <row r="494" spans="1:5" ht="13">
      <c r="A494" s="276" t="s">
        <v>19776</v>
      </c>
      <c r="B494" s="276" t="s">
        <v>19768</v>
      </c>
      <c r="C494" s="277">
        <v>86.9</v>
      </c>
      <c r="D494" s="278">
        <f>IF(AND(Data!B$4=8,Data!B$3="H",Data!B$5="MF2"),1,0)</f>
        <v>0</v>
      </c>
      <c r="E494" s="268">
        <f t="shared" si="9"/>
        <v>0</v>
      </c>
    </row>
    <row r="495" spans="1:5" ht="13">
      <c r="A495" s="276" t="s">
        <v>19777</v>
      </c>
      <c r="B495" s="276" t="s">
        <v>19778</v>
      </c>
      <c r="C495" s="277">
        <v>26.130000000000003</v>
      </c>
      <c r="D495" s="278">
        <f>IF(AND(Data!B$4=1.5,Data!B$3="H",Data!B$5="MF1"),1,0)</f>
        <v>0</v>
      </c>
      <c r="E495" s="268">
        <f t="shared" si="9"/>
        <v>0</v>
      </c>
    </row>
    <row r="496" spans="1:5" ht="13">
      <c r="A496" s="276" t="s">
        <v>19779</v>
      </c>
      <c r="B496" s="276" t="s">
        <v>19778</v>
      </c>
      <c r="C496" s="277">
        <v>30.25</v>
      </c>
      <c r="D496" s="278">
        <f>IF(AND(Data!B$4=2,Data!B$3="H",Data!B$5="MF1"),1,0)</f>
        <v>0</v>
      </c>
      <c r="E496" s="268">
        <f t="shared" si="9"/>
        <v>0</v>
      </c>
    </row>
    <row r="497" spans="1:5" ht="13">
      <c r="A497" s="276" t="s">
        <v>19780</v>
      </c>
      <c r="B497" s="276" t="s">
        <v>19778</v>
      </c>
      <c r="C497" s="277">
        <v>37.129999999999995</v>
      </c>
      <c r="D497" s="278">
        <f>IF(AND(Data!B$4=2.5,Data!B$3="H",Data!B$5="MF1"),1,0)</f>
        <v>0</v>
      </c>
      <c r="E497" s="268">
        <f t="shared" si="9"/>
        <v>0</v>
      </c>
    </row>
    <row r="498" spans="1:5" ht="13">
      <c r="A498" s="276" t="s">
        <v>19781</v>
      </c>
      <c r="B498" s="276" t="s">
        <v>19778</v>
      </c>
      <c r="C498" s="277">
        <v>44</v>
      </c>
      <c r="D498" s="278">
        <f>IF(AND(Data!B$4=3.25,Data!B$3="H",Data!B$5="MF1"),1,0)</f>
        <v>0</v>
      </c>
      <c r="E498" s="268">
        <f t="shared" si="9"/>
        <v>0</v>
      </c>
    </row>
    <row r="499" spans="1:5" ht="13">
      <c r="A499" s="276" t="s">
        <v>19782</v>
      </c>
      <c r="B499" s="276" t="s">
        <v>19778</v>
      </c>
      <c r="C499" s="277">
        <v>52.25</v>
      </c>
      <c r="D499" s="278">
        <f>IF(AND(Data!B$4=4,Data!B$3="H",Data!B$5="MF1"),1,0)</f>
        <v>0</v>
      </c>
      <c r="E499" s="268">
        <f t="shared" si="9"/>
        <v>0</v>
      </c>
    </row>
    <row r="500" spans="1:5" ht="13">
      <c r="A500" s="276" t="s">
        <v>19783</v>
      </c>
      <c r="B500" s="276" t="s">
        <v>19778</v>
      </c>
      <c r="C500" s="277">
        <v>63.25</v>
      </c>
      <c r="D500" s="278">
        <f>IF(AND(Data!B$4=5,Data!B$3="H",Data!B$5="MF1"),1,0)</f>
        <v>1</v>
      </c>
      <c r="E500" s="268">
        <f t="shared" si="9"/>
        <v>63.25</v>
      </c>
    </row>
    <row r="501" spans="1:5" ht="13">
      <c r="A501" s="276" t="s">
        <v>19784</v>
      </c>
      <c r="B501" s="276" t="s">
        <v>19778</v>
      </c>
      <c r="C501" s="277">
        <v>75.63000000000001</v>
      </c>
      <c r="D501" s="278">
        <f>IF(AND(Data!B$4=6,Data!B$3="H",Data!B$5="MF1"),1,0)</f>
        <v>0</v>
      </c>
      <c r="E501" s="268">
        <f t="shared" si="9"/>
        <v>0</v>
      </c>
    </row>
    <row r="502" spans="1:5" ht="13">
      <c r="A502" s="276" t="s">
        <v>19785</v>
      </c>
      <c r="B502" s="276" t="s">
        <v>19778</v>
      </c>
      <c r="C502" s="277">
        <v>90.75</v>
      </c>
      <c r="D502" s="278">
        <f>IF(AND(Data!B$4=7,Data!B$3="H",Data!B$5="MF1"),1,0)</f>
        <v>0</v>
      </c>
      <c r="E502" s="268">
        <f t="shared" si="9"/>
        <v>0</v>
      </c>
    </row>
    <row r="503" spans="1:5" ht="13">
      <c r="A503" s="276" t="s">
        <v>19786</v>
      </c>
      <c r="B503" s="276" t="s">
        <v>19778</v>
      </c>
      <c r="C503" s="277">
        <v>108.63000000000001</v>
      </c>
      <c r="D503" s="278">
        <f>IF(AND(Data!B$4=8,Data!B$3="H",Data!B$5="MF1"),1,0)</f>
        <v>0</v>
      </c>
      <c r="E503" s="268">
        <f t="shared" si="9"/>
        <v>0</v>
      </c>
    </row>
    <row r="504" spans="1:5" ht="13">
      <c r="A504" s="276" t="s">
        <v>19788</v>
      </c>
      <c r="B504" s="276" t="s">
        <v>19787</v>
      </c>
      <c r="C504" s="277">
        <v>4.4000000000000004</v>
      </c>
      <c r="D504" s="278">
        <f>IF(AND(Data!B$4=1.5,Data!B$3="H",Data!B$10="L"),1,0)</f>
        <v>0</v>
      </c>
      <c r="E504" s="268">
        <f t="shared" si="9"/>
        <v>0</v>
      </c>
    </row>
    <row r="505" spans="1:5" ht="13">
      <c r="A505" s="276" t="s">
        <v>19789</v>
      </c>
      <c r="B505" s="276" t="s">
        <v>19787</v>
      </c>
      <c r="C505" s="277">
        <v>6.6</v>
      </c>
      <c r="D505" s="278">
        <f>IF(AND(Data!B$4=2,Data!B$3="H",Data!B$10="L"),1,0)</f>
        <v>0</v>
      </c>
      <c r="E505" s="268">
        <f t="shared" si="9"/>
        <v>0</v>
      </c>
    </row>
    <row r="506" spans="1:5" ht="13">
      <c r="A506" s="276" t="s">
        <v>19790</v>
      </c>
      <c r="B506" s="276" t="s">
        <v>19787</v>
      </c>
      <c r="C506" s="277">
        <v>8.8000000000000007</v>
      </c>
      <c r="D506" s="278">
        <f>IF(AND(Data!B$4=2.5,Data!B$3="H",Data!B$10="L"),1,0)</f>
        <v>0</v>
      </c>
      <c r="E506" s="268">
        <f t="shared" si="9"/>
        <v>0</v>
      </c>
    </row>
    <row r="507" spans="1:5" ht="13">
      <c r="A507" s="276" t="s">
        <v>19791</v>
      </c>
      <c r="B507" s="276" t="s">
        <v>19787</v>
      </c>
      <c r="C507" s="277">
        <v>11</v>
      </c>
      <c r="D507" s="278">
        <f>IF(AND(Data!B$4=3.25,Data!B$3="H",Data!B$10="L"),1,0)</f>
        <v>0</v>
      </c>
      <c r="E507" s="268">
        <f t="shared" si="9"/>
        <v>0</v>
      </c>
    </row>
    <row r="508" spans="1:5" ht="13">
      <c r="A508" s="276" t="s">
        <v>19792</v>
      </c>
      <c r="B508" s="276" t="s">
        <v>19787</v>
      </c>
      <c r="C508" s="277">
        <v>13.2</v>
      </c>
      <c r="D508" s="278">
        <f>IF(AND(Data!B$4=4,Data!B$3="H",Data!B$10="L"),1,0)</f>
        <v>0</v>
      </c>
      <c r="E508" s="268">
        <f t="shared" si="9"/>
        <v>0</v>
      </c>
    </row>
    <row r="509" spans="1:5" ht="13">
      <c r="A509" s="276" t="s">
        <v>19793</v>
      </c>
      <c r="B509" s="276" t="s">
        <v>19787</v>
      </c>
      <c r="C509" s="277">
        <v>15.4</v>
      </c>
      <c r="D509" s="278">
        <f>IF(AND(Data!B$4=5,Data!B$3="H",Data!B$10="L"),1,0)</f>
        <v>0</v>
      </c>
      <c r="E509" s="268">
        <f t="shared" si="9"/>
        <v>0</v>
      </c>
    </row>
    <row r="510" spans="1:5" ht="13">
      <c r="A510" s="276" t="s">
        <v>19794</v>
      </c>
      <c r="B510" s="276" t="s">
        <v>19787</v>
      </c>
      <c r="C510" s="277">
        <v>17.600000000000001</v>
      </c>
      <c r="D510" s="278">
        <f>IF(AND(Data!B$4=6,Data!B$3="H",Data!B$10="L"),1,0)</f>
        <v>0</v>
      </c>
      <c r="E510" s="268">
        <f t="shared" si="9"/>
        <v>0</v>
      </c>
    </row>
    <row r="511" spans="1:5" ht="13">
      <c r="A511" s="276" t="s">
        <v>19795</v>
      </c>
      <c r="B511" s="276" t="s">
        <v>19787</v>
      </c>
      <c r="C511" s="277">
        <v>6.6</v>
      </c>
      <c r="D511" s="278">
        <f>IF(AND(Data!B$4=7,Data!B$3="H",Data!B$10="L"),1,0)</f>
        <v>0</v>
      </c>
      <c r="E511" s="268">
        <f t="shared" si="9"/>
        <v>0</v>
      </c>
    </row>
    <row r="512" spans="1:5" ht="13">
      <c r="A512" s="276" t="s">
        <v>19796</v>
      </c>
      <c r="B512" s="276" t="s">
        <v>19787</v>
      </c>
      <c r="C512" s="277">
        <v>19.8</v>
      </c>
      <c r="D512" s="278">
        <f>IF(AND(Data!B$4=8,Data!B$3="H",Data!B$10="L"),1,0)</f>
        <v>0</v>
      </c>
      <c r="E512" s="268">
        <f t="shared" si="9"/>
        <v>0</v>
      </c>
    </row>
    <row r="513" spans="1:5" ht="13">
      <c r="A513" s="276" t="s">
        <v>19798</v>
      </c>
      <c r="B513" s="276" t="s">
        <v>19797</v>
      </c>
      <c r="C513" s="277">
        <v>4.4000000000000004</v>
      </c>
      <c r="D513" s="278">
        <f>IF(AND(Data!B$4=1.5,Data!B$3="H",Data!B$10="C"),1*4,0)</f>
        <v>0</v>
      </c>
      <c r="E513" s="268">
        <f t="shared" si="9"/>
        <v>0</v>
      </c>
    </row>
    <row r="514" spans="1:5" ht="13">
      <c r="A514" s="276" t="s">
        <v>19799</v>
      </c>
      <c r="B514" s="276" t="s">
        <v>19797</v>
      </c>
      <c r="C514" s="277">
        <v>6.6</v>
      </c>
      <c r="D514" s="278">
        <f>IF(AND(Data!B$4=2,Data!B$3="H",Data!B$10="C"),1*4,0)</f>
        <v>0</v>
      </c>
      <c r="E514" s="268">
        <f t="shared" si="9"/>
        <v>0</v>
      </c>
    </row>
    <row r="515" spans="1:5" ht="13">
      <c r="A515" s="276" t="s">
        <v>19800</v>
      </c>
      <c r="B515" s="276" t="s">
        <v>19797</v>
      </c>
      <c r="C515" s="277">
        <v>8.8000000000000007</v>
      </c>
      <c r="D515" s="278">
        <f>IF(AND(Data!B$4=2.5,Data!B$3="H",Data!B$10="C"),1*4,0)</f>
        <v>0</v>
      </c>
      <c r="E515" s="268">
        <f t="shared" ref="E515:E578" si="10">D515*C515</f>
        <v>0</v>
      </c>
    </row>
    <row r="516" spans="1:5" ht="13">
      <c r="A516" s="276" t="s">
        <v>19801</v>
      </c>
      <c r="B516" s="276" t="s">
        <v>19797</v>
      </c>
      <c r="C516" s="277">
        <v>11</v>
      </c>
      <c r="D516" s="278">
        <f>IF(AND(Data!B$4=3.25,Data!B$3="H",Data!B$10="C"),1*4,0)</f>
        <v>0</v>
      </c>
      <c r="E516" s="268">
        <f t="shared" si="10"/>
        <v>0</v>
      </c>
    </row>
    <row r="517" spans="1:5" ht="13">
      <c r="A517" s="276" t="s">
        <v>19802</v>
      </c>
      <c r="B517" s="276" t="s">
        <v>19797</v>
      </c>
      <c r="C517" s="277">
        <v>13.2</v>
      </c>
      <c r="D517" s="278">
        <f>IF(AND(Data!B$4=4,Data!B$3="H",Data!B$10="C"),1*4,0)</f>
        <v>0</v>
      </c>
      <c r="E517" s="268">
        <f t="shared" si="10"/>
        <v>0</v>
      </c>
    </row>
    <row r="518" spans="1:5" ht="13">
      <c r="A518" s="276" t="s">
        <v>19803</v>
      </c>
      <c r="B518" s="276" t="s">
        <v>19797</v>
      </c>
      <c r="C518" s="277">
        <v>15.4</v>
      </c>
      <c r="D518" s="278">
        <f>IF(AND(Data!B$4=5,Data!B$3="H",Data!B$10="C"),1*4,0)</f>
        <v>0</v>
      </c>
      <c r="E518" s="268">
        <f t="shared" si="10"/>
        <v>0</v>
      </c>
    </row>
    <row r="519" spans="1:5" ht="13">
      <c r="A519" s="276" t="s">
        <v>19804</v>
      </c>
      <c r="B519" s="276" t="s">
        <v>19797</v>
      </c>
      <c r="C519" s="277">
        <v>17.600000000000001</v>
      </c>
      <c r="D519" s="278">
        <f>IF(AND(Data!B$4=6,Data!B$3="H",Data!B$10="C"),1*4,0)</f>
        <v>0</v>
      </c>
      <c r="E519" s="268">
        <f t="shared" si="10"/>
        <v>0</v>
      </c>
    </row>
    <row r="520" spans="1:5" ht="13">
      <c r="A520" s="276" t="s">
        <v>19805</v>
      </c>
      <c r="B520" s="276" t="s">
        <v>19797</v>
      </c>
      <c r="C520" s="277">
        <v>6.6</v>
      </c>
      <c r="D520" s="278">
        <f>IF(AND(Data!B$4=7,Data!B$3="H",Data!B$10="C"),1*4,0)</f>
        <v>0</v>
      </c>
      <c r="E520" s="268">
        <f t="shared" si="10"/>
        <v>0</v>
      </c>
    </row>
    <row r="521" spans="1:5" ht="13">
      <c r="A521" s="276" t="s">
        <v>19806</v>
      </c>
      <c r="B521" s="276" t="s">
        <v>19797</v>
      </c>
      <c r="C521" s="277">
        <v>19.8</v>
      </c>
      <c r="D521" s="278">
        <f>IF(AND(Data!B$4=8,Data!B$3="H",Data!B$10="C"),1*4,0)</f>
        <v>0</v>
      </c>
      <c r="E521" s="268">
        <f t="shared" si="10"/>
        <v>0</v>
      </c>
    </row>
    <row r="522" spans="1:5" ht="13">
      <c r="A522" s="276" t="s">
        <v>19807</v>
      </c>
      <c r="B522" s="276" t="s">
        <v>19808</v>
      </c>
      <c r="C522" s="277">
        <v>16.5</v>
      </c>
      <c r="D522" s="278">
        <f>IF(AND(Data!B$6=0.625,Data!M$2="YES"),1,0)</f>
        <v>0</v>
      </c>
      <c r="E522" s="268">
        <f t="shared" si="10"/>
        <v>0</v>
      </c>
    </row>
    <row r="523" spans="1:5" ht="13">
      <c r="A523" s="276" t="s">
        <v>19809</v>
      </c>
      <c r="B523" s="276" t="s">
        <v>19808</v>
      </c>
      <c r="C523" s="277">
        <v>24.2</v>
      </c>
      <c r="D523" s="278">
        <f>IF(AND(Data!B$6=1,Data!M$2="YES"),1,0)</f>
        <v>0</v>
      </c>
      <c r="E523" s="268">
        <f t="shared" si="10"/>
        <v>0</v>
      </c>
    </row>
    <row r="524" spans="1:5" ht="13">
      <c r="A524" s="276" t="s">
        <v>19810</v>
      </c>
      <c r="B524" s="276" t="s">
        <v>19808</v>
      </c>
      <c r="C524" s="277">
        <v>29.7</v>
      </c>
      <c r="D524" s="278">
        <f>IF(AND(Data!B$6=1.375,Data!M$2="YES"),1,0)</f>
        <v>0</v>
      </c>
      <c r="E524" s="268">
        <f t="shared" si="10"/>
        <v>0</v>
      </c>
    </row>
    <row r="525" spans="1:5" ht="13">
      <c r="A525" s="276" t="s">
        <v>19811</v>
      </c>
      <c r="B525" s="276" t="s">
        <v>19808</v>
      </c>
      <c r="C525" s="277">
        <v>37.4</v>
      </c>
      <c r="D525" s="278">
        <f>IF(AND(Data!B$6=1.75,Data!M$2="YES"),1,0)</f>
        <v>0</v>
      </c>
      <c r="E525" s="268">
        <f t="shared" si="10"/>
        <v>0</v>
      </c>
    </row>
    <row r="526" spans="1:5" ht="13">
      <c r="A526" s="276" t="s">
        <v>19812</v>
      </c>
      <c r="B526" s="276" t="s">
        <v>19808</v>
      </c>
      <c r="C526" s="277">
        <v>44</v>
      </c>
      <c r="D526" s="278">
        <f>IF(AND(Data!B$6=2,Data!M$2="YES"),1,0)</f>
        <v>0</v>
      </c>
      <c r="E526" s="268">
        <f t="shared" si="10"/>
        <v>0</v>
      </c>
    </row>
    <row r="527" spans="1:5" ht="13">
      <c r="A527" s="276" t="s">
        <v>19813</v>
      </c>
      <c r="B527" s="276" t="s">
        <v>19808</v>
      </c>
      <c r="C527" s="277">
        <v>46.2</v>
      </c>
      <c r="D527" s="278">
        <f>IF(AND(Data!B$6=2.5,Data!M$2="YES"),1,0)</f>
        <v>0</v>
      </c>
      <c r="E527" s="268">
        <f t="shared" si="10"/>
        <v>0</v>
      </c>
    </row>
    <row r="528" spans="1:5" ht="13">
      <c r="A528" s="276" t="s">
        <v>19303</v>
      </c>
      <c r="B528" s="276" t="s">
        <v>19293</v>
      </c>
      <c r="C528" s="277">
        <v>17.600000000000001</v>
      </c>
      <c r="D528" s="278">
        <f>IF(AND(Data!B$6=0.625,Data!M$2="NO"),1,0)</f>
        <v>0</v>
      </c>
      <c r="E528" s="268">
        <f t="shared" si="10"/>
        <v>0</v>
      </c>
    </row>
    <row r="529" spans="1:5" ht="13">
      <c r="A529" s="276" t="s">
        <v>19313</v>
      </c>
      <c r="B529" s="276" t="s">
        <v>19293</v>
      </c>
      <c r="C529" s="277">
        <v>22</v>
      </c>
      <c r="D529" s="278">
        <f>IF(AND(Data!B$6=1,Data!M$2="NO"),1,0)</f>
        <v>0</v>
      </c>
      <c r="E529" s="268">
        <f t="shared" si="10"/>
        <v>0</v>
      </c>
    </row>
    <row r="530" spans="1:5" ht="13">
      <c r="A530" s="276" t="s">
        <v>19292</v>
      </c>
      <c r="B530" s="276" t="s">
        <v>19293</v>
      </c>
      <c r="C530" s="277">
        <v>25.3</v>
      </c>
      <c r="D530" s="278">
        <f>IF(AND(Data!B$6=1.375,Data!M$2="NO"),1,0)</f>
        <v>0</v>
      </c>
      <c r="E530" s="268">
        <f t="shared" si="10"/>
        <v>0</v>
      </c>
    </row>
    <row r="531" spans="1:5" ht="13">
      <c r="A531" s="276" t="s">
        <v>19814</v>
      </c>
      <c r="B531" s="276" t="s">
        <v>19293</v>
      </c>
      <c r="C531" s="277">
        <v>36.299999999999997</v>
      </c>
      <c r="D531" s="278">
        <f>IF(AND(Data!B$6=1.75,Data!M$2="NO"),1,0)</f>
        <v>0</v>
      </c>
      <c r="E531" s="268">
        <f t="shared" si="10"/>
        <v>0</v>
      </c>
    </row>
    <row r="532" spans="1:5" ht="13">
      <c r="A532" s="276" t="s">
        <v>19815</v>
      </c>
      <c r="B532" s="276" t="s">
        <v>19293</v>
      </c>
      <c r="C532" s="277">
        <v>37.4</v>
      </c>
      <c r="D532" s="278">
        <f>IF(AND(Data!B$6=2,Data!M$2="NO"),1,0)</f>
        <v>1</v>
      </c>
      <c r="E532" s="268">
        <f t="shared" si="10"/>
        <v>37.4</v>
      </c>
    </row>
    <row r="533" spans="1:5" ht="13">
      <c r="A533" s="276" t="s">
        <v>19816</v>
      </c>
      <c r="B533" s="276" t="s">
        <v>19293</v>
      </c>
      <c r="C533" s="277">
        <v>60.5</v>
      </c>
      <c r="D533" s="278">
        <f>IF(AND(Data!B$6=2.5,Data!M$2="NO"),1,0)</f>
        <v>0</v>
      </c>
      <c r="E533" s="268">
        <f t="shared" si="10"/>
        <v>0</v>
      </c>
    </row>
    <row r="534" spans="1:5" ht="13">
      <c r="A534" s="276" t="s">
        <v>19817</v>
      </c>
      <c r="B534" s="276" t="s">
        <v>19293</v>
      </c>
      <c r="C534" s="277">
        <v>66</v>
      </c>
      <c r="D534" s="278">
        <f>IF(AND(Data!B$6=3,Data!M$2="NO"),1,0)</f>
        <v>0</v>
      </c>
      <c r="E534" s="268">
        <f t="shared" si="10"/>
        <v>0</v>
      </c>
    </row>
    <row r="535" spans="1:5" ht="13">
      <c r="A535" s="276" t="s">
        <v>19818</v>
      </c>
      <c r="B535" s="276" t="s">
        <v>19293</v>
      </c>
      <c r="C535" s="277">
        <v>71.5</v>
      </c>
      <c r="D535" s="278">
        <f>IF(AND(Data!B$6=3.5,Data!M$2="NO"),1,0)</f>
        <v>0</v>
      </c>
      <c r="E535" s="268">
        <f t="shared" si="10"/>
        <v>0</v>
      </c>
    </row>
    <row r="536" spans="1:5" ht="13">
      <c r="A536" s="276" t="s">
        <v>19819</v>
      </c>
      <c r="B536" s="276" t="s">
        <v>19293</v>
      </c>
      <c r="C536" s="277">
        <v>325.60000000000002</v>
      </c>
      <c r="D536" s="278">
        <f>IF(AND(Data!B$6=4,Data!M$2="NO"),1,0)</f>
        <v>0</v>
      </c>
      <c r="E536" s="268">
        <f t="shared" si="10"/>
        <v>0</v>
      </c>
    </row>
    <row r="537" spans="1:5" ht="13">
      <c r="A537" s="276" t="s">
        <v>19820</v>
      </c>
      <c r="B537" s="276" t="s">
        <v>19293</v>
      </c>
      <c r="C537" s="277">
        <v>348.7</v>
      </c>
      <c r="D537" s="278">
        <f>IF(AND(Data!B$6=4.5,Data!M$2="NO"),1,0)</f>
        <v>0</v>
      </c>
      <c r="E537" s="268">
        <f t="shared" si="10"/>
        <v>0</v>
      </c>
    </row>
    <row r="538" spans="1:5" ht="13">
      <c r="A538" s="276" t="s">
        <v>19821</v>
      </c>
      <c r="B538" s="276" t="s">
        <v>19293</v>
      </c>
      <c r="C538" s="277">
        <v>382.8</v>
      </c>
      <c r="D538" s="278">
        <f>IF(AND(Data!B$6=5,Data!M$2="NO"),1,0)</f>
        <v>0</v>
      </c>
      <c r="E538" s="268">
        <f t="shared" si="10"/>
        <v>0</v>
      </c>
    </row>
    <row r="539" spans="1:5" ht="13">
      <c r="A539" s="276" t="s">
        <v>19822</v>
      </c>
      <c r="B539" s="276" t="s">
        <v>19293</v>
      </c>
      <c r="C539" s="277">
        <v>427.9</v>
      </c>
      <c r="D539" s="278">
        <f>IF(AND(Data!B$6=5.5,Data!M$2="NO"),1,0)</f>
        <v>0</v>
      </c>
      <c r="E539" s="268">
        <f t="shared" si="10"/>
        <v>0</v>
      </c>
    </row>
    <row r="540" spans="1:5" ht="13">
      <c r="A540" s="306" t="s">
        <v>141</v>
      </c>
      <c r="B540" s="306" t="s">
        <v>474</v>
      </c>
      <c r="C540" s="307">
        <v>20.9</v>
      </c>
      <c r="D540" s="308">
        <f>IF(AND(Data!G$11&gt;0.1,Acc!M8="X"),Data!G$11,IF(Data!F$26=A540,Data!G$26,IF(Data!F$27=A540,Data!G$27,IF(Data!F$28=A540,Data!G$28,IF(Data!F$29=A540,Data!G$29,IF(Data!F$30=A540,Data!G$30,IF(Data!F$31=A540,Data!G$31,IF(Data!F$32=A540,Data!G$32,0))))))))</f>
        <v>0</v>
      </c>
      <c r="E540" s="268">
        <f t="shared" si="10"/>
        <v>0</v>
      </c>
    </row>
    <row r="541" spans="1:5" ht="13">
      <c r="A541" s="306" t="s">
        <v>182</v>
      </c>
      <c r="B541" s="306" t="s">
        <v>282</v>
      </c>
      <c r="C541" s="307">
        <v>8</v>
      </c>
      <c r="D541" s="308">
        <f>IF(AND(Data!G$11&gt;0.1,Acc!M5="X"),Data!G$11,IF(Data!F$26=A541,Data!G$26,IF(Data!F$27=A541,Data!G$27,IF(Data!F$28=A541,Data!G$28,IF(Data!F$29=A541,Data!G$29,IF(Data!F$30=A541,Data!G$30,IF(Data!F$31=A541,Data!G$31,IF(Data!F$32=A541,Data!G$32,0))))))))</f>
        <v>0</v>
      </c>
      <c r="E541" s="268">
        <f t="shared" si="10"/>
        <v>0</v>
      </c>
    </row>
    <row r="542" spans="1:5" ht="13">
      <c r="A542" s="306" t="s">
        <v>713</v>
      </c>
      <c r="B542" s="306" t="s">
        <v>754</v>
      </c>
      <c r="C542" s="307">
        <v>553.29999999999995</v>
      </c>
      <c r="D542" s="308">
        <f>IF(AND(Data!G$11&gt;0.1,Acc!M19="X"),Data!G$11,IF(Data!F$26=A542,Data!G$26,IF(Data!F$27=A542,Data!G$27,IF(Data!F$28=A542,Data!G$28,IF(Data!F$29=A542,Data!G$29,IF(Data!F$30=A542,Data!G$30,IF(Data!F$31=A542,Data!G$31,IF(Data!F$32=A542,Data!G$32,0))))))))</f>
        <v>0</v>
      </c>
      <c r="E542" s="268">
        <f t="shared" si="10"/>
        <v>0</v>
      </c>
    </row>
    <row r="543" spans="1:5" ht="13">
      <c r="A543" s="306" t="s">
        <v>375</v>
      </c>
      <c r="B543" s="306" t="s">
        <v>727</v>
      </c>
      <c r="C543" s="307">
        <v>12</v>
      </c>
      <c r="D543" s="308">
        <f>IF(AND(Data!G$11&gt;0.1,Acc!M7="X"),Data!G$11*Data!B2,IF(Data!F$26=A543,Data!G$26,IF(Data!F$27=A543,Data!G$27,IF(Data!F$28=A543,Data!G$28,IF(Data!F$29=A543,Data!G$29,IF(Data!F$30=A543,Data!G$30,IF(Data!F$31=A543,Data!G$31,IF(Data!F$32=A543,Data!G$32,0))))))))</f>
        <v>0</v>
      </c>
      <c r="E543" s="268">
        <f t="shared" si="10"/>
        <v>0</v>
      </c>
    </row>
    <row r="544" spans="1:5" ht="13">
      <c r="A544" s="306" t="s">
        <v>760</v>
      </c>
      <c r="B544" s="306" t="s">
        <v>580</v>
      </c>
      <c r="C544" s="307">
        <v>367.4</v>
      </c>
      <c r="D544" s="308">
        <f>IF(AND(Data!G$11&gt;0.1,Acc!M17="X"),Data!G$11,IF(Data!F$26=A544,Data!G$26,IF(Data!F$27=A544,Data!G$27,IF(Data!F$28=A544,Data!G$28,IF(Data!F$29=A544,Data!G$29,IF(Data!F$30=A544,Data!G$30,IF(Data!F$31=A544,Data!G$31,IF(Data!F$32=A544,Data!G$32,0))))))))</f>
        <v>0</v>
      </c>
      <c r="E544" s="268">
        <f t="shared" si="10"/>
        <v>0</v>
      </c>
    </row>
    <row r="545" spans="1:5" ht="13">
      <c r="A545" s="306" t="s">
        <v>260</v>
      </c>
      <c r="B545" s="306" t="s">
        <v>715</v>
      </c>
      <c r="C545" s="307">
        <v>363</v>
      </c>
      <c r="D545" s="308">
        <f>IF(AND(Data!G$11&gt;0.1,Acc!M18="X"),Data!G$11,IF(Data!F$26=A545,Data!G$26,IF(Data!F$27=A545,Data!G$27,IF(Data!F$28=A545,Data!G$28,IF(Data!F$29=A545,Data!G$29,IF(Data!F$30=A545,Data!G$30,IF(Data!F$31=A545,Data!G$31,IF(Data!F$32=A545,Data!G$32,0))))))))</f>
        <v>0</v>
      </c>
      <c r="E545" s="268">
        <f t="shared" si="10"/>
        <v>0</v>
      </c>
    </row>
    <row r="546" spans="1:5" ht="13">
      <c r="A546" s="306" t="s">
        <v>759</v>
      </c>
      <c r="B546" s="306" t="s">
        <v>520</v>
      </c>
      <c r="C546" s="307">
        <v>371.8</v>
      </c>
      <c r="D546" s="308">
        <f>IF(AND(Data!G$11&gt;0.1,Acc!M16="X"),Data!G$11,IF(Data!F$26=A546,Data!G$26,IF(Data!F$27=A546,Data!G$27,IF(Data!F$28=A546,Data!G$28,IF(Data!F$29=A546,Data!G$29,IF(Data!F$30=A546,Data!G$30,IF(Data!F$31=A546,Data!G$31,IF(Data!F$32=A546,Data!G$32,0))))))))</f>
        <v>0</v>
      </c>
      <c r="E546" s="268">
        <f t="shared" si="10"/>
        <v>0</v>
      </c>
    </row>
    <row r="547" spans="1:5" ht="13">
      <c r="A547" s="306" t="s">
        <v>854</v>
      </c>
      <c r="B547" s="306" t="s">
        <v>568</v>
      </c>
      <c r="C547" s="307">
        <v>144.1</v>
      </c>
      <c r="D547" s="308">
        <f>IF(AND(Data!G$11&gt;0.1,Acc!M14="X"),Data!G$11,IF(Data!F$26=A547,Data!G$26,IF(Data!F$27=A547,Data!G$27,IF(Data!F$28=A547,Data!G$28,IF(Data!F$29=A547,Data!G$29,IF(Data!F$30=A547,Data!G$30,IF(Data!F$31=A547,Data!G$31,IF(Data!F$32=A547,Data!G$32,0))))))))</f>
        <v>0</v>
      </c>
      <c r="E547" s="268">
        <f t="shared" si="10"/>
        <v>0</v>
      </c>
    </row>
    <row r="548" spans="1:5" ht="13">
      <c r="A548" s="306" t="s">
        <v>758</v>
      </c>
      <c r="B548" s="306" t="s">
        <v>726</v>
      </c>
      <c r="C548" s="307">
        <v>246.4</v>
      </c>
      <c r="D548" s="308">
        <f>IF(AND(Data!G$11&gt;0.1,Acc!M15="X"),Data!G$11,IF(Data!F$26=A548,Data!G$26,IF(Data!F$27=A548,Data!G$27,IF(Data!F$28=A548,Data!G$28,IF(Data!F$29=A548,Data!G$29,IF(Data!F$30=A548,Data!G$30,IF(Data!F$31=A548,Data!G$31,IF(Data!F$32=A548,Data!G$32,0))))))))</f>
        <v>0</v>
      </c>
      <c r="E548" s="268">
        <f t="shared" si="10"/>
        <v>0</v>
      </c>
    </row>
    <row r="549" spans="1:5" ht="13">
      <c r="A549" s="306" t="s">
        <v>849</v>
      </c>
      <c r="B549" s="306" t="s">
        <v>431</v>
      </c>
      <c r="C549" s="307">
        <v>25</v>
      </c>
      <c r="D549" s="308">
        <f>IF(AND(Data!G$11&gt;0.1,Acc!M9="X"),Data!G$11,IF(Data!F$26=A549,Data!G$26,IF(Data!F$27=A549,Data!G$27,IF(Data!F$28=A549,Data!G$28,IF(Data!F$29=A549,Data!G$29,IF(Data!F$30=A549,Data!G$30,IF(Data!F$31=A549,Data!G$31,IF(Data!F$32=A549,Data!G$32,0))))))))</f>
        <v>0</v>
      </c>
      <c r="E549" s="268">
        <f t="shared" si="10"/>
        <v>0</v>
      </c>
    </row>
    <row r="550" spans="1:5" ht="13">
      <c r="A550" s="306" t="s">
        <v>374</v>
      </c>
      <c r="B550" s="306" t="s">
        <v>689</v>
      </c>
      <c r="C550" s="307">
        <v>8</v>
      </c>
      <c r="D550" s="308">
        <f>IF(AND(Data!G$11&gt;0.1,Acc!M6="X"),Data!G$11,IF(Data!F$26=A550,Data!G$26,IF(Data!F$27=A550,Data!G$27,IF(Data!F$28=A550,Data!G$28,IF(Data!F$29=A550,Data!G$29,IF(Data!F$30=A550,Data!G$30,IF(Data!F$31=A550,Data!G$31,IF(Data!F$32=A550,Data!G$32,0))))))))</f>
        <v>0</v>
      </c>
      <c r="E550" s="268">
        <f t="shared" si="10"/>
        <v>0</v>
      </c>
    </row>
    <row r="551" spans="1:5" ht="13">
      <c r="A551" s="306" t="s">
        <v>853</v>
      </c>
      <c r="B551" s="306" t="s">
        <v>688</v>
      </c>
      <c r="C551" s="307">
        <v>93.5</v>
      </c>
      <c r="D551" s="308">
        <f>IF(AND(Data!G$11&gt;0.1,Acc!M13="X"),Data!G$11,IF(Data!F$26=A551,Data!G$26,IF(Data!F$27=A551,Data!G$27,IF(Data!F$28=A551,Data!G$28,IF(Data!F$29=A551,Data!G$29,IF(Data!F$30=A551,Data!G$30,IF(Data!F$31=A551,Data!G$31,IF(Data!F$32=A551,Data!G$32,0))))))))</f>
        <v>0</v>
      </c>
      <c r="E551" s="268">
        <f t="shared" si="10"/>
        <v>0</v>
      </c>
    </row>
    <row r="552" spans="1:5" ht="13">
      <c r="A552" s="306" t="s">
        <v>852</v>
      </c>
      <c r="B552" s="306" t="s">
        <v>634</v>
      </c>
      <c r="C552" s="307">
        <v>90</v>
      </c>
      <c r="D552" s="308">
        <f>IF(AND(Data!G$11&gt;0.1,Acc!M12="X"),Data!G$11,IF(Data!F$26=A552,Data!G$26,IF(Data!F$27=A552,Data!G$27,IF(Data!F$28=A552,Data!G$28,IF(Data!F$29=A552,Data!G$29,IF(Data!F$30=A552,Data!G$30,IF(Data!F$31=A552,Data!G$31,IF(Data!F$32=A552,Data!G$32,0))))))))</f>
        <v>0</v>
      </c>
      <c r="E552" s="268">
        <f t="shared" si="10"/>
        <v>0</v>
      </c>
    </row>
    <row r="553" spans="1:5" ht="13">
      <c r="A553" s="306" t="s">
        <v>850</v>
      </c>
      <c r="B553" s="306" t="s">
        <v>226</v>
      </c>
      <c r="C553" s="307">
        <v>55</v>
      </c>
      <c r="D553" s="308">
        <f>IF(AND(Data!G$11&gt;0.1,Acc!M10="X"),Data!G$11,IF(Data!F$26=A553,Data!G$26,IF(Data!F$27=A553,Data!G$27,IF(Data!F$28=A553,Data!G$28,IF(Data!F$29=A553,Data!G$29,IF(Data!F$30=A553,Data!G$30,IF(Data!F$31=A553,Data!G$31,IF(Data!F$32=A553,Data!G$32,0))))))))</f>
        <v>0</v>
      </c>
      <c r="E553" s="268">
        <f t="shared" si="10"/>
        <v>0</v>
      </c>
    </row>
    <row r="554" spans="1:5" ht="13">
      <c r="A554" s="306" t="s">
        <v>851</v>
      </c>
      <c r="B554" s="306" t="s">
        <v>225</v>
      </c>
      <c r="C554" s="307">
        <v>72</v>
      </c>
      <c r="D554" s="308">
        <f>IF(AND(Data!G$11&gt;0.1,Acc!M11="X"),Data!G$11,IF(Data!F$26=A554,Data!G$26,IF(Data!F$27=A554,Data!G$27,IF(Data!F$28=A554,Data!G$28,IF(Data!F$29=A554,Data!G$29,IF(Data!F$30=A554,Data!G$30,IF(Data!F$31=A554,Data!G$31,IF(Data!F$32=A554,Data!G$32,0))))))))</f>
        <v>0</v>
      </c>
      <c r="E554" s="268">
        <f t="shared" si="10"/>
        <v>0</v>
      </c>
    </row>
    <row r="555" spans="1:5" ht="13">
      <c r="A555" s="306" t="s">
        <v>652</v>
      </c>
      <c r="B555" s="306" t="s">
        <v>579</v>
      </c>
      <c r="C555" s="307">
        <v>11</v>
      </c>
      <c r="D555" s="308">
        <f>IF(AND(Data!G$10&gt;0.1,Acc!P5&lt;&gt;""),Data!G$10,IF(Data!F$26=A555,Data!G$26,IF(Data!F$27=A555,Data!G$27,IF(Data!F$28=A555,Data!G$28,IF(Data!F$29=A555,Data!G$29,IF(Data!F$30=A555,Data!G$30,IF(Data!F$31=A555,Data!G$31,IF(Data!F$32=A555,Data!G$32,0))))))))</f>
        <v>0</v>
      </c>
      <c r="E555" s="268">
        <f t="shared" si="10"/>
        <v>0</v>
      </c>
    </row>
    <row r="556" spans="1:5" ht="13">
      <c r="A556" s="306" t="s">
        <v>842</v>
      </c>
      <c r="B556" s="306" t="s">
        <v>579</v>
      </c>
      <c r="C556" s="307">
        <v>20.9</v>
      </c>
      <c r="D556" s="308">
        <f>IF(AND(Data!G$10&gt;0.1,Acc!P6&lt;&gt;""),Data!G$10,IF(Data!F$26=A556,Data!G$26,IF(Data!F$27=A556,Data!G$27,IF(Data!F$28=A556,Data!G$28,IF(Data!F$29=A556,Data!G$29,IF(Data!F$30=A556,Data!G$30,IF(Data!F$31=A556,Data!G$31,IF(Data!F$32=A556,Data!G$32,0))))))))</f>
        <v>0</v>
      </c>
      <c r="E556" s="268">
        <f t="shared" si="10"/>
        <v>0</v>
      </c>
    </row>
    <row r="557" spans="1:5" ht="13">
      <c r="A557" s="306" t="s">
        <v>405</v>
      </c>
      <c r="B557" s="306" t="s">
        <v>579</v>
      </c>
      <c r="C557" s="307">
        <v>33</v>
      </c>
      <c r="D557" s="308">
        <f>IF(AND(Data!G$10&gt;0.1,Acc!P7&lt;&gt;""),Data!G$10,IF(Data!F$26=A557,Data!G$26,IF(Data!F$27=A557,Data!G$27,IF(Data!F$28=A557,Data!G$28,IF(Data!F$29=A557,Data!G$29,IF(Data!F$30=A557,Data!G$30,IF(Data!F$31=A557,Data!G$31,IF(Data!F$32=A557,Data!G$32,0))))))))</f>
        <v>0</v>
      </c>
      <c r="E557" s="268">
        <f t="shared" si="10"/>
        <v>0</v>
      </c>
    </row>
    <row r="558" spans="1:5" ht="13">
      <c r="A558" s="306" t="s">
        <v>583</v>
      </c>
      <c r="B558" s="306" t="s">
        <v>579</v>
      </c>
      <c r="C558" s="307">
        <v>53.9</v>
      </c>
      <c r="D558" s="308">
        <f>IF(AND(Data!G$10&gt;0.1,Acc!P8&lt;&gt;""),Data!G$10,IF(Data!F$26=A558,Data!G$26,IF(Data!F$27=A558,Data!G$27,IF(Data!F$28=A558,Data!G$28,IF(Data!F$29=A558,Data!G$29,IF(Data!F$30=A558,Data!G$30,IF(Data!F$31=A558,Data!G$31,IF(Data!F$32=A558,Data!G$32,0))))))))</f>
        <v>0</v>
      </c>
      <c r="E558" s="268">
        <f t="shared" si="10"/>
        <v>0</v>
      </c>
    </row>
    <row r="559" spans="1:5" ht="13">
      <c r="A559" s="306" t="s">
        <v>765</v>
      </c>
      <c r="B559" s="306" t="s">
        <v>579</v>
      </c>
      <c r="C559" s="307">
        <v>132</v>
      </c>
      <c r="D559" s="308">
        <f>IF(AND(Data!G$10&gt;0.1,Acc!P9&lt;&gt;""),Data!G$10,IF(Data!F$26=A559,Data!G$26,IF(Data!F$27=A559,Data!G$27,IF(Data!F$28=A559,Data!G$28,IF(Data!F$29=A559,Data!G$29,IF(Data!F$30=A559,Data!G$30,IF(Data!F$31=A559,Data!G$31,IF(Data!F$32=A559,Data!G$32,0))))))))</f>
        <v>0</v>
      </c>
      <c r="E559" s="268">
        <f t="shared" si="10"/>
        <v>0</v>
      </c>
    </row>
    <row r="560" spans="1:5" ht="13">
      <c r="A560" s="306" t="s">
        <v>371</v>
      </c>
      <c r="B560" s="306" t="s">
        <v>579</v>
      </c>
      <c r="C560" s="307">
        <v>83.6</v>
      </c>
      <c r="D560" s="308">
        <f>IF(AND(Data!G$10&gt;0.1,Acc!P10&lt;&gt;""),Data!G$10,IF(Data!F$26=A560,Data!G$26,IF(Data!F$27=A560,Data!G$27,IF(Data!F$28=A560,Data!G$28,IF(Data!F$29=A560,Data!G$29,IF(Data!F$30=A560,Data!G$30,IF(Data!F$31=A560,Data!G$31,IF(Data!F$32=A560,Data!G$32,0))))))))</f>
        <v>0</v>
      </c>
      <c r="E560" s="268">
        <f t="shared" si="10"/>
        <v>0</v>
      </c>
    </row>
    <row r="561" spans="1:5" ht="13">
      <c r="A561" s="306" t="s">
        <v>463</v>
      </c>
      <c r="B561" s="306" t="s">
        <v>579</v>
      </c>
      <c r="C561" s="307">
        <v>250.8</v>
      </c>
      <c r="D561" s="308">
        <f>IF(AND(Data!G$10&gt;0.1,Acc!P11&lt;&gt;""),Data!G$10,IF(Data!F$26=A561,Data!G$26,IF(Data!F$27=A561,Data!G$27,IF(Data!F$28=A561,Data!G$28,IF(Data!F$29=A561,Data!G$29,IF(Data!F$30=A561,Data!G$30,IF(Data!F$31=A561,Data!G$31,IF(Data!F$32=A561,Data!G$32,0))))))))</f>
        <v>0</v>
      </c>
      <c r="E561" s="268">
        <f t="shared" si="10"/>
        <v>0</v>
      </c>
    </row>
    <row r="562" spans="1:5" ht="13">
      <c r="A562" s="306" t="s">
        <v>665</v>
      </c>
      <c r="B562" s="306" t="s">
        <v>579</v>
      </c>
      <c r="C562" s="307">
        <v>376.2</v>
      </c>
      <c r="D562" s="308">
        <f>IF(AND(Data!G$10&gt;0.1,Acc!P12&lt;&gt;""),Data!G$10,IF(Data!F$26=A562,Data!G$26,IF(Data!F$27=A562,Data!G$27,IF(Data!F$28=A562,Data!G$28,IF(Data!F$29=A562,Data!G$29,IF(Data!F$30=A562,Data!G$30,IF(Data!F$31=A562,Data!G$31,IF(Data!F$32=A562,Data!G$32,0))))))))</f>
        <v>0</v>
      </c>
      <c r="E562" s="268">
        <f t="shared" si="10"/>
        <v>0</v>
      </c>
    </row>
    <row r="563" spans="1:5" ht="13">
      <c r="A563" s="276" t="s">
        <v>19823</v>
      </c>
      <c r="B563" s="276" t="s">
        <v>19824</v>
      </c>
      <c r="C563" s="277">
        <v>2.2000000000000002</v>
      </c>
      <c r="D563" s="278">
        <f>IF(OR(AND(Data!B$3="H",Data!B$4&gt;3.3),AND(OR(Data!B$3="A",Data!B$3="LH"),OR(Data!B$4&gt;4.1))),IF(OR(Data!B$7="re",Data!B$7="ce"),1,IF(Data!B$7="be",2,0)),0)*1</f>
        <v>0</v>
      </c>
      <c r="E563" s="268">
        <f t="shared" si="10"/>
        <v>0</v>
      </c>
    </row>
    <row r="564" spans="1:5" ht="13">
      <c r="A564" s="276" t="s">
        <v>19285</v>
      </c>
      <c r="B564" s="276" t="s">
        <v>19286</v>
      </c>
      <c r="C564" s="277">
        <v>2.2000000000000002</v>
      </c>
      <c r="D564" s="278">
        <f>IF(OR(AND(Data!B$3="H",Data!B$4&lt;3.6),AND(OR(Data!B$3="A",Data!B$3="LH"),OR(Data!B$4=3.25,Data!B$4=4))),IF(OR(Data!B$7="re",Data!B$7="ce"),1,IF(Data!B$7="be",2,0)),0)*1</f>
        <v>0</v>
      </c>
      <c r="E564" s="268">
        <f t="shared" si="10"/>
        <v>0</v>
      </c>
    </row>
    <row r="565" spans="1:5" ht="13">
      <c r="A565" s="276" t="s">
        <v>19287</v>
      </c>
      <c r="B565" s="276" t="s">
        <v>19288</v>
      </c>
      <c r="C565" s="277">
        <v>3.3</v>
      </c>
      <c r="D565" s="278">
        <f>IF(OR(AND(Data!B$3="H",Data!B$4&gt;=2.1,Data!B$4&lt;3.7),AND(OR(Data!B$3="A",Data!B$3="LH"),OR(Data!B$4=3.25,Data!B$4=4))),IF(OR(Data!B$7="re",Data!B$7="ce"),1,IF(Data!B$7="be",2,0)),0)*1</f>
        <v>0</v>
      </c>
      <c r="E565" s="268">
        <f t="shared" si="10"/>
        <v>0</v>
      </c>
    </row>
    <row r="566" spans="1:5" ht="13">
      <c r="A566" s="306" t="s">
        <v>156</v>
      </c>
      <c r="B566" s="306" t="s">
        <v>735</v>
      </c>
      <c r="C566" s="307">
        <v>34.1</v>
      </c>
      <c r="D566" s="278">
        <f>IF(AND(Data!G$12&gt;0.1,Acc!T6=1),Data!G$12,IF(Data!F$26=A566,Data!G$26,IF(Data!F$27=A566,Data!G$27,IF(Data!F$28=A566,Data!G$28,IF(Data!F$29=A566,Data!G$29,IF(Data!F$30=A566,Data!G$30,IF(Data!F$31=A566,Data!G$31,IF(Data!F$32=A566,Data!G$32,0))))))))</f>
        <v>0</v>
      </c>
      <c r="E566" s="268">
        <f t="shared" si="10"/>
        <v>0</v>
      </c>
    </row>
    <row r="567" spans="1:5" ht="13">
      <c r="A567" s="306" t="s">
        <v>243</v>
      </c>
      <c r="B567" s="306" t="s">
        <v>704</v>
      </c>
      <c r="C567" s="307">
        <v>3414.4</v>
      </c>
      <c r="D567" s="278">
        <f>IF(AND(Data!G$12&gt;0.1,Acc!T12=1),Data!G$12,IF(Data!F$26=A567,Data!G$26,IF(Data!F$27=A567,Data!G$27,IF(Data!F$28=A567,Data!G$28,IF(Data!F$29=A567,Data!G$29,IF(Data!F$30=A567,Data!G$30,IF(Data!F$31=A567,Data!G$31,IF(Data!F$32=A567,Data!G$32,0))))))))</f>
        <v>0</v>
      </c>
      <c r="E567" s="268">
        <f t="shared" si="10"/>
        <v>0</v>
      </c>
    </row>
    <row r="568" spans="1:5" ht="13">
      <c r="A568" s="306" t="s">
        <v>180</v>
      </c>
      <c r="B568" s="306" t="s">
        <v>221</v>
      </c>
      <c r="C568" s="307">
        <v>2438.6999999999998</v>
      </c>
      <c r="D568" s="278">
        <f>IF(AND(Data!G$12&gt;0.1,Acc!T11=1),Data!G$12,IF(Data!F$26=A568,Data!G$26,IF(Data!F$27=A568,Data!G$27,IF(Data!F$28=A568,Data!G$28,IF(Data!F$29=A568,Data!G$29,IF(Data!F$30=A568,Data!G$30,IF(Data!F$31=A568,Data!G$31,IF(Data!F$32=A568,Data!G$32,0))))))))</f>
        <v>0</v>
      </c>
      <c r="E568" s="268">
        <f t="shared" si="10"/>
        <v>0</v>
      </c>
    </row>
    <row r="569" spans="1:5" ht="13">
      <c r="A569" s="306" t="s">
        <v>328</v>
      </c>
      <c r="B569" s="306" t="s">
        <v>1</v>
      </c>
      <c r="C569" s="307">
        <v>250.8</v>
      </c>
      <c r="D569" s="278">
        <f>IF(AND(Data!G$12&gt;0.1,Acc!T10=1),Data!G$12,IF(Data!F$26=A569,Data!G$26,IF(Data!F$27=A569,Data!G$27,IF(Data!F$28=A569,Data!G$28,IF(Data!F$29=A569,Data!G$29,IF(Data!F$30=A569,Data!G$30,IF(Data!F$31=A569,Data!G$31,IF(Data!F$32=A569,Data!G$32,0))))))))</f>
        <v>0</v>
      </c>
      <c r="E569" s="268">
        <f t="shared" si="10"/>
        <v>0</v>
      </c>
    </row>
    <row r="570" spans="1:5" ht="13">
      <c r="A570" s="306" t="s">
        <v>7</v>
      </c>
      <c r="B570" s="306" t="s">
        <v>287</v>
      </c>
      <c r="C570" s="307">
        <v>23.1</v>
      </c>
      <c r="D570" s="308">
        <f>IF(AND(Data!G$12&gt;0.1,Acc!T5=1),Data!G$12,IF(Data!F$26=A570,Data!G$26,IF(Data!F$27=A570,Data!G$27,IF(Data!F$28=A570,Data!G$28,IF(Data!F$29=A570,Data!G$29,IF(Data!F$30=A570,Data!G$30,IF(Data!F$31=A570,Data!G$31,IF(Data!F$32=A570,Data!G$32,0))))))))</f>
        <v>0</v>
      </c>
      <c r="E570" s="268">
        <f t="shared" si="10"/>
        <v>0</v>
      </c>
    </row>
    <row r="571" spans="1:5" ht="13">
      <c r="A571" s="306" t="s">
        <v>664</v>
      </c>
      <c r="B571" s="306" t="s">
        <v>131</v>
      </c>
      <c r="C571" s="307">
        <v>83.6</v>
      </c>
      <c r="D571" s="308">
        <f>IF(AND(Data!G$12&gt;0.1,Acc!T8=1),Data!G$12,IF(Data!F$26=A571,Data!G$26,IF(Data!F$27=A571,Data!G$27,IF(Data!F$28=A571,Data!G$28,IF(Data!F$29=A571,Data!G$29,IF(Data!F$30=A571,Data!G$30,IF(Data!F$31=A571,Data!G$31,IF(Data!F$32=A571,Data!G$32,0))))))))</f>
        <v>0</v>
      </c>
      <c r="E571" s="268">
        <f t="shared" si="10"/>
        <v>0</v>
      </c>
    </row>
    <row r="572" spans="1:5" ht="13">
      <c r="A572" s="306" t="s">
        <v>213</v>
      </c>
      <c r="B572" s="306" t="s">
        <v>299</v>
      </c>
      <c r="C572" s="307">
        <v>172.7</v>
      </c>
      <c r="D572" s="308">
        <f>IF(AND(Data!G$12&gt;0.1,Acc!T9=1),Data!G$12,IF(Data!F$26=A572,Data!G$26,IF(Data!F$27=A572,Data!G$27,IF(Data!F$28=A572,Data!G$28,IF(Data!F$29=A572,Data!G$29,IF(Data!F$30=A572,Data!G$30,IF(Data!F$31=A572,Data!G$31,IF(Data!F$32=A572,Data!G$32,0))))))))</f>
        <v>0</v>
      </c>
      <c r="E572" s="268">
        <f t="shared" si="10"/>
        <v>0</v>
      </c>
    </row>
    <row r="573" spans="1:5" ht="13">
      <c r="A573" s="306" t="s">
        <v>317</v>
      </c>
      <c r="B573" s="306" t="s">
        <v>294</v>
      </c>
      <c r="C573" s="307">
        <v>57.2</v>
      </c>
      <c r="D573" s="308">
        <f>IF(AND(Data!G$12&gt;0.1,Acc!T7=1),Data!G$12,IF(Data!F$26=A573,Data!G$26,IF(Data!F$27=A573,Data!G$27,IF(Data!F$28=A573,Data!G$28,IF(Data!F$29=A573,Data!G$29,IF(Data!F$30=A573,Data!G$30,IF(Data!F$31=A573,Data!G$31,IF(Data!F$32=A573,Data!G$32,0))))))))</f>
        <v>0</v>
      </c>
      <c r="E573" s="268">
        <f t="shared" si="10"/>
        <v>0</v>
      </c>
    </row>
    <row r="574" spans="1:5" ht="13">
      <c r="A574" s="276" t="s">
        <v>19473</v>
      </c>
      <c r="B574" s="276" t="s">
        <v>20972</v>
      </c>
      <c r="C574" s="277">
        <v>1.06</v>
      </c>
      <c r="D574" s="278">
        <f>IF(AND(Data!B$4=1.5,OR(Data!B$3="A",Data!B$3="LH")),1*(Data!B$8+H!AC7),0)</f>
        <v>0</v>
      </c>
      <c r="E574" s="268">
        <f t="shared" si="10"/>
        <v>0</v>
      </c>
    </row>
    <row r="575" spans="1:5" ht="13">
      <c r="A575" s="276" t="s">
        <v>19474</v>
      </c>
      <c r="B575" s="276" t="s">
        <v>20972</v>
      </c>
      <c r="C575" s="277">
        <v>1.29</v>
      </c>
      <c r="D575" s="278">
        <f>IF(AND(Data!B$4=2,OR(Data!B$3="A",Data!B$3="LH")),1*(Data!B$8+H!AC7),0)</f>
        <v>0</v>
      </c>
      <c r="E575" s="268">
        <f t="shared" si="10"/>
        <v>0</v>
      </c>
    </row>
    <row r="576" spans="1:5" ht="13">
      <c r="A576" s="276" t="s">
        <v>19265</v>
      </c>
      <c r="B576" s="276" t="s">
        <v>20972</v>
      </c>
      <c r="C576" s="277">
        <v>1.47</v>
      </c>
      <c r="D576" s="278">
        <f>IF(AND(Data!B$4=2.5,OR(Data!B$3="A",Data!B$3="LH")),1*(Data!B$8+H!AC7),0)</f>
        <v>0</v>
      </c>
      <c r="E576" s="268">
        <f t="shared" si="10"/>
        <v>0</v>
      </c>
    </row>
    <row r="577" spans="1:5" ht="13">
      <c r="A577" s="276" t="s">
        <v>19284</v>
      </c>
      <c r="B577" s="276" t="s">
        <v>20972</v>
      </c>
      <c r="C577" s="277">
        <v>1.64</v>
      </c>
      <c r="D577" s="278">
        <f>IF(AND(Data!B$4=3.25,OR(Data!B$3="A",Data!B$3="LH")),1*(Data!B$8+H!AC7),0)</f>
        <v>0</v>
      </c>
      <c r="E577" s="268">
        <f t="shared" si="10"/>
        <v>0</v>
      </c>
    </row>
    <row r="578" spans="1:5" ht="13">
      <c r="A578" s="276" t="s">
        <v>19307</v>
      </c>
      <c r="B578" s="276" t="s">
        <v>20972</v>
      </c>
      <c r="C578" s="277">
        <v>2.0799999999999996</v>
      </c>
      <c r="D578" s="278">
        <f>IF(AND(Data!B$4=4,OR(Data!B$3="A",Data!B$3="LH")),1*(Data!B$8+H!AC7),0)</f>
        <v>0</v>
      </c>
      <c r="E578" s="268">
        <f t="shared" si="10"/>
        <v>0</v>
      </c>
    </row>
    <row r="579" spans="1:5" ht="13">
      <c r="A579" s="276" t="s">
        <v>19475</v>
      </c>
      <c r="B579" s="276" t="s">
        <v>20972</v>
      </c>
      <c r="C579" s="277">
        <v>2.5599999999999996</v>
      </c>
      <c r="D579" s="278">
        <f>IF(AND(Data!B$4=5,OR(Data!B$3="A",Data!B$3="LH")),1*(Data!B$8+H!AC7),0)</f>
        <v>0</v>
      </c>
      <c r="E579" s="268">
        <f t="shared" ref="E579:E642" si="11">D579*C579</f>
        <v>0</v>
      </c>
    </row>
    <row r="580" spans="1:5" ht="13">
      <c r="A580" s="276" t="s">
        <v>19476</v>
      </c>
      <c r="B580" s="276" t="s">
        <v>20972</v>
      </c>
      <c r="C580" s="277">
        <v>4.29</v>
      </c>
      <c r="D580" s="278">
        <f>IF(AND(Data!B$4=6,OR(Data!B$3="A",Data!B$3="LH")),1*(Data!B$8+H!AC7),0)</f>
        <v>0</v>
      </c>
      <c r="E580" s="268">
        <f t="shared" si="11"/>
        <v>0</v>
      </c>
    </row>
    <row r="581" spans="1:5" ht="13">
      <c r="A581" s="276" t="s">
        <v>19477</v>
      </c>
      <c r="B581" s="276" t="s">
        <v>20972</v>
      </c>
      <c r="C581" s="277">
        <v>4.66</v>
      </c>
      <c r="D581" s="278">
        <f>IF(AND(Data!B$4=7,OR(Data!B$3="A",Data!B$3="LH")),1*(Data!B$8+H!AC7),0)</f>
        <v>0</v>
      </c>
      <c r="E581" s="268">
        <f t="shared" si="11"/>
        <v>0</v>
      </c>
    </row>
    <row r="582" spans="1:5" ht="13">
      <c r="A582" s="276" t="s">
        <v>19478</v>
      </c>
      <c r="B582" s="276" t="s">
        <v>20972</v>
      </c>
      <c r="C582" s="277">
        <v>5.68</v>
      </c>
      <c r="D582" s="278">
        <f>IF(AND(Data!B$4=8,OR(Data!B$3="A",Data!B$3="LH")),1*(Data!B$8+H!AC7),0)</f>
        <v>0</v>
      </c>
      <c r="E582" s="268">
        <f t="shared" si="11"/>
        <v>0</v>
      </c>
    </row>
    <row r="583" spans="1:5" ht="13">
      <c r="A583" s="276" t="s">
        <v>19642</v>
      </c>
      <c r="B583" s="276" t="s">
        <v>20972</v>
      </c>
      <c r="C583" s="277">
        <v>1.1499999999999999</v>
      </c>
      <c r="D583" s="278">
        <f>IF(AND(Data!B$4=1.5,Data!B$3="H"),1*(Data!B$8+H!AC$7),0)</f>
        <v>0</v>
      </c>
      <c r="E583" s="268">
        <f t="shared" si="11"/>
        <v>0</v>
      </c>
    </row>
    <row r="584" spans="1:5" ht="13">
      <c r="A584" s="276" t="s">
        <v>19643</v>
      </c>
      <c r="B584" s="276" t="s">
        <v>20972</v>
      </c>
      <c r="C584" s="277">
        <v>1.08</v>
      </c>
      <c r="D584" s="278">
        <f>IF(AND(Data!B$4=2,Data!B$3="H"),1*(Data!B$8+H!AC$7),0)</f>
        <v>0</v>
      </c>
      <c r="E584" s="268">
        <f t="shared" si="11"/>
        <v>0</v>
      </c>
    </row>
    <row r="585" spans="1:5" ht="13">
      <c r="A585" s="276" t="s">
        <v>19644</v>
      </c>
      <c r="B585" s="276" t="s">
        <v>20972</v>
      </c>
      <c r="C585" s="277">
        <v>1.72</v>
      </c>
      <c r="D585" s="278">
        <f>IF(AND(Data!B$4=2.5,Data!B$3="H"),1*(Data!B$8+H!AC$7),0)</f>
        <v>0</v>
      </c>
      <c r="E585" s="268">
        <f t="shared" si="11"/>
        <v>0</v>
      </c>
    </row>
    <row r="586" spans="1:5" ht="13">
      <c r="A586" s="276" t="s">
        <v>19645</v>
      </c>
      <c r="B586" s="276" t="s">
        <v>20972</v>
      </c>
      <c r="C586" s="277">
        <v>2.7199999999999998</v>
      </c>
      <c r="D586" s="278">
        <f>IF(AND(Data!B$4=3.25,Data!B$3="H"),1*(Data!B$8+H!AC$7),0)</f>
        <v>0</v>
      </c>
      <c r="E586" s="268">
        <f t="shared" si="11"/>
        <v>0</v>
      </c>
    </row>
    <row r="587" spans="1:5" ht="13">
      <c r="A587" s="276" t="s">
        <v>19646</v>
      </c>
      <c r="B587" s="276" t="s">
        <v>20972</v>
      </c>
      <c r="C587" s="277">
        <v>3.26</v>
      </c>
      <c r="D587" s="278">
        <f>IF(AND(Data!B$4=4,Data!B$3="H"),1*(Data!B$8+H!AC7),0)</f>
        <v>0</v>
      </c>
      <c r="E587" s="268">
        <f t="shared" si="11"/>
        <v>0</v>
      </c>
    </row>
    <row r="588" spans="1:5" ht="13">
      <c r="A588" s="276" t="s">
        <v>19647</v>
      </c>
      <c r="B588" s="276" t="s">
        <v>20972</v>
      </c>
      <c r="C588" s="277">
        <v>7.7299999999999995</v>
      </c>
      <c r="D588" s="278">
        <f>IF(AND(Data!B$4=5,Data!B$3="H"),1*(Data!B$8+H!AC7),0)</f>
        <v>14.688000000000001</v>
      </c>
      <c r="E588" s="268">
        <f t="shared" si="11"/>
        <v>113.53824</v>
      </c>
    </row>
    <row r="589" spans="1:5" ht="13">
      <c r="A589" s="276" t="s">
        <v>19648</v>
      </c>
      <c r="B589" s="276" t="s">
        <v>20972</v>
      </c>
      <c r="C589" s="277">
        <v>8.68</v>
      </c>
      <c r="D589" s="278">
        <f>IF(AND(Data!B$4=6,Data!B$3="H"),1*(Data!B$8+H!AC7),0)</f>
        <v>0</v>
      </c>
      <c r="E589" s="268">
        <f t="shared" si="11"/>
        <v>0</v>
      </c>
    </row>
    <row r="590" spans="1:5" ht="13">
      <c r="A590" s="276" t="s">
        <v>19649</v>
      </c>
      <c r="B590" s="276" t="s">
        <v>20972</v>
      </c>
      <c r="C590" s="277">
        <v>10.11</v>
      </c>
      <c r="D590" s="278">
        <f>IF(AND(Data!B$4=7,Data!B$3="H"),1*(Data!B$8+H!AC7),0)</f>
        <v>0</v>
      </c>
      <c r="E590" s="268">
        <f t="shared" si="11"/>
        <v>0</v>
      </c>
    </row>
    <row r="591" spans="1:5" ht="13">
      <c r="A591" s="276" t="s">
        <v>19650</v>
      </c>
      <c r="B591" s="276" t="s">
        <v>20972</v>
      </c>
      <c r="C591" s="277">
        <v>15.129999999999999</v>
      </c>
      <c r="D591" s="278">
        <f>IF(AND(Data!B$4=8,Data!B$3="H"),1*(Data!B$8+H!AC7),0)</f>
        <v>0</v>
      </c>
      <c r="E591" s="268">
        <f t="shared" si="11"/>
        <v>0</v>
      </c>
    </row>
    <row r="592" spans="1:5" ht="13">
      <c r="A592" s="306" t="s">
        <v>565</v>
      </c>
      <c r="B592" s="306" t="s">
        <v>160</v>
      </c>
      <c r="C592" s="307">
        <v>34.1</v>
      </c>
      <c r="D592" s="308">
        <f>IF(AND(Data!G$17&gt;0.1,Acc!M25="X"),Data!G$17,IF(Data!F$26=A592,Data!G$26,IF(Data!F$27=A592,Data!G$27,IF(Data!F$28=A592,Data!G$28,IF(Data!F$29=A592,Data!G$29,IF(Data!F$30=A592,Data!G$30,IF(Data!F$31=A592,Data!G$31,IF(Data!F$32=A592,Data!G$32,0))))))))</f>
        <v>0</v>
      </c>
      <c r="E592" s="268">
        <f t="shared" si="11"/>
        <v>0</v>
      </c>
    </row>
    <row r="593" spans="1:5" ht="13">
      <c r="A593" s="306" t="s">
        <v>605</v>
      </c>
      <c r="B593" s="306" t="s">
        <v>135</v>
      </c>
      <c r="C593" s="307">
        <v>25.3</v>
      </c>
      <c r="D593" s="308">
        <f>IF(AND(Data!G$17&gt;0.1,Acc!M22="X"),Data!G$17,IF(Data!F$26=A593,Data!G$26,IF(Data!F$27=A593,Data!G$27,IF(Data!F$28=A593,Data!G$28,IF(Data!F$29=A593,Data!G$29,IF(Data!F$30=A593,Data!G$30,IF(Data!F$31=A593,Data!G$31,IF(Data!F$32=A593,Data!G$32,0))))))))</f>
        <v>0</v>
      </c>
      <c r="E593" s="268">
        <f t="shared" si="11"/>
        <v>0</v>
      </c>
    </row>
    <row r="594" spans="1:5" ht="13">
      <c r="A594" s="306" t="s">
        <v>737</v>
      </c>
      <c r="B594" s="306" t="s">
        <v>376</v>
      </c>
      <c r="C594" s="307">
        <v>34.1</v>
      </c>
      <c r="D594" s="308">
        <f>IF(AND(Data!G$17&gt;0.1,Acc!M24="X"),Data!G$17,IF(Data!F$26=A594,Data!G$26,IF(Data!F$27=A594,Data!G$27,IF(Data!F$28=A594,Data!G$28,IF(Data!F$29=A594,Data!G$29,IF(Data!F$30=A594,Data!G$30,IF(Data!F$31=A594,Data!G$31,IF(Data!F$32=A594,Data!G$32,0))))))))</f>
        <v>0</v>
      </c>
      <c r="E594" s="268">
        <f t="shared" si="11"/>
        <v>0</v>
      </c>
    </row>
    <row r="595" spans="1:5" ht="13">
      <c r="A595" s="306" t="s">
        <v>489</v>
      </c>
      <c r="B595" s="306" t="s">
        <v>157</v>
      </c>
      <c r="C595" s="307">
        <v>68.2</v>
      </c>
      <c r="D595" s="308">
        <f>IF(AND(Data!G$17&gt;0.1,Acc!M26="X"),Data!G$17,IF(Data!F$26=A595,Data!G$26,IF(Data!F$27=A595,Data!G$27,IF(Data!F$28=A595,Data!G$28,IF(Data!F$29=A595,Data!G$29,IF(Data!F$30=A595,Data!G$30,IF(Data!F$31=A595,Data!G$31,IF(Data!F$32=A595,Data!G$32,0))))))))</f>
        <v>0</v>
      </c>
      <c r="E595" s="268">
        <f t="shared" si="11"/>
        <v>0</v>
      </c>
    </row>
    <row r="596" spans="1:5" ht="13">
      <c r="A596" s="306" t="s">
        <v>3</v>
      </c>
      <c r="B596" s="306" t="s">
        <v>348</v>
      </c>
      <c r="C596" s="307">
        <v>25.3</v>
      </c>
      <c r="D596" s="308">
        <f>IF(AND(Data!G$17&gt;0.1,Acc!M23="X"),Data!G$17,IF(Data!F$26=A596,Data!G$26,IF(Data!F$27=A596,Data!G$27,IF(Data!F$28=A596,Data!G$28,IF(Data!F$29=A596,Data!G$29,IF(Data!F$30=A596,Data!G$30,IF(Data!F$31=A596,Data!G$31,IF(Data!F$32=A596,Data!G$32,0))))))))</f>
        <v>0</v>
      </c>
      <c r="E596" s="268">
        <f t="shared" si="11"/>
        <v>0</v>
      </c>
    </row>
    <row r="597" spans="1:5" ht="13">
      <c r="A597" s="306" t="s">
        <v>728</v>
      </c>
      <c r="B597" s="306" t="s">
        <v>542</v>
      </c>
      <c r="C597" s="307">
        <v>269.5</v>
      </c>
      <c r="D597" s="308">
        <f>IF(AND(Data!G$17&gt;0.1,Acc!M30="X"),Data!G$17,IF(Data!F$26=A597,Data!G$26,IF(Data!F$27=A597,Data!G$27,IF(Data!F$28=A597,Data!G$28,IF(Data!F$29=A597,Data!G$29,IF(Data!F$30=A597,Data!G$30,IF(Data!F$31=A597,Data!G$31,IF(Data!F$32=A597,Data!G$32,0))))))))</f>
        <v>0</v>
      </c>
      <c r="E597" s="268">
        <f t="shared" si="11"/>
        <v>0</v>
      </c>
    </row>
    <row r="598" spans="1:5" ht="13">
      <c r="A598" s="306" t="s">
        <v>266</v>
      </c>
      <c r="B598" s="306" t="s">
        <v>734</v>
      </c>
      <c r="C598" s="307">
        <v>149.6</v>
      </c>
      <c r="D598" s="308">
        <f>IF(AND(Data!G$17&gt;0.1,Acc!M29="X"),Data!G$17,IF(Data!F$26=A598,Data!G$26,IF(Data!F$27=A598,Data!G$27,IF(Data!F$28=A598,Data!G$28,IF(Data!F$29=A598,Data!G$29,IF(Data!F$30=A598,Data!G$30,IF(Data!F$31=A598,Data!G$31,IF(Data!F$32=A598,Data!G$32,0))))))))</f>
        <v>0</v>
      </c>
      <c r="E598" s="268">
        <f t="shared" si="11"/>
        <v>0</v>
      </c>
    </row>
    <row r="599" spans="1:5" ht="13">
      <c r="A599" s="306" t="s">
        <v>297</v>
      </c>
      <c r="B599" s="306" t="s">
        <v>863</v>
      </c>
      <c r="C599" s="307">
        <v>68.2</v>
      </c>
      <c r="D599" s="308">
        <f>IF(AND(Data!G$17&gt;0.1,Acc!M27="X"),Data!G$17,IF(Data!F$26=A599,Data!G$26,IF(Data!F$27=A599,Data!G$27,IF(Data!F$28=A599,Data!G$28,IF(Data!F$29=A599,Data!G$29,IF(Data!F$30=A599,Data!G$30,IF(Data!F$31=A599,Data!G$31,IF(Data!F$32=A599,Data!G$32,0))))))))</f>
        <v>0</v>
      </c>
      <c r="E599" s="268">
        <f t="shared" si="11"/>
        <v>0</v>
      </c>
    </row>
    <row r="600" spans="1:5" ht="13">
      <c r="A600" s="306" t="s">
        <v>292</v>
      </c>
      <c r="B600" s="306" t="s">
        <v>347</v>
      </c>
      <c r="C600" s="307">
        <v>149.6</v>
      </c>
      <c r="D600" s="308">
        <f>IF(AND(Data!G$17&gt;0.1,Acc!M28="X"),Data!G$17,IF(Data!F$26=A600,Data!G$26,IF(Data!F$27=A600,Data!G$27,IF(Data!F$28=A600,Data!G$28,IF(Data!F$29=A600,Data!G$29,IF(Data!F$30=A600,Data!G$30,IF(Data!F$31=A600,Data!G$31,IF(Data!F$32=A600,Data!G$32,0))))))))</f>
        <v>0</v>
      </c>
      <c r="E600" s="268">
        <f t="shared" si="11"/>
        <v>0</v>
      </c>
    </row>
    <row r="601" spans="1:5" ht="13">
      <c r="A601" s="276" t="s">
        <v>19826</v>
      </c>
      <c r="B601" s="276" t="s">
        <v>19825</v>
      </c>
      <c r="C601" s="277">
        <v>9.9</v>
      </c>
      <c r="D601" s="278">
        <f>IF(AND(Data!B$4=1.5,OR(Data!B$3="A",Data!B$3="LH"),Data!B10="V"),1*2,0)</f>
        <v>0</v>
      </c>
      <c r="E601" s="268">
        <f t="shared" si="11"/>
        <v>0</v>
      </c>
    </row>
    <row r="602" spans="1:5" ht="13">
      <c r="A602" s="276" t="s">
        <v>19827</v>
      </c>
      <c r="B602" s="276" t="s">
        <v>19825</v>
      </c>
      <c r="C602" s="277">
        <v>11</v>
      </c>
      <c r="D602" s="278">
        <f>IF(AND(Data!B$4=2,OR(Data!B$3="A",Data!B$3="LH"),Data!B10="V"),1*2,0)</f>
        <v>0</v>
      </c>
      <c r="E602" s="268">
        <f t="shared" si="11"/>
        <v>0</v>
      </c>
    </row>
    <row r="603" spans="1:5" ht="13">
      <c r="A603" s="276" t="s">
        <v>19828</v>
      </c>
      <c r="B603" s="276" t="s">
        <v>19825</v>
      </c>
      <c r="C603" s="277">
        <v>14.3</v>
      </c>
      <c r="D603" s="278">
        <f>IF(AND(Data!B$4=2.5,OR(Data!B$3="A",Data!B$3="LH"),Data!B10="V"),1*2,0)</f>
        <v>0</v>
      </c>
      <c r="E603" s="268">
        <f t="shared" si="11"/>
        <v>0</v>
      </c>
    </row>
    <row r="604" spans="1:5" ht="13">
      <c r="A604" s="276" t="s">
        <v>19829</v>
      </c>
      <c r="B604" s="276" t="s">
        <v>19825</v>
      </c>
      <c r="C604" s="277">
        <v>16.5</v>
      </c>
      <c r="D604" s="278">
        <f>IF(AND(Data!B$4&gt;3.19,Data!B$4&lt;3.31,OR(Data!B$3="A",Data!B$3="LH"),Data!B10="V"),1*2,0)</f>
        <v>0</v>
      </c>
      <c r="E604" s="268">
        <f t="shared" si="11"/>
        <v>0</v>
      </c>
    </row>
    <row r="605" spans="1:5" ht="13">
      <c r="A605" s="276" t="s">
        <v>19830</v>
      </c>
      <c r="B605" s="276" t="s">
        <v>19825</v>
      </c>
      <c r="C605" s="277">
        <v>17.600000000000001</v>
      </c>
      <c r="D605" s="278">
        <f>IF(AND(Data!B$4=4,OR(Data!B$3="A",Data!B$3="LH"),Data!B10="V"),1*2,0)</f>
        <v>0</v>
      </c>
      <c r="E605" s="268">
        <f t="shared" si="11"/>
        <v>0</v>
      </c>
    </row>
    <row r="606" spans="1:5" ht="13">
      <c r="A606" s="276" t="s">
        <v>19831</v>
      </c>
      <c r="B606" s="276" t="s">
        <v>19825</v>
      </c>
      <c r="C606" s="277">
        <v>31.9</v>
      </c>
      <c r="D606" s="278">
        <f>IF(AND(Data!B$4=5,OR(Data!B$3="A",Data!B$3="LH"),Data!B10="V"),1*2,0)</f>
        <v>0</v>
      </c>
      <c r="E606" s="268">
        <f t="shared" si="11"/>
        <v>0</v>
      </c>
    </row>
    <row r="607" spans="1:5" ht="13">
      <c r="A607" s="276" t="s">
        <v>19832</v>
      </c>
      <c r="B607" s="276" t="s">
        <v>19825</v>
      </c>
      <c r="C607" s="277">
        <v>40.700000000000003</v>
      </c>
      <c r="D607" s="278">
        <f>IF(AND(Data!B$4=6,OR(Data!B$3="A",Data!B$3="LH"),Data!B10="V"),1*2,0)</f>
        <v>0</v>
      </c>
      <c r="E607" s="268">
        <f t="shared" si="11"/>
        <v>0</v>
      </c>
    </row>
    <row r="608" spans="1:5" ht="13">
      <c r="A608" s="276" t="s">
        <v>19833</v>
      </c>
      <c r="B608" s="276" t="s">
        <v>19825</v>
      </c>
      <c r="C608" s="277">
        <v>55</v>
      </c>
      <c r="D608" s="278">
        <f>IF(AND(Data!B$4=7,OR(Data!B$3="A",Data!B$3="LH"),Data!B14="V"),1*2,0)</f>
        <v>0</v>
      </c>
      <c r="E608" s="268">
        <f t="shared" si="11"/>
        <v>0</v>
      </c>
    </row>
    <row r="609" spans="1:5" ht="13">
      <c r="A609" s="276" t="s">
        <v>19834</v>
      </c>
      <c r="B609" s="276" t="s">
        <v>19825</v>
      </c>
      <c r="C609" s="277">
        <v>68.2</v>
      </c>
      <c r="D609" s="278">
        <f>IF(AND(Data!B$4=8,OR(Data!B$3="A",Data!B$3="LH"),Data!B10="V"),1*2,0)</f>
        <v>0</v>
      </c>
      <c r="E609" s="268">
        <f t="shared" si="11"/>
        <v>0</v>
      </c>
    </row>
    <row r="610" spans="1:5" ht="13">
      <c r="A610" s="276" t="s">
        <v>19836</v>
      </c>
      <c r="B610" s="276" t="s">
        <v>19835</v>
      </c>
      <c r="C610" s="277">
        <v>1.1000000000000001</v>
      </c>
      <c r="D610" s="278">
        <f>IF(AND(Data!B$4=1.5,Data!B$10="V",OR(Data!B$3="A",Data!B$3="LH")),1*2,0)</f>
        <v>0</v>
      </c>
      <c r="E610" s="268">
        <f t="shared" si="11"/>
        <v>0</v>
      </c>
    </row>
    <row r="611" spans="1:5" ht="13">
      <c r="A611" s="276" t="s">
        <v>19837</v>
      </c>
      <c r="B611" s="276" t="s">
        <v>19835</v>
      </c>
      <c r="C611" s="277">
        <v>1.1000000000000001</v>
      </c>
      <c r="D611" s="278">
        <f>IF(AND(Data!B$4=2,Data!B$10="V",OR(Data!B$3="A",Data!B$3="LH")),1*2,0)</f>
        <v>0</v>
      </c>
      <c r="E611" s="268">
        <f t="shared" si="11"/>
        <v>0</v>
      </c>
    </row>
    <row r="612" spans="1:5" ht="13">
      <c r="A612" s="276" t="s">
        <v>19838</v>
      </c>
      <c r="B612" s="276" t="s">
        <v>19835</v>
      </c>
      <c r="C612" s="277">
        <v>2.2000000000000002</v>
      </c>
      <c r="D612" s="278">
        <f>IF(AND(Data!B$4=2.5,Data!B$10="V",OR(Data!B$3="A",Data!B$3="LH")),1*2,0)</f>
        <v>0</v>
      </c>
      <c r="E612" s="268">
        <f t="shared" si="11"/>
        <v>0</v>
      </c>
    </row>
    <row r="613" spans="1:5" ht="13">
      <c r="A613" s="276" t="s">
        <v>19839</v>
      </c>
      <c r="B613" s="276" t="s">
        <v>19835</v>
      </c>
      <c r="C613" s="277">
        <v>2.2000000000000002</v>
      </c>
      <c r="D613" s="278">
        <f>IF(AND(Data!B$4=3.25,Data!B$10="V",OR(Data!B$3="A",Data!B$3="LH")),1*2,0)</f>
        <v>0</v>
      </c>
      <c r="E613" s="268">
        <f t="shared" si="11"/>
        <v>0</v>
      </c>
    </row>
    <row r="614" spans="1:5" ht="13">
      <c r="A614" s="276" t="s">
        <v>19840</v>
      </c>
      <c r="B614" s="276" t="s">
        <v>19835</v>
      </c>
      <c r="C614" s="277">
        <v>3.3</v>
      </c>
      <c r="D614" s="278">
        <f>IF(AND(Data!B$4=4,Data!B$10="V",OR(Data!B$3="A",Data!B$3="LH")),1*2,0)</f>
        <v>0</v>
      </c>
      <c r="E614" s="268">
        <f t="shared" si="11"/>
        <v>0</v>
      </c>
    </row>
    <row r="615" spans="1:5" ht="13">
      <c r="A615" s="276" t="s">
        <v>19841</v>
      </c>
      <c r="B615" s="276" t="s">
        <v>19835</v>
      </c>
      <c r="C615" s="277">
        <v>3.3</v>
      </c>
      <c r="D615" s="278">
        <f>IF(AND(Data!B$4=5,Data!B$10="V",OR(Data!B$3="A",Data!B$3="LH")),1*2,0)</f>
        <v>0</v>
      </c>
      <c r="E615" s="268">
        <f t="shared" si="11"/>
        <v>0</v>
      </c>
    </row>
    <row r="616" spans="1:5" ht="13">
      <c r="A616" s="276" t="s">
        <v>19842</v>
      </c>
      <c r="B616" s="276" t="s">
        <v>19835</v>
      </c>
      <c r="C616" s="277">
        <v>6.6</v>
      </c>
      <c r="D616" s="278">
        <f>IF(AND(Data!B$4=6,Data!B$10="V",OR(Data!B$3="A",Data!B$3="LH")),1*2,0)</f>
        <v>0</v>
      </c>
      <c r="E616" s="268">
        <f t="shared" si="11"/>
        <v>0</v>
      </c>
    </row>
    <row r="617" spans="1:5" ht="13">
      <c r="A617" s="276" t="s">
        <v>19843</v>
      </c>
      <c r="B617" s="276" t="s">
        <v>19835</v>
      </c>
      <c r="C617" s="277">
        <v>6.6</v>
      </c>
      <c r="D617" s="278">
        <f>IF(AND(Data!B$4=7,Data!B$10="V",OR(Data!B$3="A",Data!B$3="LH")),1*2,0)</f>
        <v>0</v>
      </c>
      <c r="E617" s="268">
        <f t="shared" si="11"/>
        <v>0</v>
      </c>
    </row>
    <row r="618" spans="1:5" ht="13">
      <c r="A618" s="276" t="s">
        <v>19844</v>
      </c>
      <c r="B618" s="276" t="s">
        <v>19835</v>
      </c>
      <c r="C618" s="277">
        <v>7.7</v>
      </c>
      <c r="D618" s="278">
        <f>IF(AND(Data!B$4=8,Data!B$10="V",OR(Data!B$3="A",Data!B$3="LH")),1*2,0)</f>
        <v>0</v>
      </c>
      <c r="E618" s="268">
        <f t="shared" si="11"/>
        <v>0</v>
      </c>
    </row>
    <row r="619" spans="1:5" ht="13">
      <c r="A619" s="276" t="s">
        <v>19845</v>
      </c>
      <c r="B619" s="276" t="s">
        <v>19846</v>
      </c>
      <c r="C619" s="277">
        <v>39.6</v>
      </c>
      <c r="D619" s="278">
        <f>IF(AND(Data!B$3&lt;&gt;"H",Data!B$4=1.5,Data!M$2="YES",Data!B$5&lt;&gt;"MF1",Data!B$5&lt;&gt;"MF5"),1,0)</f>
        <v>0</v>
      </c>
      <c r="E619" s="268">
        <f t="shared" si="11"/>
        <v>0</v>
      </c>
    </row>
    <row r="620" spans="1:5" ht="13">
      <c r="A620" s="276" t="s">
        <v>19847</v>
      </c>
      <c r="B620" s="276" t="s">
        <v>19846</v>
      </c>
      <c r="C620" s="277">
        <v>44</v>
      </c>
      <c r="D620" s="278">
        <f>IF(AND(Data!B$3&lt;&gt;"H",Data!B$4=2,Data!M$2="YES",Data!B$5&lt;&gt;"MF1",Data!B$5&lt;&gt;"MF5"),1,0)</f>
        <v>0</v>
      </c>
      <c r="E620" s="268">
        <f t="shared" si="11"/>
        <v>0</v>
      </c>
    </row>
    <row r="621" spans="1:5" ht="13">
      <c r="A621" s="276" t="s">
        <v>19848</v>
      </c>
      <c r="B621" s="276" t="s">
        <v>19846</v>
      </c>
      <c r="C621" s="277">
        <v>48.4</v>
      </c>
      <c r="D621" s="278">
        <f>IF(AND(Data!B$3&lt;&gt;"H",Data!B$4=2.5,Data!M$2="YES",Data!B$5&lt;&gt;"MF1",Data!B$5&lt;&gt;"MF5"),1,0)</f>
        <v>0</v>
      </c>
      <c r="E621" s="268">
        <f t="shared" si="11"/>
        <v>0</v>
      </c>
    </row>
    <row r="622" spans="1:5" ht="13">
      <c r="A622" s="276" t="s">
        <v>19849</v>
      </c>
      <c r="B622" s="276" t="s">
        <v>19846</v>
      </c>
      <c r="C622" s="277">
        <v>39.6</v>
      </c>
      <c r="D622" s="278">
        <f>IF(AND(Data!B$3&lt;&gt;"H",Data!B$4=3.25,Data!M$2="YES",Data!B$5&lt;&gt;"MF1",Data!B$5&lt;&gt;"MF5"),1,0)</f>
        <v>0</v>
      </c>
      <c r="E622" s="268">
        <f t="shared" si="11"/>
        <v>0</v>
      </c>
    </row>
    <row r="623" spans="1:5" ht="13">
      <c r="A623" s="276" t="s">
        <v>19850</v>
      </c>
      <c r="B623" s="276" t="s">
        <v>19846</v>
      </c>
      <c r="C623" s="277">
        <v>44</v>
      </c>
      <c r="D623" s="278">
        <f>IF(AND(Data!B$3&lt;&gt;"H",Data!B$4=4,Data!M$2="YES",Data!B$5&lt;&gt;"MF1",Data!B$5&lt;&gt;"MF5"),1,0)</f>
        <v>0</v>
      </c>
      <c r="E623" s="268">
        <f t="shared" si="11"/>
        <v>0</v>
      </c>
    </row>
    <row r="624" spans="1:5" ht="13">
      <c r="A624" s="276" t="s">
        <v>19851</v>
      </c>
      <c r="B624" s="276" t="s">
        <v>19846</v>
      </c>
      <c r="C624" s="277">
        <v>48.4</v>
      </c>
      <c r="D624" s="278">
        <f>IF(AND(Data!B$3&lt;&gt;"H",Data!B$4=5,Data!M$2="YES",Data!B$5&lt;&gt;"MF1",Data!B$5&lt;&gt;"MF5"),1,0)</f>
        <v>0</v>
      </c>
      <c r="E624" s="268">
        <f t="shared" si="11"/>
        <v>0</v>
      </c>
    </row>
    <row r="625" spans="1:5" ht="13">
      <c r="A625" s="276" t="s">
        <v>19852</v>
      </c>
      <c r="B625" s="276" t="s">
        <v>19846</v>
      </c>
      <c r="C625" s="277">
        <v>55</v>
      </c>
      <c r="D625" s="278">
        <f>IF(AND(Data!B$3&lt;&gt;"H",Data!B$4=6,Data!M$2="YES",Data!B$5&lt;&gt;"MF1",Data!B$5&lt;&gt;"MF5"),1,0)</f>
        <v>0</v>
      </c>
      <c r="E625" s="268">
        <f t="shared" si="11"/>
        <v>0</v>
      </c>
    </row>
    <row r="626" spans="1:5" ht="13">
      <c r="A626" s="276" t="s">
        <v>19853</v>
      </c>
      <c r="B626" s="276" t="s">
        <v>19846</v>
      </c>
      <c r="C626" s="277">
        <v>66</v>
      </c>
      <c r="D626" s="278">
        <f>IF(AND(Data!B$3&lt;&gt;"H",Data!B$4=8,Data!M$2="YES",Data!B$5&lt;&gt;"MF1",Data!B$5&lt;&gt;"MF5"),1,0)</f>
        <v>0</v>
      </c>
      <c r="E626" s="268">
        <f t="shared" si="11"/>
        <v>0</v>
      </c>
    </row>
    <row r="627" spans="1:5" ht="13">
      <c r="A627" s="276" t="s">
        <v>19854</v>
      </c>
      <c r="B627" s="276" t="s">
        <v>19277</v>
      </c>
      <c r="C627" s="277">
        <v>62.7</v>
      </c>
      <c r="D627" s="278">
        <f>IF(AND(Data!B$4=1.5,OR(Data!B$3="A",Data!B$3="LH"),Data!B$5="MS2"),1,0)</f>
        <v>0</v>
      </c>
      <c r="E627" s="268">
        <f t="shared" si="11"/>
        <v>0</v>
      </c>
    </row>
    <row r="628" spans="1:5" ht="13">
      <c r="A628" s="276" t="s">
        <v>19855</v>
      </c>
      <c r="B628" s="276" t="s">
        <v>19277</v>
      </c>
      <c r="C628" s="277">
        <v>62.7</v>
      </c>
      <c r="D628" s="278">
        <f>IF(AND(Data!B$4=1.5,OR(Data!B$3="A",Data!B$3="LH"),Data!B$5="MT1"),1,0)</f>
        <v>0</v>
      </c>
      <c r="E628" s="268">
        <f t="shared" si="11"/>
        <v>0</v>
      </c>
    </row>
    <row r="629" spans="1:5" ht="13">
      <c r="A629" s="276" t="s">
        <v>19856</v>
      </c>
      <c r="B629" s="276" t="s">
        <v>19277</v>
      </c>
      <c r="C629" s="277">
        <v>31.9</v>
      </c>
      <c r="D629" s="278">
        <f>IF(AND(Data!B$4=1.5,Data!B$6=0.625,OR(Data!B$3="A",Data!B$3="LH"),Data!B$5&lt;&gt;"MS2",Data!B$5&lt;&gt;"MT1",Data!B$5&lt;&gt;"ME3",Data!B$5&lt;&gt;"ME5",Data!B$5&lt;&gt;"IH3"),1,0)</f>
        <v>0</v>
      </c>
      <c r="E629" s="268">
        <f t="shared" si="11"/>
        <v>0</v>
      </c>
    </row>
    <row r="630" spans="1:5" ht="13">
      <c r="A630" s="276" t="s">
        <v>19857</v>
      </c>
      <c r="B630" s="276" t="s">
        <v>19277</v>
      </c>
      <c r="C630" s="277">
        <v>29.7</v>
      </c>
      <c r="D630" s="278">
        <f>IF(AND(Data!B$4=1.5,Data!B$6=1,OR(Data!B$3="A",Data!B$3="LH"),Data!B$5&lt;&gt;"MS2",Data!B$5&lt;&gt;"MT1",Data!B$5&lt;&gt;"ME3",Data!B$5&lt;&gt;"ME5",Data!B$5&lt;&gt;"IH3"),1,0)</f>
        <v>0</v>
      </c>
      <c r="E630" s="268">
        <f t="shared" si="11"/>
        <v>0</v>
      </c>
    </row>
    <row r="631" spans="1:5" ht="13">
      <c r="A631" s="276" t="s">
        <v>19858</v>
      </c>
      <c r="B631" s="276" t="s">
        <v>19277</v>
      </c>
      <c r="C631" s="277">
        <v>66</v>
      </c>
      <c r="D631" s="278">
        <f>IF(AND(Data!B$4=2,OR(Data!B$3="A",Data!B$3="LH"),Data!B$5="MS2"),1,0)</f>
        <v>0</v>
      </c>
      <c r="E631" s="268">
        <f t="shared" si="11"/>
        <v>0</v>
      </c>
    </row>
    <row r="632" spans="1:5" ht="13">
      <c r="A632" s="276" t="s">
        <v>19859</v>
      </c>
      <c r="B632" s="276" t="s">
        <v>19277</v>
      </c>
      <c r="C632" s="277">
        <v>66</v>
      </c>
      <c r="D632" s="278">
        <f>IF(AND(Data!B$4=2,OR(Data!B$3="A",Data!B$3="LH"),Data!B$5="MT1"),1,0)</f>
        <v>0</v>
      </c>
      <c r="E632" s="268">
        <f t="shared" si="11"/>
        <v>0</v>
      </c>
    </row>
    <row r="633" spans="1:5" ht="13">
      <c r="A633" s="276" t="s">
        <v>19860</v>
      </c>
      <c r="B633" s="276" t="s">
        <v>19277</v>
      </c>
      <c r="C633" s="277">
        <v>39.6</v>
      </c>
      <c r="D633" s="278">
        <f>IF(AND(Data!B$4=2,Data!B$6=0.625,OR(Data!B$3="A",Data!B$3="LH"),Data!B$5&lt;&gt;"MS2",Data!B$5&lt;&gt;"MT1",Data!B$5&lt;&gt;"ME3",Data!B$5&lt;&gt;"ME5",Data!B$5&lt;&gt;"IH3"),1,0)</f>
        <v>0</v>
      </c>
      <c r="E633" s="268">
        <f t="shared" si="11"/>
        <v>0</v>
      </c>
    </row>
    <row r="634" spans="1:5" ht="13">
      <c r="A634" s="276" t="s">
        <v>19861</v>
      </c>
      <c r="B634" s="276" t="s">
        <v>19277</v>
      </c>
      <c r="C634" s="277">
        <v>44</v>
      </c>
      <c r="D634" s="278">
        <f>IF(AND(Data!B$4=2,Data!B$6=1,OR(Data!B$3="A",Data!B$3="LH"),Data!B$5&lt;&gt;"MS2",Data!B$5&lt;&gt;"MT1",Data!B$5&lt;&gt;"ME3",Data!B$5&lt;&gt;"ME5",Data!B$5&lt;&gt;"IH3"),1,0)</f>
        <v>0</v>
      </c>
      <c r="E634" s="268">
        <f t="shared" si="11"/>
        <v>0</v>
      </c>
    </row>
    <row r="635" spans="1:5" ht="13">
      <c r="A635" s="276" t="s">
        <v>19862</v>
      </c>
      <c r="B635" s="276" t="s">
        <v>19277</v>
      </c>
      <c r="C635" s="277">
        <v>47.3</v>
      </c>
      <c r="D635" s="278">
        <f>IF(AND(Data!B$4=2,Data!B$6=1.375,OR(Data!B$3="A",Data!B$3="LH"),Data!B$5&lt;&gt;"MS2",Data!B$5&lt;&gt;"MT1",Data!B$5&lt;&gt;"ME3",Data!B$5&lt;&gt;"ME5",Data!B$5&lt;&gt;"IH3"),1,0)</f>
        <v>0</v>
      </c>
      <c r="E635" s="268">
        <f t="shared" si="11"/>
        <v>0</v>
      </c>
    </row>
    <row r="636" spans="1:5" ht="13">
      <c r="A636" s="276" t="s">
        <v>19276</v>
      </c>
      <c r="B636" s="276" t="s">
        <v>19277</v>
      </c>
      <c r="C636" s="277">
        <v>75.900000000000006</v>
      </c>
      <c r="D636" s="278">
        <f>IF(AND(Data!B$4=2.5,OR(Data!B$3="A",Data!B$3="LH"),Data!B$5="MS2"),1,0)</f>
        <v>0</v>
      </c>
      <c r="E636" s="268">
        <f t="shared" si="11"/>
        <v>0</v>
      </c>
    </row>
    <row r="637" spans="1:5" ht="13">
      <c r="A637" s="276" t="s">
        <v>19863</v>
      </c>
      <c r="B637" s="276" t="s">
        <v>19277</v>
      </c>
      <c r="C637" s="277">
        <v>93.5</v>
      </c>
      <c r="D637" s="278">
        <f>IF(AND(Data!B$4=2.5,OR(Data!B$3="A",Data!B$3="LH"),Data!B$5="MT1"),1,0)</f>
        <v>0</v>
      </c>
      <c r="E637" s="268">
        <f t="shared" si="11"/>
        <v>0</v>
      </c>
    </row>
    <row r="638" spans="1:5" ht="13">
      <c r="A638" s="276" t="s">
        <v>19304</v>
      </c>
      <c r="B638" s="276" t="s">
        <v>19277</v>
      </c>
      <c r="C638" s="277">
        <v>44</v>
      </c>
      <c r="D638" s="278">
        <f>IF(AND(Data!B$4=2.5,Data!B$6=0.625,OR(Data!B$3="A",Data!B$3="LH"),Data!B$5&lt;&gt;"MS2",Data!B$5&lt;&gt;"MT1",Data!B$5&lt;&gt;"ME3",Data!B$5&lt;&gt;"ME5",Data!B$5&lt;&gt;"IH3"),1,0)</f>
        <v>0</v>
      </c>
      <c r="E638" s="268">
        <f t="shared" si="11"/>
        <v>0</v>
      </c>
    </row>
    <row r="639" spans="1:5" ht="13">
      <c r="A639" s="276" t="s">
        <v>19864</v>
      </c>
      <c r="B639" s="276" t="s">
        <v>19277</v>
      </c>
      <c r="C639" s="277">
        <v>45.1</v>
      </c>
      <c r="D639" s="278">
        <f>IF(AND(Data!B$4=2.5,Data!B$6=1,OR(Data!B$3="A",Data!B$3="LH"),Data!B$5&lt;&gt;"MS2",Data!B$5&lt;&gt;"MT1",Data!B$5&lt;&gt;"ME3",Data!B$5&lt;&gt;"ME5",Data!B$5&lt;&gt;"IH3"),1,0)</f>
        <v>0</v>
      </c>
      <c r="E639" s="268">
        <f t="shared" si="11"/>
        <v>0</v>
      </c>
    </row>
    <row r="640" spans="1:5" ht="13">
      <c r="A640" s="276" t="s">
        <v>19865</v>
      </c>
      <c r="B640" s="276" t="s">
        <v>19277</v>
      </c>
      <c r="C640" s="277">
        <v>47.3</v>
      </c>
      <c r="D640" s="278">
        <f>IF(AND(Data!B$4=2.5,Data!B$6=1.375,OR(Data!B$3="A",Data!B$3="LH"),Data!B$5&lt;&gt;"MS2",Data!B$5&lt;&gt;"MT1",Data!B$5&lt;&gt;"ME3",Data!B$5&lt;&gt;"ME5",Data!B$5&lt;&gt;"IH3"),1,0)</f>
        <v>0</v>
      </c>
      <c r="E640" s="268">
        <f t="shared" si="11"/>
        <v>0</v>
      </c>
    </row>
    <row r="641" spans="1:5" ht="13">
      <c r="A641" s="276" t="s">
        <v>19866</v>
      </c>
      <c r="B641" s="276" t="s">
        <v>19277</v>
      </c>
      <c r="C641" s="277">
        <v>48.4</v>
      </c>
      <c r="D641" s="278">
        <f>IF(AND(Data!B$4=2.5,Data!B$6=1.75,OR(Data!B$3="A",Data!B$3="LH"),Data!B$5&lt;&gt;"MS2",Data!B$5&lt;&gt;"MT1",Data!B$5&lt;&gt;"ME3",Data!B$5&lt;&gt;"ME5",Data!B$5&lt;&gt;"IH3"),1,0)</f>
        <v>0</v>
      </c>
      <c r="E641" s="268">
        <f t="shared" si="11"/>
        <v>0</v>
      </c>
    </row>
    <row r="642" spans="1:5" ht="13">
      <c r="A642" s="276" t="s">
        <v>19294</v>
      </c>
      <c r="B642" s="276" t="s">
        <v>19277</v>
      </c>
      <c r="C642" s="277">
        <v>86.9</v>
      </c>
      <c r="D642" s="278">
        <f>IF(AND(Data!B$4=3.25,OR(Data!B$3="A",Data!B$3="LH"),Data!B$5="MS2"),1,0)</f>
        <v>0</v>
      </c>
      <c r="E642" s="268">
        <f t="shared" si="11"/>
        <v>0</v>
      </c>
    </row>
    <row r="643" spans="1:5" ht="13">
      <c r="A643" s="276" t="s">
        <v>19867</v>
      </c>
      <c r="B643" s="276" t="s">
        <v>19277</v>
      </c>
      <c r="C643" s="277">
        <v>108.9</v>
      </c>
      <c r="D643" s="278">
        <f>IF(AND(Data!B$4=3.25,OR(Data!B$3="A",Data!B$3="LH"),Data!B$5="MT1"),1,0)</f>
        <v>0</v>
      </c>
      <c r="E643" s="268">
        <f t="shared" ref="E643:E706" si="12">D643*C643</f>
        <v>0</v>
      </c>
    </row>
    <row r="644" spans="1:5" ht="13">
      <c r="A644" s="276" t="s">
        <v>19868</v>
      </c>
      <c r="B644" s="276" t="s">
        <v>19277</v>
      </c>
      <c r="C644" s="277">
        <v>41.8</v>
      </c>
      <c r="D644" s="278">
        <f>IF(AND(Data!B$4=3.25,Data!B$6=1,OR(Data!B$3="A",Data!B$3="LH"),Data!B$5&lt;&gt;"MS2",Data!B$5&lt;&gt;"MT1",Data!B$5&lt;&gt;"ME3",Data!B$5&lt;&gt;"ME5",Data!B$5&lt;&gt;"IH3"),1,0)</f>
        <v>0</v>
      </c>
      <c r="E644" s="268">
        <f t="shared" si="12"/>
        <v>0</v>
      </c>
    </row>
    <row r="645" spans="1:5" ht="13">
      <c r="A645" s="276" t="s">
        <v>19869</v>
      </c>
      <c r="B645" s="276" t="s">
        <v>19277</v>
      </c>
      <c r="C645" s="277">
        <v>41.8</v>
      </c>
      <c r="D645" s="278">
        <f>IF(AND(Data!B$4=3.25,Data!B$6=1.375,OR(Data!B$3="A",Data!B$3="LH"),Data!B$5&lt;&gt;"MS2",Data!B$5&lt;&gt;"MT1",Data!B$5&lt;&gt;"ME3",Data!B$5&lt;&gt;"ME5",Data!B$5&lt;&gt;"IH3"),1,0)</f>
        <v>0</v>
      </c>
      <c r="E645" s="268">
        <f t="shared" si="12"/>
        <v>0</v>
      </c>
    </row>
    <row r="646" spans="1:5" ht="13">
      <c r="A646" s="276" t="s">
        <v>19870</v>
      </c>
      <c r="B646" s="276" t="s">
        <v>19277</v>
      </c>
      <c r="C646" s="277">
        <v>41.8</v>
      </c>
      <c r="D646" s="278">
        <f>IF(AND(Data!B$4=3.25,Data!B$6=1.75,OR(Data!B$3="A",Data!B$3="LH"),Data!B$5&lt;&gt;"MS2",Data!B$5&lt;&gt;"MT1",Data!B$5&lt;&gt;"ME3",Data!B$5&lt;&gt;"ME5",Data!B$5&lt;&gt;"IH3"),1,0)</f>
        <v>0</v>
      </c>
      <c r="E646" s="268">
        <f t="shared" si="12"/>
        <v>0</v>
      </c>
    </row>
    <row r="647" spans="1:5" ht="13">
      <c r="A647" s="276" t="s">
        <v>19871</v>
      </c>
      <c r="B647" s="276" t="s">
        <v>19277</v>
      </c>
      <c r="C647" s="277">
        <v>41.8</v>
      </c>
      <c r="D647" s="278">
        <f>IF(AND(Data!B$4=3.25,Data!B$6=2,OR(Data!B$3="A",Data!B$3="LH"),Data!B$5&lt;&gt;"MS2",Data!B$5&lt;&gt;"MT1",Data!B$5&lt;&gt;"ME3",Data!B$5&lt;&gt;"ME5",Data!B$5&lt;&gt;"IH3"),1,0)</f>
        <v>0</v>
      </c>
      <c r="E647" s="268">
        <f t="shared" si="12"/>
        <v>0</v>
      </c>
    </row>
    <row r="648" spans="1:5" ht="13">
      <c r="A648" s="276" t="s">
        <v>19872</v>
      </c>
      <c r="B648" s="276" t="s">
        <v>19277</v>
      </c>
      <c r="C648" s="277">
        <v>97.9</v>
      </c>
      <c r="D648" s="278">
        <f>IF(AND(Data!B$4=4,OR(Data!B$3="A",Data!B$3="LH"),Data!B$5="MS2"),1,0)</f>
        <v>0</v>
      </c>
      <c r="E648" s="268">
        <f t="shared" si="12"/>
        <v>0</v>
      </c>
    </row>
    <row r="649" spans="1:5" ht="13">
      <c r="A649" s="276" t="s">
        <v>19873</v>
      </c>
      <c r="B649" s="276" t="s">
        <v>19277</v>
      </c>
      <c r="C649" s="277">
        <v>124.3</v>
      </c>
      <c r="D649" s="278">
        <f>IF(AND(Data!B$4=4,OR(Data!B$3="A",Data!B$3="LH"),Data!B$5="MT1"),1,0)</f>
        <v>0</v>
      </c>
      <c r="E649" s="268">
        <f t="shared" si="12"/>
        <v>0</v>
      </c>
    </row>
    <row r="650" spans="1:5" ht="13">
      <c r="A650" s="276" t="s">
        <v>19314</v>
      </c>
      <c r="B650" s="276" t="s">
        <v>19277</v>
      </c>
      <c r="C650" s="277">
        <v>63.8</v>
      </c>
      <c r="D650" s="278">
        <f>IF(AND(Data!B$4=4,Data!B$6=1,OR(Data!B$3="A",Data!B$3="LH"),Data!B$5&lt;&gt;"MS2",Data!B$5&lt;&gt;"MT1",Data!B$5&lt;&gt;"ME3",Data!B$5&lt;&gt;"ME5",Data!B$5&lt;&gt;"IH3"),1,0)</f>
        <v>0</v>
      </c>
      <c r="E650" s="268">
        <f t="shared" si="12"/>
        <v>0</v>
      </c>
    </row>
    <row r="651" spans="1:5" ht="13">
      <c r="A651" s="276" t="s">
        <v>19874</v>
      </c>
      <c r="B651" s="276" t="s">
        <v>19277</v>
      </c>
      <c r="C651" s="277">
        <v>66</v>
      </c>
      <c r="D651" s="278">
        <f>IF(AND(Data!B$4=4,Data!B$6=1.375,OR(Data!B$3="A",Data!B$3="LH"),Data!B$5&lt;&gt;"MS2",Data!B$5&lt;&gt;"MT1",Data!B$5&lt;&gt;"ME3",Data!B$5&lt;&gt;"ME5",Data!B$5&lt;&gt;"IH3"),1,0)</f>
        <v>0</v>
      </c>
      <c r="E651" s="268">
        <f t="shared" si="12"/>
        <v>0</v>
      </c>
    </row>
    <row r="652" spans="1:5" ht="13">
      <c r="A652" s="276" t="s">
        <v>19875</v>
      </c>
      <c r="B652" s="276" t="s">
        <v>19277</v>
      </c>
      <c r="C652" s="277">
        <v>71.5</v>
      </c>
      <c r="D652" s="278">
        <f>IF(AND(Data!B$4=4,Data!B$6=1.75,OR(Data!B$3="A",Data!B$3="LH"),Data!B$5&lt;&gt;"MS2",Data!B$5&lt;&gt;"MT1",Data!B$5&lt;&gt;"ME3",Data!B$5&lt;&gt;"ME5",Data!B$5&lt;&gt;"IH3"),1,0)</f>
        <v>0</v>
      </c>
      <c r="E652" s="268">
        <f t="shared" si="12"/>
        <v>0</v>
      </c>
    </row>
    <row r="653" spans="1:5" ht="13">
      <c r="A653" s="276" t="s">
        <v>19876</v>
      </c>
      <c r="B653" s="276" t="s">
        <v>19277</v>
      </c>
      <c r="C653" s="277">
        <v>81.400000000000006</v>
      </c>
      <c r="D653" s="278">
        <f>IF(AND(Data!B$4=4,Data!B$6=2,OR(Data!B$3="A",Data!B$3="LH"),Data!B$5&lt;&gt;"MS2",Data!B$5&lt;&gt;"MT1",Data!B$5&lt;&gt;"ME3",Data!B$5&lt;&gt;"ME5",Data!B$5&lt;&gt;"IH3"),1,0)</f>
        <v>0</v>
      </c>
      <c r="E653" s="268">
        <f t="shared" si="12"/>
        <v>0</v>
      </c>
    </row>
    <row r="654" spans="1:5" ht="13">
      <c r="A654" s="276" t="s">
        <v>19877</v>
      </c>
      <c r="B654" s="276" t="s">
        <v>19277</v>
      </c>
      <c r="C654" s="277">
        <v>108.9</v>
      </c>
      <c r="D654" s="278">
        <f>IF(AND(Data!B$4=5,OR(Data!B$3="A",Data!B$3="LH"),Data!B$5="MS2"),1,0)</f>
        <v>0</v>
      </c>
      <c r="E654" s="268">
        <f t="shared" si="12"/>
        <v>0</v>
      </c>
    </row>
    <row r="655" spans="1:5" ht="13">
      <c r="A655" s="276" t="s">
        <v>19878</v>
      </c>
      <c r="B655" s="276" t="s">
        <v>19277</v>
      </c>
      <c r="C655" s="277">
        <v>139.69999999999999</v>
      </c>
      <c r="D655" s="278">
        <f>IF(AND(Data!B$4=5,OR(Data!B$3="A",Data!B$3="LH"),Data!B$5="MT1"),1,0)</f>
        <v>0</v>
      </c>
      <c r="E655" s="268">
        <f t="shared" si="12"/>
        <v>0</v>
      </c>
    </row>
    <row r="656" spans="1:5" ht="13">
      <c r="A656" s="276" t="s">
        <v>19879</v>
      </c>
      <c r="B656" s="276" t="s">
        <v>19277</v>
      </c>
      <c r="C656" s="277">
        <v>116.6</v>
      </c>
      <c r="D656" s="278">
        <f>IF(AND(Data!B$4=5,Data!B$6=1,OR(Data!B$3="A",Data!B$3="LH"),Data!B$5&lt;&gt;"MS2",Data!B$5&lt;&gt;"MT1",Data!B$5&lt;&gt;"ME3",Data!B$5&lt;&gt;"ME5",Data!B$5&lt;&gt;"IH3"),1,0)</f>
        <v>0</v>
      </c>
      <c r="E656" s="268">
        <f t="shared" si="12"/>
        <v>0</v>
      </c>
    </row>
    <row r="657" spans="1:5" ht="13">
      <c r="A657" s="276" t="s">
        <v>19880</v>
      </c>
      <c r="B657" s="276" t="s">
        <v>19277</v>
      </c>
      <c r="C657" s="277">
        <v>121</v>
      </c>
      <c r="D657" s="278">
        <f>IF(AND(Data!B$4=5,Data!B$6=1.375,OR(Data!B$3="A",Data!B$3="LH"),Data!B$5&lt;&gt;"MS2",Data!B$5&lt;&gt;"MT1",Data!B$5&lt;&gt;"ME3",Data!B$5&lt;&gt;"ME5",Data!B$5&lt;&gt;"IH3"),1,0)</f>
        <v>0</v>
      </c>
      <c r="E657" s="268">
        <f t="shared" si="12"/>
        <v>0</v>
      </c>
    </row>
    <row r="658" spans="1:5" ht="13">
      <c r="A658" s="276" t="s">
        <v>19881</v>
      </c>
      <c r="B658" s="276" t="s">
        <v>19277</v>
      </c>
      <c r="C658" s="277">
        <v>124.3</v>
      </c>
      <c r="D658" s="278">
        <f>IF(AND(Data!B$4=5,Data!B$6=1.75,OR(Data!B$3="A",Data!B$3="LH"),Data!B$5&lt;&gt;"MS2",Data!B$5&lt;&gt;"MT1",Data!B$5&lt;&gt;"ME3",Data!B$5&lt;&gt;"ME5",Data!B$5&lt;&gt;"IH3"),1,0)</f>
        <v>0</v>
      </c>
      <c r="E658" s="268">
        <f t="shared" si="12"/>
        <v>0</v>
      </c>
    </row>
    <row r="659" spans="1:5" ht="13">
      <c r="A659" s="276" t="s">
        <v>19882</v>
      </c>
      <c r="B659" s="276" t="s">
        <v>19277</v>
      </c>
      <c r="C659" s="277">
        <v>132</v>
      </c>
      <c r="D659" s="278">
        <f>IF(AND(Data!B$4=5,Data!B$6=2,OR(Data!B$3="A",Data!B$3="LH"),Data!B$5&lt;&gt;"MS2",Data!B$5&lt;&gt;"MT1",Data!B$5&lt;&gt;"ME3",Data!B$5&lt;&gt;"ME5",Data!B$5&lt;&gt;"IH3"),1,0)</f>
        <v>0</v>
      </c>
      <c r="E659" s="268">
        <f t="shared" si="12"/>
        <v>0</v>
      </c>
    </row>
    <row r="660" spans="1:5" ht="13">
      <c r="A660" s="276" t="s">
        <v>19883</v>
      </c>
      <c r="B660" s="276" t="s">
        <v>19277</v>
      </c>
      <c r="C660" s="277">
        <v>151.80000000000001</v>
      </c>
      <c r="D660" s="278">
        <f>IF(AND(Data!B$4=6,OR(Data!B$3="A",Data!B$3="LH"),Data!B$5="MS2"),1,0)</f>
        <v>0</v>
      </c>
      <c r="E660" s="268">
        <f t="shared" si="12"/>
        <v>0</v>
      </c>
    </row>
    <row r="661" spans="1:5" ht="13">
      <c r="A661" s="276" t="s">
        <v>19884</v>
      </c>
      <c r="B661" s="276" t="s">
        <v>19277</v>
      </c>
      <c r="C661" s="277">
        <v>155.1</v>
      </c>
      <c r="D661" s="278">
        <f>IF(AND(Data!B$4=6,OR(Data!B$3="A",Data!B$3="LH"),Data!B$5="MT1"),1,0)</f>
        <v>0</v>
      </c>
      <c r="E661" s="268">
        <f t="shared" si="12"/>
        <v>0</v>
      </c>
    </row>
    <row r="662" spans="1:5" ht="13">
      <c r="A662" s="276" t="s">
        <v>19885</v>
      </c>
      <c r="B662" s="276" t="s">
        <v>19277</v>
      </c>
      <c r="C662" s="277">
        <v>161.69999999999999</v>
      </c>
      <c r="D662" s="278">
        <f>IF(AND(Data!B$4=6,Data!B$6=1.375,OR(Data!B$3="A",Data!B$3="LH"),Data!B$5&lt;&gt;"MS2",Data!B$5&lt;&gt;"MT1",Data!B$5&lt;&gt;"ME3",Data!B$5&lt;&gt;"ME5",Data!B$5&lt;&gt;"IH3"),1,0)</f>
        <v>0</v>
      </c>
      <c r="E662" s="268">
        <f t="shared" si="12"/>
        <v>0</v>
      </c>
    </row>
    <row r="663" spans="1:5" ht="13">
      <c r="A663" s="276" t="s">
        <v>19886</v>
      </c>
      <c r="B663" s="276" t="s">
        <v>19277</v>
      </c>
      <c r="C663" s="277">
        <v>168.3</v>
      </c>
      <c r="D663" s="278">
        <f>IF(AND(Data!B$4=6,Data!B$6=1.75,OR(Data!B$3="A",Data!B$3="LH"),Data!B$5&lt;&gt;"MS2",Data!B$5&lt;&gt;"MT1",Data!B$5&lt;&gt;"ME3",Data!B$5&lt;&gt;"ME5",Data!B$5&lt;&gt;"IH3"),1,0)</f>
        <v>0</v>
      </c>
      <c r="E663" s="268">
        <f t="shared" si="12"/>
        <v>0</v>
      </c>
    </row>
    <row r="664" spans="1:5" ht="13">
      <c r="A664" s="276" t="s">
        <v>19887</v>
      </c>
      <c r="B664" s="276" t="s">
        <v>19277</v>
      </c>
      <c r="C664" s="277">
        <v>202.4</v>
      </c>
      <c r="D664" s="278">
        <f>IF(AND(Data!B$4=6,Data!B$6=2,OR(Data!B$3="A",Data!B$3="LH"),Data!B$5&lt;&gt;"MS2",Data!B$5&lt;&gt;"MT1",Data!B$5&lt;&gt;"ME3",Data!B$5&lt;&gt;"ME5",Data!B$5&lt;&gt;"IH3"),1,0)</f>
        <v>0</v>
      </c>
      <c r="E664" s="268">
        <f t="shared" si="12"/>
        <v>0</v>
      </c>
    </row>
    <row r="665" spans="1:5" ht="13">
      <c r="A665" s="276" t="s">
        <v>19888</v>
      </c>
      <c r="B665" s="276" t="s">
        <v>19277</v>
      </c>
      <c r="C665" s="277">
        <v>225.5</v>
      </c>
      <c r="D665" s="278">
        <f>IF(AND(Data!B$4=6,Data!B$6=2.5,OR(Data!B$3="A",Data!B$3="LH"),Data!B$5&lt;&gt;"MS2",Data!B$5&lt;&gt;"MT1",Data!B$5&lt;&gt;"ME3",Data!B$5&lt;&gt;"ME5",Data!B$5&lt;&gt;"IH3"),1,0)</f>
        <v>0</v>
      </c>
      <c r="E665" s="268">
        <f t="shared" si="12"/>
        <v>0</v>
      </c>
    </row>
    <row r="666" spans="1:5" ht="13">
      <c r="A666" s="276" t="s">
        <v>19889</v>
      </c>
      <c r="B666" s="276" t="s">
        <v>19277</v>
      </c>
      <c r="C666" s="277">
        <v>233.2</v>
      </c>
      <c r="D666" s="278">
        <f>IF(AND(Data!B$4=7,Data!B$5="ME3"),IF(OR(Data!B$3="A",Data!B$3="LH"),1,0),0)</f>
        <v>0</v>
      </c>
      <c r="E666" s="268">
        <f t="shared" si="12"/>
        <v>0</v>
      </c>
    </row>
    <row r="667" spans="1:5" ht="13">
      <c r="A667" s="276" t="s">
        <v>19890</v>
      </c>
      <c r="B667" s="276" t="s">
        <v>19277</v>
      </c>
      <c r="C667" s="277">
        <v>233.2</v>
      </c>
      <c r="D667" s="278">
        <f>IF(AND(Data!B$4=7,Data!B$6=1.375,OR(Data!B$3="A",Data!B$3="LH"),Data!B$5&lt;&gt;"MS2",Data!B$5&lt;&gt;"MT1",Data!B$5&lt;&gt;"ME3",Data!B$5&lt;&gt;"ME5",Data!B$5&lt;&gt;"IH3"),1,0)</f>
        <v>0</v>
      </c>
      <c r="E667" s="268">
        <f t="shared" si="12"/>
        <v>0</v>
      </c>
    </row>
    <row r="668" spans="1:5" ht="13">
      <c r="A668" s="276" t="s">
        <v>19891</v>
      </c>
      <c r="B668" s="276" t="s">
        <v>19277</v>
      </c>
      <c r="C668" s="277">
        <v>233.2</v>
      </c>
      <c r="D668" s="278">
        <f>IF(AND(Data!B$4=7,Data!B$6=1.75,OR(Data!B$3="A",Data!B$3="LH"),Data!B$5&lt;&gt;"MS2",Data!B$5&lt;&gt;"MT1",Data!B$5&lt;&gt;"ME3",Data!B$5&lt;&gt;"ME5",Data!B$5&lt;&gt;"IH3"),1,0)</f>
        <v>0</v>
      </c>
      <c r="E668" s="268">
        <f t="shared" si="12"/>
        <v>0</v>
      </c>
    </row>
    <row r="669" spans="1:5" ht="13">
      <c r="A669" s="276" t="s">
        <v>19892</v>
      </c>
      <c r="B669" s="276" t="s">
        <v>19277</v>
      </c>
      <c r="C669" s="277">
        <v>233.2</v>
      </c>
      <c r="D669" s="278">
        <f>IF(AND(Data!B$4=7,Data!B$6=2,OR(Data!B$3="A",Data!B$3="LH"),Data!B$5&lt;&gt;"MS2",Data!B$5&lt;&gt;"MT1",Data!B$5&lt;&gt;"ME3",Data!B$5&lt;&gt;"ME5",Data!B$5&lt;&gt;"IH3"),1,0)</f>
        <v>0</v>
      </c>
      <c r="E669" s="268">
        <f t="shared" si="12"/>
        <v>0</v>
      </c>
    </row>
    <row r="670" spans="1:5" ht="13">
      <c r="A670" s="276" t="s">
        <v>19893</v>
      </c>
      <c r="B670" s="276" t="s">
        <v>19277</v>
      </c>
      <c r="C670" s="277">
        <v>233.2</v>
      </c>
      <c r="D670" s="278">
        <f>IF(AND(Data!B$4=7,Data!B$6=2.5,OR(Data!B$3="A",Data!B$3="LH"),Data!B$5&lt;&gt;"MS2",Data!B$5&lt;&gt;"MT1",Data!B$5&lt;&gt;"ME3",Data!B$5&lt;&gt;"ME5",Data!B$5&lt;&gt;"IH3"),1,0)</f>
        <v>0</v>
      </c>
      <c r="E670" s="268">
        <f t="shared" si="12"/>
        <v>0</v>
      </c>
    </row>
    <row r="671" spans="1:5" ht="13">
      <c r="A671" s="276" t="s">
        <v>19894</v>
      </c>
      <c r="B671" s="276" t="s">
        <v>19277</v>
      </c>
      <c r="C671" s="277">
        <v>264</v>
      </c>
      <c r="D671" s="278">
        <f>IF(AND(Data!B$4=8,Data!B$5="ME3"),IF(OR(Data!B$3="A",Data!B$3="LH"),1,0),0)</f>
        <v>0</v>
      </c>
      <c r="E671" s="268">
        <f t="shared" si="12"/>
        <v>0</v>
      </c>
    </row>
    <row r="672" spans="1:5" ht="13">
      <c r="A672" s="276" t="s">
        <v>19895</v>
      </c>
      <c r="B672" s="276" t="s">
        <v>19277</v>
      </c>
      <c r="C672" s="277">
        <v>260.7</v>
      </c>
      <c r="D672" s="278">
        <f>IF(AND(Data!B$4=8,OR(Data!B$3="A",Data!B$3="LH"),Data!B$5="MS2"),1,0)</f>
        <v>0</v>
      </c>
      <c r="E672" s="268">
        <f t="shared" si="12"/>
        <v>0</v>
      </c>
    </row>
    <row r="673" spans="1:5" ht="13">
      <c r="A673" s="276" t="s">
        <v>19896</v>
      </c>
      <c r="B673" s="276" t="s">
        <v>19277</v>
      </c>
      <c r="C673" s="277">
        <v>260.7</v>
      </c>
      <c r="D673" s="278">
        <f>IF(AND(Data!B$4=8,OR(Data!B$3="A",Data!B$3="LH"),Data!B$5="MT1"),1,0)</f>
        <v>0</v>
      </c>
      <c r="E673" s="268">
        <f t="shared" si="12"/>
        <v>0</v>
      </c>
    </row>
    <row r="674" spans="1:5" ht="13">
      <c r="A674" s="276" t="s">
        <v>19897</v>
      </c>
      <c r="B674" s="276" t="s">
        <v>19277</v>
      </c>
      <c r="C674" s="277">
        <v>170.5</v>
      </c>
      <c r="D674" s="278">
        <f>IF(AND(Data!B$4=8,Data!B$6=1.375,OR(Data!B$3="A",Data!B$3="LH"),Data!B$5&lt;&gt;"MS2",Data!B$5&lt;&gt;"MT1",Data!B$5&lt;&gt;"ME3",Data!B$5&lt;&gt;"ME5",Data!B$5&lt;&gt;"IH3"),1,0)</f>
        <v>0</v>
      </c>
      <c r="E674" s="268">
        <f t="shared" si="12"/>
        <v>0</v>
      </c>
    </row>
    <row r="675" spans="1:5" ht="13">
      <c r="A675" s="276" t="s">
        <v>19898</v>
      </c>
      <c r="B675" s="276" t="s">
        <v>19277</v>
      </c>
      <c r="C675" s="277">
        <v>203.5</v>
      </c>
      <c r="D675" s="278">
        <f>IF(AND(Data!B$4=8,Data!B$6=1.75,OR(Data!B$3="A",Data!B$3="LH"),Data!B$5&lt;&gt;"MS2",Data!B$5&lt;&gt;"MT1",Data!B$5&lt;&gt;"ME3",Data!B$5&lt;&gt;"ME5",Data!B$5&lt;&gt;"IH3"),1,0)</f>
        <v>0</v>
      </c>
      <c r="E675" s="268">
        <f t="shared" si="12"/>
        <v>0</v>
      </c>
    </row>
    <row r="676" spans="1:5" ht="13">
      <c r="A676" s="276" t="s">
        <v>19899</v>
      </c>
      <c r="B676" s="276" t="s">
        <v>19277</v>
      </c>
      <c r="C676" s="277">
        <v>214.5</v>
      </c>
      <c r="D676" s="278">
        <f>IF(AND(Data!B$4=8,Data!B$6=2,OR(Data!B$3="A",Data!B$3="LH"),Data!B$5&lt;&gt;"MS2",Data!B$5&lt;&gt;"MT1",Data!B$5&lt;&gt;"ME3",Data!B$5&lt;&gt;"ME5",Data!B$5&lt;&gt;"IH3"),1,0)</f>
        <v>0</v>
      </c>
      <c r="E676" s="268">
        <f t="shared" si="12"/>
        <v>0</v>
      </c>
    </row>
    <row r="677" spans="1:5" ht="13">
      <c r="A677" s="276" t="s">
        <v>19900</v>
      </c>
      <c r="B677" s="276" t="s">
        <v>19277</v>
      </c>
      <c r="C677" s="277">
        <v>225.5</v>
      </c>
      <c r="D677" s="278">
        <f>IF(AND(Data!B$4=8,Data!B$6=2.5,OR(Data!B$3="A",Data!B$3="LH"),Data!B$5&lt;&gt;"MS2",Data!B$5&lt;&gt;"MT1",Data!B$5&lt;&gt;"ME3",Data!B$5&lt;&gt;"ME5",Data!B$5&lt;&gt;"IH3"),1,0)</f>
        <v>0</v>
      </c>
      <c r="E677" s="268">
        <f t="shared" si="12"/>
        <v>0</v>
      </c>
    </row>
    <row r="678" spans="1:5" ht="13">
      <c r="A678" s="276" t="s">
        <v>19901</v>
      </c>
      <c r="B678" s="276" t="s">
        <v>19279</v>
      </c>
      <c r="C678" s="277">
        <v>23.1</v>
      </c>
      <c r="D678" s="278">
        <f>IF(AND(Data!B$4=1.5,Data!B$6=0.625,OR(Data!B$3="A",Data!B$3="LH")),1,0)</f>
        <v>0</v>
      </c>
      <c r="E678" s="268">
        <f t="shared" si="12"/>
        <v>0</v>
      </c>
    </row>
    <row r="679" spans="1:5" ht="13">
      <c r="A679" s="276" t="s">
        <v>19902</v>
      </c>
      <c r="B679" s="276" t="s">
        <v>19279</v>
      </c>
      <c r="C679" s="277">
        <v>27.5</v>
      </c>
      <c r="D679" s="278">
        <f>IF(AND(Data!B$4=1.5,Data!B$6=1,OR(Data!B$3="A",Data!B$3="LH")),1,0)</f>
        <v>0</v>
      </c>
      <c r="E679" s="268">
        <f t="shared" si="12"/>
        <v>0</v>
      </c>
    </row>
    <row r="680" spans="1:5" ht="13">
      <c r="A680" s="276" t="s">
        <v>19903</v>
      </c>
      <c r="B680" s="276" t="s">
        <v>19279</v>
      </c>
      <c r="C680" s="277">
        <v>24.2</v>
      </c>
      <c r="D680" s="278">
        <f>IF(AND(Data!B$4=2,Data!B$6=0.625,OR(Data!B$3="A",Data!B$3="LH")),1,0)</f>
        <v>0</v>
      </c>
      <c r="E680" s="268">
        <f t="shared" si="12"/>
        <v>0</v>
      </c>
    </row>
    <row r="681" spans="1:5" ht="13">
      <c r="A681" s="276" t="s">
        <v>19904</v>
      </c>
      <c r="B681" s="276" t="s">
        <v>19279</v>
      </c>
      <c r="C681" s="277">
        <v>28.6</v>
      </c>
      <c r="D681" s="278">
        <f>IF(AND(Data!B$4=2,Data!B$6=1,OR(Data!B$3="A",Data!B$3="LH")),1,0)</f>
        <v>0</v>
      </c>
      <c r="E681" s="268">
        <f t="shared" si="12"/>
        <v>0</v>
      </c>
    </row>
    <row r="682" spans="1:5" ht="13">
      <c r="A682" s="276" t="s">
        <v>19905</v>
      </c>
      <c r="B682" s="276" t="s">
        <v>19279</v>
      </c>
      <c r="C682" s="277">
        <v>30.8</v>
      </c>
      <c r="D682" s="278">
        <f>IF(AND(Data!B$4=2,Data!B$6=1.375,OR(Data!B$3="A",Data!B$3="LH")),1,0)</f>
        <v>0</v>
      </c>
      <c r="E682" s="268">
        <f t="shared" si="12"/>
        <v>0</v>
      </c>
    </row>
    <row r="683" spans="1:5" ht="13">
      <c r="A683" s="276" t="s">
        <v>19305</v>
      </c>
      <c r="B683" s="276" t="s">
        <v>19279</v>
      </c>
      <c r="C683" s="277">
        <v>25.3</v>
      </c>
      <c r="D683" s="278">
        <f>IF(AND(Data!B$4=2.5,Data!B$6=0.625,OR(Data!B$3="A",Data!B$3="LH")),1,0)</f>
        <v>0</v>
      </c>
      <c r="E683" s="268">
        <f t="shared" si="12"/>
        <v>0</v>
      </c>
    </row>
    <row r="684" spans="1:5" ht="13">
      <c r="A684" s="276" t="s">
        <v>19906</v>
      </c>
      <c r="B684" s="276" t="s">
        <v>19279</v>
      </c>
      <c r="C684" s="277">
        <v>27.5</v>
      </c>
      <c r="D684" s="278">
        <f>IF(AND(Data!B$4=2.5,Data!B$6=1,OR(Data!B$3="A",Data!B$3="LH")),1,0)</f>
        <v>0</v>
      </c>
      <c r="E684" s="268">
        <f t="shared" si="12"/>
        <v>0</v>
      </c>
    </row>
    <row r="685" spans="1:5" ht="13">
      <c r="A685" s="276" t="s">
        <v>19278</v>
      </c>
      <c r="B685" s="276" t="s">
        <v>19279</v>
      </c>
      <c r="C685" s="277">
        <v>28.6</v>
      </c>
      <c r="D685" s="278">
        <f>IF(AND(Data!B$4=2.5,Data!B$6=1.375,OR(Data!B$3="A",Data!B$3="LH")),1,0)</f>
        <v>0</v>
      </c>
      <c r="E685" s="268">
        <f t="shared" si="12"/>
        <v>0</v>
      </c>
    </row>
    <row r="686" spans="1:5" ht="13">
      <c r="A686" s="276" t="s">
        <v>19907</v>
      </c>
      <c r="B686" s="276" t="s">
        <v>19279</v>
      </c>
      <c r="C686" s="277">
        <v>29.7</v>
      </c>
      <c r="D686" s="278">
        <f>IF(AND(Data!B$4=2.5,Data!B$6=1.75,OR(Data!B$3="A",Data!B$3="LH")),1,0)</f>
        <v>0</v>
      </c>
      <c r="E686" s="268">
        <f t="shared" si="12"/>
        <v>0</v>
      </c>
    </row>
    <row r="687" spans="1:5" ht="13">
      <c r="A687" s="276" t="s">
        <v>19908</v>
      </c>
      <c r="B687" s="276" t="s">
        <v>19279</v>
      </c>
      <c r="C687" s="277">
        <v>29.7</v>
      </c>
      <c r="D687" s="278">
        <f>IF(AND(Data!B$4=3.25,Data!B$6=1,OR(Data!B$3="A",Data!B$3="LH")),1,0)</f>
        <v>0</v>
      </c>
      <c r="E687" s="268">
        <f t="shared" si="12"/>
        <v>0</v>
      </c>
    </row>
    <row r="688" spans="1:5" ht="13">
      <c r="A688" s="276" t="s">
        <v>19295</v>
      </c>
      <c r="B688" s="276" t="s">
        <v>19279</v>
      </c>
      <c r="C688" s="277">
        <v>29.7</v>
      </c>
      <c r="D688" s="278">
        <f>IF(AND(Data!B$4=3.25,Data!B$6=1.375,OR(Data!B$3="A",Data!B$3="LH")),1,0)</f>
        <v>0</v>
      </c>
      <c r="E688" s="268">
        <f t="shared" si="12"/>
        <v>0</v>
      </c>
    </row>
    <row r="689" spans="1:5" ht="13">
      <c r="A689" s="276" t="s">
        <v>19909</v>
      </c>
      <c r="B689" s="276" t="s">
        <v>19279</v>
      </c>
      <c r="C689" s="277">
        <v>29.7</v>
      </c>
      <c r="D689" s="278">
        <f>IF(AND(Data!B$4=3.25,Data!B$6=1.75,OR(Data!B$3="A",Data!B$3="LH")),1,0)</f>
        <v>0</v>
      </c>
      <c r="E689" s="268">
        <f t="shared" si="12"/>
        <v>0</v>
      </c>
    </row>
    <row r="690" spans="1:5" ht="13">
      <c r="A690" s="276" t="s">
        <v>19910</v>
      </c>
      <c r="B690" s="276" t="s">
        <v>19279</v>
      </c>
      <c r="C690" s="277">
        <v>30.8</v>
      </c>
      <c r="D690" s="278">
        <f>IF(AND(Data!B$4=3.25,Data!B$6=2,OR(Data!B$3="A",Data!B$3="LH")),1,0)</f>
        <v>0</v>
      </c>
      <c r="E690" s="268">
        <f t="shared" si="12"/>
        <v>0</v>
      </c>
    </row>
    <row r="691" spans="1:5" ht="13">
      <c r="A691" s="276" t="s">
        <v>19315</v>
      </c>
      <c r="B691" s="276" t="s">
        <v>19279</v>
      </c>
      <c r="C691" s="277">
        <v>28.6</v>
      </c>
      <c r="D691" s="278">
        <f>IF(AND(Data!B$4=4,Data!B$6=1,OR(Data!B$3="A",Data!B$3="LH")),1,0)</f>
        <v>0</v>
      </c>
      <c r="E691" s="268">
        <f t="shared" si="12"/>
        <v>0</v>
      </c>
    </row>
    <row r="692" spans="1:5" ht="13">
      <c r="A692" s="276" t="s">
        <v>19911</v>
      </c>
      <c r="B692" s="276" t="s">
        <v>19279</v>
      </c>
      <c r="C692" s="277">
        <v>29.7</v>
      </c>
      <c r="D692" s="278">
        <f>IF(AND(Data!B$4=4,Data!B$6=1.375,OR(Data!B$3="A",Data!B$3="LH")),1,0)</f>
        <v>0</v>
      </c>
      <c r="E692" s="268">
        <f t="shared" si="12"/>
        <v>0</v>
      </c>
    </row>
    <row r="693" spans="1:5" ht="13">
      <c r="A693" s="276" t="s">
        <v>19912</v>
      </c>
      <c r="B693" s="276" t="s">
        <v>19279</v>
      </c>
      <c r="C693" s="277">
        <v>30.8</v>
      </c>
      <c r="D693" s="278">
        <f>IF(AND(Data!B$4=4,Data!B$6=1.75,OR(Data!B$3="A",Data!B$3="LH")),1,0)</f>
        <v>0</v>
      </c>
      <c r="E693" s="268">
        <f t="shared" si="12"/>
        <v>0</v>
      </c>
    </row>
    <row r="694" spans="1:5" ht="13">
      <c r="A694" s="276" t="s">
        <v>19913</v>
      </c>
      <c r="B694" s="276" t="s">
        <v>19279</v>
      </c>
      <c r="C694" s="277">
        <v>30.8</v>
      </c>
      <c r="D694" s="278">
        <f>IF(AND(Data!B$4=4,Data!B$6=2,OR(Data!B$3="A",Data!B$3="LH")),1,0)</f>
        <v>0</v>
      </c>
      <c r="E694" s="268">
        <f t="shared" si="12"/>
        <v>0</v>
      </c>
    </row>
    <row r="695" spans="1:5" ht="13">
      <c r="A695" s="276" t="s">
        <v>19914</v>
      </c>
      <c r="B695" s="276" t="s">
        <v>19279</v>
      </c>
      <c r="C695" s="277">
        <v>47.3</v>
      </c>
      <c r="D695" s="278">
        <f>IF(AND(Data!B$4=5,Data!B$6=1,OR(Data!B$3="A",Data!B$3="LH")),1,0)</f>
        <v>0</v>
      </c>
      <c r="E695" s="268">
        <f t="shared" si="12"/>
        <v>0</v>
      </c>
    </row>
    <row r="696" spans="1:5" ht="13">
      <c r="A696" s="276" t="s">
        <v>19915</v>
      </c>
      <c r="B696" s="276" t="s">
        <v>19279</v>
      </c>
      <c r="C696" s="277">
        <v>50.6</v>
      </c>
      <c r="D696" s="278">
        <f>IF(AND(Data!B$4=5,Data!B$6=1.375,OR(Data!B$3="A",Data!B$3="LH")),1,0)</f>
        <v>0</v>
      </c>
      <c r="E696" s="268">
        <f t="shared" si="12"/>
        <v>0</v>
      </c>
    </row>
    <row r="697" spans="1:5" ht="13">
      <c r="A697" s="276" t="s">
        <v>19916</v>
      </c>
      <c r="B697" s="276" t="s">
        <v>19279</v>
      </c>
      <c r="C697" s="277">
        <v>52.8</v>
      </c>
      <c r="D697" s="278">
        <f>IF(AND(Data!B$4=5,Data!B$6=1.75,OR(Data!B$3="A",Data!B$3="LH")),1,0)</f>
        <v>0</v>
      </c>
      <c r="E697" s="268">
        <f t="shared" si="12"/>
        <v>0</v>
      </c>
    </row>
    <row r="698" spans="1:5" ht="13">
      <c r="A698" s="276" t="s">
        <v>19917</v>
      </c>
      <c r="B698" s="276" t="s">
        <v>19279</v>
      </c>
      <c r="C698" s="277">
        <v>55</v>
      </c>
      <c r="D698" s="278">
        <f>IF(AND(Data!B$4=5,Data!B$6=2,OR(Data!B$3="A",Data!B$3="LH")),1,0)</f>
        <v>0</v>
      </c>
      <c r="E698" s="268">
        <f t="shared" si="12"/>
        <v>0</v>
      </c>
    </row>
    <row r="699" spans="1:5" ht="13">
      <c r="A699" s="276" t="s">
        <v>19918</v>
      </c>
      <c r="B699" s="276" t="s">
        <v>19279</v>
      </c>
      <c r="C699" s="277">
        <v>60.5</v>
      </c>
      <c r="D699" s="278">
        <f>IF(AND(Data!B$4=6,Data!B$6=1.375,OR(Data!B$3="A",Data!B$3="LH")),1,0)</f>
        <v>0</v>
      </c>
      <c r="E699" s="268">
        <f t="shared" si="12"/>
        <v>0</v>
      </c>
    </row>
    <row r="700" spans="1:5" ht="13">
      <c r="A700" s="276" t="s">
        <v>19919</v>
      </c>
      <c r="B700" s="276" t="s">
        <v>19279</v>
      </c>
      <c r="C700" s="277">
        <v>61.6</v>
      </c>
      <c r="D700" s="278">
        <f>IF(AND(Data!B$4=6,Data!B$6=1.75,OR(Data!B$3="A",Data!B$3="LH")),1,0)</f>
        <v>0</v>
      </c>
      <c r="E700" s="268">
        <f t="shared" si="12"/>
        <v>0</v>
      </c>
    </row>
    <row r="701" spans="1:5" ht="13">
      <c r="A701" s="276" t="s">
        <v>19920</v>
      </c>
      <c r="B701" s="276" t="s">
        <v>19279</v>
      </c>
      <c r="C701" s="277">
        <v>63.8</v>
      </c>
      <c r="D701" s="278">
        <f>IF(AND(Data!B$4=6,Data!B$6=2,OR(Data!B$3="A",Data!B$3="LH")),1,0)</f>
        <v>0</v>
      </c>
      <c r="E701" s="268">
        <f t="shared" si="12"/>
        <v>0</v>
      </c>
    </row>
    <row r="702" spans="1:5" ht="13">
      <c r="A702" s="276" t="s">
        <v>19921</v>
      </c>
      <c r="B702" s="276" t="s">
        <v>19279</v>
      </c>
      <c r="C702" s="277">
        <v>66</v>
      </c>
      <c r="D702" s="278">
        <f>IF(AND(Data!B$4=6,Data!B$6=2.5,OR(Data!B$3="A",Data!B$3="LH")),1,0)</f>
        <v>0</v>
      </c>
      <c r="E702" s="268">
        <f t="shared" si="12"/>
        <v>0</v>
      </c>
    </row>
    <row r="703" spans="1:5" ht="13">
      <c r="A703" s="276" t="s">
        <v>19922</v>
      </c>
      <c r="B703" s="276" t="s">
        <v>19279</v>
      </c>
      <c r="C703" s="277">
        <v>63.8</v>
      </c>
      <c r="D703" s="278">
        <f>IF(AND(Data!B$4=7,Data!B$6=1.375,OR(Data!B$3="A",Data!B$3="LH")),1,0)</f>
        <v>0</v>
      </c>
      <c r="E703" s="268">
        <f t="shared" si="12"/>
        <v>0</v>
      </c>
    </row>
    <row r="704" spans="1:5" ht="13">
      <c r="A704" s="276" t="s">
        <v>19923</v>
      </c>
      <c r="B704" s="276" t="s">
        <v>19279</v>
      </c>
      <c r="C704" s="277">
        <v>66</v>
      </c>
      <c r="D704" s="278">
        <f>IF(AND(Data!B$4=7,Data!B$6=1.75,OR(Data!B$3="A",Data!B$3="LH")),1,0)</f>
        <v>0</v>
      </c>
      <c r="E704" s="268">
        <f t="shared" si="12"/>
        <v>0</v>
      </c>
    </row>
    <row r="705" spans="1:5" ht="13">
      <c r="A705" s="276" t="s">
        <v>19924</v>
      </c>
      <c r="B705" s="276" t="s">
        <v>19279</v>
      </c>
      <c r="C705" s="277">
        <v>68.2</v>
      </c>
      <c r="D705" s="278">
        <f>IF(AND(Data!B$4=7,Data!B$6=2,OR(Data!B$3="A",Data!B$3="LH")),1,0)</f>
        <v>0</v>
      </c>
      <c r="E705" s="268">
        <f t="shared" si="12"/>
        <v>0</v>
      </c>
    </row>
    <row r="706" spans="1:5" ht="13">
      <c r="A706" s="276" t="s">
        <v>19925</v>
      </c>
      <c r="B706" s="276" t="s">
        <v>19279</v>
      </c>
      <c r="C706" s="277">
        <v>70.400000000000006</v>
      </c>
      <c r="D706" s="278">
        <f>IF(AND(Data!B$4=7,Data!B$6=2.5,OR(Data!B$3="A",Data!B$3="LH")),1,0)</f>
        <v>0</v>
      </c>
      <c r="E706" s="268">
        <f t="shared" si="12"/>
        <v>0</v>
      </c>
    </row>
    <row r="707" spans="1:5" ht="13">
      <c r="A707" s="276" t="s">
        <v>19926</v>
      </c>
      <c r="B707" s="276" t="s">
        <v>19279</v>
      </c>
      <c r="C707" s="277">
        <v>63.8</v>
      </c>
      <c r="D707" s="278">
        <f>IF(AND(Data!B$4=8,Data!B$6=1.375,OR(Data!B$3="A",Data!B$3="LH")),1,0)</f>
        <v>0</v>
      </c>
      <c r="E707" s="268">
        <f t="shared" ref="E707:E770" si="13">D707*C707</f>
        <v>0</v>
      </c>
    </row>
    <row r="708" spans="1:5" ht="13">
      <c r="A708" s="276" t="s">
        <v>19927</v>
      </c>
      <c r="B708" s="276" t="s">
        <v>19279</v>
      </c>
      <c r="C708" s="277">
        <v>66</v>
      </c>
      <c r="D708" s="278">
        <f>IF(AND(Data!B$4=8,Data!B$6=1.75,OR(Data!B$3="A",Data!B$3="LH")),1,0)</f>
        <v>0</v>
      </c>
      <c r="E708" s="268">
        <f t="shared" si="13"/>
        <v>0</v>
      </c>
    </row>
    <row r="709" spans="1:5" ht="13">
      <c r="A709" s="276" t="s">
        <v>19928</v>
      </c>
      <c r="B709" s="276" t="s">
        <v>19279</v>
      </c>
      <c r="C709" s="277">
        <v>68.2</v>
      </c>
      <c r="D709" s="278">
        <f>IF(AND(Data!B$4=8,Data!B$6=2,OR(Data!B$3="A",Data!B$3="LH")),1,0)</f>
        <v>0</v>
      </c>
      <c r="E709" s="268">
        <f t="shared" si="13"/>
        <v>0</v>
      </c>
    </row>
    <row r="710" spans="1:5" ht="13">
      <c r="A710" s="276" t="s">
        <v>19929</v>
      </c>
      <c r="B710" s="276" t="s">
        <v>19279</v>
      </c>
      <c r="C710" s="277">
        <v>70.400000000000006</v>
      </c>
      <c r="D710" s="278">
        <f>IF(AND(Data!B$4=8,Data!B$6=2.5,OR(Data!B$3="A",Data!B$3="LH")),1,0)</f>
        <v>0</v>
      </c>
      <c r="E710" s="268">
        <f t="shared" si="13"/>
        <v>0</v>
      </c>
    </row>
    <row r="711" spans="1:5" ht="13">
      <c r="A711" s="276" t="s">
        <v>19930</v>
      </c>
      <c r="B711" s="276" t="s">
        <v>19290</v>
      </c>
      <c r="C711" s="277">
        <v>2.2000000000000002</v>
      </c>
      <c r="D711" s="278">
        <f>IF(AND(Data!B$4=1.5,Data!B$10&lt;&gt;"V",OR(Data!B$3="A",Data!B$3="LH")),1*2,0)</f>
        <v>0</v>
      </c>
      <c r="E711" s="268">
        <f t="shared" si="13"/>
        <v>0</v>
      </c>
    </row>
    <row r="712" spans="1:5" ht="13">
      <c r="A712" s="276" t="s">
        <v>19931</v>
      </c>
      <c r="B712" s="276" t="s">
        <v>19290</v>
      </c>
      <c r="C712" s="277">
        <v>2.2000000000000002</v>
      </c>
      <c r="D712" s="278">
        <f>IF(AND(Data!B$4=2,Data!B$10&lt;&gt;"V",OR(Data!B$3="A",Data!B$3="LH")),1*2,0)</f>
        <v>0</v>
      </c>
      <c r="E712" s="268">
        <f t="shared" si="13"/>
        <v>0</v>
      </c>
    </row>
    <row r="713" spans="1:5" ht="13">
      <c r="A713" s="276" t="s">
        <v>19267</v>
      </c>
      <c r="B713" s="276" t="s">
        <v>19290</v>
      </c>
      <c r="C713" s="277">
        <v>3.3</v>
      </c>
      <c r="D713" s="278">
        <f>IF(AND(Data!B$4=2.5,Data!B$10&lt;&gt;"V",OR(Data!B$3="A",Data!B$3="LH")),1*2,0)</f>
        <v>0</v>
      </c>
      <c r="E713" s="268">
        <f t="shared" si="13"/>
        <v>0</v>
      </c>
    </row>
    <row r="714" spans="1:5" ht="13">
      <c r="A714" s="276" t="s">
        <v>19289</v>
      </c>
      <c r="B714" s="276" t="s">
        <v>19290</v>
      </c>
      <c r="C714" s="277">
        <v>3.3</v>
      </c>
      <c r="D714" s="278">
        <f>IF(AND(Data!B$4=3.25,Data!B$10&lt;&gt;"V",OR(Data!B$3="A",Data!B$3="LH")),1*2,0)</f>
        <v>0</v>
      </c>
      <c r="E714" s="268">
        <f t="shared" si="13"/>
        <v>0</v>
      </c>
    </row>
    <row r="715" spans="1:5" ht="13">
      <c r="A715" s="276" t="s">
        <v>19308</v>
      </c>
      <c r="B715" s="276" t="s">
        <v>19290</v>
      </c>
      <c r="C715" s="277">
        <v>4.4000000000000004</v>
      </c>
      <c r="D715" s="278">
        <f>IF(AND(Data!B$4=4,Data!B$10&lt;&gt;"V",OR(Data!B$3="A",Data!B$3="LH")),1*2,0)</f>
        <v>0</v>
      </c>
      <c r="E715" s="268">
        <f t="shared" si="13"/>
        <v>0</v>
      </c>
    </row>
    <row r="716" spans="1:5" ht="13">
      <c r="A716" s="276" t="s">
        <v>19932</v>
      </c>
      <c r="B716" s="276" t="s">
        <v>19290</v>
      </c>
      <c r="C716" s="277">
        <v>5.5</v>
      </c>
      <c r="D716" s="278">
        <f>IF(AND(Data!B$4=5,Data!B$10&lt;&gt;"V",OR(Data!B$3="A",Data!B$3="LH")),1*2,0)</f>
        <v>0</v>
      </c>
      <c r="E716" s="268">
        <f t="shared" si="13"/>
        <v>0</v>
      </c>
    </row>
    <row r="717" spans="1:5" ht="13">
      <c r="A717" s="276" t="s">
        <v>19933</v>
      </c>
      <c r="B717" s="276" t="s">
        <v>19290</v>
      </c>
      <c r="C717" s="277">
        <v>8.8000000000000007</v>
      </c>
      <c r="D717" s="278">
        <f>IF(AND(Data!B$4=6,Data!B$10&lt;&gt;"V",OR(Data!B$3="A",Data!B$3="LH")),1*2,0)</f>
        <v>0</v>
      </c>
      <c r="E717" s="268">
        <f t="shared" si="13"/>
        <v>0</v>
      </c>
    </row>
    <row r="718" spans="1:5" ht="13">
      <c r="A718" s="276" t="s">
        <v>19934</v>
      </c>
      <c r="B718" s="276" t="s">
        <v>19290</v>
      </c>
      <c r="C718" s="277">
        <v>15.4</v>
      </c>
      <c r="D718" s="278">
        <f>IF(AND(Data!B$4=7,Data!B$10&lt;&gt;"V",OR(Data!B$3="A",Data!B$3="LH")),1*2,0)</f>
        <v>0</v>
      </c>
      <c r="E718" s="268">
        <f t="shared" si="13"/>
        <v>0</v>
      </c>
    </row>
    <row r="719" spans="1:5" ht="13">
      <c r="A719" s="276" t="s">
        <v>19935</v>
      </c>
      <c r="B719" s="276" t="s">
        <v>19290</v>
      </c>
      <c r="C719" s="277">
        <v>17.600000000000001</v>
      </c>
      <c r="D719" s="278">
        <f>IF(AND(Data!B$4=8,Data!B$10&lt;&gt;"V",OR(Data!B$3="A",Data!B$3="LH")),1*2,0)</f>
        <v>0</v>
      </c>
      <c r="E719" s="268">
        <f t="shared" si="13"/>
        <v>0</v>
      </c>
    </row>
    <row r="720" spans="1:5" ht="13">
      <c r="A720" s="276" t="s">
        <v>19936</v>
      </c>
      <c r="B720" s="276" t="s">
        <v>19269</v>
      </c>
      <c r="C720" s="277">
        <v>1.1000000000000001</v>
      </c>
      <c r="D720" s="278">
        <f>IF(AND(Data!B$4=1.5,Data!B$10&lt;&gt;"V",OR(Data!B$3="A",Data!B$3="LH")),1*2,0)</f>
        <v>0</v>
      </c>
      <c r="E720" s="268">
        <f t="shared" si="13"/>
        <v>0</v>
      </c>
    </row>
    <row r="721" spans="1:5" ht="13">
      <c r="A721" s="276" t="s">
        <v>19937</v>
      </c>
      <c r="B721" s="276" t="s">
        <v>19269</v>
      </c>
      <c r="C721" s="277">
        <v>1.1000000000000001</v>
      </c>
      <c r="D721" s="278">
        <f>IF(AND(Data!B$4=2,Data!B$10&lt;&gt;"V",OR(Data!B$3="A",Data!B$3="LH")),1*2,0)</f>
        <v>0</v>
      </c>
      <c r="E721" s="268">
        <f t="shared" si="13"/>
        <v>0</v>
      </c>
    </row>
    <row r="722" spans="1:5" ht="13">
      <c r="A722" s="276" t="s">
        <v>19268</v>
      </c>
      <c r="B722" s="276" t="s">
        <v>19269</v>
      </c>
      <c r="C722" s="277">
        <v>1.1000000000000001</v>
      </c>
      <c r="D722" s="278">
        <f>IF(AND(Data!B$4=2.5,Data!B$10&lt;&gt;"V",OR(Data!B$3="A",Data!B$3="LH")),1*2,0)</f>
        <v>0</v>
      </c>
      <c r="E722" s="268">
        <f t="shared" si="13"/>
        <v>0</v>
      </c>
    </row>
    <row r="723" spans="1:5" ht="13">
      <c r="A723" s="276" t="s">
        <v>19291</v>
      </c>
      <c r="B723" s="276" t="s">
        <v>19269</v>
      </c>
      <c r="C723" s="277">
        <v>1.1000000000000001</v>
      </c>
      <c r="D723" s="278">
        <f>IF(AND(Data!B$4=3.25,Data!B$10&lt;&gt;"V",OR(Data!B$3="A",Data!B$3="LH")),1*2,0)</f>
        <v>0</v>
      </c>
      <c r="E723" s="268">
        <f t="shared" si="13"/>
        <v>0</v>
      </c>
    </row>
    <row r="724" spans="1:5" ht="13">
      <c r="A724" s="276" t="s">
        <v>19309</v>
      </c>
      <c r="B724" s="276" t="s">
        <v>19269</v>
      </c>
      <c r="C724" s="277">
        <v>1.1000000000000001</v>
      </c>
      <c r="D724" s="278">
        <f>IF(AND(Data!B$4=4,Data!B$10&lt;&gt;"V",OR(Data!B$3="A",Data!B$3="LH")),1*2,0)</f>
        <v>0</v>
      </c>
      <c r="E724" s="268">
        <f t="shared" si="13"/>
        <v>0</v>
      </c>
    </row>
    <row r="725" spans="1:5" ht="13">
      <c r="A725" s="276" t="s">
        <v>19938</v>
      </c>
      <c r="B725" s="276" t="s">
        <v>19269</v>
      </c>
      <c r="C725" s="277">
        <v>1.1000000000000001</v>
      </c>
      <c r="D725" s="278">
        <f>IF(AND(Data!B$4=5,Data!B$10&lt;&gt;"V",OR(Data!B$3="A",Data!B$3="LH")),1*2,0)</f>
        <v>0</v>
      </c>
      <c r="E725" s="268">
        <f t="shared" si="13"/>
        <v>0</v>
      </c>
    </row>
    <row r="726" spans="1:5" ht="13">
      <c r="A726" s="276" t="s">
        <v>19939</v>
      </c>
      <c r="B726" s="276" t="s">
        <v>19269</v>
      </c>
      <c r="C726" s="277">
        <v>1.1000000000000001</v>
      </c>
      <c r="D726" s="278">
        <f>IF(AND(Data!B$4=6,Data!B$10&lt;&gt;"V",OR(Data!B$3="A",Data!B$3="LH")),1*2,0)</f>
        <v>0</v>
      </c>
      <c r="E726" s="268">
        <f t="shared" si="13"/>
        <v>0</v>
      </c>
    </row>
    <row r="727" spans="1:5" ht="13">
      <c r="A727" s="276" t="s">
        <v>19940</v>
      </c>
      <c r="B727" s="276" t="s">
        <v>19269</v>
      </c>
      <c r="C727" s="277">
        <v>1.1000000000000001</v>
      </c>
      <c r="D727" s="278">
        <f>IF(AND(Data!B$4=7,Data!B$10&lt;&gt;"V",OR(Data!B$3="A",Data!B$3="LH")),1*2,0)</f>
        <v>0</v>
      </c>
      <c r="E727" s="268">
        <f t="shared" si="13"/>
        <v>0</v>
      </c>
    </row>
    <row r="728" spans="1:5" ht="13">
      <c r="A728" s="276" t="s">
        <v>19941</v>
      </c>
      <c r="B728" s="276" t="s">
        <v>19269</v>
      </c>
      <c r="C728" s="277">
        <v>2.2000000000000002</v>
      </c>
      <c r="D728" s="278">
        <f>IF(AND(Data!B$4=8,Data!B$10&lt;&gt;"V",OR(Data!B$3="A",Data!B$3="LH")),1*2,0)</f>
        <v>0</v>
      </c>
      <c r="E728" s="268">
        <f t="shared" si="13"/>
        <v>0</v>
      </c>
    </row>
    <row r="729" spans="1:5" ht="13">
      <c r="A729" s="276" t="s">
        <v>19943</v>
      </c>
      <c r="B729" s="276" t="s">
        <v>19942</v>
      </c>
      <c r="C729" s="277">
        <v>99</v>
      </c>
      <c r="D729" s="278">
        <f>IF(AND(Data!B$4=1.5,OR(Data!B$3="A",Data!B$3="LH"),Data!B$5="MT4"),1,0)</f>
        <v>0</v>
      </c>
      <c r="E729" s="268">
        <f t="shared" si="13"/>
        <v>0</v>
      </c>
    </row>
    <row r="730" spans="1:5" ht="13">
      <c r="A730" s="276" t="s">
        <v>19944</v>
      </c>
      <c r="B730" s="276" t="s">
        <v>19942</v>
      </c>
      <c r="C730" s="277">
        <v>104.5</v>
      </c>
      <c r="D730" s="278">
        <f>IF(AND(Data!B$4=2,OR(Data!B$3="A",Data!B$3="LH"),Data!B$5="MT4"),1,0)</f>
        <v>0</v>
      </c>
      <c r="E730" s="268">
        <f t="shared" si="13"/>
        <v>0</v>
      </c>
    </row>
    <row r="731" spans="1:5" ht="13">
      <c r="A731" s="276" t="s">
        <v>19945</v>
      </c>
      <c r="B731" s="276" t="s">
        <v>19942</v>
      </c>
      <c r="C731" s="277">
        <v>66</v>
      </c>
      <c r="D731" s="278">
        <f>IF(AND(Data!B$4=2.5,OR(Data!B$3="A",Data!B$3="LH"),Data!B$5="MT4"),1,0)</f>
        <v>0</v>
      </c>
      <c r="E731" s="268">
        <f t="shared" si="13"/>
        <v>0</v>
      </c>
    </row>
    <row r="732" spans="1:5" ht="13">
      <c r="A732" s="276" t="s">
        <v>19946</v>
      </c>
      <c r="B732" s="276" t="s">
        <v>19942</v>
      </c>
      <c r="C732" s="277">
        <v>121</v>
      </c>
      <c r="D732" s="278">
        <f>IF(AND(Data!B$4=3.25,OR(Data!B$3="A",Data!B$3="LH"),Data!B$5="MT4"),1,0)</f>
        <v>0</v>
      </c>
      <c r="E732" s="268">
        <f t="shared" si="13"/>
        <v>0</v>
      </c>
    </row>
    <row r="733" spans="1:5" ht="13">
      <c r="A733" s="276" t="s">
        <v>19947</v>
      </c>
      <c r="B733" s="276" t="s">
        <v>19942</v>
      </c>
      <c r="C733" s="277">
        <v>148.5</v>
      </c>
      <c r="D733" s="278">
        <f>IF(AND(Data!B$4=4,OR(Data!B$3="A",Data!B$3="LH"),Data!B$5="MT4"),1,0)</f>
        <v>0</v>
      </c>
      <c r="E733" s="268">
        <f t="shared" si="13"/>
        <v>0</v>
      </c>
    </row>
    <row r="734" spans="1:5" ht="13">
      <c r="A734" s="276" t="s">
        <v>19948</v>
      </c>
      <c r="B734" s="276" t="s">
        <v>19942</v>
      </c>
      <c r="C734" s="277">
        <v>173.8</v>
      </c>
      <c r="D734" s="278">
        <f>IF(AND(Data!B$4=5,OR(Data!B$3="A",Data!B$3="LH"),Data!B$5="MT4"),1,0)</f>
        <v>0</v>
      </c>
      <c r="E734" s="268">
        <f t="shared" si="13"/>
        <v>0</v>
      </c>
    </row>
    <row r="735" spans="1:5" ht="13">
      <c r="A735" s="276" t="s">
        <v>19949</v>
      </c>
      <c r="B735" s="276" t="s">
        <v>19942</v>
      </c>
      <c r="C735" s="277">
        <v>310.2</v>
      </c>
      <c r="D735" s="278">
        <f>IF(AND(Data!B$4=6,OR(Data!B$3="A",Data!B$3="LH"),Data!B$5="MT4"),1,0)</f>
        <v>0</v>
      </c>
      <c r="E735" s="268">
        <f t="shared" si="13"/>
        <v>0</v>
      </c>
    </row>
    <row r="736" spans="1:5" ht="13">
      <c r="A736" s="276" t="s">
        <v>19950</v>
      </c>
      <c r="B736" s="276" t="s">
        <v>19942</v>
      </c>
      <c r="C736" s="277">
        <v>260.7</v>
      </c>
      <c r="D736" s="278">
        <f>IF(AND(Data!B$4=7,OR(Data!B$3="A",Data!B$3="LH"),Data!B$5="MT4"),1,0)</f>
        <v>0</v>
      </c>
      <c r="E736" s="268">
        <f t="shared" si="13"/>
        <v>0</v>
      </c>
    </row>
    <row r="737" spans="1:5" ht="13">
      <c r="A737" s="276" t="s">
        <v>19951</v>
      </c>
      <c r="B737" s="276" t="s">
        <v>19942</v>
      </c>
      <c r="C737" s="277">
        <v>260.7</v>
      </c>
      <c r="D737" s="278">
        <f>IF(AND(Data!B$4=8,OR(Data!B$3="A",Data!B$3="LH"),Data!B$5="MT4"),1,0)</f>
        <v>0</v>
      </c>
      <c r="E737" s="268">
        <f t="shared" si="13"/>
        <v>0</v>
      </c>
    </row>
    <row r="738" spans="1:5" ht="13">
      <c r="A738" s="276" t="s">
        <v>19952</v>
      </c>
      <c r="B738" s="276" t="s">
        <v>19953</v>
      </c>
      <c r="C738" s="277">
        <v>33</v>
      </c>
      <c r="D738" s="278">
        <f>IF(AND(Data!B$4=1.5,OR(Data!B$3="A",Data!B$3="LH"),Data!B$5="MF6"),1,0)</f>
        <v>0</v>
      </c>
      <c r="E738" s="268">
        <f t="shared" si="13"/>
        <v>0</v>
      </c>
    </row>
    <row r="739" spans="1:5" ht="13">
      <c r="A739" s="276" t="s">
        <v>19954</v>
      </c>
      <c r="B739" s="276" t="s">
        <v>19953</v>
      </c>
      <c r="C739" s="277">
        <v>97.9</v>
      </c>
      <c r="D739" s="278">
        <f>IF(AND(Data!B$4=2,OR(Data!B$3="A",Data!B$3="LH"),Data!B$5="MF6"),1,0)</f>
        <v>0</v>
      </c>
      <c r="E739" s="268">
        <f t="shared" si="13"/>
        <v>0</v>
      </c>
    </row>
    <row r="740" spans="1:5" ht="13">
      <c r="A740" s="276" t="s">
        <v>19955</v>
      </c>
      <c r="B740" s="276" t="s">
        <v>19953</v>
      </c>
      <c r="C740" s="277">
        <v>114.4</v>
      </c>
      <c r="D740" s="278">
        <f>IF(AND(Data!B$4=2.5,OR(Data!B$3="A",Data!B$3="LH"),Data!B$5="MF6"),1,0)</f>
        <v>0</v>
      </c>
      <c r="E740" s="268">
        <f t="shared" si="13"/>
        <v>0</v>
      </c>
    </row>
    <row r="741" spans="1:5" ht="13">
      <c r="A741" s="276" t="s">
        <v>19956</v>
      </c>
      <c r="B741" s="276" t="s">
        <v>19953</v>
      </c>
      <c r="C741" s="277">
        <v>130.9</v>
      </c>
      <c r="D741" s="278">
        <f>IF(AND(Data!B$4=3.25,OR(Data!B$3="A",Data!B$3="LH"),Data!B$5="MF6"),1,0)</f>
        <v>0</v>
      </c>
      <c r="E741" s="268">
        <f t="shared" si="13"/>
        <v>0</v>
      </c>
    </row>
    <row r="742" spans="1:5" ht="13">
      <c r="A742" s="276" t="s">
        <v>19957</v>
      </c>
      <c r="B742" s="276" t="s">
        <v>19953</v>
      </c>
      <c r="C742" s="277">
        <v>147.4</v>
      </c>
      <c r="D742" s="278">
        <f>IF(AND(Data!B$4=4,OR(Data!B$3="A",Data!B$3="LH"),Data!B$5="MF6"),1,0)</f>
        <v>0</v>
      </c>
      <c r="E742" s="268">
        <f t="shared" si="13"/>
        <v>0</v>
      </c>
    </row>
    <row r="743" spans="1:5" ht="13">
      <c r="A743" s="276" t="s">
        <v>19958</v>
      </c>
      <c r="B743" s="276" t="s">
        <v>19953</v>
      </c>
      <c r="C743" s="277">
        <v>162.80000000000001</v>
      </c>
      <c r="D743" s="278">
        <f>IF(AND(Data!B$4=5,OR(Data!B$3="A",Data!B$3="LH"),Data!B$5="MF6"),1,0)</f>
        <v>0</v>
      </c>
      <c r="E743" s="268">
        <f t="shared" si="13"/>
        <v>0</v>
      </c>
    </row>
    <row r="744" spans="1:5" ht="13">
      <c r="A744" s="276" t="s">
        <v>19959</v>
      </c>
      <c r="B744" s="276" t="s">
        <v>19953</v>
      </c>
      <c r="C744" s="277">
        <v>227.7</v>
      </c>
      <c r="D744" s="278">
        <f>IF(AND(Data!B$4=6,OR(Data!B$3="A",Data!B$3="LH"),Data!B$5="MF6"),1,0)</f>
        <v>0</v>
      </c>
      <c r="E744" s="268">
        <f t="shared" si="13"/>
        <v>0</v>
      </c>
    </row>
    <row r="745" spans="1:5" ht="13">
      <c r="A745" s="276" t="s">
        <v>19960</v>
      </c>
      <c r="B745" s="276" t="s">
        <v>19953</v>
      </c>
      <c r="C745" s="277">
        <v>227.7</v>
      </c>
      <c r="D745" s="278">
        <f>IF(AND(Data!B$4=7,OR(Data!B$3="A",Data!B$3="LH"),Data!B$5="MF6"),1,0)</f>
        <v>0</v>
      </c>
      <c r="E745" s="268">
        <f t="shared" si="13"/>
        <v>0</v>
      </c>
    </row>
    <row r="746" spans="1:5" ht="13">
      <c r="A746" s="276" t="s">
        <v>19961</v>
      </c>
      <c r="B746" s="276" t="s">
        <v>19953</v>
      </c>
      <c r="C746" s="277">
        <v>390.5</v>
      </c>
      <c r="D746" s="278">
        <f>IF(AND(Data!B$4=8,OR(Data!B$3="A",Data!B$3="LH"),Data!B$5="MF6"),1,0)</f>
        <v>0</v>
      </c>
      <c r="E746" s="268">
        <f t="shared" si="13"/>
        <v>0</v>
      </c>
    </row>
    <row r="747" spans="1:5" ht="13">
      <c r="A747" s="276" t="s">
        <v>19962</v>
      </c>
      <c r="B747" s="276" t="s">
        <v>19963</v>
      </c>
      <c r="C747" s="277">
        <v>49.5</v>
      </c>
      <c r="D747" s="278">
        <f>IF(AND(Data!B$4=1.5,OR(Data!B$3="A",Data!B$3="LH"),Data!B$5="MF5"),1,0)</f>
        <v>0</v>
      </c>
      <c r="E747" s="268">
        <f t="shared" si="13"/>
        <v>0</v>
      </c>
    </row>
    <row r="748" spans="1:5" ht="13">
      <c r="A748" s="276" t="s">
        <v>19964</v>
      </c>
      <c r="B748" s="276" t="s">
        <v>19963</v>
      </c>
      <c r="C748" s="277">
        <v>147.4</v>
      </c>
      <c r="D748" s="278">
        <f>IF(AND(Data!B$4=2,OR(Data!B$3="A",Data!B$3="LH"),Data!B$5="MF5"),1,0)</f>
        <v>0</v>
      </c>
      <c r="E748" s="268">
        <f t="shared" si="13"/>
        <v>0</v>
      </c>
    </row>
    <row r="749" spans="1:5" ht="13">
      <c r="A749" s="276" t="s">
        <v>19965</v>
      </c>
      <c r="B749" s="276" t="s">
        <v>19963</v>
      </c>
      <c r="C749" s="277">
        <v>171.6</v>
      </c>
      <c r="D749" s="278">
        <f>IF(AND(Data!B$4=2.5,OR(Data!B$3="A",Data!B$3="LH"),Data!B$5="MF5"),1,0)</f>
        <v>0</v>
      </c>
      <c r="E749" s="268">
        <f t="shared" si="13"/>
        <v>0</v>
      </c>
    </row>
    <row r="750" spans="1:5" ht="13">
      <c r="A750" s="276" t="s">
        <v>19966</v>
      </c>
      <c r="B750" s="276" t="s">
        <v>19963</v>
      </c>
      <c r="C750" s="277">
        <v>195.8</v>
      </c>
      <c r="D750" s="278">
        <f>IF(AND(Data!B$4=3.25,OR(Data!B$3="A",Data!B$3="LH"),Data!B$5="MF5"),1,0)</f>
        <v>0</v>
      </c>
      <c r="E750" s="268">
        <f t="shared" si="13"/>
        <v>0</v>
      </c>
    </row>
    <row r="751" spans="1:5" ht="13">
      <c r="A751" s="276" t="s">
        <v>19967</v>
      </c>
      <c r="B751" s="276" t="s">
        <v>19963</v>
      </c>
      <c r="C751" s="277">
        <v>220</v>
      </c>
      <c r="D751" s="278">
        <f>IF(AND(Data!B$4=4,OR(Data!B$3="A",Data!B$3="LH"),Data!B$5="MF5"),1,0)</f>
        <v>0</v>
      </c>
      <c r="E751" s="268">
        <f t="shared" si="13"/>
        <v>0</v>
      </c>
    </row>
    <row r="752" spans="1:5" ht="13">
      <c r="A752" s="276" t="s">
        <v>19968</v>
      </c>
      <c r="B752" s="276" t="s">
        <v>19963</v>
      </c>
      <c r="C752" s="277">
        <v>244.2</v>
      </c>
      <c r="D752" s="278">
        <f>IF(AND(Data!B$4=5,OR(Data!B$3="A",Data!B$3="LH"),Data!B$5="MF5"),1,0)</f>
        <v>0</v>
      </c>
      <c r="E752" s="268">
        <f t="shared" si="13"/>
        <v>0</v>
      </c>
    </row>
    <row r="753" spans="1:5" ht="13">
      <c r="A753" s="276" t="s">
        <v>19969</v>
      </c>
      <c r="B753" s="276" t="s">
        <v>19963</v>
      </c>
      <c r="C753" s="277">
        <v>342.1</v>
      </c>
      <c r="D753" s="278">
        <f>IF(AND(Data!B$4=6,OR(Data!B$3="A",Data!B$3="LH"),Data!B$5="MF5"),1,0)</f>
        <v>0</v>
      </c>
      <c r="E753" s="268">
        <f t="shared" si="13"/>
        <v>0</v>
      </c>
    </row>
    <row r="754" spans="1:5" ht="13">
      <c r="A754" s="276" t="s">
        <v>19970</v>
      </c>
      <c r="B754" s="276" t="s">
        <v>19963</v>
      </c>
      <c r="C754" s="277">
        <v>342.1</v>
      </c>
      <c r="D754" s="278">
        <f>IF(AND(Data!B$4=7,OR(Data!B$3="A",Data!B$3="LH"),Data!B$5="MF5"),1,0)</f>
        <v>0</v>
      </c>
      <c r="E754" s="268">
        <f t="shared" si="13"/>
        <v>0</v>
      </c>
    </row>
    <row r="755" spans="1:5" ht="13">
      <c r="A755" s="276" t="s">
        <v>19971</v>
      </c>
      <c r="B755" s="276" t="s">
        <v>19963</v>
      </c>
      <c r="C755" s="277">
        <v>586.29999999999995</v>
      </c>
      <c r="D755" s="278">
        <f>IF(AND(Data!B$4=8,OR(Data!B$3="A",Data!B$3="LH"),Data!B$5="MF5"),1,0)</f>
        <v>0</v>
      </c>
      <c r="E755" s="268">
        <f t="shared" si="13"/>
        <v>0</v>
      </c>
    </row>
    <row r="756" spans="1:5" ht="13">
      <c r="A756" s="276" t="s">
        <v>19972</v>
      </c>
      <c r="B756" s="276" t="s">
        <v>19973</v>
      </c>
      <c r="C756" s="277">
        <v>16.5</v>
      </c>
      <c r="D756" s="278">
        <f>IF(AND(Data!B$4=1.5,OR(Data!B$3="A",Data!B$3="LH"),Data!B$5="MF2"),1,0)</f>
        <v>0</v>
      </c>
      <c r="E756" s="268">
        <f t="shared" si="13"/>
        <v>0</v>
      </c>
    </row>
    <row r="757" spans="1:5" ht="13">
      <c r="A757" s="276" t="s">
        <v>19974</v>
      </c>
      <c r="B757" s="276" t="s">
        <v>19973</v>
      </c>
      <c r="C757" s="277">
        <v>19.8</v>
      </c>
      <c r="D757" s="278">
        <f>IF(AND(Data!B$4=2,OR(Data!B$3="A",Data!B$3="LH"),Data!B$5="MF2"),1,0)</f>
        <v>0</v>
      </c>
      <c r="E757" s="268">
        <f t="shared" si="13"/>
        <v>0</v>
      </c>
    </row>
    <row r="758" spans="1:5" ht="13">
      <c r="A758" s="276" t="s">
        <v>19975</v>
      </c>
      <c r="B758" s="276" t="s">
        <v>19973</v>
      </c>
      <c r="C758" s="277">
        <v>24.2</v>
      </c>
      <c r="D758" s="278">
        <f>IF(AND(Data!B$4=2.5,OR(Data!B$3="A",Data!B$3="LH"),Data!B$5="MF2"),1,0)</f>
        <v>0</v>
      </c>
      <c r="E758" s="268">
        <f t="shared" si="13"/>
        <v>0</v>
      </c>
    </row>
    <row r="759" spans="1:5" ht="13">
      <c r="A759" s="276" t="s">
        <v>19976</v>
      </c>
      <c r="B759" s="276" t="s">
        <v>19973</v>
      </c>
      <c r="C759" s="277">
        <v>28.6</v>
      </c>
      <c r="D759" s="278">
        <f>IF(AND(Data!B$4=3.25,OR(Data!B$3="A",Data!B$3="LH"),Data!B$5="MF2"),1,0)</f>
        <v>0</v>
      </c>
      <c r="E759" s="268">
        <f t="shared" si="13"/>
        <v>0</v>
      </c>
    </row>
    <row r="760" spans="1:5" ht="13">
      <c r="A760" s="276" t="s">
        <v>19977</v>
      </c>
      <c r="B760" s="276" t="s">
        <v>19973</v>
      </c>
      <c r="C760" s="277">
        <v>34.1</v>
      </c>
      <c r="D760" s="278">
        <f>IF(AND(Data!B$4=4,OR(Data!B$3="A",Data!B$3="LH"),Data!B$5="MF2"),1,0)</f>
        <v>0</v>
      </c>
      <c r="E760" s="268">
        <f t="shared" si="13"/>
        <v>0</v>
      </c>
    </row>
    <row r="761" spans="1:5" ht="13">
      <c r="A761" s="276" t="s">
        <v>19978</v>
      </c>
      <c r="B761" s="276" t="s">
        <v>19973</v>
      </c>
      <c r="C761" s="277">
        <v>40.700000000000003</v>
      </c>
      <c r="D761" s="278">
        <f>IF(AND(Data!B$4=5,OR(Data!B$3="A",Data!B$3="LH"),Data!B$5="MF2"),1,0)</f>
        <v>0</v>
      </c>
      <c r="E761" s="268">
        <f t="shared" si="13"/>
        <v>0</v>
      </c>
    </row>
    <row r="762" spans="1:5" ht="13">
      <c r="A762" s="276" t="s">
        <v>19979</v>
      </c>
      <c r="B762" s="276" t="s">
        <v>19973</v>
      </c>
      <c r="C762" s="277">
        <v>49.5</v>
      </c>
      <c r="D762" s="278">
        <f>IF(AND(Data!B$4=6,OR(Data!B$3="A",Data!B$3="LH"),Data!B$5="MF2"),1,0)</f>
        <v>0</v>
      </c>
      <c r="E762" s="268">
        <f t="shared" si="13"/>
        <v>0</v>
      </c>
    </row>
    <row r="763" spans="1:5" ht="13">
      <c r="A763" s="276" t="s">
        <v>19980</v>
      </c>
      <c r="B763" s="276" t="s">
        <v>19973</v>
      </c>
      <c r="C763" s="277">
        <v>59.4</v>
      </c>
      <c r="D763" s="278">
        <f>IF(AND(Data!B$4=7,OR(Data!B$3="A",Data!B$3="LH"),Data!B$5="MF2"),1,0)</f>
        <v>0</v>
      </c>
      <c r="E763" s="268">
        <f t="shared" si="13"/>
        <v>0</v>
      </c>
    </row>
    <row r="764" spans="1:5" ht="13">
      <c r="A764" s="276" t="s">
        <v>19981</v>
      </c>
      <c r="B764" s="276" t="s">
        <v>19973</v>
      </c>
      <c r="C764" s="277">
        <v>78.099999999999994</v>
      </c>
      <c r="D764" s="278">
        <f>IF(AND(Data!B$4=8,OR(Data!B$3="A",Data!B$3="LH"),Data!B$5="MF2"),1,0)</f>
        <v>0</v>
      </c>
      <c r="E764" s="268">
        <f t="shared" si="13"/>
        <v>0</v>
      </c>
    </row>
    <row r="765" spans="1:5" ht="13">
      <c r="A765" s="276" t="s">
        <v>19982</v>
      </c>
      <c r="B765" s="276" t="s">
        <v>19983</v>
      </c>
      <c r="C765" s="277">
        <v>22</v>
      </c>
      <c r="D765" s="278">
        <f>IF(AND(Data!B$4=1.5,OR(Data!B$3="A",Data!B$3="LH"),Data!B$5="MF1"),1,0)</f>
        <v>0</v>
      </c>
      <c r="E765" s="268">
        <f t="shared" si="13"/>
        <v>0</v>
      </c>
    </row>
    <row r="766" spans="1:5" ht="13">
      <c r="A766" s="276" t="s">
        <v>19984</v>
      </c>
      <c r="B766" s="276" t="s">
        <v>19983</v>
      </c>
      <c r="C766" s="277">
        <v>26.4</v>
      </c>
      <c r="D766" s="278">
        <f>IF(AND(Data!B$4=2,OR(Data!B$3="A",Data!B$3="LH"),Data!B$5="MF1"),1,0)</f>
        <v>0</v>
      </c>
      <c r="E766" s="268">
        <f t="shared" si="13"/>
        <v>0</v>
      </c>
    </row>
    <row r="767" spans="1:5" ht="13">
      <c r="A767" s="276" t="s">
        <v>19985</v>
      </c>
      <c r="B767" s="276" t="s">
        <v>19983</v>
      </c>
      <c r="C767" s="277">
        <v>30.8</v>
      </c>
      <c r="D767" s="278">
        <f>IF(AND(Data!B$4=2.5,OR(Data!B$3="A",Data!B$3="LH"),Data!B$5="MF1"),1,0)</f>
        <v>0</v>
      </c>
      <c r="E767" s="268">
        <f t="shared" si="13"/>
        <v>0</v>
      </c>
    </row>
    <row r="768" spans="1:5" ht="13">
      <c r="A768" s="276" t="s">
        <v>19986</v>
      </c>
      <c r="B768" s="276" t="s">
        <v>19983</v>
      </c>
      <c r="C768" s="277">
        <v>37.4</v>
      </c>
      <c r="D768" s="278">
        <f>IF(AND(Data!B$4=3.25,OR(Data!B$3="A",Data!B$3="LH"),Data!B$5="MF1"),1,0)</f>
        <v>0</v>
      </c>
      <c r="E768" s="268">
        <f t="shared" si="13"/>
        <v>0</v>
      </c>
    </row>
    <row r="769" spans="1:5" ht="13">
      <c r="A769" s="276" t="s">
        <v>19987</v>
      </c>
      <c r="B769" s="276" t="s">
        <v>19983</v>
      </c>
      <c r="C769" s="277">
        <v>44</v>
      </c>
      <c r="D769" s="278">
        <f>IF(AND(Data!B$4=4,OR(Data!B$3="A",Data!B$3="LH"),Data!B$5="MF1"),1,0)</f>
        <v>0</v>
      </c>
      <c r="E769" s="268">
        <f t="shared" si="13"/>
        <v>0</v>
      </c>
    </row>
    <row r="770" spans="1:5" ht="13">
      <c r="A770" s="276" t="s">
        <v>19988</v>
      </c>
      <c r="B770" s="276" t="s">
        <v>19983</v>
      </c>
      <c r="C770" s="277">
        <v>52.8</v>
      </c>
      <c r="D770" s="278">
        <f>IF(AND(Data!B$4=5,OR(Data!B$3="A",Data!B$3="LH"),Data!B$5="MF1"),1,0)</f>
        <v>0</v>
      </c>
      <c r="E770" s="268">
        <f t="shared" si="13"/>
        <v>0</v>
      </c>
    </row>
    <row r="771" spans="1:5" ht="13">
      <c r="A771" s="276" t="s">
        <v>19989</v>
      </c>
      <c r="B771" s="276" t="s">
        <v>19983</v>
      </c>
      <c r="C771" s="277">
        <v>63.8</v>
      </c>
      <c r="D771" s="278">
        <f>IF(AND(Data!B$4=6,OR(Data!B$3="A",Data!B$3="LH"),Data!B$5="MF1"),1,0)</f>
        <v>0</v>
      </c>
      <c r="E771" s="268">
        <f t="shared" ref="E771:E834" si="14">D771*C771</f>
        <v>0</v>
      </c>
    </row>
    <row r="772" spans="1:5" ht="13">
      <c r="A772" s="276" t="s">
        <v>19990</v>
      </c>
      <c r="B772" s="276" t="s">
        <v>19983</v>
      </c>
      <c r="C772" s="277">
        <v>75.900000000000006</v>
      </c>
      <c r="D772" s="278">
        <f>IF(AND(Data!B$4=7,OR(Data!B$3="A",Data!B$3="LH"),Data!B$5="MF1"),1,0)</f>
        <v>0</v>
      </c>
      <c r="E772" s="268">
        <f t="shared" si="14"/>
        <v>0</v>
      </c>
    </row>
    <row r="773" spans="1:5" ht="13">
      <c r="A773" s="276" t="s">
        <v>19991</v>
      </c>
      <c r="B773" s="276" t="s">
        <v>19983</v>
      </c>
      <c r="C773" s="277">
        <v>101.2</v>
      </c>
      <c r="D773" s="278">
        <f>IF(AND(Data!B$4=8,OR(Data!B$3="A",Data!B$3="LH"),Data!B$5="MF1"),1,0)</f>
        <v>0</v>
      </c>
      <c r="E773" s="268">
        <f t="shared" si="14"/>
        <v>0</v>
      </c>
    </row>
    <row r="774" spans="1:5" ht="13">
      <c r="A774" s="276" t="s">
        <v>19993</v>
      </c>
      <c r="B774" s="276" t="s">
        <v>19992</v>
      </c>
      <c r="C774" s="277">
        <v>4.4000000000000004</v>
      </c>
      <c r="D774" s="278">
        <f>IF(AND(Data!B$4=1.5,OR(Data!B$3="A",Data!B$3="LH"),Data!B22="L"),1*2,0)</f>
        <v>0</v>
      </c>
      <c r="E774" s="268">
        <f t="shared" si="14"/>
        <v>0</v>
      </c>
    </row>
    <row r="775" spans="1:5" ht="13">
      <c r="A775" s="276" t="s">
        <v>19994</v>
      </c>
      <c r="B775" s="276" t="s">
        <v>19992</v>
      </c>
      <c r="C775" s="277">
        <v>6.6</v>
      </c>
      <c r="D775" s="278">
        <f>IF(AND(Data!B$4=2,OR(Data!B$3="A",Data!B$3="LH"),Data!B22="L"),1*2,0)</f>
        <v>0</v>
      </c>
      <c r="E775" s="268">
        <f t="shared" si="14"/>
        <v>0</v>
      </c>
    </row>
    <row r="776" spans="1:5" ht="13">
      <c r="A776" s="276" t="s">
        <v>19995</v>
      </c>
      <c r="B776" s="276" t="s">
        <v>19992</v>
      </c>
      <c r="C776" s="277">
        <v>8.8000000000000007</v>
      </c>
      <c r="D776" s="278">
        <f>IF(AND(Data!B$4=2.5,OR(Data!B$3="A",Data!B$3="LH"),Data!B22="L"),1*2,0)</f>
        <v>0</v>
      </c>
      <c r="E776" s="268">
        <f t="shared" si="14"/>
        <v>0</v>
      </c>
    </row>
    <row r="777" spans="1:5" ht="13">
      <c r="A777" s="276" t="s">
        <v>19996</v>
      </c>
      <c r="B777" s="276" t="s">
        <v>19992</v>
      </c>
      <c r="C777" s="277">
        <v>13.2</v>
      </c>
      <c r="D777" s="278">
        <f>IF(AND(Data!B$4&gt;3.19,Data!B$4&lt;3.31,OR(Data!B$3="A",Data!B$3="LH"),Data!B22="L"),1*2,0)</f>
        <v>0</v>
      </c>
      <c r="E777" s="268">
        <f t="shared" si="14"/>
        <v>0</v>
      </c>
    </row>
    <row r="778" spans="1:5" ht="13">
      <c r="A778" s="276" t="s">
        <v>19997</v>
      </c>
      <c r="B778" s="276" t="s">
        <v>19992</v>
      </c>
      <c r="C778" s="277">
        <v>13.2</v>
      </c>
      <c r="D778" s="278">
        <f>IF(AND(Data!B$4=4,OR(Data!B$3="A",Data!B$3="LH"),Data!B22="L"),1*2,0)</f>
        <v>0</v>
      </c>
      <c r="E778" s="268">
        <f t="shared" si="14"/>
        <v>0</v>
      </c>
    </row>
    <row r="779" spans="1:5" ht="13">
      <c r="A779" s="276" t="s">
        <v>19998</v>
      </c>
      <c r="B779" s="276" t="s">
        <v>19992</v>
      </c>
      <c r="C779" s="277">
        <v>14.3</v>
      </c>
      <c r="D779" s="278">
        <f>IF(AND(Data!B$4=5,OR(Data!B$3="A",Data!B$3="LH"),Data!B22="L"),1*2,0)</f>
        <v>0</v>
      </c>
      <c r="E779" s="268">
        <f t="shared" si="14"/>
        <v>0</v>
      </c>
    </row>
    <row r="780" spans="1:5" ht="13">
      <c r="A780" s="276" t="s">
        <v>19999</v>
      </c>
      <c r="B780" s="276" t="s">
        <v>19992</v>
      </c>
      <c r="C780" s="277">
        <v>15.4</v>
      </c>
      <c r="D780" s="278">
        <f>IF(AND(Data!B$4=6,OR(Data!B$3="A",Data!B$3="LH"),Data!B22="L"),1*2,0)</f>
        <v>0</v>
      </c>
      <c r="E780" s="268">
        <f t="shared" si="14"/>
        <v>0</v>
      </c>
    </row>
    <row r="781" spans="1:5" ht="13">
      <c r="A781" s="276" t="s">
        <v>20000</v>
      </c>
      <c r="B781" s="276" t="s">
        <v>19992</v>
      </c>
      <c r="C781" s="277">
        <v>13.2</v>
      </c>
      <c r="D781" s="278">
        <f>IF(AND(Data!B$4=7,OR(Data!B$3="A",Data!B$3="LH"),Data!B26="L"),1*2,0)</f>
        <v>0</v>
      </c>
      <c r="E781" s="268">
        <f t="shared" si="14"/>
        <v>0</v>
      </c>
    </row>
    <row r="782" spans="1:5" ht="13">
      <c r="A782" s="276" t="s">
        <v>20001</v>
      </c>
      <c r="B782" s="276" t="s">
        <v>19992</v>
      </c>
      <c r="C782" s="277">
        <v>17.600000000000001</v>
      </c>
      <c r="D782" s="278">
        <f>IF(AND(Data!B$4=8,OR(Data!B$3="A",Data!B$3="LH"),Data!B22="L"),1*2,0)</f>
        <v>0</v>
      </c>
      <c r="E782" s="268">
        <f t="shared" si="14"/>
        <v>0</v>
      </c>
    </row>
    <row r="783" spans="1:5" ht="13">
      <c r="A783" s="276" t="s">
        <v>20002</v>
      </c>
      <c r="B783" s="276" t="s">
        <v>19297</v>
      </c>
      <c r="C783" s="277">
        <v>16.5</v>
      </c>
      <c r="D783" s="278">
        <f>IF(AND(Data!B$6=0.625,OR(Data!B$7="BE",Data!B$7="RE"),OR(Data!B$3="A",Data!B$3="LH")),1,0)</f>
        <v>0</v>
      </c>
      <c r="E783" s="268">
        <f t="shared" si="14"/>
        <v>0</v>
      </c>
    </row>
    <row r="784" spans="1:5" ht="13">
      <c r="A784" s="276" t="s">
        <v>20003</v>
      </c>
      <c r="B784" s="276" t="s">
        <v>19297</v>
      </c>
      <c r="C784" s="277">
        <v>18.7</v>
      </c>
      <c r="D784" s="278">
        <f>IF(AND(Data!B$6=1,OR(Data!B$7="BE",Data!B$7="RE"),OR(Data!B$3="A",Data!B$3="LH")),1,0)</f>
        <v>0</v>
      </c>
      <c r="E784" s="268">
        <f t="shared" si="14"/>
        <v>0</v>
      </c>
    </row>
    <row r="785" spans="1:5" ht="13">
      <c r="A785" s="276" t="s">
        <v>19296</v>
      </c>
      <c r="B785" s="276" t="s">
        <v>19297</v>
      </c>
      <c r="C785" s="277">
        <v>24.2</v>
      </c>
      <c r="D785" s="278">
        <f>IF(AND(Data!B$6=1.375,OR(Data!B$7="BE",Data!B$7="RE"),OR(Data!B$3="A",Data!B$3="LH")),1,0)</f>
        <v>0</v>
      </c>
      <c r="E785" s="268">
        <f t="shared" si="14"/>
        <v>0</v>
      </c>
    </row>
    <row r="786" spans="1:5" ht="13">
      <c r="A786" s="276" t="s">
        <v>20004</v>
      </c>
      <c r="B786" s="276" t="s">
        <v>19297</v>
      </c>
      <c r="C786" s="277">
        <v>28.6</v>
      </c>
      <c r="D786" s="278">
        <f>IF(AND(Data!B$6=1.75,OR(Data!B$7="BE",Data!B$7="RE"),OR(Data!B$3="A",Data!B$3="LH")),1,0)</f>
        <v>0</v>
      </c>
      <c r="E786" s="268">
        <f t="shared" si="14"/>
        <v>0</v>
      </c>
    </row>
    <row r="787" spans="1:5" ht="13">
      <c r="A787" s="276" t="s">
        <v>20005</v>
      </c>
      <c r="B787" s="276" t="s">
        <v>19297</v>
      </c>
      <c r="C787" s="277">
        <v>31.9</v>
      </c>
      <c r="D787" s="278">
        <f>IF(AND(Data!B$6=2,OR(Data!B$7="BE",Data!B$7="RE"),OR(Data!B$3="A",Data!B$3="LH")),1,0)</f>
        <v>0</v>
      </c>
      <c r="E787" s="268">
        <f t="shared" si="14"/>
        <v>0</v>
      </c>
    </row>
    <row r="788" spans="1:5" ht="13">
      <c r="A788" s="276" t="s">
        <v>20006</v>
      </c>
      <c r="B788" s="276" t="s">
        <v>19297</v>
      </c>
      <c r="C788" s="277">
        <v>39.6</v>
      </c>
      <c r="D788" s="278">
        <f>IF(AND(Data!B$6=2.5,OR(Data!B$7="BE",Data!B$7="RE"),OR(Data!B$3="A",Data!B$3="LH")),1,0)</f>
        <v>0</v>
      </c>
      <c r="E788" s="268">
        <f t="shared" si="14"/>
        <v>0</v>
      </c>
    </row>
    <row r="789" spans="1:5" ht="13">
      <c r="A789" s="276" t="s">
        <v>20007</v>
      </c>
      <c r="B789" s="276" t="s">
        <v>0</v>
      </c>
      <c r="C789" s="277">
        <v>70.400000000000006</v>
      </c>
      <c r="D789" s="278">
        <f>IF(Data!B23&gt;0.1,1,0)</f>
        <v>0</v>
      </c>
      <c r="E789" s="268">
        <f t="shared" si="14"/>
        <v>0</v>
      </c>
    </row>
    <row r="790" spans="1:5" ht="13">
      <c r="A790" s="276" t="s">
        <v>20008</v>
      </c>
      <c r="B790" s="276" t="s">
        <v>19281</v>
      </c>
      <c r="C790" s="277">
        <v>26.4</v>
      </c>
      <c r="D790" s="278">
        <f>IF(AND(Data!B$4=1.5,OR(Data!B$3="A",Data!B$3="LH"),Data!B$5&lt;&gt;"MP1",Data!B$5&lt;&gt;"MP3",Data!B$5&lt;&gt;"MS2",Data!B$5&lt;&gt;"MT2",Data!B$5&lt;&gt;"ME4",Data!B$5&lt;&gt;"MPU3",Data!B$5&lt;&gt;"ME6",Data!B$5&lt;&gt;"IH4"),1,0)</f>
        <v>0</v>
      </c>
      <c r="E790" s="268">
        <f t="shared" si="14"/>
        <v>0</v>
      </c>
    </row>
    <row r="791" spans="1:5" ht="13">
      <c r="A791" s="276" t="s">
        <v>20009</v>
      </c>
      <c r="B791" s="276" t="s">
        <v>19281</v>
      </c>
      <c r="C791" s="277">
        <v>28.6</v>
      </c>
      <c r="D791" s="278">
        <v>0</v>
      </c>
      <c r="E791" s="268">
        <f t="shared" si="14"/>
        <v>0</v>
      </c>
    </row>
    <row r="792" spans="1:5" ht="13">
      <c r="A792" s="276" t="s">
        <v>20010</v>
      </c>
      <c r="B792" s="276" t="s">
        <v>19281</v>
      </c>
      <c r="C792" s="277">
        <v>45.1</v>
      </c>
      <c r="D792" s="278">
        <f>IF(AND(Data!B$4=1.5,OR(Data!B$3="A",Data!B$3="LH"),Data!B$5="MP1"),1,0)</f>
        <v>0</v>
      </c>
      <c r="E792" s="268">
        <f t="shared" si="14"/>
        <v>0</v>
      </c>
    </row>
    <row r="793" spans="1:5" ht="13">
      <c r="A793" s="276" t="s">
        <v>20011</v>
      </c>
      <c r="B793" s="276" t="s">
        <v>19281</v>
      </c>
      <c r="C793" s="277">
        <v>36.299999999999997</v>
      </c>
      <c r="D793" s="278">
        <f>IF(AND(Data!B$4=1.5,OR(Data!B$3="A",Data!B$3="LH"),Data!B$5="MP2"),1,0)</f>
        <v>0</v>
      </c>
      <c r="E793" s="268">
        <f t="shared" si="14"/>
        <v>0</v>
      </c>
    </row>
    <row r="794" spans="1:5" ht="13">
      <c r="A794" s="276" t="s">
        <v>20012</v>
      </c>
      <c r="B794" s="276" t="s">
        <v>19281</v>
      </c>
      <c r="C794" s="277">
        <v>45.1</v>
      </c>
      <c r="D794" s="278">
        <f>IF(AND(Data!B$4=1.5,OR(Data!B$3="A",Data!B$3="LH"),Data!B$5="MP3"),1,0)</f>
        <v>0</v>
      </c>
      <c r="E794" s="268">
        <f t="shared" si="14"/>
        <v>0</v>
      </c>
    </row>
    <row r="795" spans="1:5" ht="13">
      <c r="A795" s="276" t="s">
        <v>20013</v>
      </c>
      <c r="B795" s="276" t="s">
        <v>19281</v>
      </c>
      <c r="C795" s="277">
        <v>48.4</v>
      </c>
      <c r="D795" s="278">
        <f>IF(AND(Data!B$4=1.5,OR(Data!B$3="A",Data!B$3="LH"),Data!B$5="MPU3"),1,0)</f>
        <v>0</v>
      </c>
      <c r="E795" s="268">
        <f t="shared" si="14"/>
        <v>0</v>
      </c>
    </row>
    <row r="796" spans="1:5" ht="13">
      <c r="A796" s="276" t="s">
        <v>20014</v>
      </c>
      <c r="B796" s="276" t="s">
        <v>19281</v>
      </c>
      <c r="C796" s="277">
        <v>47.3</v>
      </c>
      <c r="D796" s="278">
        <f>IF(AND(Data!B$4=1.5,OR(Data!B$3="A",Data!B$3="LH"),Data!B$5="MS2"),1,0)</f>
        <v>0</v>
      </c>
      <c r="E796" s="268">
        <f t="shared" si="14"/>
        <v>0</v>
      </c>
    </row>
    <row r="797" spans="1:5" ht="13">
      <c r="A797" s="276" t="s">
        <v>20015</v>
      </c>
      <c r="B797" s="276" t="s">
        <v>19281</v>
      </c>
      <c r="C797" s="277">
        <v>78.099999999999994</v>
      </c>
      <c r="D797" s="278">
        <f>IF(AND(Data!B$4=1.5,OR(Data!B$3="A",Data!B$3="LH"),Data!B$5="MT2"),1,0)</f>
        <v>0</v>
      </c>
      <c r="E797" s="268">
        <f t="shared" si="14"/>
        <v>0</v>
      </c>
    </row>
    <row r="798" spans="1:5" ht="13">
      <c r="A798" s="276" t="s">
        <v>20016</v>
      </c>
      <c r="B798" s="276" t="s">
        <v>19281</v>
      </c>
      <c r="C798" s="277">
        <v>27.5</v>
      </c>
      <c r="D798" s="278">
        <f>IF(AND(Data!B$4=2,OR(Data!B$3="A",Data!B$3="LH"),Data!B$5&lt;&gt;"MP1",Data!B$5&lt;&gt;"MP3",Data!B$5&lt;&gt;"MS2",Data!B$5&lt;&gt;"MT2",Data!B$5&lt;&gt;"ME4",Data!B$5&lt;&gt;"MPU3",Data!B$5&lt;&gt;"ME6",Data!B$5&lt;&gt;"IH4"),1,0)</f>
        <v>0</v>
      </c>
      <c r="E798" s="268">
        <f t="shared" si="14"/>
        <v>0</v>
      </c>
    </row>
    <row r="799" spans="1:5" ht="13">
      <c r="A799" s="276" t="s">
        <v>20017</v>
      </c>
      <c r="B799" s="276" t="s">
        <v>19281</v>
      </c>
      <c r="C799" s="277">
        <v>37.4</v>
      </c>
      <c r="D799" s="278">
        <v>0</v>
      </c>
      <c r="E799" s="268">
        <f t="shared" si="14"/>
        <v>0</v>
      </c>
    </row>
    <row r="800" spans="1:5" ht="13">
      <c r="A800" s="276" t="s">
        <v>20018</v>
      </c>
      <c r="B800" s="276" t="s">
        <v>19281</v>
      </c>
      <c r="C800" s="277">
        <v>51.7</v>
      </c>
      <c r="D800" s="278">
        <f>IF(AND(Data!B$4=2,OR(Data!B$3="A",Data!B$3="LH"),Data!B$5="MP1"),1,0)</f>
        <v>0</v>
      </c>
      <c r="E800" s="268">
        <f t="shared" si="14"/>
        <v>0</v>
      </c>
    </row>
    <row r="801" spans="1:5" ht="13">
      <c r="A801" s="276" t="s">
        <v>20019</v>
      </c>
      <c r="B801" s="276" t="s">
        <v>19281</v>
      </c>
      <c r="C801" s="277">
        <v>42.9</v>
      </c>
      <c r="D801" s="278">
        <f>IF(AND(Data!B$4=2,OR(Data!B$3="A",Data!B$3="LH"),Data!B$5="MP2"),1,0)</f>
        <v>0</v>
      </c>
      <c r="E801" s="268">
        <f t="shared" si="14"/>
        <v>0</v>
      </c>
    </row>
    <row r="802" spans="1:5" ht="13">
      <c r="A802" s="276" t="s">
        <v>20020</v>
      </c>
      <c r="B802" s="276" t="s">
        <v>19281</v>
      </c>
      <c r="C802" s="277">
        <v>51.7</v>
      </c>
      <c r="D802" s="278">
        <f>IF(AND(Data!B$4=2,OR(Data!B$3="A",Data!B$3="LH"),Data!B$5="MP3"),1,0)</f>
        <v>0</v>
      </c>
      <c r="E802" s="268">
        <f t="shared" si="14"/>
        <v>0</v>
      </c>
    </row>
    <row r="803" spans="1:5" ht="13">
      <c r="A803" s="276" t="s">
        <v>20021</v>
      </c>
      <c r="B803" s="276" t="s">
        <v>19281</v>
      </c>
      <c r="C803" s="277">
        <v>55</v>
      </c>
      <c r="D803" s="278">
        <f>IF(AND(Data!B$4=2,OR(Data!B$3="A",Data!B$3="LH"),Data!B$5="MPU3"),1,0)</f>
        <v>0</v>
      </c>
      <c r="E803" s="268">
        <f t="shared" si="14"/>
        <v>0</v>
      </c>
    </row>
    <row r="804" spans="1:5" ht="13">
      <c r="A804" s="276" t="s">
        <v>20022</v>
      </c>
      <c r="B804" s="276" t="s">
        <v>19281</v>
      </c>
      <c r="C804" s="277">
        <v>52.8</v>
      </c>
      <c r="D804" s="278">
        <f>IF(AND(Data!B$4=2,OR(Data!B$3="A",Data!B$3="LH"),Data!B$5="MS2"),1,0)</f>
        <v>0</v>
      </c>
      <c r="E804" s="268">
        <f t="shared" si="14"/>
        <v>0</v>
      </c>
    </row>
    <row r="805" spans="1:5" ht="13">
      <c r="A805" s="276" t="s">
        <v>20023</v>
      </c>
      <c r="B805" s="276" t="s">
        <v>19281</v>
      </c>
      <c r="C805" s="277">
        <v>78.099999999999994</v>
      </c>
      <c r="D805" s="278">
        <f>IF(AND(Data!B$4=2,OR(Data!B$3="A",Data!B$3="LH"),Data!B$5="MT2"),1,0)</f>
        <v>0</v>
      </c>
      <c r="E805" s="268">
        <f t="shared" si="14"/>
        <v>0</v>
      </c>
    </row>
    <row r="806" spans="1:5" ht="13">
      <c r="A806" s="276" t="s">
        <v>20024</v>
      </c>
      <c r="B806" s="276" t="s">
        <v>19281</v>
      </c>
      <c r="C806" s="277">
        <v>30.36</v>
      </c>
      <c r="D806" s="278">
        <f>IF(AND(Data!B$4=2.5,OR(Data!B$3="A",Data!B$3="LH"),Data!B$5&lt;&gt;"MP1",Data!B$5&lt;&gt;"MP3",Data!B$5&lt;&gt;"MS2",Data!B$5&lt;&gt;"MT2",Data!B$5&lt;&gt;"ME4",Data!B$5&lt;&gt;"MPU3",Data!B$5&lt;&gt;"ME6",Data!B$5&lt;&gt;"IH4"),1,0)</f>
        <v>0</v>
      </c>
      <c r="E806" s="268">
        <f t="shared" si="14"/>
        <v>0</v>
      </c>
    </row>
    <row r="807" spans="1:5" ht="13">
      <c r="A807" s="276" t="s">
        <v>20025</v>
      </c>
      <c r="B807" s="276" t="s">
        <v>19281</v>
      </c>
      <c r="C807" s="277">
        <v>44</v>
      </c>
      <c r="D807" s="278">
        <v>0</v>
      </c>
      <c r="E807" s="268">
        <f t="shared" si="14"/>
        <v>0</v>
      </c>
    </row>
    <row r="808" spans="1:5" ht="13">
      <c r="A808" s="276" t="s">
        <v>19300</v>
      </c>
      <c r="B808" s="276" t="s">
        <v>19281</v>
      </c>
      <c r="C808" s="277">
        <v>60.5</v>
      </c>
      <c r="D808" s="278">
        <f>IF(AND(Data!B$4=2.5,OR(Data!B$3="A",Data!B$3="LH"),Data!B$5="MP1"),1,0)</f>
        <v>0</v>
      </c>
      <c r="E808" s="268">
        <f t="shared" si="14"/>
        <v>0</v>
      </c>
    </row>
    <row r="809" spans="1:5" ht="13">
      <c r="A809" s="276" t="s">
        <v>20026</v>
      </c>
      <c r="B809" s="276" t="s">
        <v>19281</v>
      </c>
      <c r="C809" s="277">
        <v>48.4</v>
      </c>
      <c r="D809" s="278">
        <f>IF(AND(Data!B$4=2.5,OR(Data!B$3="A",Data!B$3="LH"),Data!B$5="MP2"),1,0)</f>
        <v>0</v>
      </c>
      <c r="E809" s="268">
        <f t="shared" si="14"/>
        <v>0</v>
      </c>
    </row>
    <row r="810" spans="1:5" ht="13">
      <c r="A810" s="276" t="s">
        <v>20027</v>
      </c>
      <c r="B810" s="276" t="s">
        <v>19281</v>
      </c>
      <c r="C810" s="277">
        <v>60.5</v>
      </c>
      <c r="D810" s="278">
        <f>IF(AND(Data!B$4=2.5,OR(Data!B$3="A",Data!B$3="LH"),Data!B$5="MP3"),1,0)</f>
        <v>0</v>
      </c>
      <c r="E810" s="268">
        <f t="shared" si="14"/>
        <v>0</v>
      </c>
    </row>
    <row r="811" spans="1:5" ht="13">
      <c r="A811" s="276" t="s">
        <v>20028</v>
      </c>
      <c r="B811" s="276" t="s">
        <v>19281</v>
      </c>
      <c r="C811" s="277">
        <v>63.8</v>
      </c>
      <c r="D811" s="278">
        <f>IF(AND(Data!B$4=2.5,OR(Data!B$3="A",Data!B$3="LH"),Data!B$5="MPU3"),1,0)</f>
        <v>0</v>
      </c>
      <c r="E811" s="268">
        <f t="shared" si="14"/>
        <v>0</v>
      </c>
    </row>
    <row r="812" spans="1:5" ht="13">
      <c r="A812" s="276" t="s">
        <v>19280</v>
      </c>
      <c r="B812" s="276" t="s">
        <v>19281</v>
      </c>
      <c r="C812" s="277">
        <v>62.7</v>
      </c>
      <c r="D812" s="278">
        <f>IF(AND(Data!B$4=2.5,OR(Data!B$3="A",Data!B$3="LH"),Data!B$5="MS2"),1,0)</f>
        <v>0</v>
      </c>
      <c r="E812" s="268">
        <f t="shared" si="14"/>
        <v>0</v>
      </c>
    </row>
    <row r="813" spans="1:5" ht="13">
      <c r="A813" s="276" t="s">
        <v>20029</v>
      </c>
      <c r="B813" s="276" t="s">
        <v>19281</v>
      </c>
      <c r="C813" s="277">
        <v>108.9</v>
      </c>
      <c r="D813" s="278">
        <f>IF(AND(Data!B$4=2.5,OR(Data!B$3="A",Data!B$3="LH"),Data!B$5="MT2"),1,0)</f>
        <v>0</v>
      </c>
      <c r="E813" s="268">
        <f t="shared" si="14"/>
        <v>0</v>
      </c>
    </row>
    <row r="814" spans="1:5" ht="13">
      <c r="A814" s="276" t="s">
        <v>20030</v>
      </c>
      <c r="B814" s="276" t="s">
        <v>19281</v>
      </c>
      <c r="C814" s="277">
        <v>44</v>
      </c>
      <c r="D814" s="278">
        <f>IF(AND(Data!B$4=3.25,OR(Data!B$3="A",Data!B$3="LH"),Data!B$5&lt;&gt;"MP1",Data!B$5&lt;&gt;"MP3",Data!B$5&lt;&gt;"MS2",Data!B$5&lt;&gt;"MT2",Data!B$5&lt;&gt;"ME4",Data!B$5&lt;&gt;"MPU3",Data!B$5&lt;&gt;"ME6",Data!B$5&lt;&gt;"IH4"),1,0)</f>
        <v>0</v>
      </c>
      <c r="E814" s="268">
        <f t="shared" si="14"/>
        <v>0</v>
      </c>
    </row>
    <row r="815" spans="1:5" ht="13">
      <c r="A815" s="276" t="s">
        <v>20031</v>
      </c>
      <c r="B815" s="276" t="s">
        <v>19281</v>
      </c>
      <c r="C815" s="277">
        <v>47.3</v>
      </c>
      <c r="D815" s="278">
        <v>0</v>
      </c>
      <c r="E815" s="268">
        <f t="shared" si="14"/>
        <v>0</v>
      </c>
    </row>
    <row r="816" spans="1:5" ht="13">
      <c r="A816" s="276" t="s">
        <v>20032</v>
      </c>
      <c r="B816" s="276" t="s">
        <v>19281</v>
      </c>
      <c r="C816" s="277">
        <v>71.5</v>
      </c>
      <c r="D816" s="278">
        <f>IF(AND(Data!B$4=3.25,OR(Data!B$3="A",Data!B$3="LH"),Data!B$5="MP1"),1,0)</f>
        <v>0</v>
      </c>
      <c r="E816" s="268">
        <f t="shared" si="14"/>
        <v>0</v>
      </c>
    </row>
    <row r="817" spans="1:5" ht="13">
      <c r="A817" s="276" t="s">
        <v>20033</v>
      </c>
      <c r="B817" s="276" t="s">
        <v>19281</v>
      </c>
      <c r="C817" s="277">
        <v>58.3</v>
      </c>
      <c r="D817" s="278">
        <f>IF(AND(Data!B$4=3.25,OR(Data!B$3="A",Data!B$3="LH"),Data!B$5="MP2"),1,0)</f>
        <v>0</v>
      </c>
      <c r="E817" s="268">
        <f t="shared" si="14"/>
        <v>0</v>
      </c>
    </row>
    <row r="818" spans="1:5" ht="13">
      <c r="A818" s="276" t="s">
        <v>20034</v>
      </c>
      <c r="B818" s="276" t="s">
        <v>19281</v>
      </c>
      <c r="C818" s="277">
        <v>71.5</v>
      </c>
      <c r="D818" s="278">
        <f>IF(AND(Data!B$4=3.25,OR(Data!B$3="A",Data!B$3="LH"),Data!B$5="MP3"),1,0)</f>
        <v>0</v>
      </c>
      <c r="E818" s="268">
        <f t="shared" si="14"/>
        <v>0</v>
      </c>
    </row>
    <row r="819" spans="1:5" ht="13">
      <c r="A819" s="276" t="s">
        <v>20035</v>
      </c>
      <c r="B819" s="276" t="s">
        <v>19281</v>
      </c>
      <c r="C819" s="277">
        <v>75.900000000000006</v>
      </c>
      <c r="D819" s="278">
        <f>IF(AND(Data!B$4=3.25,OR(Data!B$3="A",Data!B$3="LH"),Data!B$5="MPU3"),1,0)</f>
        <v>0</v>
      </c>
      <c r="E819" s="268">
        <f t="shared" si="14"/>
        <v>0</v>
      </c>
    </row>
    <row r="820" spans="1:5" ht="13">
      <c r="A820" s="276" t="s">
        <v>19298</v>
      </c>
      <c r="B820" s="276" t="s">
        <v>19281</v>
      </c>
      <c r="C820" s="277">
        <v>73.7</v>
      </c>
      <c r="D820" s="278">
        <f>IF(AND(Data!B$4=3.25,OR(Data!B$3="A",Data!B$3="LH"),Data!B$5="MS2"),1,0)</f>
        <v>0</v>
      </c>
      <c r="E820" s="268">
        <f t="shared" si="14"/>
        <v>0</v>
      </c>
    </row>
    <row r="821" spans="1:5" ht="13">
      <c r="A821" s="276" t="s">
        <v>20036</v>
      </c>
      <c r="B821" s="276" t="s">
        <v>19281</v>
      </c>
      <c r="C821" s="277">
        <v>116.6</v>
      </c>
      <c r="D821" s="278">
        <f>IF(AND(Data!B$4=3.25,OR(Data!B$3="A",Data!B$3="LH"),Data!B$5="MT2"),1,0)</f>
        <v>0</v>
      </c>
      <c r="E821" s="268">
        <f t="shared" si="14"/>
        <v>0</v>
      </c>
    </row>
    <row r="822" spans="1:5" ht="13">
      <c r="A822" s="276" t="s">
        <v>19316</v>
      </c>
      <c r="B822" s="276" t="s">
        <v>19281</v>
      </c>
      <c r="C822" s="277">
        <v>50.6</v>
      </c>
      <c r="D822" s="278">
        <f>IF(AND(Data!B$4=4,OR(Data!B$3="A",Data!B$3="LH"),Data!B$5&lt;&gt;"MP1",Data!B$5&lt;&gt;"MP3",Data!B$5&lt;&gt;"MS2",Data!B$5&lt;&gt;"MT2",Data!B$5&lt;&gt;"ME4",Data!B$5&lt;&gt;"MPU3",Data!B$5&lt;&gt;"ME6",Data!B$5&lt;&gt;"IH4"),1,0)</f>
        <v>0</v>
      </c>
      <c r="E822" s="268">
        <f t="shared" si="14"/>
        <v>0</v>
      </c>
    </row>
    <row r="823" spans="1:5" ht="13">
      <c r="A823" s="276" t="s">
        <v>20037</v>
      </c>
      <c r="B823" s="276" t="s">
        <v>19281</v>
      </c>
      <c r="C823" s="277">
        <v>101.2</v>
      </c>
      <c r="D823" s="278">
        <f>IF(AND(Data!B$4=4,OR(Data!B$3="A",Data!B$3="LH"),Data!B$5="MP1"),1,0)</f>
        <v>0</v>
      </c>
      <c r="E823" s="268">
        <f t="shared" si="14"/>
        <v>0</v>
      </c>
    </row>
    <row r="824" spans="1:5" ht="13">
      <c r="A824" s="276" t="s">
        <v>20038</v>
      </c>
      <c r="B824" s="276" t="s">
        <v>19281</v>
      </c>
      <c r="C824" s="277">
        <v>82.5</v>
      </c>
      <c r="D824" s="278">
        <f>IF(AND(Data!B$4=4,OR(Data!B$3="A",Data!B$3="LH"),Data!B$5="MP2"),1,0)</f>
        <v>0</v>
      </c>
      <c r="E824" s="268">
        <f t="shared" si="14"/>
        <v>0</v>
      </c>
    </row>
    <row r="825" spans="1:5" ht="13">
      <c r="A825" s="276" t="s">
        <v>20039</v>
      </c>
      <c r="B825" s="276" t="s">
        <v>19281</v>
      </c>
      <c r="C825" s="277">
        <v>101.2</v>
      </c>
      <c r="D825" s="278">
        <f>IF(AND(Data!B$4=4,OR(Data!B$3="A",Data!B$3="LH"),Data!B$5="MP3"),1,0)</f>
        <v>0</v>
      </c>
      <c r="E825" s="268">
        <f t="shared" si="14"/>
        <v>0</v>
      </c>
    </row>
    <row r="826" spans="1:5" ht="13">
      <c r="A826" s="276" t="s">
        <v>20040</v>
      </c>
      <c r="B826" s="276" t="s">
        <v>19281</v>
      </c>
      <c r="C826" s="277">
        <v>107.8</v>
      </c>
      <c r="D826" s="278">
        <f>IF(AND(Data!B$4=4,OR(Data!B$3="A",Data!B$3="LH"),Data!B$5="MPU3"),1,0)</f>
        <v>0</v>
      </c>
      <c r="E826" s="268">
        <f t="shared" si="14"/>
        <v>0</v>
      </c>
    </row>
    <row r="827" spans="1:5" ht="13">
      <c r="A827" s="276" t="s">
        <v>20041</v>
      </c>
      <c r="B827" s="276" t="s">
        <v>19281</v>
      </c>
      <c r="C827" s="277">
        <v>104.5</v>
      </c>
      <c r="D827" s="278">
        <f>IF(AND(Data!B$4=4,OR(Data!B$3="A",Data!B$3="LH"),Data!B$5="MS2"),1,0)</f>
        <v>0</v>
      </c>
      <c r="E827" s="268">
        <f t="shared" si="14"/>
        <v>0</v>
      </c>
    </row>
    <row r="828" spans="1:5" ht="13">
      <c r="A828" s="276" t="s">
        <v>20042</v>
      </c>
      <c r="B828" s="276" t="s">
        <v>19281</v>
      </c>
      <c r="C828" s="277">
        <v>132</v>
      </c>
      <c r="D828" s="278">
        <f>IF(AND(Data!B$4=4,OR(Data!B$3="A",Data!B$3="LH"),Data!B$5="MT2"),1,0)</f>
        <v>0</v>
      </c>
      <c r="E828" s="268">
        <f t="shared" si="14"/>
        <v>0</v>
      </c>
    </row>
    <row r="829" spans="1:5" ht="13">
      <c r="A829" s="276" t="s">
        <v>20043</v>
      </c>
      <c r="B829" s="276" t="s">
        <v>19281</v>
      </c>
      <c r="C829" s="277">
        <v>73.7</v>
      </c>
      <c r="D829" s="278">
        <f>IF(AND(Data!B$4=5,OR(Data!B$3="A",Data!B$3="LH"),Data!B$5&lt;&gt;"MP1",Data!B$5&lt;&gt;"MP3",Data!B$5&lt;&gt;"MS2",Data!B$5&lt;&gt;"MT2",Data!B$5&lt;&gt;"ME4",Data!B$5&lt;&gt;"MPU3",Data!B$5&lt;&gt;"ME6",Data!B$5&lt;&gt;"IH4"),1,0)</f>
        <v>0</v>
      </c>
      <c r="E829" s="268">
        <f t="shared" si="14"/>
        <v>0</v>
      </c>
    </row>
    <row r="830" spans="1:5" ht="13">
      <c r="A830" s="276" t="s">
        <v>20044</v>
      </c>
      <c r="B830" s="276" t="s">
        <v>19281</v>
      </c>
      <c r="C830" s="277">
        <v>144.1</v>
      </c>
      <c r="D830" s="278">
        <f>IF(AND(Data!B$4=5,OR(Data!B$3="A",Data!B$3="LH"),Data!B$5="MP1"),1,0)</f>
        <v>0</v>
      </c>
      <c r="E830" s="268">
        <f t="shared" si="14"/>
        <v>0</v>
      </c>
    </row>
    <row r="831" spans="1:5" ht="13">
      <c r="A831" s="276" t="s">
        <v>20045</v>
      </c>
      <c r="B831" s="276" t="s">
        <v>19281</v>
      </c>
      <c r="C831" s="277">
        <v>116.6</v>
      </c>
      <c r="D831" s="278">
        <f>IF(AND(Data!B$4=5,OR(Data!B$3="A",Data!B$3="LH"),Data!B$5="MP2"),1,0)</f>
        <v>0</v>
      </c>
      <c r="E831" s="268">
        <f t="shared" si="14"/>
        <v>0</v>
      </c>
    </row>
    <row r="832" spans="1:5" ht="13">
      <c r="A832" s="276" t="s">
        <v>20046</v>
      </c>
      <c r="B832" s="276" t="s">
        <v>19281</v>
      </c>
      <c r="C832" s="277">
        <v>144.1</v>
      </c>
      <c r="D832" s="278">
        <f>IF(AND(Data!B$4=5,OR(Data!B$3="A",Data!B$3="LH"),Data!B$5="MP3"),1,0)</f>
        <v>0</v>
      </c>
      <c r="E832" s="268">
        <f t="shared" si="14"/>
        <v>0</v>
      </c>
    </row>
    <row r="833" spans="1:5" ht="13">
      <c r="A833" s="276" t="s">
        <v>20047</v>
      </c>
      <c r="B833" s="276" t="s">
        <v>19281</v>
      </c>
      <c r="C833" s="277">
        <v>154</v>
      </c>
      <c r="D833" s="278">
        <f>IF(AND(Data!B$4=5,OR(Data!B$3="A",Data!B$3="LH"),Data!B$5="MPU3"),1,0)</f>
        <v>0</v>
      </c>
      <c r="E833" s="268">
        <f t="shared" si="14"/>
        <v>0</v>
      </c>
    </row>
    <row r="834" spans="1:5" ht="13">
      <c r="A834" s="276" t="s">
        <v>20048</v>
      </c>
      <c r="B834" s="276" t="s">
        <v>19281</v>
      </c>
      <c r="C834" s="277">
        <v>149.6</v>
      </c>
      <c r="D834" s="278">
        <f>IF(AND(Data!B$4=5,OR(Data!B$3="A",Data!B$3="LH"),Data!B$5="MS2"),1,0)</f>
        <v>0</v>
      </c>
      <c r="E834" s="268">
        <f t="shared" si="14"/>
        <v>0</v>
      </c>
    </row>
    <row r="835" spans="1:5" ht="13">
      <c r="A835" s="276" t="s">
        <v>20049</v>
      </c>
      <c r="B835" s="276" t="s">
        <v>19281</v>
      </c>
      <c r="C835" s="277">
        <v>172.7</v>
      </c>
      <c r="D835" s="278">
        <f>IF(AND(Data!B$4=5,OR(Data!B$3="A",Data!B$3="LH"),Data!B$5="MT2"),1,0)</f>
        <v>0</v>
      </c>
      <c r="E835" s="268">
        <f t="shared" ref="E835:E854" si="15">D835*C835</f>
        <v>0</v>
      </c>
    </row>
    <row r="836" spans="1:5" ht="13">
      <c r="A836" s="276" t="s">
        <v>20050</v>
      </c>
      <c r="B836" s="276" t="s">
        <v>19281</v>
      </c>
      <c r="C836" s="277">
        <v>105.6</v>
      </c>
      <c r="D836" s="278">
        <f>IF(AND(Data!B$4=6,OR(Data!B$3="A",Data!B$3="LH"),Data!B$5&lt;&gt;"MP1",Data!B$5&lt;&gt;"MP3",Data!B$5&lt;&gt;"MS2",Data!B$5&lt;&gt;"MT2",Data!B$5&lt;&gt;"ME4",Data!B$5&lt;&gt;"MPU3",Data!B$5&lt;&gt;"ME6",Data!B$5&lt;&gt;"IH4"),1,0)</f>
        <v>0</v>
      </c>
      <c r="E836" s="268">
        <f t="shared" si="15"/>
        <v>0</v>
      </c>
    </row>
    <row r="837" spans="1:5" ht="13">
      <c r="A837" s="276" t="s">
        <v>20051</v>
      </c>
      <c r="B837" s="276" t="s">
        <v>19281</v>
      </c>
      <c r="C837" s="277">
        <v>127.6</v>
      </c>
      <c r="D837" s="278">
        <f>IF(AND(Data!B$4=6,OR(Data!B$3="A",Data!B$3="LH"),Data!B$5="MP1"),1,0)</f>
        <v>0</v>
      </c>
      <c r="E837" s="268">
        <f t="shared" si="15"/>
        <v>0</v>
      </c>
    </row>
    <row r="838" spans="1:5" ht="13">
      <c r="A838" s="276" t="s">
        <v>20052</v>
      </c>
      <c r="B838" s="276" t="s">
        <v>19281</v>
      </c>
      <c r="C838" s="277">
        <v>166.1</v>
      </c>
      <c r="D838" s="278">
        <f>IF(AND(Data!B$4=6,OR(Data!B$3="A",Data!B$3="LH"),Data!B$5="MP2"),1,0)</f>
        <v>0</v>
      </c>
      <c r="E838" s="268">
        <f t="shared" si="15"/>
        <v>0</v>
      </c>
    </row>
    <row r="839" spans="1:5" ht="13">
      <c r="A839" s="276" t="s">
        <v>20053</v>
      </c>
      <c r="B839" s="276" t="s">
        <v>19281</v>
      </c>
      <c r="C839" s="277">
        <v>204.6</v>
      </c>
      <c r="D839" s="278">
        <f>IF(AND(Data!B$4=6,OR(Data!B$3="A",Data!B$3="LH"),Data!B$5="MP3"),1,0)</f>
        <v>0</v>
      </c>
      <c r="E839" s="268">
        <f t="shared" si="15"/>
        <v>0</v>
      </c>
    </row>
    <row r="840" spans="1:5" ht="13">
      <c r="A840" s="276" t="s">
        <v>20054</v>
      </c>
      <c r="B840" s="276" t="s">
        <v>19281</v>
      </c>
      <c r="C840" s="277">
        <v>218.9</v>
      </c>
      <c r="D840" s="278">
        <f>IF(AND(Data!B$4=6,OR(Data!B$3="A",Data!B$3="LH"),Data!B$5="MPU3"),1,0)</f>
        <v>0</v>
      </c>
      <c r="E840" s="268">
        <f t="shared" si="15"/>
        <v>0</v>
      </c>
    </row>
    <row r="841" spans="1:5" ht="13">
      <c r="A841" s="276" t="s">
        <v>20055</v>
      </c>
      <c r="B841" s="276" t="s">
        <v>19281</v>
      </c>
      <c r="C841" s="277">
        <v>211.2</v>
      </c>
      <c r="D841" s="278">
        <f>IF(AND(Data!B$4=6,OR(Data!B$3="A",Data!B$3="LH"),Data!B$5="MS2"),1,0)</f>
        <v>0</v>
      </c>
      <c r="E841" s="268">
        <f t="shared" si="15"/>
        <v>0</v>
      </c>
    </row>
    <row r="842" spans="1:5" ht="13">
      <c r="A842" s="276" t="s">
        <v>20056</v>
      </c>
      <c r="B842" s="276" t="s">
        <v>19281</v>
      </c>
      <c r="C842" s="277">
        <v>245.3</v>
      </c>
      <c r="D842" s="278">
        <f>IF(AND(Data!B$4=6,OR(Data!B$3="A",Data!B$3="LH"),Data!B$5="MT2"),1,0)</f>
        <v>0</v>
      </c>
      <c r="E842" s="268">
        <f t="shared" si="15"/>
        <v>0</v>
      </c>
    </row>
    <row r="843" spans="1:5" ht="13">
      <c r="A843" s="276" t="s">
        <v>20057</v>
      </c>
      <c r="B843" s="276" t="s">
        <v>19281</v>
      </c>
      <c r="C843" s="277">
        <v>116.6</v>
      </c>
      <c r="D843" s="278">
        <f>IF(AND(Data!B$4=7,OR(Data!B$3="A",Data!B$3="LH"),Data!B$5&lt;&gt;"MP1",Data!B$5&lt;&gt;"MP3",Data!B$5&lt;&gt;"MS2",Data!B$5&lt;&gt;"MT2",Data!B$5&lt;&gt;"ME4",Data!B$5&lt;&gt;"MPU3",Data!B$5&lt;&gt;"ME6",Data!B$5&lt;&gt;"IH4"),1,0)</f>
        <v>0</v>
      </c>
      <c r="E843" s="268">
        <f t="shared" si="15"/>
        <v>0</v>
      </c>
    </row>
    <row r="844" spans="1:5" ht="13">
      <c r="A844" s="276" t="s">
        <v>20058</v>
      </c>
      <c r="B844" s="276" t="s">
        <v>19281</v>
      </c>
      <c r="C844" s="277">
        <v>139.69999999999999</v>
      </c>
      <c r="D844" s="278">
        <f>IF(AND(Data!B$4=7,Data!B$5="ME4"),IF(OR(Data!B$3="A",Data!B$3="LH"),1,0),0)</f>
        <v>0</v>
      </c>
      <c r="E844" s="268">
        <f t="shared" si="15"/>
        <v>0</v>
      </c>
    </row>
    <row r="845" spans="1:5" ht="13">
      <c r="A845" s="276" t="s">
        <v>20059</v>
      </c>
      <c r="B845" s="276" t="s">
        <v>19281</v>
      </c>
      <c r="C845" s="277">
        <v>133.1</v>
      </c>
      <c r="D845" s="278">
        <f>IF(AND(Data!B$4=8,OR(Data!B$3="A",Data!B$3="LH"),Data!B$5&lt;&gt;"MP1",Data!B$5&lt;&gt;"MP3",Data!B$5&lt;&gt;"MS2",Data!B$5&lt;&gt;"MT2",Data!B$5&lt;&gt;"ME4",Data!B$5&lt;&gt;"MPU3",Data!B$5&lt;&gt;"ME6",Data!B$5&lt;&gt;"IH4"),1,0)</f>
        <v>0</v>
      </c>
      <c r="E845" s="268">
        <f t="shared" si="15"/>
        <v>0</v>
      </c>
    </row>
    <row r="846" spans="1:5" ht="13">
      <c r="A846" s="276" t="s">
        <v>20060</v>
      </c>
      <c r="B846" s="276" t="s">
        <v>19281</v>
      </c>
      <c r="C846" s="277">
        <v>162.80000000000001</v>
      </c>
      <c r="D846" s="278">
        <f>IF(AND(Data!B$4=8,Data!B$5="ME4"),IF(OR(Data!B$3="A",Data!B$3="LH"),1,0),0)</f>
        <v>0</v>
      </c>
      <c r="E846" s="268">
        <f t="shared" si="15"/>
        <v>0</v>
      </c>
    </row>
    <row r="847" spans="1:5" ht="13">
      <c r="A847" s="276" t="s">
        <v>20061</v>
      </c>
      <c r="B847" s="276" t="s">
        <v>19281</v>
      </c>
      <c r="C847" s="277">
        <v>240.9</v>
      </c>
      <c r="D847" s="278">
        <f>IF(AND(Data!B$4=8,OR(Data!B$3="A",Data!B$3="LH"),Data!B$5="MP1"),1,0)</f>
        <v>0</v>
      </c>
      <c r="E847" s="268">
        <f t="shared" si="15"/>
        <v>0</v>
      </c>
    </row>
    <row r="848" spans="1:5" ht="13">
      <c r="A848" s="276" t="s">
        <v>20062</v>
      </c>
      <c r="B848" s="276" t="s">
        <v>19281</v>
      </c>
      <c r="C848" s="277">
        <v>193.6</v>
      </c>
      <c r="D848" s="278">
        <f>IF(AND(Data!B$4=8,OR(Data!B$3="A",Data!B$3="LH"),Data!B$5="MP2"),1,0)</f>
        <v>0</v>
      </c>
      <c r="E848" s="268">
        <f t="shared" si="15"/>
        <v>0</v>
      </c>
    </row>
    <row r="849" spans="1:5" ht="13">
      <c r="A849" s="276" t="s">
        <v>20063</v>
      </c>
      <c r="B849" s="276" t="s">
        <v>19281</v>
      </c>
      <c r="C849" s="277">
        <v>240.9</v>
      </c>
      <c r="D849" s="278">
        <f>IF(AND(Data!B$4=8,OR(Data!B$3="A",Data!B$3="LH"),Data!B$5="MP3"),1,0)</f>
        <v>0</v>
      </c>
      <c r="E849" s="268">
        <f t="shared" si="15"/>
        <v>0</v>
      </c>
    </row>
    <row r="850" spans="1:5" ht="13">
      <c r="A850" s="276" t="s">
        <v>20064</v>
      </c>
      <c r="B850" s="276" t="s">
        <v>19281</v>
      </c>
      <c r="C850" s="277">
        <v>256.3</v>
      </c>
      <c r="D850" s="278">
        <f>IF(AND(Data!B$4=8,OR(Data!B$3="A",Data!B$3="LH"),Data!B$5="MPU3"),1,0)</f>
        <v>0</v>
      </c>
      <c r="E850" s="268">
        <f t="shared" si="15"/>
        <v>0</v>
      </c>
    </row>
    <row r="851" spans="1:5" ht="13">
      <c r="A851" s="276" t="s">
        <v>20065</v>
      </c>
      <c r="B851" s="276" t="s">
        <v>19281</v>
      </c>
      <c r="C851" s="277">
        <v>248.6</v>
      </c>
      <c r="D851" s="278">
        <f>IF(AND(Data!B$4=8,OR(Data!B$3="A",Data!B$3="LH"),Data!B$5="MS2"),1,0)</f>
        <v>0</v>
      </c>
      <c r="E851" s="268">
        <f t="shared" si="15"/>
        <v>0</v>
      </c>
    </row>
    <row r="852" spans="1:5" ht="13">
      <c r="A852" s="276" t="s">
        <v>20066</v>
      </c>
      <c r="B852" s="276" t="s">
        <v>19281</v>
      </c>
      <c r="C852" s="277">
        <v>287.10000000000002</v>
      </c>
      <c r="D852" s="278">
        <f>IF(AND(Data!B$4=8,OR(Data!B$3="A",Data!B$3="LH"),Data!B$5="MT2"),1,0)</f>
        <v>0</v>
      </c>
      <c r="E852" s="268">
        <f t="shared" si="15"/>
        <v>0</v>
      </c>
    </row>
    <row r="853" spans="1:5" ht="13">
      <c r="A853" s="276" t="s">
        <v>20067</v>
      </c>
      <c r="B853" s="276" t="s">
        <v>20068</v>
      </c>
      <c r="C853" s="277">
        <v>8.8000000000000007</v>
      </c>
      <c r="D853" s="278">
        <f>IF(AND(OR(Data!B$3="A",Data!B$3="LH"),Data!B$4&lt;2.1),IF(AND(Data!B$4=1.5,Data!B$6=1),IF(OR(Data!B$7="re",Data!B$7="Be"),1,0),IF(AND(Data!B$4=2,Data!B$6=1.375),IF(OR(Data!B$7="re",Data!B$7="Be"),1,0))),0)*1</f>
        <v>0</v>
      </c>
      <c r="E853" s="268">
        <f t="shared" si="15"/>
        <v>0</v>
      </c>
    </row>
    <row r="854" spans="1:5" ht="13">
      <c r="A854" s="276" t="s">
        <v>20973</v>
      </c>
      <c r="B854" s="276" t="s">
        <v>20974</v>
      </c>
      <c r="C854" s="277">
        <v>8.8000000000000007</v>
      </c>
      <c r="D854" s="278">
        <f>IF(AND(OR(Data!B$3="A",Data!B$3="LH"),Data!B$4&lt;2.6),IF(OR(AND(Data!B$4=2,Data!B$6=1.375),AND(Data!B$4=1.5,Data!B$6=1)),IF(OR(Data!B$7="Be",Data!B$7="ce"),1,0),IF(OR(Data!B$7="re",Data!B$7="ce"),1,IF(Data!B$7="be",2,0))),0)*1</f>
        <v>0</v>
      </c>
      <c r="E854" s="268">
        <f t="shared" si="15"/>
        <v>0</v>
      </c>
    </row>
    <row r="855" spans="1:5" ht="13">
      <c r="A855" s="276"/>
      <c r="B855" s="276"/>
      <c r="C855" s="277"/>
      <c r="D855" s="278"/>
    </row>
    <row r="856" spans="1:5" ht="13">
      <c r="A856" s="276"/>
      <c r="B856" s="276"/>
      <c r="C856" s="277"/>
      <c r="D856" s="278"/>
    </row>
    <row r="857" spans="1:5" ht="13">
      <c r="A857" s="276"/>
      <c r="B857" s="276"/>
      <c r="C857" s="277"/>
      <c r="D857" s="278"/>
    </row>
    <row r="858" spans="1:5" ht="13">
      <c r="A858" s="276"/>
      <c r="B858" s="276"/>
      <c r="C858" s="277"/>
      <c r="D858" s="278"/>
    </row>
    <row r="859" spans="1:5" ht="13">
      <c r="A859" s="276"/>
      <c r="B859" s="276"/>
      <c r="C859" s="277"/>
      <c r="D859" s="278"/>
    </row>
    <row r="860" spans="1:5" ht="13">
      <c r="A860" s="276"/>
      <c r="B860" s="276"/>
      <c r="C860" s="277"/>
      <c r="D860" s="278"/>
    </row>
    <row r="861" spans="1:5" ht="13">
      <c r="A861" s="276"/>
      <c r="B861" s="276"/>
      <c r="C861" s="277"/>
      <c r="D861" s="278"/>
    </row>
    <row r="862" spans="1:5" ht="13">
      <c r="A862" s="276"/>
      <c r="B862" s="276"/>
      <c r="C862" s="277"/>
      <c r="D862" s="278"/>
    </row>
    <row r="863" spans="1:5" ht="13">
      <c r="A863" s="276"/>
      <c r="B863" s="276"/>
      <c r="C863" s="277"/>
      <c r="D863" s="278"/>
    </row>
    <row r="864" spans="1:5" ht="13">
      <c r="A864" s="276"/>
      <c r="B864" s="276"/>
      <c r="C864" s="277"/>
      <c r="D864" s="278"/>
    </row>
    <row r="865" spans="1:4" ht="13">
      <c r="A865" s="276"/>
      <c r="B865" s="276"/>
      <c r="C865" s="277"/>
      <c r="D865" s="278"/>
    </row>
    <row r="866" spans="1:4" ht="13">
      <c r="A866" s="276"/>
      <c r="B866" s="276"/>
      <c r="C866" s="277"/>
      <c r="D866" s="278"/>
    </row>
    <row r="867" spans="1:4" ht="13">
      <c r="A867" s="276"/>
      <c r="B867" s="276"/>
      <c r="C867" s="277"/>
      <c r="D867" s="278"/>
    </row>
    <row r="868" spans="1:4" ht="13">
      <c r="A868" s="276"/>
      <c r="B868" s="276"/>
      <c r="C868" s="277"/>
      <c r="D868" s="278"/>
    </row>
    <row r="869" spans="1:4" ht="13">
      <c r="A869" s="276"/>
      <c r="B869" s="276"/>
      <c r="C869" s="277"/>
      <c r="D869" s="278"/>
    </row>
    <row r="870" spans="1:4" ht="13">
      <c r="A870" s="276"/>
      <c r="B870" s="276"/>
      <c r="C870" s="277"/>
      <c r="D870" s="278"/>
    </row>
    <row r="871" spans="1:4" ht="13">
      <c r="A871" s="276"/>
      <c r="B871" s="276"/>
      <c r="C871" s="277"/>
      <c r="D871" s="278"/>
    </row>
    <row r="872" spans="1:4" ht="13">
      <c r="A872" s="276"/>
      <c r="B872" s="276"/>
      <c r="C872" s="277"/>
      <c r="D872" s="278"/>
    </row>
    <row r="873" spans="1:4" ht="13">
      <c r="A873" s="276"/>
      <c r="B873" s="276"/>
      <c r="C873" s="277"/>
      <c r="D873" s="278"/>
    </row>
    <row r="874" spans="1:4" ht="13">
      <c r="A874" s="276"/>
      <c r="B874" s="276"/>
      <c r="C874" s="277"/>
      <c r="D874" s="278"/>
    </row>
    <row r="875" spans="1:4" ht="13">
      <c r="A875" s="276"/>
      <c r="B875" s="276"/>
      <c r="C875" s="277"/>
      <c r="D875" s="278"/>
    </row>
    <row r="876" spans="1:4" ht="13">
      <c r="A876" s="276"/>
      <c r="B876" s="276"/>
      <c r="C876" s="277"/>
      <c r="D876" s="278"/>
    </row>
    <row r="877" spans="1:4" ht="13">
      <c r="A877" s="276"/>
      <c r="B877" s="276"/>
      <c r="C877" s="277"/>
      <c r="D877" s="278"/>
    </row>
    <row r="878" spans="1:4" ht="13">
      <c r="A878" s="276"/>
      <c r="B878" s="276"/>
      <c r="C878" s="277"/>
      <c r="D878" s="278"/>
    </row>
    <row r="879" spans="1:4" ht="13">
      <c r="A879" s="276"/>
      <c r="B879" s="276"/>
      <c r="C879" s="277"/>
      <c r="D879" s="278"/>
    </row>
    <row r="880" spans="1:4" ht="13">
      <c r="A880" s="276"/>
      <c r="B880" s="276"/>
      <c r="C880" s="277"/>
      <c r="D880" s="278"/>
    </row>
    <row r="881" spans="1:4" ht="13">
      <c r="A881" s="276"/>
      <c r="B881" s="276"/>
      <c r="C881" s="277"/>
      <c r="D881" s="278"/>
    </row>
    <row r="882" spans="1:4" ht="13">
      <c r="A882" s="276"/>
      <c r="B882" s="276"/>
      <c r="C882" s="277"/>
      <c r="D882" s="278"/>
    </row>
    <row r="883" spans="1:4" ht="13">
      <c r="A883" s="276"/>
      <c r="B883" s="276"/>
      <c r="C883" s="277"/>
      <c r="D883" s="278"/>
    </row>
    <row r="884" spans="1:4" ht="13">
      <c r="A884" s="276"/>
      <c r="B884" s="276"/>
      <c r="C884" s="277"/>
      <c r="D884" s="278"/>
    </row>
    <row r="885" spans="1:4" ht="13">
      <c r="A885" s="276"/>
      <c r="B885" s="276"/>
      <c r="C885" s="277"/>
      <c r="D885" s="278"/>
    </row>
    <row r="886" spans="1:4" ht="13">
      <c r="A886" s="276"/>
      <c r="B886" s="276"/>
      <c r="C886" s="277"/>
      <c r="D886" s="278"/>
    </row>
    <row r="887" spans="1:4" ht="13">
      <c r="A887" s="276"/>
      <c r="B887" s="276"/>
      <c r="C887" s="277"/>
      <c r="D887" s="278"/>
    </row>
    <row r="888" spans="1:4" ht="13">
      <c r="A888" s="276"/>
      <c r="B888" s="276"/>
      <c r="C888" s="277"/>
      <c r="D888" s="278"/>
    </row>
    <row r="889" spans="1:4" ht="13">
      <c r="A889" s="276"/>
      <c r="B889" s="276"/>
      <c r="C889" s="277"/>
      <c r="D889" s="278"/>
    </row>
    <row r="890" spans="1:4" ht="13">
      <c r="A890" s="276"/>
      <c r="B890" s="276"/>
      <c r="C890" s="277"/>
      <c r="D890" s="278"/>
    </row>
    <row r="891" spans="1:4" ht="13">
      <c r="A891" s="276"/>
      <c r="B891" s="276"/>
      <c r="C891" s="277"/>
      <c r="D891" s="278"/>
    </row>
    <row r="892" spans="1:4" ht="13">
      <c r="A892" s="276"/>
      <c r="B892" s="276"/>
      <c r="C892" s="277"/>
      <c r="D892" s="278"/>
    </row>
    <row r="893" spans="1:4" ht="13">
      <c r="A893" s="276"/>
      <c r="B893" s="276"/>
      <c r="C893" s="277"/>
      <c r="D893" s="278"/>
    </row>
    <row r="894" spans="1:4" ht="13">
      <c r="A894" s="276"/>
      <c r="B894" s="276"/>
      <c r="C894" s="277"/>
      <c r="D894" s="278"/>
    </row>
    <row r="895" spans="1:4" ht="13">
      <c r="A895" s="276"/>
      <c r="B895" s="276"/>
      <c r="C895" s="277"/>
      <c r="D895" s="278"/>
    </row>
    <row r="896" spans="1:4" ht="13">
      <c r="A896" s="276"/>
      <c r="B896" s="276"/>
      <c r="C896" s="277"/>
      <c r="D896" s="278"/>
    </row>
    <row r="897" spans="1:4" ht="13">
      <c r="A897" s="276"/>
      <c r="B897" s="276"/>
      <c r="C897" s="277"/>
      <c r="D897" s="278"/>
    </row>
    <row r="898" spans="1:4" ht="13">
      <c r="A898" s="276"/>
      <c r="B898" s="276"/>
      <c r="C898" s="277"/>
      <c r="D898" s="278"/>
    </row>
    <row r="899" spans="1:4" ht="13">
      <c r="A899" s="276"/>
      <c r="B899" s="276"/>
      <c r="C899" s="277"/>
      <c r="D899" s="278"/>
    </row>
    <row r="900" spans="1:4" ht="13">
      <c r="A900" s="276"/>
      <c r="B900" s="276"/>
      <c r="C900" s="277"/>
      <c r="D900" s="278"/>
    </row>
    <row r="901" spans="1:4" ht="13">
      <c r="A901" s="276"/>
      <c r="B901" s="276"/>
      <c r="C901" s="277"/>
      <c r="D901" s="278"/>
    </row>
    <row r="902" spans="1:4" ht="13">
      <c r="A902" s="276"/>
      <c r="B902" s="276"/>
      <c r="C902" s="277"/>
      <c r="D902" s="278"/>
    </row>
    <row r="903" spans="1:4" ht="13">
      <c r="A903" s="276"/>
      <c r="B903" s="276"/>
      <c r="C903" s="277"/>
      <c r="D903" s="278"/>
    </row>
    <row r="904" spans="1:4" ht="13">
      <c r="A904" s="276"/>
      <c r="B904" s="276"/>
      <c r="C904" s="277"/>
      <c r="D904" s="278"/>
    </row>
    <row r="905" spans="1:4" ht="13">
      <c r="A905" s="276"/>
      <c r="B905" s="276"/>
      <c r="C905" s="277"/>
      <c r="D905" s="278"/>
    </row>
    <row r="906" spans="1:4" ht="13">
      <c r="A906" s="276"/>
      <c r="B906" s="276"/>
      <c r="C906" s="277"/>
      <c r="D906" s="278"/>
    </row>
    <row r="907" spans="1:4" ht="13">
      <c r="A907" s="276"/>
      <c r="B907" s="276"/>
      <c r="C907" s="277"/>
      <c r="D907" s="278"/>
    </row>
    <row r="908" spans="1:4" ht="13">
      <c r="A908" s="276"/>
      <c r="B908" s="276"/>
      <c r="C908" s="277"/>
      <c r="D908" s="278"/>
    </row>
    <row r="909" spans="1:4" ht="13">
      <c r="A909" s="276"/>
      <c r="B909" s="276"/>
      <c r="C909" s="277"/>
      <c r="D909" s="278"/>
    </row>
    <row r="910" spans="1:4" ht="13">
      <c r="A910" s="276"/>
      <c r="B910" s="276"/>
      <c r="C910" s="277"/>
      <c r="D910" s="278"/>
    </row>
    <row r="911" spans="1:4" ht="13">
      <c r="A911" s="276"/>
      <c r="B911" s="276"/>
      <c r="C911" s="277"/>
      <c r="D911" s="278"/>
    </row>
    <row r="912" spans="1:4" ht="13">
      <c r="A912" s="276"/>
      <c r="B912" s="276"/>
      <c r="C912" s="277"/>
      <c r="D912" s="278"/>
    </row>
    <row r="913" spans="1:4" ht="13">
      <c r="A913" s="276"/>
      <c r="B913" s="276"/>
      <c r="C913" s="277"/>
      <c r="D913" s="278"/>
    </row>
    <row r="914" spans="1:4" ht="13">
      <c r="A914" s="276"/>
      <c r="B914" s="276"/>
      <c r="C914" s="277"/>
      <c r="D914" s="278"/>
    </row>
    <row r="915" spans="1:4" ht="13">
      <c r="A915" s="276"/>
      <c r="B915" s="276"/>
      <c r="C915" s="277"/>
      <c r="D915" s="278"/>
    </row>
    <row r="916" spans="1:4" ht="13">
      <c r="A916" s="276"/>
      <c r="B916" s="276"/>
      <c r="C916" s="277"/>
      <c r="D916" s="278"/>
    </row>
    <row r="917" spans="1:4" ht="13">
      <c r="A917" s="276"/>
      <c r="B917" s="276"/>
      <c r="C917" s="277"/>
      <c r="D917" s="278"/>
    </row>
    <row r="918" spans="1:4" ht="13">
      <c r="A918" s="276"/>
      <c r="B918" s="276"/>
      <c r="C918" s="277"/>
      <c r="D918" s="278"/>
    </row>
    <row r="919" spans="1:4" ht="13">
      <c r="A919" s="276"/>
      <c r="B919" s="276"/>
      <c r="C919" s="277"/>
      <c r="D919" s="278"/>
    </row>
    <row r="920" spans="1:4" ht="13">
      <c r="A920" s="276"/>
      <c r="B920" s="276"/>
      <c r="C920" s="277"/>
      <c r="D920" s="278"/>
    </row>
    <row r="921" spans="1:4" ht="13">
      <c r="A921" s="276"/>
      <c r="B921" s="276"/>
      <c r="C921" s="277"/>
      <c r="D921" s="278"/>
    </row>
    <row r="922" spans="1:4" ht="13">
      <c r="A922" s="276"/>
      <c r="B922" s="276"/>
      <c r="C922" s="277"/>
      <c r="D922" s="278"/>
    </row>
    <row r="923" spans="1:4" ht="13">
      <c r="A923" s="276"/>
      <c r="B923" s="276"/>
      <c r="C923" s="277"/>
      <c r="D923" s="278"/>
    </row>
    <row r="924" spans="1:4" ht="13">
      <c r="A924" s="276"/>
      <c r="B924" s="276"/>
      <c r="C924" s="277"/>
      <c r="D924" s="278"/>
    </row>
    <row r="925" spans="1:4" ht="13">
      <c r="A925" s="276"/>
      <c r="B925" s="276"/>
      <c r="C925" s="277"/>
      <c r="D925" s="278"/>
    </row>
    <row r="926" spans="1:4" ht="13">
      <c r="A926" s="276"/>
      <c r="B926" s="276"/>
      <c r="C926" s="277"/>
      <c r="D926" s="278"/>
    </row>
    <row r="927" spans="1:4" ht="13">
      <c r="A927" s="276"/>
      <c r="B927" s="276"/>
      <c r="C927" s="277"/>
      <c r="D927" s="278"/>
    </row>
    <row r="928" spans="1:4" ht="13">
      <c r="A928" s="276"/>
      <c r="B928" s="276"/>
      <c r="C928" s="277"/>
      <c r="D928" s="278"/>
    </row>
    <row r="929" spans="1:4" ht="13">
      <c r="A929" s="276"/>
      <c r="B929" s="276"/>
      <c r="C929" s="277"/>
      <c r="D929" s="278"/>
    </row>
    <row r="930" spans="1:4" ht="13">
      <c r="A930" s="276"/>
      <c r="B930" s="276"/>
      <c r="C930" s="277"/>
      <c r="D930" s="278"/>
    </row>
    <row r="931" spans="1:4" ht="13">
      <c r="A931" s="276"/>
      <c r="B931" s="276"/>
      <c r="C931" s="277"/>
      <c r="D931" s="278"/>
    </row>
    <row r="932" spans="1:4" ht="13">
      <c r="A932" s="276"/>
      <c r="B932" s="276"/>
      <c r="C932" s="277"/>
      <c r="D932" s="278"/>
    </row>
    <row r="933" spans="1:4" ht="13">
      <c r="A933" s="276"/>
      <c r="B933" s="276"/>
      <c r="C933" s="277"/>
      <c r="D933" s="278"/>
    </row>
    <row r="934" spans="1:4" ht="13">
      <c r="A934" s="276"/>
      <c r="B934" s="276"/>
      <c r="C934" s="277"/>
      <c r="D934" s="278"/>
    </row>
    <row r="935" spans="1:4" ht="13">
      <c r="A935" s="276"/>
      <c r="B935" s="276"/>
      <c r="C935" s="277"/>
      <c r="D935" s="278"/>
    </row>
    <row r="936" spans="1:4" ht="13">
      <c r="A936" s="276"/>
      <c r="B936" s="276"/>
      <c r="C936" s="277"/>
      <c r="D936" s="278"/>
    </row>
    <row r="937" spans="1:4" ht="13">
      <c r="A937" s="276"/>
      <c r="B937" s="276"/>
      <c r="C937" s="277"/>
      <c r="D937" s="278"/>
    </row>
    <row r="938" spans="1:4" ht="13">
      <c r="A938" s="276"/>
      <c r="B938" s="276"/>
      <c r="C938" s="277"/>
      <c r="D938" s="278"/>
    </row>
    <row r="939" spans="1:4" ht="13">
      <c r="A939" s="276"/>
      <c r="B939" s="276"/>
      <c r="C939" s="277"/>
      <c r="D939" s="278"/>
    </row>
    <row r="940" spans="1:4" ht="13">
      <c r="A940" s="276"/>
      <c r="B940" s="276"/>
      <c r="C940" s="277"/>
      <c r="D940" s="278"/>
    </row>
    <row r="941" spans="1:4" ht="13">
      <c r="A941" s="276"/>
      <c r="B941" s="276"/>
      <c r="C941" s="277"/>
      <c r="D941" s="278"/>
    </row>
    <row r="942" spans="1:4" ht="13">
      <c r="A942" s="276"/>
      <c r="B942" s="276"/>
      <c r="C942" s="277"/>
      <c r="D942" s="278"/>
    </row>
    <row r="943" spans="1:4" ht="13">
      <c r="A943" s="276"/>
      <c r="B943" s="276"/>
      <c r="C943" s="277"/>
      <c r="D943" s="278"/>
    </row>
    <row r="944" spans="1:4" ht="13">
      <c r="A944" s="276"/>
      <c r="B944" s="276"/>
      <c r="C944" s="277"/>
      <c r="D944" s="278"/>
    </row>
    <row r="945" spans="1:4" ht="13">
      <c r="A945" s="276"/>
      <c r="B945" s="276"/>
      <c r="C945" s="277"/>
      <c r="D945" s="278"/>
    </row>
    <row r="946" spans="1:4" ht="13">
      <c r="A946" s="276"/>
      <c r="B946" s="276"/>
      <c r="C946" s="277"/>
      <c r="D946" s="278"/>
    </row>
    <row r="947" spans="1:4" ht="13">
      <c r="A947" s="276"/>
      <c r="B947" s="276"/>
      <c r="C947" s="277"/>
      <c r="D947" s="278"/>
    </row>
  </sheetData>
  <sortState xmlns:xlrd2="http://schemas.microsoft.com/office/spreadsheetml/2017/richdata2" ref="A2:D1050">
    <sortCondition ref="B2:B1050"/>
  </sortState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3"/>
  <dimension ref="A1:R3648"/>
  <sheetViews>
    <sheetView topLeftCell="A7" workbookViewId="0">
      <selection activeCell="C24" sqref="C24"/>
    </sheetView>
  </sheetViews>
  <sheetFormatPr defaultColWidth="9.08984375" defaultRowHeight="11.5"/>
  <cols>
    <col min="1" max="1" width="10.54296875" style="30" customWidth="1"/>
    <col min="2" max="2" width="31.54296875" style="30" bestFit="1" customWidth="1"/>
    <col min="3" max="3" width="13.36328125" style="30" customWidth="1"/>
    <col min="4" max="4" width="31.36328125" style="30" customWidth="1"/>
    <col min="5" max="16384" width="9.08984375" style="30"/>
  </cols>
  <sheetData>
    <row r="1" spans="3:18">
      <c r="F1" s="34"/>
      <c r="G1" s="34"/>
      <c r="H1" s="34"/>
      <c r="I1" s="34"/>
      <c r="J1" s="34"/>
      <c r="K1" s="30">
        <f>M5</f>
        <v>2</v>
      </c>
    </row>
    <row r="2" spans="3:18">
      <c r="F2" s="30" t="str">
        <f>IF(Data!B$3="VA","MX3","MF1")</f>
        <v>MF1</v>
      </c>
      <c r="H2" s="30" t="s">
        <v>525</v>
      </c>
      <c r="J2" s="34"/>
      <c r="K2" s="30">
        <f>N5</f>
        <v>2.5</v>
      </c>
    </row>
    <row r="3" spans="3:18">
      <c r="F3" s="30" t="s">
        <v>331</v>
      </c>
      <c r="H3" s="30" t="s">
        <v>212</v>
      </c>
      <c r="J3" s="34"/>
      <c r="K3" s="30">
        <f>O5</f>
        <v>3</v>
      </c>
    </row>
    <row r="4" spans="3:18">
      <c r="F4" s="30" t="str">
        <f>IF(OR(Data!B$3="SH",Data!B$3="SA"),"","MF5")</f>
        <v>MF5</v>
      </c>
      <c r="H4" s="30" t="s">
        <v>645</v>
      </c>
      <c r="J4" s="34"/>
      <c r="K4" s="30">
        <f>P5</f>
        <v>3.5</v>
      </c>
    </row>
    <row r="5" spans="3:18">
      <c r="F5" s="30" t="str">
        <f>IF(OR(Data!B$3="SH",Data!B$3="SA"),"","MF6")</f>
        <v>MF6</v>
      </c>
      <c r="H5" s="30" t="s">
        <v>277</v>
      </c>
      <c r="J5" s="34"/>
      <c r="K5" s="30" t="str">
        <f>Q5</f>
        <v/>
      </c>
      <c r="M5" s="30">
        <f t="shared" ref="M5:R5" si="0">IF(SUM(M8:M168)&gt;0.1,SUM(M8:M168),"")</f>
        <v>2</v>
      </c>
      <c r="N5" s="30">
        <f t="shared" si="0"/>
        <v>2.5</v>
      </c>
      <c r="O5" s="30">
        <f t="shared" si="0"/>
        <v>3</v>
      </c>
      <c r="P5" s="30">
        <f t="shared" si="0"/>
        <v>3.5</v>
      </c>
      <c r="Q5" s="30" t="str">
        <f t="shared" si="0"/>
        <v/>
      </c>
      <c r="R5" s="30" t="str">
        <f t="shared" si="0"/>
        <v/>
      </c>
    </row>
    <row r="6" spans="3:18">
      <c r="D6" s="30" t="str">
        <f>IF(OR(Data!B3="LH",Data!B3="A",Data!B3="VA"),"B","P")</f>
        <v>P</v>
      </c>
      <c r="E6" s="30" t="s">
        <v>558</v>
      </c>
      <c r="F6" s="30" t="s">
        <v>334</v>
      </c>
      <c r="H6" s="30" t="s">
        <v>457</v>
      </c>
      <c r="J6" s="34"/>
      <c r="K6" s="30" t="str">
        <f>R5</f>
        <v/>
      </c>
    </row>
    <row r="7" spans="3:18">
      <c r="D7" s="30" t="str">
        <f>IF(OR(Data!B3="LH",Data!B3="A",Data!B3="VA"),"V","B")</f>
        <v>B</v>
      </c>
      <c r="E7" s="30" t="s">
        <v>586</v>
      </c>
      <c r="F7" s="30" t="str">
        <f>IF(OR(Data!B$3="SH",Data!B$3="SA"),"","MP2")</f>
        <v>MP2</v>
      </c>
      <c r="H7" s="30" t="s">
        <v>504</v>
      </c>
      <c r="J7" s="34"/>
      <c r="K7" s="43"/>
    </row>
    <row r="8" spans="3:18">
      <c r="C8" s="30" t="s">
        <v>558</v>
      </c>
      <c r="D8" s="30" t="str">
        <f>IF(OR(Data!B3="LH",Data!B3="A",Data!B3="VA"),"P","V")</f>
        <v>V</v>
      </c>
      <c r="E8" s="30" t="s">
        <v>585</v>
      </c>
      <c r="F8" s="30" t="s">
        <v>505</v>
      </c>
      <c r="H8" s="30" t="s">
        <v>22156</v>
      </c>
      <c r="J8" s="249" t="s">
        <v>212</v>
      </c>
      <c r="K8" s="250">
        <v>1.5</v>
      </c>
      <c r="L8" s="249">
        <v>0.625</v>
      </c>
      <c r="M8" s="30" t="str">
        <f>IF(OR(Data!$B$3="A",Data!$B$3="LH"),IF(Data!$B$4=$K8,$L8,""),"")</f>
        <v/>
      </c>
    </row>
    <row r="9" spans="3:18">
      <c r="D9" s="30" t="s">
        <v>586</v>
      </c>
      <c r="F9" s="30" t="str">
        <f>IF(OR(Data!B$3="SH",Data!B$3="SA"),"","MPU3")</f>
        <v>MPU3</v>
      </c>
      <c r="H9" s="30" t="s">
        <v>22157</v>
      </c>
      <c r="J9" s="249" t="s">
        <v>212</v>
      </c>
      <c r="K9" s="250">
        <v>1.5</v>
      </c>
      <c r="L9" s="249">
        <v>1</v>
      </c>
      <c r="N9" s="30" t="str">
        <f>IF(OR(Data!$B$3="A",Data!$B$3="LH"),IF(Data!$B$4=$K9,$L9,""),"")</f>
        <v/>
      </c>
    </row>
    <row r="10" spans="3:18">
      <c r="C10" s="30" t="s">
        <v>212</v>
      </c>
      <c r="D10" s="30" t="s">
        <v>558</v>
      </c>
      <c r="F10" s="30" t="s">
        <v>352</v>
      </c>
      <c r="H10" s="30" t="s">
        <v>22158</v>
      </c>
      <c r="J10" s="249" t="s">
        <v>212</v>
      </c>
      <c r="K10" s="250">
        <v>2</v>
      </c>
      <c r="L10" s="249">
        <v>0.625</v>
      </c>
      <c r="M10" s="30" t="str">
        <f>IF(OR(Data!$B$3="A",Data!$B$3="LH"),IF(Data!$B$4=$K10,$L10,""),"")</f>
        <v/>
      </c>
    </row>
    <row r="11" spans="3:18">
      <c r="C11" s="30" t="s">
        <v>588</v>
      </c>
      <c r="D11" s="30" t="s">
        <v>525</v>
      </c>
      <c r="F11" s="30" t="str">
        <f>IF(OR(Data!B$3="SH",Data!B$3="SA"),"","MS3")</f>
        <v>MS3</v>
      </c>
      <c r="H11" s="30" t="s">
        <v>588</v>
      </c>
      <c r="J11" s="249" t="s">
        <v>212</v>
      </c>
      <c r="K11" s="250">
        <v>2</v>
      </c>
      <c r="L11" s="249">
        <v>1</v>
      </c>
      <c r="N11" s="30" t="str">
        <f>IF(OR(Data!$B$3="A",Data!$B$3="LH"),IF(Data!$B$4=$K11,$L11,""),"")</f>
        <v/>
      </c>
    </row>
    <row r="12" spans="3:18">
      <c r="C12" s="30" t="s">
        <v>738</v>
      </c>
      <c r="D12" s="30">
        <f>IF(Data!B3="VA",3,1)</f>
        <v>1</v>
      </c>
      <c r="E12" s="30" t="s">
        <v>656</v>
      </c>
      <c r="F12" s="30" t="s">
        <v>332</v>
      </c>
      <c r="H12" s="30" t="s">
        <v>22202</v>
      </c>
      <c r="J12" s="249" t="s">
        <v>212</v>
      </c>
      <c r="K12" s="250">
        <v>2</v>
      </c>
      <c r="L12" s="249">
        <v>1.375</v>
      </c>
      <c r="O12" s="30" t="str">
        <f>IF(OR(Data!B$3="A",Data!$B$3="LH"),IF(Data!B$4=K12,L12,""),"")</f>
        <v/>
      </c>
    </row>
    <row r="13" spans="3:18">
      <c r="D13" s="30">
        <f>IF(Data!B3="VA","",2)</f>
        <v>2</v>
      </c>
      <c r="E13" s="30" t="s">
        <v>587</v>
      </c>
      <c r="F13" s="30" t="s">
        <v>134</v>
      </c>
      <c r="J13" s="249" t="s">
        <v>212</v>
      </c>
      <c r="K13" s="250">
        <v>2.5</v>
      </c>
      <c r="L13" s="249">
        <v>0.625</v>
      </c>
      <c r="M13" s="30" t="str">
        <f>IF(OR(Data!$B$3="A",Data!$B$3="LH"),IF(Data!$B$4=$K13,$L13,""),"")</f>
        <v/>
      </c>
    </row>
    <row r="14" spans="3:18">
      <c r="C14" s="30">
        <v>4</v>
      </c>
      <c r="D14" s="30">
        <f>IF(Data!B3="VA","",3)</f>
        <v>3</v>
      </c>
      <c r="E14" s="30" t="s">
        <v>517</v>
      </c>
      <c r="F14" s="30" t="s">
        <v>507</v>
      </c>
      <c r="J14" s="249" t="s">
        <v>212</v>
      </c>
      <c r="K14" s="250">
        <v>2.5</v>
      </c>
      <c r="L14" s="249">
        <v>1</v>
      </c>
      <c r="N14" s="30" t="str">
        <f>IF(OR(Data!$B$3="A",Data!$B$3="LH"),IF(Data!$B$4=$K14,$L14,""),"")</f>
        <v/>
      </c>
    </row>
    <row r="15" spans="3:18">
      <c r="C15" s="30">
        <v>7</v>
      </c>
      <c r="D15" s="30">
        <f>IF(Data!B3="VA","",4)</f>
        <v>4</v>
      </c>
      <c r="E15" s="30" t="s">
        <v>516</v>
      </c>
      <c r="F15" s="30" t="s">
        <v>572</v>
      </c>
      <c r="J15" s="249" t="s">
        <v>212</v>
      </c>
      <c r="K15" s="250">
        <v>2.5</v>
      </c>
      <c r="L15" s="249">
        <v>1.375</v>
      </c>
      <c r="O15" s="30" t="str">
        <f>IF(OR(Data!B$3="A",Data!$B$3="LH"),IF(Data!B$4=K15,L15,""),"")</f>
        <v/>
      </c>
    </row>
    <row r="16" spans="3:18">
      <c r="C16" s="30">
        <v>8</v>
      </c>
      <c r="D16" s="30">
        <f>IF(Data!B3="VA",1,5)</f>
        <v>5</v>
      </c>
      <c r="E16" s="30" t="s">
        <v>518</v>
      </c>
      <c r="F16" s="30" t="str">
        <f>IF(OR(Data!B$3="SH",Data!B$3="SA"),"","MT4")</f>
        <v>MT4</v>
      </c>
      <c r="J16" s="249" t="s">
        <v>212</v>
      </c>
      <c r="K16" s="250">
        <v>2.5</v>
      </c>
      <c r="L16" s="249">
        <v>1.75</v>
      </c>
      <c r="P16" s="30" t="str">
        <f>IF(OR(Data!B$3="A",Data!$B$3="LH"),IF(Data!B$4=K16,L16,""),"")</f>
        <v/>
      </c>
    </row>
    <row r="17" spans="1:18">
      <c r="C17" s="30">
        <v>9</v>
      </c>
      <c r="E17" s="30" t="s">
        <v>362</v>
      </c>
      <c r="F17" s="30" t="s">
        <v>333</v>
      </c>
      <c r="J17" s="249" t="s">
        <v>212</v>
      </c>
      <c r="K17" s="250">
        <v>3.25</v>
      </c>
      <c r="L17" s="249">
        <v>1</v>
      </c>
      <c r="M17" s="30" t="str">
        <f>IF(OR(Data!$B$3="A",Data!$B$3="LH"),IF(Data!$B$4=$K17,$L17,""),"")</f>
        <v/>
      </c>
    </row>
    <row r="18" spans="1:18">
      <c r="C18" s="30">
        <v>55</v>
      </c>
      <c r="E18" s="30" t="s">
        <v>301</v>
      </c>
      <c r="F18" s="30" t="s">
        <v>88</v>
      </c>
      <c r="J18" s="249" t="s">
        <v>212</v>
      </c>
      <c r="K18" s="250">
        <v>3.25</v>
      </c>
      <c r="L18" s="249">
        <v>1.375</v>
      </c>
      <c r="N18" s="30" t="str">
        <f>IF(OR(Data!$B$3="A",Data!$B$3="LH"),IF(Data!$B$4=$K18,$L18,""),"")</f>
        <v/>
      </c>
    </row>
    <row r="19" spans="1:18">
      <c r="C19" s="30">
        <v>3</v>
      </c>
      <c r="E19" s="30" t="s">
        <v>19253</v>
      </c>
      <c r="F19" s="30" t="s">
        <v>321</v>
      </c>
      <c r="J19" s="249" t="s">
        <v>212</v>
      </c>
      <c r="K19" s="250">
        <v>3.25</v>
      </c>
      <c r="L19" s="249">
        <v>1.75</v>
      </c>
      <c r="O19" s="30" t="str">
        <f>IF(OR(Data!B$3="A",Data!$B$3="LH"),IF(Data!B$4=K19,L19,""),"")</f>
        <v/>
      </c>
    </row>
    <row r="20" spans="1:18">
      <c r="E20" s="30" t="s">
        <v>19254</v>
      </c>
      <c r="F20" s="30" t="s">
        <v>89</v>
      </c>
      <c r="J20" s="249" t="s">
        <v>212</v>
      </c>
      <c r="K20" s="250">
        <v>3.25</v>
      </c>
      <c r="L20" s="249">
        <v>2</v>
      </c>
      <c r="P20" s="30" t="str">
        <f>IF(OR(Data!B$3="A",Data!$B$3="LH"),IF(Data!B$4=K20,L20,""),"")</f>
        <v/>
      </c>
    </row>
    <row r="21" spans="1:18">
      <c r="D21" s="30">
        <f>IF(OR(Data!$B$3="ih",Data!$B$3="ia",Data!$B$3="imh",Data!$B$3="ihm"),25,1.5)</f>
        <v>1.5</v>
      </c>
      <c r="E21" s="30" t="s">
        <v>19252</v>
      </c>
      <c r="F21" s="30" t="s">
        <v>677</v>
      </c>
      <c r="J21" s="249" t="s">
        <v>212</v>
      </c>
      <c r="K21" s="250">
        <v>4</v>
      </c>
      <c r="L21" s="249">
        <v>1</v>
      </c>
      <c r="M21" s="30" t="str">
        <f>IF(OR(Data!$B$3="A",Data!$B$3="LH"),IF(Data!$B$4=$K21,$L21,""),"")</f>
        <v/>
      </c>
    </row>
    <row r="22" spans="1:18">
      <c r="D22" s="30">
        <f>IF(OR(Data!$B$3="ih",Data!$B$3="ia",Data!$B$3="imh",Data!$B$3="ihm"),32,2)</f>
        <v>2</v>
      </c>
      <c r="E22" s="30" t="s">
        <v>19255</v>
      </c>
      <c r="F22" s="30" t="s">
        <v>176</v>
      </c>
      <c r="J22" s="249" t="s">
        <v>212</v>
      </c>
      <c r="K22" s="250">
        <v>4</v>
      </c>
      <c r="L22" s="249">
        <v>1.375</v>
      </c>
      <c r="N22" s="30" t="str">
        <f>IF(OR(Data!$B$3="A",Data!$B$3="LH"),IF(Data!$B$4=$K22,$L22,""),"")</f>
        <v/>
      </c>
    </row>
    <row r="23" spans="1:18">
      <c r="D23" s="30">
        <f>IF(OR(Data!$B$3="ih",Data!$B$3="ia",Data!$B$3="imh",Data!$B$3="ihm"),40,2.5)</f>
        <v>2.5</v>
      </c>
      <c r="E23" s="30" t="s">
        <v>19256</v>
      </c>
      <c r="F23" s="30" t="str">
        <f>IF(OR(OR(Data!B$3="h",Data!B$3="ph",Data!B$3="mh",Data!$B$3="hm"),Data!$B$3="mh",Data!$B$3="hm"),"ME5","")</f>
        <v>ME5</v>
      </c>
      <c r="J23" s="249" t="s">
        <v>212</v>
      </c>
      <c r="K23" s="250">
        <v>4</v>
      </c>
      <c r="L23" s="249">
        <v>1.75</v>
      </c>
      <c r="O23" s="30" t="str">
        <f>IF(OR(Data!B$3="A",Data!$B$3="LH"),IF(Data!B$4=K23,L23,""),"")</f>
        <v/>
      </c>
    </row>
    <row r="24" spans="1:18">
      <c r="A24" s="57" t="str">
        <f>IF(Data!F26="","",Data!F26)</f>
        <v/>
      </c>
      <c r="B24" s="30" t="str">
        <f>IF($A24="","",VLOOKUP($A24,$A$52:B$484,2))</f>
        <v/>
      </c>
      <c r="C24" s="57" t="str">
        <f>IF($A24="","",VLOOKUP($A24,$A$52:C$484,3))</f>
        <v/>
      </c>
      <c r="D24" s="30">
        <f>IF(OR(Data!$B$3="ih",Data!$B$3="ia",Data!$B$3="imh",Data!$B$3="ihm"),50,3.25)</f>
        <v>3.25</v>
      </c>
      <c r="E24" s="30" t="s">
        <v>19257</v>
      </c>
      <c r="F24" s="30" t="str">
        <f>IF(OR(OR(Data!B$3="h",Data!B$3="ph",Data!B$3="mh",Data!$B$3="hm"),Data!$B$3="mh",Data!$B$3="hm"),"ME6","")</f>
        <v>ME6</v>
      </c>
      <c r="J24" s="249" t="s">
        <v>212</v>
      </c>
      <c r="K24" s="250">
        <v>4</v>
      </c>
      <c r="L24" s="249">
        <v>2</v>
      </c>
      <c r="P24" s="30" t="str">
        <f>IF(OR(Data!B$3="A",Data!$B$3="LH"),IF(Data!B$4=K24,L24,""),"")</f>
        <v/>
      </c>
    </row>
    <row r="25" spans="1:18">
      <c r="A25" s="57" t="str">
        <f>IF(Data!F27="","",Data!F27)</f>
        <v/>
      </c>
      <c r="B25" s="30" t="str">
        <f>IF($A25="","",VLOOKUP($A25,$A$52:B$484,2))</f>
        <v/>
      </c>
      <c r="C25" s="57" t="str">
        <f>IF($A25="","",VLOOKUP($A25,$A$52:C$484,3))</f>
        <v/>
      </c>
      <c r="D25" s="30">
        <f>IF(OR(Data!$B$3="ih",Data!$B$3="ia",Data!$B$3="imh",Data!$B$3="ihm"),63,4)</f>
        <v>4</v>
      </c>
      <c r="F25" s="30" t="s">
        <v>222</v>
      </c>
      <c r="J25" s="249" t="s">
        <v>212</v>
      </c>
      <c r="K25" s="250">
        <v>4</v>
      </c>
      <c r="L25" s="249">
        <v>2.5</v>
      </c>
      <c r="Q25" s="30" t="str">
        <f>IF(OR(Data!B$3="A",Data!$B$3="LH"),IF(Data!B$4=K25,L25,""),"")</f>
        <v/>
      </c>
    </row>
    <row r="26" spans="1:18">
      <c r="A26" s="43" t="str">
        <f>IF(Data!F28="","",Data!F28)</f>
        <v/>
      </c>
      <c r="B26" s="30" t="str">
        <f>IF($A26="","",VLOOKUP($A26,$A$52:B$484,2))</f>
        <v/>
      </c>
      <c r="C26" s="57" t="str">
        <f>IF($A26="","",VLOOKUP($A26,$A$52:C$484,3))</f>
        <v/>
      </c>
      <c r="D26" s="30">
        <f>IF(OR(Data!$B$3="ih",Data!$B$3="ia",Data!$B$3="imh",Data!$B$3="ihm"),80,5)</f>
        <v>5</v>
      </c>
      <c r="E26" s="30" t="str">
        <f>IF(Data!B3="H","S","N")</f>
        <v>S</v>
      </c>
      <c r="J26" s="249" t="s">
        <v>212</v>
      </c>
      <c r="K26" s="250">
        <v>5</v>
      </c>
      <c r="L26" s="249">
        <v>1</v>
      </c>
      <c r="M26" s="30" t="str">
        <f>IF(OR(Data!$B$3="A",Data!$B$3="LH"),IF(Data!$B$4=$K26,$L26,""),"")</f>
        <v/>
      </c>
    </row>
    <row r="27" spans="1:18">
      <c r="A27" s="43" t="str">
        <f>IF(Data!F29="","",Data!F29)</f>
        <v/>
      </c>
      <c r="B27" s="30" t="str">
        <f>IF($A27="","",VLOOKUP($A27,$A$52:B$484,2))</f>
        <v/>
      </c>
      <c r="C27" s="57" t="str">
        <f>IF($A27="","",VLOOKUP($A27,$A$52:C$484,3))</f>
        <v/>
      </c>
      <c r="D27" s="30">
        <f>IF(OR(Data!$B$3="ih",Data!$B$3="ia",Data!$B$3="imh",Data!$B$3="ihm"),100,6)</f>
        <v>6</v>
      </c>
      <c r="E27" s="30" t="str">
        <f>IF(Data!B3="H","N","S")</f>
        <v>N</v>
      </c>
      <c r="J27" s="249" t="s">
        <v>212</v>
      </c>
      <c r="K27" s="250">
        <v>5</v>
      </c>
      <c r="L27" s="249">
        <v>1.375</v>
      </c>
      <c r="N27" s="30" t="str">
        <f>IF(OR(Data!$B$3="A",Data!$B$3="LH"),IF(Data!$B$4=$K27,$L27,""),"")</f>
        <v/>
      </c>
    </row>
    <row r="28" spans="1:18">
      <c r="A28" s="251" t="str">
        <f>IF(Data!F30="","",Data!F30)</f>
        <v/>
      </c>
      <c r="B28" s="30" t="str">
        <f>IF($A28="","",VLOOKUP($A28,$A$52:B$484,2))</f>
        <v/>
      </c>
      <c r="C28" s="57" t="str">
        <f>IF($A28="","",VLOOKUP($A28,$A$52:C$484,3))</f>
        <v/>
      </c>
      <c r="D28" s="30">
        <f>IF(OR(Data!$B$3="ih",Data!$B$3="ia",Data!$B$3="imh",Data!$B$3="ihm"),125,7)</f>
        <v>7</v>
      </c>
      <c r="E28" s="30" t="s">
        <v>738</v>
      </c>
      <c r="J28" s="249" t="s">
        <v>212</v>
      </c>
      <c r="K28" s="250">
        <v>5</v>
      </c>
      <c r="L28" s="249">
        <v>1.75</v>
      </c>
      <c r="O28" s="30" t="str">
        <f>IF(OR(Data!B$3="A",Data!$B$3="LH"),IF(Data!B$4=K28,L28,""),"")</f>
        <v/>
      </c>
    </row>
    <row r="29" spans="1:18">
      <c r="A29" s="251" t="str">
        <f>IF(Data!F31="","",Data!F31)</f>
        <v/>
      </c>
      <c r="B29" s="30" t="str">
        <f>IF($A29="","",VLOOKUP($A29,$A$52:B$484,2))</f>
        <v/>
      </c>
      <c r="C29" s="57" t="str">
        <f>IF($A29="","",VLOOKUP($A29,$A$52:C$484,3))</f>
        <v/>
      </c>
      <c r="D29" s="30">
        <f>IF(OR(Data!$B$3="ih",Data!$B$3="ia",Data!$B$3="imh",Data!$B$3="ihm"),160,8)</f>
        <v>8</v>
      </c>
      <c r="E29" s="30" t="s">
        <v>597</v>
      </c>
      <c r="J29" s="249" t="s">
        <v>212</v>
      </c>
      <c r="K29" s="250">
        <v>5</v>
      </c>
      <c r="L29" s="249">
        <v>2</v>
      </c>
      <c r="P29" s="30" t="str">
        <f>IF(OR(Data!B$3="A",Data!$B$3="LH"),IF(Data!B$4=K29,L29,""),"")</f>
        <v/>
      </c>
    </row>
    <row r="30" spans="1:18">
      <c r="A30" s="42" t="str">
        <f>IF(Data!F32="","",Data!F32)</f>
        <v/>
      </c>
      <c r="B30" s="30" t="str">
        <f>IF($A30="","",VLOOKUP($A30,$A$52:B$484,2))</f>
        <v/>
      </c>
      <c r="C30" s="57" t="str">
        <f>IF($A30="","",VLOOKUP($A30,$A$52:C$484,3))</f>
        <v/>
      </c>
      <c r="D30" s="30">
        <f>IF(OR(Data!$B$3="ih",Data!$B$3="ia",Data!$B$3="imh",Data!$B$3="ihm"),200,10)</f>
        <v>10</v>
      </c>
      <c r="J30" s="249" t="s">
        <v>212</v>
      </c>
      <c r="K30" s="250">
        <v>5</v>
      </c>
      <c r="L30" s="249">
        <v>2.5</v>
      </c>
      <c r="Q30" s="30" t="str">
        <f>IF(OR(Data!B$3="A",Data!$B$3="LH"),IF(Data!B$4=K30,L30,""),"")</f>
        <v/>
      </c>
    </row>
    <row r="31" spans="1:18">
      <c r="A31" s="42"/>
      <c r="C31" s="57"/>
      <c r="D31" s="30">
        <f>IF(OR(Data!$B$3="ih",Data!$B$3="ia",Data!$B$3="imh",Data!$B$3="ihm"),250,12)</f>
        <v>12</v>
      </c>
      <c r="J31" s="249" t="s">
        <v>212</v>
      </c>
      <c r="K31" s="250">
        <v>5</v>
      </c>
      <c r="L31" s="249">
        <v>3</v>
      </c>
      <c r="R31" s="30" t="str">
        <f>IF(OR(Data!$B$3="A",Data!$B$3="LH"),IF(Data!$B$4=$K31,$L31,""),"")</f>
        <v/>
      </c>
    </row>
    <row r="32" spans="1:18">
      <c r="A32" s="42"/>
      <c r="C32" s="57"/>
      <c r="D32" s="30">
        <f>IF(OR(Data!$B$3="ih",Data!$B$3="ia",Data!$B$3="imh",Data!$B$3="ihm"),320,14)</f>
        <v>14</v>
      </c>
      <c r="J32" s="249" t="s">
        <v>212</v>
      </c>
      <c r="K32" s="250">
        <v>6</v>
      </c>
      <c r="L32" s="249">
        <v>1.375</v>
      </c>
      <c r="M32" s="30" t="str">
        <f>IF(OR(Data!$B$3="A",Data!$B$3="LH"),IF(Data!$B$4=$K32,$L32,""),"")</f>
        <v/>
      </c>
    </row>
    <row r="33" spans="1:18">
      <c r="A33" s="42"/>
      <c r="C33" s="57"/>
      <c r="D33" s="30">
        <f>IF(OR(Data!B$3="VA",OR(Data!B$3="h",Data!B$3="ph",Data!B$3="mh",Data!$B$3="hm"),Data!B$3="mh",Data!$B$3="hm"),16,"")</f>
        <v>16</v>
      </c>
      <c r="J33" s="249" t="s">
        <v>212</v>
      </c>
      <c r="K33" s="250">
        <v>6</v>
      </c>
      <c r="L33" s="249">
        <v>1.75</v>
      </c>
      <c r="N33" s="30" t="str">
        <f>IF(OR(Data!$B$3="A",Data!$B$3="LH"),IF(Data!$B$4=$K33,$L33,""),"")</f>
        <v/>
      </c>
    </row>
    <row r="34" spans="1:18">
      <c r="A34" s="42"/>
      <c r="C34" s="57"/>
      <c r="D34" s="30">
        <f>IF(OR(Data!B$3="VA",OR(Data!B$3="h",Data!B$3="ph",Data!B$3="mh",Data!$B$3="hm"),Data!B$3="mh",Data!$B$3="hm"),18,"")</f>
        <v>18</v>
      </c>
      <c r="J34" s="249" t="s">
        <v>212</v>
      </c>
      <c r="K34" s="250">
        <v>6</v>
      </c>
      <c r="L34" s="249">
        <v>2</v>
      </c>
      <c r="O34" s="30" t="str">
        <f>IF(OR(Data!B$3="A",Data!$B$3="LH"),IF(Data!B$4=K34,L34,""),"")</f>
        <v/>
      </c>
    </row>
    <row r="35" spans="1:18">
      <c r="A35" s="42"/>
      <c r="C35" s="57"/>
      <c r="D35" s="30">
        <f>IF(OR(Data!B$3="VA",OR(Data!B$3="h",Data!B$3="ph",Data!B$3="mh",Data!$B$3="hm"),Data!B$3="mh",Data!$B$3="hm"),20,"")</f>
        <v>20</v>
      </c>
      <c r="J35" s="249" t="s">
        <v>212</v>
      </c>
      <c r="K35" s="250">
        <v>6</v>
      </c>
      <c r="L35" s="249">
        <v>2.5</v>
      </c>
      <c r="P35" s="30" t="str">
        <f>IF(OR(Data!B$3="A",Data!$B$3="LH"),IF(Data!B$4=K35,L35,""),"")</f>
        <v/>
      </c>
    </row>
    <row r="36" spans="1:18">
      <c r="A36" s="42"/>
      <c r="C36" s="57"/>
      <c r="D36" s="30" t="str">
        <f>IF(Data!B$3="VA",22,"")</f>
        <v/>
      </c>
      <c r="J36" s="249" t="s">
        <v>212</v>
      </c>
      <c r="K36" s="250">
        <v>6</v>
      </c>
      <c r="L36" s="249">
        <v>3</v>
      </c>
      <c r="Q36" s="30" t="str">
        <f>IF(OR(Data!B$3="A",Data!$B$3="LH"),IF(Data!B$4=K36,L36,""),"")</f>
        <v/>
      </c>
    </row>
    <row r="37" spans="1:18">
      <c r="A37" s="42"/>
      <c r="C37" s="57"/>
      <c r="J37" s="249" t="s">
        <v>212</v>
      </c>
      <c r="K37" s="250">
        <v>6</v>
      </c>
      <c r="L37" s="249">
        <v>3.5</v>
      </c>
      <c r="R37" s="30" t="str">
        <f>IF(OR(Data!$B$3="A",Data!$B$3="LH"),IF(Data!$B$4=$K37,$L37,""),"")</f>
        <v/>
      </c>
    </row>
    <row r="38" spans="1:18">
      <c r="A38" s="42"/>
      <c r="C38" s="57"/>
      <c r="J38" s="249" t="s">
        <v>212</v>
      </c>
      <c r="K38" s="250">
        <v>8</v>
      </c>
      <c r="L38" s="249">
        <v>1.375</v>
      </c>
      <c r="M38" s="30" t="str">
        <f>IF(OR(Data!$B$3="A",Data!$B$3="LH"),IF(Data!$B$4=$K38,$L38,""),"")</f>
        <v/>
      </c>
    </row>
    <row r="39" spans="1:18">
      <c r="A39" s="30" t="s">
        <v>173</v>
      </c>
      <c r="B39" s="30" t="s">
        <v>732</v>
      </c>
      <c r="C39" s="57" t="s">
        <v>147</v>
      </c>
      <c r="J39" s="249" t="s">
        <v>212</v>
      </c>
      <c r="K39" s="250">
        <v>8</v>
      </c>
      <c r="L39" s="249">
        <v>1.75</v>
      </c>
      <c r="N39" s="30" t="str">
        <f>IF(OR(Data!$B$3="A",Data!$B$3="LH"),IF(Data!$B$4=$K39,$L39,""),"")</f>
        <v/>
      </c>
    </row>
    <row r="40" spans="1:18">
      <c r="A40" s="30" t="str">
        <f>Acc!D36</f>
        <v>WP062</v>
      </c>
      <c r="B40" s="30" t="s">
        <v>695</v>
      </c>
      <c r="C40" s="57">
        <v>194</v>
      </c>
      <c r="J40" s="249" t="s">
        <v>212</v>
      </c>
      <c r="K40" s="250">
        <v>8</v>
      </c>
      <c r="L40" s="249">
        <v>2</v>
      </c>
      <c r="O40" s="30" t="str">
        <f>IF(OR(Data!B$3="A",Data!$B$3="LH"),IF(Data!B$4=K40,L40,""),"")</f>
        <v/>
      </c>
    </row>
    <row r="41" spans="1:18">
      <c r="A41" s="30" t="str">
        <f>Acc!D37</f>
        <v>WP100</v>
      </c>
      <c r="B41" s="30" t="s">
        <v>695</v>
      </c>
      <c r="C41" s="57">
        <v>208</v>
      </c>
      <c r="J41" s="249" t="s">
        <v>212</v>
      </c>
      <c r="K41" s="250">
        <v>8</v>
      </c>
      <c r="L41" s="249">
        <v>2.5</v>
      </c>
      <c r="P41" s="30" t="str">
        <f>IF(OR(Data!B$3="A",Data!$B$3="LH"),IF(Data!B$4=K41,L41,""),"")</f>
        <v/>
      </c>
    </row>
    <row r="42" spans="1:18">
      <c r="A42" s="30" t="str">
        <f>Acc!D38</f>
        <v>WP138</v>
      </c>
      <c r="B42" s="30" t="s">
        <v>695</v>
      </c>
      <c r="C42" s="57">
        <v>241</v>
      </c>
      <c r="J42" s="249" t="s">
        <v>212</v>
      </c>
      <c r="K42" s="250">
        <v>8</v>
      </c>
      <c r="L42" s="249">
        <v>3</v>
      </c>
      <c r="Q42" s="30" t="str">
        <f>IF(OR(Data!B$3="A",Data!$B$3="LH"),IF(Data!B$4=K42,L42,""),"")</f>
        <v/>
      </c>
    </row>
    <row r="43" spans="1:18">
      <c r="A43" s="30" t="str">
        <f>Acc!D39</f>
        <v>WP175</v>
      </c>
      <c r="B43" s="30" t="s">
        <v>695</v>
      </c>
      <c r="C43" s="57">
        <v>340</v>
      </c>
      <c r="J43" s="249" t="s">
        <v>212</v>
      </c>
      <c r="K43" s="250">
        <v>8</v>
      </c>
      <c r="L43" s="249">
        <v>3.5</v>
      </c>
      <c r="R43" s="30" t="str">
        <f>IF(OR(Data!$B$3="A",Data!$B$3="LH"),IF(Data!$B$4=$K43,$L43,""),"")</f>
        <v/>
      </c>
    </row>
    <row r="44" spans="1:18">
      <c r="A44" s="30" t="str">
        <f>Acc!D40</f>
        <v>WP200</v>
      </c>
      <c r="B44" s="30" t="s">
        <v>695</v>
      </c>
      <c r="C44" s="57">
        <v>534</v>
      </c>
      <c r="J44" s="249" t="s">
        <v>525</v>
      </c>
      <c r="K44" s="250">
        <v>1.5</v>
      </c>
      <c r="L44" s="249">
        <v>0.625</v>
      </c>
      <c r="M44" s="30" t="str">
        <f>IF(OR(Data!$B$3="h",Data!$B$3="MH",Data!$B$3="PH",Data!$B$3="HM",Data!$B$3="W"),IF(Data!$B$4=$K44,$L44,""),"")</f>
        <v/>
      </c>
    </row>
    <row r="45" spans="1:18">
      <c r="A45" s="30" t="str">
        <f>Acc!D41</f>
        <v>WP250</v>
      </c>
      <c r="B45" s="30" t="s">
        <v>695</v>
      </c>
      <c r="C45" s="57">
        <v>384</v>
      </c>
      <c r="J45" s="249" t="s">
        <v>525</v>
      </c>
      <c r="K45" s="250">
        <v>1.5</v>
      </c>
      <c r="L45" s="249">
        <v>1</v>
      </c>
      <c r="N45" s="30" t="str">
        <f>IF(OR(Data!$B$3="h",Data!$B$3="MH",Data!$B$3="PH",Data!$B$3="HM",Data!$B$3="W"),IF(Data!$B$4=$K45,$L45,""),"")</f>
        <v/>
      </c>
    </row>
    <row r="46" spans="1:18">
      <c r="A46" s="30" t="str">
        <f>Acc!D42</f>
        <v>WP300</v>
      </c>
      <c r="B46" s="30" t="s">
        <v>695</v>
      </c>
      <c r="C46" s="57">
        <v>527</v>
      </c>
      <c r="J46" s="249" t="s">
        <v>525</v>
      </c>
      <c r="K46" s="250">
        <v>2</v>
      </c>
      <c r="L46" s="249">
        <v>1</v>
      </c>
      <c r="M46" s="30" t="str">
        <f>IF(OR(Data!$B$3="h",Data!$B$3="MH",Data!$B$3="PH",Data!$B$3="HM",Data!$B$3="W"),IF(Data!$B$4=$K46,$L46,""),"")</f>
        <v/>
      </c>
    </row>
    <row r="47" spans="1:18">
      <c r="A47" s="30" t="str">
        <f>Acc!D43</f>
        <v>WP350</v>
      </c>
      <c r="B47" s="30" t="s">
        <v>695</v>
      </c>
      <c r="C47" s="57">
        <v>673</v>
      </c>
      <c r="J47" s="249" t="s">
        <v>525</v>
      </c>
      <c r="K47" s="250">
        <v>2</v>
      </c>
      <c r="L47" s="249">
        <v>1.375</v>
      </c>
      <c r="N47" s="30" t="str">
        <f>IF(OR(Data!$B$3="h",Data!$B$3="MH",Data!$B$3="PH",Data!$B$3="HM",Data!$B$3="W"),IF(Data!$B$4=$K47,$L47,""),"")</f>
        <v/>
      </c>
    </row>
    <row r="48" spans="1:18">
      <c r="A48" s="30" t="str">
        <f>Acc!D44</f>
        <v>WP400</v>
      </c>
      <c r="B48" s="30" t="s">
        <v>695</v>
      </c>
      <c r="C48" s="57">
        <v>740</v>
      </c>
      <c r="J48" s="249" t="s">
        <v>525</v>
      </c>
      <c r="K48" s="250">
        <v>2.5</v>
      </c>
      <c r="L48" s="249">
        <v>1</v>
      </c>
      <c r="M48" s="30" t="str">
        <f>IF(OR(Data!$B$3="h",Data!$B$3="MH",Data!$B$3="PH",Data!$B$3="HM",Data!$B$3="W"),IF(Data!$B$4=$K48,$L48,""),"")</f>
        <v/>
      </c>
    </row>
    <row r="49" spans="1:16">
      <c r="A49" s="30" t="str">
        <f>Acc!D45</f>
        <v>WP450</v>
      </c>
      <c r="B49" s="30" t="s">
        <v>695</v>
      </c>
      <c r="C49" s="57">
        <v>872</v>
      </c>
      <c r="J49" s="249" t="s">
        <v>525</v>
      </c>
      <c r="K49" s="250">
        <v>2.5</v>
      </c>
      <c r="L49" s="249">
        <v>1.375</v>
      </c>
      <c r="N49" s="30" t="str">
        <f>IF(OR(Data!$B$3="h",Data!$B$3="MH",Data!$B$3="PH",Data!$B$3="HM",Data!$B$3="W"),IF(Data!$B$4=$K49,$L49,""),"")</f>
        <v/>
      </c>
    </row>
    <row r="50" spans="1:16">
      <c r="A50" s="30" t="str">
        <f>Acc!D46</f>
        <v>WP500</v>
      </c>
      <c r="B50" s="30" t="s">
        <v>695</v>
      </c>
      <c r="C50" s="57">
        <v>891</v>
      </c>
      <c r="J50" s="249" t="s">
        <v>525</v>
      </c>
      <c r="K50" s="250">
        <v>2.5</v>
      </c>
      <c r="L50" s="249">
        <v>1.75</v>
      </c>
      <c r="O50" s="30" t="str">
        <f>IF(OR(Data!$B$3="h",Data!$B$3="MH",Data!$B$3="PH",Data!$B$3="HM",Data!$B$3="W"),IF(Data!$B$4=$K50,$L50,""),"")</f>
        <v/>
      </c>
    </row>
    <row r="51" spans="1:16">
      <c r="A51" s="30" t="str">
        <f>Acc!D47</f>
        <v>WP550</v>
      </c>
      <c r="B51" s="30" t="s">
        <v>695</v>
      </c>
      <c r="C51" s="57">
        <v>1050</v>
      </c>
      <c r="J51" s="249" t="s">
        <v>525</v>
      </c>
      <c r="K51" s="250">
        <v>3.25</v>
      </c>
      <c r="L51" s="249">
        <v>1.375</v>
      </c>
      <c r="M51" s="30" t="str">
        <f>IF(OR(Data!$B$3="h",Data!$B$3="MH",Data!$B$3="PH",Data!$B$3="HM",Data!$B$3="W"),IF(Data!$B$4=$K51,$L51,""),"")</f>
        <v/>
      </c>
    </row>
    <row r="52" spans="1:16" ht="12.5">
      <c r="A52" s="57" t="s">
        <v>605</v>
      </c>
      <c r="B52" s="30" t="s">
        <v>135</v>
      </c>
      <c r="C52" s="57">
        <f>Acc!I22</f>
        <v>80</v>
      </c>
      <c r="D52" s="252"/>
      <c r="J52" s="249" t="s">
        <v>525</v>
      </c>
      <c r="K52" s="250">
        <v>3.25</v>
      </c>
      <c r="L52" s="249">
        <v>1.75</v>
      </c>
      <c r="N52" s="30" t="str">
        <f>IF(OR(Data!$B$3="h",Data!$B$3="MH",Data!$B$3="PH",Data!$B$3="HM",Data!$B$3="W"),IF(Data!$B$4=$K52,$L52,""),"")</f>
        <v/>
      </c>
    </row>
    <row r="53" spans="1:16">
      <c r="A53" s="57" t="s">
        <v>3</v>
      </c>
      <c r="B53" s="30" t="s">
        <v>348</v>
      </c>
      <c r="C53" s="57">
        <f>Acc!I23</f>
        <v>90</v>
      </c>
      <c r="J53" s="249" t="s">
        <v>525</v>
      </c>
      <c r="K53" s="250">
        <v>3.25</v>
      </c>
      <c r="L53" s="249">
        <v>2</v>
      </c>
      <c r="O53" s="30" t="str">
        <f>IF(OR(Data!$B$3="h",Data!$B$3="MH",Data!$B$3="PH",Data!$B$3="HM",Data!$B$3="W"),IF(Data!$B$4=$K53,$L53,""),"")</f>
        <v/>
      </c>
    </row>
    <row r="54" spans="1:16">
      <c r="A54" s="57" t="s">
        <v>737</v>
      </c>
      <c r="B54" s="30" t="s">
        <v>376</v>
      </c>
      <c r="C54" s="57">
        <f>Acc!I24</f>
        <v>108</v>
      </c>
      <c r="J54" s="249" t="s">
        <v>525</v>
      </c>
      <c r="K54" s="250">
        <v>4</v>
      </c>
      <c r="L54" s="249">
        <v>1.75</v>
      </c>
      <c r="M54" s="30" t="str">
        <f>IF(OR(Data!$B$3="h",Data!$B$3="MH",Data!$B$3="PH",Data!$B$3="HM",Data!$B$3="W"),IF(Data!$B$4=$K54,$L54,""),"")</f>
        <v/>
      </c>
    </row>
    <row r="55" spans="1:16">
      <c r="A55" s="57" t="s">
        <v>565</v>
      </c>
      <c r="B55" s="30" t="s">
        <v>160</v>
      </c>
      <c r="C55" s="57">
        <f>Acc!I25</f>
        <v>125</v>
      </c>
      <c r="J55" s="249" t="s">
        <v>525</v>
      </c>
      <c r="K55" s="250">
        <v>4</v>
      </c>
      <c r="L55" s="249">
        <v>2</v>
      </c>
      <c r="N55" s="30" t="str">
        <f>IF(OR(Data!$B$3="h",Data!$B$3="MH",Data!$B$3="PH",Data!$B$3="HM",Data!$B$3="W"),IF(Data!$B$4=$K55,$L55,""),"")</f>
        <v/>
      </c>
    </row>
    <row r="56" spans="1:16">
      <c r="A56" s="57" t="s">
        <v>489</v>
      </c>
      <c r="B56" s="30" t="s">
        <v>157</v>
      </c>
      <c r="C56" s="57">
        <f>Acc!I26</f>
        <v>158</v>
      </c>
      <c r="J56" s="249" t="s">
        <v>525</v>
      </c>
      <c r="K56" s="250">
        <v>4</v>
      </c>
      <c r="L56" s="249">
        <v>2.5</v>
      </c>
      <c r="O56" s="30" t="str">
        <f>IF(OR(Data!$B$3="h",Data!$B$3="MH",Data!$B$3="PH",Data!$B$3="HM",Data!$B$3="W"),IF(Data!$B$4=$K56,$L56,""),"")</f>
        <v/>
      </c>
    </row>
    <row r="57" spans="1:16">
      <c r="A57" s="57" t="s">
        <v>297</v>
      </c>
      <c r="B57" s="30" t="s">
        <v>863</v>
      </c>
      <c r="C57" s="57">
        <f>Acc!I27</f>
        <v>175</v>
      </c>
      <c r="J57" s="249" t="s">
        <v>525</v>
      </c>
      <c r="K57" s="250">
        <v>5</v>
      </c>
      <c r="L57" s="249">
        <v>2</v>
      </c>
      <c r="M57" s="30">
        <f>IF(OR(Data!$B$3="h",Data!$B$3="MH",Data!$B$3="PH",Data!$B$3="HM",Data!$B$3="W"),IF(Data!$B$4=$K57,$L57,""),"")</f>
        <v>2</v>
      </c>
    </row>
    <row r="58" spans="1:16">
      <c r="A58" s="57" t="s">
        <v>292</v>
      </c>
      <c r="B58" s="30" t="s">
        <v>347</v>
      </c>
      <c r="C58" s="57">
        <f>Acc!I28</f>
        <v>448</v>
      </c>
      <c r="J58" s="249" t="s">
        <v>525</v>
      </c>
      <c r="K58" s="250">
        <v>5</v>
      </c>
      <c r="L58" s="249">
        <v>2.5</v>
      </c>
      <c r="N58" s="30">
        <f>IF(OR(Data!$B$3="h",Data!$B$3="MH",Data!$B$3="PH",Data!$B$3="HM",Data!$B$3="W"),IF(Data!$B$4=$K58,$L58,""),"")</f>
        <v>2.5</v>
      </c>
    </row>
    <row r="59" spans="1:16">
      <c r="A59" s="57" t="s">
        <v>266</v>
      </c>
      <c r="B59" s="30" t="s">
        <v>734</v>
      </c>
      <c r="C59" s="57">
        <f>Acc!I29</f>
        <v>550</v>
      </c>
      <c r="J59" s="249" t="s">
        <v>525</v>
      </c>
      <c r="K59" s="250">
        <v>5</v>
      </c>
      <c r="L59" s="249">
        <v>3</v>
      </c>
      <c r="O59" s="30">
        <f>IF(OR(Data!$B$3="h",Data!$B$3="MH",Data!$B$3="PH",Data!$B$3="HM",Data!$B$3="W"),IF(Data!$B$4=$K59,$L59,""),"")</f>
        <v>3</v>
      </c>
    </row>
    <row r="60" spans="1:16">
      <c r="A60" s="57" t="s">
        <v>728</v>
      </c>
      <c r="B60" s="30" t="s">
        <v>542</v>
      </c>
      <c r="C60" s="57">
        <f>Acc!I30</f>
        <v>665</v>
      </c>
      <c r="J60" s="249" t="s">
        <v>525</v>
      </c>
      <c r="K60" s="250">
        <v>5</v>
      </c>
      <c r="L60" s="249">
        <v>3.5</v>
      </c>
      <c r="P60" s="30">
        <f>IF(OR(Data!$B$3="h",Data!$B$3="MH",Data!$B$3="PH",Data!$B$3="HM",Data!$B$3="W"),IF(Data!$B$4=$K60,$L60,""),"")</f>
        <v>3.5</v>
      </c>
    </row>
    <row r="61" spans="1:16">
      <c r="A61" s="57" t="s">
        <v>637</v>
      </c>
      <c r="B61" s="30" t="s">
        <v>757</v>
      </c>
      <c r="C61" s="57">
        <f>Acc!I31</f>
        <v>1466</v>
      </c>
      <c r="J61" s="249" t="s">
        <v>525</v>
      </c>
      <c r="K61" s="250">
        <v>6</v>
      </c>
      <c r="L61" s="249">
        <v>2.5</v>
      </c>
      <c r="M61" s="30" t="str">
        <f>IF(OR(Data!$B$3="h",Data!$B$3="MH",Data!$B$3="PH",Data!$B$3="HM",Data!$B$3="W"),IF(Data!$B$4=$K61,$L61,""),"")</f>
        <v/>
      </c>
    </row>
    <row r="62" spans="1:16">
      <c r="A62" s="57" t="s">
        <v>638</v>
      </c>
      <c r="B62" s="30" t="s">
        <v>561</v>
      </c>
      <c r="C62" s="57">
        <f>Acc!I32</f>
        <v>1879</v>
      </c>
      <c r="J62" s="249" t="s">
        <v>525</v>
      </c>
      <c r="K62" s="250">
        <v>6</v>
      </c>
      <c r="L62" s="249">
        <v>3</v>
      </c>
      <c r="N62" s="30" t="str">
        <f>IF(OR(Data!$B$3="h",Data!$B$3="MH",Data!$B$3="PH",Data!$B$3="HM",Data!$B$3="W"),IF(Data!$B$4=$K62,$L62,""),"")</f>
        <v/>
      </c>
    </row>
    <row r="63" spans="1:16">
      <c r="A63" s="57" t="s">
        <v>7</v>
      </c>
      <c r="B63" s="30" t="s">
        <v>287</v>
      </c>
      <c r="C63" s="57">
        <f>Acc!I5</f>
        <v>125</v>
      </c>
      <c r="J63" s="249" t="s">
        <v>525</v>
      </c>
      <c r="K63" s="250">
        <v>6</v>
      </c>
      <c r="L63" s="249">
        <v>3.5</v>
      </c>
      <c r="O63" s="30" t="str">
        <f>IF(OR(Data!$B$3="h",Data!$B$3="MH",Data!$B$3="PH",Data!$B$3="HM",Data!$B$3="W"),IF(Data!$B$4=$K63,$L63,""),"")</f>
        <v/>
      </c>
    </row>
    <row r="64" spans="1:16">
      <c r="A64" s="57" t="s">
        <v>156</v>
      </c>
      <c r="B64" s="30" t="s">
        <v>735</v>
      </c>
      <c r="C64" s="57">
        <f>Acc!I6</f>
        <v>175</v>
      </c>
      <c r="J64" s="249" t="s">
        <v>525</v>
      </c>
      <c r="K64" s="250">
        <v>6</v>
      </c>
      <c r="L64" s="249">
        <v>4</v>
      </c>
      <c r="P64" s="30" t="str">
        <f>IF(OR(Data!$B$3="h",Data!$B$3="MH",Data!$B$3="PH",Data!$B$3="HM",Data!$B$3="W"),IF(Data!$B$4=$K64,$L64,""),"")</f>
        <v/>
      </c>
    </row>
    <row r="65" spans="1:17">
      <c r="A65" s="57" t="s">
        <v>317</v>
      </c>
      <c r="B65" s="30" t="s">
        <v>294</v>
      </c>
      <c r="C65" s="57">
        <f>Acc!I7</f>
        <v>225</v>
      </c>
      <c r="J65" s="249" t="s">
        <v>525</v>
      </c>
      <c r="K65" s="250">
        <v>7</v>
      </c>
      <c r="L65" s="249">
        <v>3</v>
      </c>
      <c r="M65" s="30" t="str">
        <f>IF(OR(Data!$B$3="h",Data!$B$3="MH",Data!$B$3="PH",Data!$B$3="HM",Data!$B$3="W"),IF(Data!$B$4=$K65,$L65,""),"")</f>
        <v/>
      </c>
    </row>
    <row r="66" spans="1:17">
      <c r="A66" s="57" t="s">
        <v>664</v>
      </c>
      <c r="B66" s="30" t="s">
        <v>131</v>
      </c>
      <c r="C66" s="57">
        <f>Acc!I8</f>
        <v>300</v>
      </c>
      <c r="J66" s="249" t="s">
        <v>525</v>
      </c>
      <c r="K66" s="250">
        <v>7</v>
      </c>
      <c r="L66" s="249">
        <v>3.5</v>
      </c>
      <c r="N66" s="30" t="str">
        <f>IF(OR(Data!$B$3="h",Data!$B$3="MH",Data!$B$3="PH",Data!$B$3="HM",Data!$B$3="W"),IF(Data!$B$4=$K66,$L66,""),"")</f>
        <v/>
      </c>
    </row>
    <row r="67" spans="1:17">
      <c r="A67" s="57" t="s">
        <v>213</v>
      </c>
      <c r="B67" s="30" t="s">
        <v>299</v>
      </c>
      <c r="C67" s="57">
        <f>Acc!I9</f>
        <v>500</v>
      </c>
      <c r="J67" s="249" t="s">
        <v>525</v>
      </c>
      <c r="K67" s="250">
        <v>7</v>
      </c>
      <c r="L67" s="249">
        <v>4</v>
      </c>
      <c r="O67" s="30" t="str">
        <f>IF(OR(Data!$B$3="h",Data!$B$3="MH",Data!$B$3="PH",Data!$B$3="HM",Data!$B$3="W"),IF(Data!$B$4=$K67,$L67,""),"")</f>
        <v/>
      </c>
    </row>
    <row r="68" spans="1:17">
      <c r="A68" s="57" t="s">
        <v>328</v>
      </c>
      <c r="B68" s="30" t="s">
        <v>1</v>
      </c>
      <c r="C68" s="57">
        <f>Acc!I10</f>
        <v>600</v>
      </c>
      <c r="J68" s="249" t="s">
        <v>525</v>
      </c>
      <c r="K68" s="250">
        <v>7</v>
      </c>
      <c r="L68" s="249">
        <v>4.5</v>
      </c>
      <c r="P68" s="30" t="str">
        <f>IF(OR(Data!$B$3="h",Data!$B$3="MH",Data!$B$3="PH",Data!$B$3="HM",Data!$B$3="W"),IF(Data!$B$4=$K68,$L68,""),"")</f>
        <v/>
      </c>
    </row>
    <row r="69" spans="1:17">
      <c r="A69" s="57" t="s">
        <v>180</v>
      </c>
      <c r="B69" s="30" t="s">
        <v>221</v>
      </c>
      <c r="C69" s="57">
        <f>Acc!I11</f>
        <v>750</v>
      </c>
      <c r="J69" s="249" t="s">
        <v>525</v>
      </c>
      <c r="K69" s="250">
        <v>7</v>
      </c>
      <c r="L69" s="249">
        <v>5</v>
      </c>
      <c r="Q69" s="30" t="str">
        <f>IF(OR(Data!$B$3="h",Data!$B$3="MH",Data!$B$3="PH",Data!$B$3="HM",Data!$B$3="W"),IF(Data!$B$4=$K69,$L69,""),"")</f>
        <v/>
      </c>
    </row>
    <row r="70" spans="1:17">
      <c r="A70" s="57" t="s">
        <v>243</v>
      </c>
      <c r="B70" s="30" t="s">
        <v>704</v>
      </c>
      <c r="C70" s="57">
        <f>Acc!I12</f>
        <v>1200</v>
      </c>
      <c r="J70" s="249" t="s">
        <v>525</v>
      </c>
      <c r="K70" s="250">
        <v>8</v>
      </c>
      <c r="L70" s="249">
        <v>3.5</v>
      </c>
      <c r="M70" s="30" t="str">
        <f>IF(OR(Data!$B$3="h",Data!$B$3="MH",Data!$B$3="PH",Data!$B$3="HM",Data!$B$3="W"),IF(Data!$B$4=$K70,$L70,""),"")</f>
        <v/>
      </c>
    </row>
    <row r="71" spans="1:17">
      <c r="A71" s="57" t="s">
        <v>191</v>
      </c>
      <c r="B71" s="30" t="s">
        <v>68</v>
      </c>
      <c r="C71" s="57">
        <f>Acc!I13</f>
        <v>2000</v>
      </c>
      <c r="J71" s="249" t="s">
        <v>525</v>
      </c>
      <c r="K71" s="250">
        <v>8</v>
      </c>
      <c r="L71" s="249">
        <v>4</v>
      </c>
      <c r="N71" s="30" t="str">
        <f>IF(OR(Data!$B$3="h",Data!$B$3="MH",Data!$B$3="PH",Data!$B$3="HM",Data!$B$3="W"),IF(Data!$B$4=$K71,$L71,""),"")</f>
        <v/>
      </c>
    </row>
    <row r="72" spans="1:17">
      <c r="A72" s="57" t="s">
        <v>652</v>
      </c>
      <c r="B72" s="30" t="s">
        <v>579</v>
      </c>
      <c r="C72" s="57">
        <f>Acc!E5</f>
        <v>60</v>
      </c>
      <c r="J72" s="249" t="s">
        <v>525</v>
      </c>
      <c r="K72" s="250">
        <v>8</v>
      </c>
      <c r="L72" s="249">
        <v>4.5</v>
      </c>
      <c r="O72" s="30" t="str">
        <f>IF(OR(Data!$B$3="h",Data!$B$3="MH",Data!$B$3="PH",Data!$B$3="HM",Data!$B$3="W"),IF(Data!$B$4=$K72,$L72,""),"")</f>
        <v/>
      </c>
    </row>
    <row r="73" spans="1:17">
      <c r="A73" s="57" t="s">
        <v>842</v>
      </c>
      <c r="B73" s="30" t="s">
        <v>579</v>
      </c>
      <c r="C73" s="57">
        <f>Acc!E6</f>
        <v>90</v>
      </c>
      <c r="J73" s="249" t="s">
        <v>525</v>
      </c>
      <c r="K73" s="250">
        <v>8</v>
      </c>
      <c r="L73" s="249">
        <v>5</v>
      </c>
      <c r="P73" s="30" t="str">
        <f>IF(OR(Data!$B$3="h",Data!$B$3="MH",Data!$B$3="PH",Data!$B$3="HM",Data!$B$3="W"),IF(Data!$B$4=$K73,$L73,""),"")</f>
        <v/>
      </c>
    </row>
    <row r="74" spans="1:17">
      <c r="A74" s="57" t="s">
        <v>405</v>
      </c>
      <c r="B74" s="30" t="s">
        <v>579</v>
      </c>
      <c r="C74" s="57">
        <f>Acc!E7</f>
        <v>120</v>
      </c>
      <c r="J74" s="249" t="s">
        <v>525</v>
      </c>
      <c r="K74" s="250">
        <v>8</v>
      </c>
      <c r="L74" s="249">
        <v>5.5</v>
      </c>
      <c r="Q74" s="30" t="str">
        <f>IF(OR(Data!$B$3="h",Data!$B$3="MH",Data!$B$3="PH",Data!$B$3="HM",Data!$B$3="W"),IF(Data!$B$4=$K74,$L74,""),"")</f>
        <v/>
      </c>
    </row>
    <row r="75" spans="1:17">
      <c r="A75" s="57" t="s">
        <v>583</v>
      </c>
      <c r="B75" s="30" t="s">
        <v>579</v>
      </c>
      <c r="C75" s="57">
        <f>Acc!E8</f>
        <v>170</v>
      </c>
      <c r="J75" s="249" t="s">
        <v>504</v>
      </c>
      <c r="K75" s="250">
        <v>2.5</v>
      </c>
      <c r="L75" s="249">
        <v>0.625</v>
      </c>
      <c r="M75" s="30" t="str">
        <f>IF(Data!$B$3="VA",IF(Data!$B$4=$K75,$L75,""),"")</f>
        <v/>
      </c>
    </row>
    <row r="76" spans="1:17">
      <c r="A76" s="57" t="s">
        <v>765</v>
      </c>
      <c r="B76" s="30" t="s">
        <v>579</v>
      </c>
      <c r="C76" s="57">
        <f>Acc!E9</f>
        <v>350</v>
      </c>
      <c r="J76" s="249" t="s">
        <v>504</v>
      </c>
      <c r="K76" s="250">
        <v>3.25</v>
      </c>
      <c r="L76" s="249">
        <v>1</v>
      </c>
      <c r="M76" s="30" t="str">
        <f>IF(Data!$B$3="VA",IF(Data!$B$4=$K76,$L76,""),"")</f>
        <v/>
      </c>
    </row>
    <row r="77" spans="1:17">
      <c r="A77" s="57" t="s">
        <v>371</v>
      </c>
      <c r="B77" s="30" t="s">
        <v>579</v>
      </c>
      <c r="C77" s="57">
        <f>Acc!E10</f>
        <v>410</v>
      </c>
      <c r="J77" s="249" t="s">
        <v>504</v>
      </c>
      <c r="K77" s="250">
        <v>4</v>
      </c>
      <c r="L77" s="249">
        <v>1</v>
      </c>
      <c r="M77" s="30" t="str">
        <f>IF(Data!$B$3="VA",IF(Data!$B$4=$K77,$L77,""),"")</f>
        <v/>
      </c>
    </row>
    <row r="78" spans="1:17">
      <c r="A78" s="57" t="s">
        <v>463</v>
      </c>
      <c r="B78" s="30" t="s">
        <v>579</v>
      </c>
      <c r="C78" s="57">
        <f>Acc!E11</f>
        <v>570</v>
      </c>
      <c r="J78" s="249" t="s">
        <v>504</v>
      </c>
      <c r="K78" s="250">
        <v>5</v>
      </c>
      <c r="L78" s="249">
        <v>1</v>
      </c>
      <c r="M78" s="30" t="str">
        <f>IF(Data!$B$3="VA",IF(Data!$B$4=$K78,$L78,""),"")</f>
        <v/>
      </c>
    </row>
    <row r="79" spans="1:17">
      <c r="A79" s="57" t="s">
        <v>665</v>
      </c>
      <c r="B79" s="30" t="s">
        <v>579</v>
      </c>
      <c r="C79" s="57">
        <f>Acc!E12</f>
        <v>800</v>
      </c>
      <c r="J79" s="249" t="s">
        <v>504</v>
      </c>
      <c r="K79" s="250">
        <v>6</v>
      </c>
      <c r="L79" s="249">
        <v>1</v>
      </c>
      <c r="M79" s="30" t="str">
        <f>IF(Data!$B$3="VA",IF(Data!$B$4=$K79,$L79,""),"")</f>
        <v/>
      </c>
    </row>
    <row r="80" spans="1:17">
      <c r="A80" s="57" t="s">
        <v>666</v>
      </c>
      <c r="B80" s="30" t="s">
        <v>579</v>
      </c>
      <c r="C80" s="57">
        <f>Acc!E13</f>
        <v>1500</v>
      </c>
      <c r="J80" s="249" t="s">
        <v>504</v>
      </c>
      <c r="K80" s="250">
        <v>7</v>
      </c>
      <c r="L80" s="249">
        <v>1</v>
      </c>
      <c r="M80" s="30" t="str">
        <f>IF(Data!$B$3="VA",IF(Data!$B$4=$K80,$L80,""),"")</f>
        <v/>
      </c>
    </row>
    <row r="81" spans="1:16">
      <c r="A81" s="57" t="s">
        <v>370</v>
      </c>
      <c r="B81" s="30" t="s">
        <v>579</v>
      </c>
      <c r="C81" s="57">
        <f>Acc!E14</f>
        <v>1700</v>
      </c>
      <c r="J81" s="249" t="s">
        <v>504</v>
      </c>
      <c r="K81" s="250">
        <v>8</v>
      </c>
      <c r="L81" s="249">
        <v>1</v>
      </c>
      <c r="M81" s="30" t="str">
        <f>IF(Data!$B$3="VA",IF(Data!$B$4=$K81,$L81,""),"")</f>
        <v/>
      </c>
    </row>
    <row r="82" spans="1:16">
      <c r="A82" s="57" t="s">
        <v>182</v>
      </c>
      <c r="B82" s="30" t="s">
        <v>282</v>
      </c>
      <c r="C82" s="57">
        <f>Acc!G5</f>
        <v>40</v>
      </c>
      <c r="J82" s="249" t="s">
        <v>504</v>
      </c>
      <c r="K82" s="250">
        <v>10</v>
      </c>
      <c r="L82" s="249">
        <v>1</v>
      </c>
      <c r="M82" s="30" t="str">
        <f>IF(Data!$B$3="VA",IF(Data!$B$4=$K82,$L82,""),"")</f>
        <v/>
      </c>
    </row>
    <row r="83" spans="1:16">
      <c r="A83" s="57" t="s">
        <v>374</v>
      </c>
      <c r="B83" s="30" t="s">
        <v>689</v>
      </c>
      <c r="C83" s="57">
        <f>Acc!G6</f>
        <v>45</v>
      </c>
      <c r="J83" s="249" t="s">
        <v>504</v>
      </c>
      <c r="K83" s="250">
        <v>12</v>
      </c>
      <c r="L83" s="249">
        <v>1.375</v>
      </c>
      <c r="M83" s="30" t="str">
        <f>IF(Data!$B$3="VA",IF(Data!$B$4=$K83,$L83,""),"")</f>
        <v/>
      </c>
    </row>
    <row r="84" spans="1:16">
      <c r="A84" s="57" t="s">
        <v>375</v>
      </c>
      <c r="B84" s="30" t="s">
        <v>727</v>
      </c>
      <c r="C84" s="57">
        <f>Acc!G7</f>
        <v>50</v>
      </c>
      <c r="J84" s="249" t="s">
        <v>504</v>
      </c>
      <c r="K84" s="250">
        <v>14</v>
      </c>
      <c r="L84" s="249">
        <v>1.375</v>
      </c>
      <c r="M84" s="30" t="str">
        <f>IF(Data!$B$3="VA",IF(Data!$B$4=$K84,$L84,""),"")</f>
        <v/>
      </c>
    </row>
    <row r="85" spans="1:16">
      <c r="A85" s="57" t="s">
        <v>141</v>
      </c>
      <c r="B85" s="30" t="s">
        <v>474</v>
      </c>
      <c r="C85" s="57">
        <f>Acc!G8</f>
        <v>60</v>
      </c>
      <c r="J85" s="249" t="s">
        <v>504</v>
      </c>
      <c r="K85" s="250">
        <v>16</v>
      </c>
      <c r="L85" s="249">
        <v>1.75</v>
      </c>
      <c r="M85" s="30" t="str">
        <f>IF(Data!$B$3="VA",IF(Data!$B$4=$K85,$L85,""),"")</f>
        <v/>
      </c>
    </row>
    <row r="86" spans="1:16">
      <c r="A86" s="57" t="s">
        <v>849</v>
      </c>
      <c r="B86" s="30" t="s">
        <v>431</v>
      </c>
      <c r="C86" s="57">
        <f>Acc!G9</f>
        <v>70</v>
      </c>
      <c r="J86" s="249" t="s">
        <v>504</v>
      </c>
      <c r="K86" s="250">
        <v>18</v>
      </c>
      <c r="L86" s="249">
        <v>2</v>
      </c>
      <c r="M86" s="30" t="str">
        <f>IF(Data!$B$3="VA",IF(Data!$B$4=$K86,$L86,""),"")</f>
        <v/>
      </c>
    </row>
    <row r="87" spans="1:16">
      <c r="A87" s="57" t="s">
        <v>850</v>
      </c>
      <c r="B87" s="30" t="s">
        <v>226</v>
      </c>
      <c r="C87" s="57">
        <f>Acc!G10</f>
        <v>110</v>
      </c>
      <c r="J87" s="249" t="s">
        <v>504</v>
      </c>
      <c r="K87" s="250">
        <v>20</v>
      </c>
      <c r="L87" s="249">
        <v>2</v>
      </c>
      <c r="M87" s="30" t="str">
        <f>IF(Data!$B$3="VA",IF(Data!$B$4=$K87,$L87,""),"")</f>
        <v/>
      </c>
    </row>
    <row r="88" spans="1:16">
      <c r="A88" s="57" t="s">
        <v>851</v>
      </c>
      <c r="B88" s="30" t="s">
        <v>225</v>
      </c>
      <c r="C88" s="57">
        <f>Acc!G11</f>
        <v>140</v>
      </c>
      <c r="J88" s="249" t="s">
        <v>504</v>
      </c>
      <c r="K88" s="250">
        <v>22</v>
      </c>
      <c r="L88" s="249">
        <v>2.5</v>
      </c>
      <c r="M88" s="30" t="str">
        <f>IF(Data!$B$3="VA",IF(Data!$B$4=$K88,$L88,""),"")</f>
        <v/>
      </c>
    </row>
    <row r="89" spans="1:16">
      <c r="A89" s="57" t="s">
        <v>852</v>
      </c>
      <c r="B89" s="30" t="s">
        <v>634</v>
      </c>
      <c r="C89" s="57">
        <f>Acc!G12</f>
        <v>160</v>
      </c>
      <c r="J89" s="249" t="s">
        <v>525</v>
      </c>
      <c r="K89" s="44">
        <v>10</v>
      </c>
      <c r="L89" s="45">
        <v>4.5</v>
      </c>
      <c r="M89" s="30" t="str">
        <f>IF(OR(Data!$B$3="h",Data!$B$3="MH",Data!$B$3="PH",Data!$B$3="HM",Data!$B$3="W"),IF(Data!$B$4=$K89,$L89,""),"")</f>
        <v/>
      </c>
    </row>
    <row r="90" spans="1:16">
      <c r="A90" s="57" t="s">
        <v>853</v>
      </c>
      <c r="B90" s="30" t="s">
        <v>688</v>
      </c>
      <c r="C90" s="57">
        <f>Acc!G13</f>
        <v>190</v>
      </c>
      <c r="G90" s="30" t="s">
        <v>39500</v>
      </c>
      <c r="H90" s="30">
        <v>80</v>
      </c>
      <c r="J90" s="249" t="s">
        <v>525</v>
      </c>
      <c r="K90" s="44">
        <v>10</v>
      </c>
      <c r="L90" s="45">
        <v>5</v>
      </c>
      <c r="N90" s="30" t="str">
        <f>IF(OR(Data!$B$3="h",Data!$B$3="MH",Data!$B$3="PH",Data!$B$3="HM",Data!$B$3="W"),IF(Data!$B$4=$K90,$L90,""),"")</f>
        <v/>
      </c>
    </row>
    <row r="91" spans="1:16">
      <c r="A91" s="57" t="s">
        <v>854</v>
      </c>
      <c r="B91" s="30" t="s">
        <v>568</v>
      </c>
      <c r="C91" s="57">
        <f>Acc!G14</f>
        <v>390</v>
      </c>
      <c r="G91" s="30" t="s">
        <v>39499</v>
      </c>
      <c r="H91" s="30">
        <v>233</v>
      </c>
      <c r="J91" s="249" t="s">
        <v>525</v>
      </c>
      <c r="K91" s="44">
        <v>10</v>
      </c>
      <c r="L91" s="45">
        <v>5.5</v>
      </c>
      <c r="O91" s="30" t="str">
        <f>IF(OR(Data!$B$3="h",Data!$B$3="MH",Data!$B$3="PH",Data!$B$3="HM",Data!$B$3="W"),IF(Data!$B$4=$K91,$L91,""),"")</f>
        <v/>
      </c>
    </row>
    <row r="92" spans="1:16">
      <c r="A92" s="57" t="s">
        <v>758</v>
      </c>
      <c r="B92" s="30" t="s">
        <v>726</v>
      </c>
      <c r="C92" s="57">
        <f>Acc!G15</f>
        <v>430</v>
      </c>
      <c r="G92" s="30" t="s">
        <v>39498</v>
      </c>
      <c r="H92" s="30">
        <v>409</v>
      </c>
      <c r="J92" s="249" t="s">
        <v>525</v>
      </c>
      <c r="K92" s="44">
        <v>10</v>
      </c>
      <c r="L92" s="45">
        <v>7</v>
      </c>
      <c r="P92" s="30" t="str">
        <f>IF(OR(Data!$B$3="h",Data!$B$3="MH",Data!$B$3="PH",Data!$B$3="HM",Data!$B$3="W"),IF(Data!$B$4=$K92,$L92,""),"")</f>
        <v/>
      </c>
    </row>
    <row r="93" spans="1:16">
      <c r="A93" s="57" t="s">
        <v>759</v>
      </c>
      <c r="B93" s="30" t="s">
        <v>520</v>
      </c>
      <c r="C93" s="57">
        <f>Acc!G16</f>
        <v>550</v>
      </c>
      <c r="J93" s="249" t="s">
        <v>525</v>
      </c>
      <c r="K93" s="44">
        <v>12</v>
      </c>
      <c r="L93" s="45">
        <v>5.5</v>
      </c>
      <c r="M93" s="30" t="str">
        <f>IF(OR(Data!$B$3="h",Data!$B$3="MH",Data!$B$3="PH",Data!$B$3="HM",Data!$B$3="W"),IF(Data!$B$4=$K93,$L93,""),"")</f>
        <v/>
      </c>
    </row>
    <row r="94" spans="1:16">
      <c r="A94" s="57" t="s">
        <v>760</v>
      </c>
      <c r="B94" s="30" t="s">
        <v>580</v>
      </c>
      <c r="C94" s="57">
        <f>Acc!G17</f>
        <v>1100</v>
      </c>
      <c r="J94" s="249" t="s">
        <v>525</v>
      </c>
      <c r="K94" s="44">
        <v>12</v>
      </c>
      <c r="L94" s="45">
        <v>7</v>
      </c>
      <c r="N94" s="30" t="str">
        <f>IF(OR(Data!$B$3="h",Data!$B$3="MH",Data!$B$3="PH",Data!$B$3="HM",Data!$B$3="W"),IF(Data!$B$4=$K94,$L94,""),"")</f>
        <v/>
      </c>
    </row>
    <row r="95" spans="1:16">
      <c r="A95" s="57" t="s">
        <v>260</v>
      </c>
      <c r="B95" s="30" t="s">
        <v>715</v>
      </c>
      <c r="C95" s="57">
        <f>Acc!G18</f>
        <v>1300</v>
      </c>
      <c r="J95" s="249" t="s">
        <v>525</v>
      </c>
      <c r="K95" s="44">
        <v>12</v>
      </c>
      <c r="L95" s="45">
        <v>8</v>
      </c>
      <c r="O95" s="30" t="str">
        <f>IF(OR(Data!$B$3="h",Data!$B$3="MH",Data!$B$3="PH",Data!$B$3="HM",Data!$B$3="W"),IF(Data!$B$4=$K95,$L95,""),"")</f>
        <v/>
      </c>
    </row>
    <row r="96" spans="1:16">
      <c r="A96" s="57" t="s">
        <v>713</v>
      </c>
      <c r="B96" s="30" t="s">
        <v>754</v>
      </c>
      <c r="C96" s="57">
        <f>Acc!G19</f>
        <v>1450</v>
      </c>
      <c r="J96" s="249" t="s">
        <v>525</v>
      </c>
      <c r="K96" s="44">
        <v>14</v>
      </c>
      <c r="L96" s="45">
        <v>8</v>
      </c>
      <c r="M96" s="30" t="str">
        <f>IF(OR(Data!$B$3="h",Data!$B$3="MH",Data!$B$3="PH",Data!$B$3="HM",Data!$B$3="W"),IF(Data!$B$4=$K96,$L96,""),"")</f>
        <v/>
      </c>
    </row>
    <row r="97" spans="1:17">
      <c r="A97" s="57" t="s">
        <v>116</v>
      </c>
      <c r="B97" s="30" t="s">
        <v>620</v>
      </c>
      <c r="C97" s="57">
        <f>Acc!K36</f>
        <v>6</v>
      </c>
      <c r="J97" s="249" t="s">
        <v>525</v>
      </c>
      <c r="K97" s="44">
        <v>14</v>
      </c>
      <c r="L97" s="45">
        <v>10</v>
      </c>
      <c r="N97" s="30" t="str">
        <f>IF(OR(Data!$B$3="h",Data!$B$3="MH",Data!$B$3="PH",Data!$B$3="HM",Data!$B$3="W"),IF(Data!$B$4=$K97,$L97,""),"")</f>
        <v/>
      </c>
    </row>
    <row r="98" spans="1:17">
      <c r="A98" s="57" t="s">
        <v>471</v>
      </c>
      <c r="B98" s="30" t="s">
        <v>359</v>
      </c>
      <c r="C98" s="57">
        <f>Acc!K37</f>
        <v>7</v>
      </c>
      <c r="I98" s="30" t="s">
        <v>593</v>
      </c>
      <c r="J98" s="249" t="s">
        <v>525</v>
      </c>
      <c r="K98" s="44">
        <v>16</v>
      </c>
      <c r="L98" s="45">
        <v>8</v>
      </c>
      <c r="M98" s="30" t="str">
        <f>IF(OR(Data!$B$3="h",Data!$B$3="MH",Data!$B$3="PH",Data!$B$3="HM",Data!$B$3="W"),IF(Data!$B$4=$K98,$L98,""),"")</f>
        <v/>
      </c>
    </row>
    <row r="99" spans="1:17">
      <c r="A99" s="57" t="s">
        <v>680</v>
      </c>
      <c r="B99" s="30" t="s">
        <v>591</v>
      </c>
      <c r="C99" s="57">
        <f>Acc!K38</f>
        <v>10</v>
      </c>
      <c r="I99" s="30" t="str">
        <f>IF(AND(Data!B$4=1.5,Data!B$8&gt;35,Data!B$8&lt;70),1,IF(AND(Data!B$4=1.5,Data!B$8&gt;70,Data!B$8&lt;120),2,IF(AND(Data!B$4=1.5,Data!B$8&gt;120),3,"")))</f>
        <v/>
      </c>
      <c r="J99" s="249" t="s">
        <v>525</v>
      </c>
      <c r="K99" s="44">
        <v>16</v>
      </c>
      <c r="L99" s="45">
        <v>10</v>
      </c>
      <c r="N99" s="30" t="str">
        <f>IF(OR(Data!$B$3="h",Data!$B$3="MH",Data!$B$3="PH",Data!$B$3="HM",Data!$B$3="W"),IF(Data!$B$4=$K99,$L99,""),"")</f>
        <v/>
      </c>
    </row>
    <row r="100" spans="1:17">
      <c r="A100" s="57" t="s">
        <v>117</v>
      </c>
      <c r="B100" s="30" t="s">
        <v>234</v>
      </c>
      <c r="C100" s="57">
        <f>Acc!K39</f>
        <v>11</v>
      </c>
      <c r="I100" s="30" t="str">
        <f>IF(AND(Data!B$4=2,Data!B$8&gt;50,Data!B$8&lt;90),1,IF(AND(Data!B$4=2,Data!B$8&gt;90,Data!B$8&lt;140),2,IF(AND(Data!B$4=2,Data!B$8&gt;140),3,"")))</f>
        <v/>
      </c>
      <c r="J100" s="249" t="s">
        <v>525</v>
      </c>
      <c r="K100" s="44">
        <v>18</v>
      </c>
      <c r="L100" s="45">
        <v>8</v>
      </c>
      <c r="M100" s="30" t="str">
        <f>IF(OR(Data!$B$3="h",Data!$B$3="MH",Data!$B$3="PH",Data!$B$3="HM",Data!$B$3="W"),IF(Data!$B$4=$K100,$L100,""),"")</f>
        <v/>
      </c>
    </row>
    <row r="101" spans="1:17">
      <c r="A101" s="57" t="s">
        <v>208</v>
      </c>
      <c r="B101" s="30" t="s">
        <v>432</v>
      </c>
      <c r="C101" s="57">
        <f>Acc!K40</f>
        <v>12</v>
      </c>
      <c r="I101" s="30" t="str">
        <f>IF(AND(Data!B$4=3.25,Data!B$8&gt;70,Data!B$8&lt;130),1,IF(AND(Data!B$4=3.25,Data!B$8&gt;130),2,""))</f>
        <v/>
      </c>
      <c r="J101" s="249" t="s">
        <v>525</v>
      </c>
      <c r="K101" s="44">
        <v>18</v>
      </c>
      <c r="L101" s="45">
        <v>10</v>
      </c>
      <c r="N101" s="30" t="str">
        <f>IF(OR(Data!$B$3="h",Data!$B$3="MH",Data!$B$3="PH",Data!$B$3="HM",Data!$B$3="W"),IF(Data!$B$4=$K101,$L101,""),"")</f>
        <v/>
      </c>
    </row>
    <row r="102" spans="1:17">
      <c r="A102" s="57" t="s">
        <v>148</v>
      </c>
      <c r="B102" s="30" t="s">
        <v>493</v>
      </c>
      <c r="C102" s="57">
        <f>Acc!K41</f>
        <v>13</v>
      </c>
      <c r="I102" s="30" t="str">
        <f>IF(AND(Data!B$4=4,Data!B$8&gt;90,Data!B$8&lt;150),1,IF(AND(Data!B$4=4,Data!B$8&gt;150),2,""))</f>
        <v/>
      </c>
      <c r="J102" s="249" t="s">
        <v>525</v>
      </c>
      <c r="K102" s="44">
        <v>20</v>
      </c>
      <c r="L102" s="45">
        <v>10</v>
      </c>
      <c r="M102" s="30" t="str">
        <f>IF(OR(Data!$B$3="h",Data!$B$3="MH",Data!$B$3="PH",Data!$B$3="HM",Data!$B$3="W"),IF(Data!$B$4=$K102,$L102,""),"")</f>
        <v/>
      </c>
    </row>
    <row r="103" spans="1:17">
      <c r="A103" s="57" t="s">
        <v>344</v>
      </c>
      <c r="B103" s="30" t="s">
        <v>751</v>
      </c>
      <c r="C103" s="57">
        <f>Acc!K42</f>
        <v>15</v>
      </c>
      <c r="I103" s="30" t="str">
        <f>IF(AND(Data!B$4=5,Data!B$8&gt;100),1,"")</f>
        <v/>
      </c>
      <c r="J103" s="249" t="s">
        <v>212</v>
      </c>
      <c r="K103" s="30">
        <v>10</v>
      </c>
      <c r="L103" s="30">
        <v>1.75</v>
      </c>
      <c r="M103" s="30" t="str">
        <f>IF(OR(Data!$B$3="A",Data!$B$3="LH"),IF(Data!$B$4=$K103,$L103,""),"")</f>
        <v/>
      </c>
    </row>
    <row r="104" spans="1:17">
      <c r="A104" s="57" t="s">
        <v>149</v>
      </c>
      <c r="B104" s="30" t="s">
        <v>494</v>
      </c>
      <c r="C104" s="57">
        <f>Acc!K43</f>
        <v>30</v>
      </c>
      <c r="I104" s="30" t="str">
        <f>IF(AND(Data!B$4=6,Data!B$8&gt;120),1,"")</f>
        <v/>
      </c>
      <c r="J104" s="249" t="s">
        <v>212</v>
      </c>
      <c r="K104" s="30">
        <v>10</v>
      </c>
      <c r="L104" s="30">
        <v>2</v>
      </c>
      <c r="N104" s="30" t="str">
        <f>IF(OR(Data!$B$3="A",Data!$B$3="LH"),IF(Data!$B$4=$K104,$L104,""),"")</f>
        <v/>
      </c>
    </row>
    <row r="105" spans="1:17">
      <c r="A105" s="57" t="s">
        <v>679</v>
      </c>
      <c r="B105" s="30" t="s">
        <v>705</v>
      </c>
      <c r="C105" s="57">
        <f>Acc!K44</f>
        <v>51</v>
      </c>
      <c r="I105" s="30" t="str">
        <f>IF(AND(Data!B$4=7,Data!B$8&gt;140),1,"")</f>
        <v/>
      </c>
      <c r="J105" s="249" t="s">
        <v>212</v>
      </c>
      <c r="K105" s="30">
        <v>10</v>
      </c>
      <c r="L105" s="30">
        <v>2.5</v>
      </c>
      <c r="O105" s="30" t="str">
        <f>IF(OR(Data!B$3="A",Data!$B$3="LH"),IF(Data!B$4=K105,L105,""),"")</f>
        <v/>
      </c>
    </row>
    <row r="106" spans="1:17">
      <c r="A106" s="57" t="s">
        <v>697</v>
      </c>
      <c r="B106" s="30" t="s">
        <v>661</v>
      </c>
      <c r="C106" s="57">
        <f>Acc!K45</f>
        <v>121</v>
      </c>
      <c r="I106" s="30" t="str">
        <f>IF(AND(Data!B$4=8,Data!B$8&gt;160),1,"")</f>
        <v/>
      </c>
      <c r="J106" s="249" t="s">
        <v>212</v>
      </c>
      <c r="K106" s="30">
        <v>10</v>
      </c>
      <c r="L106" s="30">
        <v>3</v>
      </c>
      <c r="P106" s="30" t="str">
        <f>IF(OR(Data!B$3="A",Data!$B$3="LH"),IF(Data!B$4=K106,L106,""),"")</f>
        <v/>
      </c>
    </row>
    <row r="107" spans="1:17">
      <c r="A107" s="57" t="s">
        <v>559</v>
      </c>
      <c r="B107" s="30" t="s">
        <v>70</v>
      </c>
      <c r="C107" s="57">
        <f>Acc!K46</f>
        <v>159</v>
      </c>
      <c r="I107" s="30">
        <f>SUM(I99:I106)</f>
        <v>0</v>
      </c>
      <c r="J107" s="249" t="s">
        <v>212</v>
      </c>
      <c r="K107" s="30">
        <v>10</v>
      </c>
      <c r="L107" s="30">
        <v>3.5</v>
      </c>
      <c r="Q107" s="30" t="str">
        <f>IF(OR(Data!B$3="A",Data!$B$3="LH"),IF(Data!B$4=K107,L107,""),"")</f>
        <v/>
      </c>
    </row>
    <row r="108" spans="1:17">
      <c r="A108" s="57" t="s">
        <v>560</v>
      </c>
      <c r="B108" s="30" t="s">
        <v>69</v>
      </c>
      <c r="C108" s="57">
        <f>Acc!K47</f>
        <v>210</v>
      </c>
      <c r="J108" s="249" t="s">
        <v>212</v>
      </c>
      <c r="K108" s="30">
        <v>12</v>
      </c>
      <c r="L108" s="30">
        <v>2</v>
      </c>
      <c r="M108" s="30" t="str">
        <f>IF(OR(Data!$B$3="A",Data!$B$3="LH"),IF(Data!$B$4=$K108,$L108,""),"")</f>
        <v/>
      </c>
    </row>
    <row r="109" spans="1:17">
      <c r="A109" s="253" t="s">
        <v>335</v>
      </c>
      <c r="B109" s="46" t="s">
        <v>169</v>
      </c>
      <c r="C109" s="253">
        <v>143</v>
      </c>
      <c r="D109" s="30" t="str">
        <f>IF(AND(OR(Data!B$3="Lh",Data!B$3="A"),Data!B$10="B",Data!B$6=0.625),CONCATENATE(B109," ",A109),"")</f>
        <v/>
      </c>
      <c r="E109" s="30" t="str">
        <f>IF(D109="","",C109)</f>
        <v/>
      </c>
      <c r="J109" s="249" t="s">
        <v>212</v>
      </c>
      <c r="K109" s="30">
        <v>12</v>
      </c>
      <c r="L109" s="30">
        <v>2.5</v>
      </c>
      <c r="N109" s="30" t="str">
        <f>IF(OR(Data!$B$3="A",Data!$B$3="LH"),IF(Data!$B$4=$K109,$L109,""),"")</f>
        <v/>
      </c>
    </row>
    <row r="110" spans="1:17">
      <c r="A110" s="253" t="s">
        <v>477</v>
      </c>
      <c r="B110" s="46" t="s">
        <v>169</v>
      </c>
      <c r="C110" s="253">
        <v>187</v>
      </c>
      <c r="D110" s="30" t="str">
        <f>IF(AND(OR(Data!B$3="Lh",Data!B$3="A"),Data!B$10="B",Data!B$6=1),CONCATENATE(B110," ",A110),"")</f>
        <v/>
      </c>
      <c r="E110" s="30" t="str">
        <f t="shared" ref="E110:E173" si="1">IF(D110="","",C110)</f>
        <v/>
      </c>
      <c r="J110" s="249" t="s">
        <v>212</v>
      </c>
      <c r="K110" s="30">
        <v>12</v>
      </c>
      <c r="L110" s="30">
        <v>3</v>
      </c>
      <c r="O110" s="30" t="str">
        <f>IF(OR(Data!B$3="A",Data!$B$3="LH"),IF(Data!B$4=K110,L110,""),"")</f>
        <v/>
      </c>
    </row>
    <row r="111" spans="1:17">
      <c r="A111" s="253" t="s">
        <v>351</v>
      </c>
      <c r="B111" s="46" t="s">
        <v>169</v>
      </c>
      <c r="C111" s="253">
        <v>245</v>
      </c>
      <c r="D111" s="30" t="str">
        <f>IF(AND(OR(Data!B$3="Lh",Data!B$3="A"),Data!B$10="B",Data!B$6=1.375),CONCATENATE(B111," ",A111),"")</f>
        <v/>
      </c>
      <c r="E111" s="30" t="str">
        <f t="shared" si="1"/>
        <v/>
      </c>
      <c r="J111" s="249" t="s">
        <v>212</v>
      </c>
      <c r="K111" s="30">
        <v>12</v>
      </c>
      <c r="L111" s="30">
        <v>4</v>
      </c>
      <c r="Q111" s="30" t="str">
        <f>IF(OR(Data!B$3="A",Data!$B$3="LH"),IF(Data!B$4=K111,L111,""),"")</f>
        <v/>
      </c>
    </row>
    <row r="112" spans="1:17">
      <c r="A112" s="253" t="s">
        <v>342</v>
      </c>
      <c r="B112" s="46" t="s">
        <v>169</v>
      </c>
      <c r="C112" s="253">
        <v>303</v>
      </c>
      <c r="D112" s="30" t="str">
        <f>IF(AND(OR(Data!B$3="Lh",Data!B$3="A"),Data!B$10="B",Data!B$6=1.75),CONCATENATE(B112," ",A112),"")</f>
        <v/>
      </c>
      <c r="E112" s="30" t="str">
        <f t="shared" si="1"/>
        <v/>
      </c>
      <c r="J112" s="249" t="s">
        <v>212</v>
      </c>
      <c r="K112" s="30">
        <v>14</v>
      </c>
      <c r="L112" s="30">
        <v>2.5</v>
      </c>
      <c r="M112" s="30" t="str">
        <f>IF(OR(Data!$B$3="A",Data!$B$3="LH"),IF(Data!$B$4=$K112,$L112,""),"")</f>
        <v/>
      </c>
    </row>
    <row r="113" spans="1:16">
      <c r="A113" s="253" t="s">
        <v>609</v>
      </c>
      <c r="B113" s="46" t="s">
        <v>169</v>
      </c>
      <c r="C113" s="253">
        <v>372</v>
      </c>
      <c r="D113" s="30" t="str">
        <f>IF(AND(OR(Data!B$3="Lh",Data!B$3="A"),Data!B$10="B",Data!B$6=2),CONCATENATE(B113," ",A113),"")</f>
        <v/>
      </c>
      <c r="E113" s="30" t="str">
        <f t="shared" si="1"/>
        <v/>
      </c>
      <c r="J113" s="249" t="s">
        <v>212</v>
      </c>
      <c r="K113" s="30">
        <v>14</v>
      </c>
      <c r="L113" s="30">
        <v>3</v>
      </c>
      <c r="N113" s="30" t="str">
        <f>IF(OR(Data!$B$3="A",Data!$B$3="LH"),IF(Data!$B$4=$K113,$L113,""),"")</f>
        <v/>
      </c>
    </row>
    <row r="114" spans="1:16">
      <c r="A114" s="253" t="s">
        <v>324</v>
      </c>
      <c r="B114" s="46" t="s">
        <v>169</v>
      </c>
      <c r="C114" s="253">
        <v>419</v>
      </c>
      <c r="D114" s="30" t="str">
        <f>IF(AND(OR(Data!B$3="Lh",Data!B$3="A"),Data!B$10="B",Data!B$6=2.5),CONCATENATE(B114," ",A114),"")</f>
        <v/>
      </c>
      <c r="E114" s="30" t="str">
        <f t="shared" si="1"/>
        <v/>
      </c>
      <c r="J114" s="249" t="s">
        <v>212</v>
      </c>
      <c r="K114" s="30">
        <v>14</v>
      </c>
      <c r="L114" s="30">
        <v>3.5</v>
      </c>
      <c r="O114" s="30" t="str">
        <f>IF(OR(Data!B$3="A",Data!$B$3="LH"),IF(Data!B$4=K114,L114,""),"")</f>
        <v/>
      </c>
    </row>
    <row r="115" spans="1:16">
      <c r="A115" s="253" t="s">
        <v>367</v>
      </c>
      <c r="B115" s="46" t="s">
        <v>169</v>
      </c>
      <c r="C115" s="253">
        <v>603</v>
      </c>
      <c r="D115" s="30" t="str">
        <f>IF(AND(OR(Data!B$3="Lh",Data!B$3="A"),Data!B$10="B",Data!B$6=3),CONCATENATE(B115," ",A115),"")</f>
        <v/>
      </c>
      <c r="E115" s="30" t="str">
        <f t="shared" si="1"/>
        <v/>
      </c>
      <c r="J115" s="249" t="s">
        <v>212</v>
      </c>
      <c r="K115" s="30">
        <v>14</v>
      </c>
      <c r="L115" s="30">
        <v>4</v>
      </c>
      <c r="P115" s="30" t="str">
        <f>IF(OR(Data!B$3="A",Data!$B$3="LH"),IF(Data!B$4=K115,L115,""),"")</f>
        <v/>
      </c>
    </row>
    <row r="116" spans="1:16">
      <c r="A116" s="253" t="s">
        <v>577</v>
      </c>
      <c r="B116" s="46" t="s">
        <v>169</v>
      </c>
      <c r="C116" s="253">
        <v>663</v>
      </c>
      <c r="D116" s="30" t="str">
        <f>IF(AND(OR(Data!B$3="Lh",Data!B$3="A"),Data!B$10="B",Data!B$6=3.5),CONCATENATE(B116," ",A116),"")</f>
        <v/>
      </c>
      <c r="E116" s="30" t="str">
        <f t="shared" si="1"/>
        <v/>
      </c>
      <c r="J116" s="249" t="s">
        <v>212</v>
      </c>
      <c r="K116" s="30">
        <v>7</v>
      </c>
      <c r="L116" s="30">
        <v>1.375</v>
      </c>
      <c r="M116" s="30" t="str">
        <f>IF(OR(Data!$B$3="A",Data!$B$3="LH"),IF(Data!$B$4=$K116,$L116,""),"")</f>
        <v/>
      </c>
    </row>
    <row r="117" spans="1:16">
      <c r="A117" s="253" t="s">
        <v>523</v>
      </c>
      <c r="B117" s="46" t="s">
        <v>169</v>
      </c>
      <c r="C117" s="253">
        <v>778</v>
      </c>
      <c r="D117" s="30" t="str">
        <f>IF(AND(OR(Data!B$3="Lh",Data!B$3="A"),Data!B$10="B",Data!B$6=4),CONCATENATE(B117," ",A117),"")</f>
        <v/>
      </c>
      <c r="E117" s="30" t="str">
        <f t="shared" si="1"/>
        <v/>
      </c>
      <c r="J117" s="249" t="s">
        <v>212</v>
      </c>
      <c r="K117" s="30">
        <v>7</v>
      </c>
      <c r="L117" s="30">
        <v>1.75</v>
      </c>
      <c r="N117" s="30" t="str">
        <f>IF(OR(Data!$B$3="A",Data!$B$3="LH"),IF(Data!$B$4=$K117,$L117,""),"")</f>
        <v/>
      </c>
    </row>
    <row r="118" spans="1:16">
      <c r="A118" s="57" t="s">
        <v>811</v>
      </c>
      <c r="B118" s="30" t="s">
        <v>820</v>
      </c>
      <c r="C118" s="57">
        <v>217</v>
      </c>
      <c r="D118" s="30" t="str">
        <f>IF(AND(OR(Data!B$3="Lh",Data!B$3="A"),Data!B$10="h",Data!B$6=0.625),CONCATENATE(B118," ",A118),"")</f>
        <v/>
      </c>
      <c r="E118" s="30" t="str">
        <f t="shared" si="1"/>
        <v/>
      </c>
      <c r="J118" s="249" t="s">
        <v>212</v>
      </c>
      <c r="K118" s="30">
        <v>7</v>
      </c>
      <c r="L118" s="30">
        <v>2</v>
      </c>
      <c r="O118" s="30" t="str">
        <f>IF(OR(Data!B$3="A",Data!$B$3="LH"),IF(Data!B$4=K118,L118,""),"")</f>
        <v/>
      </c>
    </row>
    <row r="119" spans="1:16">
      <c r="A119" s="57" t="s">
        <v>812</v>
      </c>
      <c r="B119" s="30" t="s">
        <v>820</v>
      </c>
      <c r="C119" s="57">
        <v>284</v>
      </c>
      <c r="D119" s="30" t="str">
        <f>IF(AND(OR(Data!B$3="Lh",Data!B$3="A"),Data!B$10="h",Data!B$6=1),CONCATENATE(B119," ",A119),"")</f>
        <v/>
      </c>
      <c r="E119" s="30" t="str">
        <f t="shared" si="1"/>
        <v/>
      </c>
      <c r="J119" s="249" t="s">
        <v>212</v>
      </c>
      <c r="K119" s="30">
        <v>7</v>
      </c>
      <c r="L119" s="30">
        <v>2.5</v>
      </c>
      <c r="P119" s="30" t="str">
        <f>IF(OR(Data!B$3="A",Data!$B$3="LH"),IF(Data!B$4=K119,L119,""),"")</f>
        <v/>
      </c>
    </row>
    <row r="120" spans="1:16">
      <c r="A120" s="57" t="s">
        <v>813</v>
      </c>
      <c r="B120" s="30" t="s">
        <v>820</v>
      </c>
      <c r="C120" s="57">
        <v>373</v>
      </c>
      <c r="D120" s="30" t="str">
        <f>IF(AND(OR(Data!B$3="Lh",Data!B$3="A"),Data!B$10="h",Data!B$6=1.375),CONCATENATE(B120," ",A120),"")</f>
        <v/>
      </c>
      <c r="E120" s="30" t="str">
        <f t="shared" si="1"/>
        <v/>
      </c>
      <c r="J120" s="249" t="s">
        <v>22156</v>
      </c>
      <c r="K120" s="30">
        <v>25</v>
      </c>
      <c r="L120" s="30">
        <v>12</v>
      </c>
      <c r="M120" s="30" t="str">
        <f>IF(OR(Data!$B$3="IH",Data!$B$3="IHM"),IF(Data!$B$4=$K120,$L120,""),"")</f>
        <v/>
      </c>
    </row>
    <row r="121" spans="1:16">
      <c r="A121" s="57" t="s">
        <v>814</v>
      </c>
      <c r="B121" s="30" t="s">
        <v>820</v>
      </c>
      <c r="C121" s="57">
        <v>460</v>
      </c>
      <c r="D121" s="30" t="str">
        <f>IF(AND(OR(Data!B$3="Lh",Data!B$3="A"),Data!B$10="h",Data!B$6=1.75),CONCATENATE(B121," ",A121),"")</f>
        <v/>
      </c>
      <c r="E121" s="30" t="str">
        <f t="shared" si="1"/>
        <v/>
      </c>
      <c r="J121" s="249" t="s">
        <v>22156</v>
      </c>
      <c r="K121" s="30">
        <v>25</v>
      </c>
      <c r="L121" s="30">
        <v>18</v>
      </c>
      <c r="N121" s="30" t="str">
        <f>IF(OR(Data!$B$3="IH",Data!$B$3="IHM"),IF(Data!$B$4=$K121,$L121,""),"")</f>
        <v/>
      </c>
    </row>
    <row r="122" spans="1:16">
      <c r="A122" s="57" t="s">
        <v>815</v>
      </c>
      <c r="B122" s="30" t="s">
        <v>820</v>
      </c>
      <c r="C122" s="57">
        <v>565</v>
      </c>
      <c r="D122" s="30" t="str">
        <f>IF(AND(OR(Data!B$3="Lh",Data!B$3="A"),Data!B$10="h",Data!B$6=2),CONCATENATE(B122," ",A122),"")</f>
        <v/>
      </c>
      <c r="E122" s="30" t="str">
        <f t="shared" si="1"/>
        <v/>
      </c>
      <c r="J122" s="249" t="s">
        <v>22156</v>
      </c>
      <c r="K122" s="30">
        <v>32</v>
      </c>
      <c r="L122" s="30">
        <v>14</v>
      </c>
      <c r="M122" s="30" t="str">
        <f>IF(OR(Data!$B$3="IH",Data!$B$3="IHM"),IF(Data!$B$4=$K122,$L122,""),"")</f>
        <v/>
      </c>
    </row>
    <row r="123" spans="1:16">
      <c r="A123" s="57" t="s">
        <v>816</v>
      </c>
      <c r="B123" s="30" t="s">
        <v>820</v>
      </c>
      <c r="C123" s="57">
        <v>637</v>
      </c>
      <c r="D123" s="30" t="str">
        <f>IF(AND(OR(Data!B$3="Lh",Data!B$3="A"),Data!B$10="h",Data!B$6=2.5),CONCATENATE(B123," ",A123),"")</f>
        <v/>
      </c>
      <c r="E123" s="30" t="str">
        <f t="shared" si="1"/>
        <v/>
      </c>
      <c r="J123" s="249" t="s">
        <v>22156</v>
      </c>
      <c r="K123" s="30">
        <v>32</v>
      </c>
      <c r="L123" s="30">
        <v>18</v>
      </c>
      <c r="N123" s="30" t="str">
        <f>IF(OR(Data!$B$3="IH",Data!$B$3="IHM"),IF(Data!$B$4=$K123,$L123,""),"")</f>
        <v/>
      </c>
    </row>
    <row r="124" spans="1:16">
      <c r="A124" s="57" t="s">
        <v>817</v>
      </c>
      <c r="B124" s="30" t="s">
        <v>820</v>
      </c>
      <c r="C124" s="57">
        <v>916</v>
      </c>
      <c r="D124" s="30" t="str">
        <f>IF(AND(OR(Data!B$3="Lh",Data!B$3="A"),Data!B$10="h",Data!B$6=3),CONCATENATE(B124," ",A124),"")</f>
        <v/>
      </c>
      <c r="E124" s="30" t="str">
        <f t="shared" si="1"/>
        <v/>
      </c>
      <c r="J124" s="249" t="s">
        <v>22156</v>
      </c>
      <c r="K124" s="30">
        <v>32</v>
      </c>
      <c r="L124" s="30">
        <v>22</v>
      </c>
      <c r="O124" s="30" t="str">
        <f>IF(OR(Data!B$3="IH",Data!$B$3="IHM"),IF(Data!B$4=K124,L124,""),"")</f>
        <v/>
      </c>
    </row>
    <row r="125" spans="1:16">
      <c r="A125" s="57" t="s">
        <v>818</v>
      </c>
      <c r="B125" s="30" t="s">
        <v>820</v>
      </c>
      <c r="C125" s="57">
        <v>1007</v>
      </c>
      <c r="D125" s="30" t="str">
        <f>IF(AND(OR(Data!B$3="Lh",Data!B$3="A"),Data!B$10="h",Data!B$6=3.5),CONCATENATE(B125," ",A125),"")</f>
        <v/>
      </c>
      <c r="E125" s="30" t="str">
        <f t="shared" si="1"/>
        <v/>
      </c>
      <c r="J125" s="249" t="s">
        <v>22156</v>
      </c>
      <c r="K125" s="30">
        <v>40</v>
      </c>
      <c r="L125" s="30">
        <v>18</v>
      </c>
      <c r="M125" s="30" t="str">
        <f>IF(OR(Data!$B$3="IH",Data!$B$3="IHM"),IF(Data!$B$4=$K125,$L125,""),"")</f>
        <v/>
      </c>
    </row>
    <row r="126" spans="1:16">
      <c r="A126" s="57" t="s">
        <v>819</v>
      </c>
      <c r="B126" s="30" t="s">
        <v>820</v>
      </c>
      <c r="C126" s="57">
        <v>1182</v>
      </c>
      <c r="D126" s="30" t="str">
        <f>IF(AND(OR(Data!B$3="Lh",Data!B$3="A"),Data!B$10="h",Data!B$6=4),CONCATENATE(B126," ",A126),"")</f>
        <v/>
      </c>
      <c r="E126" s="30" t="str">
        <f t="shared" si="1"/>
        <v/>
      </c>
      <c r="J126" s="249" t="s">
        <v>22156</v>
      </c>
      <c r="K126" s="30">
        <v>40</v>
      </c>
      <c r="L126" s="30">
        <v>22</v>
      </c>
      <c r="N126" s="30" t="str">
        <f>IF(OR(Data!$B$3="IH",Data!$B$3="IHM"),IF(Data!$B$4=$K126,$L126,""),"")</f>
        <v/>
      </c>
    </row>
    <row r="127" spans="1:16">
      <c r="A127" s="253" t="s">
        <v>349</v>
      </c>
      <c r="B127" s="46" t="s">
        <v>644</v>
      </c>
      <c r="C127" s="253">
        <v>200</v>
      </c>
      <c r="D127" s="30" t="str">
        <f>IF(AND(OR(Data!B$3="Lh",Data!B$3="A"),Data!B$10="v",Data!B$6=0.625),CONCATENATE(B127," ",A127),"")</f>
        <v/>
      </c>
      <c r="E127" s="30" t="str">
        <f t="shared" si="1"/>
        <v/>
      </c>
      <c r="J127" s="249" t="s">
        <v>22156</v>
      </c>
      <c r="K127" s="30">
        <v>40</v>
      </c>
      <c r="L127" s="30">
        <v>28</v>
      </c>
      <c r="O127" s="30" t="str">
        <f>IF(OR(Data!B$3="IH",Data!$B$3="IHM"),IF(Data!B$4=K127,L127,""),"")</f>
        <v/>
      </c>
    </row>
    <row r="128" spans="1:16">
      <c r="A128" s="253" t="s">
        <v>511</v>
      </c>
      <c r="B128" s="46" t="s">
        <v>644</v>
      </c>
      <c r="C128" s="253">
        <v>260</v>
      </c>
      <c r="D128" s="30" t="str">
        <f>IF(AND(OR(Data!B$3="Lh",Data!B$3="A"),Data!B$10="v",Data!B$6=1),CONCATENATE(B128," ",A128),"")</f>
        <v/>
      </c>
      <c r="E128" s="30" t="str">
        <f t="shared" si="1"/>
        <v/>
      </c>
      <c r="J128" s="249" t="s">
        <v>22156</v>
      </c>
      <c r="K128" s="30">
        <v>50</v>
      </c>
      <c r="L128" s="30">
        <v>22</v>
      </c>
      <c r="M128" s="30" t="str">
        <f>IF(OR(Data!$B$3="IH",Data!$B$3="IHM"),IF(Data!$B$4=$K128,$L128,""),"")</f>
        <v/>
      </c>
    </row>
    <row r="129" spans="1:15">
      <c r="A129" s="253" t="s">
        <v>162</v>
      </c>
      <c r="B129" s="46" t="s">
        <v>644</v>
      </c>
      <c r="C129" s="253">
        <v>344</v>
      </c>
      <c r="D129" s="30" t="str">
        <f>IF(AND(OR(Data!B$3="Lh",Data!B$3="A"),Data!B$10="v",Data!B$6=1.375),CONCATENATE(B129," ",A129),"")</f>
        <v/>
      </c>
      <c r="E129" s="30" t="str">
        <f t="shared" si="1"/>
        <v/>
      </c>
      <c r="J129" s="249" t="s">
        <v>22156</v>
      </c>
      <c r="K129" s="30">
        <v>50</v>
      </c>
      <c r="L129" s="30">
        <v>28</v>
      </c>
      <c r="N129" s="30" t="str">
        <f>IF(OR(Data!$B$3="IH",Data!$B$3="IHM"),IF(Data!$B$4=$K129,$L129,""),"")</f>
        <v/>
      </c>
    </row>
    <row r="130" spans="1:15">
      <c r="A130" s="253" t="s">
        <v>543</v>
      </c>
      <c r="B130" s="46" t="s">
        <v>644</v>
      </c>
      <c r="C130" s="253">
        <v>424</v>
      </c>
      <c r="D130" s="30" t="str">
        <f>IF(AND(OR(Data!B$3="Lh",Data!B$3="A"),Data!B$10="v",Data!B$6=1.75),CONCATENATE(B130," ",A130),"")</f>
        <v/>
      </c>
      <c r="E130" s="30" t="str">
        <f t="shared" si="1"/>
        <v/>
      </c>
      <c r="J130" s="249" t="s">
        <v>22156</v>
      </c>
      <c r="K130" s="30">
        <v>50</v>
      </c>
      <c r="L130" s="30">
        <v>36</v>
      </c>
      <c r="O130" s="30" t="str">
        <f>IF(OR(Data!B$3="IH",Data!$B$3="IHM"),IF(Data!B$4=K130,L130,""),"")</f>
        <v/>
      </c>
    </row>
    <row r="131" spans="1:15">
      <c r="A131" s="253" t="s">
        <v>428</v>
      </c>
      <c r="B131" s="46" t="s">
        <v>644</v>
      </c>
      <c r="C131" s="253">
        <v>520</v>
      </c>
      <c r="D131" s="30" t="str">
        <f>IF(AND(OR(Data!B$3="Lh",Data!B$3="A"),Data!B$10="v",Data!B$6=2),CONCATENATE(B131," ",A131),"")</f>
        <v/>
      </c>
      <c r="E131" s="30" t="str">
        <f t="shared" si="1"/>
        <v/>
      </c>
      <c r="J131" s="249" t="s">
        <v>22156</v>
      </c>
      <c r="K131" s="30">
        <v>63</v>
      </c>
      <c r="L131" s="30">
        <v>28</v>
      </c>
      <c r="M131" s="30" t="str">
        <f>IF(OR(Data!$B$3="IH",Data!$B$3="IHM"),IF(Data!$B$4=$K131,$L131,""),"")</f>
        <v/>
      </c>
    </row>
    <row r="132" spans="1:15">
      <c r="A132" s="253" t="s">
        <v>696</v>
      </c>
      <c r="B132" s="46" t="s">
        <v>644</v>
      </c>
      <c r="C132" s="253">
        <v>587</v>
      </c>
      <c r="D132" s="30" t="str">
        <f>IF(AND(OR(Data!B$3="Lh",Data!B$3="A"),Data!B$10="v",Data!B$6=2.5),CONCATENATE(B132," ",A132),"")</f>
        <v/>
      </c>
      <c r="E132" s="30" t="str">
        <f t="shared" si="1"/>
        <v/>
      </c>
      <c r="J132" s="249" t="s">
        <v>22156</v>
      </c>
      <c r="K132" s="30">
        <v>63</v>
      </c>
      <c r="L132" s="30">
        <v>36</v>
      </c>
      <c r="N132" s="30" t="str">
        <f>IF(OR(Data!$B$3="IH",Data!$B$3="IHM"),IF(Data!$B$4=$K132,$L132,""),"")</f>
        <v/>
      </c>
    </row>
    <row r="133" spans="1:15">
      <c r="A133" s="253" t="s">
        <v>624</v>
      </c>
      <c r="B133" s="46" t="s">
        <v>644</v>
      </c>
      <c r="C133" s="253">
        <v>845</v>
      </c>
      <c r="D133" s="30" t="str">
        <f>IF(AND(OR(Data!B$3="Lh",Data!B$3="A"),Data!B$10="v",Data!B$6=3),CONCATENATE(B133," ",A133),"")</f>
        <v/>
      </c>
      <c r="E133" s="30" t="str">
        <f t="shared" si="1"/>
        <v/>
      </c>
      <c r="J133" s="249" t="s">
        <v>22156</v>
      </c>
      <c r="K133" s="30">
        <v>63</v>
      </c>
      <c r="L133" s="30">
        <v>45</v>
      </c>
      <c r="O133" s="30" t="str">
        <f>IF(OR(Data!B$3="IH",Data!$B$3="IHM"),IF(Data!B$4=K133,L133,""),"")</f>
        <v/>
      </c>
    </row>
    <row r="134" spans="1:15">
      <c r="A134" s="253" t="s">
        <v>621</v>
      </c>
      <c r="B134" s="46" t="s">
        <v>644</v>
      </c>
      <c r="C134" s="253">
        <v>928</v>
      </c>
      <c r="D134" s="30" t="str">
        <f>IF(AND(OR(Data!B$3="Lh",Data!B$3="A"),Data!B$10="v",Data!B$6=3.5),CONCATENATE(B134," ",A134),"")</f>
        <v/>
      </c>
      <c r="E134" s="30" t="str">
        <f t="shared" si="1"/>
        <v/>
      </c>
      <c r="J134" s="249" t="s">
        <v>22156</v>
      </c>
      <c r="K134" s="30">
        <v>80</v>
      </c>
      <c r="L134" s="30">
        <v>36</v>
      </c>
      <c r="M134" s="30" t="str">
        <f>IF(OR(Data!$B$3="IH",Data!$B$3="IHM"),IF(Data!$B$4=$K134,$L134,""),"")</f>
        <v/>
      </c>
    </row>
    <row r="135" spans="1:15">
      <c r="A135" s="253" t="s">
        <v>378</v>
      </c>
      <c r="B135" s="46" t="s">
        <v>644</v>
      </c>
      <c r="C135" s="253">
        <v>1089</v>
      </c>
      <c r="D135" s="30" t="str">
        <f>IF(AND(OR(Data!B$3="Lh",Data!B$3="A"),Data!B$10="v",Data!B$6=4),CONCATENATE(B135," ",A135),"")</f>
        <v/>
      </c>
      <c r="E135" s="30" t="str">
        <f t="shared" si="1"/>
        <v/>
      </c>
      <c r="J135" s="249" t="s">
        <v>22156</v>
      </c>
      <c r="K135" s="30">
        <v>80</v>
      </c>
      <c r="L135" s="30">
        <v>45</v>
      </c>
      <c r="N135" s="30" t="str">
        <f>IF(OR(Data!$B$3="IH",Data!$B$3="IHM"),IF(Data!$B$4=$K135,$L135,""),"")</f>
        <v/>
      </c>
    </row>
    <row r="136" spans="1:15">
      <c r="A136" s="253" t="s">
        <v>720</v>
      </c>
      <c r="B136" s="46" t="s">
        <v>600</v>
      </c>
      <c r="C136" s="253">
        <v>810</v>
      </c>
      <c r="D136" s="30" t="str">
        <f>IF(AND(OR(Data!B$3="Lh",Data!B$3="A"),Data!B$10="b",Data!B$4=10),CONCATENATE(B136," ",A136),"")</f>
        <v/>
      </c>
      <c r="E136" s="30" t="str">
        <f t="shared" si="1"/>
        <v/>
      </c>
      <c r="J136" s="249" t="s">
        <v>22156</v>
      </c>
      <c r="K136" s="30">
        <v>80</v>
      </c>
      <c r="L136" s="30">
        <v>56</v>
      </c>
      <c r="O136" s="30" t="str">
        <f>IF(OR(Data!B$3="IH",Data!$B$3="IHM"),IF(Data!B$4=K136,L136,""),"")</f>
        <v/>
      </c>
    </row>
    <row r="137" spans="1:15">
      <c r="A137" s="253" t="s">
        <v>125</v>
      </c>
      <c r="B137" s="46" t="s">
        <v>600</v>
      </c>
      <c r="C137" s="253">
        <v>1055</v>
      </c>
      <c r="D137" s="30" t="str">
        <f>IF(AND(OR(Data!B$3="Lh",Data!B$3="A"),Data!B$10="b",Data!B$4=12),CONCATENATE(B137," ",A137),"")</f>
        <v/>
      </c>
      <c r="E137" s="30" t="str">
        <f t="shared" si="1"/>
        <v/>
      </c>
      <c r="J137" s="249" t="s">
        <v>22156</v>
      </c>
      <c r="K137" s="30">
        <v>100</v>
      </c>
      <c r="L137" s="30">
        <v>45</v>
      </c>
      <c r="M137" s="30" t="str">
        <f>IF(OR(Data!$B$3="IH",Data!$B$3="IHM"),IF(Data!$B$4=$K137,$L137,""),"")</f>
        <v/>
      </c>
    </row>
    <row r="138" spans="1:15">
      <c r="A138" s="253" t="s">
        <v>177</v>
      </c>
      <c r="B138" s="46" t="s">
        <v>600</v>
      </c>
      <c r="C138" s="253">
        <v>1295</v>
      </c>
      <c r="D138" s="30" t="str">
        <f>IF(AND(OR(Data!B$3="Lh",Data!B$3="A"),Data!B$10="b",Data!B$4=14),CONCATENATE(B138," ",A138),"")</f>
        <v/>
      </c>
      <c r="E138" s="30" t="str">
        <f t="shared" si="1"/>
        <v/>
      </c>
      <c r="J138" s="249" t="s">
        <v>22156</v>
      </c>
      <c r="K138" s="30">
        <v>100</v>
      </c>
      <c r="L138" s="30">
        <v>56</v>
      </c>
      <c r="N138" s="30" t="str">
        <f>IF(OR(Data!$B$3="IH",Data!$B$3="IHM"),IF(Data!$B$4=$K138,$L138,""),"")</f>
        <v/>
      </c>
    </row>
    <row r="139" spans="1:15">
      <c r="A139" s="253" t="s">
        <v>364</v>
      </c>
      <c r="B139" s="46" t="s">
        <v>600</v>
      </c>
      <c r="C139" s="253">
        <v>55</v>
      </c>
      <c r="D139" s="30" t="str">
        <f>IF(AND(OR(Data!B$3="Lh",Data!B$3="A"),Data!B$10="b",Data!B$4=1.5),CONCATENATE(B139," ",A139),"")</f>
        <v/>
      </c>
      <c r="E139" s="30" t="str">
        <f t="shared" si="1"/>
        <v/>
      </c>
      <c r="J139" s="249" t="s">
        <v>22156</v>
      </c>
      <c r="K139" s="30">
        <v>100</v>
      </c>
      <c r="L139" s="30">
        <v>70</v>
      </c>
      <c r="O139" s="30" t="str">
        <f>IF(OR(Data!B$3="IH",Data!$B$3="IHM"),IF(Data!B$4=K139,L139,""),"")</f>
        <v/>
      </c>
    </row>
    <row r="140" spans="1:15">
      <c r="A140" s="253" t="s">
        <v>401</v>
      </c>
      <c r="B140" s="46" t="s">
        <v>600</v>
      </c>
      <c r="C140" s="253">
        <v>68</v>
      </c>
      <c r="D140" s="30" t="str">
        <f>IF(AND(OR(Data!B$3="Lh",Data!B$3="A"),Data!B$10="b",Data!B$4=2),CONCATENATE(B140," ",A140),"")</f>
        <v/>
      </c>
      <c r="E140" s="30" t="str">
        <f t="shared" si="1"/>
        <v/>
      </c>
      <c r="J140" s="249" t="s">
        <v>22156</v>
      </c>
      <c r="K140" s="30">
        <v>125</v>
      </c>
      <c r="L140" s="30">
        <v>56</v>
      </c>
      <c r="M140" s="30" t="str">
        <f>IF(OR(Data!$B$3="IH",Data!$B$3="IHM"),IF(Data!$B$4=$K140,$L140,""),"")</f>
        <v/>
      </c>
    </row>
    <row r="141" spans="1:15">
      <c r="A141" s="253" t="s">
        <v>746</v>
      </c>
      <c r="B141" s="46" t="s">
        <v>600</v>
      </c>
      <c r="C141" s="253">
        <v>79</v>
      </c>
      <c r="D141" s="30" t="str">
        <f>IF(AND(OR(Data!B$3="Lh",Data!B$3="A"),Data!B$10="b",Data!B$4=2.5),CONCATENATE(B141," ",A141),"")</f>
        <v/>
      </c>
      <c r="E141" s="30" t="str">
        <f t="shared" si="1"/>
        <v/>
      </c>
      <c r="J141" s="249" t="s">
        <v>22156</v>
      </c>
      <c r="K141" s="30">
        <v>125</v>
      </c>
      <c r="L141" s="30">
        <v>70</v>
      </c>
      <c r="N141" s="30" t="str">
        <f>IF(OR(Data!$B$3="IH",Data!$B$3="IHM"),IF(Data!$B$4=$K141,$L141,""),"")</f>
        <v/>
      </c>
    </row>
    <row r="142" spans="1:15">
      <c r="A142" s="253" t="s">
        <v>232</v>
      </c>
      <c r="B142" s="46" t="s">
        <v>600</v>
      </c>
      <c r="C142" s="253">
        <v>109</v>
      </c>
      <c r="D142" s="30" t="str">
        <f>IF(AND(OR(Data!B$3="Lh",Data!B$3="A"),Data!B$10="b",Data!B$4=3.25),CONCATENATE(B142," ",A142),"")</f>
        <v/>
      </c>
      <c r="E142" s="30" t="str">
        <f t="shared" si="1"/>
        <v/>
      </c>
      <c r="J142" s="249" t="s">
        <v>22156</v>
      </c>
      <c r="K142" s="30">
        <v>125</v>
      </c>
      <c r="L142" s="30">
        <v>90</v>
      </c>
      <c r="O142" s="30" t="str">
        <f>IF(OR(Data!B$3="IH",Data!$B$3="IHM"),IF(Data!B$4=K142,L142,""),"")</f>
        <v/>
      </c>
    </row>
    <row r="143" spans="1:15">
      <c r="A143" s="253" t="s">
        <v>285</v>
      </c>
      <c r="B143" s="46" t="s">
        <v>600</v>
      </c>
      <c r="C143" s="253">
        <v>130</v>
      </c>
      <c r="D143" s="30" t="str">
        <f>IF(AND(OR(Data!B$3="Lh",Data!B$3="A"),Data!B$10="b",Data!B$4=4),CONCATENATE(B143," ",A143),"")</f>
        <v/>
      </c>
      <c r="E143" s="30" t="str">
        <f t="shared" si="1"/>
        <v/>
      </c>
      <c r="J143" s="249" t="s">
        <v>22156</v>
      </c>
      <c r="K143" s="30">
        <v>160</v>
      </c>
      <c r="L143" s="30">
        <v>70</v>
      </c>
      <c r="M143" s="30" t="str">
        <f>IF(OR(Data!$B$3="IH",Data!$B$3="IHM"),IF(Data!$B$4=$K143,$L143,""),"")</f>
        <v/>
      </c>
    </row>
    <row r="144" spans="1:15">
      <c r="A144" s="253" t="s">
        <v>839</v>
      </c>
      <c r="B144" s="46" t="s">
        <v>600</v>
      </c>
      <c r="C144" s="253">
        <v>212</v>
      </c>
      <c r="D144" s="30" t="str">
        <f>IF(AND(OR(Data!B$3="Lh",Data!B$3="A"),Data!B$10="b",Data!B$4=5),CONCATENATE(B144," ",A144),"")</f>
        <v/>
      </c>
      <c r="E144" s="30" t="str">
        <f t="shared" si="1"/>
        <v/>
      </c>
      <c r="J144" s="249" t="s">
        <v>22156</v>
      </c>
      <c r="K144" s="30">
        <v>160</v>
      </c>
      <c r="L144" s="30">
        <v>90</v>
      </c>
      <c r="N144" s="30" t="str">
        <f>IF(OR(Data!$B$3="IH",Data!$B$3="IHM"),IF(Data!$B$4=$K144,$L144,""),"")</f>
        <v/>
      </c>
    </row>
    <row r="145" spans="1:15">
      <c r="A145" s="253" t="s">
        <v>368</v>
      </c>
      <c r="B145" s="46" t="s">
        <v>600</v>
      </c>
      <c r="C145" s="253">
        <v>325</v>
      </c>
      <c r="D145" s="30" t="str">
        <f>IF(AND(OR(Data!B$3="Lh",Data!B$3="A"),Data!B$10="b",Data!B$4=6),CONCATENATE(B145," ",A145),"")</f>
        <v/>
      </c>
      <c r="E145" s="30" t="str">
        <f t="shared" si="1"/>
        <v/>
      </c>
      <c r="J145" s="249" t="s">
        <v>22156</v>
      </c>
      <c r="K145" s="30">
        <v>160</v>
      </c>
      <c r="L145" s="30">
        <v>110</v>
      </c>
      <c r="O145" s="30" t="str">
        <f>IF(OR(Data!B$3="IH",Data!$B$3="IHM"),IF(Data!B$4=K145,L145,""),"")</f>
        <v/>
      </c>
    </row>
    <row r="146" spans="1:15">
      <c r="A146" s="253" t="s">
        <v>714</v>
      </c>
      <c r="B146" s="46" t="s">
        <v>600</v>
      </c>
      <c r="C146" s="253">
        <v>439</v>
      </c>
      <c r="D146" s="30" t="str">
        <f>IF(AND(OR(Data!B$3="Lh",Data!B$3="A"),Data!B$10="b",Data!B$4=7),CONCATENATE(B146," ",A146),"")</f>
        <v/>
      </c>
      <c r="E146" s="30" t="str">
        <f t="shared" si="1"/>
        <v/>
      </c>
      <c r="J146" s="249" t="s">
        <v>22156</v>
      </c>
      <c r="K146" s="30">
        <v>200</v>
      </c>
      <c r="L146" s="30">
        <v>90</v>
      </c>
      <c r="M146" s="30" t="str">
        <f>IF(OR(Data!$B$3="IH",Data!$B$3="IHM"),IF(Data!$B$4=$K146,$L146,""),"")</f>
        <v/>
      </c>
    </row>
    <row r="147" spans="1:15">
      <c r="A147" s="253" t="s">
        <v>840</v>
      </c>
      <c r="B147" s="46" t="s">
        <v>600</v>
      </c>
      <c r="C147" s="253">
        <v>503</v>
      </c>
      <c r="D147" s="30" t="str">
        <f>IF(AND(OR(Data!B$3="Lh",Data!B$3="A"),Data!B$10="b",Data!B$4=8),CONCATENATE(B147," ",A147),"")</f>
        <v/>
      </c>
      <c r="E147" s="30" t="str">
        <f t="shared" si="1"/>
        <v/>
      </c>
      <c r="J147" s="249" t="s">
        <v>22156</v>
      </c>
      <c r="K147" s="30">
        <v>200</v>
      </c>
      <c r="L147" s="30">
        <v>110</v>
      </c>
      <c r="N147" s="30" t="str">
        <f>IF(OR(Data!$B$3="IH",Data!$B$3="IHM"),IF(Data!$B$4=$K147,$L147,""),"")</f>
        <v/>
      </c>
    </row>
    <row r="148" spans="1:15">
      <c r="A148" s="30" t="s">
        <v>831</v>
      </c>
      <c r="B148" s="30" t="s">
        <v>821</v>
      </c>
      <c r="C148" s="57">
        <v>1215</v>
      </c>
      <c r="D148" s="30" t="str">
        <f>IF(AND(OR(Data!B$3="Lh",Data!B$3="A"),Data!B$10="h",Data!B$4=10),CONCATENATE(B148," ",A148),"")</f>
        <v/>
      </c>
      <c r="E148" s="30" t="str">
        <f t="shared" si="1"/>
        <v/>
      </c>
      <c r="J148" s="249" t="s">
        <v>22156</v>
      </c>
      <c r="K148" s="30">
        <v>200</v>
      </c>
      <c r="L148" s="30">
        <v>140</v>
      </c>
      <c r="O148" s="30" t="str">
        <f>IF(OR(Data!B$3="IH",Data!$B$3="IHM"),IF(Data!B$4=K148,L148,""),"")</f>
        <v/>
      </c>
    </row>
    <row r="149" spans="1:15">
      <c r="A149" s="30" t="s">
        <v>832</v>
      </c>
      <c r="B149" s="30" t="s">
        <v>821</v>
      </c>
      <c r="C149" s="57">
        <v>1583</v>
      </c>
      <c r="D149" s="30" t="str">
        <f>IF(AND(OR(Data!B$3="Lh",Data!B$3="A"),Data!B$10="h",Data!B$4=12),CONCATENATE(B149," ",A149),"")</f>
        <v/>
      </c>
      <c r="E149" s="30" t="str">
        <f t="shared" si="1"/>
        <v/>
      </c>
      <c r="J149" s="30" t="s">
        <v>22157</v>
      </c>
      <c r="K149" s="30">
        <v>40</v>
      </c>
      <c r="L149" s="30">
        <v>25</v>
      </c>
      <c r="M149" s="30" t="str">
        <f>IF(Data!$B$3="IMH",IF(Data!$B$4=$K149,$L149,""),"")</f>
        <v/>
      </c>
    </row>
    <row r="150" spans="1:15">
      <c r="A150" s="30" t="s">
        <v>833</v>
      </c>
      <c r="B150" s="30" t="s">
        <v>821</v>
      </c>
      <c r="C150" s="57">
        <v>1943</v>
      </c>
      <c r="D150" s="30" t="str">
        <f>IF(AND(OR(Data!B$3="Lh",Data!B$3="A"),Data!B$10="h",Data!B$4=14),CONCATENATE(B150," ",A150),"")</f>
        <v/>
      </c>
      <c r="E150" s="30" t="str">
        <f t="shared" si="1"/>
        <v/>
      </c>
      <c r="J150" s="30" t="s">
        <v>22157</v>
      </c>
      <c r="K150" s="30">
        <v>40</v>
      </c>
      <c r="L150" s="30">
        <v>28</v>
      </c>
      <c r="N150" s="30" t="str">
        <f>IF(Data!$B$3="IMH",IF(Data!$B$4=$K150,$L150,""),"")</f>
        <v/>
      </c>
    </row>
    <row r="151" spans="1:15">
      <c r="A151" s="57" t="s">
        <v>822</v>
      </c>
      <c r="B151" s="30" t="s">
        <v>821</v>
      </c>
      <c r="C151" s="57">
        <v>83</v>
      </c>
      <c r="D151" s="30" t="str">
        <f>IF(AND(OR(Data!B$3="Lh",Data!B$3="A"),Data!B$10="h",Data!B$4=1.5),CONCATENATE(B151," ",A151),"")</f>
        <v/>
      </c>
      <c r="E151" s="30" t="str">
        <f t="shared" si="1"/>
        <v/>
      </c>
      <c r="J151" s="30" t="s">
        <v>22157</v>
      </c>
      <c r="K151" s="30">
        <v>50</v>
      </c>
      <c r="L151" s="30">
        <v>32</v>
      </c>
      <c r="M151" s="30" t="str">
        <f>IF(Data!$B$3="IMH",IF(Data!$B$4=$K151,$L151,""),"")</f>
        <v/>
      </c>
    </row>
    <row r="152" spans="1:15">
      <c r="A152" s="57" t="s">
        <v>823</v>
      </c>
      <c r="B152" s="30" t="s">
        <v>821</v>
      </c>
      <c r="C152" s="57">
        <v>102</v>
      </c>
      <c r="D152" s="30" t="str">
        <f>IF(AND(OR(Data!B$3="Lh",Data!B$3="A"),Data!B$10="h",Data!B$4=2),CONCATENATE(B152," ",A152),"")</f>
        <v/>
      </c>
      <c r="E152" s="30" t="str">
        <f t="shared" si="1"/>
        <v/>
      </c>
      <c r="J152" s="30" t="s">
        <v>22157</v>
      </c>
      <c r="K152" s="30">
        <v>50</v>
      </c>
      <c r="L152" s="30">
        <v>36</v>
      </c>
      <c r="N152" s="30" t="str">
        <f>IF(Data!$B$3="IMH",IF(Data!$B$4=$K152,$L152,""),"")</f>
        <v/>
      </c>
    </row>
    <row r="153" spans="1:15">
      <c r="A153" s="57" t="s">
        <v>824</v>
      </c>
      <c r="B153" s="30" t="s">
        <v>821</v>
      </c>
      <c r="C153" s="57">
        <v>119</v>
      </c>
      <c r="D153" s="30" t="str">
        <f>IF(AND(OR(Data!B$3="Lh",Data!B$3="A"),Data!B$10="h",Data!B$4=2.5),CONCATENATE(B153," ",A153),"")</f>
        <v/>
      </c>
      <c r="E153" s="30" t="str">
        <f t="shared" si="1"/>
        <v/>
      </c>
      <c r="J153" s="30" t="s">
        <v>22157</v>
      </c>
      <c r="K153" s="30">
        <v>63</v>
      </c>
      <c r="L153" s="30">
        <v>40</v>
      </c>
      <c r="M153" s="30" t="str">
        <f>IF(Data!$B$3="IMH",IF(Data!$B$4=$K153,$L153,""),"")</f>
        <v/>
      </c>
    </row>
    <row r="154" spans="1:15">
      <c r="A154" s="57" t="s">
        <v>825</v>
      </c>
      <c r="B154" s="30" t="s">
        <v>821</v>
      </c>
      <c r="C154" s="57">
        <v>164</v>
      </c>
      <c r="D154" s="30" t="str">
        <f>IF(AND(OR(Data!B$3="Lh",Data!B$3="A"),Data!B$10="h",Data!B$4=3.25),CONCATENATE(B154," ",A154),"")</f>
        <v/>
      </c>
      <c r="E154" s="30" t="str">
        <f t="shared" si="1"/>
        <v/>
      </c>
      <c r="J154" s="30" t="s">
        <v>22157</v>
      </c>
      <c r="K154" s="30">
        <v>63</v>
      </c>
      <c r="L154" s="30">
        <v>45</v>
      </c>
      <c r="N154" s="30" t="str">
        <f>IF(Data!$B$3="IMH",IF(Data!$B$4=$K154,$L154,""),"")</f>
        <v/>
      </c>
    </row>
    <row r="155" spans="1:15">
      <c r="A155" s="57" t="s">
        <v>826</v>
      </c>
      <c r="B155" s="30" t="s">
        <v>821</v>
      </c>
      <c r="C155" s="57">
        <v>195</v>
      </c>
      <c r="D155" s="30" t="str">
        <f>IF(AND(OR(Data!B$3="Lh",Data!B$3="A"),Data!B$10="h",Data!B$4=4),CONCATENATE(B155," ",A155),"")</f>
        <v/>
      </c>
      <c r="E155" s="30" t="str">
        <f t="shared" si="1"/>
        <v/>
      </c>
      <c r="J155" s="30" t="s">
        <v>22157</v>
      </c>
      <c r="K155" s="30">
        <v>80</v>
      </c>
      <c r="L155" s="30">
        <v>50</v>
      </c>
      <c r="M155" s="30" t="str">
        <f>IF(Data!$B$3="IMH",IF(Data!$B$4=$K155,$L155,""),"")</f>
        <v/>
      </c>
    </row>
    <row r="156" spans="1:15">
      <c r="A156" s="57" t="s">
        <v>827</v>
      </c>
      <c r="B156" s="30" t="s">
        <v>821</v>
      </c>
      <c r="C156" s="57">
        <v>317</v>
      </c>
      <c r="D156" s="30" t="str">
        <f>IF(AND(OR(Data!B$3="Lh",Data!B$3="A"),Data!B$10="h",Data!B$4=5),CONCATENATE(B156," ",A156),"")</f>
        <v/>
      </c>
      <c r="E156" s="30" t="str">
        <f t="shared" si="1"/>
        <v/>
      </c>
      <c r="J156" s="30" t="s">
        <v>22157</v>
      </c>
      <c r="K156" s="30">
        <v>80</v>
      </c>
      <c r="L156" s="30">
        <v>56</v>
      </c>
      <c r="N156" s="30" t="str">
        <f>IF(Data!$B$3="IMH",IF(Data!$B$4=$K156,$L156,""),"")</f>
        <v/>
      </c>
    </row>
    <row r="157" spans="1:15">
      <c r="A157" s="30" t="s">
        <v>828</v>
      </c>
      <c r="B157" s="30" t="s">
        <v>821</v>
      </c>
      <c r="C157" s="57">
        <v>488</v>
      </c>
      <c r="D157" s="30" t="str">
        <f>IF(AND(OR(Data!B$3="Lh",Data!B$3="A"),Data!B$10="h",Data!B$4=6),CONCATENATE(B157," ",A157),"")</f>
        <v/>
      </c>
      <c r="E157" s="30" t="str">
        <f t="shared" si="1"/>
        <v/>
      </c>
      <c r="J157" s="30" t="s">
        <v>22157</v>
      </c>
      <c r="K157" s="30">
        <v>100</v>
      </c>
      <c r="L157" s="30">
        <v>63</v>
      </c>
      <c r="M157" s="30" t="str">
        <f>IF(Data!$B$3="IMH",IF(Data!$B$4=$K157,$L157,""),"")</f>
        <v/>
      </c>
    </row>
    <row r="158" spans="1:15">
      <c r="A158" s="30" t="s">
        <v>829</v>
      </c>
      <c r="B158" s="30" t="s">
        <v>821</v>
      </c>
      <c r="C158" s="57">
        <v>659</v>
      </c>
      <c r="D158" s="30" t="str">
        <f>IF(AND(OR(Data!B$3="Lh",Data!B$3="A"),Data!B$10="h",Data!B$4=7),CONCATENATE(B158," ",A158),"")</f>
        <v/>
      </c>
      <c r="E158" s="30" t="str">
        <f t="shared" si="1"/>
        <v/>
      </c>
      <c r="J158" s="30" t="s">
        <v>22157</v>
      </c>
      <c r="K158" s="30">
        <v>100</v>
      </c>
      <c r="L158" s="30">
        <v>70</v>
      </c>
      <c r="N158" s="30" t="str">
        <f>IF(Data!$B$3="IMH",IF(Data!$B$4=$K158,$L158,""),"")</f>
        <v/>
      </c>
    </row>
    <row r="159" spans="1:15">
      <c r="A159" s="30" t="s">
        <v>830</v>
      </c>
      <c r="B159" s="30" t="s">
        <v>821</v>
      </c>
      <c r="C159" s="57">
        <v>754</v>
      </c>
      <c r="D159" s="30" t="str">
        <f>IF(AND(OR(Data!B$3="Lh",Data!B$3="A"),Data!B$10="h",Data!B$4=8),CONCATENATE(B159," ",A159),"")</f>
        <v/>
      </c>
      <c r="E159" s="30" t="str">
        <f t="shared" si="1"/>
        <v/>
      </c>
      <c r="J159" s="30" t="s">
        <v>22157</v>
      </c>
      <c r="K159" s="30">
        <v>125</v>
      </c>
      <c r="L159" s="30">
        <v>80</v>
      </c>
      <c r="M159" s="30" t="str">
        <f>IF(Data!$B$3="IMH",IF(Data!$B$4=$K159,$L159,""),"")</f>
        <v/>
      </c>
    </row>
    <row r="160" spans="1:15">
      <c r="A160" s="253" t="s">
        <v>808</v>
      </c>
      <c r="B160" s="46" t="s">
        <v>798</v>
      </c>
      <c r="C160" s="253">
        <v>891</v>
      </c>
      <c r="D160" s="30" t="str">
        <f>IF(AND(OR(Data!B$3="Lh",Data!B$3="A"),Data!B$10="l",Data!B$4=10),CONCATENATE(B160," ",A160),"")</f>
        <v/>
      </c>
      <c r="E160" s="30" t="str">
        <f t="shared" si="1"/>
        <v/>
      </c>
      <c r="J160" s="30" t="s">
        <v>22157</v>
      </c>
      <c r="K160" s="30">
        <v>125</v>
      </c>
      <c r="L160" s="30">
        <v>90</v>
      </c>
      <c r="N160" s="30" t="str">
        <f>IF(Data!$B$3="IMH",IF(Data!$B$4=$K160,$L160,""),"")</f>
        <v/>
      </c>
    </row>
    <row r="161" spans="1:14">
      <c r="A161" s="253" t="s">
        <v>809</v>
      </c>
      <c r="B161" s="46" t="s">
        <v>798</v>
      </c>
      <c r="C161" s="253">
        <v>1161</v>
      </c>
      <c r="D161" s="30" t="str">
        <f>IF(AND(OR(Data!B$3="Lh",Data!B$3="A"),Data!B$10="L",Data!B$4=12),CONCATENATE(B161," ",A161),"")</f>
        <v/>
      </c>
      <c r="E161" s="30" t="str">
        <f t="shared" si="1"/>
        <v/>
      </c>
      <c r="J161" s="30" t="s">
        <v>22157</v>
      </c>
      <c r="K161" s="30">
        <v>160</v>
      </c>
      <c r="L161" s="30">
        <v>100</v>
      </c>
      <c r="M161" s="30" t="str">
        <f>IF(Data!$B$3="IMH",IF(Data!$B$4=$K161,$L161,""),"")</f>
        <v/>
      </c>
    </row>
    <row r="162" spans="1:14">
      <c r="A162" s="253" t="s">
        <v>810</v>
      </c>
      <c r="B162" s="46" t="s">
        <v>798</v>
      </c>
      <c r="C162" s="253">
        <v>1425</v>
      </c>
      <c r="D162" s="30" t="str">
        <f>IF(AND(OR(Data!B$3="Lh",Data!B$3="A"),Data!B$10="L",Data!B$4=14),CONCATENATE(B162," ",A162),"")</f>
        <v/>
      </c>
      <c r="E162" s="30" t="str">
        <f t="shared" si="1"/>
        <v/>
      </c>
      <c r="J162" s="30" t="s">
        <v>22157</v>
      </c>
      <c r="K162" s="30">
        <v>160</v>
      </c>
      <c r="L162" s="30">
        <v>110</v>
      </c>
      <c r="N162" s="30" t="str">
        <f>IF(Data!$B$3="IMH",IF(Data!$B$4=$K162,$L162,""),"")</f>
        <v/>
      </c>
    </row>
    <row r="163" spans="1:14">
      <c r="A163" s="253" t="s">
        <v>799</v>
      </c>
      <c r="B163" s="46" t="s">
        <v>798</v>
      </c>
      <c r="C163" s="253">
        <v>61</v>
      </c>
      <c r="D163" s="30" t="str">
        <f>IF(AND(OR(Data!B$3="Lh",Data!B$3="A"),Data!B$10="L",Data!B$4=1.5),CONCATENATE(B163," ",A163),"")</f>
        <v/>
      </c>
      <c r="E163" s="30" t="str">
        <f t="shared" si="1"/>
        <v/>
      </c>
      <c r="J163" s="30" t="s">
        <v>22157</v>
      </c>
      <c r="K163" s="30">
        <v>200</v>
      </c>
      <c r="L163" s="30">
        <v>125</v>
      </c>
      <c r="M163" s="30" t="str">
        <f>IF(Data!$B$3="IMH",IF(Data!$B$4=$K163,$L163,""),"")</f>
        <v/>
      </c>
    </row>
    <row r="164" spans="1:14">
      <c r="A164" s="253" t="s">
        <v>800</v>
      </c>
      <c r="B164" s="46" t="s">
        <v>798</v>
      </c>
      <c r="C164" s="253">
        <v>75</v>
      </c>
      <c r="D164" s="30" t="str">
        <f>IF(AND(OR(Data!B$3="Lh",Data!B$3="A"),Data!B$10="L",Data!B$4=2),CONCATENATE(B164," ",A164),"")</f>
        <v/>
      </c>
      <c r="E164" s="30" t="str">
        <f t="shared" si="1"/>
        <v/>
      </c>
      <c r="J164" s="30" t="s">
        <v>22157</v>
      </c>
      <c r="K164" s="30">
        <v>200</v>
      </c>
      <c r="L164" s="30">
        <v>140</v>
      </c>
      <c r="N164" s="30" t="str">
        <f>IF(Data!$B$3="IMH",IF(Data!$B$4=$K164,$L164,""),"")</f>
        <v/>
      </c>
    </row>
    <row r="165" spans="1:14">
      <c r="A165" s="253" t="s">
        <v>801</v>
      </c>
      <c r="B165" s="46" t="s">
        <v>798</v>
      </c>
      <c r="C165" s="253">
        <v>87</v>
      </c>
      <c r="D165" s="30" t="str">
        <f>IF(AND(OR(Data!B$3="Lh",Data!B$3="A"),Data!B$10="L",Data!B$4=2.5),CONCATENATE(B165," ",A165),"")</f>
        <v/>
      </c>
      <c r="E165" s="30" t="str">
        <f t="shared" si="1"/>
        <v/>
      </c>
      <c r="J165" s="30" t="s">
        <v>22157</v>
      </c>
      <c r="K165" s="30">
        <v>250</v>
      </c>
      <c r="L165" s="30">
        <v>160</v>
      </c>
      <c r="M165" s="30" t="str">
        <f>IF(Data!$B$3="IMH",IF(Data!$B$4=$K165,$L165,""),"")</f>
        <v/>
      </c>
    </row>
    <row r="166" spans="1:14">
      <c r="A166" s="253" t="s">
        <v>802</v>
      </c>
      <c r="B166" s="46" t="s">
        <v>798</v>
      </c>
      <c r="C166" s="253">
        <v>120</v>
      </c>
      <c r="D166" s="30" t="str">
        <f>IF(AND(OR(Data!B$3="Lh",Data!B$3="A"),Data!B$10="L",Data!B$4=3.25),CONCATENATE(B166," ",A166),"")</f>
        <v/>
      </c>
      <c r="E166" s="30" t="str">
        <f t="shared" si="1"/>
        <v/>
      </c>
      <c r="J166" s="30" t="s">
        <v>22157</v>
      </c>
      <c r="K166" s="30">
        <v>250</v>
      </c>
      <c r="L166" s="30">
        <v>180</v>
      </c>
      <c r="N166" s="30" t="str">
        <f>IF(Data!$B$3="IMH",IF(Data!$B$4=$K166,$L166,""),"")</f>
        <v/>
      </c>
    </row>
    <row r="167" spans="1:14">
      <c r="A167" s="253" t="s">
        <v>803</v>
      </c>
      <c r="B167" s="46" t="s">
        <v>798</v>
      </c>
      <c r="C167" s="253">
        <v>143</v>
      </c>
      <c r="D167" s="30" t="str">
        <f>IF(AND(OR(Data!B$3="Lh",Data!B$3="A"),Data!B$10="L",Data!B$4=4),CONCATENATE(B167," ",A167),"")</f>
        <v/>
      </c>
      <c r="E167" s="30" t="str">
        <f t="shared" si="1"/>
        <v/>
      </c>
      <c r="J167" s="30" t="s">
        <v>22157</v>
      </c>
      <c r="K167" s="30">
        <v>320</v>
      </c>
      <c r="L167" s="30">
        <v>200</v>
      </c>
      <c r="M167" s="30" t="str">
        <f>IF(Data!$B$3="IMH",IF(Data!$B$4=$K167,$L167,""),"")</f>
        <v/>
      </c>
    </row>
    <row r="168" spans="1:14">
      <c r="A168" s="253" t="s">
        <v>804</v>
      </c>
      <c r="B168" s="46" t="s">
        <v>798</v>
      </c>
      <c r="C168" s="253">
        <v>233</v>
      </c>
      <c r="D168" s="30" t="str">
        <f>IF(AND(OR(Data!B$3="Lh",Data!B$3="A"),Data!B$10="L",Data!B$4=5),CONCATENATE(B168," ",A168),"")</f>
        <v/>
      </c>
      <c r="E168" s="30" t="str">
        <f t="shared" si="1"/>
        <v/>
      </c>
      <c r="J168" s="30" t="s">
        <v>22157</v>
      </c>
      <c r="K168" s="30">
        <v>320</v>
      </c>
      <c r="L168" s="30">
        <v>220</v>
      </c>
      <c r="N168" s="30" t="str">
        <f>IF(Data!$B$3="IMH",IF(Data!$B$4=$K168,$L168,""),"")</f>
        <v/>
      </c>
    </row>
    <row r="169" spans="1:14">
      <c r="A169" s="253" t="s">
        <v>805</v>
      </c>
      <c r="B169" s="46" t="s">
        <v>798</v>
      </c>
      <c r="C169" s="253">
        <v>358</v>
      </c>
      <c r="D169" s="30" t="str">
        <f>IF(AND(OR(Data!B$3="Lh",Data!B$3="A"),Data!B$10="L",Data!B$4=6),CONCATENATE(B169," ",A169),"")</f>
        <v/>
      </c>
      <c r="E169" s="30" t="str">
        <f t="shared" si="1"/>
        <v/>
      </c>
    </row>
    <row r="170" spans="1:14">
      <c r="A170" s="253" t="s">
        <v>806</v>
      </c>
      <c r="B170" s="46" t="s">
        <v>798</v>
      </c>
      <c r="C170" s="253">
        <v>483</v>
      </c>
      <c r="D170" s="30" t="str">
        <f>IF(AND(OR(Data!B$3="Lh",Data!B$3="A"),Data!B$10="L",Data!B$4=7),CONCATENATE(B170," ",A170),"")</f>
        <v/>
      </c>
      <c r="E170" s="30" t="str">
        <f t="shared" si="1"/>
        <v/>
      </c>
    </row>
    <row r="171" spans="1:14">
      <c r="A171" s="253" t="s">
        <v>807</v>
      </c>
      <c r="B171" s="46" t="s">
        <v>798</v>
      </c>
      <c r="C171" s="253">
        <v>553</v>
      </c>
      <c r="D171" s="30" t="str">
        <f>IF(AND(OR(Data!B$3="Lh",Data!B$3="A"),Data!B$10="L",Data!B$4=8),CONCATENATE(B171," ",A171),"")</f>
        <v/>
      </c>
      <c r="E171" s="30" t="str">
        <f t="shared" si="1"/>
        <v/>
      </c>
    </row>
    <row r="172" spans="1:14">
      <c r="A172" s="253" t="s">
        <v>178</v>
      </c>
      <c r="B172" s="46" t="s">
        <v>167</v>
      </c>
      <c r="C172" s="253">
        <v>1135</v>
      </c>
      <c r="D172" s="30" t="str">
        <f>IF(AND(OR(Data!B$3="Lh",Data!B$3="A"),Data!B$10="V",Data!B$4=10),CONCATENATE(B172," ",A172),"")</f>
        <v/>
      </c>
      <c r="E172" s="30" t="str">
        <f t="shared" si="1"/>
        <v/>
      </c>
    </row>
    <row r="173" spans="1:14">
      <c r="A173" s="253" t="s">
        <v>98</v>
      </c>
      <c r="B173" s="46" t="s">
        <v>167</v>
      </c>
      <c r="C173" s="253">
        <v>1478</v>
      </c>
      <c r="D173" s="30" t="str">
        <f>IF(AND(OR(Data!B$3="Lh",Data!B$3="A"),Data!B$10="V",Data!B$4=12),CONCATENATE(B173," ",A173),"")</f>
        <v/>
      </c>
      <c r="E173" s="30" t="str">
        <f t="shared" si="1"/>
        <v/>
      </c>
    </row>
    <row r="174" spans="1:14">
      <c r="A174" s="253" t="s">
        <v>589</v>
      </c>
      <c r="B174" s="46" t="s">
        <v>167</v>
      </c>
      <c r="C174" s="253">
        <v>1812</v>
      </c>
      <c r="D174" s="30" t="str">
        <f>IF(AND(OR(Data!B$3="Lh",Data!B$3="A"),Data!B$10="V",Data!B$4=14),CONCATENATE(B174," ",A174),"")</f>
        <v/>
      </c>
      <c r="E174" s="30" t="str">
        <f t="shared" ref="E174:E237" si="2">IF(D174="","",C174)</f>
        <v/>
      </c>
    </row>
    <row r="175" spans="1:14">
      <c r="A175" s="253" t="s">
        <v>641</v>
      </c>
      <c r="B175" s="46" t="s">
        <v>167</v>
      </c>
      <c r="C175" s="253">
        <v>78</v>
      </c>
      <c r="D175" s="30" t="str">
        <f>IF(AND(OR(Data!B$3="Lh",Data!B$3="A"),Data!B$10="V",Data!B$4=1.5),CONCATENATE(B175," ",A175),"")</f>
        <v/>
      </c>
      <c r="E175" s="30" t="str">
        <f t="shared" si="2"/>
        <v/>
      </c>
    </row>
    <row r="176" spans="1:14">
      <c r="A176" s="253" t="s">
        <v>569</v>
      </c>
      <c r="B176" s="46" t="s">
        <v>167</v>
      </c>
      <c r="C176" s="253">
        <v>95</v>
      </c>
      <c r="D176" s="30" t="str">
        <f>IF(AND(OR(Data!B$3="Lh",Data!B$3="A"),Data!B$10="V",Data!B$4=2),CONCATENATE(B176," ",A176),"")</f>
        <v/>
      </c>
      <c r="E176" s="30" t="str">
        <f t="shared" si="2"/>
        <v/>
      </c>
    </row>
    <row r="177" spans="1:5">
      <c r="A177" s="253" t="s">
        <v>395</v>
      </c>
      <c r="B177" s="46" t="s">
        <v>167</v>
      </c>
      <c r="C177" s="253">
        <v>110</v>
      </c>
      <c r="D177" s="30" t="str">
        <f>IF(AND(OR(Data!B$3="Lh",Data!B$3="A"),Data!B$10="V",Data!B$4=2.5),CONCATENATE(B177," ",A177),"")</f>
        <v/>
      </c>
      <c r="E177" s="30" t="str">
        <f t="shared" si="2"/>
        <v/>
      </c>
    </row>
    <row r="178" spans="1:5">
      <c r="A178" s="253" t="s">
        <v>327</v>
      </c>
      <c r="B178" s="46" t="s">
        <v>167</v>
      </c>
      <c r="C178" s="253">
        <v>154</v>
      </c>
      <c r="D178" s="30" t="str">
        <f>IF(AND(OR(Data!B$3="Lh",Data!B$3="A"),Data!B$10="V",Data!B$4=3.25),CONCATENATE(B178," ",A178),"")</f>
        <v/>
      </c>
      <c r="E178" s="30" t="str">
        <f t="shared" si="2"/>
        <v/>
      </c>
    </row>
    <row r="179" spans="1:5">
      <c r="A179" s="253" t="s">
        <v>102</v>
      </c>
      <c r="B179" s="46" t="s">
        <v>167</v>
      </c>
      <c r="C179" s="253">
        <v>183</v>
      </c>
      <c r="D179" s="30" t="str">
        <f>IF(AND(OR(Data!B$3="Lh",Data!B$3="A"),Data!B$10="V",Data!B$4=4),CONCATENATE(B179," ",A179),"")</f>
        <v/>
      </c>
      <c r="E179" s="30" t="str">
        <f t="shared" si="2"/>
        <v/>
      </c>
    </row>
    <row r="180" spans="1:5">
      <c r="A180" s="253" t="s">
        <v>835</v>
      </c>
      <c r="B180" s="46" t="s">
        <v>167</v>
      </c>
      <c r="C180" s="253">
        <v>297</v>
      </c>
      <c r="D180" s="30" t="str">
        <f>IF(AND(OR(Data!B$3="Lh",Data!B$3="A"),Data!B$10="V",Data!B$4=5),CONCATENATE(B180," ",A180),"")</f>
        <v/>
      </c>
      <c r="E180" s="30" t="str">
        <f t="shared" si="2"/>
        <v/>
      </c>
    </row>
    <row r="181" spans="1:5">
      <c r="A181" s="253" t="s">
        <v>369</v>
      </c>
      <c r="B181" s="46" t="s">
        <v>167</v>
      </c>
      <c r="C181" s="253">
        <v>454</v>
      </c>
      <c r="D181" s="30" t="str">
        <f>IF(AND(OR(Data!B$3="Lh",Data!B$3="A"),Data!B$10="V",Data!B$4=6),CONCATENATE(B181," ",A181),"")</f>
        <v/>
      </c>
      <c r="E181" s="30" t="str">
        <f t="shared" si="2"/>
        <v/>
      </c>
    </row>
    <row r="182" spans="1:5">
      <c r="A182" s="253" t="s">
        <v>6</v>
      </c>
      <c r="B182" s="46" t="s">
        <v>167</v>
      </c>
      <c r="C182" s="253">
        <v>615</v>
      </c>
      <c r="D182" s="30" t="str">
        <f>IF(AND(OR(Data!B$3="Lh",Data!B$3="A"),Data!B$10="V",Data!B$4=7),CONCATENATE(B182," ",A182),"")</f>
        <v/>
      </c>
      <c r="E182" s="30" t="str">
        <f t="shared" si="2"/>
        <v/>
      </c>
    </row>
    <row r="183" spans="1:5">
      <c r="A183" s="253" t="s">
        <v>647</v>
      </c>
      <c r="B183" s="46" t="s">
        <v>167</v>
      </c>
      <c r="C183" s="253">
        <v>704</v>
      </c>
      <c r="D183" s="30" t="str">
        <f>IF(AND(OR(Data!B$3="Lh",Data!B$3="A"),Data!B$10="V",Data!B$4=8),CONCATENATE(B183," ",A183),"")</f>
        <v/>
      </c>
      <c r="E183" s="30" t="str">
        <f t="shared" si="2"/>
        <v/>
      </c>
    </row>
    <row r="184" spans="1:5">
      <c r="A184" s="253" t="s">
        <v>338</v>
      </c>
      <c r="B184" s="46" t="s">
        <v>248</v>
      </c>
      <c r="C184" s="253">
        <v>42</v>
      </c>
      <c r="D184" s="30" t="str">
        <f>IF(AND(OR(Data!B$3="Lh",Data!B$3="A"),Data!B$10="B",Data!B$6=0.625),CONCATENATE(B184," ",A184),"")</f>
        <v/>
      </c>
      <c r="E184" s="30" t="str">
        <f t="shared" si="2"/>
        <v/>
      </c>
    </row>
    <row r="185" spans="1:5">
      <c r="A185" s="253" t="s">
        <v>118</v>
      </c>
      <c r="B185" s="46" t="s">
        <v>248</v>
      </c>
      <c r="C185" s="253">
        <v>45</v>
      </c>
      <c r="D185" s="30" t="str">
        <f>IF(AND(OR(Data!B$3="Lh",Data!B$3="A"),Data!B$10="B",Data!B$6=1),CONCATENATE(B185," ",A185),"")</f>
        <v/>
      </c>
      <c r="E185" s="30" t="str">
        <f t="shared" si="2"/>
        <v/>
      </c>
    </row>
    <row r="186" spans="1:5">
      <c r="A186" s="253" t="s">
        <v>119</v>
      </c>
      <c r="B186" s="46" t="s">
        <v>248</v>
      </c>
      <c r="C186" s="253">
        <v>63</v>
      </c>
      <c r="D186" s="30" t="str">
        <f>IF(AND(OR(Data!B$3="Lh",Data!B$3="A"),Data!B$10="B",Data!B$6=1.375),CONCATENATE(B186," ",A186),"")</f>
        <v/>
      </c>
      <c r="E186" s="30" t="str">
        <f t="shared" si="2"/>
        <v/>
      </c>
    </row>
    <row r="187" spans="1:5">
      <c r="A187" s="253" t="s">
        <v>498</v>
      </c>
      <c r="B187" s="46" t="s">
        <v>248</v>
      </c>
      <c r="C187" s="253">
        <v>63</v>
      </c>
      <c r="D187" s="30" t="str">
        <f>IF(AND(OR(Data!B$3="Lh",Data!B$3="A"),Data!B$10="B",Data!B$6=1.75),CONCATENATE(B187," ",A187),"")</f>
        <v/>
      </c>
      <c r="E187" s="30" t="str">
        <f t="shared" si="2"/>
        <v/>
      </c>
    </row>
    <row r="188" spans="1:5">
      <c r="A188" s="253" t="s">
        <v>682</v>
      </c>
      <c r="B188" s="46" t="s">
        <v>248</v>
      </c>
      <c r="C188" s="253">
        <v>73</v>
      </c>
      <c r="D188" s="30" t="str">
        <f>IF(AND(OR(Data!B$3="Lh",Data!B$3="A"),Data!B$10="B",Data!B$6=2),CONCATENATE(B188," ",A188),"")</f>
        <v/>
      </c>
      <c r="E188" s="30" t="str">
        <f t="shared" si="2"/>
        <v/>
      </c>
    </row>
    <row r="189" spans="1:5">
      <c r="A189" s="253" t="s">
        <v>683</v>
      </c>
      <c r="B189" s="46" t="s">
        <v>248</v>
      </c>
      <c r="C189" s="253">
        <v>83</v>
      </c>
      <c r="D189" s="30" t="str">
        <f>IF(AND(OR(Data!B$3="Lh",Data!B$3="A"),Data!B$10="B",Data!B$6=2.5),CONCATENATE(B189," ",A189),"")</f>
        <v/>
      </c>
      <c r="E189" s="30" t="str">
        <f t="shared" si="2"/>
        <v/>
      </c>
    </row>
    <row r="190" spans="1:5">
      <c r="A190" s="253" t="s">
        <v>706</v>
      </c>
      <c r="B190" s="46" t="s">
        <v>248</v>
      </c>
      <c r="C190" s="253">
        <v>117</v>
      </c>
      <c r="D190" s="30" t="str">
        <f>IF(AND(OR(Data!B$3="Lh",Data!B$3="A"),Data!B$10="B",Data!B$6=3),CONCATENATE(B190," ",A190),"")</f>
        <v/>
      </c>
      <c r="E190" s="30" t="str">
        <f t="shared" si="2"/>
        <v/>
      </c>
    </row>
    <row r="191" spans="1:5">
      <c r="A191" s="253" t="s">
        <v>548</v>
      </c>
      <c r="B191" s="46" t="s">
        <v>248</v>
      </c>
      <c r="C191" s="253">
        <v>134</v>
      </c>
      <c r="D191" s="30" t="str">
        <f>IF(AND(OR(Data!B$3="Lh",Data!B$3="A"),Data!B$10="B",Data!B$6=3.5),CONCATENATE(B191," ",A191),"")</f>
        <v/>
      </c>
      <c r="E191" s="30" t="str">
        <f t="shared" si="2"/>
        <v/>
      </c>
    </row>
    <row r="192" spans="1:5">
      <c r="A192" s="253" t="s">
        <v>859</v>
      </c>
      <c r="B192" s="46" t="s">
        <v>248</v>
      </c>
      <c r="C192" s="253">
        <v>168</v>
      </c>
      <c r="D192" s="30" t="str">
        <f>IF(AND(OR(Data!B$3="Lh",Data!B$3="A"),Data!B$10="B",Data!B$6=4),CONCATENATE(B192," ",A192),"")</f>
        <v/>
      </c>
      <c r="E192" s="30" t="str">
        <f t="shared" si="2"/>
        <v/>
      </c>
    </row>
    <row r="193" spans="1:5">
      <c r="A193" s="253" t="s">
        <v>788</v>
      </c>
      <c r="B193" s="46" t="s">
        <v>797</v>
      </c>
      <c r="C193" s="253">
        <v>54</v>
      </c>
      <c r="D193" s="30" t="str">
        <f>IF(AND(OR(Data!B$3="Lh",Data!B$3="A"),Data!B$10="L",Data!B$6=0.625),CONCATENATE(B193," ",A193),"")</f>
        <v/>
      </c>
      <c r="E193" s="30" t="str">
        <f t="shared" si="2"/>
        <v/>
      </c>
    </row>
    <row r="194" spans="1:5">
      <c r="A194" s="253" t="s">
        <v>789</v>
      </c>
      <c r="B194" s="46" t="s">
        <v>797</v>
      </c>
      <c r="C194" s="253">
        <v>59</v>
      </c>
      <c r="D194" s="30" t="str">
        <f>IF(AND(OR(Data!B$3="Lh",Data!B$3="A"),Data!B$10="L",Data!B$6=1),CONCATENATE(B194," ",A194),"")</f>
        <v/>
      </c>
      <c r="E194" s="30" t="str">
        <f t="shared" si="2"/>
        <v/>
      </c>
    </row>
    <row r="195" spans="1:5">
      <c r="A195" s="253" t="s">
        <v>790</v>
      </c>
      <c r="B195" s="46" t="s">
        <v>797</v>
      </c>
      <c r="C195" s="253">
        <v>82</v>
      </c>
      <c r="D195" s="30" t="str">
        <f>IF(AND(OR(Data!B$3="Lh",Data!B$3="A"),Data!B$10="L",Data!B$6=1.375),CONCATENATE(B195," ",A195),"")</f>
        <v/>
      </c>
      <c r="E195" s="30" t="str">
        <f t="shared" si="2"/>
        <v/>
      </c>
    </row>
    <row r="196" spans="1:5">
      <c r="A196" s="253" t="s">
        <v>791</v>
      </c>
      <c r="B196" s="46" t="s">
        <v>797</v>
      </c>
      <c r="C196" s="253">
        <v>82</v>
      </c>
      <c r="D196" s="30" t="str">
        <f>IF(AND(OR(Data!B$3="Lh",Data!B$3="A"),Data!B$10="L",Data!B$6=1.75),CONCATENATE(B196," ",A196),"")</f>
        <v/>
      </c>
      <c r="E196" s="30" t="str">
        <f t="shared" si="2"/>
        <v/>
      </c>
    </row>
    <row r="197" spans="1:5">
      <c r="A197" s="253" t="s">
        <v>792</v>
      </c>
      <c r="B197" s="46" t="s">
        <v>797</v>
      </c>
      <c r="C197" s="253">
        <v>95</v>
      </c>
      <c r="D197" s="30" t="str">
        <f>IF(AND(OR(Data!B$3="Lh",Data!B$3="A"),Data!B$10="L",Data!B$6=2),CONCATENATE(B197," ",A197),"")</f>
        <v/>
      </c>
      <c r="E197" s="30" t="str">
        <f t="shared" si="2"/>
        <v/>
      </c>
    </row>
    <row r="198" spans="1:5">
      <c r="A198" s="253" t="s">
        <v>793</v>
      </c>
      <c r="B198" s="46" t="s">
        <v>797</v>
      </c>
      <c r="C198" s="253">
        <v>108</v>
      </c>
      <c r="D198" s="30" t="str">
        <f>IF(AND(OR(Data!B$3="Lh",Data!B$3="A"),Data!B$10="L",Data!B$6=2.5),CONCATENATE(B198," ",A198),"")</f>
        <v/>
      </c>
      <c r="E198" s="30" t="str">
        <f t="shared" si="2"/>
        <v/>
      </c>
    </row>
    <row r="199" spans="1:5">
      <c r="A199" s="253" t="s">
        <v>794</v>
      </c>
      <c r="B199" s="46" t="s">
        <v>797</v>
      </c>
      <c r="C199" s="253">
        <v>152</v>
      </c>
      <c r="D199" s="30" t="str">
        <f>IF(AND(OR(Data!B$3="Lh",Data!B$3="A"),Data!B$10="L",Data!B$6=3),CONCATENATE(B199," ",A199),"")</f>
        <v/>
      </c>
      <c r="E199" s="30" t="str">
        <f t="shared" si="2"/>
        <v/>
      </c>
    </row>
    <row r="200" spans="1:5">
      <c r="A200" s="253" t="s">
        <v>795</v>
      </c>
      <c r="B200" s="46" t="s">
        <v>797</v>
      </c>
      <c r="C200" s="253">
        <v>174</v>
      </c>
      <c r="D200" s="30" t="str">
        <f>IF(AND(OR(Data!B$3="Lh",Data!B$3="A"),Data!B$10="L",Data!B$6=3.5),CONCATENATE(B200," ",A200),"")</f>
        <v/>
      </c>
      <c r="E200" s="30" t="str">
        <f t="shared" si="2"/>
        <v/>
      </c>
    </row>
    <row r="201" spans="1:5">
      <c r="A201" s="253" t="s">
        <v>796</v>
      </c>
      <c r="B201" s="46" t="s">
        <v>797</v>
      </c>
      <c r="C201" s="253">
        <v>218</v>
      </c>
      <c r="D201" s="30" t="str">
        <f>IF(AND(OR(Data!B$3="Lh",Data!B$3="A"),Data!B$10="L",Data!B$6=4),CONCATENATE(B201," ",A201),"")</f>
        <v/>
      </c>
      <c r="E201" s="30" t="str">
        <f t="shared" si="2"/>
        <v/>
      </c>
    </row>
    <row r="202" spans="1:5">
      <c r="A202" s="253" t="s">
        <v>238</v>
      </c>
      <c r="B202" s="46" t="s">
        <v>214</v>
      </c>
      <c r="C202" s="253">
        <v>59</v>
      </c>
      <c r="D202" s="30" t="str">
        <f>IF(AND(OR(Data!B$3="Lh",Data!B$3="A"),Data!B$10="v",Data!B$6=0.625),CONCATENATE(B202," ",A202),"")</f>
        <v/>
      </c>
      <c r="E202" s="30" t="str">
        <f t="shared" si="2"/>
        <v/>
      </c>
    </row>
    <row r="203" spans="1:5">
      <c r="A203" s="253" t="s">
        <v>239</v>
      </c>
      <c r="B203" s="46" t="s">
        <v>214</v>
      </c>
      <c r="C203" s="253">
        <v>63</v>
      </c>
      <c r="D203" s="30" t="str">
        <f>IF(AND(OR(Data!B$3="Lh",Data!B$3="A"),Data!B$10="v",Data!B$6=1),CONCATENATE(B203," ",A203),"")</f>
        <v/>
      </c>
      <c r="E203" s="30" t="str">
        <f t="shared" si="2"/>
        <v/>
      </c>
    </row>
    <row r="204" spans="1:5">
      <c r="A204" s="253" t="s">
        <v>240</v>
      </c>
      <c r="B204" s="46" t="s">
        <v>214</v>
      </c>
      <c r="C204" s="253">
        <v>88</v>
      </c>
      <c r="D204" s="30" t="str">
        <f>IF(AND(OR(Data!B$3="Lh",Data!B$3="A"),Data!B$10="v",Data!B$6=1.375),CONCATENATE(B204," ",A204),"")</f>
        <v/>
      </c>
      <c r="E204" s="30" t="str">
        <f t="shared" si="2"/>
        <v/>
      </c>
    </row>
    <row r="205" spans="1:5">
      <c r="A205" s="253" t="s">
        <v>241</v>
      </c>
      <c r="B205" s="46" t="s">
        <v>214</v>
      </c>
      <c r="C205" s="253">
        <v>88</v>
      </c>
      <c r="D205" s="30" t="str">
        <f>IF(AND(OR(Data!B$3="Lh",Data!B$3="A"),Data!B$10="v",Data!B$6=1.75),CONCATENATE(B205," ",A205),"")</f>
        <v/>
      </c>
      <c r="E205" s="30" t="str">
        <f t="shared" si="2"/>
        <v/>
      </c>
    </row>
    <row r="206" spans="1:5">
      <c r="A206" s="253" t="s">
        <v>325</v>
      </c>
      <c r="B206" s="46" t="s">
        <v>214</v>
      </c>
      <c r="C206" s="253">
        <v>102</v>
      </c>
      <c r="D206" s="30" t="str">
        <f>IF(AND(OR(Data!B$3="Lh",Data!B$3="A"),Data!B$10="v",Data!B$6=2),CONCATENATE(B206," ",A206),"")</f>
        <v/>
      </c>
      <c r="E206" s="30" t="str">
        <f t="shared" si="2"/>
        <v/>
      </c>
    </row>
    <row r="207" spans="1:5">
      <c r="A207" s="253" t="s">
        <v>290</v>
      </c>
      <c r="B207" s="46" t="s">
        <v>214</v>
      </c>
      <c r="C207" s="253">
        <v>117</v>
      </c>
      <c r="D207" s="30" t="str">
        <f>IF(AND(OR(Data!B$3="Lh",Data!B$3="A"),Data!B$10="v",Data!B$6=2.5),CONCATENATE(B207," ",A207),"")</f>
        <v/>
      </c>
      <c r="E207" s="30" t="str">
        <f t="shared" si="2"/>
        <v/>
      </c>
    </row>
    <row r="208" spans="1:5">
      <c r="A208" s="253" t="s">
        <v>592</v>
      </c>
      <c r="B208" s="46" t="s">
        <v>214</v>
      </c>
      <c r="C208" s="253">
        <v>162</v>
      </c>
      <c r="D208" s="30" t="str">
        <f>IF(AND(OR(Data!B$3="Lh",Data!B$3="A"),Data!B$10="v",Data!B$6=3),CONCATENATE(B208," ",A208),"")</f>
        <v/>
      </c>
      <c r="E208" s="30" t="str">
        <f t="shared" si="2"/>
        <v/>
      </c>
    </row>
    <row r="209" spans="1:5">
      <c r="A209" s="253" t="s">
        <v>479</v>
      </c>
      <c r="B209" s="46" t="s">
        <v>214</v>
      </c>
      <c r="C209" s="253">
        <v>188</v>
      </c>
      <c r="D209" s="30" t="str">
        <f>IF(AND(OR(Data!B$3="Lh",Data!B$3="A"),Data!B$10="v",Data!B$6=3.5),CONCATENATE(B209," ",A209),"")</f>
        <v/>
      </c>
      <c r="E209" s="30" t="str">
        <f t="shared" si="2"/>
        <v/>
      </c>
    </row>
    <row r="210" spans="1:5">
      <c r="A210" s="253" t="s">
        <v>642</v>
      </c>
      <c r="B210" s="46" t="s">
        <v>214</v>
      </c>
      <c r="C210" s="253">
        <v>234</v>
      </c>
      <c r="D210" s="30" t="str">
        <f>IF(AND(OR(Data!B$3="Lh",Data!B$3="A"),Data!B$10="v",Data!B$6=4),CONCATENATE(B210," ",A210),"")</f>
        <v/>
      </c>
      <c r="E210" s="30" t="str">
        <f t="shared" si="2"/>
        <v/>
      </c>
    </row>
    <row r="211" spans="1:5">
      <c r="A211" s="253" t="s">
        <v>197</v>
      </c>
      <c r="B211" s="46" t="s">
        <v>532</v>
      </c>
      <c r="C211" s="253">
        <v>158</v>
      </c>
      <c r="D211" s="30" t="str">
        <f>IF(AND(OR(Data!B$3="h",Data!B$3="ph",Data!B$3="mh",Data!$B$3="hm"),Data!B$10="P",Data!B$6=0.625),CONCATENATE(B211," ",A211),"")</f>
        <v/>
      </c>
      <c r="E211" s="30" t="str">
        <f t="shared" si="2"/>
        <v/>
      </c>
    </row>
    <row r="212" spans="1:5">
      <c r="A212" s="253" t="s">
        <v>459</v>
      </c>
      <c r="B212" s="46" t="s">
        <v>532</v>
      </c>
      <c r="C212" s="253">
        <v>205</v>
      </c>
      <c r="D212" s="30" t="str">
        <f>IF(AND(OR(Data!B$3="h",Data!B$3="ph",Data!B$3="mh",Data!$B$3="hm"),Data!B$10="P",Data!B$6=1),CONCATENATE(B212," ",A212),"")</f>
        <v/>
      </c>
      <c r="E212" s="30" t="str">
        <f t="shared" si="2"/>
        <v/>
      </c>
    </row>
    <row r="213" spans="1:5">
      <c r="A213" s="253" t="s">
        <v>270</v>
      </c>
      <c r="B213" s="46" t="s">
        <v>532</v>
      </c>
      <c r="C213" s="253">
        <v>4705</v>
      </c>
      <c r="D213" s="30" t="str">
        <f>IF(AND(OR(Data!B$3="h",Data!B$3="ph",Data!B$3="mh",Data!$B$3="hm"),Data!B$10="P",Data!B$6=10),CONCATENATE(B213," ",A213),"")</f>
        <v/>
      </c>
      <c r="E213" s="30" t="str">
        <f t="shared" si="2"/>
        <v/>
      </c>
    </row>
    <row r="214" spans="1:5">
      <c r="A214" s="253" t="s">
        <v>460</v>
      </c>
      <c r="B214" s="46" t="s">
        <v>532</v>
      </c>
      <c r="C214" s="253">
        <v>270</v>
      </c>
      <c r="D214" s="30" t="str">
        <f>IF(AND(OR(Data!B$3="h",Data!B$3="ph",Data!B$3="mh",Data!$B$3="hm"),Data!B$10="P",Data!B$6=1.375),CONCATENATE(B214," ",A214),"")</f>
        <v/>
      </c>
      <c r="E214" s="30" t="str">
        <f t="shared" si="2"/>
        <v/>
      </c>
    </row>
    <row r="215" spans="1:5">
      <c r="A215" s="253" t="s">
        <v>215</v>
      </c>
      <c r="B215" s="46" t="s">
        <v>532</v>
      </c>
      <c r="C215" s="253">
        <v>334</v>
      </c>
      <c r="D215" s="30" t="str">
        <f>IF(AND(OR(Data!B$3="h",Data!B$3="ph",Data!B$3="mh",Data!$B$3="hm"),Data!B$10="P",Data!B$6=1.75),CONCATENATE(B215," ",A215),"")</f>
        <v/>
      </c>
      <c r="E215" s="30" t="str">
        <f t="shared" si="2"/>
        <v/>
      </c>
    </row>
    <row r="216" spans="1:5">
      <c r="A216" s="253" t="s">
        <v>340</v>
      </c>
      <c r="B216" s="46" t="s">
        <v>532</v>
      </c>
      <c r="C216" s="253">
        <v>409</v>
      </c>
      <c r="D216" s="30" t="str">
        <f>IF(AND(OR(Data!B$3="h",Data!B$3="ph",Data!B$3="mh",Data!$B$3="hm"),Data!B$10="P",Data!B$6=2),CONCATENATE(B216," ",A216),"")</f>
        <v>Hyd Gland Poly Seal Kit KHG20</v>
      </c>
      <c r="E216" s="30">
        <f t="shared" si="2"/>
        <v>409</v>
      </c>
    </row>
    <row r="217" spans="1:5">
      <c r="A217" s="253" t="s">
        <v>150</v>
      </c>
      <c r="B217" s="46" t="s">
        <v>532</v>
      </c>
      <c r="C217" s="253">
        <v>462</v>
      </c>
      <c r="D217" s="30" t="str">
        <f>IF(AND(OR(Data!B$3="h",Data!B$3="ph",Data!B$3="mh",Data!$B$3="hm"),Data!B$10="P",Data!B$6=2.5),CONCATENATE(B217," ",A217),"")</f>
        <v/>
      </c>
      <c r="E217" s="30" t="str">
        <f t="shared" si="2"/>
        <v/>
      </c>
    </row>
    <row r="218" spans="1:5">
      <c r="A218" s="253" t="s">
        <v>151</v>
      </c>
      <c r="B218" s="46" t="s">
        <v>532</v>
      </c>
      <c r="C218" s="253">
        <v>664</v>
      </c>
      <c r="D218" s="30" t="str">
        <f>IF(AND(OR(Data!B$3="h",Data!B$3="ph",Data!B$3="mh",Data!$B$3="hm"),Data!B$10="P",Data!B$6=3),CONCATENATE(B218," ",A218),"")</f>
        <v/>
      </c>
      <c r="E218" s="30" t="str">
        <f t="shared" si="2"/>
        <v/>
      </c>
    </row>
    <row r="219" spans="1:5">
      <c r="A219" s="253" t="s">
        <v>152</v>
      </c>
      <c r="B219" s="46" t="s">
        <v>532</v>
      </c>
      <c r="C219" s="253">
        <v>729</v>
      </c>
      <c r="D219" s="30" t="str">
        <f>IF(AND(OR(Data!B$3="h",Data!B$3="ph",Data!B$3="mh",Data!$B$3="hm"),Data!B$10="P",Data!B$6=3.5),CONCATENATE(B219," ",A219),"")</f>
        <v/>
      </c>
      <c r="E219" s="30" t="str">
        <f t="shared" si="2"/>
        <v/>
      </c>
    </row>
    <row r="220" spans="1:5">
      <c r="A220" s="253" t="s">
        <v>534</v>
      </c>
      <c r="B220" s="46" t="s">
        <v>532</v>
      </c>
      <c r="C220" s="253">
        <v>857</v>
      </c>
      <c r="D220" s="30" t="str">
        <f>IF(AND(OR(Data!B$3="h",Data!B$3="ph",Data!B$3="mh",Data!$B$3="hm"),Data!B$10="P",Data!B$6=4),CONCATENATE(B220," ",A220),"")</f>
        <v/>
      </c>
      <c r="E220" s="30" t="str">
        <f t="shared" si="2"/>
        <v/>
      </c>
    </row>
    <row r="221" spans="1:5">
      <c r="A221" s="253" t="s">
        <v>581</v>
      </c>
      <c r="B221" s="46" t="s">
        <v>532</v>
      </c>
      <c r="C221" s="253">
        <v>1249</v>
      </c>
      <c r="D221" s="30" t="str">
        <f>IF(AND(OR(Data!B$3="h",Data!B$3="ph",Data!B$3="mh",Data!$B$3="hm"),Data!B$10="P",Data!B$6=4.5),CONCATENATE(B221," ",A221),"")</f>
        <v/>
      </c>
      <c r="E221" s="30" t="str">
        <f t="shared" si="2"/>
        <v/>
      </c>
    </row>
    <row r="222" spans="1:5">
      <c r="A222" s="253" t="s">
        <v>673</v>
      </c>
      <c r="B222" s="46" t="s">
        <v>532</v>
      </c>
      <c r="C222" s="253">
        <v>1664</v>
      </c>
      <c r="D222" s="30" t="str">
        <f>IF(AND(OR(Data!B$3="h",Data!B$3="ph",Data!B$3="mh",Data!$B$3="hm"),Data!B$10="P",Data!B$6=5),CONCATENATE(B222," ",A222),"")</f>
        <v/>
      </c>
      <c r="E222" s="30" t="str">
        <f t="shared" si="2"/>
        <v/>
      </c>
    </row>
    <row r="223" spans="1:5">
      <c r="A223" s="253" t="s">
        <v>674</v>
      </c>
      <c r="B223" s="46" t="s">
        <v>532</v>
      </c>
      <c r="C223" s="253">
        <v>1985</v>
      </c>
      <c r="D223" s="30" t="str">
        <f>IF(AND(OR(Data!B$3="h",Data!B$3="ph",Data!B$3="mh",Data!$B$3="hm"),Data!B$10="P",Data!B$6=5.5),CONCATENATE(B223," ",A223),"")</f>
        <v/>
      </c>
      <c r="E223" s="30" t="str">
        <f t="shared" si="2"/>
        <v/>
      </c>
    </row>
    <row r="224" spans="1:5">
      <c r="A224" s="253" t="s">
        <v>590</v>
      </c>
      <c r="B224" s="46" t="s">
        <v>532</v>
      </c>
      <c r="C224" s="253">
        <v>2859</v>
      </c>
      <c r="D224" s="30" t="str">
        <f>IF(AND(OR(Data!B$3="h",Data!B$3="ph",Data!B$3="mh",Data!$B$3="hm"),Data!B$10="P",Data!B$6=7),CONCATENATE(B224," ",A224),"")</f>
        <v/>
      </c>
      <c r="E224" s="30" t="str">
        <f t="shared" si="2"/>
        <v/>
      </c>
    </row>
    <row r="225" spans="1:5">
      <c r="A225" s="253" t="s">
        <v>643</v>
      </c>
      <c r="B225" s="46" t="s">
        <v>532</v>
      </c>
      <c r="C225" s="253">
        <v>3782</v>
      </c>
      <c r="D225" s="30" t="str">
        <f>IF(AND(OR(Data!B$3="h",Data!B$3="ph",Data!B$3="mh",Data!$B$3="hm"),Data!B$10="P",Data!B$6=8),CONCATENATE(B225," ",A225),"")</f>
        <v/>
      </c>
      <c r="E225" s="30" t="str">
        <f t="shared" si="2"/>
        <v/>
      </c>
    </row>
    <row r="226" spans="1:5">
      <c r="A226" s="253" t="s">
        <v>886</v>
      </c>
      <c r="B226" s="46" t="s">
        <v>902</v>
      </c>
      <c r="C226" s="253">
        <v>221</v>
      </c>
      <c r="D226" s="30" t="str">
        <f>IF(AND(OR(Data!B$3="h",Data!B$3="ph",Data!B$3="mh",Data!$B$3="hm"),Data!B$10="H",Data!B$6=0.625),CONCATENATE(B226," ",A226),"")</f>
        <v/>
      </c>
      <c r="E226" s="30" t="str">
        <f t="shared" si="2"/>
        <v/>
      </c>
    </row>
    <row r="227" spans="1:5">
      <c r="A227" s="253" t="s">
        <v>887</v>
      </c>
      <c r="B227" s="46" t="s">
        <v>902</v>
      </c>
      <c r="C227" s="253">
        <v>287</v>
      </c>
      <c r="D227" s="30" t="str">
        <f>IF(AND(OR(Data!B$3="h",Data!B$3="ph",Data!B$3="mh",Data!$B$3="hm"),Data!B$10="H",Data!B$6=1),CONCATENATE(B227," ",A227),"")</f>
        <v/>
      </c>
      <c r="E227" s="30" t="str">
        <f t="shared" si="2"/>
        <v/>
      </c>
    </row>
    <row r="228" spans="1:5">
      <c r="A228" s="253" t="s">
        <v>900</v>
      </c>
      <c r="B228" s="46" t="s">
        <v>902</v>
      </c>
      <c r="C228" s="253">
        <v>6587</v>
      </c>
      <c r="D228" s="30" t="str">
        <f>IF(AND(OR(Data!B$3="h",Data!B$3="ph",Data!B$3="mh",Data!$B$3="hm"),Data!B$10="H",Data!B$6=10),CONCATENATE(B228," ",A228),"")</f>
        <v/>
      </c>
      <c r="E228" s="30" t="str">
        <f t="shared" si="2"/>
        <v/>
      </c>
    </row>
    <row r="229" spans="1:5">
      <c r="A229" s="253" t="s">
        <v>888</v>
      </c>
      <c r="B229" s="46" t="s">
        <v>902</v>
      </c>
      <c r="C229" s="253">
        <v>378</v>
      </c>
      <c r="D229" s="30" t="str">
        <f>IF(AND(OR(Data!B$3="h",Data!B$3="ph",Data!B$3="mh",Data!$B$3="hm"),Data!B$10="H",Data!B$6=1.375),CONCATENATE(B229," ",A229),"")</f>
        <v/>
      </c>
      <c r="E229" s="30" t="str">
        <f t="shared" si="2"/>
        <v/>
      </c>
    </row>
    <row r="230" spans="1:5">
      <c r="A230" s="253" t="s">
        <v>889</v>
      </c>
      <c r="B230" s="46" t="s">
        <v>902</v>
      </c>
      <c r="C230" s="253">
        <v>468</v>
      </c>
      <c r="D230" s="30" t="str">
        <f>IF(AND(OR(Data!B$3="h",Data!B$3="ph",Data!B$3="mh",Data!$B$3="hm"),Data!B$10="H",Data!B$6=1.75),CONCATENATE(B230," ",A230),"")</f>
        <v/>
      </c>
      <c r="E230" s="30" t="str">
        <f t="shared" si="2"/>
        <v/>
      </c>
    </row>
    <row r="231" spans="1:5">
      <c r="A231" s="253" t="s">
        <v>890</v>
      </c>
      <c r="B231" s="46" t="s">
        <v>902</v>
      </c>
      <c r="C231" s="253">
        <v>573</v>
      </c>
      <c r="D231" s="30" t="str">
        <f>IF(AND(OR(Data!B$3="h",Data!B$3="ph",Data!B$3="mh",Data!$B$3="hm"),Data!B$10="H",Data!B$6=2),CONCATENATE(B231," ",A231),"")</f>
        <v/>
      </c>
      <c r="E231" s="30" t="str">
        <f t="shared" si="2"/>
        <v/>
      </c>
    </row>
    <row r="232" spans="1:5">
      <c r="A232" s="253" t="s">
        <v>891</v>
      </c>
      <c r="B232" s="46" t="s">
        <v>902</v>
      </c>
      <c r="C232" s="253">
        <v>646</v>
      </c>
      <c r="D232" s="30" t="str">
        <f>IF(AND(OR(Data!B$3="h",Data!B$3="ph",Data!B$3="mh",Data!$B$3="hm"),Data!B$10="H",Data!B$6=2.5),CONCATENATE(B232," ",A232),"")</f>
        <v/>
      </c>
      <c r="E232" s="30" t="str">
        <f t="shared" si="2"/>
        <v/>
      </c>
    </row>
    <row r="233" spans="1:5">
      <c r="A233" s="253" t="s">
        <v>892</v>
      </c>
      <c r="B233" s="46" t="s">
        <v>902</v>
      </c>
      <c r="C233" s="253">
        <v>930</v>
      </c>
      <c r="D233" s="30" t="str">
        <f>IF(AND(OR(Data!B$3="h",Data!B$3="ph",Data!B$3="mh",Data!$B$3="hm"),Data!B$10="H",Data!B$6=3),CONCATENATE(B233," ",A233),"")</f>
        <v/>
      </c>
      <c r="E233" s="30" t="str">
        <f t="shared" si="2"/>
        <v/>
      </c>
    </row>
    <row r="234" spans="1:5">
      <c r="A234" s="253" t="s">
        <v>893</v>
      </c>
      <c r="B234" s="46" t="s">
        <v>902</v>
      </c>
      <c r="C234" s="253">
        <v>1021</v>
      </c>
      <c r="D234" s="30" t="str">
        <f>IF(AND(OR(Data!B$3="h",Data!B$3="ph",Data!B$3="mh",Data!$B$3="hm"),Data!B$10="H",Data!B$6=3.5),CONCATENATE(B234," ",A234),"")</f>
        <v/>
      </c>
      <c r="E234" s="30" t="str">
        <f t="shared" si="2"/>
        <v/>
      </c>
    </row>
    <row r="235" spans="1:5">
      <c r="A235" s="253" t="s">
        <v>894</v>
      </c>
      <c r="B235" s="46" t="s">
        <v>902</v>
      </c>
      <c r="C235" s="253">
        <v>1199</v>
      </c>
      <c r="D235" s="30" t="str">
        <f>IF(AND(OR(Data!B$3="h",Data!B$3="ph",Data!B$3="mh",Data!$B$3="hm"),Data!B$10="H",Data!B$6=4),CONCATENATE(B235," ",A235),"")</f>
        <v/>
      </c>
      <c r="E235" s="30" t="str">
        <f t="shared" si="2"/>
        <v/>
      </c>
    </row>
    <row r="236" spans="1:5">
      <c r="A236" s="253" t="s">
        <v>895</v>
      </c>
      <c r="B236" s="46" t="s">
        <v>902</v>
      </c>
      <c r="C236" s="253">
        <v>1749</v>
      </c>
      <c r="D236" s="30" t="str">
        <f>IF(AND(OR(Data!B$3="h",Data!B$3="ph",Data!B$3="mh",Data!$B$3="hm"),Data!B$10="H",Data!B$6=4.5),CONCATENATE(B236," ",A236),"")</f>
        <v/>
      </c>
      <c r="E236" s="30" t="str">
        <f t="shared" si="2"/>
        <v/>
      </c>
    </row>
    <row r="237" spans="1:5">
      <c r="A237" s="253" t="s">
        <v>896</v>
      </c>
      <c r="B237" s="46" t="s">
        <v>902</v>
      </c>
      <c r="C237" s="253">
        <v>2330</v>
      </c>
      <c r="D237" s="30" t="str">
        <f>IF(AND(OR(Data!B$3="h",Data!B$3="ph",Data!B$3="mh",Data!$B$3="hm"),Data!B$10="H",Data!B$6=5),CONCATENATE(B237," ",A237),"")</f>
        <v/>
      </c>
      <c r="E237" s="30" t="str">
        <f t="shared" si="2"/>
        <v/>
      </c>
    </row>
    <row r="238" spans="1:5">
      <c r="A238" s="253" t="s">
        <v>897</v>
      </c>
      <c r="B238" s="46" t="s">
        <v>902</v>
      </c>
      <c r="C238" s="253">
        <v>2779</v>
      </c>
      <c r="D238" s="30" t="str">
        <f>IF(AND(OR(Data!B$3="h",Data!B$3="ph",Data!B$3="mh",Data!$B$3="hm"),Data!B$10="H",Data!B$6=5.5),CONCATENATE(B238," ",A238),"")</f>
        <v/>
      </c>
      <c r="E238" s="30" t="str">
        <f t="shared" ref="E238:E301" si="3">IF(D238="","",C238)</f>
        <v/>
      </c>
    </row>
    <row r="239" spans="1:5">
      <c r="A239" s="253" t="s">
        <v>898</v>
      </c>
      <c r="B239" s="46" t="s">
        <v>902</v>
      </c>
      <c r="C239" s="253">
        <v>4003</v>
      </c>
      <c r="D239" s="30" t="str">
        <f>IF(AND(OR(Data!B$3="h",Data!B$3="ph",Data!B$3="mh",Data!$B$3="hm"),Data!B$10="H",Data!B$6=7),CONCATENATE(B239," ",A239),"")</f>
        <v/>
      </c>
      <c r="E239" s="30" t="str">
        <f t="shared" si="3"/>
        <v/>
      </c>
    </row>
    <row r="240" spans="1:5">
      <c r="A240" s="253" t="s">
        <v>899</v>
      </c>
      <c r="B240" s="46" t="s">
        <v>902</v>
      </c>
      <c r="C240" s="253">
        <v>5294</v>
      </c>
      <c r="D240" s="30" t="str">
        <f>IF(AND(OR(Data!B$3="h",Data!B$3="ph",Data!B$3="mh",Data!$B$3="hm"),Data!B$10="H",Data!B$6=8),CONCATENATE(B240," ",A240),"")</f>
        <v/>
      </c>
      <c r="E240" s="30" t="str">
        <f t="shared" si="3"/>
        <v/>
      </c>
    </row>
    <row r="241" spans="1:5">
      <c r="A241" s="253" t="s">
        <v>871</v>
      </c>
      <c r="B241" s="46" t="s">
        <v>901</v>
      </c>
      <c r="C241" s="253">
        <v>221</v>
      </c>
      <c r="D241" s="30" t="str">
        <f>IF(AND(Data!B$10="L",Data!B$6=0.625),CONCATENATE(B241," ",A241),"")</f>
        <v/>
      </c>
      <c r="E241" s="30" t="str">
        <f t="shared" si="3"/>
        <v/>
      </c>
    </row>
    <row r="242" spans="1:5">
      <c r="A242" s="253" t="s">
        <v>872</v>
      </c>
      <c r="B242" s="46" t="s">
        <v>901</v>
      </c>
      <c r="C242" s="253">
        <v>287</v>
      </c>
      <c r="D242" s="30" t="str">
        <f>IF(AND(Data!B$10="L",Data!B$6=1),CONCATENATE(B242," ",A242),"")</f>
        <v/>
      </c>
      <c r="E242" s="30" t="str">
        <f t="shared" si="3"/>
        <v/>
      </c>
    </row>
    <row r="243" spans="1:5">
      <c r="A243" s="253" t="s">
        <v>885</v>
      </c>
      <c r="B243" s="46" t="s">
        <v>901</v>
      </c>
      <c r="C243" s="253">
        <v>6587</v>
      </c>
      <c r="D243" s="30" t="str">
        <f>IF(AND(Data!B$10="L",Data!B$6=10),CONCATENATE(B243," ",A243),"")</f>
        <v/>
      </c>
      <c r="E243" s="30" t="str">
        <f t="shared" si="3"/>
        <v/>
      </c>
    </row>
    <row r="244" spans="1:5">
      <c r="A244" s="253" t="s">
        <v>873</v>
      </c>
      <c r="B244" s="46" t="s">
        <v>901</v>
      </c>
      <c r="C244" s="253">
        <v>378</v>
      </c>
      <c r="D244" s="30" t="str">
        <f>IF(AND(Data!B$10="L",Data!B$6=1.375),CONCATENATE(B244," ",A244),"")</f>
        <v/>
      </c>
      <c r="E244" s="30" t="str">
        <f t="shared" si="3"/>
        <v/>
      </c>
    </row>
    <row r="245" spans="1:5">
      <c r="A245" s="253" t="s">
        <v>874</v>
      </c>
      <c r="B245" s="46" t="s">
        <v>901</v>
      </c>
      <c r="C245" s="253">
        <v>468</v>
      </c>
      <c r="D245" s="30" t="str">
        <f>IF(AND(Data!B$10="L",Data!B$6=1.75),CONCATENATE(B245," ",A245),"")</f>
        <v/>
      </c>
      <c r="E245" s="30" t="str">
        <f t="shared" si="3"/>
        <v/>
      </c>
    </row>
    <row r="246" spans="1:5">
      <c r="A246" s="253" t="s">
        <v>875</v>
      </c>
      <c r="B246" s="46" t="s">
        <v>901</v>
      </c>
      <c r="C246" s="253">
        <v>573</v>
      </c>
      <c r="D246" s="30" t="str">
        <f>IF(AND(Data!B$10="L",Data!B$6=2),CONCATENATE(B246," ",A246),"")</f>
        <v/>
      </c>
      <c r="E246" s="30" t="str">
        <f t="shared" si="3"/>
        <v/>
      </c>
    </row>
    <row r="247" spans="1:5">
      <c r="A247" s="253" t="s">
        <v>876</v>
      </c>
      <c r="B247" s="46" t="s">
        <v>901</v>
      </c>
      <c r="C247" s="253">
        <v>646</v>
      </c>
      <c r="D247" s="30" t="str">
        <f>IF(AND(Data!B$10="L",Data!B$6=2.5),CONCATENATE(B247," ",A247),"")</f>
        <v/>
      </c>
      <c r="E247" s="30" t="str">
        <f t="shared" si="3"/>
        <v/>
      </c>
    </row>
    <row r="248" spans="1:5">
      <c r="A248" s="253" t="s">
        <v>877</v>
      </c>
      <c r="B248" s="46" t="s">
        <v>901</v>
      </c>
      <c r="C248" s="253">
        <v>930</v>
      </c>
      <c r="D248" s="30" t="str">
        <f>IF(AND(Data!B$10="L",Data!B$6=3),CONCATENATE(B248," ",A248),"")</f>
        <v/>
      </c>
      <c r="E248" s="30" t="str">
        <f t="shared" si="3"/>
        <v/>
      </c>
    </row>
    <row r="249" spans="1:5">
      <c r="A249" s="253" t="s">
        <v>878</v>
      </c>
      <c r="B249" s="46" t="s">
        <v>901</v>
      </c>
      <c r="C249" s="253">
        <v>1021</v>
      </c>
      <c r="D249" s="30" t="str">
        <f>IF(AND(Data!B$10="L",Data!B$6=3.5),CONCATENATE(B249," ",A249),"")</f>
        <v/>
      </c>
      <c r="E249" s="30" t="str">
        <f t="shared" si="3"/>
        <v/>
      </c>
    </row>
    <row r="250" spans="1:5">
      <c r="A250" s="253" t="s">
        <v>879</v>
      </c>
      <c r="B250" s="46" t="s">
        <v>901</v>
      </c>
      <c r="C250" s="253">
        <v>1199</v>
      </c>
      <c r="D250" s="30" t="str">
        <f>IF(AND(Data!B$10="L",Data!B$6=4),CONCATENATE(B250," ",A250),"")</f>
        <v/>
      </c>
      <c r="E250" s="30" t="str">
        <f t="shared" si="3"/>
        <v/>
      </c>
    </row>
    <row r="251" spans="1:5">
      <c r="A251" s="253" t="s">
        <v>880</v>
      </c>
      <c r="B251" s="46" t="s">
        <v>901</v>
      </c>
      <c r="C251" s="253">
        <v>1749</v>
      </c>
      <c r="D251" s="30" t="str">
        <f>IF(AND(Data!B$10="L",Data!B$6=4.5),CONCATENATE(B251," ",A251),"")</f>
        <v/>
      </c>
      <c r="E251" s="30" t="str">
        <f t="shared" si="3"/>
        <v/>
      </c>
    </row>
    <row r="252" spans="1:5">
      <c r="A252" s="253" t="s">
        <v>881</v>
      </c>
      <c r="B252" s="46" t="s">
        <v>901</v>
      </c>
      <c r="C252" s="253">
        <v>2330</v>
      </c>
      <c r="D252" s="30" t="str">
        <f>IF(AND(Data!B$10="L",Data!B$6=5),CONCATENATE(B252," ",A252),"")</f>
        <v/>
      </c>
      <c r="E252" s="30" t="str">
        <f t="shared" si="3"/>
        <v/>
      </c>
    </row>
    <row r="253" spans="1:5">
      <c r="A253" s="253" t="s">
        <v>882</v>
      </c>
      <c r="B253" s="46" t="s">
        <v>901</v>
      </c>
      <c r="C253" s="253">
        <v>2779</v>
      </c>
      <c r="D253" s="30" t="str">
        <f>IF(AND(Data!B$10="L",Data!B$6=5.5),CONCATENATE(B253," ",A253),"")</f>
        <v/>
      </c>
      <c r="E253" s="30" t="str">
        <f t="shared" si="3"/>
        <v/>
      </c>
    </row>
    <row r="254" spans="1:5">
      <c r="A254" s="253" t="s">
        <v>883</v>
      </c>
      <c r="B254" s="46" t="s">
        <v>901</v>
      </c>
      <c r="C254" s="253">
        <v>4003</v>
      </c>
      <c r="D254" s="30" t="str">
        <f>IF(AND(Data!B$10="L",Data!B$6=7),CONCATENATE(B254," ",A254),"")</f>
        <v/>
      </c>
      <c r="E254" s="30" t="str">
        <f t="shared" si="3"/>
        <v/>
      </c>
    </row>
    <row r="255" spans="1:5">
      <c r="A255" s="253" t="s">
        <v>884</v>
      </c>
      <c r="B255" s="46" t="s">
        <v>901</v>
      </c>
      <c r="C255" s="253">
        <v>5294</v>
      </c>
      <c r="D255" s="30" t="str">
        <f>IF(AND(Data!B$10="L",Data!B$6=8),CONCATENATE(B255," ",A255),"")</f>
        <v/>
      </c>
      <c r="E255" s="30" t="str">
        <f t="shared" si="3"/>
        <v/>
      </c>
    </row>
    <row r="256" spans="1:5">
      <c r="A256" s="253" t="s">
        <v>535</v>
      </c>
      <c r="B256" s="46" t="s">
        <v>550</v>
      </c>
      <c r="C256" s="253">
        <v>205</v>
      </c>
      <c r="D256" s="30" t="str">
        <f>IF(AND(OR(Data!B$3="h",Data!B$3="ph",Data!B$3="mh",Data!$B$3="hm"),Data!B$10="V",Data!B$6=0.625),CONCATENATE(B256," ",A256),"")</f>
        <v/>
      </c>
      <c r="E256" s="30" t="str">
        <f t="shared" si="3"/>
        <v/>
      </c>
    </row>
    <row r="257" spans="1:5">
      <c r="A257" s="253" t="s">
        <v>639</v>
      </c>
      <c r="B257" s="46" t="s">
        <v>550</v>
      </c>
      <c r="C257" s="253">
        <v>268</v>
      </c>
      <c r="D257" s="30" t="str">
        <f>IF(AND(OR(Data!B$3="h",Data!B$3="ph",Data!B$3="mh",Data!$B$3="hm"),Data!B$10="V",Data!B$6=1),CONCATENATE(B257," ",A257),"")</f>
        <v/>
      </c>
      <c r="E257" s="30" t="str">
        <f t="shared" si="3"/>
        <v/>
      </c>
    </row>
    <row r="258" spans="1:5">
      <c r="A258" s="253" t="s">
        <v>273</v>
      </c>
      <c r="B258" s="253" t="s">
        <v>550</v>
      </c>
      <c r="C258" s="253">
        <v>6118</v>
      </c>
      <c r="D258" s="30" t="str">
        <f>IF(AND(OR(Data!B$3="h",Data!B$3="ph",Data!B$3="mh",Data!$B$3="hm"),Data!B$10="V",Data!B$6=10),CONCATENATE(B258," ",A258),"")</f>
        <v/>
      </c>
      <c r="E258" s="30" t="str">
        <f t="shared" si="3"/>
        <v/>
      </c>
    </row>
    <row r="259" spans="1:5">
      <c r="A259" s="253" t="s">
        <v>219</v>
      </c>
      <c r="B259" s="46" t="s">
        <v>550</v>
      </c>
      <c r="C259" s="253">
        <v>352</v>
      </c>
      <c r="D259" s="30" t="str">
        <f>IF(AND(OR(Data!B$3="h",Data!B$3="ph",Data!B$3="mh",Data!$B$3="hm"),Data!B$10="V",Data!B$6=1.375),CONCATENATE(B259," ",A259),"")</f>
        <v/>
      </c>
      <c r="E259" s="30" t="str">
        <f t="shared" si="3"/>
        <v/>
      </c>
    </row>
    <row r="260" spans="1:5">
      <c r="A260" s="253" t="s">
        <v>107</v>
      </c>
      <c r="B260" s="46" t="s">
        <v>550</v>
      </c>
      <c r="C260" s="253">
        <v>435</v>
      </c>
      <c r="D260" s="30" t="str">
        <f>IF(AND(OR(Data!B$3="h",Data!B$3="ph",Data!B$3="mh",Data!$B$3="hm"),Data!B$10="V",Data!B$6=1.75),CONCATENATE(B260," ",A260),"")</f>
        <v/>
      </c>
      <c r="E260" s="30" t="str">
        <f t="shared" si="3"/>
        <v/>
      </c>
    </row>
    <row r="261" spans="1:5">
      <c r="A261" s="253" t="s">
        <v>193</v>
      </c>
      <c r="B261" s="46" t="s">
        <v>550</v>
      </c>
      <c r="C261" s="253">
        <v>533</v>
      </c>
      <c r="D261" s="30" t="str">
        <f>IF(AND(OR(Data!B$3="h",Data!B$3="ph",Data!B$3="mh",Data!$B$3="hm"),Data!B$10="V",Data!B$6=2),CONCATENATE(B261," ",A261),"")</f>
        <v/>
      </c>
      <c r="E261" s="30" t="str">
        <f t="shared" si="3"/>
        <v/>
      </c>
    </row>
    <row r="262" spans="1:5">
      <c r="A262" s="253" t="s">
        <v>194</v>
      </c>
      <c r="B262" s="46" t="s">
        <v>550</v>
      </c>
      <c r="C262" s="253">
        <v>600</v>
      </c>
      <c r="D262" s="30" t="str">
        <f>IF(AND(OR(Data!B$3="h",Data!B$3="ph",Data!B$3="mh",Data!$B$3="hm"),Data!B$10="V",Data!B$6=2.5),CONCATENATE(B262," ",A262),"")</f>
        <v/>
      </c>
      <c r="E262" s="30" t="str">
        <f t="shared" si="3"/>
        <v/>
      </c>
    </row>
    <row r="263" spans="1:5">
      <c r="A263" s="253" t="s">
        <v>491</v>
      </c>
      <c r="B263" s="46" t="s">
        <v>550</v>
      </c>
      <c r="C263" s="253">
        <v>864</v>
      </c>
      <c r="D263" s="30" t="str">
        <f>IF(AND(OR(Data!B$3="h",Data!B$3="ph",Data!B$3="mh",Data!$B$3="hm"),Data!B$10="V",Data!B$6=3),CONCATENATE(B263," ",A263),"")</f>
        <v/>
      </c>
      <c r="E263" s="30" t="str">
        <f t="shared" si="3"/>
        <v/>
      </c>
    </row>
    <row r="264" spans="1:5">
      <c r="A264" s="253" t="s">
        <v>161</v>
      </c>
      <c r="B264" s="46" t="s">
        <v>550</v>
      </c>
      <c r="C264" s="253">
        <v>948</v>
      </c>
      <c r="D264" s="30" t="str">
        <f>IF(AND(OR(Data!B$3="h",Data!B$3="ph",Data!B$3="mh",Data!$B$3="hm"),Data!B$10="V",Data!B$6=3.5),CONCATENATE(B264," ",A264),"")</f>
        <v/>
      </c>
      <c r="E264" s="30" t="str">
        <f t="shared" si="3"/>
        <v/>
      </c>
    </row>
    <row r="265" spans="1:5">
      <c r="A265" s="253" t="s">
        <v>549</v>
      </c>
      <c r="B265" s="46" t="s">
        <v>550</v>
      </c>
      <c r="C265" s="253">
        <v>1114</v>
      </c>
      <c r="D265" s="30" t="str">
        <f>IF(AND(OR(Data!B$3="h",Data!B$3="ph",Data!B$3="mh",Data!$B$3="hm"),Data!B$10="V",Data!B$6=4),CONCATENATE(B265," ",A265),"")</f>
        <v/>
      </c>
      <c r="E265" s="30" t="str">
        <f t="shared" si="3"/>
        <v/>
      </c>
    </row>
    <row r="266" spans="1:5">
      <c r="A266" s="253" t="s">
        <v>582</v>
      </c>
      <c r="B266" s="46" t="s">
        <v>550</v>
      </c>
      <c r="C266" s="253">
        <v>1624</v>
      </c>
      <c r="D266" s="30" t="str">
        <f>IF(AND(OR(Data!B$3="h",Data!B$3="ph",Data!B$3="mh",Data!$B$3="hm"),Data!B$10="V",Data!B$6=4.5),CONCATENATE(B266," ",A266),"")</f>
        <v/>
      </c>
      <c r="E266" s="30" t="str">
        <f t="shared" si="3"/>
        <v/>
      </c>
    </row>
    <row r="267" spans="1:5">
      <c r="A267" s="253" t="s">
        <v>675</v>
      </c>
      <c r="B267" s="46" t="s">
        <v>550</v>
      </c>
      <c r="C267" s="253">
        <v>2164</v>
      </c>
      <c r="D267" s="30" t="str">
        <f>IF(AND(OR(Data!B$3="h",Data!B$3="ph",Data!B$3="mh",Data!$B$3="hm"),Data!B$10="V",Data!B$6=5),CONCATENATE(B267," ",A267),"")</f>
        <v/>
      </c>
      <c r="E267" s="30" t="str">
        <f t="shared" si="3"/>
        <v/>
      </c>
    </row>
    <row r="268" spans="1:5">
      <c r="A268" s="253" t="s">
        <v>676</v>
      </c>
      <c r="B268" s="46" t="s">
        <v>550</v>
      </c>
      <c r="C268" s="253">
        <v>2582</v>
      </c>
      <c r="D268" s="30" t="str">
        <f>IF(AND(OR(Data!B$3="h",Data!B$3="ph",Data!B$3="mh",Data!$B$3="hm"),Data!B$10="V",Data!B$6=5.5),CONCATENATE(B268," ",A268),"")</f>
        <v/>
      </c>
      <c r="E268" s="30" t="str">
        <f t="shared" si="3"/>
        <v/>
      </c>
    </row>
    <row r="269" spans="1:5">
      <c r="A269" s="253" t="s">
        <v>271</v>
      </c>
      <c r="B269" s="46" t="s">
        <v>550</v>
      </c>
      <c r="C269" s="253">
        <v>3718</v>
      </c>
      <c r="D269" s="30" t="str">
        <f>IF(AND(OR(Data!B$3="h",Data!B$3="ph",Data!B$3="mh",Data!$B$3="hm"),Data!B$10="V",Data!B$6=7),CONCATENATE(B269," ",A269),"")</f>
        <v/>
      </c>
      <c r="E269" s="30" t="str">
        <f t="shared" si="3"/>
        <v/>
      </c>
    </row>
    <row r="270" spans="1:5">
      <c r="A270" s="253" t="s">
        <v>272</v>
      </c>
      <c r="B270" s="253" t="s">
        <v>550</v>
      </c>
      <c r="C270" s="253">
        <v>4917</v>
      </c>
      <c r="D270" s="30" t="str">
        <f>IF(AND(OR(Data!B$3="h",Data!B$3="ph",Data!B$3="mh",Data!$B$3="hm"),Data!B$10="V",Data!B$6=8),CONCATENATE(B270," ",A270),"")</f>
        <v/>
      </c>
      <c r="E270" s="30" t="str">
        <f t="shared" si="3"/>
        <v/>
      </c>
    </row>
    <row r="271" spans="1:5">
      <c r="A271" s="253" t="s">
        <v>143</v>
      </c>
      <c r="B271" s="253" t="s">
        <v>630</v>
      </c>
      <c r="C271" s="253">
        <v>892</v>
      </c>
      <c r="D271" s="30" t="str">
        <f>IF(AND(OR(Data!B$3="h",Data!B$3="ph",Data!B$3="mh",Data!$B$3="hm"),Data!B$10="P",Data!B$4=10),CONCATENATE(B271," ",A271),"")</f>
        <v/>
      </c>
      <c r="E271" s="30" t="str">
        <f t="shared" si="3"/>
        <v/>
      </c>
    </row>
    <row r="272" spans="1:5">
      <c r="A272" s="253" t="s">
        <v>268</v>
      </c>
      <c r="B272" s="253" t="s">
        <v>630</v>
      </c>
      <c r="C272" s="253">
        <v>1162</v>
      </c>
      <c r="D272" s="30" t="str">
        <f>IF(AND(OR(Data!B$3="h",Data!B$3="ph",Data!B$3="mh",Data!$B$3="hm"),Data!B$10="P",Data!B$4=12),CONCATENATE(B272," ",A272),"")</f>
        <v/>
      </c>
      <c r="E272" s="30" t="str">
        <f t="shared" si="3"/>
        <v/>
      </c>
    </row>
    <row r="273" spans="1:5">
      <c r="A273" s="253" t="s">
        <v>274</v>
      </c>
      <c r="B273" s="253" t="s">
        <v>630</v>
      </c>
      <c r="C273" s="253">
        <v>1425</v>
      </c>
      <c r="D273" s="30" t="str">
        <f>IF(AND(OR(Data!B$3="h",Data!B$3="ph",Data!B$3="mh",Data!$B$3="hm"),Data!B$10="P",Data!B$4=14),CONCATENATE(B273," ",A273),"")</f>
        <v/>
      </c>
      <c r="E273" s="30" t="str">
        <f t="shared" si="3"/>
        <v/>
      </c>
    </row>
    <row r="274" spans="1:5">
      <c r="A274" s="253" t="s">
        <v>253</v>
      </c>
      <c r="B274" s="253" t="s">
        <v>630</v>
      </c>
      <c r="C274" s="253">
        <v>62</v>
      </c>
      <c r="D274" s="30" t="str">
        <f>IF(AND(OR(Data!B$3="h",Data!B$3="ph",Data!B$3="mh",Data!$B$3="hm"),Data!B$10="P",Data!B$4=1.5),CONCATENATE(B274," ",A274),"")</f>
        <v/>
      </c>
      <c r="E274" s="30" t="str">
        <f t="shared" si="3"/>
        <v/>
      </c>
    </row>
    <row r="275" spans="1:5">
      <c r="A275" s="253" t="s">
        <v>275</v>
      </c>
      <c r="B275" s="253" t="s">
        <v>630</v>
      </c>
      <c r="C275" s="253">
        <v>1750</v>
      </c>
      <c r="D275" s="30" t="str">
        <f>IF(AND(OR(Data!B$3="h",Data!B$3="ph",Data!B$3="mh",Data!$B$3="hm"),Data!B$10="P",Data!B$4=16),CONCATENATE(B275," ",A275),"")</f>
        <v/>
      </c>
      <c r="E275" s="30" t="str">
        <f t="shared" si="3"/>
        <v/>
      </c>
    </row>
    <row r="276" spans="1:5">
      <c r="A276" s="253" t="s">
        <v>276</v>
      </c>
      <c r="B276" s="253" t="s">
        <v>630</v>
      </c>
      <c r="C276" s="253">
        <v>2000</v>
      </c>
      <c r="D276" s="30" t="str">
        <f>IF(AND(OR(Data!B$3="h",Data!B$3="ph",Data!B$3="mh",Data!$B$3="hm"),Data!B$10="P",Data!B$4=18),CONCATENATE(B276," ",A276),"")</f>
        <v/>
      </c>
      <c r="E276" s="30" t="str">
        <f t="shared" si="3"/>
        <v/>
      </c>
    </row>
    <row r="277" spans="1:5">
      <c r="A277" s="253" t="s">
        <v>496</v>
      </c>
      <c r="B277" s="253" t="s">
        <v>630</v>
      </c>
      <c r="C277" s="253">
        <v>75</v>
      </c>
      <c r="D277" s="30" t="str">
        <f>IF(AND(OR(Data!B$3="h",Data!B$3="ph",Data!B$3="mh",Data!$B$3="hm"),Data!B$10="P",Data!B$4=2),CONCATENATE(B277," ",A277),"")</f>
        <v/>
      </c>
      <c r="E277" s="30" t="str">
        <f t="shared" si="3"/>
        <v/>
      </c>
    </row>
    <row r="278" spans="1:5">
      <c r="A278" s="253" t="s">
        <v>267</v>
      </c>
      <c r="B278" s="253" t="s">
        <v>630</v>
      </c>
      <c r="C278" s="253">
        <v>2750</v>
      </c>
      <c r="D278" s="30" t="str">
        <f>IF(AND(OR(Data!B$3="h",Data!B$3="ph",Data!B$3="mh",Data!$B$3="hm"),Data!B$10="P",Data!B$4=20),CONCATENATE(B278," ",A278),"")</f>
        <v/>
      </c>
      <c r="E278" s="30" t="str">
        <f t="shared" si="3"/>
        <v/>
      </c>
    </row>
    <row r="279" spans="1:5">
      <c r="A279" s="253" t="s">
        <v>252</v>
      </c>
      <c r="B279" s="253" t="s">
        <v>630</v>
      </c>
      <c r="C279" s="253">
        <v>88</v>
      </c>
      <c r="D279" s="30" t="str">
        <f>IF(AND(OR(Data!B$3="h",Data!B$3="ph",Data!B$3="mh",Data!$B$3="hm"),Data!B$10="P",Data!B$4=2.5),CONCATENATE(B279," ",A279),"")</f>
        <v/>
      </c>
      <c r="E279" s="30" t="str">
        <f t="shared" si="3"/>
        <v/>
      </c>
    </row>
    <row r="280" spans="1:5">
      <c r="A280" s="253" t="s">
        <v>433</v>
      </c>
      <c r="B280" s="253" t="s">
        <v>630</v>
      </c>
      <c r="C280" s="253">
        <v>120</v>
      </c>
      <c r="D280" s="30" t="str">
        <f>IF(AND(OR(Data!B$3="h",Data!B$3="ph",Data!B$3="mh",Data!$B$3="hm"),Data!B$10="P",Data!B$4=3.25),CONCATENATE(B280," ",A280),"")</f>
        <v/>
      </c>
      <c r="E280" s="30" t="str">
        <f t="shared" si="3"/>
        <v/>
      </c>
    </row>
    <row r="281" spans="1:5">
      <c r="A281" s="253" t="s">
        <v>4</v>
      </c>
      <c r="B281" s="253" t="s">
        <v>630</v>
      </c>
      <c r="C281" s="253">
        <v>144</v>
      </c>
      <c r="D281" s="30" t="str">
        <f>IF(AND(OR(Data!B$3="h",Data!B$3="ph",Data!B$3="mh",Data!$B$3="hm"),Data!B$10="P",Data!B$4=4),CONCATENATE(B281," ",A281),"")</f>
        <v/>
      </c>
      <c r="E281" s="30" t="str">
        <f t="shared" si="3"/>
        <v/>
      </c>
    </row>
    <row r="282" spans="1:5">
      <c r="A282" s="253" t="s">
        <v>836</v>
      </c>
      <c r="B282" s="253" t="s">
        <v>630</v>
      </c>
      <c r="C282" s="253">
        <v>233</v>
      </c>
      <c r="D282" s="30" t="str">
        <f>IF(AND(OR(Data!B$3="h",Data!B$3="ph",Data!B$3="mh",Data!$B$3="hm"),Data!B$10="P",Data!B$4=5),CONCATENATE(B282," ",A282),"")</f>
        <v>Hyd Piston Poly Seal Kit KHP50</v>
      </c>
      <c r="E282" s="30">
        <f t="shared" si="3"/>
        <v>233</v>
      </c>
    </row>
    <row r="283" spans="1:5">
      <c r="A283" s="253" t="s">
        <v>105</v>
      </c>
      <c r="B283" s="253" t="s">
        <v>630</v>
      </c>
      <c r="C283" s="253">
        <v>358</v>
      </c>
      <c r="D283" s="30" t="str">
        <f>IF(AND(OR(Data!B$3="h",Data!B$3="ph",Data!B$3="mh",Data!$B$3="hm"),Data!B$10="P",Data!B$4=6),CONCATENATE(B283," ",A283),"")</f>
        <v/>
      </c>
      <c r="E283" s="30" t="str">
        <f t="shared" si="3"/>
        <v/>
      </c>
    </row>
    <row r="284" spans="1:5">
      <c r="A284" s="253" t="s">
        <v>250</v>
      </c>
      <c r="B284" s="253" t="s">
        <v>630</v>
      </c>
      <c r="C284" s="253">
        <v>484</v>
      </c>
      <c r="D284" s="30" t="str">
        <f>IF(AND(OR(Data!B$3="h",Data!B$3="ph",Data!B$3="mh",Data!$B$3="hm"),Data!B$10="P",Data!B$4=7),CONCATENATE(B284," ",A284),"")</f>
        <v/>
      </c>
      <c r="E284" s="30" t="str">
        <f t="shared" si="3"/>
        <v/>
      </c>
    </row>
    <row r="285" spans="1:5">
      <c r="A285" s="253" t="s">
        <v>475</v>
      </c>
      <c r="B285" s="253" t="s">
        <v>630</v>
      </c>
      <c r="C285" s="253">
        <v>554</v>
      </c>
      <c r="D285" s="30" t="str">
        <f>IF(AND(OR(Data!B$3="h",Data!B$3="ph",Data!B$3="mh",Data!$B$3="hm"),Data!B$10="P",Data!B$4=8),CONCATENATE(B285," ",A285),"")</f>
        <v/>
      </c>
      <c r="E285" s="30" t="str">
        <f t="shared" si="3"/>
        <v/>
      </c>
    </row>
    <row r="286" spans="1:5">
      <c r="A286" s="253" t="s">
        <v>944</v>
      </c>
      <c r="B286" s="46" t="s">
        <v>934</v>
      </c>
      <c r="C286" s="253">
        <v>1070</v>
      </c>
      <c r="D286" s="30" t="str">
        <f>IF(AND(OR(Data!B$3="h",Data!B$3="ph",Data!B$3="mh",Data!$B$3="hm"),Data!B$10="C",Data!B$4=10),CONCATENATE(B286," ",A286),"")</f>
        <v/>
      </c>
      <c r="E286" s="30" t="str">
        <f t="shared" si="3"/>
        <v/>
      </c>
    </row>
    <row r="287" spans="1:5">
      <c r="A287" s="253" t="s">
        <v>945</v>
      </c>
      <c r="B287" s="46" t="s">
        <v>934</v>
      </c>
      <c r="C287" s="253">
        <v>1394</v>
      </c>
      <c r="D287" s="30" t="str">
        <f>IF(AND(OR(Data!B$3="h",Data!B$3="ph",Data!B$3="mh",Data!$B$3="hm"),Data!B$10="C",Data!B$4=12),CONCATENATE(B287," ",A287),"")</f>
        <v/>
      </c>
      <c r="E287" s="30" t="str">
        <f t="shared" si="3"/>
        <v/>
      </c>
    </row>
    <row r="288" spans="1:5">
      <c r="A288" s="253" t="s">
        <v>946</v>
      </c>
      <c r="B288" s="46" t="s">
        <v>934</v>
      </c>
      <c r="C288" s="253">
        <v>1710</v>
      </c>
      <c r="D288" s="30" t="str">
        <f>IF(AND(OR(Data!B$3="h",Data!B$3="ph",Data!B$3="mh",Data!$B$3="hm"),Data!B$10="C",Data!B$4=14),CONCATENATE(B288," ",A288),"")</f>
        <v/>
      </c>
      <c r="E288" s="30" t="str">
        <f t="shared" si="3"/>
        <v/>
      </c>
    </row>
    <row r="289" spans="1:5">
      <c r="A289" s="253" t="s">
        <v>935</v>
      </c>
      <c r="B289" s="253" t="s">
        <v>934</v>
      </c>
      <c r="C289" s="253">
        <v>74</v>
      </c>
      <c r="D289" s="30" t="str">
        <f>IF(AND(OR(Data!B$3="h",Data!B$3="ph",Data!B$3="mh",Data!$B$3="hm"),Data!B$10="C",Data!B$4=1.5),CONCATENATE(B289," ",A289),"")</f>
        <v/>
      </c>
      <c r="E289" s="30" t="str">
        <f t="shared" si="3"/>
        <v/>
      </c>
    </row>
    <row r="290" spans="1:5">
      <c r="A290" s="253" t="s">
        <v>947</v>
      </c>
      <c r="B290" s="46" t="s">
        <v>934</v>
      </c>
      <c r="C290" s="253">
        <v>2100</v>
      </c>
      <c r="D290" s="30" t="str">
        <f>IF(AND(OR(Data!B$3="h",Data!B$3="ph",Data!B$3="mh",Data!$B$3="hm"),Data!B$10="C",Data!B$4=16),CONCATENATE(B290," ",A290),"")</f>
        <v/>
      </c>
      <c r="E290" s="30" t="str">
        <f t="shared" si="3"/>
        <v/>
      </c>
    </row>
    <row r="291" spans="1:5">
      <c r="A291" s="253" t="s">
        <v>948</v>
      </c>
      <c r="B291" s="46" t="s">
        <v>934</v>
      </c>
      <c r="C291" s="253">
        <v>2400</v>
      </c>
      <c r="D291" s="30" t="str">
        <f>IF(AND(OR(Data!B$3="h",Data!B$3="ph",Data!B$3="mh",Data!$B$3="hm"),Data!B$10="C",Data!B$4=18),CONCATENATE(B291," ",A291),"")</f>
        <v/>
      </c>
      <c r="E291" s="30" t="str">
        <f t="shared" si="3"/>
        <v/>
      </c>
    </row>
    <row r="292" spans="1:5">
      <c r="A292" s="253" t="s">
        <v>936</v>
      </c>
      <c r="B292" s="253" t="s">
        <v>934</v>
      </c>
      <c r="C292" s="253">
        <v>90</v>
      </c>
      <c r="D292" s="30" t="str">
        <f>IF(AND(OR(Data!B$3="h",Data!B$3="ph",Data!B$3="mh",Data!$B$3="hm"),Data!B$10="C",Data!B$4=2),CONCATENATE(B292," ",A292),"")</f>
        <v/>
      </c>
      <c r="E292" s="30" t="str">
        <f t="shared" si="3"/>
        <v/>
      </c>
    </row>
    <row r="293" spans="1:5">
      <c r="A293" s="253" t="s">
        <v>949</v>
      </c>
      <c r="B293" s="46" t="s">
        <v>934</v>
      </c>
      <c r="C293" s="253">
        <v>3300</v>
      </c>
      <c r="D293" s="30" t="str">
        <f>IF(AND(OR(Data!B$3="h",Data!B$3="ph",Data!B$3="mh",Data!$B$3="hm"),Data!B$10="C",Data!B$4=20),CONCATENATE(B293," ",A293),"")</f>
        <v/>
      </c>
      <c r="E293" s="30" t="str">
        <f t="shared" si="3"/>
        <v/>
      </c>
    </row>
    <row r="294" spans="1:5">
      <c r="A294" s="253" t="s">
        <v>937</v>
      </c>
      <c r="B294" s="253" t="s">
        <v>934</v>
      </c>
      <c r="C294" s="253">
        <v>105</v>
      </c>
      <c r="D294" s="30" t="str">
        <f>IF(AND(OR(Data!B$3="h",Data!B$3="ph",Data!B$3="mh",Data!$B$3="hm"),Data!B$10="C",Data!B$4=2.5),CONCATENATE(B294," ",A294),"")</f>
        <v/>
      </c>
      <c r="E294" s="30" t="str">
        <f t="shared" si="3"/>
        <v/>
      </c>
    </row>
    <row r="295" spans="1:5">
      <c r="A295" s="253" t="s">
        <v>938</v>
      </c>
      <c r="B295" s="253" t="s">
        <v>934</v>
      </c>
      <c r="C295" s="253">
        <v>144</v>
      </c>
      <c r="D295" s="30" t="str">
        <f>IF(AND(OR(Data!B$3="h",Data!B$3="ph",Data!B$3="mh",Data!$B$3="hm"),Data!B$10="C",Data!B$4=3.25),CONCATENATE(B295," ",A295),"")</f>
        <v/>
      </c>
      <c r="E295" s="30" t="str">
        <f t="shared" si="3"/>
        <v/>
      </c>
    </row>
    <row r="296" spans="1:5">
      <c r="A296" s="253" t="s">
        <v>939</v>
      </c>
      <c r="B296" s="253" t="s">
        <v>934</v>
      </c>
      <c r="C296" s="253">
        <v>173</v>
      </c>
      <c r="D296" s="30" t="str">
        <f>IF(AND(OR(Data!B$3="h",Data!B$3="ph",Data!B$3="mh",Data!$B$3="hm"),Data!B$10="C",Data!B$4=4),CONCATENATE(B296," ",A296),"")</f>
        <v/>
      </c>
      <c r="E296" s="30" t="str">
        <f t="shared" si="3"/>
        <v/>
      </c>
    </row>
    <row r="297" spans="1:5">
      <c r="A297" s="253" t="s">
        <v>940</v>
      </c>
      <c r="B297" s="253" t="s">
        <v>934</v>
      </c>
      <c r="C297" s="253">
        <v>279</v>
      </c>
      <c r="D297" s="30" t="str">
        <f>IF(AND(OR(Data!B$3="h",Data!B$3="ph",Data!B$3="mh",Data!$B$3="hm"),Data!B$10="C",Data!B$4=5),CONCATENATE(B297," ",A297),"")</f>
        <v/>
      </c>
      <c r="E297" s="30" t="str">
        <f t="shared" si="3"/>
        <v/>
      </c>
    </row>
    <row r="298" spans="1:5">
      <c r="A298" s="253" t="s">
        <v>941</v>
      </c>
      <c r="B298" s="253" t="s">
        <v>934</v>
      </c>
      <c r="C298" s="253">
        <v>429</v>
      </c>
      <c r="D298" s="30" t="str">
        <f>IF(AND(OR(Data!B$3="h",Data!B$3="ph",Data!B$3="mh",Data!$B$3="hm"),Data!B$10="C",Data!B$4=6),CONCATENATE(B298," ",A298),"")</f>
        <v/>
      </c>
      <c r="E298" s="30" t="str">
        <f t="shared" si="3"/>
        <v/>
      </c>
    </row>
    <row r="299" spans="1:5">
      <c r="A299" s="253" t="s">
        <v>942</v>
      </c>
      <c r="B299" s="253" t="s">
        <v>934</v>
      </c>
      <c r="C299" s="253">
        <v>581</v>
      </c>
      <c r="D299" s="30" t="str">
        <f>IF(AND(OR(Data!B$3="h",Data!B$3="ph",Data!B$3="mh",Data!$B$3="hm"),Data!B$10="C",Data!B$4=7),CONCATENATE(B299," ",A299),"")</f>
        <v/>
      </c>
      <c r="E299" s="30" t="str">
        <f t="shared" si="3"/>
        <v/>
      </c>
    </row>
    <row r="300" spans="1:5">
      <c r="A300" s="253" t="s">
        <v>943</v>
      </c>
      <c r="B300" s="46" t="s">
        <v>934</v>
      </c>
      <c r="C300" s="253">
        <v>665</v>
      </c>
      <c r="D300" s="30" t="str">
        <f>IF(AND(OR(Data!B$3="h",Data!B$3="ph",Data!B$3="mh",Data!$B$3="hm"),Data!B$10="C",Data!B$4=8),CONCATENATE(B300," ",A300),"")</f>
        <v/>
      </c>
      <c r="E300" s="30" t="str">
        <f t="shared" si="3"/>
        <v/>
      </c>
    </row>
    <row r="301" spans="1:5">
      <c r="A301" s="253" t="s">
        <v>913</v>
      </c>
      <c r="B301" s="253" t="s">
        <v>903</v>
      </c>
      <c r="C301" s="253">
        <v>1177</v>
      </c>
      <c r="D301" s="30" t="str">
        <f>IF(AND(OR(Data!B$3="h",Data!B$3="ph",Data!B$3="mh",Data!$B$3="hm"),Data!B$10="H",Data!B$4=10),CONCATENATE(B301," ",A301),"")</f>
        <v/>
      </c>
      <c r="E301" s="30" t="str">
        <f t="shared" si="3"/>
        <v/>
      </c>
    </row>
    <row r="302" spans="1:5">
      <c r="A302" s="253" t="s">
        <v>914</v>
      </c>
      <c r="B302" s="253" t="s">
        <v>903</v>
      </c>
      <c r="C302" s="253">
        <v>1533</v>
      </c>
      <c r="D302" s="30" t="str">
        <f>IF(AND(OR(Data!B$3="h",Data!B$3="ph",Data!B$3="mh",Data!$B$3="hm"),Data!B$10="H",Data!B$4=12),CONCATENATE(B302," ",A302),"")</f>
        <v/>
      </c>
      <c r="E302" s="30" t="str">
        <f t="shared" ref="E302:E365" si="4">IF(D302="","",C302)</f>
        <v/>
      </c>
    </row>
    <row r="303" spans="1:5">
      <c r="A303" s="253" t="s">
        <v>915</v>
      </c>
      <c r="B303" s="253" t="s">
        <v>903</v>
      </c>
      <c r="C303" s="253">
        <v>1881</v>
      </c>
      <c r="D303" s="30" t="str">
        <f>IF(AND(OR(Data!B$3="h",Data!B$3="ph",Data!B$3="mh",Data!$B$3="hm"),Data!B$10="H",Data!B$4=14),CONCATENATE(B303," ",A303),"")</f>
        <v/>
      </c>
      <c r="E303" s="30" t="str">
        <f t="shared" si="4"/>
        <v/>
      </c>
    </row>
    <row r="304" spans="1:5">
      <c r="A304" s="253" t="s">
        <v>904</v>
      </c>
      <c r="B304" s="253" t="s">
        <v>903</v>
      </c>
      <c r="C304" s="253">
        <v>81</v>
      </c>
      <c r="D304" s="30" t="str">
        <f>IF(AND(OR(Data!B$3="h",Data!B$3="ph",Data!B$3="mh",Data!$B$3="hm"),Data!B$10="H",Data!B$4=1.5),CONCATENATE(B304," ",A304),"")</f>
        <v/>
      </c>
      <c r="E304" s="30" t="str">
        <f t="shared" si="4"/>
        <v/>
      </c>
    </row>
    <row r="305" spans="1:5">
      <c r="A305" s="253" t="s">
        <v>916</v>
      </c>
      <c r="B305" s="253" t="s">
        <v>903</v>
      </c>
      <c r="C305" s="253">
        <v>2310</v>
      </c>
      <c r="D305" s="30" t="str">
        <f>IF(AND(OR(Data!B$3="h",Data!B$3="ph",Data!B$3="mh",Data!$B$3="hm"),Data!B$10="H",Data!B$4=16),CONCATENATE(B305," ",A305),"")</f>
        <v/>
      </c>
      <c r="E305" s="30" t="str">
        <f t="shared" si="4"/>
        <v/>
      </c>
    </row>
    <row r="306" spans="1:5">
      <c r="A306" s="253" t="s">
        <v>917</v>
      </c>
      <c r="B306" s="253" t="s">
        <v>903</v>
      </c>
      <c r="C306" s="253">
        <v>2640</v>
      </c>
      <c r="D306" s="30" t="str">
        <f>IF(AND(OR(Data!B$3="h",Data!B$3="ph",Data!B$3="mh",Data!$B$3="hm"),Data!B$10="H",Data!B$4=18),CONCATENATE(B306," ",A306),"")</f>
        <v/>
      </c>
      <c r="E306" s="30" t="str">
        <f t="shared" si="4"/>
        <v/>
      </c>
    </row>
    <row r="307" spans="1:5">
      <c r="A307" s="253" t="s">
        <v>905</v>
      </c>
      <c r="B307" s="253" t="s">
        <v>903</v>
      </c>
      <c r="C307" s="253">
        <v>99</v>
      </c>
      <c r="D307" s="30" t="str">
        <f>IF(AND(OR(Data!B$3="h",Data!B$3="ph",Data!B$3="mh",Data!$B$3="hm"),Data!B$10="H",Data!B$4=2),CONCATENATE(B307," ",A307),"")</f>
        <v/>
      </c>
      <c r="E307" s="30" t="str">
        <f t="shared" si="4"/>
        <v/>
      </c>
    </row>
    <row r="308" spans="1:5">
      <c r="A308" s="253" t="s">
        <v>918</v>
      </c>
      <c r="B308" s="253" t="s">
        <v>903</v>
      </c>
      <c r="C308" s="253">
        <v>3630</v>
      </c>
      <c r="D308" s="30" t="str">
        <f>IF(AND(OR(Data!B$3="h",Data!B$3="ph",Data!B$3="mh",Data!$B$3="hm"),Data!B$10="H",Data!B$4=20),CONCATENATE(B308," ",A308),"")</f>
        <v/>
      </c>
      <c r="E308" s="30" t="str">
        <f t="shared" si="4"/>
        <v/>
      </c>
    </row>
    <row r="309" spans="1:5">
      <c r="A309" s="253" t="s">
        <v>906</v>
      </c>
      <c r="B309" s="253" t="s">
        <v>903</v>
      </c>
      <c r="C309" s="253">
        <v>116</v>
      </c>
      <c r="D309" s="30" t="str">
        <f>IF(AND(OR(Data!B$3="h",Data!B$3="ph",Data!B$3="mh",Data!$B$3="hm"),Data!B$10="H",Data!B$4=2.5),CONCATENATE(B309," ",A309),"")</f>
        <v/>
      </c>
      <c r="E309" s="30" t="str">
        <f t="shared" si="4"/>
        <v/>
      </c>
    </row>
    <row r="310" spans="1:5">
      <c r="A310" s="253" t="s">
        <v>907</v>
      </c>
      <c r="B310" s="253" t="s">
        <v>903</v>
      </c>
      <c r="C310" s="253">
        <v>159</v>
      </c>
      <c r="D310" s="30" t="str">
        <f>IF(AND(OR(Data!B$3="h",Data!B$3="ph",Data!B$3="mh",Data!$B$3="hm"),Data!B$10="H",Data!B$4=3.25),CONCATENATE(B310," ",A310),"")</f>
        <v/>
      </c>
      <c r="E310" s="30" t="str">
        <f t="shared" si="4"/>
        <v/>
      </c>
    </row>
    <row r="311" spans="1:5">
      <c r="A311" s="253" t="s">
        <v>908</v>
      </c>
      <c r="B311" s="253" t="s">
        <v>903</v>
      </c>
      <c r="C311" s="253">
        <v>190</v>
      </c>
      <c r="D311" s="30" t="str">
        <f>IF(AND(OR(Data!B$3="h",Data!B$3="ph",Data!B$3="mh",Data!$B$3="hm"),Data!B$10="H",Data!B$4=4),CONCATENATE(B311," ",A311),"")</f>
        <v/>
      </c>
      <c r="E311" s="30" t="str">
        <f t="shared" si="4"/>
        <v/>
      </c>
    </row>
    <row r="312" spans="1:5">
      <c r="A312" s="253" t="s">
        <v>909</v>
      </c>
      <c r="B312" s="253" t="s">
        <v>903</v>
      </c>
      <c r="C312" s="253">
        <v>307</v>
      </c>
      <c r="D312" s="30" t="str">
        <f>IF(AND(OR(Data!B$3="h",Data!B$3="ph",Data!B$3="mh",Data!$B$3="hm"),Data!B$10="H",Data!B$4=5),CONCATENATE(B312," ",A312),"")</f>
        <v/>
      </c>
      <c r="E312" s="30" t="str">
        <f t="shared" si="4"/>
        <v/>
      </c>
    </row>
    <row r="313" spans="1:5">
      <c r="A313" s="253" t="s">
        <v>910</v>
      </c>
      <c r="B313" s="253" t="s">
        <v>903</v>
      </c>
      <c r="C313" s="253">
        <v>472</v>
      </c>
      <c r="D313" s="30" t="str">
        <f>IF(AND(OR(Data!B$3="h",Data!B$3="ph",Data!B$3="mh",Data!$B$3="hm"),Data!B$10="H",Data!B$4=6),CONCATENATE(B313," ",A313),"")</f>
        <v/>
      </c>
      <c r="E313" s="30" t="str">
        <f t="shared" si="4"/>
        <v/>
      </c>
    </row>
    <row r="314" spans="1:5">
      <c r="A314" s="253" t="s">
        <v>911</v>
      </c>
      <c r="B314" s="253" t="s">
        <v>903</v>
      </c>
      <c r="C314" s="253">
        <v>639</v>
      </c>
      <c r="D314" s="30" t="str">
        <f>IF(AND(OR(Data!B$3="h",Data!B$3="ph",Data!B$3="mh",Data!$B$3="hm"),Data!B$10="H",Data!B$4=7),CONCATENATE(B314," ",A314),"")</f>
        <v/>
      </c>
      <c r="E314" s="30" t="str">
        <f t="shared" si="4"/>
        <v/>
      </c>
    </row>
    <row r="315" spans="1:5">
      <c r="A315" s="253" t="s">
        <v>912</v>
      </c>
      <c r="B315" s="253" t="s">
        <v>903</v>
      </c>
      <c r="C315" s="253">
        <v>731</v>
      </c>
      <c r="D315" s="30" t="str">
        <f>IF(AND(OR(Data!B$3="h",Data!B$3="ph",Data!B$3="mh",Data!$B$3="hm"),Data!B$10="H",Data!B$4=8),CONCATENATE(B315," ",A315),"")</f>
        <v/>
      </c>
      <c r="E315" s="30" t="str">
        <f t="shared" si="4"/>
        <v/>
      </c>
    </row>
    <row r="316" spans="1:5">
      <c r="A316" s="253" t="s">
        <v>929</v>
      </c>
      <c r="B316" s="46" t="s">
        <v>919</v>
      </c>
      <c r="C316" s="253">
        <v>892</v>
      </c>
      <c r="D316" s="30" t="str">
        <f>IF(AND(OR(Data!B$3="h",Data!B$3="ph",Data!B$3="mh",Data!$B$3="hm"),Data!B$10="L",Data!B$4=10),CONCATENATE(B316," ",A316),"")</f>
        <v/>
      </c>
      <c r="E316" s="30" t="str">
        <f t="shared" si="4"/>
        <v/>
      </c>
    </row>
    <row r="317" spans="1:5">
      <c r="A317" s="253" t="s">
        <v>8</v>
      </c>
      <c r="B317" s="46" t="s">
        <v>919</v>
      </c>
      <c r="C317" s="253">
        <v>1162</v>
      </c>
      <c r="D317" s="30" t="str">
        <f>IF(AND(OR(Data!B$3="h",Data!B$3="ph",Data!B$3="mh",Data!$B$3="hm"),Data!B$10="L",Data!B$4=12),CONCATENATE(B317," ",A317),"")</f>
        <v/>
      </c>
      <c r="E317" s="30" t="str">
        <f t="shared" si="4"/>
        <v/>
      </c>
    </row>
    <row r="318" spans="1:5">
      <c r="A318" s="253" t="s">
        <v>930</v>
      </c>
      <c r="B318" s="46" t="s">
        <v>919</v>
      </c>
      <c r="C318" s="253">
        <v>1425</v>
      </c>
      <c r="D318" s="30" t="str">
        <f>IF(AND(OR(Data!B$3="h",Data!B$3="ph",Data!B$3="mh",Data!$B$3="hm"),Data!B$10="L",Data!B$4=14),CONCATENATE(B318," ",A318),"")</f>
        <v/>
      </c>
      <c r="E318" s="30" t="str">
        <f t="shared" si="4"/>
        <v/>
      </c>
    </row>
    <row r="319" spans="1:5">
      <c r="A319" s="253" t="s">
        <v>920</v>
      </c>
      <c r="B319" s="253" t="s">
        <v>919</v>
      </c>
      <c r="C319" s="253">
        <v>62</v>
      </c>
      <c r="D319" s="30" t="str">
        <f>IF(AND(OR(Data!B$3="h",Data!B$3="ph",Data!B$3="mh",Data!$B$3="hm"),Data!B$10="L",Data!B$4=1.5),CONCATENATE(B319," ",A319),"")</f>
        <v/>
      </c>
      <c r="E319" s="30" t="str">
        <f t="shared" si="4"/>
        <v/>
      </c>
    </row>
    <row r="320" spans="1:5">
      <c r="A320" s="253" t="s">
        <v>931</v>
      </c>
      <c r="B320" s="46" t="s">
        <v>919</v>
      </c>
      <c r="C320" s="253">
        <v>1750</v>
      </c>
      <c r="D320" s="30" t="str">
        <f>IF(AND(OR(Data!B$3="h",Data!B$3="ph",Data!B$3="mh",Data!$B$3="hm"),Data!B$10="L",Data!B$4=16),CONCATENATE(B320," ",A320),"")</f>
        <v/>
      </c>
      <c r="E320" s="30" t="str">
        <f t="shared" si="4"/>
        <v/>
      </c>
    </row>
    <row r="321" spans="1:5">
      <c r="A321" s="253" t="s">
        <v>932</v>
      </c>
      <c r="B321" s="46" t="s">
        <v>919</v>
      </c>
      <c r="C321" s="253">
        <v>2000</v>
      </c>
      <c r="D321" s="30" t="str">
        <f>IF(AND(OR(Data!B$3="h",Data!B$3="ph",Data!B$3="mh",Data!$B$3="hm"),Data!B$10="L",Data!B$4=18),CONCATENATE(B321," ",A321),"")</f>
        <v/>
      </c>
      <c r="E321" s="30" t="str">
        <f t="shared" si="4"/>
        <v/>
      </c>
    </row>
    <row r="322" spans="1:5">
      <c r="A322" s="253" t="s">
        <v>921</v>
      </c>
      <c r="B322" s="253" t="s">
        <v>919</v>
      </c>
      <c r="C322" s="253">
        <v>75</v>
      </c>
      <c r="D322" s="30" t="str">
        <f>IF(AND(OR(Data!B$3="h",Data!B$3="ph",Data!B$3="mh",Data!$B$3="hm"),Data!B$10="L",Data!B$4=2),CONCATENATE(B322," ",A322),"")</f>
        <v/>
      </c>
      <c r="E322" s="30" t="str">
        <f t="shared" si="4"/>
        <v/>
      </c>
    </row>
    <row r="323" spans="1:5">
      <c r="A323" s="253" t="s">
        <v>933</v>
      </c>
      <c r="B323" s="46" t="s">
        <v>919</v>
      </c>
      <c r="C323" s="253">
        <v>2750</v>
      </c>
      <c r="D323" s="30" t="str">
        <f>IF(AND(OR(Data!B$3="h",Data!B$3="ph",Data!B$3="mh",Data!$B$3="hm"),Data!B$10="L",Data!B$4=20),CONCATENATE(B323," ",A323),"")</f>
        <v/>
      </c>
      <c r="E323" s="30" t="str">
        <f t="shared" si="4"/>
        <v/>
      </c>
    </row>
    <row r="324" spans="1:5">
      <c r="A324" s="253" t="s">
        <v>922</v>
      </c>
      <c r="B324" s="253" t="s">
        <v>919</v>
      </c>
      <c r="C324" s="253">
        <v>88</v>
      </c>
      <c r="D324" s="30" t="str">
        <f>IF(AND(OR(Data!B$3="h",Data!B$3="ph",Data!B$3="mh",Data!$B$3="hm"),Data!B$10="L",Data!B$4=2.5),CONCATENATE(B324," ",A324),"")</f>
        <v/>
      </c>
      <c r="E324" s="30" t="str">
        <f t="shared" si="4"/>
        <v/>
      </c>
    </row>
    <row r="325" spans="1:5">
      <c r="A325" s="253" t="s">
        <v>923</v>
      </c>
      <c r="B325" s="253" t="s">
        <v>919</v>
      </c>
      <c r="C325" s="253">
        <v>120</v>
      </c>
      <c r="D325" s="30" t="str">
        <f>IF(AND(OR(Data!B$3="h",Data!B$3="ph",Data!B$3="mh",Data!$B$3="hm"),Data!B$10="L",Data!B$4=3.25),CONCATENATE(B325," ",A325),"")</f>
        <v/>
      </c>
      <c r="E325" s="30" t="str">
        <f t="shared" si="4"/>
        <v/>
      </c>
    </row>
    <row r="326" spans="1:5">
      <c r="A326" s="253" t="s">
        <v>924</v>
      </c>
      <c r="B326" s="253" t="s">
        <v>919</v>
      </c>
      <c r="C326" s="253">
        <v>144</v>
      </c>
      <c r="D326" s="30" t="str">
        <f>IF(AND(OR(Data!B$3="h",Data!B$3="ph",Data!B$3="mh",Data!$B$3="hm"),Data!B$10="L",Data!B$4=4),CONCATENATE(B326," ",A326),"")</f>
        <v/>
      </c>
      <c r="E326" s="30" t="str">
        <f t="shared" si="4"/>
        <v/>
      </c>
    </row>
    <row r="327" spans="1:5">
      <c r="A327" s="253" t="s">
        <v>925</v>
      </c>
      <c r="B327" s="253" t="s">
        <v>919</v>
      </c>
      <c r="C327" s="253">
        <v>233</v>
      </c>
      <c r="D327" s="30" t="str">
        <f>IF(AND(OR(Data!B$3="h",Data!B$3="ph",Data!B$3="mh",Data!$B$3="hm"),Data!B$10="L",Data!B$4=5),CONCATENATE(B327," ",A327),"")</f>
        <v/>
      </c>
      <c r="E327" s="30" t="str">
        <f t="shared" si="4"/>
        <v/>
      </c>
    </row>
    <row r="328" spans="1:5">
      <c r="A328" s="253" t="s">
        <v>926</v>
      </c>
      <c r="B328" s="253" t="s">
        <v>919</v>
      </c>
      <c r="C328" s="253">
        <v>358</v>
      </c>
      <c r="D328" s="30" t="str">
        <f>IF(AND(OR(Data!B$3="h",Data!B$3="ph",Data!B$3="mh",Data!$B$3="hm"),Data!B$10="L",Data!B$4=6),CONCATENATE(B328," ",A328),"")</f>
        <v/>
      </c>
      <c r="E328" s="30" t="str">
        <f t="shared" si="4"/>
        <v/>
      </c>
    </row>
    <row r="329" spans="1:5">
      <c r="A329" s="253" t="s">
        <v>927</v>
      </c>
      <c r="B329" s="253" t="s">
        <v>919</v>
      </c>
      <c r="C329" s="253">
        <v>484</v>
      </c>
      <c r="D329" s="30" t="str">
        <f>IF(AND(OR(Data!B$3="h",Data!B$3="ph",Data!B$3="mh",Data!$B$3="hm"),Data!B$10="L",Data!B$4=7),CONCATENATE(B329," ",A329),"")</f>
        <v/>
      </c>
      <c r="E329" s="30" t="str">
        <f t="shared" si="4"/>
        <v/>
      </c>
    </row>
    <row r="330" spans="1:5">
      <c r="A330" s="253" t="s">
        <v>928</v>
      </c>
      <c r="B330" s="46" t="s">
        <v>919</v>
      </c>
      <c r="C330" s="253">
        <v>554</v>
      </c>
      <c r="D330" s="30" t="str">
        <f>IF(AND(OR(Data!B$3="h",Data!B$3="ph",Data!B$3="mh",Data!$B$3="hm"),Data!B$10="L",Data!B$4=8),CONCATENATE(B330," ",A330),"")</f>
        <v/>
      </c>
      <c r="E330" s="30" t="str">
        <f t="shared" si="4"/>
        <v/>
      </c>
    </row>
    <row r="331" spans="1:5">
      <c r="A331" s="253" t="s">
        <v>92</v>
      </c>
      <c r="B331" s="46" t="s">
        <v>636</v>
      </c>
      <c r="C331" s="253">
        <v>1159</v>
      </c>
      <c r="D331" s="30" t="str">
        <f>IF(AND(OR(Data!B$3="h",Data!B$3="ph",Data!B$3="mh",Data!$B$3="hm"),Data!B$10="V",Data!B$4=10),CONCATENATE(B331," ",A331),"")</f>
        <v/>
      </c>
      <c r="E331" s="30" t="str">
        <f t="shared" si="4"/>
        <v/>
      </c>
    </row>
    <row r="332" spans="1:5">
      <c r="A332" s="253" t="s">
        <v>244</v>
      </c>
      <c r="B332" s="46" t="s">
        <v>636</v>
      </c>
      <c r="C332" s="253">
        <v>1510</v>
      </c>
      <c r="D332" s="30" t="str">
        <f>IF(AND(OR(Data!B$3="h",Data!B$3="ph",Data!B$3="mh",Data!$B$3="hm"),Data!B$10="V",Data!B$4=12),CONCATENATE(B332," ",A332),"")</f>
        <v/>
      </c>
      <c r="E332" s="30" t="str">
        <f t="shared" si="4"/>
        <v/>
      </c>
    </row>
    <row r="333" spans="1:5">
      <c r="A333" s="253" t="s">
        <v>245</v>
      </c>
      <c r="B333" s="46" t="s">
        <v>636</v>
      </c>
      <c r="C333" s="253">
        <v>1853</v>
      </c>
      <c r="D333" s="30" t="str">
        <f>IF(AND(OR(Data!B$3="h",Data!B$3="ph",Data!B$3="mh",Data!$B$3="hm"),Data!B$10="V",Data!B$4=14),CONCATENATE(B333," ",A333),"")</f>
        <v/>
      </c>
      <c r="E333" s="30" t="str">
        <f t="shared" si="4"/>
        <v/>
      </c>
    </row>
    <row r="334" spans="1:5">
      <c r="A334" s="253" t="s">
        <v>388</v>
      </c>
      <c r="B334" s="253" t="s">
        <v>636</v>
      </c>
      <c r="C334" s="253">
        <v>80</v>
      </c>
      <c r="D334" s="30" t="str">
        <f>IF(AND(OR(Data!B$3="h",Data!B$3="ph",Data!B$3="mh",Data!$B$3="hm"),Data!B$10="V",Data!B$4=1.5),CONCATENATE(B334," ",A334),"")</f>
        <v/>
      </c>
      <c r="E334" s="30" t="str">
        <f t="shared" si="4"/>
        <v/>
      </c>
    </row>
    <row r="335" spans="1:5">
      <c r="A335" s="253" t="s">
        <v>723</v>
      </c>
      <c r="B335" s="46" t="s">
        <v>636</v>
      </c>
      <c r="C335" s="253">
        <v>2275</v>
      </c>
      <c r="D335" s="30" t="str">
        <f>IF(AND(OR(Data!B$3="h",Data!B$3="ph",Data!B$3="mh",Data!$B$3="hm"),Data!B$10="V",Data!B$4=16),CONCATENATE(B335," ",A335),"")</f>
        <v/>
      </c>
      <c r="E335" s="30" t="str">
        <f t="shared" si="4"/>
        <v/>
      </c>
    </row>
    <row r="336" spans="1:5">
      <c r="A336" s="253" t="s">
        <v>724</v>
      </c>
      <c r="B336" s="46" t="s">
        <v>636</v>
      </c>
      <c r="C336" s="253">
        <v>2600</v>
      </c>
      <c r="D336" s="30" t="str">
        <f>IF(AND(OR(Data!B$3="h",Data!B$3="ph",Data!B$3="mh",Data!$B$3="hm"),Data!B$10="V",Data!B$4=18),CONCATENATE(B336," ",A336),"")</f>
        <v/>
      </c>
      <c r="E336" s="30" t="str">
        <f t="shared" si="4"/>
        <v/>
      </c>
    </row>
    <row r="337" spans="1:5">
      <c r="A337" s="253" t="s">
        <v>554</v>
      </c>
      <c r="B337" s="253" t="s">
        <v>636</v>
      </c>
      <c r="C337" s="253">
        <v>98</v>
      </c>
      <c r="D337" s="30" t="str">
        <f>IF(AND(OR(Data!B$3="h",Data!B$3="ph",Data!B$3="mh",Data!$B$3="hm"),Data!B$10="V",Data!B$4=2),CONCATENATE(B337," ",A337),"")</f>
        <v/>
      </c>
      <c r="E337" s="30" t="str">
        <f t="shared" si="4"/>
        <v/>
      </c>
    </row>
    <row r="338" spans="1:5">
      <c r="A338" s="253" t="s">
        <v>711</v>
      </c>
      <c r="B338" s="46" t="s">
        <v>636</v>
      </c>
      <c r="C338" s="253">
        <v>3575</v>
      </c>
      <c r="D338" s="30" t="str">
        <f>IF(AND(OR(Data!B$3="h",Data!B$3="ph",Data!B$3="mh",Data!$B$3="hm"),Data!B$10="V",Data!B$4=20),CONCATENATE(B338," ",A338),"")</f>
        <v/>
      </c>
      <c r="E338" s="30" t="str">
        <f t="shared" si="4"/>
        <v/>
      </c>
    </row>
    <row r="339" spans="1:5">
      <c r="A339" s="253" t="s">
        <v>229</v>
      </c>
      <c r="B339" s="253" t="s">
        <v>636</v>
      </c>
      <c r="C339" s="253">
        <v>114</v>
      </c>
      <c r="D339" s="30" t="str">
        <f>IF(AND(OR(Data!B$3="h",Data!B$3="ph",Data!B$3="mh",Data!$B$3="hm"),Data!B$10="V",Data!B$4=2.5),CONCATENATE(B339," ",A339),"")</f>
        <v/>
      </c>
      <c r="E339" s="30" t="str">
        <f t="shared" si="4"/>
        <v/>
      </c>
    </row>
    <row r="340" spans="1:5">
      <c r="A340" s="253" t="s">
        <v>196</v>
      </c>
      <c r="B340" s="253" t="s">
        <v>636</v>
      </c>
      <c r="C340" s="253">
        <v>157</v>
      </c>
      <c r="D340" s="30" t="str">
        <f>IF(AND(OR(Data!B$3="h",Data!B$3="ph",Data!B$3="mh",Data!$B$3="hm"),Data!B$10="V",Data!B$4=3.25),CONCATENATE(B340," ",A340),"")</f>
        <v/>
      </c>
      <c r="E340" s="30" t="str">
        <f t="shared" si="4"/>
        <v/>
      </c>
    </row>
    <row r="341" spans="1:5">
      <c r="A341" s="253" t="s">
        <v>5</v>
      </c>
      <c r="B341" s="253" t="s">
        <v>636</v>
      </c>
      <c r="C341" s="253">
        <v>188</v>
      </c>
      <c r="D341" s="30" t="str">
        <f>IF(AND(OR(Data!B$3="h",Data!B$3="ph",Data!B$3="mh",Data!$B$3="hm"),Data!B$10="V",Data!B$4=4),CONCATENATE(B341," ",A341),"")</f>
        <v/>
      </c>
      <c r="E341" s="30" t="str">
        <f t="shared" si="4"/>
        <v/>
      </c>
    </row>
    <row r="342" spans="1:5">
      <c r="A342" s="253" t="s">
        <v>438</v>
      </c>
      <c r="B342" s="253" t="s">
        <v>636</v>
      </c>
      <c r="C342" s="253">
        <v>303</v>
      </c>
      <c r="D342" s="30" t="str">
        <f>IF(AND(OR(Data!B$3="h",Data!B$3="ph",Data!B$3="mh",Data!$B$3="hm"),Data!B$10="V",Data!B$4=5),CONCATENATE(B342," ",A342),"")</f>
        <v/>
      </c>
      <c r="E342" s="30" t="str">
        <f t="shared" si="4"/>
        <v/>
      </c>
    </row>
    <row r="343" spans="1:5">
      <c r="A343" s="253" t="s">
        <v>443</v>
      </c>
      <c r="B343" s="253" t="s">
        <v>636</v>
      </c>
      <c r="C343" s="253">
        <v>465</v>
      </c>
      <c r="D343" s="30" t="str">
        <f>IF(AND(OR(Data!B$3="h",Data!B$3="ph",Data!B$3="mh",Data!$B$3="hm"),Data!B$10="V",Data!B$4=6),CONCATENATE(B343," ",A343),"")</f>
        <v/>
      </c>
      <c r="E343" s="30" t="str">
        <f t="shared" si="4"/>
        <v/>
      </c>
    </row>
    <row r="344" spans="1:5">
      <c r="A344" s="253" t="s">
        <v>669</v>
      </c>
      <c r="B344" s="253" t="s">
        <v>636</v>
      </c>
      <c r="C344" s="253">
        <v>630</v>
      </c>
      <c r="D344" s="30" t="str">
        <f>IF(AND(OR(Data!B$3="h",Data!B$3="ph",Data!B$3="mh",Data!$B$3="hm"),Data!B$10="V",Data!B$4=7),CONCATENATE(B344," ",A344),"")</f>
        <v/>
      </c>
      <c r="E344" s="30" t="str">
        <f t="shared" si="4"/>
        <v/>
      </c>
    </row>
    <row r="345" spans="1:5">
      <c r="A345" s="253" t="s">
        <v>506</v>
      </c>
      <c r="B345" s="46" t="s">
        <v>636</v>
      </c>
      <c r="C345" s="253">
        <v>720</v>
      </c>
      <c r="D345" s="30" t="str">
        <f>IF(AND(OR(Data!B$3="h",Data!B$3="ph",Data!B$3="mh",Data!$B$3="hm"),Data!B$10="V",Data!B$4=8),CONCATENATE(B345," ",A345),"")</f>
        <v/>
      </c>
      <c r="E345" s="30" t="str">
        <f t="shared" si="4"/>
        <v/>
      </c>
    </row>
    <row r="346" spans="1:5">
      <c r="A346" s="253" t="s">
        <v>209</v>
      </c>
      <c r="B346" s="46" t="s">
        <v>482</v>
      </c>
      <c r="C346" s="253">
        <v>47</v>
      </c>
      <c r="D346" s="30" t="str">
        <f>IF(AND(OR(Data!B$3="h",Data!B$3="ph",Data!B$3="mh",Data!$B$3="hm"),Data!B$10="P",Data!B$6=0.625),CONCATENATE(B346," ",A346),"")</f>
        <v/>
      </c>
      <c r="E346" s="30" t="str">
        <f t="shared" si="4"/>
        <v/>
      </c>
    </row>
    <row r="347" spans="1:5">
      <c r="A347" s="253" t="s">
        <v>210</v>
      </c>
      <c r="B347" s="46" t="s">
        <v>482</v>
      </c>
      <c r="C347" s="253">
        <v>50</v>
      </c>
      <c r="D347" s="30" t="str">
        <f>IF(AND(OR(Data!B$3="h",Data!B$3="ph",Data!B$3="mh",Data!$B$3="hm"),Data!B$10="P",Data!B$6=1),CONCATENATE(B347," ",A347),"")</f>
        <v/>
      </c>
      <c r="E347" s="30" t="str">
        <f t="shared" si="4"/>
        <v/>
      </c>
    </row>
    <row r="348" spans="1:5">
      <c r="A348" s="253" t="s">
        <v>320</v>
      </c>
      <c r="B348" s="46" t="s">
        <v>482</v>
      </c>
      <c r="C348" s="253">
        <v>1788</v>
      </c>
      <c r="D348" s="30" t="str">
        <f>IF(AND(OR(Data!B$3="h",Data!B$3="ph",Data!B$3="mh",Data!$B$3="hm"),Data!B$10="P",Data!B$6=10),CONCATENATE(B348," ",A348),"")</f>
        <v/>
      </c>
      <c r="E348" s="30" t="str">
        <f t="shared" si="4"/>
        <v/>
      </c>
    </row>
    <row r="349" spans="1:5">
      <c r="A349" s="253" t="s">
        <v>323</v>
      </c>
      <c r="B349" s="46" t="s">
        <v>482</v>
      </c>
      <c r="C349" s="253">
        <v>69</v>
      </c>
      <c r="D349" s="30" t="str">
        <f>IF(AND(OR(Data!B$3="h",Data!B$3="ph",Data!B$3="mh",Data!$B$3="hm"),Data!B$10="P",Data!B$6=1.375),CONCATENATE(B349," ",A349),"")</f>
        <v/>
      </c>
      <c r="E349" s="30" t="str">
        <f t="shared" si="4"/>
        <v/>
      </c>
    </row>
    <row r="350" spans="1:5">
      <c r="A350" s="253" t="s">
        <v>204</v>
      </c>
      <c r="B350" s="46" t="s">
        <v>482</v>
      </c>
      <c r="C350" s="253">
        <v>69</v>
      </c>
      <c r="D350" s="30" t="str">
        <f>IF(AND(OR(Data!B$3="h",Data!B$3="ph",Data!B$3="mh",Data!$B$3="hm"),Data!B$10="P",Data!B$6=1.75),CONCATENATE(B350," ",A350),"")</f>
        <v/>
      </c>
      <c r="E350" s="30" t="str">
        <f t="shared" si="4"/>
        <v/>
      </c>
    </row>
    <row r="351" spans="1:5">
      <c r="A351" s="253" t="s">
        <v>350</v>
      </c>
      <c r="B351" s="46" t="s">
        <v>482</v>
      </c>
      <c r="C351" s="253">
        <v>80</v>
      </c>
      <c r="D351" s="30" t="str">
        <f>IF(AND(OR(Data!B$3="h",Data!B$3="ph",Data!B$3="mh",Data!$B$3="hm"),Data!B$10="P",Data!B$6=2),CONCATENATE(B351," ",A351),"")</f>
        <v>Hyd Rod Poly Seal Kit KHR20</v>
      </c>
      <c r="E351" s="30">
        <f t="shared" si="4"/>
        <v>80</v>
      </c>
    </row>
    <row r="352" spans="1:5">
      <c r="A352" s="253" t="s">
        <v>450</v>
      </c>
      <c r="B352" s="46" t="s">
        <v>482</v>
      </c>
      <c r="C352" s="253">
        <v>92</v>
      </c>
      <c r="D352" s="30" t="str">
        <f>IF(AND(OR(Data!B$3="h",Data!B$3="ph",Data!B$3="mh",Data!$B$3="hm"),Data!B$10="P",Data!B$6=2.5),CONCATENATE(B352," ",A352),"")</f>
        <v/>
      </c>
      <c r="E352" s="30" t="str">
        <f t="shared" si="4"/>
        <v/>
      </c>
    </row>
    <row r="353" spans="1:5">
      <c r="A353" s="253" t="s">
        <v>451</v>
      </c>
      <c r="B353" s="46" t="s">
        <v>482</v>
      </c>
      <c r="C353" s="253">
        <v>129</v>
      </c>
      <c r="D353" s="30" t="str">
        <f>IF(AND(OR(Data!B$3="h",Data!B$3="ph",Data!B$3="mh",Data!$B$3="hm"),Data!B$10="P",Data!B$6=3),CONCATENATE(B353," ",A353),"")</f>
        <v/>
      </c>
      <c r="E353" s="30" t="str">
        <f t="shared" si="4"/>
        <v/>
      </c>
    </row>
    <row r="354" spans="1:5">
      <c r="A354" s="253" t="s">
        <v>192</v>
      </c>
      <c r="B354" s="46" t="s">
        <v>482</v>
      </c>
      <c r="C354" s="253">
        <v>148</v>
      </c>
      <c r="D354" s="30" t="str">
        <f>IF(AND(OR(Data!B$3="h",Data!B$3="ph",Data!B$3="mh",Data!$B$3="hm"),Data!B$10="P",Data!B$6=3.5),CONCATENATE(B354," ",A354),"")</f>
        <v/>
      </c>
      <c r="E354" s="30" t="str">
        <f t="shared" si="4"/>
        <v/>
      </c>
    </row>
    <row r="355" spans="1:5">
      <c r="A355" s="253" t="s">
        <v>625</v>
      </c>
      <c r="B355" s="46" t="s">
        <v>482</v>
      </c>
      <c r="C355" s="253">
        <v>185</v>
      </c>
      <c r="D355" s="30" t="str">
        <f>IF(AND(OR(Data!B$3="h",Data!B$3="ph",Data!B$3="mh",Data!$B$3="hm"),Data!B$10="P",Data!B$6=4),CONCATENATE(B355," ",A355),"")</f>
        <v/>
      </c>
      <c r="E355" s="30" t="str">
        <f t="shared" si="4"/>
        <v/>
      </c>
    </row>
    <row r="356" spans="1:5">
      <c r="A356" s="253" t="s">
        <v>386</v>
      </c>
      <c r="B356" s="46" t="s">
        <v>482</v>
      </c>
      <c r="C356" s="253">
        <v>220</v>
      </c>
      <c r="D356" s="30" t="str">
        <f>IF(AND(OR(Data!B$3="h",Data!B$3="ph",Data!B$3="mh",Data!$B$3="hm"),Data!B$10="P",Data!B$6=4.5),CONCATENATE(B356," ",A356),"")</f>
        <v/>
      </c>
      <c r="E356" s="30" t="str">
        <f t="shared" si="4"/>
        <v/>
      </c>
    </row>
    <row r="357" spans="1:5">
      <c r="A357" s="253" t="s">
        <v>753</v>
      </c>
      <c r="B357" s="46" t="s">
        <v>482</v>
      </c>
      <c r="C357" s="253">
        <v>275</v>
      </c>
      <c r="D357" s="30" t="str">
        <f>IF(AND(OR(Data!B$3="h",Data!B$3="ph",Data!B$3="mh",Data!$B$3="hm"),Data!B$10="P",Data!B$6=5),CONCATENATE(B357," ",A357),"")</f>
        <v/>
      </c>
      <c r="E357" s="30" t="str">
        <f t="shared" si="4"/>
        <v/>
      </c>
    </row>
    <row r="358" spans="1:5">
      <c r="A358" s="253" t="s">
        <v>847</v>
      </c>
      <c r="B358" s="46" t="s">
        <v>482</v>
      </c>
      <c r="C358" s="253">
        <v>413</v>
      </c>
      <c r="D358" s="30" t="str">
        <f>IF(AND(OR(Data!B$3="h",Data!B$3="ph",Data!B$3="mh",Data!$B$3="hm"),Data!B$10="P",Data!B$6=5.5),CONCATENATE(B358," ",A358),"")</f>
        <v/>
      </c>
      <c r="E358" s="30" t="str">
        <f t="shared" si="4"/>
        <v/>
      </c>
    </row>
    <row r="359" spans="1:5">
      <c r="A359" s="253" t="s">
        <v>318</v>
      </c>
      <c r="B359" s="46" t="s">
        <v>482</v>
      </c>
      <c r="C359" s="253">
        <v>825</v>
      </c>
      <c r="D359" s="30" t="str">
        <f>IF(AND(OR(Data!B$3="h",Data!B$3="ph",Data!B$3="mh",Data!$B$3="hm"),Data!B$10="P",Data!B$6=7),CONCATENATE(B359," ",A359),"")</f>
        <v/>
      </c>
      <c r="E359" s="30" t="str">
        <f t="shared" si="4"/>
        <v/>
      </c>
    </row>
    <row r="360" spans="1:5">
      <c r="A360" s="253" t="s">
        <v>319</v>
      </c>
      <c r="B360" s="46" t="s">
        <v>482</v>
      </c>
      <c r="C360" s="253">
        <v>1238</v>
      </c>
      <c r="D360" s="30" t="str">
        <f>IF(AND(OR(Data!B$3="h",Data!B$3="ph",Data!B$3="mh",Data!$B$3="hm"),Data!B$10="P",Data!B$6=8),CONCATENATE(B360," ",A360),"")</f>
        <v/>
      </c>
      <c r="E360" s="30" t="str">
        <f t="shared" si="4"/>
        <v/>
      </c>
    </row>
    <row r="361" spans="1:5">
      <c r="A361" s="253" t="s">
        <v>773</v>
      </c>
      <c r="B361" s="46" t="s">
        <v>772</v>
      </c>
      <c r="C361" s="253">
        <v>65</v>
      </c>
      <c r="D361" s="30" t="str">
        <f>IF(AND(OR(Data!B$3="h",Data!B$3="ph",Data!B$3="mh",Data!$B$3="hm"),Data!B$10="H",Data!B$6=0.625),CONCATENATE(B361," ",A361),"")</f>
        <v/>
      </c>
      <c r="E361" s="30" t="str">
        <f t="shared" si="4"/>
        <v/>
      </c>
    </row>
    <row r="362" spans="1:5">
      <c r="A362" s="253" t="s">
        <v>774</v>
      </c>
      <c r="B362" s="46" t="s">
        <v>772</v>
      </c>
      <c r="C362" s="253">
        <v>70</v>
      </c>
      <c r="D362" s="30" t="str">
        <f>IF(AND(OR(Data!B$3="h",Data!B$3="ph",Data!B$3="mh",Data!$B$3="hm"),Data!B$10="H",Data!B$6=1),CONCATENATE(B362," ",A362),"")</f>
        <v/>
      </c>
      <c r="E362" s="30" t="str">
        <f t="shared" si="4"/>
        <v/>
      </c>
    </row>
    <row r="363" spans="1:5">
      <c r="A363" s="253" t="s">
        <v>787</v>
      </c>
      <c r="B363" s="46" t="s">
        <v>772</v>
      </c>
      <c r="C363" s="253">
        <v>2503</v>
      </c>
      <c r="D363" s="30" t="str">
        <f>IF(AND(OR(Data!B$3="h",Data!B$3="ph",Data!B$3="mh",Data!$B$3="hm"),Data!B$10="H",Data!B$6=10),CONCATENATE(B363," ",A363),"")</f>
        <v/>
      </c>
      <c r="E363" s="30" t="str">
        <f t="shared" si="4"/>
        <v/>
      </c>
    </row>
    <row r="364" spans="1:5">
      <c r="A364" s="253" t="s">
        <v>775</v>
      </c>
      <c r="B364" s="46" t="s">
        <v>772</v>
      </c>
      <c r="C364" s="253">
        <v>97</v>
      </c>
      <c r="D364" s="30" t="str">
        <f>IF(AND(OR(Data!B$3="h",Data!B$3="ph",Data!B$3="mh",Data!$B$3="hm"),Data!B$10="H",Data!B$6=1.375),CONCATENATE(B364," ",A364),"")</f>
        <v/>
      </c>
      <c r="E364" s="30" t="str">
        <f t="shared" si="4"/>
        <v/>
      </c>
    </row>
    <row r="365" spans="1:5">
      <c r="A365" s="253" t="s">
        <v>776</v>
      </c>
      <c r="B365" s="46" t="s">
        <v>772</v>
      </c>
      <c r="C365" s="253">
        <v>97</v>
      </c>
      <c r="D365" s="30" t="str">
        <f>IF(AND(OR(Data!B$3="h",Data!B$3="ph",Data!B$3="mh",Data!$B$3="hm"),Data!B$10="H",Data!B$6=1.75),CONCATENATE(B365," ",A365),"")</f>
        <v/>
      </c>
      <c r="E365" s="30" t="str">
        <f t="shared" si="4"/>
        <v/>
      </c>
    </row>
    <row r="366" spans="1:5">
      <c r="A366" s="253" t="s">
        <v>777</v>
      </c>
      <c r="B366" s="46" t="s">
        <v>772</v>
      </c>
      <c r="C366" s="253">
        <v>112</v>
      </c>
      <c r="D366" s="30" t="str">
        <f>IF(AND(OR(Data!B$3="h",Data!B$3="ph",Data!B$3="mh",Data!$B$3="hm"),Data!B$10="H",Data!B$6=2),CONCATENATE(B366," ",A366),"")</f>
        <v/>
      </c>
      <c r="E366" s="30" t="str">
        <f t="shared" ref="E366:E429" si="5">IF(D366="","",C366)</f>
        <v/>
      </c>
    </row>
    <row r="367" spans="1:5">
      <c r="A367" s="253" t="s">
        <v>778</v>
      </c>
      <c r="B367" s="46" t="s">
        <v>772</v>
      </c>
      <c r="C367" s="253">
        <v>128</v>
      </c>
      <c r="D367" s="30" t="str">
        <f>IF(AND(OR(Data!B$3="h",Data!B$3="ph",Data!B$3="mh",Data!$B$3="hm"),Data!B$10="H",Data!B$6=2.5),CONCATENATE(B367," ",A367),"")</f>
        <v/>
      </c>
      <c r="E367" s="30" t="str">
        <f t="shared" si="5"/>
        <v/>
      </c>
    </row>
    <row r="368" spans="1:5">
      <c r="A368" s="253" t="s">
        <v>779</v>
      </c>
      <c r="B368" s="46" t="s">
        <v>772</v>
      </c>
      <c r="C368" s="253">
        <v>181</v>
      </c>
      <c r="D368" s="30" t="str">
        <f>IF(AND(OR(Data!B$3="h",Data!B$3="ph",Data!B$3="mh",Data!$B$3="hm"),Data!B$10="H",Data!B$6=3),CONCATENATE(B368," ",A368),"")</f>
        <v/>
      </c>
      <c r="E368" s="30" t="str">
        <f t="shared" si="5"/>
        <v/>
      </c>
    </row>
    <row r="369" spans="1:5">
      <c r="A369" s="253" t="s">
        <v>780</v>
      </c>
      <c r="B369" s="46" t="s">
        <v>772</v>
      </c>
      <c r="C369" s="253">
        <v>207</v>
      </c>
      <c r="D369" s="30" t="str">
        <f>IF(AND(OR(Data!B$3="h",Data!B$3="ph",Data!B$3="mh",Data!$B$3="hm"),Data!B$10="H",Data!B$6=3.5),CONCATENATE(B369," ",A369),"")</f>
        <v/>
      </c>
      <c r="E369" s="30" t="str">
        <f t="shared" si="5"/>
        <v/>
      </c>
    </row>
    <row r="370" spans="1:5">
      <c r="A370" s="253" t="s">
        <v>781</v>
      </c>
      <c r="B370" s="46" t="s">
        <v>772</v>
      </c>
      <c r="C370" s="253">
        <v>259</v>
      </c>
      <c r="D370" s="30" t="str">
        <f>IF(AND(OR(Data!B$3="h",Data!B$3="ph",Data!B$3="mh",Data!$B$3="hm"),Data!B$10="H",Data!B$6=4),CONCATENATE(B370," ",A370),"")</f>
        <v/>
      </c>
      <c r="E370" s="30" t="str">
        <f t="shared" si="5"/>
        <v/>
      </c>
    </row>
    <row r="371" spans="1:5">
      <c r="A371" s="253" t="s">
        <v>782</v>
      </c>
      <c r="B371" s="46" t="s">
        <v>772</v>
      </c>
      <c r="C371" s="253">
        <v>308</v>
      </c>
      <c r="D371" s="30" t="str">
        <f>IF(AND(OR(Data!B$3="h",Data!B$3="ph",Data!B$3="mh",Data!$B$3="hm"),Data!B$10="H",Data!B$6=4.5),CONCATENATE(B371," ",A371),"")</f>
        <v/>
      </c>
      <c r="E371" s="30" t="str">
        <f t="shared" si="5"/>
        <v/>
      </c>
    </row>
    <row r="372" spans="1:5">
      <c r="A372" s="253" t="s">
        <v>783</v>
      </c>
      <c r="B372" s="46" t="s">
        <v>772</v>
      </c>
      <c r="C372" s="253">
        <v>385</v>
      </c>
      <c r="D372" s="30" t="str">
        <f>IF(AND(OR(Data!B$3="h",Data!B$3="ph",Data!B$3="mh",Data!$B$3="hm"),Data!B$10="H",Data!B$6=5),CONCATENATE(B372," ",A372),"")</f>
        <v/>
      </c>
      <c r="E372" s="30" t="str">
        <f t="shared" si="5"/>
        <v/>
      </c>
    </row>
    <row r="373" spans="1:5">
      <c r="A373" s="253" t="s">
        <v>784</v>
      </c>
      <c r="B373" s="46" t="s">
        <v>772</v>
      </c>
      <c r="C373" s="253">
        <v>578</v>
      </c>
      <c r="D373" s="30" t="str">
        <f>IF(AND(OR(Data!B$3="h",Data!B$3="ph",Data!B$3="mh",Data!$B$3="hm"),Data!B$10="H",Data!B$6=5.5),CONCATENATE(B373," ",A373),"")</f>
        <v/>
      </c>
      <c r="E373" s="30" t="str">
        <f t="shared" si="5"/>
        <v/>
      </c>
    </row>
    <row r="374" spans="1:5">
      <c r="A374" s="253" t="s">
        <v>785</v>
      </c>
      <c r="B374" s="46" t="s">
        <v>772</v>
      </c>
      <c r="C374" s="253">
        <v>1155</v>
      </c>
      <c r="D374" s="30" t="str">
        <f>IF(AND(OR(Data!B$3="h",Data!B$3="ph",Data!B$3="mh",Data!$B$3="hm"),Data!B$10="H",Data!B$6=7),CONCATENATE(B374," ",A374),"")</f>
        <v/>
      </c>
      <c r="E374" s="30" t="str">
        <f t="shared" si="5"/>
        <v/>
      </c>
    </row>
    <row r="375" spans="1:5">
      <c r="A375" s="253" t="s">
        <v>786</v>
      </c>
      <c r="B375" s="46" t="s">
        <v>772</v>
      </c>
      <c r="C375" s="253">
        <v>1733</v>
      </c>
      <c r="D375" s="30" t="str">
        <f>IF(AND(OR(Data!B$3="h",Data!B$3="ph",Data!B$3="mh",Data!$B$3="hm"),Data!B$10="H",Data!B$6=8),CONCATENATE(B375," ",A375),"")</f>
        <v/>
      </c>
      <c r="E375" s="30" t="str">
        <f t="shared" si="5"/>
        <v/>
      </c>
    </row>
    <row r="376" spans="1:5">
      <c r="A376" s="253" t="s">
        <v>950</v>
      </c>
      <c r="B376" s="46" t="s">
        <v>771</v>
      </c>
      <c r="C376" s="253">
        <v>51</v>
      </c>
      <c r="D376" s="30" t="str">
        <f>IF(AND(OR(Data!B$3="h",Data!B$3="ph",Data!B$3="mh",Data!$B$3="hm"),Data!B$10="L",Data!B$6=0.625),CONCATENATE(B376," ",A376),"")</f>
        <v/>
      </c>
      <c r="E376" s="30" t="str">
        <f t="shared" si="5"/>
        <v/>
      </c>
    </row>
    <row r="377" spans="1:5">
      <c r="A377" s="253" t="s">
        <v>951</v>
      </c>
      <c r="B377" s="46" t="s">
        <v>771</v>
      </c>
      <c r="C377" s="253">
        <v>55</v>
      </c>
      <c r="D377" s="30" t="str">
        <f>IF(AND(OR(Data!B$3="h",Data!B$3="ph",Data!B$3="mh",Data!$B$3="hm"),Data!B$10="L",Data!B$6=1),CONCATENATE(B377," ",A377),"")</f>
        <v/>
      </c>
      <c r="E377" s="30" t="str">
        <f t="shared" si="5"/>
        <v/>
      </c>
    </row>
    <row r="378" spans="1:5">
      <c r="A378" s="253" t="s">
        <v>770</v>
      </c>
      <c r="B378" s="46" t="s">
        <v>771</v>
      </c>
      <c r="C378" s="253">
        <v>1967</v>
      </c>
      <c r="D378" s="30" t="str">
        <f>IF(AND(OR(Data!B$3="h",Data!B$3="ph",Data!B$3="mh",Data!$B$3="hm"),Data!B$10="L",Data!B$6=10),CONCATENATE(B378," ",A378),"")</f>
        <v/>
      </c>
      <c r="E378" s="30" t="str">
        <f t="shared" si="5"/>
        <v/>
      </c>
    </row>
    <row r="379" spans="1:5">
      <c r="A379" s="253" t="s">
        <v>952</v>
      </c>
      <c r="B379" s="46" t="s">
        <v>771</v>
      </c>
      <c r="C379" s="253">
        <v>76</v>
      </c>
      <c r="D379" s="30" t="str">
        <f>IF(AND(OR(Data!B$3="h",Data!B$3="ph",Data!B$3="mh",Data!$B$3="hm"),Data!B$10="L",Data!B$6=1.375),CONCATENATE(B379," ",A379),"")</f>
        <v/>
      </c>
      <c r="E379" s="30" t="str">
        <f t="shared" si="5"/>
        <v/>
      </c>
    </row>
    <row r="380" spans="1:5">
      <c r="A380" s="253" t="s">
        <v>953</v>
      </c>
      <c r="B380" s="46" t="s">
        <v>771</v>
      </c>
      <c r="C380" s="253">
        <v>76</v>
      </c>
      <c r="D380" s="30" t="str">
        <f>IF(AND(OR(Data!B$3="h",Data!B$3="ph",Data!B$3="mh",Data!$B$3="hm"),Data!B$10="L",Data!B$6=1.75),CONCATENATE(B380," ",A380),"")</f>
        <v/>
      </c>
      <c r="E380" s="30" t="str">
        <f t="shared" si="5"/>
        <v/>
      </c>
    </row>
    <row r="381" spans="1:5">
      <c r="A381" s="253" t="s">
        <v>954</v>
      </c>
      <c r="B381" s="46" t="s">
        <v>771</v>
      </c>
      <c r="C381" s="253">
        <v>88</v>
      </c>
      <c r="D381" s="30" t="str">
        <f>IF(AND(OR(Data!B$3="h",Data!B$3="ph",Data!B$3="mh",Data!$B$3="hm"),Data!B$10="L",Data!B$6=2),CONCATENATE(B381," ",A381),"")</f>
        <v/>
      </c>
      <c r="E381" s="30" t="str">
        <f t="shared" si="5"/>
        <v/>
      </c>
    </row>
    <row r="382" spans="1:5">
      <c r="A382" s="253" t="s">
        <v>955</v>
      </c>
      <c r="B382" s="46" t="s">
        <v>771</v>
      </c>
      <c r="C382" s="253">
        <v>101</v>
      </c>
      <c r="D382" s="30" t="str">
        <f>IF(AND(OR(Data!B$3="h",Data!B$3="ph",Data!B$3="mh",Data!$B$3="hm"),Data!B$10="L",Data!B$6=2.5),CONCATENATE(B382," ",A382),"")</f>
        <v/>
      </c>
      <c r="E382" s="30" t="str">
        <f t="shared" si="5"/>
        <v/>
      </c>
    </row>
    <row r="383" spans="1:5">
      <c r="A383" s="253" t="s">
        <v>956</v>
      </c>
      <c r="B383" s="46" t="s">
        <v>771</v>
      </c>
      <c r="C383" s="253">
        <v>142</v>
      </c>
      <c r="D383" s="30" t="str">
        <f>IF(AND(OR(Data!B$3="h",Data!B$3="ph",Data!B$3="mh",Data!$B$3="hm"),Data!B$10="L",Data!B$6=3),CONCATENATE(B383," ",A383),"")</f>
        <v/>
      </c>
      <c r="E383" s="30" t="str">
        <f t="shared" si="5"/>
        <v/>
      </c>
    </row>
    <row r="384" spans="1:5">
      <c r="A384" s="253" t="s">
        <v>957</v>
      </c>
      <c r="B384" s="46" t="s">
        <v>771</v>
      </c>
      <c r="C384" s="253">
        <v>163</v>
      </c>
      <c r="D384" s="30" t="str">
        <f>IF(AND(OR(Data!B$3="h",Data!B$3="ph",Data!B$3="mh",Data!$B$3="hm"),Data!B$10="L",Data!B$6=3.5),CONCATENATE(B384," ",A384),"")</f>
        <v/>
      </c>
      <c r="E384" s="30" t="str">
        <f t="shared" si="5"/>
        <v/>
      </c>
    </row>
    <row r="385" spans="1:5">
      <c r="A385" s="253" t="s">
        <v>958</v>
      </c>
      <c r="B385" s="46" t="s">
        <v>771</v>
      </c>
      <c r="C385" s="253">
        <v>204</v>
      </c>
      <c r="D385" s="30" t="str">
        <f>IF(AND(OR(Data!B$3="h",Data!B$3="ph",Data!B$3="mh",Data!$B$3="hm"),Data!B$10="L",Data!B$6=4),CONCATENATE(B385," ",A385),"")</f>
        <v/>
      </c>
      <c r="E385" s="30" t="str">
        <f t="shared" si="5"/>
        <v/>
      </c>
    </row>
    <row r="386" spans="1:5">
      <c r="A386" s="253" t="s">
        <v>959</v>
      </c>
      <c r="B386" s="46" t="s">
        <v>771</v>
      </c>
      <c r="C386" s="253">
        <v>242</v>
      </c>
      <c r="D386" s="30" t="str">
        <f>IF(AND(OR(Data!B$3="h",Data!B$3="ph",Data!B$3="mh",Data!$B$3="hm"),Data!B$10="L",Data!B$6=4.5),CONCATENATE(B386," ",A386),"")</f>
        <v/>
      </c>
      <c r="E386" s="30" t="str">
        <f t="shared" si="5"/>
        <v/>
      </c>
    </row>
    <row r="387" spans="1:5">
      <c r="A387" s="253" t="s">
        <v>960</v>
      </c>
      <c r="B387" s="46" t="s">
        <v>771</v>
      </c>
      <c r="C387" s="253">
        <v>303</v>
      </c>
      <c r="D387" s="30" t="str">
        <f>IF(AND(OR(Data!B$3="h",Data!B$3="ph",Data!B$3="mh",Data!$B$3="hm"),Data!B$10="L",Data!B$6=5),CONCATENATE(B387," ",A387),"")</f>
        <v/>
      </c>
      <c r="E387" s="30" t="str">
        <f t="shared" si="5"/>
        <v/>
      </c>
    </row>
    <row r="388" spans="1:5">
      <c r="A388" s="253" t="s">
        <v>961</v>
      </c>
      <c r="B388" s="46" t="s">
        <v>771</v>
      </c>
      <c r="C388" s="253">
        <v>454</v>
      </c>
      <c r="D388" s="30" t="str">
        <f>IF(AND(OR(Data!B$3="h",Data!B$3="ph",Data!B$3="mh",Data!$B$3="hm"),Data!B$10="L",Data!B$6=5.5),CONCATENATE(B388," ",A388),"")</f>
        <v/>
      </c>
      <c r="E388" s="30" t="str">
        <f t="shared" si="5"/>
        <v/>
      </c>
    </row>
    <row r="389" spans="1:5">
      <c r="A389" s="253" t="s">
        <v>768</v>
      </c>
      <c r="B389" s="46" t="s">
        <v>771</v>
      </c>
      <c r="C389" s="253">
        <v>908</v>
      </c>
      <c r="D389" s="30" t="str">
        <f>IF(AND(OR(Data!B$3="h",Data!B$3="ph",Data!B$3="mh",Data!$B$3="hm"),Data!B$10="L",Data!B$6=7),CONCATENATE(B389," ",A389),"")</f>
        <v/>
      </c>
      <c r="E389" s="30" t="str">
        <f t="shared" si="5"/>
        <v/>
      </c>
    </row>
    <row r="390" spans="1:5">
      <c r="A390" s="253" t="s">
        <v>769</v>
      </c>
      <c r="B390" s="46" t="s">
        <v>771</v>
      </c>
      <c r="C390" s="253">
        <v>1362</v>
      </c>
      <c r="D390" s="30" t="str">
        <f>IF(AND(OR(Data!B$3="h",Data!B$3="ph",Data!B$3="mh",Data!$B$3="hm"),Data!B$10="L",Data!B$6=8),CONCATENATE(B390," ",A390),"")</f>
        <v/>
      </c>
      <c r="E390" s="30" t="str">
        <f t="shared" si="5"/>
        <v/>
      </c>
    </row>
    <row r="391" spans="1:5">
      <c r="A391" s="253" t="s">
        <v>80</v>
      </c>
      <c r="B391" s="46" t="s">
        <v>2</v>
      </c>
      <c r="C391" s="253">
        <v>62</v>
      </c>
      <c r="D391" s="30" t="str">
        <f>IF(AND(OR(Data!B$3="h",Data!B$3="ph",Data!B$3="mh",Data!$B$3="hm"),Data!B$10="V",Data!B$6=0.625),CONCATENATE(B391," ",A391),"")</f>
        <v/>
      </c>
      <c r="E391" s="30" t="str">
        <f t="shared" si="5"/>
        <v/>
      </c>
    </row>
    <row r="392" spans="1:5">
      <c r="A392" s="253" t="s">
        <v>81</v>
      </c>
      <c r="B392" s="46" t="s">
        <v>2</v>
      </c>
      <c r="C392" s="253">
        <v>65</v>
      </c>
      <c r="D392" s="30" t="str">
        <f>IF(AND(OR(Data!B$3="h",Data!B$3="ph",Data!B$3="mh",Data!$B$3="hm"),Data!B$10="V",Data!B$6=1),CONCATENATE(B392," ",A392),"")</f>
        <v/>
      </c>
      <c r="E392" s="30" t="str">
        <f t="shared" si="5"/>
        <v/>
      </c>
    </row>
    <row r="393" spans="1:5">
      <c r="A393" s="253" t="s">
        <v>96</v>
      </c>
      <c r="B393" s="46" t="s">
        <v>2</v>
      </c>
      <c r="C393" s="253">
        <v>2324</v>
      </c>
      <c r="D393" s="30" t="str">
        <f>IF(AND(OR(Data!B$3="h",Data!B$3="ph",Data!B$3="mh",Data!$B$3="hm"),Data!B$10="V",Data!B$6=10),CONCATENATE(B393," ",A393),"")</f>
        <v/>
      </c>
      <c r="E393" s="30" t="str">
        <f t="shared" si="5"/>
        <v/>
      </c>
    </row>
    <row r="394" spans="1:5">
      <c r="A394" s="253" t="s">
        <v>82</v>
      </c>
      <c r="B394" s="46" t="s">
        <v>2</v>
      </c>
      <c r="C394" s="253">
        <v>90</v>
      </c>
      <c r="D394" s="30" t="str">
        <f>IF(AND(OR(Data!B$3="h",Data!B$3="ph",Data!B$3="mh",Data!$B$3="hm"),Data!B$10="V",Data!B$6=1.375),CONCATENATE(B394," ",A394),"")</f>
        <v/>
      </c>
      <c r="E394" s="30" t="str">
        <f t="shared" si="5"/>
        <v/>
      </c>
    </row>
    <row r="395" spans="1:5">
      <c r="A395" s="253" t="s">
        <v>83</v>
      </c>
      <c r="B395" s="46" t="s">
        <v>2</v>
      </c>
      <c r="C395" s="253">
        <v>90</v>
      </c>
      <c r="D395" s="30" t="str">
        <f>IF(AND(OR(Data!B$3="h",Data!B$3="ph",Data!B$3="mh",Data!$B$3="hm"),Data!B$10="V",Data!B$6=1.75),CONCATENATE(B395," ",A395),"")</f>
        <v/>
      </c>
      <c r="E395" s="30" t="str">
        <f t="shared" si="5"/>
        <v/>
      </c>
    </row>
    <row r="396" spans="1:5">
      <c r="A396" s="253" t="s">
        <v>575</v>
      </c>
      <c r="B396" s="46" t="s">
        <v>2</v>
      </c>
      <c r="C396" s="253">
        <v>105</v>
      </c>
      <c r="D396" s="30" t="str">
        <f>IF(AND(OR(Data!B$3="h",Data!B$3="ph",Data!B$3="mh",Data!$B$3="hm"),Data!B$10="V",Data!B$6=2),CONCATENATE(B396," ",A396),"")</f>
        <v/>
      </c>
      <c r="E396" s="30" t="str">
        <f t="shared" si="5"/>
        <v/>
      </c>
    </row>
    <row r="397" spans="1:5">
      <c r="A397" s="253" t="s">
        <v>862</v>
      </c>
      <c r="B397" s="46" t="s">
        <v>2</v>
      </c>
      <c r="C397" s="253">
        <v>119</v>
      </c>
      <c r="D397" s="30" t="str">
        <f>IF(AND(OR(Data!B$3="h",Data!B$3="ph",Data!B$3="mh",Data!$B$3="hm"),Data!B$10="V",Data!B$6=2.5),CONCATENATE(B397," ",A397),"")</f>
        <v/>
      </c>
      <c r="E397" s="30" t="str">
        <f t="shared" si="5"/>
        <v/>
      </c>
    </row>
    <row r="398" spans="1:5">
      <c r="A398" s="253" t="s">
        <v>407</v>
      </c>
      <c r="B398" s="46" t="s">
        <v>2</v>
      </c>
      <c r="C398" s="253">
        <v>168</v>
      </c>
      <c r="D398" s="30" t="str">
        <f>IF(AND(OR(Data!B$3="h",Data!B$3="ph",Data!B$3="mh",Data!$B$3="hm"),Data!B$10="V",Data!B$6=3),CONCATENATE(B398," ",A398),"")</f>
        <v/>
      </c>
      <c r="E398" s="30" t="str">
        <f t="shared" si="5"/>
        <v/>
      </c>
    </row>
    <row r="399" spans="1:5">
      <c r="A399" s="253" t="s">
        <v>408</v>
      </c>
      <c r="B399" s="46" t="s">
        <v>2</v>
      </c>
      <c r="C399" s="253">
        <v>193</v>
      </c>
      <c r="D399" s="30" t="str">
        <f>IF(AND(OR(Data!B$3="h",Data!B$3="ph",Data!B$3="mh",Data!$B$3="hm"),Data!B$10="V",Data!B$6=3.5),CONCATENATE(B399," ",A399),"")</f>
        <v/>
      </c>
      <c r="E399" s="30" t="str">
        <f t="shared" si="5"/>
        <v/>
      </c>
    </row>
    <row r="400" spans="1:5">
      <c r="A400" s="253" t="s">
        <v>409</v>
      </c>
      <c r="B400" s="46" t="s">
        <v>2</v>
      </c>
      <c r="C400" s="253">
        <v>242</v>
      </c>
      <c r="D400" s="30" t="str">
        <f>IF(AND(OR(Data!B$3="h",Data!B$3="ph",Data!B$3="mh",Data!$B$3="hm"),Data!B$10="V",Data!B$6=4),CONCATENATE(B400," ",A400),"")</f>
        <v/>
      </c>
      <c r="E400" s="30" t="str">
        <f t="shared" si="5"/>
        <v/>
      </c>
    </row>
    <row r="401" spans="1:5">
      <c r="A401" s="253" t="s">
        <v>483</v>
      </c>
      <c r="B401" s="46" t="s">
        <v>2</v>
      </c>
      <c r="C401" s="253">
        <v>287</v>
      </c>
      <c r="D401" s="30" t="str">
        <f>IF(AND(OR(Data!B$3="h",Data!B$3="ph",Data!B$3="mh",Data!$B$3="hm"),Data!B$10="V",Data!B$6=4.5),CONCATENATE(B401," ",A401),"")</f>
        <v/>
      </c>
      <c r="E401" s="30" t="str">
        <f t="shared" si="5"/>
        <v/>
      </c>
    </row>
    <row r="402" spans="1:5">
      <c r="A402" s="253" t="s">
        <v>725</v>
      </c>
      <c r="B402" s="46" t="s">
        <v>2</v>
      </c>
      <c r="C402" s="253">
        <v>358</v>
      </c>
      <c r="D402" s="30" t="str">
        <f>IF(AND(OR(Data!B$3="h",Data!B$3="ph",Data!B$3="mh",Data!$B$3="hm"),Data!B$10="V",Data!B$6=5),CONCATENATE(B402," ",A402),"")</f>
        <v/>
      </c>
      <c r="E402" s="30" t="str">
        <f t="shared" si="5"/>
        <v/>
      </c>
    </row>
    <row r="403" spans="1:5">
      <c r="A403" s="253" t="s">
        <v>109</v>
      </c>
      <c r="B403" s="46" t="s">
        <v>2</v>
      </c>
      <c r="C403" s="253">
        <v>537</v>
      </c>
      <c r="D403" s="30" t="str">
        <f>IF(AND(OR(Data!B$3="h",Data!B$3="ph",Data!B$3="mh",Data!$B$3="hm"),Data!B$10="V",Data!B$6=5.5),CONCATENATE(B403," ",A403),"")</f>
        <v/>
      </c>
      <c r="E403" s="30" t="str">
        <f t="shared" si="5"/>
        <v/>
      </c>
    </row>
    <row r="404" spans="1:5">
      <c r="A404" s="253" t="s">
        <v>465</v>
      </c>
      <c r="B404" s="46" t="s">
        <v>2</v>
      </c>
      <c r="C404" s="253">
        <v>1073</v>
      </c>
      <c r="D404" s="30" t="str">
        <f>IF(AND(OR(Data!B$3="h",Data!B$3="ph",Data!B$3="mh",Data!$B$3="hm"),Data!B$10="V",Data!B$6=7),CONCATENATE(B404," ",A404),"")</f>
        <v/>
      </c>
      <c r="E404" s="30" t="str">
        <f t="shared" si="5"/>
        <v/>
      </c>
    </row>
    <row r="405" spans="1:5">
      <c r="A405" s="253" t="s">
        <v>95</v>
      </c>
      <c r="B405" s="46" t="s">
        <v>2</v>
      </c>
      <c r="C405" s="253">
        <v>1609</v>
      </c>
      <c r="D405" s="30" t="str">
        <f>IF(AND(OR(Data!B$3="h",Data!B$3="ph",Data!B$3="mh",Data!$B$3="hm"),Data!B$10="V",Data!B$6=8),CONCATENATE(B405," ",A405),"")</f>
        <v/>
      </c>
      <c r="E405" s="30" t="str">
        <f t="shared" si="5"/>
        <v/>
      </c>
    </row>
    <row r="406" spans="1:5">
      <c r="A406" s="57" t="s">
        <v>122</v>
      </c>
      <c r="B406" s="30" t="s">
        <v>752</v>
      </c>
      <c r="C406" s="253">
        <f>Acc!K22</f>
        <v>305</v>
      </c>
      <c r="E406" s="30" t="str">
        <f t="shared" si="5"/>
        <v/>
      </c>
    </row>
    <row r="407" spans="1:5">
      <c r="A407" s="57" t="s">
        <v>120</v>
      </c>
      <c r="B407" s="30" t="s">
        <v>703</v>
      </c>
      <c r="C407" s="253">
        <f>Acc!K23</f>
        <v>318</v>
      </c>
      <c r="E407" s="30" t="str">
        <f t="shared" si="5"/>
        <v/>
      </c>
    </row>
    <row r="408" spans="1:5">
      <c r="A408" s="57" t="s">
        <v>121</v>
      </c>
      <c r="B408" s="30" t="s">
        <v>372</v>
      </c>
      <c r="C408" s="253">
        <f>Acc!K24</f>
        <v>324</v>
      </c>
      <c r="E408" s="30" t="str">
        <f t="shared" si="5"/>
        <v/>
      </c>
    </row>
    <row r="409" spans="1:5">
      <c r="A409" s="57" t="s">
        <v>123</v>
      </c>
      <c r="B409" s="30" t="s">
        <v>657</v>
      </c>
      <c r="C409" s="253">
        <f>Acc!K25</f>
        <v>329</v>
      </c>
      <c r="E409" s="30" t="str">
        <f t="shared" si="5"/>
        <v/>
      </c>
    </row>
    <row r="410" spans="1:5">
      <c r="A410" s="57" t="s">
        <v>749</v>
      </c>
      <c r="B410" s="30" t="s">
        <v>865</v>
      </c>
      <c r="C410" s="253">
        <f>Acc!K26</f>
        <v>335</v>
      </c>
      <c r="E410" s="30" t="str">
        <f t="shared" si="5"/>
        <v/>
      </c>
    </row>
    <row r="411" spans="1:5">
      <c r="A411" s="57" t="s">
        <v>601</v>
      </c>
      <c r="B411" s="30" t="s">
        <v>566</v>
      </c>
      <c r="C411" s="253">
        <f>Acc!K27</f>
        <v>380</v>
      </c>
      <c r="E411" s="30" t="str">
        <f t="shared" si="5"/>
        <v/>
      </c>
    </row>
    <row r="412" spans="1:5">
      <c r="A412" s="57" t="s">
        <v>246</v>
      </c>
      <c r="B412" s="30" t="s">
        <v>668</v>
      </c>
      <c r="C412" s="253">
        <f>Acc!K28</f>
        <v>386</v>
      </c>
      <c r="E412" s="30" t="str">
        <f t="shared" si="5"/>
        <v/>
      </c>
    </row>
    <row r="413" spans="1:5">
      <c r="A413" s="57" t="s">
        <v>247</v>
      </c>
      <c r="B413" s="30" t="s">
        <v>490</v>
      </c>
      <c r="C413" s="253">
        <f>Acc!K29</f>
        <v>431</v>
      </c>
      <c r="E413" s="30" t="str">
        <f t="shared" si="5"/>
        <v/>
      </c>
    </row>
    <row r="414" spans="1:5">
      <c r="A414" s="57" t="s">
        <v>610</v>
      </c>
      <c r="B414" s="30" t="s">
        <v>365</v>
      </c>
      <c r="C414" s="253">
        <f>Acc!K30</f>
        <v>445</v>
      </c>
      <c r="E414" s="30" t="str">
        <f t="shared" si="5"/>
        <v/>
      </c>
    </row>
    <row r="415" spans="1:5">
      <c r="A415" s="57" t="s">
        <v>187</v>
      </c>
      <c r="B415" s="30" t="s">
        <v>691</v>
      </c>
      <c r="C415" s="253">
        <f>Acc!K31</f>
        <v>1024</v>
      </c>
      <c r="E415" s="30" t="str">
        <f t="shared" si="5"/>
        <v/>
      </c>
    </row>
    <row r="416" spans="1:5">
      <c r="A416" s="57" t="s">
        <v>750</v>
      </c>
      <c r="B416" s="30" t="s">
        <v>183</v>
      </c>
      <c r="C416" s="253">
        <f>Acc!K32</f>
        <v>1247</v>
      </c>
      <c r="E416" s="30" t="str">
        <f t="shared" si="5"/>
        <v/>
      </c>
    </row>
    <row r="417" spans="1:5">
      <c r="A417" s="57" t="s">
        <v>476</v>
      </c>
      <c r="B417" s="30" t="s">
        <v>79</v>
      </c>
      <c r="C417" s="253">
        <v>13</v>
      </c>
      <c r="E417" s="30" t="str">
        <f t="shared" si="5"/>
        <v/>
      </c>
    </row>
    <row r="418" spans="1:5">
      <c r="A418" s="57" t="s">
        <v>203</v>
      </c>
      <c r="B418" s="30" t="s">
        <v>99</v>
      </c>
      <c r="C418" s="57">
        <v>16</v>
      </c>
      <c r="E418" s="30" t="str">
        <f t="shared" si="5"/>
        <v/>
      </c>
    </row>
    <row r="419" spans="1:5">
      <c r="A419" s="57" t="s">
        <v>218</v>
      </c>
      <c r="B419" s="30" t="s">
        <v>79</v>
      </c>
      <c r="C419" s="253">
        <v>16</v>
      </c>
      <c r="E419" s="30" t="str">
        <f t="shared" si="5"/>
        <v/>
      </c>
    </row>
    <row r="420" spans="1:5">
      <c r="A420" s="57" t="s">
        <v>584</v>
      </c>
      <c r="B420" s="30" t="s">
        <v>99</v>
      </c>
      <c r="C420" s="57">
        <v>25</v>
      </c>
      <c r="E420" s="30" t="str">
        <f t="shared" si="5"/>
        <v/>
      </c>
    </row>
    <row r="421" spans="1:5">
      <c r="A421" s="57" t="s">
        <v>361</v>
      </c>
      <c r="B421" s="30" t="s">
        <v>79</v>
      </c>
      <c r="C421" s="253">
        <v>23</v>
      </c>
      <c r="E421" s="30" t="str">
        <f t="shared" si="5"/>
        <v/>
      </c>
    </row>
    <row r="422" spans="1:5">
      <c r="A422" s="57" t="s">
        <v>295</v>
      </c>
      <c r="B422" s="30" t="s">
        <v>99</v>
      </c>
      <c r="C422" s="57">
        <v>41</v>
      </c>
      <c r="E422" s="30" t="str">
        <f t="shared" si="5"/>
        <v/>
      </c>
    </row>
    <row r="423" spans="1:5">
      <c r="A423" s="57" t="s">
        <v>539</v>
      </c>
      <c r="B423" s="30" t="s">
        <v>79</v>
      </c>
      <c r="C423" s="253">
        <v>32</v>
      </c>
      <c r="E423" s="30" t="str">
        <f t="shared" si="5"/>
        <v/>
      </c>
    </row>
    <row r="424" spans="1:5">
      <c r="A424" s="57" t="s">
        <v>744</v>
      </c>
      <c r="B424" s="30" t="s">
        <v>99</v>
      </c>
      <c r="C424" s="57">
        <v>56</v>
      </c>
      <c r="E424" s="30" t="str">
        <f t="shared" si="5"/>
        <v/>
      </c>
    </row>
    <row r="425" spans="1:5">
      <c r="A425" s="57" t="s">
        <v>354</v>
      </c>
      <c r="B425" s="30" t="s">
        <v>79</v>
      </c>
      <c r="C425" s="253">
        <v>43</v>
      </c>
      <c r="E425" s="30" t="str">
        <f t="shared" si="5"/>
        <v/>
      </c>
    </row>
    <row r="426" spans="1:5">
      <c r="A426" s="57" t="s">
        <v>684</v>
      </c>
      <c r="B426" s="30" t="s">
        <v>99</v>
      </c>
      <c r="C426" s="57">
        <v>68</v>
      </c>
      <c r="E426" s="30" t="str">
        <f t="shared" si="5"/>
        <v/>
      </c>
    </row>
    <row r="427" spans="1:5">
      <c r="A427" s="57" t="s">
        <v>355</v>
      </c>
      <c r="B427" s="30" t="s">
        <v>79</v>
      </c>
      <c r="C427" s="253">
        <v>59</v>
      </c>
      <c r="E427" s="30" t="str">
        <f t="shared" si="5"/>
        <v/>
      </c>
    </row>
    <row r="428" spans="1:5">
      <c r="A428" s="57" t="s">
        <v>685</v>
      </c>
      <c r="B428" s="30" t="s">
        <v>99</v>
      </c>
      <c r="C428" s="57">
        <v>77</v>
      </c>
      <c r="E428" s="30" t="str">
        <f t="shared" si="5"/>
        <v/>
      </c>
    </row>
    <row r="429" spans="1:5">
      <c r="A429" s="57" t="s">
        <v>312</v>
      </c>
      <c r="B429" s="30" t="s">
        <v>79</v>
      </c>
      <c r="C429" s="253">
        <v>104</v>
      </c>
      <c r="E429" s="30" t="str">
        <f t="shared" si="5"/>
        <v/>
      </c>
    </row>
    <row r="430" spans="1:5">
      <c r="A430" s="57" t="s">
        <v>764</v>
      </c>
      <c r="B430" s="30" t="s">
        <v>79</v>
      </c>
      <c r="C430" s="253">
        <v>154</v>
      </c>
      <c r="E430" s="30" t="str">
        <f t="shared" ref="E430:E484" si="6">IF(D430="","",C430)</f>
        <v/>
      </c>
    </row>
    <row r="431" spans="1:5">
      <c r="A431" s="57" t="s">
        <v>458</v>
      </c>
      <c r="B431" s="30" t="s">
        <v>79</v>
      </c>
      <c r="C431" s="253">
        <v>212</v>
      </c>
      <c r="E431" s="30" t="str">
        <f t="shared" si="6"/>
        <v/>
      </c>
    </row>
    <row r="432" spans="1:5">
      <c r="A432" s="57" t="s">
        <v>195</v>
      </c>
      <c r="B432" s="30" t="s">
        <v>79</v>
      </c>
      <c r="C432" s="253">
        <v>292</v>
      </c>
      <c r="E432" s="30" t="str">
        <f t="shared" si="6"/>
        <v/>
      </c>
    </row>
    <row r="433" spans="1:5">
      <c r="A433" s="57" t="s">
        <v>693</v>
      </c>
      <c r="B433" s="30" t="s">
        <v>404</v>
      </c>
      <c r="C433" s="57">
        <v>51</v>
      </c>
      <c r="E433" s="30" t="str">
        <f t="shared" si="6"/>
        <v/>
      </c>
    </row>
    <row r="434" spans="1:5">
      <c r="A434" s="57" t="s">
        <v>837</v>
      </c>
      <c r="B434" s="30" t="s">
        <v>336</v>
      </c>
      <c r="C434" s="57">
        <v>51</v>
      </c>
      <c r="E434" s="30" t="str">
        <f t="shared" si="6"/>
        <v/>
      </c>
    </row>
    <row r="435" spans="1:5">
      <c r="A435" s="57" t="s">
        <v>237</v>
      </c>
      <c r="B435" s="30" t="s">
        <v>729</v>
      </c>
      <c r="C435" s="57">
        <v>76</v>
      </c>
      <c r="E435" s="30" t="str">
        <f t="shared" si="6"/>
        <v/>
      </c>
    </row>
    <row r="436" spans="1:5">
      <c r="A436" s="57" t="s">
        <v>546</v>
      </c>
      <c r="B436" s="30" t="s">
        <v>184</v>
      </c>
      <c r="C436" s="57">
        <v>104</v>
      </c>
      <c r="E436" s="30" t="str">
        <f t="shared" si="6"/>
        <v/>
      </c>
    </row>
    <row r="437" spans="1:5">
      <c r="A437" s="57" t="s">
        <v>339</v>
      </c>
      <c r="B437" s="30" t="s">
        <v>537</v>
      </c>
      <c r="C437" s="57">
        <v>104</v>
      </c>
      <c r="E437" s="30" t="str">
        <f t="shared" si="6"/>
        <v/>
      </c>
    </row>
    <row r="438" spans="1:5">
      <c r="A438" s="57" t="s">
        <v>262</v>
      </c>
      <c r="B438" s="30" t="s">
        <v>236</v>
      </c>
      <c r="C438" s="57">
        <v>167</v>
      </c>
      <c r="E438" s="30" t="str">
        <f t="shared" si="6"/>
        <v/>
      </c>
    </row>
    <row r="439" spans="1:5">
      <c r="A439" s="57" t="s">
        <v>263</v>
      </c>
      <c r="B439" s="30" t="s">
        <v>838</v>
      </c>
      <c r="C439" s="57">
        <v>210</v>
      </c>
      <c r="E439" s="30" t="str">
        <f t="shared" si="6"/>
        <v/>
      </c>
    </row>
    <row r="440" spans="1:5">
      <c r="A440" s="57" t="s">
        <v>264</v>
      </c>
      <c r="B440" s="30" t="s">
        <v>104</v>
      </c>
      <c r="C440" s="57">
        <v>344</v>
      </c>
      <c r="E440" s="30" t="str">
        <f t="shared" si="6"/>
        <v/>
      </c>
    </row>
    <row r="441" spans="1:5">
      <c r="A441" s="57" t="s">
        <v>512</v>
      </c>
      <c r="B441" s="30" t="s">
        <v>598</v>
      </c>
      <c r="C441" s="57">
        <v>344</v>
      </c>
      <c r="E441" s="30" t="str">
        <f t="shared" si="6"/>
        <v/>
      </c>
    </row>
    <row r="442" spans="1:5">
      <c r="A442" s="57" t="s">
        <v>513</v>
      </c>
      <c r="B442" s="30" t="s">
        <v>660</v>
      </c>
      <c r="C442" s="57">
        <v>588</v>
      </c>
      <c r="E442" s="30" t="str">
        <f t="shared" si="6"/>
        <v/>
      </c>
    </row>
    <row r="443" spans="1:5">
      <c r="A443" s="57" t="s">
        <v>439</v>
      </c>
      <c r="B443" s="30" t="s">
        <v>441</v>
      </c>
      <c r="C443" s="57">
        <v>853</v>
      </c>
      <c r="E443" s="30" t="str">
        <f t="shared" si="6"/>
        <v/>
      </c>
    </row>
    <row r="444" spans="1:5">
      <c r="A444" s="57" t="s">
        <v>514</v>
      </c>
      <c r="B444" s="30" t="s">
        <v>326</v>
      </c>
      <c r="C444" s="57">
        <v>1285</v>
      </c>
      <c r="E444" s="30" t="str">
        <f t="shared" si="6"/>
        <v/>
      </c>
    </row>
    <row r="445" spans="1:5">
      <c r="A445" s="57" t="s">
        <v>515</v>
      </c>
      <c r="B445" s="30" t="s">
        <v>108</v>
      </c>
      <c r="C445" s="57">
        <v>1471</v>
      </c>
      <c r="E445" s="30" t="str">
        <f t="shared" si="6"/>
        <v/>
      </c>
    </row>
    <row r="446" spans="1:5">
      <c r="A446" s="57" t="s">
        <v>93</v>
      </c>
      <c r="B446" s="30" t="s">
        <v>426</v>
      </c>
      <c r="C446" s="57">
        <v>1683</v>
      </c>
      <c r="E446" s="30" t="str">
        <f t="shared" si="6"/>
        <v/>
      </c>
    </row>
    <row r="447" spans="1:5">
      <c r="A447" s="57" t="s">
        <v>94</v>
      </c>
      <c r="B447" s="30" t="s">
        <v>733</v>
      </c>
      <c r="C447" s="57">
        <v>1900</v>
      </c>
      <c r="E447" s="30" t="str">
        <f t="shared" si="6"/>
        <v/>
      </c>
    </row>
    <row r="448" spans="1:5">
      <c r="A448" s="57" t="s">
        <v>522</v>
      </c>
      <c r="B448" s="30" t="s">
        <v>413</v>
      </c>
      <c r="C448" s="253">
        <v>16</v>
      </c>
      <c r="E448" s="30" t="str">
        <f t="shared" si="6"/>
        <v/>
      </c>
    </row>
    <row r="449" spans="1:5">
      <c r="A449" s="57" t="s">
        <v>207</v>
      </c>
      <c r="B449" s="30" t="s">
        <v>570</v>
      </c>
      <c r="C449" s="253">
        <v>30</v>
      </c>
      <c r="E449" s="30" t="str">
        <f t="shared" si="6"/>
        <v/>
      </c>
    </row>
    <row r="450" spans="1:5">
      <c r="A450" s="57" t="s">
        <v>202</v>
      </c>
      <c r="B450" s="30" t="s">
        <v>718</v>
      </c>
      <c r="C450" s="253">
        <v>31</v>
      </c>
      <c r="E450" s="30" t="str">
        <f t="shared" si="6"/>
        <v/>
      </c>
    </row>
    <row r="451" spans="1:5">
      <c r="A451" s="57" t="s">
        <v>612</v>
      </c>
      <c r="B451" s="30" t="s">
        <v>90</v>
      </c>
      <c r="C451" s="253">
        <v>51</v>
      </c>
      <c r="E451" s="30" t="str">
        <f t="shared" si="6"/>
        <v/>
      </c>
    </row>
    <row r="452" spans="1:5">
      <c r="A452" s="57" t="s">
        <v>452</v>
      </c>
      <c r="B452" s="30" t="s">
        <v>129</v>
      </c>
      <c r="C452" s="253">
        <v>74</v>
      </c>
      <c r="E452" s="30" t="str">
        <f t="shared" si="6"/>
        <v/>
      </c>
    </row>
    <row r="453" spans="1:5">
      <c r="A453" s="57" t="s">
        <v>164</v>
      </c>
      <c r="B453" s="30" t="s">
        <v>198</v>
      </c>
      <c r="C453" s="253">
        <v>75</v>
      </c>
      <c r="E453" s="30" t="str">
        <f t="shared" si="6"/>
        <v/>
      </c>
    </row>
    <row r="454" spans="1:5">
      <c r="A454" s="57" t="s">
        <v>163</v>
      </c>
      <c r="B454" s="30" t="s">
        <v>454</v>
      </c>
      <c r="C454" s="253">
        <v>119</v>
      </c>
      <c r="E454" s="30" t="str">
        <f t="shared" si="6"/>
        <v/>
      </c>
    </row>
    <row r="455" spans="1:5">
      <c r="A455" s="57" t="s">
        <v>205</v>
      </c>
      <c r="B455" s="30" t="s">
        <v>106</v>
      </c>
      <c r="C455" s="253">
        <v>134</v>
      </c>
      <c r="E455" s="30" t="str">
        <f t="shared" si="6"/>
        <v/>
      </c>
    </row>
    <row r="456" spans="1:5">
      <c r="A456" s="57" t="s">
        <v>206</v>
      </c>
      <c r="B456" s="30" t="s">
        <v>455</v>
      </c>
      <c r="C456" s="253">
        <v>145</v>
      </c>
      <c r="E456" s="30" t="str">
        <f t="shared" si="6"/>
        <v/>
      </c>
    </row>
    <row r="457" spans="1:5">
      <c r="A457" s="57" t="s">
        <v>201</v>
      </c>
      <c r="B457" s="30" t="s">
        <v>502</v>
      </c>
      <c r="C457" s="253">
        <v>344</v>
      </c>
      <c r="E457" s="30" t="str">
        <f t="shared" si="6"/>
        <v/>
      </c>
    </row>
    <row r="458" spans="1:5">
      <c r="A458" s="57" t="s">
        <v>255</v>
      </c>
      <c r="B458" s="30" t="s">
        <v>72</v>
      </c>
      <c r="C458" s="253">
        <v>458</v>
      </c>
      <c r="E458" s="30" t="str">
        <f t="shared" si="6"/>
        <v/>
      </c>
    </row>
    <row r="459" spans="1:5">
      <c r="A459" s="57" t="s">
        <v>256</v>
      </c>
      <c r="B459" s="30" t="s">
        <v>71</v>
      </c>
      <c r="C459" s="253">
        <v>573</v>
      </c>
      <c r="E459" s="30" t="str">
        <f t="shared" si="6"/>
        <v/>
      </c>
    </row>
    <row r="460" spans="1:5">
      <c r="A460" s="57" t="s">
        <v>422</v>
      </c>
      <c r="B460" s="30" t="s">
        <v>702</v>
      </c>
      <c r="C460" s="57">
        <v>109</v>
      </c>
      <c r="E460" s="30" t="str">
        <f t="shared" si="6"/>
        <v/>
      </c>
    </row>
    <row r="461" spans="1:5">
      <c r="A461" s="57" t="s">
        <v>741</v>
      </c>
      <c r="B461" s="30" t="s">
        <v>76</v>
      </c>
      <c r="C461" s="57">
        <v>166</v>
      </c>
      <c r="E461" s="30" t="str">
        <f t="shared" si="6"/>
        <v/>
      </c>
    </row>
    <row r="462" spans="1:5">
      <c r="A462" s="57" t="s">
        <v>662</v>
      </c>
      <c r="B462" s="30" t="s">
        <v>258</v>
      </c>
      <c r="C462" s="57">
        <v>202</v>
      </c>
      <c r="E462" s="30" t="str">
        <f t="shared" si="6"/>
        <v/>
      </c>
    </row>
    <row r="463" spans="1:5">
      <c r="A463" s="57" t="s">
        <v>699</v>
      </c>
      <c r="B463" s="30" t="s">
        <v>329</v>
      </c>
      <c r="C463" s="57">
        <v>242</v>
      </c>
      <c r="E463" s="30" t="str">
        <f t="shared" si="6"/>
        <v/>
      </c>
    </row>
    <row r="464" spans="1:5">
      <c r="A464" s="57" t="s">
        <v>188</v>
      </c>
      <c r="B464" s="30" t="s">
        <v>730</v>
      </c>
      <c r="C464" s="57">
        <v>484</v>
      </c>
      <c r="E464" s="30" t="str">
        <f t="shared" si="6"/>
        <v/>
      </c>
    </row>
    <row r="465" spans="1:5">
      <c r="A465" s="57" t="s">
        <v>536</v>
      </c>
      <c r="B465" s="30" t="s">
        <v>663</v>
      </c>
      <c r="C465" s="57">
        <v>748</v>
      </c>
      <c r="E465" s="30" t="str">
        <f t="shared" si="6"/>
        <v/>
      </c>
    </row>
    <row r="466" spans="1:5">
      <c r="A466" s="57" t="s">
        <v>442</v>
      </c>
      <c r="B466" s="30" t="s">
        <v>717</v>
      </c>
      <c r="C466" s="57">
        <v>175</v>
      </c>
      <c r="E466" s="30" t="str">
        <f t="shared" si="6"/>
        <v/>
      </c>
    </row>
    <row r="467" spans="1:5">
      <c r="A467" s="57" t="s">
        <v>694</v>
      </c>
      <c r="B467" s="30" t="s">
        <v>717</v>
      </c>
      <c r="C467" s="57">
        <v>185</v>
      </c>
      <c r="E467" s="30" t="str">
        <f t="shared" si="6"/>
        <v/>
      </c>
    </row>
    <row r="468" spans="1:5">
      <c r="A468" s="57" t="s">
        <v>500</v>
      </c>
      <c r="B468" s="30" t="s">
        <v>717</v>
      </c>
      <c r="C468" s="57">
        <v>195</v>
      </c>
      <c r="E468" s="30" t="str">
        <f t="shared" si="6"/>
        <v/>
      </c>
    </row>
    <row r="469" spans="1:5">
      <c r="A469" s="57" t="s">
        <v>739</v>
      </c>
      <c r="B469" s="30" t="s">
        <v>717</v>
      </c>
      <c r="C469" s="57">
        <v>275</v>
      </c>
      <c r="E469" s="30" t="str">
        <f t="shared" si="6"/>
        <v/>
      </c>
    </row>
    <row r="470" spans="1:5">
      <c r="A470" s="57" t="s">
        <v>740</v>
      </c>
      <c r="B470" s="30" t="s">
        <v>717</v>
      </c>
      <c r="C470" s="57">
        <v>300</v>
      </c>
      <c r="E470" s="30" t="str">
        <f t="shared" si="6"/>
        <v/>
      </c>
    </row>
    <row r="471" spans="1:5">
      <c r="A471" s="57" t="s">
        <v>434</v>
      </c>
      <c r="B471" s="30" t="s">
        <v>717</v>
      </c>
      <c r="C471" s="57">
        <v>325</v>
      </c>
      <c r="E471" s="30" t="str">
        <f t="shared" si="6"/>
        <v/>
      </c>
    </row>
    <row r="472" spans="1:5">
      <c r="A472" s="57" t="s">
        <v>291</v>
      </c>
      <c r="B472" s="30" t="s">
        <v>717</v>
      </c>
      <c r="C472" s="57">
        <v>450</v>
      </c>
      <c r="E472" s="30" t="str">
        <f t="shared" si="6"/>
        <v/>
      </c>
    </row>
    <row r="473" spans="1:5">
      <c r="A473" s="57" t="s">
        <v>464</v>
      </c>
      <c r="B473" s="30" t="s">
        <v>717</v>
      </c>
      <c r="C473" s="57">
        <v>550</v>
      </c>
      <c r="E473" s="30" t="str">
        <f t="shared" si="6"/>
        <v/>
      </c>
    </row>
    <row r="474" spans="1:5">
      <c r="A474" s="57" t="s">
        <v>199</v>
      </c>
      <c r="B474" s="30" t="s">
        <v>717</v>
      </c>
      <c r="C474" s="57">
        <v>600</v>
      </c>
      <c r="E474" s="30" t="str">
        <f t="shared" si="6"/>
        <v/>
      </c>
    </row>
    <row r="475" spans="1:5">
      <c r="A475" s="57" t="s">
        <v>101</v>
      </c>
      <c r="B475" s="30" t="s">
        <v>717</v>
      </c>
      <c r="C475" s="57">
        <v>750</v>
      </c>
      <c r="E475" s="30" t="str">
        <f t="shared" si="6"/>
        <v/>
      </c>
    </row>
    <row r="476" spans="1:5">
      <c r="A476" s="57" t="s">
        <v>480</v>
      </c>
      <c r="B476" s="30" t="s">
        <v>717</v>
      </c>
      <c r="C476" s="57">
        <v>850</v>
      </c>
      <c r="E476" s="30" t="str">
        <f t="shared" si="6"/>
        <v/>
      </c>
    </row>
    <row r="477" spans="1:5">
      <c r="A477" s="57" t="s">
        <v>257</v>
      </c>
      <c r="B477" s="30" t="s">
        <v>717</v>
      </c>
      <c r="C477" s="57">
        <v>995</v>
      </c>
      <c r="E477" s="30" t="str">
        <f t="shared" si="6"/>
        <v/>
      </c>
    </row>
    <row r="478" spans="1:5">
      <c r="A478" s="57" t="s">
        <v>279</v>
      </c>
      <c r="B478" s="30" t="s">
        <v>337</v>
      </c>
      <c r="C478" s="57">
        <v>115</v>
      </c>
      <c r="E478" s="30" t="str">
        <f t="shared" si="6"/>
        <v/>
      </c>
    </row>
    <row r="479" spans="1:5">
      <c r="A479" s="57" t="s">
        <v>681</v>
      </c>
      <c r="B479" s="30" t="s">
        <v>687</v>
      </c>
      <c r="C479" s="57">
        <v>156</v>
      </c>
      <c r="E479" s="30" t="str">
        <f t="shared" si="6"/>
        <v/>
      </c>
    </row>
    <row r="480" spans="1:5">
      <c r="A480" s="57" t="s">
        <v>308</v>
      </c>
      <c r="B480" s="30" t="s">
        <v>217</v>
      </c>
      <c r="C480" s="57">
        <v>166</v>
      </c>
      <c r="E480" s="30" t="str">
        <f t="shared" si="6"/>
        <v/>
      </c>
    </row>
    <row r="481" spans="1:5">
      <c r="A481" s="57" t="s">
        <v>855</v>
      </c>
      <c r="B481" s="30" t="s">
        <v>510</v>
      </c>
      <c r="C481" s="57">
        <v>207</v>
      </c>
      <c r="E481" s="30" t="str">
        <f t="shared" si="6"/>
        <v/>
      </c>
    </row>
    <row r="482" spans="1:5">
      <c r="A482" s="57" t="s">
        <v>473</v>
      </c>
      <c r="B482" s="30" t="s">
        <v>623</v>
      </c>
      <c r="C482" s="57">
        <v>263</v>
      </c>
      <c r="E482" s="30" t="str">
        <f t="shared" si="6"/>
        <v/>
      </c>
    </row>
    <row r="483" spans="1:5">
      <c r="A483" s="57" t="s">
        <v>843</v>
      </c>
      <c r="B483" s="30" t="s">
        <v>303</v>
      </c>
      <c r="C483" s="57">
        <v>465</v>
      </c>
      <c r="E483" s="30" t="str">
        <f t="shared" si="6"/>
        <v/>
      </c>
    </row>
    <row r="484" spans="1:5">
      <c r="A484" s="57" t="s">
        <v>576</v>
      </c>
      <c r="B484" s="30" t="s">
        <v>140</v>
      </c>
      <c r="C484" s="57">
        <v>509</v>
      </c>
      <c r="E484" s="30" t="str">
        <f t="shared" si="6"/>
        <v/>
      </c>
    </row>
    <row r="485" spans="1:5">
      <c r="E485" s="30" t="str">
        <f t="shared" ref="E485:E496" si="7">IF(D40="","",C40)</f>
        <v/>
      </c>
    </row>
    <row r="486" spans="1:5">
      <c r="C486" s="57"/>
      <c r="E486" s="30" t="str">
        <f t="shared" si="7"/>
        <v/>
      </c>
    </row>
    <row r="487" spans="1:5">
      <c r="C487" s="57"/>
      <c r="E487" s="30" t="str">
        <f t="shared" si="7"/>
        <v/>
      </c>
    </row>
    <row r="488" spans="1:5">
      <c r="C488" s="57"/>
      <c r="E488" s="30" t="str">
        <f t="shared" si="7"/>
        <v/>
      </c>
    </row>
    <row r="489" spans="1:5">
      <c r="C489" s="57"/>
      <c r="E489" s="30" t="str">
        <f t="shared" si="7"/>
        <v/>
      </c>
    </row>
    <row r="490" spans="1:5">
      <c r="C490" s="57"/>
      <c r="E490" s="30" t="str">
        <f t="shared" si="7"/>
        <v/>
      </c>
    </row>
    <row r="491" spans="1:5">
      <c r="C491" s="57"/>
      <c r="E491" s="30" t="str">
        <f t="shared" si="7"/>
        <v/>
      </c>
    </row>
    <row r="492" spans="1:5">
      <c r="C492" s="57"/>
      <c r="E492" s="30" t="str">
        <f t="shared" si="7"/>
        <v/>
      </c>
    </row>
    <row r="493" spans="1:5">
      <c r="C493" s="57"/>
      <c r="E493" s="30" t="str">
        <f t="shared" si="7"/>
        <v/>
      </c>
    </row>
    <row r="494" spans="1:5">
      <c r="C494" s="57"/>
      <c r="E494" s="30" t="str">
        <f t="shared" si="7"/>
        <v/>
      </c>
    </row>
    <row r="495" spans="1:5">
      <c r="C495" s="57"/>
      <c r="E495" s="30" t="str">
        <f t="shared" si="7"/>
        <v/>
      </c>
    </row>
    <row r="496" spans="1:5">
      <c r="C496" s="57"/>
      <c r="E496" s="30" t="str">
        <f t="shared" si="7"/>
        <v/>
      </c>
    </row>
    <row r="497" spans="3:3">
      <c r="C497" s="57"/>
    </row>
    <row r="498" spans="3:3">
      <c r="C498" s="57"/>
    </row>
    <row r="499" spans="3:3">
      <c r="C499" s="57"/>
    </row>
    <row r="500" spans="3:3">
      <c r="C500" s="57"/>
    </row>
    <row r="501" spans="3:3">
      <c r="C501" s="57"/>
    </row>
    <row r="502" spans="3:3">
      <c r="C502" s="57"/>
    </row>
    <row r="503" spans="3:3">
      <c r="C503" s="57"/>
    </row>
    <row r="504" spans="3:3">
      <c r="C504" s="57"/>
    </row>
    <row r="505" spans="3:3">
      <c r="C505" s="57"/>
    </row>
    <row r="506" spans="3:3">
      <c r="C506" s="57"/>
    </row>
    <row r="507" spans="3:3">
      <c r="C507" s="57"/>
    </row>
    <row r="508" spans="3:3">
      <c r="C508" s="57"/>
    </row>
    <row r="509" spans="3:3">
      <c r="C509" s="57"/>
    </row>
    <row r="510" spans="3:3">
      <c r="C510" s="57"/>
    </row>
    <row r="511" spans="3:3">
      <c r="C511" s="57"/>
    </row>
    <row r="512" spans="3:3">
      <c r="C512" s="57"/>
    </row>
    <row r="513" spans="3:3">
      <c r="C513" s="57"/>
    </row>
    <row r="514" spans="3:3">
      <c r="C514" s="57"/>
    </row>
    <row r="515" spans="3:3">
      <c r="C515" s="57"/>
    </row>
    <row r="516" spans="3:3">
      <c r="C516" s="57"/>
    </row>
    <row r="517" spans="3:3">
      <c r="C517" s="57"/>
    </row>
    <row r="518" spans="3:3">
      <c r="C518" s="57"/>
    </row>
    <row r="519" spans="3:3">
      <c r="C519" s="57"/>
    </row>
    <row r="520" spans="3:3">
      <c r="C520" s="57"/>
    </row>
    <row r="521" spans="3:3">
      <c r="C521" s="57"/>
    </row>
    <row r="522" spans="3:3">
      <c r="C522" s="57"/>
    </row>
    <row r="523" spans="3:3">
      <c r="C523" s="57"/>
    </row>
    <row r="524" spans="3:3">
      <c r="C524" s="57"/>
    </row>
    <row r="525" spans="3:3">
      <c r="C525" s="57"/>
    </row>
    <row r="526" spans="3:3">
      <c r="C526" s="57"/>
    </row>
    <row r="527" spans="3:3">
      <c r="C527" s="57"/>
    </row>
    <row r="528" spans="3:3">
      <c r="C528" s="57"/>
    </row>
    <row r="529" spans="3:3">
      <c r="C529" s="57"/>
    </row>
    <row r="530" spans="3:3">
      <c r="C530" s="57"/>
    </row>
    <row r="531" spans="3:3">
      <c r="C531" s="57"/>
    </row>
    <row r="532" spans="3:3">
      <c r="C532" s="57"/>
    </row>
    <row r="533" spans="3:3">
      <c r="C533" s="254"/>
    </row>
    <row r="534" spans="3:3">
      <c r="C534" s="254"/>
    </row>
    <row r="535" spans="3:3">
      <c r="C535" s="254"/>
    </row>
    <row r="536" spans="3:3">
      <c r="C536" s="254"/>
    </row>
    <row r="537" spans="3:3">
      <c r="C537" s="254"/>
    </row>
    <row r="538" spans="3:3">
      <c r="C538" s="254"/>
    </row>
    <row r="539" spans="3:3">
      <c r="C539" s="254"/>
    </row>
    <row r="540" spans="3:3">
      <c r="C540" s="254"/>
    </row>
    <row r="541" spans="3:3">
      <c r="C541" s="254"/>
    </row>
    <row r="542" spans="3:3">
      <c r="C542" s="254"/>
    </row>
    <row r="543" spans="3:3">
      <c r="C543" s="254"/>
    </row>
    <row r="544" spans="3:3">
      <c r="C544" s="254"/>
    </row>
    <row r="545" spans="3:3">
      <c r="C545" s="254"/>
    </row>
    <row r="546" spans="3:3">
      <c r="C546" s="254"/>
    </row>
    <row r="547" spans="3:3">
      <c r="C547" s="254"/>
    </row>
    <row r="548" spans="3:3">
      <c r="C548" s="254"/>
    </row>
    <row r="549" spans="3:3">
      <c r="C549" s="254"/>
    </row>
    <row r="550" spans="3:3">
      <c r="C550" s="254"/>
    </row>
    <row r="551" spans="3:3">
      <c r="C551" s="254"/>
    </row>
    <row r="552" spans="3:3">
      <c r="C552" s="254"/>
    </row>
    <row r="553" spans="3:3">
      <c r="C553" s="254"/>
    </row>
    <row r="554" spans="3:3">
      <c r="C554" s="254"/>
    </row>
    <row r="555" spans="3:3">
      <c r="C555" s="254"/>
    </row>
    <row r="556" spans="3:3">
      <c r="C556" s="254"/>
    </row>
    <row r="557" spans="3:3">
      <c r="C557" s="254"/>
    </row>
    <row r="558" spans="3:3">
      <c r="C558" s="254"/>
    </row>
    <row r="559" spans="3:3">
      <c r="C559" s="254"/>
    </row>
    <row r="560" spans="3:3">
      <c r="C560" s="254"/>
    </row>
    <row r="561" spans="3:3">
      <c r="C561" s="254"/>
    </row>
    <row r="562" spans="3:3">
      <c r="C562" s="254"/>
    </row>
    <row r="563" spans="3:3">
      <c r="C563" s="254"/>
    </row>
    <row r="564" spans="3:3">
      <c r="C564" s="254"/>
    </row>
    <row r="565" spans="3:3">
      <c r="C565" s="254"/>
    </row>
    <row r="566" spans="3:3">
      <c r="C566" s="254"/>
    </row>
    <row r="567" spans="3:3">
      <c r="C567" s="254"/>
    </row>
    <row r="568" spans="3:3">
      <c r="C568" s="254"/>
    </row>
    <row r="569" spans="3:3">
      <c r="C569" s="254"/>
    </row>
    <row r="570" spans="3:3">
      <c r="C570" s="254"/>
    </row>
    <row r="571" spans="3:3">
      <c r="C571" s="254"/>
    </row>
    <row r="572" spans="3:3">
      <c r="C572" s="254"/>
    </row>
    <row r="573" spans="3:3">
      <c r="C573" s="254"/>
    </row>
    <row r="574" spans="3:3">
      <c r="C574" s="254"/>
    </row>
    <row r="575" spans="3:3">
      <c r="C575" s="254"/>
    </row>
    <row r="576" spans="3:3">
      <c r="C576" s="254"/>
    </row>
    <row r="577" spans="3:3">
      <c r="C577" s="254"/>
    </row>
    <row r="578" spans="3:3">
      <c r="C578" s="254"/>
    </row>
    <row r="579" spans="3:3">
      <c r="C579" s="254"/>
    </row>
    <row r="580" spans="3:3">
      <c r="C580" s="254"/>
    </row>
    <row r="581" spans="3:3">
      <c r="C581" s="254"/>
    </row>
    <row r="582" spans="3:3">
      <c r="C582" s="254"/>
    </row>
    <row r="583" spans="3:3">
      <c r="C583" s="254"/>
    </row>
    <row r="584" spans="3:3">
      <c r="C584" s="254"/>
    </row>
    <row r="585" spans="3:3">
      <c r="C585" s="254"/>
    </row>
    <row r="586" spans="3:3">
      <c r="C586" s="254"/>
    </row>
    <row r="587" spans="3:3">
      <c r="C587" s="254"/>
    </row>
    <row r="588" spans="3:3">
      <c r="C588" s="254"/>
    </row>
    <row r="589" spans="3:3">
      <c r="C589" s="254"/>
    </row>
    <row r="590" spans="3:3">
      <c r="C590" s="254"/>
    </row>
    <row r="591" spans="3:3">
      <c r="C591" s="254"/>
    </row>
    <row r="592" spans="3:3">
      <c r="C592" s="254"/>
    </row>
    <row r="593" spans="3:3">
      <c r="C593" s="254"/>
    </row>
    <row r="594" spans="3:3">
      <c r="C594" s="254"/>
    </row>
    <row r="595" spans="3:3">
      <c r="C595" s="254"/>
    </row>
    <row r="596" spans="3:3">
      <c r="C596" s="254"/>
    </row>
    <row r="597" spans="3:3">
      <c r="C597" s="254"/>
    </row>
    <row r="598" spans="3:3">
      <c r="C598" s="254"/>
    </row>
    <row r="599" spans="3:3">
      <c r="C599" s="254"/>
    </row>
    <row r="600" spans="3:3">
      <c r="C600" s="254"/>
    </row>
    <row r="601" spans="3:3">
      <c r="C601" s="254"/>
    </row>
    <row r="602" spans="3:3">
      <c r="C602" s="254"/>
    </row>
    <row r="603" spans="3:3">
      <c r="C603" s="254"/>
    </row>
    <row r="604" spans="3:3">
      <c r="C604" s="254"/>
    </row>
    <row r="605" spans="3:3">
      <c r="C605" s="254"/>
    </row>
    <row r="606" spans="3:3">
      <c r="C606" s="254"/>
    </row>
    <row r="607" spans="3:3">
      <c r="C607" s="254"/>
    </row>
    <row r="608" spans="3:3">
      <c r="C608" s="254"/>
    </row>
    <row r="609" spans="3:3">
      <c r="C609" s="254"/>
    </row>
    <row r="610" spans="3:3">
      <c r="C610" s="254"/>
    </row>
    <row r="611" spans="3:3">
      <c r="C611" s="254"/>
    </row>
    <row r="612" spans="3:3">
      <c r="C612" s="254"/>
    </row>
    <row r="613" spans="3:3">
      <c r="C613" s="254"/>
    </row>
    <row r="614" spans="3:3">
      <c r="C614" s="254"/>
    </row>
    <row r="615" spans="3:3">
      <c r="C615" s="254"/>
    </row>
    <row r="616" spans="3:3">
      <c r="C616" s="254"/>
    </row>
    <row r="617" spans="3:3">
      <c r="C617" s="254"/>
    </row>
    <row r="618" spans="3:3">
      <c r="C618" s="254"/>
    </row>
    <row r="619" spans="3:3">
      <c r="C619" s="254"/>
    </row>
    <row r="620" spans="3:3">
      <c r="C620" s="254"/>
    </row>
    <row r="621" spans="3:3">
      <c r="C621" s="254"/>
    </row>
    <row r="622" spans="3:3">
      <c r="C622" s="254"/>
    </row>
    <row r="623" spans="3:3">
      <c r="C623" s="254"/>
    </row>
    <row r="624" spans="3:3">
      <c r="C624" s="254"/>
    </row>
    <row r="625" spans="3:3">
      <c r="C625" s="254"/>
    </row>
    <row r="626" spans="3:3">
      <c r="C626" s="254"/>
    </row>
    <row r="627" spans="3:3">
      <c r="C627" s="254"/>
    </row>
    <row r="628" spans="3:3">
      <c r="C628" s="254"/>
    </row>
    <row r="629" spans="3:3">
      <c r="C629" s="254"/>
    </row>
    <row r="630" spans="3:3">
      <c r="C630" s="254"/>
    </row>
    <row r="631" spans="3:3">
      <c r="C631" s="254"/>
    </row>
    <row r="632" spans="3:3">
      <c r="C632" s="254"/>
    </row>
    <row r="633" spans="3:3">
      <c r="C633" s="254"/>
    </row>
    <row r="634" spans="3:3">
      <c r="C634" s="254"/>
    </row>
    <row r="635" spans="3:3">
      <c r="C635" s="254"/>
    </row>
    <row r="636" spans="3:3">
      <c r="C636" s="254"/>
    </row>
    <row r="637" spans="3:3">
      <c r="C637" s="254"/>
    </row>
    <row r="638" spans="3:3">
      <c r="C638" s="254"/>
    </row>
    <row r="639" spans="3:3">
      <c r="C639" s="254"/>
    </row>
    <row r="640" spans="3:3">
      <c r="C640" s="254"/>
    </row>
    <row r="641" spans="3:3">
      <c r="C641" s="254"/>
    </row>
    <row r="642" spans="3:3">
      <c r="C642" s="254"/>
    </row>
    <row r="643" spans="3:3">
      <c r="C643" s="254"/>
    </row>
    <row r="644" spans="3:3">
      <c r="C644" s="254"/>
    </row>
    <row r="645" spans="3:3">
      <c r="C645" s="254"/>
    </row>
    <row r="646" spans="3:3">
      <c r="C646" s="254"/>
    </row>
    <row r="647" spans="3:3">
      <c r="C647" s="254"/>
    </row>
    <row r="648" spans="3:3">
      <c r="C648" s="254"/>
    </row>
    <row r="649" spans="3:3">
      <c r="C649" s="254"/>
    </row>
    <row r="650" spans="3:3">
      <c r="C650" s="254"/>
    </row>
    <row r="651" spans="3:3">
      <c r="C651" s="254"/>
    </row>
    <row r="652" spans="3:3">
      <c r="C652" s="254"/>
    </row>
    <row r="653" spans="3:3">
      <c r="C653" s="254"/>
    </row>
    <row r="654" spans="3:3">
      <c r="C654" s="254"/>
    </row>
    <row r="655" spans="3:3">
      <c r="C655" s="254"/>
    </row>
    <row r="656" spans="3:3">
      <c r="C656" s="254"/>
    </row>
    <row r="657" spans="3:3">
      <c r="C657" s="254"/>
    </row>
    <row r="658" spans="3:3">
      <c r="C658" s="254"/>
    </row>
    <row r="659" spans="3:3">
      <c r="C659" s="254"/>
    </row>
    <row r="660" spans="3:3">
      <c r="C660" s="254"/>
    </row>
    <row r="661" spans="3:3">
      <c r="C661" s="254"/>
    </row>
    <row r="662" spans="3:3">
      <c r="C662" s="254"/>
    </row>
    <row r="663" spans="3:3">
      <c r="C663" s="254"/>
    </row>
    <row r="664" spans="3:3">
      <c r="C664" s="254"/>
    </row>
    <row r="665" spans="3:3">
      <c r="C665" s="254"/>
    </row>
    <row r="666" spans="3:3">
      <c r="C666" s="254"/>
    </row>
    <row r="667" spans="3:3">
      <c r="C667" s="254"/>
    </row>
    <row r="668" spans="3:3">
      <c r="C668" s="254"/>
    </row>
    <row r="669" spans="3:3">
      <c r="C669" s="254"/>
    </row>
    <row r="670" spans="3:3">
      <c r="C670" s="254"/>
    </row>
    <row r="671" spans="3:3">
      <c r="C671" s="254"/>
    </row>
    <row r="672" spans="3:3">
      <c r="C672" s="254"/>
    </row>
    <row r="673" spans="3:3">
      <c r="C673" s="254"/>
    </row>
    <row r="674" spans="3:3">
      <c r="C674" s="254"/>
    </row>
    <row r="675" spans="3:3">
      <c r="C675" s="254"/>
    </row>
    <row r="676" spans="3:3">
      <c r="C676" s="254"/>
    </row>
    <row r="677" spans="3:3">
      <c r="C677" s="254"/>
    </row>
    <row r="678" spans="3:3">
      <c r="C678" s="254"/>
    </row>
    <row r="679" spans="3:3">
      <c r="C679" s="254"/>
    </row>
    <row r="680" spans="3:3">
      <c r="C680" s="254"/>
    </row>
    <row r="681" spans="3:3">
      <c r="C681" s="254"/>
    </row>
    <row r="682" spans="3:3">
      <c r="C682" s="254"/>
    </row>
    <row r="683" spans="3:3">
      <c r="C683" s="254"/>
    </row>
    <row r="684" spans="3:3">
      <c r="C684" s="254"/>
    </row>
    <row r="685" spans="3:3">
      <c r="C685" s="254"/>
    </row>
    <row r="686" spans="3:3">
      <c r="C686" s="254"/>
    </row>
    <row r="687" spans="3:3">
      <c r="C687" s="254"/>
    </row>
    <row r="688" spans="3:3">
      <c r="C688" s="254"/>
    </row>
    <row r="689" spans="3:3">
      <c r="C689" s="254"/>
    </row>
    <row r="690" spans="3:3">
      <c r="C690" s="254"/>
    </row>
    <row r="691" spans="3:3">
      <c r="C691" s="254"/>
    </row>
    <row r="692" spans="3:3">
      <c r="C692" s="254"/>
    </row>
    <row r="693" spans="3:3">
      <c r="C693" s="254"/>
    </row>
    <row r="694" spans="3:3">
      <c r="C694" s="254"/>
    </row>
    <row r="695" spans="3:3">
      <c r="C695" s="254"/>
    </row>
    <row r="696" spans="3:3">
      <c r="C696" s="254"/>
    </row>
    <row r="697" spans="3:3">
      <c r="C697" s="254"/>
    </row>
    <row r="698" spans="3:3">
      <c r="C698" s="254"/>
    </row>
    <row r="699" spans="3:3">
      <c r="C699" s="254"/>
    </row>
    <row r="700" spans="3:3">
      <c r="C700" s="254"/>
    </row>
    <row r="701" spans="3:3">
      <c r="C701" s="254"/>
    </row>
    <row r="702" spans="3:3">
      <c r="C702" s="254"/>
    </row>
    <row r="703" spans="3:3">
      <c r="C703" s="254"/>
    </row>
    <row r="704" spans="3:3">
      <c r="C704" s="254"/>
    </row>
    <row r="705" spans="3:3">
      <c r="C705" s="254"/>
    </row>
    <row r="706" spans="3:3">
      <c r="C706" s="254"/>
    </row>
    <row r="707" spans="3:3">
      <c r="C707" s="254"/>
    </row>
    <row r="708" spans="3:3">
      <c r="C708" s="254"/>
    </row>
    <row r="709" spans="3:3">
      <c r="C709" s="254"/>
    </row>
    <row r="710" spans="3:3">
      <c r="C710" s="254"/>
    </row>
    <row r="711" spans="3:3">
      <c r="C711" s="254"/>
    </row>
    <row r="712" spans="3:3">
      <c r="C712" s="254"/>
    </row>
    <row r="713" spans="3:3">
      <c r="C713" s="254"/>
    </row>
    <row r="714" spans="3:3">
      <c r="C714" s="254"/>
    </row>
    <row r="715" spans="3:3">
      <c r="C715" s="254"/>
    </row>
    <row r="716" spans="3:3">
      <c r="C716" s="254"/>
    </row>
    <row r="717" spans="3:3">
      <c r="C717" s="254"/>
    </row>
    <row r="718" spans="3:3">
      <c r="C718" s="254"/>
    </row>
    <row r="719" spans="3:3">
      <c r="C719" s="254"/>
    </row>
    <row r="720" spans="3:3">
      <c r="C720" s="254"/>
    </row>
    <row r="721" spans="3:3">
      <c r="C721" s="254"/>
    </row>
    <row r="722" spans="3:3">
      <c r="C722" s="254"/>
    </row>
    <row r="723" spans="3:3">
      <c r="C723" s="254"/>
    </row>
    <row r="724" spans="3:3">
      <c r="C724" s="254"/>
    </row>
    <row r="725" spans="3:3">
      <c r="C725" s="254"/>
    </row>
    <row r="726" spans="3:3">
      <c r="C726" s="254"/>
    </row>
    <row r="727" spans="3:3">
      <c r="C727" s="254"/>
    </row>
    <row r="728" spans="3:3">
      <c r="C728" s="254"/>
    </row>
    <row r="729" spans="3:3">
      <c r="C729" s="254"/>
    </row>
    <row r="730" spans="3:3">
      <c r="C730" s="254"/>
    </row>
    <row r="731" spans="3:3">
      <c r="C731" s="254"/>
    </row>
    <row r="732" spans="3:3">
      <c r="C732" s="254"/>
    </row>
    <row r="733" spans="3:3">
      <c r="C733" s="254"/>
    </row>
    <row r="734" spans="3:3">
      <c r="C734" s="254"/>
    </row>
    <row r="735" spans="3:3">
      <c r="C735" s="254"/>
    </row>
    <row r="736" spans="3:3">
      <c r="C736" s="254"/>
    </row>
    <row r="737" spans="3:3">
      <c r="C737" s="254"/>
    </row>
    <row r="738" spans="3:3">
      <c r="C738" s="254"/>
    </row>
    <row r="739" spans="3:3">
      <c r="C739" s="254"/>
    </row>
    <row r="740" spans="3:3">
      <c r="C740" s="254"/>
    </row>
    <row r="741" spans="3:3">
      <c r="C741" s="254"/>
    </row>
    <row r="742" spans="3:3">
      <c r="C742" s="254"/>
    </row>
    <row r="743" spans="3:3">
      <c r="C743" s="254"/>
    </row>
    <row r="744" spans="3:3">
      <c r="C744" s="254"/>
    </row>
    <row r="745" spans="3:3">
      <c r="C745" s="254"/>
    </row>
    <row r="746" spans="3:3">
      <c r="C746" s="254"/>
    </row>
    <row r="747" spans="3:3">
      <c r="C747" s="254"/>
    </row>
    <row r="748" spans="3:3">
      <c r="C748" s="254"/>
    </row>
    <row r="749" spans="3:3">
      <c r="C749" s="254"/>
    </row>
    <row r="750" spans="3:3">
      <c r="C750" s="254"/>
    </row>
    <row r="751" spans="3:3">
      <c r="C751" s="254"/>
    </row>
    <row r="752" spans="3:3">
      <c r="C752" s="254"/>
    </row>
    <row r="753" spans="3:3">
      <c r="C753" s="254"/>
    </row>
    <row r="754" spans="3:3">
      <c r="C754" s="254"/>
    </row>
    <row r="755" spans="3:3">
      <c r="C755" s="254"/>
    </row>
    <row r="756" spans="3:3">
      <c r="C756" s="254"/>
    </row>
    <row r="757" spans="3:3">
      <c r="C757" s="254"/>
    </row>
    <row r="758" spans="3:3">
      <c r="C758" s="254"/>
    </row>
    <row r="759" spans="3:3">
      <c r="C759" s="254"/>
    </row>
    <row r="760" spans="3:3">
      <c r="C760" s="254"/>
    </row>
    <row r="761" spans="3:3">
      <c r="C761" s="254"/>
    </row>
    <row r="762" spans="3:3">
      <c r="C762" s="254"/>
    </row>
    <row r="763" spans="3:3">
      <c r="C763" s="254"/>
    </row>
    <row r="764" spans="3:3">
      <c r="C764" s="254"/>
    </row>
    <row r="765" spans="3:3">
      <c r="C765" s="254"/>
    </row>
    <row r="766" spans="3:3">
      <c r="C766" s="254"/>
    </row>
    <row r="767" spans="3:3">
      <c r="C767" s="254"/>
    </row>
    <row r="768" spans="3:3">
      <c r="C768" s="254"/>
    </row>
    <row r="769" spans="3:3">
      <c r="C769" s="254"/>
    </row>
    <row r="770" spans="3:3">
      <c r="C770" s="254"/>
    </row>
    <row r="771" spans="3:3">
      <c r="C771" s="254"/>
    </row>
    <row r="772" spans="3:3">
      <c r="C772" s="254"/>
    </row>
    <row r="773" spans="3:3">
      <c r="C773" s="254"/>
    </row>
    <row r="774" spans="3:3">
      <c r="C774" s="254"/>
    </row>
    <row r="775" spans="3:3">
      <c r="C775" s="254"/>
    </row>
    <row r="776" spans="3:3">
      <c r="C776" s="254"/>
    </row>
    <row r="777" spans="3:3">
      <c r="C777" s="254"/>
    </row>
    <row r="778" spans="3:3">
      <c r="C778" s="254"/>
    </row>
    <row r="779" spans="3:3">
      <c r="C779" s="254"/>
    </row>
    <row r="780" spans="3:3">
      <c r="C780" s="254"/>
    </row>
    <row r="781" spans="3:3">
      <c r="C781" s="254"/>
    </row>
    <row r="782" spans="3:3">
      <c r="C782" s="254"/>
    </row>
    <row r="783" spans="3:3">
      <c r="C783" s="254"/>
    </row>
    <row r="784" spans="3:3">
      <c r="C784" s="254"/>
    </row>
    <row r="785" spans="3:3">
      <c r="C785" s="254"/>
    </row>
    <row r="786" spans="3:3">
      <c r="C786" s="254"/>
    </row>
    <row r="787" spans="3:3">
      <c r="C787" s="254"/>
    </row>
    <row r="788" spans="3:3">
      <c r="C788" s="254"/>
    </row>
    <row r="789" spans="3:3">
      <c r="C789" s="254"/>
    </row>
    <row r="790" spans="3:3">
      <c r="C790" s="254"/>
    </row>
    <row r="791" spans="3:3">
      <c r="C791" s="254"/>
    </row>
    <row r="792" spans="3:3">
      <c r="C792" s="254"/>
    </row>
    <row r="793" spans="3:3">
      <c r="C793" s="254"/>
    </row>
    <row r="794" spans="3:3">
      <c r="C794" s="254"/>
    </row>
    <row r="795" spans="3:3">
      <c r="C795" s="254"/>
    </row>
    <row r="796" spans="3:3">
      <c r="C796" s="254"/>
    </row>
    <row r="797" spans="3:3">
      <c r="C797" s="254"/>
    </row>
    <row r="798" spans="3:3">
      <c r="C798" s="254"/>
    </row>
    <row r="799" spans="3:3">
      <c r="C799" s="254"/>
    </row>
    <row r="800" spans="3:3">
      <c r="C800" s="254"/>
    </row>
    <row r="801" spans="3:3">
      <c r="C801" s="254"/>
    </row>
    <row r="802" spans="3:3">
      <c r="C802" s="254"/>
    </row>
    <row r="803" spans="3:3">
      <c r="C803" s="254"/>
    </row>
    <row r="804" spans="3:3">
      <c r="C804" s="254"/>
    </row>
    <row r="805" spans="3:3">
      <c r="C805" s="254"/>
    </row>
    <row r="806" spans="3:3">
      <c r="C806" s="254"/>
    </row>
    <row r="807" spans="3:3">
      <c r="C807" s="254"/>
    </row>
    <row r="808" spans="3:3">
      <c r="C808" s="254"/>
    </row>
    <row r="809" spans="3:3">
      <c r="C809" s="254"/>
    </row>
    <row r="810" spans="3:3">
      <c r="C810" s="254"/>
    </row>
    <row r="811" spans="3:3">
      <c r="C811" s="254"/>
    </row>
    <row r="812" spans="3:3">
      <c r="C812" s="254"/>
    </row>
    <row r="813" spans="3:3">
      <c r="C813" s="254"/>
    </row>
    <row r="814" spans="3:3">
      <c r="C814" s="254"/>
    </row>
    <row r="815" spans="3:3">
      <c r="C815" s="254"/>
    </row>
    <row r="816" spans="3:3">
      <c r="C816" s="254"/>
    </row>
    <row r="817" spans="3:3">
      <c r="C817" s="254"/>
    </row>
    <row r="818" spans="3:3">
      <c r="C818" s="254"/>
    </row>
    <row r="819" spans="3:3">
      <c r="C819" s="254"/>
    </row>
    <row r="820" spans="3:3">
      <c r="C820" s="254"/>
    </row>
    <row r="821" spans="3:3">
      <c r="C821" s="254"/>
    </row>
    <row r="822" spans="3:3">
      <c r="C822" s="254"/>
    </row>
    <row r="823" spans="3:3">
      <c r="C823" s="254"/>
    </row>
    <row r="824" spans="3:3">
      <c r="C824" s="254"/>
    </row>
    <row r="825" spans="3:3">
      <c r="C825" s="254"/>
    </row>
    <row r="826" spans="3:3">
      <c r="C826" s="254"/>
    </row>
    <row r="827" spans="3:3">
      <c r="C827" s="254"/>
    </row>
    <row r="828" spans="3:3">
      <c r="C828" s="254"/>
    </row>
    <row r="829" spans="3:3">
      <c r="C829" s="254"/>
    </row>
    <row r="830" spans="3:3">
      <c r="C830" s="254"/>
    </row>
    <row r="831" spans="3:3">
      <c r="C831" s="254"/>
    </row>
    <row r="832" spans="3:3">
      <c r="C832" s="254"/>
    </row>
    <row r="833" spans="3:3">
      <c r="C833" s="254"/>
    </row>
    <row r="834" spans="3:3">
      <c r="C834" s="254"/>
    </row>
    <row r="835" spans="3:3">
      <c r="C835" s="254"/>
    </row>
    <row r="836" spans="3:3">
      <c r="C836" s="254"/>
    </row>
    <row r="837" spans="3:3">
      <c r="C837" s="254"/>
    </row>
    <row r="838" spans="3:3">
      <c r="C838" s="254"/>
    </row>
    <row r="839" spans="3:3">
      <c r="C839" s="254"/>
    </row>
    <row r="840" spans="3:3">
      <c r="C840" s="254"/>
    </row>
    <row r="841" spans="3:3">
      <c r="C841" s="254"/>
    </row>
    <row r="842" spans="3:3">
      <c r="C842" s="254"/>
    </row>
    <row r="843" spans="3:3">
      <c r="C843" s="254"/>
    </row>
    <row r="844" spans="3:3">
      <c r="C844" s="254"/>
    </row>
    <row r="845" spans="3:3">
      <c r="C845" s="254"/>
    </row>
    <row r="846" spans="3:3">
      <c r="C846" s="254"/>
    </row>
    <row r="847" spans="3:3">
      <c r="C847" s="254"/>
    </row>
    <row r="848" spans="3:3">
      <c r="C848" s="254"/>
    </row>
    <row r="849" spans="3:3">
      <c r="C849" s="254"/>
    </row>
    <row r="850" spans="3:3">
      <c r="C850" s="254"/>
    </row>
    <row r="851" spans="3:3">
      <c r="C851" s="254"/>
    </row>
    <row r="852" spans="3:3">
      <c r="C852" s="254"/>
    </row>
    <row r="853" spans="3:3">
      <c r="C853" s="254"/>
    </row>
    <row r="854" spans="3:3">
      <c r="C854" s="254"/>
    </row>
    <row r="855" spans="3:3">
      <c r="C855" s="254"/>
    </row>
    <row r="856" spans="3:3">
      <c r="C856" s="254"/>
    </row>
    <row r="857" spans="3:3">
      <c r="C857" s="254"/>
    </row>
    <row r="858" spans="3:3">
      <c r="C858" s="254"/>
    </row>
    <row r="859" spans="3:3">
      <c r="C859" s="254"/>
    </row>
    <row r="860" spans="3:3">
      <c r="C860" s="254"/>
    </row>
    <row r="861" spans="3:3">
      <c r="C861" s="254"/>
    </row>
    <row r="862" spans="3:3">
      <c r="C862" s="254"/>
    </row>
    <row r="863" spans="3:3">
      <c r="C863" s="254"/>
    </row>
    <row r="864" spans="3:3">
      <c r="C864" s="254"/>
    </row>
    <row r="865" spans="3:3">
      <c r="C865" s="254"/>
    </row>
    <row r="866" spans="3:3">
      <c r="C866" s="254"/>
    </row>
    <row r="867" spans="3:3">
      <c r="C867" s="254"/>
    </row>
    <row r="868" spans="3:3">
      <c r="C868" s="254"/>
    </row>
    <row r="869" spans="3:3">
      <c r="C869" s="254"/>
    </row>
    <row r="870" spans="3:3">
      <c r="C870" s="254"/>
    </row>
    <row r="871" spans="3:3">
      <c r="C871" s="254"/>
    </row>
    <row r="872" spans="3:3">
      <c r="C872" s="254"/>
    </row>
    <row r="873" spans="3:3">
      <c r="C873" s="254"/>
    </row>
    <row r="874" spans="3:3">
      <c r="C874" s="254"/>
    </row>
    <row r="875" spans="3:3">
      <c r="C875" s="254"/>
    </row>
    <row r="876" spans="3:3">
      <c r="C876" s="254"/>
    </row>
    <row r="877" spans="3:3">
      <c r="C877" s="254"/>
    </row>
    <row r="878" spans="3:3">
      <c r="C878" s="254"/>
    </row>
    <row r="879" spans="3:3">
      <c r="C879" s="254"/>
    </row>
    <row r="880" spans="3:3">
      <c r="C880" s="254"/>
    </row>
    <row r="881" spans="3:3">
      <c r="C881" s="254"/>
    </row>
    <row r="882" spans="3:3">
      <c r="C882" s="254"/>
    </row>
    <row r="883" spans="3:3">
      <c r="C883" s="254"/>
    </row>
    <row r="884" spans="3:3">
      <c r="C884" s="254"/>
    </row>
    <row r="885" spans="3:3">
      <c r="C885" s="254"/>
    </row>
    <row r="886" spans="3:3">
      <c r="C886" s="254"/>
    </row>
    <row r="887" spans="3:3">
      <c r="C887" s="254"/>
    </row>
    <row r="888" spans="3:3">
      <c r="C888" s="254"/>
    </row>
    <row r="889" spans="3:3">
      <c r="C889" s="254"/>
    </row>
    <row r="890" spans="3:3">
      <c r="C890" s="254"/>
    </row>
    <row r="891" spans="3:3">
      <c r="C891" s="254"/>
    </row>
    <row r="892" spans="3:3">
      <c r="C892" s="254"/>
    </row>
    <row r="893" spans="3:3">
      <c r="C893" s="254"/>
    </row>
    <row r="894" spans="3:3">
      <c r="C894" s="254"/>
    </row>
    <row r="895" spans="3:3">
      <c r="C895" s="254"/>
    </row>
    <row r="896" spans="3:3">
      <c r="C896" s="254"/>
    </row>
    <row r="897" spans="3:3">
      <c r="C897" s="254"/>
    </row>
    <row r="898" spans="3:3">
      <c r="C898" s="254"/>
    </row>
    <row r="899" spans="3:3">
      <c r="C899" s="254"/>
    </row>
    <row r="900" spans="3:3">
      <c r="C900" s="254"/>
    </row>
    <row r="901" spans="3:3">
      <c r="C901" s="254"/>
    </row>
    <row r="902" spans="3:3">
      <c r="C902" s="254"/>
    </row>
    <row r="903" spans="3:3">
      <c r="C903" s="254"/>
    </row>
    <row r="904" spans="3:3">
      <c r="C904" s="254"/>
    </row>
    <row r="905" spans="3:3">
      <c r="C905" s="254"/>
    </row>
    <row r="906" spans="3:3">
      <c r="C906" s="254"/>
    </row>
    <row r="907" spans="3:3">
      <c r="C907" s="254"/>
    </row>
    <row r="908" spans="3:3">
      <c r="C908" s="254"/>
    </row>
    <row r="909" spans="3:3">
      <c r="C909" s="254"/>
    </row>
    <row r="910" spans="3:3">
      <c r="C910" s="254"/>
    </row>
    <row r="911" spans="3:3">
      <c r="C911" s="254"/>
    </row>
    <row r="912" spans="3:3">
      <c r="C912" s="254"/>
    </row>
    <row r="913" spans="3:3">
      <c r="C913" s="254"/>
    </row>
    <row r="914" spans="3:3">
      <c r="C914" s="254"/>
    </row>
    <row r="915" spans="3:3">
      <c r="C915" s="254"/>
    </row>
    <row r="916" spans="3:3">
      <c r="C916" s="254"/>
    </row>
    <row r="917" spans="3:3">
      <c r="C917" s="254"/>
    </row>
    <row r="918" spans="3:3">
      <c r="C918" s="254"/>
    </row>
    <row r="919" spans="3:3">
      <c r="C919" s="254"/>
    </row>
    <row r="920" spans="3:3">
      <c r="C920" s="254"/>
    </row>
    <row r="921" spans="3:3">
      <c r="C921" s="254"/>
    </row>
    <row r="922" spans="3:3">
      <c r="C922" s="254"/>
    </row>
    <row r="923" spans="3:3">
      <c r="C923" s="254"/>
    </row>
    <row r="924" spans="3:3">
      <c r="C924" s="254"/>
    </row>
    <row r="925" spans="3:3">
      <c r="C925" s="254"/>
    </row>
    <row r="926" spans="3:3">
      <c r="C926" s="254"/>
    </row>
    <row r="927" spans="3:3">
      <c r="C927" s="254"/>
    </row>
    <row r="928" spans="3:3">
      <c r="C928" s="254"/>
    </row>
    <row r="929" spans="3:3">
      <c r="C929" s="254"/>
    </row>
    <row r="930" spans="3:3">
      <c r="C930" s="254"/>
    </row>
    <row r="931" spans="3:3">
      <c r="C931" s="254"/>
    </row>
    <row r="932" spans="3:3">
      <c r="C932" s="254"/>
    </row>
    <row r="933" spans="3:3">
      <c r="C933" s="254"/>
    </row>
    <row r="934" spans="3:3">
      <c r="C934" s="254"/>
    </row>
    <row r="935" spans="3:3">
      <c r="C935" s="254"/>
    </row>
    <row r="936" spans="3:3">
      <c r="C936" s="254"/>
    </row>
    <row r="937" spans="3:3">
      <c r="C937" s="254"/>
    </row>
    <row r="938" spans="3:3">
      <c r="C938" s="254"/>
    </row>
    <row r="939" spans="3:3">
      <c r="C939" s="254"/>
    </row>
    <row r="940" spans="3:3">
      <c r="C940" s="254"/>
    </row>
    <row r="941" spans="3:3">
      <c r="C941" s="254"/>
    </row>
    <row r="942" spans="3:3">
      <c r="C942" s="254"/>
    </row>
    <row r="943" spans="3:3">
      <c r="C943" s="254"/>
    </row>
    <row r="944" spans="3:3">
      <c r="C944" s="254"/>
    </row>
    <row r="945" spans="3:3">
      <c r="C945" s="254"/>
    </row>
    <row r="946" spans="3:3">
      <c r="C946" s="254"/>
    </row>
    <row r="947" spans="3:3">
      <c r="C947" s="254"/>
    </row>
    <row r="948" spans="3:3">
      <c r="C948" s="254"/>
    </row>
    <row r="949" spans="3:3">
      <c r="C949" s="254"/>
    </row>
    <row r="950" spans="3:3">
      <c r="C950" s="254"/>
    </row>
    <row r="951" spans="3:3">
      <c r="C951" s="254"/>
    </row>
    <row r="952" spans="3:3">
      <c r="C952" s="254"/>
    </row>
    <row r="953" spans="3:3">
      <c r="C953" s="254"/>
    </row>
    <row r="954" spans="3:3">
      <c r="C954" s="254"/>
    </row>
    <row r="955" spans="3:3">
      <c r="C955" s="254"/>
    </row>
    <row r="956" spans="3:3">
      <c r="C956" s="254"/>
    </row>
    <row r="957" spans="3:3">
      <c r="C957" s="254"/>
    </row>
    <row r="958" spans="3:3">
      <c r="C958" s="254"/>
    </row>
    <row r="959" spans="3:3">
      <c r="C959" s="254"/>
    </row>
    <row r="960" spans="3:3">
      <c r="C960" s="254"/>
    </row>
    <row r="961" spans="3:3">
      <c r="C961" s="254"/>
    </row>
    <row r="962" spans="3:3">
      <c r="C962" s="254"/>
    </row>
    <row r="963" spans="3:3">
      <c r="C963" s="254"/>
    </row>
    <row r="964" spans="3:3">
      <c r="C964" s="254"/>
    </row>
    <row r="965" spans="3:3">
      <c r="C965" s="254"/>
    </row>
    <row r="966" spans="3:3">
      <c r="C966" s="254"/>
    </row>
    <row r="967" spans="3:3">
      <c r="C967" s="254"/>
    </row>
    <row r="968" spans="3:3">
      <c r="C968" s="254"/>
    </row>
    <row r="969" spans="3:3">
      <c r="C969" s="254"/>
    </row>
    <row r="970" spans="3:3">
      <c r="C970" s="254"/>
    </row>
    <row r="971" spans="3:3">
      <c r="C971" s="254"/>
    </row>
    <row r="972" spans="3:3">
      <c r="C972" s="254"/>
    </row>
    <row r="973" spans="3:3">
      <c r="C973" s="254"/>
    </row>
    <row r="974" spans="3:3">
      <c r="C974" s="254"/>
    </row>
    <row r="975" spans="3:3">
      <c r="C975" s="254"/>
    </row>
    <row r="976" spans="3:3">
      <c r="C976" s="254"/>
    </row>
    <row r="977" spans="3:3">
      <c r="C977" s="254"/>
    </row>
    <row r="978" spans="3:3">
      <c r="C978" s="254"/>
    </row>
    <row r="979" spans="3:3">
      <c r="C979" s="254"/>
    </row>
    <row r="980" spans="3:3">
      <c r="C980" s="254"/>
    </row>
    <row r="981" spans="3:3">
      <c r="C981" s="254"/>
    </row>
    <row r="982" spans="3:3">
      <c r="C982" s="254"/>
    </row>
    <row r="983" spans="3:3">
      <c r="C983" s="254"/>
    </row>
    <row r="984" spans="3:3">
      <c r="C984" s="254"/>
    </row>
    <row r="985" spans="3:3">
      <c r="C985" s="254"/>
    </row>
    <row r="986" spans="3:3">
      <c r="C986" s="254"/>
    </row>
    <row r="987" spans="3:3">
      <c r="C987" s="254"/>
    </row>
    <row r="988" spans="3:3">
      <c r="C988" s="254"/>
    </row>
    <row r="989" spans="3:3">
      <c r="C989" s="254"/>
    </row>
    <row r="990" spans="3:3">
      <c r="C990" s="254"/>
    </row>
    <row r="991" spans="3:3">
      <c r="C991" s="254"/>
    </row>
    <row r="992" spans="3:3">
      <c r="C992" s="254"/>
    </row>
    <row r="993" spans="3:3">
      <c r="C993" s="254"/>
    </row>
    <row r="994" spans="3:3">
      <c r="C994" s="254"/>
    </row>
    <row r="995" spans="3:3">
      <c r="C995" s="254"/>
    </row>
    <row r="996" spans="3:3">
      <c r="C996" s="254"/>
    </row>
    <row r="997" spans="3:3">
      <c r="C997" s="254"/>
    </row>
    <row r="998" spans="3:3">
      <c r="C998" s="254"/>
    </row>
    <row r="999" spans="3:3">
      <c r="C999" s="254"/>
    </row>
    <row r="1000" spans="3:3">
      <c r="C1000" s="254"/>
    </row>
    <row r="1001" spans="3:3">
      <c r="C1001" s="254"/>
    </row>
    <row r="1002" spans="3:3">
      <c r="C1002" s="254"/>
    </row>
    <row r="1003" spans="3:3">
      <c r="C1003" s="254"/>
    </row>
    <row r="1004" spans="3:3">
      <c r="C1004" s="254"/>
    </row>
    <row r="1005" spans="3:3">
      <c r="C1005" s="254"/>
    </row>
    <row r="1006" spans="3:3">
      <c r="C1006" s="254"/>
    </row>
    <row r="1007" spans="3:3">
      <c r="C1007" s="254"/>
    </row>
    <row r="1008" spans="3:3">
      <c r="C1008" s="254"/>
    </row>
    <row r="1009" spans="3:3">
      <c r="C1009" s="254"/>
    </row>
    <row r="1010" spans="3:3">
      <c r="C1010" s="254"/>
    </row>
    <row r="1011" spans="3:3">
      <c r="C1011" s="254"/>
    </row>
    <row r="1012" spans="3:3">
      <c r="C1012" s="254"/>
    </row>
    <row r="1013" spans="3:3">
      <c r="C1013" s="254"/>
    </row>
    <row r="1014" spans="3:3">
      <c r="C1014" s="254"/>
    </row>
    <row r="1015" spans="3:3">
      <c r="C1015" s="254"/>
    </row>
    <row r="1016" spans="3:3">
      <c r="C1016" s="254"/>
    </row>
    <row r="1017" spans="3:3">
      <c r="C1017" s="254"/>
    </row>
    <row r="1018" spans="3:3">
      <c r="C1018" s="254"/>
    </row>
    <row r="1019" spans="3:3">
      <c r="C1019" s="254"/>
    </row>
    <row r="1020" spans="3:3">
      <c r="C1020" s="254"/>
    </row>
    <row r="1021" spans="3:3">
      <c r="C1021" s="254"/>
    </row>
    <row r="1022" spans="3:3">
      <c r="C1022" s="254"/>
    </row>
    <row r="1023" spans="3:3">
      <c r="C1023" s="254"/>
    </row>
    <row r="1024" spans="3:3">
      <c r="C1024" s="254"/>
    </row>
    <row r="1025" spans="3:3">
      <c r="C1025" s="254"/>
    </row>
    <row r="1026" spans="3:3">
      <c r="C1026" s="254"/>
    </row>
    <row r="1027" spans="3:3">
      <c r="C1027" s="254"/>
    </row>
    <row r="1028" spans="3:3">
      <c r="C1028" s="254"/>
    </row>
    <row r="1029" spans="3:3">
      <c r="C1029" s="254"/>
    </row>
    <row r="1030" spans="3:3">
      <c r="C1030" s="254"/>
    </row>
    <row r="1031" spans="3:3">
      <c r="C1031" s="254"/>
    </row>
    <row r="1032" spans="3:3">
      <c r="C1032" s="254"/>
    </row>
    <row r="1033" spans="3:3">
      <c r="C1033" s="254"/>
    </row>
    <row r="1034" spans="3:3">
      <c r="C1034" s="254"/>
    </row>
    <row r="1035" spans="3:3">
      <c r="C1035" s="254"/>
    </row>
    <row r="1036" spans="3:3">
      <c r="C1036" s="254"/>
    </row>
    <row r="1037" spans="3:3">
      <c r="C1037" s="254"/>
    </row>
    <row r="1038" spans="3:3">
      <c r="C1038" s="254"/>
    </row>
    <row r="1039" spans="3:3">
      <c r="C1039" s="254"/>
    </row>
    <row r="1040" spans="3:3">
      <c r="C1040" s="254"/>
    </row>
    <row r="1041" spans="3:3">
      <c r="C1041" s="254"/>
    </row>
    <row r="1042" spans="3:3">
      <c r="C1042" s="254"/>
    </row>
    <row r="1043" spans="3:3">
      <c r="C1043" s="254"/>
    </row>
    <row r="1044" spans="3:3">
      <c r="C1044" s="254"/>
    </row>
    <row r="1045" spans="3:3">
      <c r="C1045" s="254"/>
    </row>
    <row r="1046" spans="3:3">
      <c r="C1046" s="254"/>
    </row>
    <row r="1047" spans="3:3">
      <c r="C1047" s="254"/>
    </row>
    <row r="1048" spans="3:3">
      <c r="C1048" s="254"/>
    </row>
    <row r="1049" spans="3:3">
      <c r="C1049" s="254"/>
    </row>
    <row r="1050" spans="3:3">
      <c r="C1050" s="254"/>
    </row>
    <row r="1051" spans="3:3">
      <c r="C1051" s="254"/>
    </row>
    <row r="1052" spans="3:3">
      <c r="C1052" s="254"/>
    </row>
    <row r="1053" spans="3:3">
      <c r="C1053" s="254"/>
    </row>
    <row r="1054" spans="3:3">
      <c r="C1054" s="254"/>
    </row>
    <row r="1055" spans="3:3">
      <c r="C1055" s="254"/>
    </row>
    <row r="1056" spans="3:3">
      <c r="C1056" s="254"/>
    </row>
    <row r="1057" spans="3:3">
      <c r="C1057" s="254"/>
    </row>
    <row r="1058" spans="3:3">
      <c r="C1058" s="254"/>
    </row>
    <row r="1059" spans="3:3">
      <c r="C1059" s="254"/>
    </row>
    <row r="1060" spans="3:3">
      <c r="C1060" s="254"/>
    </row>
    <row r="1061" spans="3:3">
      <c r="C1061" s="254"/>
    </row>
    <row r="1062" spans="3:3">
      <c r="C1062" s="254"/>
    </row>
    <row r="1063" spans="3:3">
      <c r="C1063" s="254"/>
    </row>
    <row r="1064" spans="3:3">
      <c r="C1064" s="254"/>
    </row>
    <row r="1065" spans="3:3">
      <c r="C1065" s="254"/>
    </row>
    <row r="1066" spans="3:3">
      <c r="C1066" s="254"/>
    </row>
    <row r="1067" spans="3:3">
      <c r="C1067" s="254"/>
    </row>
    <row r="1068" spans="3:3">
      <c r="C1068" s="254"/>
    </row>
    <row r="1069" spans="3:3">
      <c r="C1069" s="254"/>
    </row>
    <row r="1070" spans="3:3">
      <c r="C1070" s="254"/>
    </row>
    <row r="1071" spans="3:3">
      <c r="C1071" s="254"/>
    </row>
    <row r="1072" spans="3:3">
      <c r="C1072" s="254"/>
    </row>
    <row r="1073" spans="3:3">
      <c r="C1073" s="254"/>
    </row>
    <row r="1074" spans="3:3">
      <c r="C1074" s="254"/>
    </row>
    <row r="1075" spans="3:3">
      <c r="C1075" s="254"/>
    </row>
    <row r="1076" spans="3:3">
      <c r="C1076" s="254"/>
    </row>
    <row r="1077" spans="3:3">
      <c r="C1077" s="254"/>
    </row>
    <row r="1078" spans="3:3">
      <c r="C1078" s="254"/>
    </row>
    <row r="1079" spans="3:3">
      <c r="C1079" s="254"/>
    </row>
    <row r="1080" spans="3:3">
      <c r="C1080" s="254"/>
    </row>
    <row r="1081" spans="3:3">
      <c r="C1081" s="254"/>
    </row>
    <row r="1082" spans="3:3">
      <c r="C1082" s="254"/>
    </row>
    <row r="1083" spans="3:3">
      <c r="C1083" s="254"/>
    </row>
    <row r="1084" spans="3:3">
      <c r="C1084" s="254"/>
    </row>
    <row r="1085" spans="3:3">
      <c r="C1085" s="254"/>
    </row>
    <row r="1086" spans="3:3">
      <c r="C1086" s="254"/>
    </row>
    <row r="1087" spans="3:3">
      <c r="C1087" s="254"/>
    </row>
    <row r="1088" spans="3:3">
      <c r="C1088" s="254"/>
    </row>
    <row r="1089" spans="3:3">
      <c r="C1089" s="254"/>
    </row>
    <row r="1090" spans="3:3">
      <c r="C1090" s="254"/>
    </row>
    <row r="1091" spans="3:3">
      <c r="C1091" s="254"/>
    </row>
    <row r="1092" spans="3:3">
      <c r="C1092" s="254"/>
    </row>
    <row r="1093" spans="3:3">
      <c r="C1093" s="254"/>
    </row>
    <row r="1094" spans="3:3">
      <c r="C1094" s="254"/>
    </row>
    <row r="1095" spans="3:3">
      <c r="C1095" s="254"/>
    </row>
    <row r="1096" spans="3:3">
      <c r="C1096" s="254"/>
    </row>
    <row r="1097" spans="3:3">
      <c r="C1097" s="254"/>
    </row>
    <row r="1098" spans="3:3">
      <c r="C1098" s="254"/>
    </row>
    <row r="1099" spans="3:3">
      <c r="C1099" s="254"/>
    </row>
    <row r="1100" spans="3:3">
      <c r="C1100" s="254"/>
    </row>
    <row r="1101" spans="3:3">
      <c r="C1101" s="254"/>
    </row>
    <row r="1102" spans="3:3">
      <c r="C1102" s="254"/>
    </row>
    <row r="1103" spans="3:3">
      <c r="C1103" s="254"/>
    </row>
    <row r="1104" spans="3:3">
      <c r="C1104" s="254"/>
    </row>
    <row r="1105" spans="3:3">
      <c r="C1105" s="254"/>
    </row>
    <row r="1106" spans="3:3">
      <c r="C1106" s="254"/>
    </row>
    <row r="1107" spans="3:3">
      <c r="C1107" s="254"/>
    </row>
    <row r="1108" spans="3:3">
      <c r="C1108" s="254"/>
    </row>
    <row r="1109" spans="3:3">
      <c r="C1109" s="254"/>
    </row>
    <row r="1110" spans="3:3">
      <c r="C1110" s="254"/>
    </row>
    <row r="1111" spans="3:3">
      <c r="C1111" s="254"/>
    </row>
    <row r="1112" spans="3:3">
      <c r="C1112" s="254"/>
    </row>
    <row r="1113" spans="3:3">
      <c r="C1113" s="254"/>
    </row>
    <row r="1114" spans="3:3">
      <c r="C1114" s="254"/>
    </row>
    <row r="1115" spans="3:3">
      <c r="C1115" s="254"/>
    </row>
    <row r="1116" spans="3:3">
      <c r="C1116" s="254"/>
    </row>
    <row r="1117" spans="3:3">
      <c r="C1117" s="254"/>
    </row>
    <row r="1118" spans="3:3">
      <c r="C1118" s="254"/>
    </row>
    <row r="1119" spans="3:3">
      <c r="C1119" s="254"/>
    </row>
    <row r="1120" spans="3:3">
      <c r="C1120" s="254"/>
    </row>
    <row r="1121" spans="3:3">
      <c r="C1121" s="254"/>
    </row>
    <row r="1122" spans="3:3">
      <c r="C1122" s="254"/>
    </row>
    <row r="1123" spans="3:3">
      <c r="C1123" s="254"/>
    </row>
    <row r="1124" spans="3:3">
      <c r="C1124" s="254"/>
    </row>
    <row r="1125" spans="3:3">
      <c r="C1125" s="254"/>
    </row>
    <row r="1126" spans="3:3">
      <c r="C1126" s="254"/>
    </row>
    <row r="1127" spans="3:3">
      <c r="C1127" s="254"/>
    </row>
    <row r="1128" spans="3:3">
      <c r="C1128" s="254"/>
    </row>
    <row r="1129" spans="3:3">
      <c r="C1129" s="254"/>
    </row>
    <row r="1130" spans="3:3">
      <c r="C1130" s="254"/>
    </row>
    <row r="1131" spans="3:3">
      <c r="C1131" s="254"/>
    </row>
    <row r="1132" spans="3:3">
      <c r="C1132" s="254"/>
    </row>
    <row r="1133" spans="3:3">
      <c r="C1133" s="254"/>
    </row>
    <row r="1134" spans="3:3">
      <c r="C1134" s="254"/>
    </row>
    <row r="1135" spans="3:3">
      <c r="C1135" s="254"/>
    </row>
    <row r="1136" spans="3:3">
      <c r="C1136" s="254"/>
    </row>
    <row r="1137" spans="3:3">
      <c r="C1137" s="254"/>
    </row>
    <row r="1138" spans="3:3">
      <c r="C1138" s="254"/>
    </row>
    <row r="1139" spans="3:3">
      <c r="C1139" s="254"/>
    </row>
    <row r="1140" spans="3:3">
      <c r="C1140" s="254"/>
    </row>
    <row r="1141" spans="3:3">
      <c r="C1141" s="254"/>
    </row>
    <row r="1142" spans="3:3">
      <c r="C1142" s="254"/>
    </row>
    <row r="1143" spans="3:3">
      <c r="C1143" s="254"/>
    </row>
    <row r="1144" spans="3:3">
      <c r="C1144" s="254"/>
    </row>
    <row r="1145" spans="3:3">
      <c r="C1145" s="254"/>
    </row>
    <row r="1146" spans="3:3">
      <c r="C1146" s="254"/>
    </row>
    <row r="1147" spans="3:3">
      <c r="C1147" s="254"/>
    </row>
    <row r="1148" spans="3:3">
      <c r="C1148" s="254"/>
    </row>
    <row r="1149" spans="3:3">
      <c r="C1149" s="254"/>
    </row>
    <row r="1150" spans="3:3">
      <c r="C1150" s="254"/>
    </row>
    <row r="1151" spans="3:3">
      <c r="C1151" s="254"/>
    </row>
    <row r="1152" spans="3:3">
      <c r="C1152" s="254"/>
    </row>
    <row r="1153" spans="3:3">
      <c r="C1153" s="254"/>
    </row>
    <row r="1154" spans="3:3">
      <c r="C1154" s="254"/>
    </row>
    <row r="1155" spans="3:3">
      <c r="C1155" s="254"/>
    </row>
    <row r="1156" spans="3:3">
      <c r="C1156" s="254"/>
    </row>
    <row r="1157" spans="3:3">
      <c r="C1157" s="254"/>
    </row>
    <row r="1158" spans="3:3">
      <c r="C1158" s="254"/>
    </row>
    <row r="1159" spans="3:3">
      <c r="C1159" s="254"/>
    </row>
    <row r="1160" spans="3:3">
      <c r="C1160" s="254"/>
    </row>
    <row r="1161" spans="3:3">
      <c r="C1161" s="254"/>
    </row>
    <row r="1162" spans="3:3">
      <c r="C1162" s="254"/>
    </row>
    <row r="1163" spans="3:3">
      <c r="C1163" s="254"/>
    </row>
    <row r="1164" spans="3:3">
      <c r="C1164" s="254"/>
    </row>
    <row r="1165" spans="3:3">
      <c r="C1165" s="254"/>
    </row>
    <row r="1166" spans="3:3">
      <c r="C1166" s="254"/>
    </row>
    <row r="1167" spans="3:3">
      <c r="C1167" s="254"/>
    </row>
    <row r="1168" spans="3:3">
      <c r="C1168" s="254"/>
    </row>
    <row r="1169" spans="3:3">
      <c r="C1169" s="254"/>
    </row>
    <row r="1170" spans="3:3">
      <c r="C1170" s="254"/>
    </row>
    <row r="1171" spans="3:3">
      <c r="C1171" s="254"/>
    </row>
    <row r="1172" spans="3:3">
      <c r="C1172" s="254"/>
    </row>
    <row r="1173" spans="3:3">
      <c r="C1173" s="254"/>
    </row>
    <row r="1174" spans="3:3">
      <c r="C1174" s="254"/>
    </row>
    <row r="1175" spans="3:3">
      <c r="C1175" s="254"/>
    </row>
    <row r="1176" spans="3:3">
      <c r="C1176" s="254"/>
    </row>
    <row r="1177" spans="3:3">
      <c r="C1177" s="254"/>
    </row>
    <row r="1178" spans="3:3">
      <c r="C1178" s="254"/>
    </row>
    <row r="1179" spans="3:3">
      <c r="C1179" s="254"/>
    </row>
    <row r="1180" spans="3:3">
      <c r="C1180" s="254"/>
    </row>
    <row r="1181" spans="3:3">
      <c r="C1181" s="254"/>
    </row>
    <row r="1182" spans="3:3">
      <c r="C1182" s="254"/>
    </row>
    <row r="1183" spans="3:3">
      <c r="C1183" s="254"/>
    </row>
    <row r="1184" spans="3:3">
      <c r="C1184" s="254"/>
    </row>
    <row r="1185" spans="3:3">
      <c r="C1185" s="254"/>
    </row>
    <row r="1186" spans="3:3">
      <c r="C1186" s="254"/>
    </row>
    <row r="1187" spans="3:3">
      <c r="C1187" s="254"/>
    </row>
    <row r="1188" spans="3:3">
      <c r="C1188" s="254"/>
    </row>
    <row r="1189" spans="3:3">
      <c r="C1189" s="254"/>
    </row>
    <row r="1190" spans="3:3">
      <c r="C1190" s="254"/>
    </row>
    <row r="1191" spans="3:3">
      <c r="C1191" s="254"/>
    </row>
    <row r="1192" spans="3:3">
      <c r="C1192" s="254"/>
    </row>
    <row r="1193" spans="3:3">
      <c r="C1193" s="254"/>
    </row>
    <row r="1194" spans="3:3">
      <c r="C1194" s="254"/>
    </row>
    <row r="1195" spans="3:3">
      <c r="C1195" s="254"/>
    </row>
    <row r="1196" spans="3:3">
      <c r="C1196" s="254"/>
    </row>
    <row r="1197" spans="3:3">
      <c r="C1197" s="254"/>
    </row>
    <row r="1198" spans="3:3">
      <c r="C1198" s="254"/>
    </row>
    <row r="1199" spans="3:3">
      <c r="C1199" s="254"/>
    </row>
    <row r="1200" spans="3:3">
      <c r="C1200" s="254"/>
    </row>
    <row r="1201" spans="3:3">
      <c r="C1201" s="254"/>
    </row>
    <row r="1202" spans="3:3">
      <c r="C1202" s="254"/>
    </row>
    <row r="1203" spans="3:3">
      <c r="C1203" s="254"/>
    </row>
    <row r="1204" spans="3:3">
      <c r="C1204" s="254"/>
    </row>
    <row r="1205" spans="3:3">
      <c r="C1205" s="254"/>
    </row>
    <row r="1206" spans="3:3">
      <c r="C1206" s="254"/>
    </row>
    <row r="1207" spans="3:3">
      <c r="C1207" s="254"/>
    </row>
    <row r="1208" spans="3:3">
      <c r="C1208" s="254"/>
    </row>
    <row r="1209" spans="3:3">
      <c r="C1209" s="254"/>
    </row>
    <row r="1210" spans="3:3">
      <c r="C1210" s="254"/>
    </row>
    <row r="1211" spans="3:3">
      <c r="C1211" s="254"/>
    </row>
    <row r="1212" spans="3:3">
      <c r="C1212" s="254"/>
    </row>
    <row r="1213" spans="3:3">
      <c r="C1213" s="254"/>
    </row>
    <row r="1214" spans="3:3">
      <c r="C1214" s="254"/>
    </row>
    <row r="1215" spans="3:3">
      <c r="C1215" s="254"/>
    </row>
    <row r="1216" spans="3:3">
      <c r="C1216" s="254"/>
    </row>
    <row r="1217" spans="3:3">
      <c r="C1217" s="254"/>
    </row>
    <row r="1218" spans="3:3">
      <c r="C1218" s="254"/>
    </row>
    <row r="1219" spans="3:3">
      <c r="C1219" s="254"/>
    </row>
    <row r="1220" spans="3:3">
      <c r="C1220" s="254"/>
    </row>
    <row r="1221" spans="3:3">
      <c r="C1221" s="254"/>
    </row>
    <row r="1222" spans="3:3">
      <c r="C1222" s="254"/>
    </row>
    <row r="1223" spans="3:3">
      <c r="C1223" s="254"/>
    </row>
    <row r="1224" spans="3:3">
      <c r="C1224" s="254"/>
    </row>
    <row r="1225" spans="3:3">
      <c r="C1225" s="254"/>
    </row>
    <row r="1226" spans="3:3">
      <c r="C1226" s="254"/>
    </row>
    <row r="1227" spans="3:3">
      <c r="C1227" s="254"/>
    </row>
    <row r="1228" spans="3:3">
      <c r="C1228" s="254"/>
    </row>
    <row r="1229" spans="3:3">
      <c r="C1229" s="254"/>
    </row>
    <row r="1230" spans="3:3">
      <c r="C1230" s="254"/>
    </row>
    <row r="1231" spans="3:3">
      <c r="C1231" s="254"/>
    </row>
    <row r="1232" spans="3:3">
      <c r="C1232" s="254"/>
    </row>
    <row r="1233" spans="3:3">
      <c r="C1233" s="254"/>
    </row>
    <row r="1234" spans="3:3">
      <c r="C1234" s="254"/>
    </row>
    <row r="1235" spans="3:3">
      <c r="C1235" s="254"/>
    </row>
    <row r="1236" spans="3:3">
      <c r="C1236" s="254"/>
    </row>
    <row r="1237" spans="3:3">
      <c r="C1237" s="254"/>
    </row>
    <row r="1238" spans="3:3">
      <c r="C1238" s="254"/>
    </row>
    <row r="1239" spans="3:3">
      <c r="C1239" s="254"/>
    </row>
    <row r="1240" spans="3:3">
      <c r="C1240" s="254"/>
    </row>
    <row r="1241" spans="3:3">
      <c r="C1241" s="254"/>
    </row>
    <row r="1242" spans="3:3">
      <c r="C1242" s="254"/>
    </row>
    <row r="1243" spans="3:3">
      <c r="C1243" s="254"/>
    </row>
    <row r="1244" spans="3:3">
      <c r="C1244" s="254"/>
    </row>
    <row r="1245" spans="3:3">
      <c r="C1245" s="254"/>
    </row>
    <row r="1246" spans="3:3">
      <c r="C1246" s="254"/>
    </row>
    <row r="1247" spans="3:3">
      <c r="C1247" s="254"/>
    </row>
    <row r="1248" spans="3:3">
      <c r="C1248" s="254"/>
    </row>
    <row r="1249" spans="3:3">
      <c r="C1249" s="254"/>
    </row>
    <row r="1250" spans="3:3">
      <c r="C1250" s="254"/>
    </row>
    <row r="1251" spans="3:3">
      <c r="C1251" s="254"/>
    </row>
    <row r="1252" spans="3:3">
      <c r="C1252" s="254"/>
    </row>
    <row r="1253" spans="3:3">
      <c r="C1253" s="254"/>
    </row>
    <row r="1254" spans="3:3">
      <c r="C1254" s="254"/>
    </row>
    <row r="1255" spans="3:3">
      <c r="C1255" s="254"/>
    </row>
    <row r="1256" spans="3:3">
      <c r="C1256" s="254"/>
    </row>
    <row r="1257" spans="3:3">
      <c r="C1257" s="254"/>
    </row>
    <row r="1258" spans="3:3">
      <c r="C1258" s="254"/>
    </row>
    <row r="1259" spans="3:3">
      <c r="C1259" s="254"/>
    </row>
    <row r="1260" spans="3:3">
      <c r="C1260" s="254"/>
    </row>
    <row r="1261" spans="3:3">
      <c r="C1261" s="254"/>
    </row>
    <row r="1262" spans="3:3">
      <c r="C1262" s="254"/>
    </row>
    <row r="1263" spans="3:3">
      <c r="C1263" s="254"/>
    </row>
    <row r="1264" spans="3:3">
      <c r="C1264" s="254"/>
    </row>
    <row r="1265" spans="3:3">
      <c r="C1265" s="254"/>
    </row>
    <row r="1266" spans="3:3">
      <c r="C1266" s="254"/>
    </row>
    <row r="1267" spans="3:3">
      <c r="C1267" s="254"/>
    </row>
    <row r="1268" spans="3:3">
      <c r="C1268" s="254"/>
    </row>
    <row r="1269" spans="3:3">
      <c r="C1269" s="254"/>
    </row>
    <row r="1270" spans="3:3">
      <c r="C1270" s="254"/>
    </row>
    <row r="1271" spans="3:3">
      <c r="C1271" s="254"/>
    </row>
    <row r="1272" spans="3:3">
      <c r="C1272" s="254"/>
    </row>
    <row r="1273" spans="3:3">
      <c r="C1273" s="254"/>
    </row>
    <row r="1274" spans="3:3">
      <c r="C1274" s="254"/>
    </row>
    <row r="1275" spans="3:3">
      <c r="C1275" s="254"/>
    </row>
    <row r="1276" spans="3:3">
      <c r="C1276" s="254"/>
    </row>
    <row r="1277" spans="3:3">
      <c r="C1277" s="254"/>
    </row>
    <row r="1278" spans="3:3">
      <c r="C1278" s="254"/>
    </row>
    <row r="1279" spans="3:3">
      <c r="C1279" s="254"/>
    </row>
    <row r="1280" spans="3:3">
      <c r="C1280" s="254"/>
    </row>
    <row r="1281" spans="3:3">
      <c r="C1281" s="254"/>
    </row>
    <row r="1282" spans="3:3">
      <c r="C1282" s="254"/>
    </row>
    <row r="1283" spans="3:3">
      <c r="C1283" s="254"/>
    </row>
    <row r="1284" spans="3:3">
      <c r="C1284" s="254"/>
    </row>
    <row r="1285" spans="3:3">
      <c r="C1285" s="254"/>
    </row>
    <row r="1286" spans="3:3">
      <c r="C1286" s="254"/>
    </row>
    <row r="1287" spans="3:3">
      <c r="C1287" s="254"/>
    </row>
    <row r="1288" spans="3:3">
      <c r="C1288" s="254"/>
    </row>
    <row r="1289" spans="3:3">
      <c r="C1289" s="254"/>
    </row>
    <row r="1290" spans="3:3">
      <c r="C1290" s="254"/>
    </row>
    <row r="1291" spans="3:3">
      <c r="C1291" s="254"/>
    </row>
    <row r="1292" spans="3:3">
      <c r="C1292" s="254"/>
    </row>
    <row r="1293" spans="3:3">
      <c r="C1293" s="254"/>
    </row>
    <row r="1294" spans="3:3">
      <c r="C1294" s="254"/>
    </row>
    <row r="1295" spans="3:3">
      <c r="C1295" s="254"/>
    </row>
    <row r="1296" spans="3:3">
      <c r="C1296" s="254"/>
    </row>
    <row r="1297" spans="3:3">
      <c r="C1297" s="254"/>
    </row>
    <row r="1298" spans="3:3">
      <c r="C1298" s="254"/>
    </row>
    <row r="1299" spans="3:3">
      <c r="C1299" s="254"/>
    </row>
    <row r="1300" spans="3:3">
      <c r="C1300" s="254"/>
    </row>
    <row r="1301" spans="3:3">
      <c r="C1301" s="254"/>
    </row>
    <row r="1302" spans="3:3">
      <c r="C1302" s="254"/>
    </row>
    <row r="1303" spans="3:3">
      <c r="C1303" s="254"/>
    </row>
    <row r="1304" spans="3:3">
      <c r="C1304" s="254"/>
    </row>
    <row r="1305" spans="3:3">
      <c r="C1305" s="254"/>
    </row>
    <row r="1306" spans="3:3">
      <c r="C1306" s="254"/>
    </row>
    <row r="1307" spans="3:3">
      <c r="C1307" s="254"/>
    </row>
    <row r="1308" spans="3:3">
      <c r="C1308" s="254"/>
    </row>
    <row r="1309" spans="3:3">
      <c r="C1309" s="254"/>
    </row>
    <row r="1310" spans="3:3">
      <c r="C1310" s="254"/>
    </row>
    <row r="1311" spans="3:3">
      <c r="C1311" s="254"/>
    </row>
    <row r="1312" spans="3:3">
      <c r="C1312" s="254"/>
    </row>
    <row r="1313" spans="3:3">
      <c r="C1313" s="254"/>
    </row>
    <row r="1314" spans="3:3">
      <c r="C1314" s="254"/>
    </row>
    <row r="1315" spans="3:3">
      <c r="C1315" s="254"/>
    </row>
    <row r="1316" spans="3:3">
      <c r="C1316" s="254"/>
    </row>
    <row r="1317" spans="3:3">
      <c r="C1317" s="254"/>
    </row>
    <row r="1318" spans="3:3">
      <c r="C1318" s="254"/>
    </row>
    <row r="1319" spans="3:3">
      <c r="C1319" s="254"/>
    </row>
    <row r="1320" spans="3:3">
      <c r="C1320" s="254"/>
    </row>
    <row r="1321" spans="3:3">
      <c r="C1321" s="254"/>
    </row>
    <row r="1322" spans="3:3">
      <c r="C1322" s="254"/>
    </row>
    <row r="1323" spans="3:3">
      <c r="C1323" s="254"/>
    </row>
    <row r="1324" spans="3:3">
      <c r="C1324" s="254"/>
    </row>
    <row r="1325" spans="3:3">
      <c r="C1325" s="254"/>
    </row>
    <row r="1326" spans="3:3">
      <c r="C1326" s="254"/>
    </row>
    <row r="1327" spans="3:3">
      <c r="C1327" s="254"/>
    </row>
    <row r="1328" spans="3:3">
      <c r="C1328" s="254"/>
    </row>
    <row r="1329" spans="3:3">
      <c r="C1329" s="254"/>
    </row>
    <row r="1330" spans="3:3">
      <c r="C1330" s="254"/>
    </row>
    <row r="1331" spans="3:3">
      <c r="C1331" s="254"/>
    </row>
    <row r="1332" spans="3:3">
      <c r="C1332" s="254"/>
    </row>
    <row r="1333" spans="3:3">
      <c r="C1333" s="254"/>
    </row>
    <row r="1334" spans="3:3">
      <c r="C1334" s="254"/>
    </row>
    <row r="1335" spans="3:3">
      <c r="C1335" s="254"/>
    </row>
    <row r="1336" spans="3:3">
      <c r="C1336" s="254"/>
    </row>
    <row r="1337" spans="3:3">
      <c r="C1337" s="254"/>
    </row>
    <row r="1338" spans="3:3">
      <c r="C1338" s="254"/>
    </row>
    <row r="1339" spans="3:3">
      <c r="C1339" s="254"/>
    </row>
    <row r="1340" spans="3:3">
      <c r="C1340" s="254"/>
    </row>
    <row r="1341" spans="3:3">
      <c r="C1341" s="254"/>
    </row>
    <row r="1342" spans="3:3">
      <c r="C1342" s="254"/>
    </row>
    <row r="1343" spans="3:3">
      <c r="C1343" s="254"/>
    </row>
    <row r="1344" spans="3:3">
      <c r="C1344" s="254"/>
    </row>
    <row r="1345" spans="3:3">
      <c r="C1345" s="254"/>
    </row>
    <row r="1346" spans="3:3">
      <c r="C1346" s="254"/>
    </row>
    <row r="1347" spans="3:3">
      <c r="C1347" s="254"/>
    </row>
    <row r="1348" spans="3:3">
      <c r="C1348" s="254"/>
    </row>
    <row r="1349" spans="3:3">
      <c r="C1349" s="254"/>
    </row>
    <row r="1350" spans="3:3">
      <c r="C1350" s="254"/>
    </row>
    <row r="1351" spans="3:3">
      <c r="C1351" s="254"/>
    </row>
    <row r="1352" spans="3:3">
      <c r="C1352" s="254"/>
    </row>
    <row r="1353" spans="3:3">
      <c r="C1353" s="254"/>
    </row>
    <row r="1354" spans="3:3">
      <c r="C1354" s="254"/>
    </row>
    <row r="1355" spans="3:3">
      <c r="C1355" s="254"/>
    </row>
    <row r="1356" spans="3:3">
      <c r="C1356" s="254"/>
    </row>
    <row r="1357" spans="3:3">
      <c r="C1357" s="254"/>
    </row>
    <row r="1358" spans="3:3">
      <c r="C1358" s="254"/>
    </row>
    <row r="1359" spans="3:3">
      <c r="C1359" s="254"/>
    </row>
    <row r="1360" spans="3:3">
      <c r="C1360" s="254"/>
    </row>
    <row r="1361" spans="3:3">
      <c r="C1361" s="254"/>
    </row>
    <row r="1362" spans="3:3">
      <c r="C1362" s="254"/>
    </row>
    <row r="1363" spans="3:3">
      <c r="C1363" s="254"/>
    </row>
    <row r="1364" spans="3:3">
      <c r="C1364" s="254"/>
    </row>
    <row r="1365" spans="3:3">
      <c r="C1365" s="254"/>
    </row>
    <row r="1366" spans="3:3">
      <c r="C1366" s="254"/>
    </row>
    <row r="1367" spans="3:3">
      <c r="C1367" s="254"/>
    </row>
    <row r="1368" spans="3:3">
      <c r="C1368" s="254"/>
    </row>
    <row r="1369" spans="3:3">
      <c r="C1369" s="254"/>
    </row>
    <row r="1370" spans="3:3">
      <c r="C1370" s="254"/>
    </row>
    <row r="1371" spans="3:3">
      <c r="C1371" s="254"/>
    </row>
    <row r="1372" spans="3:3">
      <c r="C1372" s="254"/>
    </row>
    <row r="1373" spans="3:3">
      <c r="C1373" s="254"/>
    </row>
    <row r="1374" spans="3:3">
      <c r="C1374" s="254"/>
    </row>
    <row r="1375" spans="3:3">
      <c r="C1375" s="254"/>
    </row>
    <row r="1376" spans="3:3">
      <c r="C1376" s="254"/>
    </row>
    <row r="1377" spans="3:3">
      <c r="C1377" s="254"/>
    </row>
    <row r="1378" spans="3:3">
      <c r="C1378" s="254"/>
    </row>
    <row r="1379" spans="3:3">
      <c r="C1379" s="254"/>
    </row>
    <row r="1380" spans="3:3">
      <c r="C1380" s="254"/>
    </row>
    <row r="1381" spans="3:3">
      <c r="C1381" s="254"/>
    </row>
    <row r="1382" spans="3:3">
      <c r="C1382" s="254"/>
    </row>
    <row r="1383" spans="3:3">
      <c r="C1383" s="254"/>
    </row>
    <row r="1384" spans="3:3">
      <c r="C1384" s="254"/>
    </row>
    <row r="1385" spans="3:3">
      <c r="C1385" s="254"/>
    </row>
    <row r="1386" spans="3:3">
      <c r="C1386" s="254"/>
    </row>
    <row r="1387" spans="3:3">
      <c r="C1387" s="254"/>
    </row>
    <row r="1388" spans="3:3">
      <c r="C1388" s="254"/>
    </row>
    <row r="1389" spans="3:3">
      <c r="C1389" s="254"/>
    </row>
    <row r="1390" spans="3:3">
      <c r="C1390" s="254"/>
    </row>
    <row r="1391" spans="3:3">
      <c r="C1391" s="254"/>
    </row>
    <row r="1392" spans="3:3">
      <c r="C1392" s="254"/>
    </row>
    <row r="1393" spans="3:3">
      <c r="C1393" s="254"/>
    </row>
    <row r="1394" spans="3:3">
      <c r="C1394" s="254"/>
    </row>
    <row r="1395" spans="3:3">
      <c r="C1395" s="254"/>
    </row>
    <row r="1396" spans="3:3">
      <c r="C1396" s="254"/>
    </row>
    <row r="1397" spans="3:3">
      <c r="C1397" s="254"/>
    </row>
    <row r="1398" spans="3:3">
      <c r="C1398" s="254"/>
    </row>
    <row r="1399" spans="3:3">
      <c r="C1399" s="254"/>
    </row>
    <row r="1400" spans="3:3">
      <c r="C1400" s="254"/>
    </row>
    <row r="1401" spans="3:3">
      <c r="C1401" s="254"/>
    </row>
    <row r="1402" spans="3:3">
      <c r="C1402" s="254"/>
    </row>
    <row r="1403" spans="3:3">
      <c r="C1403" s="254"/>
    </row>
    <row r="1404" spans="3:3">
      <c r="C1404" s="254"/>
    </row>
    <row r="1405" spans="3:3">
      <c r="C1405" s="254"/>
    </row>
    <row r="1406" spans="3:3">
      <c r="C1406" s="254"/>
    </row>
    <row r="1407" spans="3:3">
      <c r="C1407" s="254"/>
    </row>
    <row r="1408" spans="3:3">
      <c r="C1408" s="254"/>
    </row>
    <row r="1409" spans="3:3">
      <c r="C1409" s="254"/>
    </row>
    <row r="1410" spans="3:3">
      <c r="C1410" s="254"/>
    </row>
    <row r="1411" spans="3:3">
      <c r="C1411" s="254"/>
    </row>
    <row r="1412" spans="3:3">
      <c r="C1412" s="254"/>
    </row>
    <row r="1413" spans="3:3">
      <c r="C1413" s="254"/>
    </row>
    <row r="1414" spans="3:3">
      <c r="C1414" s="254"/>
    </row>
    <row r="1415" spans="3:3">
      <c r="C1415" s="254"/>
    </row>
    <row r="1416" spans="3:3">
      <c r="C1416" s="254"/>
    </row>
    <row r="1417" spans="3:3">
      <c r="C1417" s="254"/>
    </row>
    <row r="1418" spans="3:3">
      <c r="C1418" s="254"/>
    </row>
    <row r="1419" spans="3:3">
      <c r="C1419" s="254"/>
    </row>
    <row r="1420" spans="3:3">
      <c r="C1420" s="254"/>
    </row>
    <row r="1421" spans="3:3">
      <c r="C1421" s="254"/>
    </row>
    <row r="1422" spans="3:3">
      <c r="C1422" s="254"/>
    </row>
    <row r="1423" spans="3:3">
      <c r="C1423" s="254"/>
    </row>
    <row r="1424" spans="3:3">
      <c r="C1424" s="254"/>
    </row>
    <row r="1425" spans="3:3">
      <c r="C1425" s="254"/>
    </row>
    <row r="1426" spans="3:3">
      <c r="C1426" s="254"/>
    </row>
    <row r="1427" spans="3:3">
      <c r="C1427" s="254"/>
    </row>
    <row r="1428" spans="3:3">
      <c r="C1428" s="254"/>
    </row>
    <row r="1429" spans="3:3">
      <c r="C1429" s="254"/>
    </row>
    <row r="1430" spans="3:3">
      <c r="C1430" s="254"/>
    </row>
    <row r="1431" spans="3:3">
      <c r="C1431" s="254"/>
    </row>
    <row r="1432" spans="3:3">
      <c r="C1432" s="254"/>
    </row>
    <row r="1433" spans="3:3">
      <c r="C1433" s="254"/>
    </row>
    <row r="1434" spans="3:3">
      <c r="C1434" s="254"/>
    </row>
    <row r="1435" spans="3:3">
      <c r="C1435" s="254"/>
    </row>
    <row r="1436" spans="3:3">
      <c r="C1436" s="254"/>
    </row>
    <row r="1437" spans="3:3">
      <c r="C1437" s="254"/>
    </row>
    <row r="1438" spans="3:3">
      <c r="C1438" s="254"/>
    </row>
    <row r="1439" spans="3:3">
      <c r="C1439" s="254"/>
    </row>
    <row r="1440" spans="3:3">
      <c r="C1440" s="254"/>
    </row>
    <row r="1441" spans="3:3">
      <c r="C1441" s="254"/>
    </row>
    <row r="1442" spans="3:3">
      <c r="C1442" s="254"/>
    </row>
    <row r="1443" spans="3:3">
      <c r="C1443" s="254"/>
    </row>
    <row r="1444" spans="3:3">
      <c r="C1444" s="254"/>
    </row>
    <row r="1445" spans="3:3">
      <c r="C1445" s="254"/>
    </row>
    <row r="1446" spans="3:3">
      <c r="C1446" s="254"/>
    </row>
    <row r="1447" spans="3:3">
      <c r="C1447" s="254"/>
    </row>
    <row r="1448" spans="3:3">
      <c r="C1448" s="254"/>
    </row>
    <row r="1449" spans="3:3">
      <c r="C1449" s="254"/>
    </row>
    <row r="1450" spans="3:3">
      <c r="C1450" s="254"/>
    </row>
    <row r="1451" spans="3:3">
      <c r="C1451" s="254"/>
    </row>
    <row r="1452" spans="3:3">
      <c r="C1452" s="254"/>
    </row>
    <row r="1453" spans="3:3">
      <c r="C1453" s="254"/>
    </row>
    <row r="1454" spans="3:3">
      <c r="C1454" s="254"/>
    </row>
    <row r="1455" spans="3:3">
      <c r="C1455" s="254"/>
    </row>
    <row r="1456" spans="3:3">
      <c r="C1456" s="254"/>
    </row>
    <row r="1457" spans="3:3">
      <c r="C1457" s="254"/>
    </row>
    <row r="1458" spans="3:3">
      <c r="C1458" s="254"/>
    </row>
    <row r="1459" spans="3:3">
      <c r="C1459" s="254"/>
    </row>
    <row r="1460" spans="3:3">
      <c r="C1460" s="254"/>
    </row>
    <row r="1461" spans="3:3">
      <c r="C1461" s="254"/>
    </row>
    <row r="1462" spans="3:3">
      <c r="C1462" s="254"/>
    </row>
    <row r="1463" spans="3:3">
      <c r="C1463" s="254"/>
    </row>
    <row r="1464" spans="3:3">
      <c r="C1464" s="254"/>
    </row>
    <row r="1465" spans="3:3">
      <c r="C1465" s="254"/>
    </row>
    <row r="1466" spans="3:3">
      <c r="C1466" s="254"/>
    </row>
    <row r="1467" spans="3:3">
      <c r="C1467" s="254"/>
    </row>
    <row r="1468" spans="3:3">
      <c r="C1468" s="254"/>
    </row>
    <row r="1469" spans="3:3">
      <c r="C1469" s="254"/>
    </row>
    <row r="1470" spans="3:3">
      <c r="C1470" s="254"/>
    </row>
    <row r="1471" spans="3:3">
      <c r="C1471" s="254"/>
    </row>
    <row r="1472" spans="3:3">
      <c r="C1472" s="254"/>
    </row>
    <row r="1473" spans="3:3">
      <c r="C1473" s="254"/>
    </row>
    <row r="1474" spans="3:3">
      <c r="C1474" s="254"/>
    </row>
    <row r="1475" spans="3:3">
      <c r="C1475" s="254"/>
    </row>
    <row r="1476" spans="3:3">
      <c r="C1476" s="254"/>
    </row>
    <row r="1477" spans="3:3">
      <c r="C1477" s="254"/>
    </row>
    <row r="1478" spans="3:3">
      <c r="C1478" s="254"/>
    </row>
    <row r="1479" spans="3:3">
      <c r="C1479" s="254"/>
    </row>
    <row r="1480" spans="3:3">
      <c r="C1480" s="254"/>
    </row>
    <row r="1481" spans="3:3">
      <c r="C1481" s="254"/>
    </row>
    <row r="1482" spans="3:3">
      <c r="C1482" s="254"/>
    </row>
    <row r="1483" spans="3:3">
      <c r="C1483" s="254"/>
    </row>
    <row r="1484" spans="3:3">
      <c r="C1484" s="254"/>
    </row>
    <row r="1485" spans="3:3">
      <c r="C1485" s="254"/>
    </row>
    <row r="1486" spans="3:3">
      <c r="C1486" s="254"/>
    </row>
    <row r="1487" spans="3:3">
      <c r="C1487" s="254"/>
    </row>
    <row r="1488" spans="3:3">
      <c r="C1488" s="254"/>
    </row>
    <row r="1489" spans="3:3">
      <c r="C1489" s="254"/>
    </row>
    <row r="1490" spans="3:3">
      <c r="C1490" s="254"/>
    </row>
    <row r="1491" spans="3:3">
      <c r="C1491" s="254"/>
    </row>
    <row r="1492" spans="3:3">
      <c r="C1492" s="254"/>
    </row>
    <row r="1493" spans="3:3">
      <c r="C1493" s="254"/>
    </row>
    <row r="1494" spans="3:3">
      <c r="C1494" s="254"/>
    </row>
    <row r="1495" spans="3:3">
      <c r="C1495" s="254"/>
    </row>
    <row r="1496" spans="3:3">
      <c r="C1496" s="254"/>
    </row>
    <row r="1497" spans="3:3">
      <c r="C1497" s="254"/>
    </row>
    <row r="1498" spans="3:3">
      <c r="C1498" s="254"/>
    </row>
    <row r="1499" spans="3:3">
      <c r="C1499" s="254"/>
    </row>
    <row r="1500" spans="3:3">
      <c r="C1500" s="254"/>
    </row>
    <row r="1501" spans="3:3">
      <c r="C1501" s="254"/>
    </row>
    <row r="1502" spans="3:3">
      <c r="C1502" s="254"/>
    </row>
    <row r="1503" spans="3:3">
      <c r="C1503" s="254"/>
    </row>
    <row r="1504" spans="3:3">
      <c r="C1504" s="254"/>
    </row>
    <row r="1505" spans="3:3">
      <c r="C1505" s="254"/>
    </row>
    <row r="1506" spans="3:3">
      <c r="C1506" s="254"/>
    </row>
    <row r="1507" spans="3:3">
      <c r="C1507" s="254"/>
    </row>
    <row r="1508" spans="3:3">
      <c r="C1508" s="254"/>
    </row>
    <row r="1509" spans="3:3">
      <c r="C1509" s="254"/>
    </row>
    <row r="1510" spans="3:3">
      <c r="C1510" s="254"/>
    </row>
    <row r="1511" spans="3:3">
      <c r="C1511" s="254"/>
    </row>
    <row r="1512" spans="3:3">
      <c r="C1512" s="254"/>
    </row>
    <row r="1513" spans="3:3">
      <c r="C1513" s="254"/>
    </row>
    <row r="1514" spans="3:3">
      <c r="C1514" s="254"/>
    </row>
    <row r="1515" spans="3:3">
      <c r="C1515" s="254"/>
    </row>
    <row r="1516" spans="3:3">
      <c r="C1516" s="254"/>
    </row>
    <row r="1517" spans="3:3">
      <c r="C1517" s="254"/>
    </row>
    <row r="1518" spans="3:3">
      <c r="C1518" s="254"/>
    </row>
    <row r="1519" spans="3:3">
      <c r="C1519" s="254"/>
    </row>
    <row r="1520" spans="3:3">
      <c r="C1520" s="254"/>
    </row>
    <row r="1521" spans="3:3">
      <c r="C1521" s="254"/>
    </row>
    <row r="1522" spans="3:3">
      <c r="C1522" s="254"/>
    </row>
    <row r="1523" spans="3:3">
      <c r="C1523" s="254"/>
    </row>
    <row r="1524" spans="3:3">
      <c r="C1524" s="254"/>
    </row>
    <row r="1525" spans="3:3">
      <c r="C1525" s="254"/>
    </row>
    <row r="1526" spans="3:3">
      <c r="C1526" s="254"/>
    </row>
    <row r="1527" spans="3:3">
      <c r="C1527" s="254"/>
    </row>
    <row r="1528" spans="3:3">
      <c r="C1528" s="254"/>
    </row>
    <row r="1529" spans="3:3">
      <c r="C1529" s="254"/>
    </row>
    <row r="1530" spans="3:3">
      <c r="C1530" s="254"/>
    </row>
    <row r="1531" spans="3:3">
      <c r="C1531" s="254"/>
    </row>
    <row r="1532" spans="3:3">
      <c r="C1532" s="254"/>
    </row>
    <row r="1533" spans="3:3">
      <c r="C1533" s="254"/>
    </row>
    <row r="1534" spans="3:3">
      <c r="C1534" s="254"/>
    </row>
    <row r="1535" spans="3:3">
      <c r="C1535" s="254"/>
    </row>
    <row r="1536" spans="3:3">
      <c r="C1536" s="254"/>
    </row>
    <row r="1537" spans="3:3">
      <c r="C1537" s="254"/>
    </row>
    <row r="1538" spans="3:3">
      <c r="C1538" s="254"/>
    </row>
    <row r="1539" spans="3:3">
      <c r="C1539" s="254"/>
    </row>
    <row r="1540" spans="3:3">
      <c r="C1540" s="254"/>
    </row>
    <row r="1541" spans="3:3">
      <c r="C1541" s="254"/>
    </row>
    <row r="1542" spans="3:3">
      <c r="C1542" s="254"/>
    </row>
    <row r="1543" spans="3:3">
      <c r="C1543" s="254"/>
    </row>
    <row r="1544" spans="3:3">
      <c r="C1544" s="254"/>
    </row>
    <row r="1545" spans="3:3">
      <c r="C1545" s="254"/>
    </row>
    <row r="1546" spans="3:3">
      <c r="C1546" s="254"/>
    </row>
    <row r="1547" spans="3:3">
      <c r="C1547" s="254"/>
    </row>
    <row r="1548" spans="3:3">
      <c r="C1548" s="254"/>
    </row>
    <row r="1549" spans="3:3">
      <c r="C1549" s="254"/>
    </row>
    <row r="1550" spans="3:3">
      <c r="C1550" s="254"/>
    </row>
    <row r="1551" spans="3:3">
      <c r="C1551" s="254"/>
    </row>
    <row r="1552" spans="3:3">
      <c r="C1552" s="254"/>
    </row>
    <row r="1553" spans="3:3">
      <c r="C1553" s="254"/>
    </row>
    <row r="1554" spans="3:3">
      <c r="C1554" s="254"/>
    </row>
    <row r="1555" spans="3:3">
      <c r="C1555" s="254"/>
    </row>
    <row r="1556" spans="3:3">
      <c r="C1556" s="254"/>
    </row>
    <row r="1557" spans="3:3">
      <c r="C1557" s="254"/>
    </row>
    <row r="1558" spans="3:3">
      <c r="C1558" s="254"/>
    </row>
    <row r="1559" spans="3:3">
      <c r="C1559" s="254"/>
    </row>
    <row r="1560" spans="3:3">
      <c r="C1560" s="254"/>
    </row>
    <row r="1561" spans="3:3">
      <c r="C1561" s="254"/>
    </row>
    <row r="1562" spans="3:3">
      <c r="C1562" s="254"/>
    </row>
    <row r="1563" spans="3:3">
      <c r="C1563" s="254"/>
    </row>
    <row r="1564" spans="3:3">
      <c r="C1564" s="254"/>
    </row>
    <row r="1565" spans="3:3">
      <c r="C1565" s="254"/>
    </row>
    <row r="1566" spans="3:3">
      <c r="C1566" s="254"/>
    </row>
    <row r="1567" spans="3:3">
      <c r="C1567" s="254"/>
    </row>
    <row r="1568" spans="3:3">
      <c r="C1568" s="254"/>
    </row>
    <row r="1569" spans="3:3">
      <c r="C1569" s="254"/>
    </row>
    <row r="1570" spans="3:3">
      <c r="C1570" s="254"/>
    </row>
    <row r="1571" spans="3:3">
      <c r="C1571" s="254"/>
    </row>
    <row r="1572" spans="3:3">
      <c r="C1572" s="254"/>
    </row>
    <row r="1573" spans="3:3">
      <c r="C1573" s="254"/>
    </row>
    <row r="1574" spans="3:3">
      <c r="C1574" s="254"/>
    </row>
    <row r="1575" spans="3:3">
      <c r="C1575" s="254"/>
    </row>
    <row r="1576" spans="3:3">
      <c r="C1576" s="254"/>
    </row>
    <row r="1577" spans="3:3">
      <c r="C1577" s="254"/>
    </row>
    <row r="1578" spans="3:3">
      <c r="C1578" s="254"/>
    </row>
    <row r="1579" spans="3:3">
      <c r="C1579" s="254"/>
    </row>
    <row r="1580" spans="3:3">
      <c r="C1580" s="254"/>
    </row>
    <row r="1581" spans="3:3">
      <c r="C1581" s="254"/>
    </row>
    <row r="1582" spans="3:3">
      <c r="C1582" s="254"/>
    </row>
    <row r="1583" spans="3:3">
      <c r="C1583" s="254"/>
    </row>
    <row r="1584" spans="3:3">
      <c r="C1584" s="254"/>
    </row>
    <row r="1585" spans="3:3">
      <c r="C1585" s="254"/>
    </row>
    <row r="1586" spans="3:3">
      <c r="C1586" s="254"/>
    </row>
    <row r="1587" spans="3:3">
      <c r="C1587" s="254"/>
    </row>
    <row r="1588" spans="3:3">
      <c r="C1588" s="254"/>
    </row>
    <row r="1589" spans="3:3">
      <c r="C1589" s="254"/>
    </row>
    <row r="1590" spans="3:3">
      <c r="C1590" s="254"/>
    </row>
    <row r="1591" spans="3:3">
      <c r="C1591" s="254"/>
    </row>
    <row r="1592" spans="3:3">
      <c r="C1592" s="254"/>
    </row>
    <row r="1593" spans="3:3">
      <c r="C1593" s="254"/>
    </row>
    <row r="1594" spans="3:3">
      <c r="C1594" s="254"/>
    </row>
    <row r="1595" spans="3:3">
      <c r="C1595" s="254"/>
    </row>
    <row r="1596" spans="3:3">
      <c r="C1596" s="254"/>
    </row>
    <row r="1597" spans="3:3">
      <c r="C1597" s="254"/>
    </row>
    <row r="1598" spans="3:3">
      <c r="C1598" s="254"/>
    </row>
    <row r="1599" spans="3:3">
      <c r="C1599" s="254"/>
    </row>
    <row r="1600" spans="3:3">
      <c r="C1600" s="254"/>
    </row>
    <row r="1601" spans="3:3">
      <c r="C1601" s="254"/>
    </row>
    <row r="1602" spans="3:3">
      <c r="C1602" s="254"/>
    </row>
    <row r="1603" spans="3:3">
      <c r="C1603" s="254"/>
    </row>
    <row r="1604" spans="3:3">
      <c r="C1604" s="254"/>
    </row>
    <row r="1605" spans="3:3">
      <c r="C1605" s="254"/>
    </row>
    <row r="1606" spans="3:3">
      <c r="C1606" s="254"/>
    </row>
    <row r="1607" spans="3:3">
      <c r="C1607" s="254"/>
    </row>
    <row r="1608" spans="3:3">
      <c r="C1608" s="254"/>
    </row>
    <row r="1609" spans="3:3">
      <c r="C1609" s="254"/>
    </row>
    <row r="1610" spans="3:3">
      <c r="C1610" s="254"/>
    </row>
    <row r="1611" spans="3:3">
      <c r="C1611" s="254"/>
    </row>
    <row r="1612" spans="3:3">
      <c r="C1612" s="254"/>
    </row>
    <row r="1613" spans="3:3">
      <c r="C1613" s="254"/>
    </row>
    <row r="1614" spans="3:3">
      <c r="C1614" s="254"/>
    </row>
    <row r="1615" spans="3:3">
      <c r="C1615" s="254"/>
    </row>
    <row r="1616" spans="3:3">
      <c r="C1616" s="254"/>
    </row>
    <row r="1617" spans="3:3">
      <c r="C1617" s="254"/>
    </row>
    <row r="1618" spans="3:3">
      <c r="C1618" s="254"/>
    </row>
    <row r="1619" spans="3:3">
      <c r="C1619" s="254"/>
    </row>
    <row r="1620" spans="3:3">
      <c r="C1620" s="254"/>
    </row>
    <row r="1621" spans="3:3">
      <c r="C1621" s="254"/>
    </row>
    <row r="1622" spans="3:3">
      <c r="C1622" s="254"/>
    </row>
    <row r="1623" spans="3:3">
      <c r="C1623" s="254"/>
    </row>
    <row r="1624" spans="3:3">
      <c r="C1624" s="254"/>
    </row>
    <row r="1625" spans="3:3">
      <c r="C1625" s="254"/>
    </row>
    <row r="1626" spans="3:3">
      <c r="C1626" s="254"/>
    </row>
    <row r="1627" spans="3:3">
      <c r="C1627" s="254"/>
    </row>
    <row r="1628" spans="3:3">
      <c r="C1628" s="254"/>
    </row>
    <row r="1629" spans="3:3">
      <c r="C1629" s="254"/>
    </row>
    <row r="1630" spans="3:3">
      <c r="C1630" s="254"/>
    </row>
    <row r="1631" spans="3:3">
      <c r="C1631" s="254"/>
    </row>
    <row r="1632" spans="3:3">
      <c r="C1632" s="254"/>
    </row>
    <row r="1633" spans="3:3">
      <c r="C1633" s="254"/>
    </row>
    <row r="1634" spans="3:3">
      <c r="C1634" s="254"/>
    </row>
    <row r="1635" spans="3:3">
      <c r="C1635" s="254"/>
    </row>
    <row r="1636" spans="3:3">
      <c r="C1636" s="254"/>
    </row>
    <row r="1637" spans="3:3">
      <c r="C1637" s="254"/>
    </row>
    <row r="1638" spans="3:3">
      <c r="C1638" s="254"/>
    </row>
    <row r="1639" spans="3:3">
      <c r="C1639" s="254"/>
    </row>
    <row r="1640" spans="3:3">
      <c r="C1640" s="254"/>
    </row>
    <row r="1641" spans="3:3">
      <c r="C1641" s="254"/>
    </row>
    <row r="1642" spans="3:3">
      <c r="C1642" s="254"/>
    </row>
    <row r="1643" spans="3:3">
      <c r="C1643" s="254"/>
    </row>
    <row r="1644" spans="3:3">
      <c r="C1644" s="254"/>
    </row>
    <row r="1645" spans="3:3">
      <c r="C1645" s="254"/>
    </row>
    <row r="1646" spans="3:3">
      <c r="C1646" s="254"/>
    </row>
    <row r="1647" spans="3:3">
      <c r="C1647" s="254"/>
    </row>
    <row r="1648" spans="3:3">
      <c r="C1648" s="254"/>
    </row>
    <row r="1649" spans="3:3">
      <c r="C1649" s="254"/>
    </row>
    <row r="1650" spans="3:3">
      <c r="C1650" s="254"/>
    </row>
    <row r="1651" spans="3:3">
      <c r="C1651" s="254"/>
    </row>
    <row r="1652" spans="3:3">
      <c r="C1652" s="254"/>
    </row>
    <row r="1653" spans="3:3">
      <c r="C1653" s="254"/>
    </row>
    <row r="1654" spans="3:3">
      <c r="C1654" s="254"/>
    </row>
    <row r="1655" spans="3:3">
      <c r="C1655" s="254"/>
    </row>
    <row r="1656" spans="3:3">
      <c r="C1656" s="254"/>
    </row>
    <row r="1657" spans="3:3">
      <c r="C1657" s="254"/>
    </row>
    <row r="1658" spans="3:3">
      <c r="C1658" s="254"/>
    </row>
    <row r="1659" spans="3:3">
      <c r="C1659" s="254"/>
    </row>
    <row r="1660" spans="3:3">
      <c r="C1660" s="254"/>
    </row>
    <row r="1661" spans="3:3">
      <c r="C1661" s="254"/>
    </row>
    <row r="1662" spans="3:3">
      <c r="C1662" s="254"/>
    </row>
    <row r="1663" spans="3:3">
      <c r="C1663" s="254"/>
    </row>
    <row r="1664" spans="3:3">
      <c r="C1664" s="254"/>
    </row>
    <row r="1665" spans="3:3">
      <c r="C1665" s="254"/>
    </row>
    <row r="1666" spans="3:3">
      <c r="C1666" s="254"/>
    </row>
    <row r="1667" spans="3:3">
      <c r="C1667" s="254"/>
    </row>
    <row r="1668" spans="3:3">
      <c r="C1668" s="254"/>
    </row>
    <row r="1669" spans="3:3">
      <c r="C1669" s="254"/>
    </row>
    <row r="1670" spans="3:3">
      <c r="C1670" s="254"/>
    </row>
    <row r="1671" spans="3:3">
      <c r="C1671" s="254"/>
    </row>
    <row r="1672" spans="3:3">
      <c r="C1672" s="254"/>
    </row>
    <row r="1673" spans="3:3">
      <c r="C1673" s="254"/>
    </row>
    <row r="1674" spans="3:3">
      <c r="C1674" s="254"/>
    </row>
    <row r="1675" spans="3:3">
      <c r="C1675" s="254"/>
    </row>
    <row r="1676" spans="3:3">
      <c r="C1676" s="254"/>
    </row>
    <row r="1677" spans="3:3">
      <c r="C1677" s="254"/>
    </row>
    <row r="1678" spans="3:3">
      <c r="C1678" s="254"/>
    </row>
    <row r="1679" spans="3:3">
      <c r="C1679" s="254"/>
    </row>
    <row r="1680" spans="3:3">
      <c r="C1680" s="254"/>
    </row>
    <row r="1681" spans="3:3">
      <c r="C1681" s="254"/>
    </row>
    <row r="1682" spans="3:3">
      <c r="C1682" s="254"/>
    </row>
    <row r="1683" spans="3:3">
      <c r="C1683" s="254"/>
    </row>
    <row r="1684" spans="3:3">
      <c r="C1684" s="254"/>
    </row>
    <row r="1685" spans="3:3">
      <c r="C1685" s="254"/>
    </row>
    <row r="1686" spans="3:3">
      <c r="C1686" s="254"/>
    </row>
    <row r="1687" spans="3:3">
      <c r="C1687" s="254"/>
    </row>
    <row r="1688" spans="3:3">
      <c r="C1688" s="254"/>
    </row>
    <row r="1689" spans="3:3">
      <c r="C1689" s="254"/>
    </row>
    <row r="1690" spans="3:3">
      <c r="C1690" s="254"/>
    </row>
    <row r="1691" spans="3:3">
      <c r="C1691" s="254"/>
    </row>
    <row r="1692" spans="3:3">
      <c r="C1692" s="254"/>
    </row>
    <row r="1693" spans="3:3">
      <c r="C1693" s="254"/>
    </row>
    <row r="1694" spans="3:3">
      <c r="C1694" s="254"/>
    </row>
    <row r="1695" spans="3:3">
      <c r="C1695" s="254"/>
    </row>
    <row r="1696" spans="3:3">
      <c r="C1696" s="254"/>
    </row>
    <row r="1697" spans="3:3">
      <c r="C1697" s="254"/>
    </row>
    <row r="1698" spans="3:3">
      <c r="C1698" s="254"/>
    </row>
    <row r="1699" spans="3:3">
      <c r="C1699" s="254"/>
    </row>
    <row r="1700" spans="3:3">
      <c r="C1700" s="254"/>
    </row>
    <row r="1701" spans="3:3">
      <c r="C1701" s="254"/>
    </row>
    <row r="1702" spans="3:3">
      <c r="C1702" s="254"/>
    </row>
    <row r="1703" spans="3:3">
      <c r="C1703" s="254"/>
    </row>
    <row r="1704" spans="3:3">
      <c r="C1704" s="254"/>
    </row>
    <row r="1705" spans="3:3">
      <c r="C1705" s="254"/>
    </row>
    <row r="1706" spans="3:3">
      <c r="C1706" s="254"/>
    </row>
    <row r="1707" spans="3:3">
      <c r="C1707" s="254"/>
    </row>
    <row r="1708" spans="3:3">
      <c r="C1708" s="254"/>
    </row>
    <row r="1709" spans="3:3">
      <c r="C1709" s="254"/>
    </row>
    <row r="1710" spans="3:3">
      <c r="C1710" s="254"/>
    </row>
    <row r="1711" spans="3:3">
      <c r="C1711" s="254"/>
    </row>
    <row r="1712" spans="3:3">
      <c r="C1712" s="254"/>
    </row>
    <row r="1713" spans="3:3">
      <c r="C1713" s="254"/>
    </row>
    <row r="1714" spans="3:3">
      <c r="C1714" s="254"/>
    </row>
    <row r="1715" spans="3:3">
      <c r="C1715" s="254"/>
    </row>
    <row r="1716" spans="3:3">
      <c r="C1716" s="254"/>
    </row>
    <row r="1717" spans="3:3">
      <c r="C1717" s="254"/>
    </row>
    <row r="1718" spans="3:3">
      <c r="C1718" s="254"/>
    </row>
    <row r="1719" spans="3:3">
      <c r="C1719" s="254"/>
    </row>
    <row r="1720" spans="3:3">
      <c r="C1720" s="254"/>
    </row>
    <row r="1721" spans="3:3">
      <c r="C1721" s="254"/>
    </row>
    <row r="1722" spans="3:3">
      <c r="C1722" s="254"/>
    </row>
    <row r="1723" spans="3:3">
      <c r="C1723" s="254"/>
    </row>
    <row r="1724" spans="3:3">
      <c r="C1724" s="254"/>
    </row>
    <row r="1725" spans="3:3">
      <c r="C1725" s="254"/>
    </row>
    <row r="1726" spans="3:3">
      <c r="C1726" s="254"/>
    </row>
    <row r="1727" spans="3:3">
      <c r="C1727" s="254"/>
    </row>
    <row r="1728" spans="3:3">
      <c r="C1728" s="254"/>
    </row>
    <row r="1729" spans="3:3">
      <c r="C1729" s="254"/>
    </row>
    <row r="1730" spans="3:3">
      <c r="C1730" s="254"/>
    </row>
    <row r="1731" spans="3:3">
      <c r="C1731" s="254"/>
    </row>
    <row r="1732" spans="3:3">
      <c r="C1732" s="254"/>
    </row>
    <row r="1733" spans="3:3">
      <c r="C1733" s="254"/>
    </row>
    <row r="1734" spans="3:3">
      <c r="C1734" s="254"/>
    </row>
    <row r="1735" spans="3:3">
      <c r="C1735" s="254"/>
    </row>
    <row r="1736" spans="3:3">
      <c r="C1736" s="254"/>
    </row>
    <row r="1737" spans="3:3">
      <c r="C1737" s="254"/>
    </row>
    <row r="1738" spans="3:3">
      <c r="C1738" s="254"/>
    </row>
    <row r="1739" spans="3:3">
      <c r="C1739" s="254"/>
    </row>
    <row r="1740" spans="3:3">
      <c r="C1740" s="254"/>
    </row>
    <row r="1741" spans="3:3">
      <c r="C1741" s="254"/>
    </row>
    <row r="1742" spans="3:3">
      <c r="C1742" s="254"/>
    </row>
    <row r="1743" spans="3:3">
      <c r="C1743" s="254"/>
    </row>
    <row r="1744" spans="3:3">
      <c r="C1744" s="254"/>
    </row>
    <row r="1745" spans="3:3">
      <c r="C1745" s="254"/>
    </row>
    <row r="1746" spans="3:3">
      <c r="C1746" s="254"/>
    </row>
    <row r="1747" spans="3:3">
      <c r="C1747" s="254"/>
    </row>
    <row r="1748" spans="3:3">
      <c r="C1748" s="254"/>
    </row>
    <row r="1749" spans="3:3">
      <c r="C1749" s="254"/>
    </row>
    <row r="1750" spans="3:3">
      <c r="C1750" s="254"/>
    </row>
    <row r="1751" spans="3:3">
      <c r="C1751" s="254"/>
    </row>
    <row r="1752" spans="3:3">
      <c r="C1752" s="254"/>
    </row>
    <row r="1753" spans="3:3">
      <c r="C1753" s="254"/>
    </row>
    <row r="1754" spans="3:3">
      <c r="C1754" s="254"/>
    </row>
    <row r="1755" spans="3:3">
      <c r="C1755" s="254"/>
    </row>
    <row r="1756" spans="3:3">
      <c r="C1756" s="254"/>
    </row>
    <row r="1757" spans="3:3">
      <c r="C1757" s="254"/>
    </row>
    <row r="1758" spans="3:3">
      <c r="C1758" s="254"/>
    </row>
    <row r="1759" spans="3:3">
      <c r="C1759" s="254"/>
    </row>
    <row r="1760" spans="3:3">
      <c r="C1760" s="254"/>
    </row>
    <row r="1761" spans="3:3">
      <c r="C1761" s="254"/>
    </row>
    <row r="1762" spans="3:3">
      <c r="C1762" s="254"/>
    </row>
    <row r="1763" spans="3:3">
      <c r="C1763" s="254"/>
    </row>
    <row r="1764" spans="3:3">
      <c r="C1764" s="254"/>
    </row>
    <row r="1765" spans="3:3">
      <c r="C1765" s="254"/>
    </row>
    <row r="1766" spans="3:3">
      <c r="C1766" s="254"/>
    </row>
    <row r="1767" spans="3:3">
      <c r="C1767" s="254"/>
    </row>
    <row r="1768" spans="3:3">
      <c r="C1768" s="254"/>
    </row>
    <row r="1769" spans="3:3">
      <c r="C1769" s="254"/>
    </row>
    <row r="1770" spans="3:3">
      <c r="C1770" s="254"/>
    </row>
    <row r="1771" spans="3:3">
      <c r="C1771" s="254"/>
    </row>
    <row r="1772" spans="3:3">
      <c r="C1772" s="254"/>
    </row>
    <row r="1773" spans="3:3">
      <c r="C1773" s="254"/>
    </row>
    <row r="1774" spans="3:3">
      <c r="C1774" s="254"/>
    </row>
    <row r="1775" spans="3:3">
      <c r="C1775" s="254"/>
    </row>
    <row r="1776" spans="3:3">
      <c r="C1776" s="254"/>
    </row>
    <row r="1777" spans="3:3">
      <c r="C1777" s="254"/>
    </row>
    <row r="1778" spans="3:3">
      <c r="C1778" s="254"/>
    </row>
    <row r="1779" spans="3:3">
      <c r="C1779" s="254"/>
    </row>
    <row r="1780" spans="3:3">
      <c r="C1780" s="254"/>
    </row>
    <row r="1781" spans="3:3">
      <c r="C1781" s="254"/>
    </row>
    <row r="1782" spans="3:3">
      <c r="C1782" s="254"/>
    </row>
    <row r="1783" spans="3:3">
      <c r="C1783" s="254"/>
    </row>
    <row r="1784" spans="3:3">
      <c r="C1784" s="254"/>
    </row>
    <row r="1785" spans="3:3">
      <c r="C1785" s="254"/>
    </row>
    <row r="1786" spans="3:3">
      <c r="C1786" s="254"/>
    </row>
    <row r="1787" spans="3:3">
      <c r="C1787" s="254"/>
    </row>
    <row r="1788" spans="3:3">
      <c r="C1788" s="254"/>
    </row>
    <row r="1789" spans="3:3">
      <c r="C1789" s="254"/>
    </row>
    <row r="1790" spans="3:3">
      <c r="C1790" s="254"/>
    </row>
    <row r="1791" spans="3:3">
      <c r="C1791" s="254"/>
    </row>
    <row r="1792" spans="3:3">
      <c r="C1792" s="254"/>
    </row>
    <row r="1793" spans="3:3">
      <c r="C1793" s="254"/>
    </row>
    <row r="1794" spans="3:3">
      <c r="C1794" s="254"/>
    </row>
    <row r="1795" spans="3:3">
      <c r="C1795" s="254"/>
    </row>
    <row r="1796" spans="3:3">
      <c r="C1796" s="254"/>
    </row>
    <row r="1797" spans="3:3">
      <c r="C1797" s="254"/>
    </row>
    <row r="1798" spans="3:3">
      <c r="C1798" s="254"/>
    </row>
    <row r="1799" spans="3:3">
      <c r="C1799" s="254"/>
    </row>
    <row r="1800" spans="3:3">
      <c r="C1800" s="254"/>
    </row>
    <row r="1801" spans="3:3">
      <c r="C1801" s="254"/>
    </row>
    <row r="1802" spans="3:3">
      <c r="C1802" s="254"/>
    </row>
    <row r="1803" spans="3:3">
      <c r="C1803" s="254"/>
    </row>
    <row r="1804" spans="3:3">
      <c r="C1804" s="254"/>
    </row>
    <row r="1805" spans="3:3">
      <c r="C1805" s="254"/>
    </row>
    <row r="1806" spans="3:3">
      <c r="C1806" s="254"/>
    </row>
    <row r="1807" spans="3:3">
      <c r="C1807" s="254"/>
    </row>
    <row r="1808" spans="3:3">
      <c r="C1808" s="254"/>
    </row>
    <row r="1809" spans="3:3">
      <c r="C1809" s="254"/>
    </row>
    <row r="1810" spans="3:3">
      <c r="C1810" s="254"/>
    </row>
    <row r="1811" spans="3:3">
      <c r="C1811" s="254"/>
    </row>
    <row r="1812" spans="3:3">
      <c r="C1812" s="254"/>
    </row>
    <row r="1813" spans="3:3">
      <c r="C1813" s="254"/>
    </row>
    <row r="1814" spans="3:3">
      <c r="C1814" s="254"/>
    </row>
    <row r="1815" spans="3:3">
      <c r="C1815" s="254"/>
    </row>
    <row r="1816" spans="3:3">
      <c r="C1816" s="254"/>
    </row>
    <row r="1817" spans="3:3">
      <c r="C1817" s="254"/>
    </row>
    <row r="1818" spans="3:3">
      <c r="C1818" s="254"/>
    </row>
    <row r="1819" spans="3:3">
      <c r="C1819" s="254"/>
    </row>
    <row r="1820" spans="3:3">
      <c r="C1820" s="254"/>
    </row>
    <row r="1821" spans="3:3">
      <c r="C1821" s="254"/>
    </row>
    <row r="1822" spans="3:3">
      <c r="C1822" s="254"/>
    </row>
    <row r="1823" spans="3:3">
      <c r="C1823" s="254"/>
    </row>
    <row r="1824" spans="3:3">
      <c r="C1824" s="254"/>
    </row>
    <row r="1825" spans="3:3">
      <c r="C1825" s="254"/>
    </row>
    <row r="1826" spans="3:3">
      <c r="C1826" s="254"/>
    </row>
    <row r="1827" spans="3:3">
      <c r="C1827" s="254"/>
    </row>
    <row r="1828" spans="3:3">
      <c r="C1828" s="254"/>
    </row>
    <row r="1829" spans="3:3">
      <c r="C1829" s="254"/>
    </row>
    <row r="1830" spans="3:3">
      <c r="C1830" s="254"/>
    </row>
    <row r="1831" spans="3:3">
      <c r="C1831" s="254"/>
    </row>
    <row r="1832" spans="3:3">
      <c r="C1832" s="254"/>
    </row>
    <row r="1833" spans="3:3">
      <c r="C1833" s="254"/>
    </row>
    <row r="1834" spans="3:3">
      <c r="C1834" s="254"/>
    </row>
    <row r="1835" spans="3:3">
      <c r="C1835" s="254"/>
    </row>
    <row r="1836" spans="3:3">
      <c r="C1836" s="254"/>
    </row>
    <row r="1837" spans="3:3">
      <c r="C1837" s="254"/>
    </row>
    <row r="1838" spans="3:3">
      <c r="C1838" s="254"/>
    </row>
    <row r="1839" spans="3:3">
      <c r="C1839" s="254"/>
    </row>
    <row r="1840" spans="3:3">
      <c r="C1840" s="254"/>
    </row>
    <row r="1841" spans="3:3">
      <c r="C1841" s="254"/>
    </row>
    <row r="1842" spans="3:3">
      <c r="C1842" s="254"/>
    </row>
    <row r="1843" spans="3:3">
      <c r="C1843" s="254"/>
    </row>
    <row r="1844" spans="3:3">
      <c r="C1844" s="254"/>
    </row>
    <row r="1845" spans="3:3">
      <c r="C1845" s="254"/>
    </row>
    <row r="1846" spans="3:3">
      <c r="C1846" s="254"/>
    </row>
    <row r="1847" spans="3:3">
      <c r="C1847" s="254"/>
    </row>
    <row r="1848" spans="3:3">
      <c r="C1848" s="254"/>
    </row>
    <row r="1849" spans="3:3">
      <c r="C1849" s="254"/>
    </row>
    <row r="1850" spans="3:3">
      <c r="C1850" s="254"/>
    </row>
    <row r="1851" spans="3:3">
      <c r="C1851" s="254"/>
    </row>
    <row r="1852" spans="3:3">
      <c r="C1852" s="254"/>
    </row>
    <row r="1853" spans="3:3">
      <c r="C1853" s="254"/>
    </row>
    <row r="1854" spans="3:3">
      <c r="C1854" s="254"/>
    </row>
    <row r="1855" spans="3:3">
      <c r="C1855" s="254"/>
    </row>
    <row r="1856" spans="3:3">
      <c r="C1856" s="254"/>
    </row>
    <row r="1857" spans="3:3">
      <c r="C1857" s="254"/>
    </row>
    <row r="1858" spans="3:3">
      <c r="C1858" s="254"/>
    </row>
    <row r="1859" spans="3:3">
      <c r="C1859" s="254"/>
    </row>
    <row r="1860" spans="3:3">
      <c r="C1860" s="254"/>
    </row>
    <row r="1861" spans="3:3">
      <c r="C1861" s="254"/>
    </row>
    <row r="1862" spans="3:3">
      <c r="C1862" s="254"/>
    </row>
    <row r="1863" spans="3:3">
      <c r="C1863" s="254"/>
    </row>
    <row r="1864" spans="3:3">
      <c r="C1864" s="254"/>
    </row>
    <row r="1865" spans="3:3">
      <c r="C1865" s="254"/>
    </row>
    <row r="1866" spans="3:3">
      <c r="C1866" s="254"/>
    </row>
    <row r="1867" spans="3:3">
      <c r="C1867" s="254"/>
    </row>
    <row r="1868" spans="3:3">
      <c r="C1868" s="254"/>
    </row>
    <row r="1869" spans="3:3">
      <c r="C1869" s="254"/>
    </row>
    <row r="1870" spans="3:3">
      <c r="C1870" s="254"/>
    </row>
    <row r="1871" spans="3:3">
      <c r="C1871" s="254"/>
    </row>
    <row r="1872" spans="3:3">
      <c r="C1872" s="254"/>
    </row>
    <row r="1873" spans="3:3">
      <c r="C1873" s="254"/>
    </row>
    <row r="1874" spans="3:3">
      <c r="C1874" s="254"/>
    </row>
    <row r="1875" spans="3:3">
      <c r="C1875" s="254"/>
    </row>
    <row r="1876" spans="3:3">
      <c r="C1876" s="254"/>
    </row>
    <row r="1877" spans="3:3">
      <c r="C1877" s="254"/>
    </row>
    <row r="1878" spans="3:3">
      <c r="C1878" s="254"/>
    </row>
    <row r="1879" spans="3:3">
      <c r="C1879" s="254"/>
    </row>
    <row r="1880" spans="3:3">
      <c r="C1880" s="254"/>
    </row>
    <row r="1881" spans="3:3">
      <c r="C1881" s="254"/>
    </row>
    <row r="1882" spans="3:3">
      <c r="C1882" s="254"/>
    </row>
    <row r="1883" spans="3:3">
      <c r="C1883" s="254"/>
    </row>
    <row r="1884" spans="3:3">
      <c r="C1884" s="254"/>
    </row>
    <row r="1885" spans="3:3">
      <c r="C1885" s="254"/>
    </row>
    <row r="1886" spans="3:3">
      <c r="C1886" s="254"/>
    </row>
    <row r="1887" spans="3:3">
      <c r="C1887" s="254"/>
    </row>
    <row r="1888" spans="3:3">
      <c r="C1888" s="254"/>
    </row>
    <row r="1889" spans="3:3">
      <c r="C1889" s="254"/>
    </row>
    <row r="1890" spans="3:3">
      <c r="C1890" s="254"/>
    </row>
    <row r="1891" spans="3:3">
      <c r="C1891" s="254"/>
    </row>
    <row r="1892" spans="3:3">
      <c r="C1892" s="254"/>
    </row>
    <row r="1893" spans="3:3">
      <c r="C1893" s="254"/>
    </row>
    <row r="1894" spans="3:3">
      <c r="C1894" s="254"/>
    </row>
    <row r="1895" spans="3:3">
      <c r="C1895" s="254"/>
    </row>
    <row r="1896" spans="3:3">
      <c r="C1896" s="254"/>
    </row>
    <row r="1897" spans="3:3">
      <c r="C1897" s="254"/>
    </row>
    <row r="1898" spans="3:3">
      <c r="C1898" s="254"/>
    </row>
    <row r="1899" spans="3:3">
      <c r="C1899" s="254"/>
    </row>
    <row r="1900" spans="3:3">
      <c r="C1900" s="254"/>
    </row>
    <row r="1901" spans="3:3">
      <c r="C1901" s="254"/>
    </row>
    <row r="1902" spans="3:3">
      <c r="C1902" s="254"/>
    </row>
    <row r="1903" spans="3:3">
      <c r="C1903" s="254"/>
    </row>
    <row r="1904" spans="3:3">
      <c r="C1904" s="254"/>
    </row>
    <row r="1905" spans="3:3">
      <c r="C1905" s="254"/>
    </row>
    <row r="1906" spans="3:3">
      <c r="C1906" s="254"/>
    </row>
    <row r="1907" spans="3:3">
      <c r="C1907" s="254"/>
    </row>
    <row r="1908" spans="3:3">
      <c r="C1908" s="254"/>
    </row>
    <row r="1909" spans="3:3">
      <c r="C1909" s="254"/>
    </row>
    <row r="1910" spans="3:3">
      <c r="C1910" s="254"/>
    </row>
    <row r="1911" spans="3:3">
      <c r="C1911" s="254"/>
    </row>
    <row r="1912" spans="3:3">
      <c r="C1912" s="254"/>
    </row>
    <row r="1913" spans="3:3">
      <c r="C1913" s="254"/>
    </row>
    <row r="1914" spans="3:3">
      <c r="C1914" s="254"/>
    </row>
    <row r="1915" spans="3:3">
      <c r="C1915" s="254"/>
    </row>
    <row r="1916" spans="3:3">
      <c r="C1916" s="254"/>
    </row>
    <row r="1917" spans="3:3">
      <c r="C1917" s="254"/>
    </row>
    <row r="1918" spans="3:3">
      <c r="C1918" s="254"/>
    </row>
    <row r="1919" spans="3:3">
      <c r="C1919" s="254"/>
    </row>
    <row r="1920" spans="3:3">
      <c r="C1920" s="254"/>
    </row>
    <row r="1921" spans="3:3">
      <c r="C1921" s="254"/>
    </row>
    <row r="1922" spans="3:3">
      <c r="C1922" s="254"/>
    </row>
    <row r="1923" spans="3:3">
      <c r="C1923" s="254"/>
    </row>
    <row r="1924" spans="3:3">
      <c r="C1924" s="254"/>
    </row>
    <row r="1925" spans="3:3">
      <c r="C1925" s="254"/>
    </row>
    <row r="1926" spans="3:3">
      <c r="C1926" s="254"/>
    </row>
    <row r="1927" spans="3:3">
      <c r="C1927" s="254"/>
    </row>
    <row r="1928" spans="3:3">
      <c r="C1928" s="254"/>
    </row>
    <row r="1929" spans="3:3">
      <c r="C1929" s="254"/>
    </row>
    <row r="1930" spans="3:3">
      <c r="C1930" s="254"/>
    </row>
    <row r="1931" spans="3:3">
      <c r="C1931" s="254"/>
    </row>
    <row r="1932" spans="3:3">
      <c r="C1932" s="254"/>
    </row>
    <row r="1933" spans="3:3">
      <c r="C1933" s="254"/>
    </row>
    <row r="1934" spans="3:3">
      <c r="C1934" s="254"/>
    </row>
    <row r="1935" spans="3:3">
      <c r="C1935" s="254"/>
    </row>
    <row r="1936" spans="3:3">
      <c r="C1936" s="254"/>
    </row>
    <row r="1937" spans="3:3">
      <c r="C1937" s="254"/>
    </row>
    <row r="1938" spans="3:3">
      <c r="C1938" s="254"/>
    </row>
    <row r="1939" spans="3:3">
      <c r="C1939" s="254"/>
    </row>
    <row r="1940" spans="3:3">
      <c r="C1940" s="254"/>
    </row>
    <row r="1941" spans="3:3">
      <c r="C1941" s="254"/>
    </row>
    <row r="1942" spans="3:3">
      <c r="C1942" s="254"/>
    </row>
    <row r="1943" spans="3:3">
      <c r="C1943" s="254"/>
    </row>
    <row r="1944" spans="3:3">
      <c r="C1944" s="254"/>
    </row>
    <row r="1945" spans="3:3">
      <c r="C1945" s="254"/>
    </row>
    <row r="1946" spans="3:3">
      <c r="C1946" s="254"/>
    </row>
    <row r="1947" spans="3:3">
      <c r="C1947" s="254"/>
    </row>
    <row r="1948" spans="3:3">
      <c r="C1948" s="254"/>
    </row>
    <row r="1949" spans="3:3">
      <c r="C1949" s="254"/>
    </row>
    <row r="1950" spans="3:3">
      <c r="C1950" s="254"/>
    </row>
    <row r="1951" spans="3:3">
      <c r="C1951" s="254"/>
    </row>
    <row r="1952" spans="3:3">
      <c r="C1952" s="254"/>
    </row>
    <row r="1953" spans="3:3">
      <c r="C1953" s="254"/>
    </row>
    <row r="1954" spans="3:3">
      <c r="C1954" s="254"/>
    </row>
    <row r="1955" spans="3:3">
      <c r="C1955" s="254"/>
    </row>
    <row r="1956" spans="3:3">
      <c r="C1956" s="254"/>
    </row>
    <row r="1957" spans="3:3">
      <c r="C1957" s="254"/>
    </row>
    <row r="1958" spans="3:3">
      <c r="C1958" s="254"/>
    </row>
    <row r="1959" spans="3:3">
      <c r="C1959" s="254"/>
    </row>
    <row r="1960" spans="3:3">
      <c r="C1960" s="254"/>
    </row>
    <row r="1961" spans="3:3">
      <c r="C1961" s="254"/>
    </row>
    <row r="1962" spans="3:3">
      <c r="C1962" s="254"/>
    </row>
    <row r="1963" spans="3:3">
      <c r="C1963" s="254"/>
    </row>
    <row r="1964" spans="3:3">
      <c r="C1964" s="254"/>
    </row>
    <row r="1965" spans="3:3">
      <c r="C1965" s="254"/>
    </row>
    <row r="1966" spans="3:3">
      <c r="C1966" s="254"/>
    </row>
    <row r="1967" spans="3:3">
      <c r="C1967" s="254"/>
    </row>
    <row r="1968" spans="3:3">
      <c r="C1968" s="254"/>
    </row>
    <row r="1969" spans="3:3">
      <c r="C1969" s="254"/>
    </row>
    <row r="1970" spans="3:3">
      <c r="C1970" s="254"/>
    </row>
    <row r="1971" spans="3:3">
      <c r="C1971" s="254"/>
    </row>
    <row r="1972" spans="3:3">
      <c r="C1972" s="254"/>
    </row>
    <row r="1973" spans="3:3">
      <c r="C1973" s="254"/>
    </row>
    <row r="1974" spans="3:3">
      <c r="C1974" s="254"/>
    </row>
    <row r="1975" spans="3:3">
      <c r="C1975" s="254"/>
    </row>
    <row r="1976" spans="3:3">
      <c r="C1976" s="254"/>
    </row>
    <row r="1977" spans="3:3">
      <c r="C1977" s="254"/>
    </row>
    <row r="1978" spans="3:3">
      <c r="C1978" s="254"/>
    </row>
    <row r="1979" spans="3:3">
      <c r="C1979" s="254"/>
    </row>
    <row r="1980" spans="3:3">
      <c r="C1980" s="254"/>
    </row>
    <row r="1981" spans="3:3">
      <c r="C1981" s="254"/>
    </row>
    <row r="1982" spans="3:3">
      <c r="C1982" s="254"/>
    </row>
    <row r="1983" spans="3:3">
      <c r="C1983" s="254"/>
    </row>
    <row r="1984" spans="3:3">
      <c r="C1984" s="254"/>
    </row>
    <row r="1985" spans="3:3">
      <c r="C1985" s="254"/>
    </row>
    <row r="1986" spans="3:3">
      <c r="C1986" s="254"/>
    </row>
    <row r="1987" spans="3:3">
      <c r="C1987" s="254"/>
    </row>
    <row r="1988" spans="3:3">
      <c r="C1988" s="254"/>
    </row>
    <row r="1989" spans="3:3">
      <c r="C1989" s="254"/>
    </row>
    <row r="1990" spans="3:3">
      <c r="C1990" s="254"/>
    </row>
    <row r="1991" spans="3:3">
      <c r="C1991" s="254"/>
    </row>
    <row r="1992" spans="3:3">
      <c r="C1992" s="254"/>
    </row>
    <row r="1993" spans="3:3">
      <c r="C1993" s="254"/>
    </row>
    <row r="1994" spans="3:3">
      <c r="C1994" s="254"/>
    </row>
    <row r="1995" spans="3:3">
      <c r="C1995" s="254"/>
    </row>
    <row r="1996" spans="3:3">
      <c r="C1996" s="254"/>
    </row>
    <row r="1997" spans="3:3">
      <c r="C1997" s="254"/>
    </row>
    <row r="1998" spans="3:3">
      <c r="C1998" s="254"/>
    </row>
    <row r="1999" spans="3:3">
      <c r="C1999" s="254"/>
    </row>
    <row r="2000" spans="3:3">
      <c r="C2000" s="254"/>
    </row>
    <row r="2001" spans="3:3">
      <c r="C2001" s="254"/>
    </row>
    <row r="2002" spans="3:3">
      <c r="C2002" s="254"/>
    </row>
    <row r="2003" spans="3:3">
      <c r="C2003" s="254"/>
    </row>
    <row r="2004" spans="3:3">
      <c r="C2004" s="254"/>
    </row>
    <row r="2005" spans="3:3">
      <c r="C2005" s="254"/>
    </row>
    <row r="2006" spans="3:3">
      <c r="C2006" s="254"/>
    </row>
    <row r="2007" spans="3:3">
      <c r="C2007" s="254"/>
    </row>
    <row r="2008" spans="3:3">
      <c r="C2008" s="254"/>
    </row>
    <row r="2009" spans="3:3">
      <c r="C2009" s="254"/>
    </row>
    <row r="2010" spans="3:3">
      <c r="C2010" s="254"/>
    </row>
    <row r="2011" spans="3:3">
      <c r="C2011" s="254"/>
    </row>
    <row r="2012" spans="3:3">
      <c r="C2012" s="254"/>
    </row>
    <row r="2013" spans="3:3">
      <c r="C2013" s="254"/>
    </row>
    <row r="2014" spans="3:3">
      <c r="C2014" s="254"/>
    </row>
    <row r="2015" spans="3:3">
      <c r="C2015" s="254"/>
    </row>
    <row r="2016" spans="3:3">
      <c r="C2016" s="254"/>
    </row>
    <row r="2017" spans="3:3">
      <c r="C2017" s="254"/>
    </row>
    <row r="2018" spans="3:3">
      <c r="C2018" s="254"/>
    </row>
    <row r="2019" spans="3:3">
      <c r="C2019" s="254"/>
    </row>
    <row r="2020" spans="3:3">
      <c r="C2020" s="254"/>
    </row>
    <row r="2021" spans="3:3">
      <c r="C2021" s="254"/>
    </row>
    <row r="2022" spans="3:3">
      <c r="C2022" s="254"/>
    </row>
    <row r="2023" spans="3:3">
      <c r="C2023" s="254"/>
    </row>
    <row r="2024" spans="3:3">
      <c r="C2024" s="254"/>
    </row>
    <row r="2025" spans="3:3">
      <c r="C2025" s="254"/>
    </row>
    <row r="2026" spans="3:3">
      <c r="C2026" s="254"/>
    </row>
    <row r="2027" spans="3:3">
      <c r="C2027" s="254"/>
    </row>
    <row r="2028" spans="3:3">
      <c r="C2028" s="254"/>
    </row>
    <row r="2029" spans="3:3">
      <c r="C2029" s="254"/>
    </row>
    <row r="2030" spans="3:3">
      <c r="C2030" s="254"/>
    </row>
    <row r="2031" spans="3:3">
      <c r="C2031" s="254"/>
    </row>
    <row r="2032" spans="3:3">
      <c r="C2032" s="254"/>
    </row>
    <row r="2033" spans="3:3">
      <c r="C2033" s="254"/>
    </row>
    <row r="2034" spans="3:3">
      <c r="C2034" s="254"/>
    </row>
    <row r="2035" spans="3:3">
      <c r="C2035" s="254"/>
    </row>
    <row r="2036" spans="3:3">
      <c r="C2036" s="254"/>
    </row>
    <row r="2037" spans="3:3">
      <c r="C2037" s="254"/>
    </row>
    <row r="2038" spans="3:3">
      <c r="C2038" s="254"/>
    </row>
    <row r="2039" spans="3:3">
      <c r="C2039" s="254"/>
    </row>
    <row r="2040" spans="3:3">
      <c r="C2040" s="254"/>
    </row>
    <row r="2041" spans="3:3">
      <c r="C2041" s="254"/>
    </row>
    <row r="2042" spans="3:3">
      <c r="C2042" s="254"/>
    </row>
    <row r="2043" spans="3:3">
      <c r="C2043" s="254"/>
    </row>
    <row r="2044" spans="3:3">
      <c r="C2044" s="254"/>
    </row>
    <row r="2045" spans="3:3">
      <c r="C2045" s="254"/>
    </row>
    <row r="2046" spans="3:3">
      <c r="C2046" s="254"/>
    </row>
    <row r="2047" spans="3:3">
      <c r="C2047" s="254"/>
    </row>
    <row r="2048" spans="3:3">
      <c r="C2048" s="254"/>
    </row>
    <row r="2049" spans="3:3">
      <c r="C2049" s="254"/>
    </row>
    <row r="2050" spans="3:3">
      <c r="C2050" s="254"/>
    </row>
    <row r="2051" spans="3:3">
      <c r="C2051" s="254"/>
    </row>
    <row r="2052" spans="3:3">
      <c r="C2052" s="254"/>
    </row>
    <row r="2053" spans="3:3">
      <c r="C2053" s="254"/>
    </row>
    <row r="2054" spans="3:3">
      <c r="C2054" s="254"/>
    </row>
    <row r="2055" spans="3:3">
      <c r="C2055" s="254"/>
    </row>
    <row r="2056" spans="3:3">
      <c r="C2056" s="254"/>
    </row>
    <row r="2057" spans="3:3">
      <c r="C2057" s="254"/>
    </row>
    <row r="2058" spans="3:3">
      <c r="C2058" s="254"/>
    </row>
    <row r="2059" spans="3:3">
      <c r="C2059" s="254"/>
    </row>
    <row r="2060" spans="3:3">
      <c r="C2060" s="254"/>
    </row>
    <row r="2061" spans="3:3">
      <c r="C2061" s="254"/>
    </row>
    <row r="2062" spans="3:3">
      <c r="C2062" s="254"/>
    </row>
    <row r="2063" spans="3:3">
      <c r="C2063" s="254"/>
    </row>
    <row r="2064" spans="3:3">
      <c r="C2064" s="254"/>
    </row>
    <row r="2065" spans="3:3">
      <c r="C2065" s="254"/>
    </row>
    <row r="2066" spans="3:3">
      <c r="C2066" s="254"/>
    </row>
    <row r="2067" spans="3:3">
      <c r="C2067" s="254"/>
    </row>
    <row r="2068" spans="3:3">
      <c r="C2068" s="254"/>
    </row>
    <row r="2069" spans="3:3">
      <c r="C2069" s="254"/>
    </row>
    <row r="2070" spans="3:3">
      <c r="C2070" s="254"/>
    </row>
    <row r="2071" spans="3:3">
      <c r="C2071" s="254"/>
    </row>
    <row r="2072" spans="3:3">
      <c r="C2072" s="254"/>
    </row>
    <row r="2073" spans="3:3">
      <c r="C2073" s="254"/>
    </row>
    <row r="2074" spans="3:3">
      <c r="C2074" s="254"/>
    </row>
    <row r="2075" spans="3:3">
      <c r="C2075" s="254"/>
    </row>
    <row r="2076" spans="3:3">
      <c r="C2076" s="254"/>
    </row>
    <row r="2077" spans="3:3">
      <c r="C2077" s="254"/>
    </row>
    <row r="2078" spans="3:3">
      <c r="C2078" s="254"/>
    </row>
    <row r="2079" spans="3:3">
      <c r="C2079" s="254"/>
    </row>
    <row r="2080" spans="3:3">
      <c r="C2080" s="254"/>
    </row>
    <row r="2081" spans="3:3">
      <c r="C2081" s="254"/>
    </row>
    <row r="2082" spans="3:3">
      <c r="C2082" s="254"/>
    </row>
    <row r="2083" spans="3:3">
      <c r="C2083" s="254"/>
    </row>
    <row r="2084" spans="3:3">
      <c r="C2084" s="254"/>
    </row>
    <row r="2085" spans="3:3">
      <c r="C2085" s="254"/>
    </row>
    <row r="2086" spans="3:3">
      <c r="C2086" s="254"/>
    </row>
    <row r="2087" spans="3:3">
      <c r="C2087" s="254"/>
    </row>
    <row r="2088" spans="3:3">
      <c r="C2088" s="254"/>
    </row>
    <row r="2089" spans="3:3">
      <c r="C2089" s="254"/>
    </row>
    <row r="2090" spans="3:3">
      <c r="C2090" s="254"/>
    </row>
    <row r="2091" spans="3:3">
      <c r="C2091" s="254"/>
    </row>
    <row r="2092" spans="3:3">
      <c r="C2092" s="254"/>
    </row>
    <row r="2093" spans="3:3">
      <c r="C2093" s="254"/>
    </row>
    <row r="2094" spans="3:3">
      <c r="C2094" s="254"/>
    </row>
    <row r="2095" spans="3:3">
      <c r="C2095" s="254"/>
    </row>
    <row r="2096" spans="3:3">
      <c r="C2096" s="254"/>
    </row>
    <row r="2097" spans="3:3">
      <c r="C2097" s="254"/>
    </row>
    <row r="2098" spans="3:3">
      <c r="C2098" s="254"/>
    </row>
    <row r="2099" spans="3:3">
      <c r="C2099" s="254"/>
    </row>
    <row r="2100" spans="3:3">
      <c r="C2100" s="254"/>
    </row>
    <row r="2101" spans="3:3">
      <c r="C2101" s="254"/>
    </row>
    <row r="2102" spans="3:3">
      <c r="C2102" s="254"/>
    </row>
    <row r="2103" spans="3:3">
      <c r="C2103" s="254"/>
    </row>
    <row r="2104" spans="3:3">
      <c r="C2104" s="254"/>
    </row>
    <row r="2105" spans="3:3">
      <c r="C2105" s="254"/>
    </row>
    <row r="2106" spans="3:3">
      <c r="C2106" s="254"/>
    </row>
    <row r="2107" spans="3:3">
      <c r="C2107" s="254"/>
    </row>
    <row r="2108" spans="3:3">
      <c r="C2108" s="254"/>
    </row>
    <row r="2109" spans="3:3">
      <c r="C2109" s="254"/>
    </row>
    <row r="2110" spans="3:3">
      <c r="C2110" s="254"/>
    </row>
    <row r="2111" spans="3:3">
      <c r="C2111" s="254"/>
    </row>
    <row r="2112" spans="3:3">
      <c r="C2112" s="254"/>
    </row>
    <row r="2113" spans="3:3">
      <c r="C2113" s="254"/>
    </row>
    <row r="2114" spans="3:3">
      <c r="C2114" s="254"/>
    </row>
    <row r="2115" spans="3:3">
      <c r="C2115" s="254"/>
    </row>
    <row r="2116" spans="3:3">
      <c r="C2116" s="254"/>
    </row>
    <row r="2117" spans="3:3">
      <c r="C2117" s="254"/>
    </row>
    <row r="2118" spans="3:3">
      <c r="C2118" s="254"/>
    </row>
    <row r="2119" spans="3:3">
      <c r="C2119" s="254"/>
    </row>
    <row r="2120" spans="3:3">
      <c r="C2120" s="254"/>
    </row>
    <row r="2121" spans="3:3">
      <c r="C2121" s="254"/>
    </row>
    <row r="2122" spans="3:3">
      <c r="C2122" s="254"/>
    </row>
    <row r="2123" spans="3:3">
      <c r="C2123" s="254"/>
    </row>
    <row r="2124" spans="3:3">
      <c r="C2124" s="254"/>
    </row>
    <row r="2125" spans="3:3">
      <c r="C2125" s="254"/>
    </row>
    <row r="2126" spans="3:3">
      <c r="C2126" s="254"/>
    </row>
    <row r="2127" spans="3:3">
      <c r="C2127" s="254"/>
    </row>
    <row r="2128" spans="3:3">
      <c r="C2128" s="254"/>
    </row>
    <row r="2129" spans="3:3">
      <c r="C2129" s="254"/>
    </row>
    <row r="2130" spans="3:3">
      <c r="C2130" s="254"/>
    </row>
    <row r="2131" spans="3:3">
      <c r="C2131" s="254"/>
    </row>
    <row r="2132" spans="3:3">
      <c r="C2132" s="254"/>
    </row>
    <row r="2133" spans="3:3">
      <c r="C2133" s="254"/>
    </row>
    <row r="2134" spans="3:3">
      <c r="C2134" s="254"/>
    </row>
    <row r="2135" spans="3:3">
      <c r="C2135" s="254"/>
    </row>
    <row r="2136" spans="3:3">
      <c r="C2136" s="254"/>
    </row>
    <row r="2137" spans="3:3">
      <c r="C2137" s="254"/>
    </row>
    <row r="2138" spans="3:3">
      <c r="C2138" s="254"/>
    </row>
    <row r="2139" spans="3:3">
      <c r="C2139" s="254"/>
    </row>
    <row r="2140" spans="3:3">
      <c r="C2140" s="254"/>
    </row>
    <row r="2141" spans="3:3">
      <c r="C2141" s="254"/>
    </row>
    <row r="2142" spans="3:3">
      <c r="C2142" s="254"/>
    </row>
    <row r="2143" spans="3:3">
      <c r="C2143" s="254"/>
    </row>
    <row r="2144" spans="3:3">
      <c r="C2144" s="254"/>
    </row>
    <row r="2145" spans="3:3">
      <c r="C2145" s="254"/>
    </row>
    <row r="2146" spans="3:3">
      <c r="C2146" s="254"/>
    </row>
    <row r="2147" spans="3:3">
      <c r="C2147" s="254"/>
    </row>
    <row r="2148" spans="3:3">
      <c r="C2148" s="254"/>
    </row>
    <row r="2149" spans="3:3">
      <c r="C2149" s="254"/>
    </row>
    <row r="2150" spans="3:3">
      <c r="C2150" s="254"/>
    </row>
    <row r="2151" spans="3:3">
      <c r="C2151" s="254"/>
    </row>
    <row r="2152" spans="3:3">
      <c r="C2152" s="254"/>
    </row>
    <row r="2153" spans="3:3">
      <c r="C2153" s="254"/>
    </row>
    <row r="2154" spans="3:3">
      <c r="C2154" s="254"/>
    </row>
    <row r="2155" spans="3:3">
      <c r="C2155" s="254"/>
    </row>
    <row r="2156" spans="3:3">
      <c r="C2156" s="254"/>
    </row>
    <row r="2157" spans="3:3">
      <c r="C2157" s="254"/>
    </row>
    <row r="2158" spans="3:3">
      <c r="C2158" s="254"/>
    </row>
    <row r="2159" spans="3:3">
      <c r="C2159" s="254"/>
    </row>
    <row r="2160" spans="3:3">
      <c r="C2160" s="254"/>
    </row>
    <row r="2161" spans="3:3">
      <c r="C2161" s="254"/>
    </row>
    <row r="2162" spans="3:3">
      <c r="C2162" s="254"/>
    </row>
    <row r="2163" spans="3:3">
      <c r="C2163" s="254"/>
    </row>
    <row r="2164" spans="3:3">
      <c r="C2164" s="254"/>
    </row>
    <row r="2165" spans="3:3">
      <c r="C2165" s="254"/>
    </row>
    <row r="2166" spans="3:3">
      <c r="C2166" s="254"/>
    </row>
    <row r="2167" spans="3:3">
      <c r="C2167" s="254"/>
    </row>
    <row r="2168" spans="3:3">
      <c r="C2168" s="254"/>
    </row>
    <row r="2169" spans="3:3">
      <c r="C2169" s="254"/>
    </row>
    <row r="2170" spans="3:3">
      <c r="C2170" s="254"/>
    </row>
    <row r="2171" spans="3:3">
      <c r="C2171" s="254"/>
    </row>
    <row r="2172" spans="3:3">
      <c r="C2172" s="254"/>
    </row>
    <row r="2173" spans="3:3">
      <c r="C2173" s="254"/>
    </row>
    <row r="2174" spans="3:3">
      <c r="C2174" s="254"/>
    </row>
    <row r="2175" spans="3:3">
      <c r="C2175" s="254"/>
    </row>
    <row r="2176" spans="3:3">
      <c r="C2176" s="254"/>
    </row>
    <row r="2177" spans="3:3">
      <c r="C2177" s="254"/>
    </row>
    <row r="2178" spans="3:3">
      <c r="C2178" s="254"/>
    </row>
    <row r="2179" spans="3:3">
      <c r="C2179" s="254"/>
    </row>
    <row r="2180" spans="3:3">
      <c r="C2180" s="254"/>
    </row>
    <row r="2181" spans="3:3">
      <c r="C2181" s="254"/>
    </row>
    <row r="2182" spans="3:3">
      <c r="C2182" s="254"/>
    </row>
    <row r="2183" spans="3:3">
      <c r="C2183" s="254"/>
    </row>
    <row r="2184" spans="3:3">
      <c r="C2184" s="254"/>
    </row>
    <row r="2185" spans="3:3">
      <c r="C2185" s="254"/>
    </row>
    <row r="2186" spans="3:3">
      <c r="C2186" s="254"/>
    </row>
    <row r="2187" spans="3:3">
      <c r="C2187" s="254"/>
    </row>
    <row r="2188" spans="3:3">
      <c r="C2188" s="254"/>
    </row>
    <row r="2189" spans="3:3">
      <c r="C2189" s="254"/>
    </row>
    <row r="2190" spans="3:3">
      <c r="C2190" s="254"/>
    </row>
    <row r="2191" spans="3:3">
      <c r="C2191" s="254"/>
    </row>
    <row r="2192" spans="3:3">
      <c r="C2192" s="254"/>
    </row>
    <row r="2193" spans="3:3">
      <c r="C2193" s="254"/>
    </row>
    <row r="2194" spans="3:3">
      <c r="C2194" s="254"/>
    </row>
    <row r="2195" spans="3:3">
      <c r="C2195" s="254"/>
    </row>
    <row r="2196" spans="3:3">
      <c r="C2196" s="254"/>
    </row>
    <row r="2197" spans="3:3">
      <c r="C2197" s="254"/>
    </row>
    <row r="2198" spans="3:3">
      <c r="C2198" s="254"/>
    </row>
    <row r="2199" spans="3:3">
      <c r="C2199" s="254"/>
    </row>
    <row r="2200" spans="3:3">
      <c r="C2200" s="254"/>
    </row>
    <row r="2201" spans="3:3">
      <c r="C2201" s="254"/>
    </row>
    <row r="2202" spans="3:3">
      <c r="C2202" s="254"/>
    </row>
    <row r="2203" spans="3:3">
      <c r="C2203" s="254"/>
    </row>
    <row r="2204" spans="3:3">
      <c r="C2204" s="254"/>
    </row>
    <row r="2205" spans="3:3">
      <c r="C2205" s="254"/>
    </row>
    <row r="2206" spans="3:3">
      <c r="C2206" s="254"/>
    </row>
    <row r="2207" spans="3:3">
      <c r="C2207" s="254"/>
    </row>
    <row r="2208" spans="3:3">
      <c r="C2208" s="254"/>
    </row>
    <row r="2209" spans="3:3">
      <c r="C2209" s="254"/>
    </row>
    <row r="2210" spans="3:3">
      <c r="C2210" s="254"/>
    </row>
    <row r="2211" spans="3:3">
      <c r="C2211" s="254"/>
    </row>
    <row r="2212" spans="3:3">
      <c r="C2212" s="254"/>
    </row>
    <row r="2213" spans="3:3">
      <c r="C2213" s="254"/>
    </row>
    <row r="2214" spans="3:3">
      <c r="C2214" s="254"/>
    </row>
    <row r="2215" spans="3:3">
      <c r="C2215" s="254"/>
    </row>
    <row r="2216" spans="3:3">
      <c r="C2216" s="254"/>
    </row>
    <row r="2217" spans="3:3">
      <c r="C2217" s="254"/>
    </row>
    <row r="2218" spans="3:3">
      <c r="C2218" s="254"/>
    </row>
    <row r="2219" spans="3:3">
      <c r="C2219" s="254"/>
    </row>
    <row r="2220" spans="3:3">
      <c r="C2220" s="254"/>
    </row>
    <row r="2221" spans="3:3">
      <c r="C2221" s="254"/>
    </row>
    <row r="2222" spans="3:3">
      <c r="C2222" s="254"/>
    </row>
    <row r="2223" spans="3:3">
      <c r="C2223" s="254"/>
    </row>
    <row r="2224" spans="3:3">
      <c r="C2224" s="254"/>
    </row>
    <row r="2225" spans="3:3">
      <c r="C2225" s="254"/>
    </row>
    <row r="2226" spans="3:3">
      <c r="C2226" s="254"/>
    </row>
    <row r="2227" spans="3:3">
      <c r="C2227" s="254"/>
    </row>
    <row r="2228" spans="3:3">
      <c r="C2228" s="254"/>
    </row>
    <row r="2229" spans="3:3">
      <c r="C2229" s="254"/>
    </row>
    <row r="2230" spans="3:3">
      <c r="C2230" s="254"/>
    </row>
    <row r="2231" spans="3:3">
      <c r="C2231" s="254"/>
    </row>
    <row r="2232" spans="3:3">
      <c r="C2232" s="254"/>
    </row>
    <row r="2233" spans="3:3">
      <c r="C2233" s="254"/>
    </row>
    <row r="2234" spans="3:3">
      <c r="C2234" s="254"/>
    </row>
    <row r="2235" spans="3:3">
      <c r="C2235" s="254"/>
    </row>
    <row r="2236" spans="3:3">
      <c r="C2236" s="254"/>
    </row>
    <row r="2237" spans="3:3">
      <c r="C2237" s="254"/>
    </row>
    <row r="2238" spans="3:3">
      <c r="C2238" s="254"/>
    </row>
    <row r="2239" spans="3:3">
      <c r="C2239" s="254"/>
    </row>
    <row r="2240" spans="3:3">
      <c r="C2240" s="254"/>
    </row>
    <row r="2241" spans="3:3">
      <c r="C2241" s="254"/>
    </row>
    <row r="2242" spans="3:3">
      <c r="C2242" s="254"/>
    </row>
    <row r="2243" spans="3:3">
      <c r="C2243" s="254"/>
    </row>
    <row r="2244" spans="3:3">
      <c r="C2244" s="254"/>
    </row>
    <row r="2245" spans="3:3">
      <c r="C2245" s="254"/>
    </row>
    <row r="2246" spans="3:3">
      <c r="C2246" s="254"/>
    </row>
    <row r="2247" spans="3:3">
      <c r="C2247" s="254"/>
    </row>
    <row r="2248" spans="3:3">
      <c r="C2248" s="254"/>
    </row>
    <row r="2249" spans="3:3">
      <c r="C2249" s="254"/>
    </row>
    <row r="2250" spans="3:3">
      <c r="C2250" s="254"/>
    </row>
    <row r="2251" spans="3:3">
      <c r="C2251" s="254"/>
    </row>
    <row r="2252" spans="3:3">
      <c r="C2252" s="254"/>
    </row>
    <row r="2253" spans="3:3">
      <c r="C2253" s="254"/>
    </row>
    <row r="2254" spans="3:3">
      <c r="C2254" s="254"/>
    </row>
    <row r="2255" spans="3:3">
      <c r="C2255" s="254"/>
    </row>
    <row r="2256" spans="3:3">
      <c r="C2256" s="254"/>
    </row>
    <row r="2257" spans="3:3">
      <c r="C2257" s="254"/>
    </row>
    <row r="2258" spans="3:3">
      <c r="C2258" s="254"/>
    </row>
    <row r="2259" spans="3:3">
      <c r="C2259" s="254"/>
    </row>
    <row r="2260" spans="3:3">
      <c r="C2260" s="254"/>
    </row>
    <row r="2261" spans="3:3">
      <c r="C2261" s="254"/>
    </row>
    <row r="2262" spans="3:3">
      <c r="C2262" s="254"/>
    </row>
    <row r="2263" spans="3:3">
      <c r="C2263" s="254"/>
    </row>
    <row r="2264" spans="3:3">
      <c r="C2264" s="254"/>
    </row>
    <row r="2265" spans="3:3">
      <c r="C2265" s="254"/>
    </row>
    <row r="2266" spans="3:3">
      <c r="C2266" s="254"/>
    </row>
    <row r="2267" spans="3:3">
      <c r="C2267" s="254"/>
    </row>
    <row r="2268" spans="3:3">
      <c r="C2268" s="254"/>
    </row>
    <row r="2269" spans="3:3">
      <c r="C2269" s="254"/>
    </row>
    <row r="2270" spans="3:3">
      <c r="C2270" s="254"/>
    </row>
    <row r="2271" spans="3:3">
      <c r="C2271" s="254"/>
    </row>
    <row r="2272" spans="3:3">
      <c r="C2272" s="254"/>
    </row>
    <row r="2273" spans="3:3">
      <c r="C2273" s="254"/>
    </row>
    <row r="2274" spans="3:3">
      <c r="C2274" s="254"/>
    </row>
    <row r="2275" spans="3:3">
      <c r="C2275" s="254"/>
    </row>
    <row r="2276" spans="3:3">
      <c r="C2276" s="254"/>
    </row>
    <row r="2277" spans="3:3">
      <c r="C2277" s="254"/>
    </row>
    <row r="2278" spans="3:3">
      <c r="C2278" s="254"/>
    </row>
    <row r="2279" spans="3:3">
      <c r="C2279" s="254"/>
    </row>
    <row r="2280" spans="3:3">
      <c r="C2280" s="254"/>
    </row>
    <row r="2281" spans="3:3">
      <c r="C2281" s="254"/>
    </row>
    <row r="2282" spans="3:3">
      <c r="C2282" s="254"/>
    </row>
    <row r="2283" spans="3:3">
      <c r="C2283" s="254"/>
    </row>
    <row r="2284" spans="3:3">
      <c r="C2284" s="254"/>
    </row>
    <row r="2285" spans="3:3">
      <c r="C2285" s="254"/>
    </row>
    <row r="2286" spans="3:3">
      <c r="C2286" s="254"/>
    </row>
    <row r="2287" spans="3:3">
      <c r="C2287" s="254"/>
    </row>
    <row r="2288" spans="3:3">
      <c r="C2288" s="254"/>
    </row>
    <row r="2289" spans="3:3">
      <c r="C2289" s="254"/>
    </row>
    <row r="2290" spans="3:3">
      <c r="C2290" s="254"/>
    </row>
    <row r="2291" spans="3:3">
      <c r="C2291" s="254"/>
    </row>
    <row r="2292" spans="3:3">
      <c r="C2292" s="254"/>
    </row>
    <row r="2293" spans="3:3">
      <c r="C2293" s="254"/>
    </row>
    <row r="2294" spans="3:3">
      <c r="C2294" s="254"/>
    </row>
    <row r="2295" spans="3:3">
      <c r="C2295" s="254"/>
    </row>
    <row r="2296" spans="3:3">
      <c r="C2296" s="254"/>
    </row>
    <row r="2297" spans="3:3">
      <c r="C2297" s="254"/>
    </row>
    <row r="2298" spans="3:3">
      <c r="C2298" s="254"/>
    </row>
    <row r="2299" spans="3:3">
      <c r="C2299" s="254"/>
    </row>
    <row r="2300" spans="3:3">
      <c r="C2300" s="254"/>
    </row>
    <row r="2301" spans="3:3">
      <c r="C2301" s="254"/>
    </row>
    <row r="2302" spans="3:3">
      <c r="C2302" s="254"/>
    </row>
    <row r="2303" spans="3:3">
      <c r="C2303" s="254"/>
    </row>
    <row r="2304" spans="3:3">
      <c r="C2304" s="254"/>
    </row>
    <row r="2305" spans="3:3">
      <c r="C2305" s="254"/>
    </row>
    <row r="2306" spans="3:3">
      <c r="C2306" s="254"/>
    </row>
    <row r="2307" spans="3:3">
      <c r="C2307" s="254"/>
    </row>
    <row r="2308" spans="3:3">
      <c r="C2308" s="254"/>
    </row>
    <row r="2309" spans="3:3">
      <c r="C2309" s="254"/>
    </row>
    <row r="2310" spans="3:3">
      <c r="C2310" s="254"/>
    </row>
    <row r="2311" spans="3:3">
      <c r="C2311" s="254"/>
    </row>
    <row r="2312" spans="3:3">
      <c r="C2312" s="254"/>
    </row>
    <row r="2313" spans="3:3">
      <c r="C2313" s="254"/>
    </row>
    <row r="2314" spans="3:3">
      <c r="C2314" s="254"/>
    </row>
    <row r="2315" spans="3:3">
      <c r="C2315" s="254"/>
    </row>
    <row r="2316" spans="3:3">
      <c r="C2316" s="254"/>
    </row>
    <row r="2317" spans="3:3">
      <c r="C2317" s="254"/>
    </row>
    <row r="2318" spans="3:3">
      <c r="C2318" s="254"/>
    </row>
    <row r="2319" spans="3:3">
      <c r="C2319" s="254"/>
    </row>
    <row r="2320" spans="3:3">
      <c r="C2320" s="254"/>
    </row>
    <row r="2321" spans="3:3">
      <c r="C2321" s="254"/>
    </row>
    <row r="2322" spans="3:3">
      <c r="C2322" s="254"/>
    </row>
    <row r="2323" spans="3:3">
      <c r="C2323" s="254"/>
    </row>
    <row r="2324" spans="3:3">
      <c r="C2324" s="254"/>
    </row>
    <row r="2325" spans="3:3">
      <c r="C2325" s="254"/>
    </row>
    <row r="2326" spans="3:3">
      <c r="C2326" s="254"/>
    </row>
    <row r="2327" spans="3:3">
      <c r="C2327" s="254"/>
    </row>
    <row r="2328" spans="3:3">
      <c r="C2328" s="254"/>
    </row>
    <row r="2329" spans="3:3">
      <c r="C2329" s="254"/>
    </row>
    <row r="2330" spans="3:3">
      <c r="C2330" s="254"/>
    </row>
    <row r="2331" spans="3:3">
      <c r="C2331" s="254"/>
    </row>
    <row r="2332" spans="3:3">
      <c r="C2332" s="254"/>
    </row>
    <row r="2333" spans="3:3">
      <c r="C2333" s="254"/>
    </row>
    <row r="2334" spans="3:3">
      <c r="C2334" s="254"/>
    </row>
    <row r="2335" spans="3:3">
      <c r="C2335" s="254"/>
    </row>
    <row r="2336" spans="3:3">
      <c r="C2336" s="254"/>
    </row>
    <row r="2337" spans="3:3">
      <c r="C2337" s="254"/>
    </row>
    <row r="2338" spans="3:3">
      <c r="C2338" s="254"/>
    </row>
    <row r="2339" spans="3:3">
      <c r="C2339" s="254"/>
    </row>
    <row r="2340" spans="3:3">
      <c r="C2340" s="254"/>
    </row>
    <row r="2341" spans="3:3">
      <c r="C2341" s="254"/>
    </row>
    <row r="2342" spans="3:3">
      <c r="C2342" s="254"/>
    </row>
    <row r="2343" spans="3:3">
      <c r="C2343" s="254"/>
    </row>
    <row r="2344" spans="3:3">
      <c r="C2344" s="254"/>
    </row>
    <row r="2345" spans="3:3">
      <c r="C2345" s="254"/>
    </row>
    <row r="2346" spans="3:3">
      <c r="C2346" s="254"/>
    </row>
    <row r="2347" spans="3:3">
      <c r="C2347" s="254"/>
    </row>
    <row r="2348" spans="3:3">
      <c r="C2348" s="254"/>
    </row>
    <row r="2349" spans="3:3">
      <c r="C2349" s="254"/>
    </row>
    <row r="2350" spans="3:3">
      <c r="C2350" s="254"/>
    </row>
    <row r="2351" spans="3:3">
      <c r="C2351" s="254"/>
    </row>
    <row r="2352" spans="3:3">
      <c r="C2352" s="254"/>
    </row>
    <row r="2353" spans="3:3">
      <c r="C2353" s="254"/>
    </row>
    <row r="2354" spans="3:3">
      <c r="C2354" s="254"/>
    </row>
    <row r="2355" spans="3:3">
      <c r="C2355" s="254"/>
    </row>
    <row r="2356" spans="3:3">
      <c r="C2356" s="254"/>
    </row>
    <row r="2357" spans="3:3">
      <c r="C2357" s="254"/>
    </row>
    <row r="2358" spans="3:3">
      <c r="C2358" s="254"/>
    </row>
    <row r="2359" spans="3:3">
      <c r="C2359" s="254"/>
    </row>
    <row r="2360" spans="3:3">
      <c r="C2360" s="254"/>
    </row>
    <row r="2361" spans="3:3">
      <c r="C2361" s="254"/>
    </row>
    <row r="2362" spans="3:3">
      <c r="C2362" s="254"/>
    </row>
    <row r="2363" spans="3:3">
      <c r="C2363" s="254"/>
    </row>
    <row r="2364" spans="3:3">
      <c r="C2364" s="254"/>
    </row>
    <row r="2365" spans="3:3">
      <c r="C2365" s="254"/>
    </row>
    <row r="2366" spans="3:3">
      <c r="C2366" s="254"/>
    </row>
    <row r="2367" spans="3:3">
      <c r="C2367" s="254"/>
    </row>
    <row r="2368" spans="3:3">
      <c r="C2368" s="254"/>
    </row>
    <row r="2369" spans="3:3">
      <c r="C2369" s="254"/>
    </row>
    <row r="2370" spans="3:3">
      <c r="C2370" s="254"/>
    </row>
    <row r="2371" spans="3:3">
      <c r="C2371" s="254"/>
    </row>
    <row r="2372" spans="3:3">
      <c r="C2372" s="254"/>
    </row>
    <row r="2373" spans="3:3">
      <c r="C2373" s="254"/>
    </row>
    <row r="2374" spans="3:3">
      <c r="C2374" s="254"/>
    </row>
    <row r="2375" spans="3:3">
      <c r="C2375" s="254"/>
    </row>
    <row r="2376" spans="3:3">
      <c r="C2376" s="254"/>
    </row>
    <row r="2377" spans="3:3">
      <c r="C2377" s="254"/>
    </row>
    <row r="2378" spans="3:3">
      <c r="C2378" s="254"/>
    </row>
    <row r="2379" spans="3:3">
      <c r="C2379" s="254"/>
    </row>
    <row r="2380" spans="3:3">
      <c r="C2380" s="254"/>
    </row>
    <row r="2381" spans="3:3">
      <c r="C2381" s="254"/>
    </row>
    <row r="2382" spans="3:3">
      <c r="C2382" s="254"/>
    </row>
    <row r="2383" spans="3:3">
      <c r="C2383" s="254"/>
    </row>
    <row r="2384" spans="3:3">
      <c r="C2384" s="254"/>
    </row>
    <row r="2385" spans="3:3">
      <c r="C2385" s="254"/>
    </row>
    <row r="2386" spans="3:3">
      <c r="C2386" s="254"/>
    </row>
    <row r="2387" spans="3:3">
      <c r="C2387" s="254"/>
    </row>
    <row r="2388" spans="3:3">
      <c r="C2388" s="254"/>
    </row>
    <row r="2389" spans="3:3">
      <c r="C2389" s="254"/>
    </row>
    <row r="2390" spans="3:3">
      <c r="C2390" s="254"/>
    </row>
    <row r="2391" spans="3:3">
      <c r="C2391" s="254"/>
    </row>
    <row r="2392" spans="3:3">
      <c r="C2392" s="254"/>
    </row>
    <row r="2393" spans="3:3">
      <c r="C2393" s="254"/>
    </row>
    <row r="2394" spans="3:3">
      <c r="C2394" s="254"/>
    </row>
    <row r="2395" spans="3:3">
      <c r="C2395" s="254"/>
    </row>
    <row r="2396" spans="3:3">
      <c r="C2396" s="254"/>
    </row>
    <row r="2397" spans="3:3">
      <c r="C2397" s="254"/>
    </row>
    <row r="2398" spans="3:3">
      <c r="C2398" s="254"/>
    </row>
    <row r="2399" spans="3:3">
      <c r="C2399" s="254"/>
    </row>
    <row r="2400" spans="3:3">
      <c r="C2400" s="254"/>
    </row>
    <row r="2401" spans="3:3">
      <c r="C2401" s="254"/>
    </row>
    <row r="2402" spans="3:3">
      <c r="C2402" s="254"/>
    </row>
    <row r="2403" spans="3:3">
      <c r="C2403" s="254"/>
    </row>
    <row r="2404" spans="3:3">
      <c r="C2404" s="254"/>
    </row>
    <row r="2405" spans="3:3">
      <c r="C2405" s="254"/>
    </row>
    <row r="2406" spans="3:3">
      <c r="C2406" s="254"/>
    </row>
    <row r="2407" spans="3:3">
      <c r="C2407" s="254"/>
    </row>
    <row r="2408" spans="3:3">
      <c r="C2408" s="254"/>
    </row>
    <row r="2409" spans="3:3">
      <c r="C2409" s="254"/>
    </row>
    <row r="2410" spans="3:3">
      <c r="C2410" s="254"/>
    </row>
    <row r="2411" spans="3:3">
      <c r="C2411" s="254"/>
    </row>
    <row r="2412" spans="3:3">
      <c r="C2412" s="254"/>
    </row>
    <row r="2413" spans="3:3">
      <c r="C2413" s="254"/>
    </row>
    <row r="2414" spans="3:3">
      <c r="C2414" s="254"/>
    </row>
    <row r="2415" spans="3:3">
      <c r="C2415" s="254"/>
    </row>
    <row r="2416" spans="3:3">
      <c r="C2416" s="254"/>
    </row>
    <row r="2417" spans="3:3">
      <c r="C2417" s="254"/>
    </row>
    <row r="2418" spans="3:3">
      <c r="C2418" s="254"/>
    </row>
    <row r="2419" spans="3:3">
      <c r="C2419" s="254"/>
    </row>
    <row r="2420" spans="3:3">
      <c r="C2420" s="254"/>
    </row>
    <row r="2421" spans="3:3">
      <c r="C2421" s="254"/>
    </row>
    <row r="2422" spans="3:3">
      <c r="C2422" s="254"/>
    </row>
    <row r="2423" spans="3:3">
      <c r="C2423" s="254"/>
    </row>
    <row r="2424" spans="3:3">
      <c r="C2424" s="254"/>
    </row>
    <row r="2425" spans="3:3">
      <c r="C2425" s="254"/>
    </row>
    <row r="2426" spans="3:3">
      <c r="C2426" s="254"/>
    </row>
    <row r="2427" spans="3:3">
      <c r="C2427" s="254"/>
    </row>
    <row r="2428" spans="3:3">
      <c r="C2428" s="254"/>
    </row>
    <row r="2429" spans="3:3">
      <c r="C2429" s="254"/>
    </row>
    <row r="2430" spans="3:3">
      <c r="C2430" s="254"/>
    </row>
    <row r="2431" spans="3:3">
      <c r="C2431" s="254"/>
    </row>
    <row r="2432" spans="3:3">
      <c r="C2432" s="254"/>
    </row>
    <row r="2433" spans="3:3">
      <c r="C2433" s="254"/>
    </row>
    <row r="2434" spans="3:3">
      <c r="C2434" s="254"/>
    </row>
    <row r="2435" spans="3:3">
      <c r="C2435" s="254"/>
    </row>
    <row r="2436" spans="3:3">
      <c r="C2436" s="254"/>
    </row>
    <row r="2437" spans="3:3">
      <c r="C2437" s="254"/>
    </row>
    <row r="2438" spans="3:3">
      <c r="C2438" s="254"/>
    </row>
    <row r="2439" spans="3:3">
      <c r="C2439" s="254"/>
    </row>
    <row r="2440" spans="3:3">
      <c r="C2440" s="254"/>
    </row>
    <row r="2441" spans="3:3">
      <c r="C2441" s="254"/>
    </row>
    <row r="2442" spans="3:3">
      <c r="C2442" s="254"/>
    </row>
    <row r="2443" spans="3:3">
      <c r="C2443" s="254"/>
    </row>
    <row r="2444" spans="3:3">
      <c r="C2444" s="254"/>
    </row>
    <row r="2445" spans="3:3">
      <c r="C2445" s="254"/>
    </row>
    <row r="2446" spans="3:3">
      <c r="C2446" s="254"/>
    </row>
    <row r="2447" spans="3:3">
      <c r="C2447" s="254"/>
    </row>
    <row r="2448" spans="3:3">
      <c r="C2448" s="254"/>
    </row>
    <row r="2449" spans="3:3">
      <c r="C2449" s="254"/>
    </row>
    <row r="2450" spans="3:3">
      <c r="C2450" s="254"/>
    </row>
    <row r="2451" spans="3:3">
      <c r="C2451" s="254"/>
    </row>
    <row r="2452" spans="3:3">
      <c r="C2452" s="254"/>
    </row>
    <row r="2453" spans="3:3">
      <c r="C2453" s="254"/>
    </row>
    <row r="2454" spans="3:3">
      <c r="C2454" s="254"/>
    </row>
    <row r="2455" spans="3:3">
      <c r="C2455" s="254"/>
    </row>
    <row r="2456" spans="3:3">
      <c r="C2456" s="254"/>
    </row>
    <row r="2457" spans="3:3">
      <c r="C2457" s="254"/>
    </row>
    <row r="2458" spans="3:3">
      <c r="C2458" s="254"/>
    </row>
    <row r="2459" spans="3:3">
      <c r="C2459" s="254"/>
    </row>
    <row r="2460" spans="3:3">
      <c r="C2460" s="254"/>
    </row>
    <row r="2461" spans="3:3">
      <c r="C2461" s="254"/>
    </row>
    <row r="2462" spans="3:3">
      <c r="C2462" s="254"/>
    </row>
    <row r="2463" spans="3:3">
      <c r="C2463" s="254"/>
    </row>
    <row r="2464" spans="3:3">
      <c r="C2464" s="254"/>
    </row>
    <row r="2465" spans="3:3">
      <c r="C2465" s="254"/>
    </row>
    <row r="2466" spans="3:3">
      <c r="C2466" s="254"/>
    </row>
    <row r="2467" spans="3:3">
      <c r="C2467" s="254"/>
    </row>
    <row r="2468" spans="3:3">
      <c r="C2468" s="254"/>
    </row>
    <row r="2469" spans="3:3">
      <c r="C2469" s="254"/>
    </row>
    <row r="2470" spans="3:3">
      <c r="C2470" s="254"/>
    </row>
    <row r="2471" spans="3:3">
      <c r="C2471" s="254"/>
    </row>
    <row r="2472" spans="3:3">
      <c r="C2472" s="254"/>
    </row>
    <row r="2473" spans="3:3">
      <c r="C2473" s="254"/>
    </row>
    <row r="2474" spans="3:3">
      <c r="C2474" s="254"/>
    </row>
    <row r="2475" spans="3:3">
      <c r="C2475" s="254"/>
    </row>
    <row r="2476" spans="3:3">
      <c r="C2476" s="254"/>
    </row>
    <row r="2477" spans="3:3">
      <c r="C2477" s="254"/>
    </row>
    <row r="2478" spans="3:3">
      <c r="C2478" s="254"/>
    </row>
    <row r="2479" spans="3:3">
      <c r="C2479" s="254"/>
    </row>
    <row r="2480" spans="3:3">
      <c r="C2480" s="254"/>
    </row>
    <row r="2481" spans="3:3">
      <c r="C2481" s="254"/>
    </row>
    <row r="2482" spans="3:3">
      <c r="C2482" s="254"/>
    </row>
    <row r="2483" spans="3:3">
      <c r="C2483" s="254"/>
    </row>
    <row r="2484" spans="3:3">
      <c r="C2484" s="254"/>
    </row>
    <row r="2485" spans="3:3">
      <c r="C2485" s="254"/>
    </row>
    <row r="2486" spans="3:3">
      <c r="C2486" s="254"/>
    </row>
    <row r="2487" spans="3:3">
      <c r="C2487" s="254"/>
    </row>
    <row r="2488" spans="3:3">
      <c r="C2488" s="254"/>
    </row>
    <row r="2489" spans="3:3">
      <c r="C2489" s="254"/>
    </row>
    <row r="2490" spans="3:3">
      <c r="C2490" s="254"/>
    </row>
    <row r="2491" spans="3:3">
      <c r="C2491" s="254"/>
    </row>
    <row r="2492" spans="3:3">
      <c r="C2492" s="254"/>
    </row>
    <row r="2493" spans="3:3">
      <c r="C2493" s="254"/>
    </row>
    <row r="2494" spans="3:3">
      <c r="C2494" s="254"/>
    </row>
    <row r="2495" spans="3:3">
      <c r="C2495" s="254"/>
    </row>
    <row r="2496" spans="3:3">
      <c r="C2496" s="254"/>
    </row>
    <row r="2497" spans="3:3">
      <c r="C2497" s="254"/>
    </row>
    <row r="2498" spans="3:3">
      <c r="C2498" s="254"/>
    </row>
    <row r="2499" spans="3:3">
      <c r="C2499" s="254"/>
    </row>
    <row r="2500" spans="3:3">
      <c r="C2500" s="254"/>
    </row>
    <row r="2501" spans="3:3">
      <c r="C2501" s="254"/>
    </row>
    <row r="2502" spans="3:3">
      <c r="C2502" s="254"/>
    </row>
    <row r="2503" spans="3:3">
      <c r="C2503" s="254"/>
    </row>
    <row r="2504" spans="3:3">
      <c r="C2504" s="254"/>
    </row>
    <row r="2505" spans="3:3">
      <c r="C2505" s="254"/>
    </row>
    <row r="2506" spans="3:3">
      <c r="C2506" s="254"/>
    </row>
    <row r="2507" spans="3:3">
      <c r="C2507" s="254"/>
    </row>
    <row r="2508" spans="3:3">
      <c r="C2508" s="254"/>
    </row>
    <row r="2509" spans="3:3">
      <c r="C2509" s="254"/>
    </row>
    <row r="2510" spans="3:3">
      <c r="C2510" s="254"/>
    </row>
    <row r="2511" spans="3:3">
      <c r="C2511" s="254"/>
    </row>
    <row r="2512" spans="3:3">
      <c r="C2512" s="254"/>
    </row>
    <row r="2513" spans="3:3">
      <c r="C2513" s="254"/>
    </row>
    <row r="2514" spans="3:3">
      <c r="C2514" s="254"/>
    </row>
    <row r="2515" spans="3:3">
      <c r="C2515" s="254"/>
    </row>
    <row r="2516" spans="3:3">
      <c r="C2516" s="254"/>
    </row>
    <row r="2517" spans="3:3">
      <c r="C2517" s="254"/>
    </row>
    <row r="2518" spans="3:3">
      <c r="C2518" s="254"/>
    </row>
    <row r="2519" spans="3:3">
      <c r="C2519" s="254"/>
    </row>
    <row r="2520" spans="3:3">
      <c r="C2520" s="254"/>
    </row>
    <row r="2521" spans="3:3">
      <c r="C2521" s="254"/>
    </row>
    <row r="2522" spans="3:3">
      <c r="C2522" s="254"/>
    </row>
    <row r="2523" spans="3:3">
      <c r="C2523" s="254"/>
    </row>
    <row r="2524" spans="3:3">
      <c r="C2524" s="254"/>
    </row>
    <row r="2525" spans="3:3">
      <c r="C2525" s="254"/>
    </row>
    <row r="2526" spans="3:3">
      <c r="C2526" s="254"/>
    </row>
    <row r="2527" spans="3:3">
      <c r="C2527" s="254"/>
    </row>
    <row r="2528" spans="3:3">
      <c r="C2528" s="254"/>
    </row>
    <row r="2529" spans="3:3">
      <c r="C2529" s="254"/>
    </row>
    <row r="2530" spans="3:3">
      <c r="C2530" s="254"/>
    </row>
    <row r="2531" spans="3:3">
      <c r="C2531" s="254"/>
    </row>
    <row r="2532" spans="3:3">
      <c r="C2532" s="254"/>
    </row>
    <row r="2533" spans="3:3">
      <c r="C2533" s="254"/>
    </row>
    <row r="2534" spans="3:3">
      <c r="C2534" s="254"/>
    </row>
    <row r="2535" spans="3:3">
      <c r="C2535" s="254"/>
    </row>
    <row r="2536" spans="3:3">
      <c r="C2536" s="254"/>
    </row>
    <row r="2537" spans="3:3">
      <c r="C2537" s="254"/>
    </row>
    <row r="2538" spans="3:3">
      <c r="C2538" s="254"/>
    </row>
    <row r="2539" spans="3:3">
      <c r="C2539" s="254"/>
    </row>
    <row r="2540" spans="3:3">
      <c r="C2540" s="254"/>
    </row>
    <row r="2541" spans="3:3">
      <c r="C2541" s="254"/>
    </row>
    <row r="2542" spans="3:3">
      <c r="C2542" s="254"/>
    </row>
    <row r="2543" spans="3:3">
      <c r="C2543" s="254"/>
    </row>
    <row r="2544" spans="3:3">
      <c r="C2544" s="254"/>
    </row>
    <row r="2545" spans="3:3">
      <c r="C2545" s="254"/>
    </row>
    <row r="2546" spans="3:3">
      <c r="C2546" s="254"/>
    </row>
    <row r="2547" spans="3:3">
      <c r="C2547" s="254"/>
    </row>
    <row r="2548" spans="3:3">
      <c r="C2548" s="254"/>
    </row>
    <row r="2549" spans="3:3">
      <c r="C2549" s="254"/>
    </row>
    <row r="2550" spans="3:3">
      <c r="C2550" s="254"/>
    </row>
    <row r="2551" spans="3:3">
      <c r="C2551" s="254"/>
    </row>
    <row r="2552" spans="3:3">
      <c r="C2552" s="254"/>
    </row>
    <row r="2553" spans="3:3">
      <c r="C2553" s="254"/>
    </row>
    <row r="2554" spans="3:3">
      <c r="C2554" s="254"/>
    </row>
    <row r="2555" spans="3:3">
      <c r="C2555" s="254"/>
    </row>
    <row r="2556" spans="3:3">
      <c r="C2556" s="254"/>
    </row>
    <row r="2557" spans="3:3">
      <c r="C2557" s="254"/>
    </row>
    <row r="2558" spans="3:3">
      <c r="C2558" s="254"/>
    </row>
    <row r="2559" spans="3:3">
      <c r="C2559" s="254"/>
    </row>
    <row r="2560" spans="3:3">
      <c r="C2560" s="254"/>
    </row>
    <row r="2561" spans="3:3">
      <c r="C2561" s="254"/>
    </row>
    <row r="2562" spans="3:3">
      <c r="C2562" s="254"/>
    </row>
    <row r="2563" spans="3:3">
      <c r="C2563" s="254"/>
    </row>
    <row r="2564" spans="3:3">
      <c r="C2564" s="254"/>
    </row>
    <row r="2565" spans="3:3">
      <c r="C2565" s="254"/>
    </row>
    <row r="2566" spans="3:3">
      <c r="C2566" s="254"/>
    </row>
    <row r="2567" spans="3:3">
      <c r="C2567" s="254"/>
    </row>
    <row r="2568" spans="3:3">
      <c r="C2568" s="254"/>
    </row>
    <row r="2569" spans="3:3">
      <c r="C2569" s="254"/>
    </row>
    <row r="2570" spans="3:3">
      <c r="C2570" s="254"/>
    </row>
    <row r="2571" spans="3:3">
      <c r="C2571" s="254"/>
    </row>
    <row r="2572" spans="3:3">
      <c r="C2572" s="254"/>
    </row>
    <row r="2573" spans="3:3">
      <c r="C2573" s="254"/>
    </row>
    <row r="2574" spans="3:3">
      <c r="C2574" s="254"/>
    </row>
    <row r="2575" spans="3:3">
      <c r="C2575" s="254"/>
    </row>
    <row r="2576" spans="3:3">
      <c r="C2576" s="254"/>
    </row>
    <row r="2577" spans="3:3">
      <c r="C2577" s="254"/>
    </row>
    <row r="2578" spans="3:3">
      <c r="C2578" s="254"/>
    </row>
    <row r="2579" spans="3:3">
      <c r="C2579" s="254"/>
    </row>
    <row r="2580" spans="3:3">
      <c r="C2580" s="254"/>
    </row>
    <row r="2581" spans="3:3">
      <c r="C2581" s="254"/>
    </row>
    <row r="2582" spans="3:3">
      <c r="C2582" s="254"/>
    </row>
    <row r="2583" spans="3:3">
      <c r="C2583" s="254"/>
    </row>
    <row r="2584" spans="3:3">
      <c r="C2584" s="254"/>
    </row>
    <row r="2585" spans="3:3">
      <c r="C2585" s="254"/>
    </row>
    <row r="2586" spans="3:3">
      <c r="C2586" s="254"/>
    </row>
    <row r="2587" spans="3:3">
      <c r="C2587" s="254"/>
    </row>
    <row r="2588" spans="3:3">
      <c r="C2588" s="254"/>
    </row>
    <row r="2589" spans="3:3">
      <c r="C2589" s="254"/>
    </row>
    <row r="2590" spans="3:3">
      <c r="C2590" s="254"/>
    </row>
    <row r="2591" spans="3:3">
      <c r="C2591" s="254"/>
    </row>
    <row r="2592" spans="3:3">
      <c r="C2592" s="254"/>
    </row>
    <row r="2593" spans="3:3">
      <c r="C2593" s="254"/>
    </row>
    <row r="2594" spans="3:3">
      <c r="C2594" s="254"/>
    </row>
    <row r="2595" spans="3:3">
      <c r="C2595" s="254"/>
    </row>
    <row r="2596" spans="3:3">
      <c r="C2596" s="254"/>
    </row>
    <row r="2597" spans="3:3">
      <c r="C2597" s="254"/>
    </row>
    <row r="2598" spans="3:3">
      <c r="C2598" s="254"/>
    </row>
    <row r="2599" spans="3:3">
      <c r="C2599" s="254"/>
    </row>
    <row r="2600" spans="3:3">
      <c r="C2600" s="254"/>
    </row>
    <row r="2601" spans="3:3">
      <c r="C2601" s="254"/>
    </row>
    <row r="2602" spans="3:3">
      <c r="C2602" s="254"/>
    </row>
    <row r="2603" spans="3:3">
      <c r="C2603" s="254"/>
    </row>
    <row r="2604" spans="3:3">
      <c r="C2604" s="254"/>
    </row>
    <row r="2605" spans="3:3">
      <c r="C2605" s="254"/>
    </row>
    <row r="2606" spans="3:3">
      <c r="C2606" s="254"/>
    </row>
    <row r="2607" spans="3:3">
      <c r="C2607" s="254"/>
    </row>
    <row r="2608" spans="3:3">
      <c r="C2608" s="254"/>
    </row>
    <row r="2609" spans="3:3">
      <c r="C2609" s="254"/>
    </row>
    <row r="2610" spans="3:3">
      <c r="C2610" s="254"/>
    </row>
    <row r="2611" spans="3:3">
      <c r="C2611" s="254"/>
    </row>
    <row r="2612" spans="3:3">
      <c r="C2612" s="254"/>
    </row>
    <row r="2613" spans="3:3">
      <c r="C2613" s="254"/>
    </row>
    <row r="2614" spans="3:3">
      <c r="C2614" s="254"/>
    </row>
    <row r="2615" spans="3:3">
      <c r="C2615" s="254"/>
    </row>
    <row r="2616" spans="3:3">
      <c r="C2616" s="254"/>
    </row>
    <row r="2617" spans="3:3">
      <c r="C2617" s="254"/>
    </row>
    <row r="2618" spans="3:3">
      <c r="C2618" s="254"/>
    </row>
    <row r="2619" spans="3:3">
      <c r="C2619" s="254"/>
    </row>
    <row r="2620" spans="3:3">
      <c r="C2620" s="254"/>
    </row>
    <row r="2621" spans="3:3">
      <c r="C2621" s="254"/>
    </row>
    <row r="2622" spans="3:3">
      <c r="C2622" s="254"/>
    </row>
    <row r="2623" spans="3:3">
      <c r="C2623" s="254"/>
    </row>
    <row r="2624" spans="3:3">
      <c r="C2624" s="254"/>
    </row>
    <row r="2625" spans="3:3">
      <c r="C2625" s="254"/>
    </row>
    <row r="2626" spans="3:3">
      <c r="C2626" s="254"/>
    </row>
    <row r="2627" spans="3:3">
      <c r="C2627" s="254"/>
    </row>
    <row r="2628" spans="3:3">
      <c r="C2628" s="254"/>
    </row>
    <row r="2629" spans="3:3">
      <c r="C2629" s="254"/>
    </row>
    <row r="2630" spans="3:3">
      <c r="C2630" s="254"/>
    </row>
    <row r="2631" spans="3:3">
      <c r="C2631" s="254"/>
    </row>
    <row r="2632" spans="3:3">
      <c r="C2632" s="254"/>
    </row>
    <row r="2633" spans="3:3">
      <c r="C2633" s="254"/>
    </row>
    <row r="2634" spans="3:3">
      <c r="C2634" s="254"/>
    </row>
    <row r="2635" spans="3:3">
      <c r="C2635" s="254"/>
    </row>
    <row r="2636" spans="3:3">
      <c r="C2636" s="254"/>
    </row>
    <row r="2637" spans="3:3">
      <c r="C2637" s="254"/>
    </row>
    <row r="2638" spans="3:3">
      <c r="C2638" s="254"/>
    </row>
    <row r="2639" spans="3:3">
      <c r="C2639" s="254"/>
    </row>
    <row r="2640" spans="3:3">
      <c r="C2640" s="254"/>
    </row>
    <row r="2641" spans="3:3">
      <c r="C2641" s="254"/>
    </row>
    <row r="2642" spans="3:3">
      <c r="C2642" s="254"/>
    </row>
    <row r="2643" spans="3:3">
      <c r="C2643" s="254"/>
    </row>
    <row r="2644" spans="3:3">
      <c r="C2644" s="254"/>
    </row>
    <row r="2645" spans="3:3">
      <c r="C2645" s="254"/>
    </row>
    <row r="2646" spans="3:3">
      <c r="C2646" s="254"/>
    </row>
    <row r="2647" spans="3:3">
      <c r="C2647" s="254"/>
    </row>
    <row r="2648" spans="3:3">
      <c r="C2648" s="254"/>
    </row>
    <row r="2649" spans="3:3">
      <c r="C2649" s="254"/>
    </row>
    <row r="2650" spans="3:3">
      <c r="C2650" s="254"/>
    </row>
    <row r="2651" spans="3:3">
      <c r="C2651" s="254"/>
    </row>
    <row r="2652" spans="3:3">
      <c r="C2652" s="254"/>
    </row>
    <row r="2653" spans="3:3">
      <c r="C2653" s="254"/>
    </row>
    <row r="2654" spans="3:3">
      <c r="C2654" s="254"/>
    </row>
    <row r="2655" spans="3:3">
      <c r="C2655" s="254"/>
    </row>
    <row r="2656" spans="3:3">
      <c r="C2656" s="254"/>
    </row>
    <row r="2657" spans="3:3">
      <c r="C2657" s="254"/>
    </row>
    <row r="2658" spans="3:3">
      <c r="C2658" s="254"/>
    </row>
    <row r="2659" spans="3:3">
      <c r="C2659" s="254"/>
    </row>
    <row r="2660" spans="3:3">
      <c r="C2660" s="254"/>
    </row>
    <row r="2661" spans="3:3">
      <c r="C2661" s="254"/>
    </row>
    <row r="2662" spans="3:3">
      <c r="C2662" s="254"/>
    </row>
    <row r="2663" spans="3:3">
      <c r="C2663" s="254"/>
    </row>
    <row r="2664" spans="3:3">
      <c r="C2664" s="254"/>
    </row>
    <row r="2665" spans="3:3">
      <c r="C2665" s="254"/>
    </row>
    <row r="2666" spans="3:3">
      <c r="C2666" s="254"/>
    </row>
    <row r="2667" spans="3:3">
      <c r="C2667" s="254"/>
    </row>
    <row r="2668" spans="3:3">
      <c r="C2668" s="254"/>
    </row>
    <row r="2669" spans="3:3">
      <c r="C2669" s="254"/>
    </row>
    <row r="2670" spans="3:3">
      <c r="C2670" s="254"/>
    </row>
    <row r="2671" spans="3:3">
      <c r="C2671" s="254"/>
    </row>
    <row r="2672" spans="3:3">
      <c r="C2672" s="254"/>
    </row>
    <row r="2673" spans="3:3">
      <c r="C2673" s="254"/>
    </row>
    <row r="2674" spans="3:3">
      <c r="C2674" s="254"/>
    </row>
    <row r="2675" spans="3:3">
      <c r="C2675" s="254"/>
    </row>
    <row r="2676" spans="3:3">
      <c r="C2676" s="254"/>
    </row>
    <row r="2677" spans="3:3">
      <c r="C2677" s="254"/>
    </row>
    <row r="2678" spans="3:3">
      <c r="C2678" s="254"/>
    </row>
    <row r="2679" spans="3:3">
      <c r="C2679" s="254"/>
    </row>
    <row r="2680" spans="3:3">
      <c r="C2680" s="254"/>
    </row>
    <row r="2681" spans="3:3">
      <c r="C2681" s="254"/>
    </row>
    <row r="2682" spans="3:3">
      <c r="C2682" s="254"/>
    </row>
    <row r="2683" spans="3:3">
      <c r="C2683" s="254"/>
    </row>
    <row r="2684" spans="3:3">
      <c r="C2684" s="254"/>
    </row>
    <row r="2685" spans="3:3">
      <c r="C2685" s="254"/>
    </row>
    <row r="2686" spans="3:3">
      <c r="C2686" s="254"/>
    </row>
    <row r="2687" spans="3:3">
      <c r="C2687" s="254"/>
    </row>
    <row r="2688" spans="3:3">
      <c r="C2688" s="254"/>
    </row>
    <row r="2689" spans="3:3">
      <c r="C2689" s="254"/>
    </row>
    <row r="2690" spans="3:3">
      <c r="C2690" s="254"/>
    </row>
    <row r="2691" spans="3:3">
      <c r="C2691" s="254"/>
    </row>
    <row r="2692" spans="3:3">
      <c r="C2692" s="254"/>
    </row>
    <row r="2693" spans="3:3">
      <c r="C2693" s="254"/>
    </row>
    <row r="2694" spans="3:3">
      <c r="C2694" s="254"/>
    </row>
    <row r="2695" spans="3:3">
      <c r="C2695" s="254"/>
    </row>
    <row r="2696" spans="3:3">
      <c r="C2696" s="254"/>
    </row>
    <row r="2697" spans="3:3">
      <c r="C2697" s="254"/>
    </row>
    <row r="2698" spans="3:3">
      <c r="C2698" s="254"/>
    </row>
    <row r="2699" spans="3:3">
      <c r="C2699" s="254"/>
    </row>
    <row r="2700" spans="3:3">
      <c r="C2700" s="254"/>
    </row>
    <row r="2701" spans="3:3">
      <c r="C2701" s="254"/>
    </row>
    <row r="2702" spans="3:3">
      <c r="C2702" s="254"/>
    </row>
    <row r="2703" spans="3:3">
      <c r="C2703" s="254"/>
    </row>
    <row r="2704" spans="3:3">
      <c r="C2704" s="254"/>
    </row>
    <row r="2705" spans="3:3">
      <c r="C2705" s="254"/>
    </row>
    <row r="2706" spans="3:3">
      <c r="C2706" s="254"/>
    </row>
    <row r="2707" spans="3:3">
      <c r="C2707" s="254"/>
    </row>
    <row r="2708" spans="3:3">
      <c r="C2708" s="254"/>
    </row>
    <row r="2709" spans="3:3">
      <c r="C2709" s="254"/>
    </row>
    <row r="2710" spans="3:3">
      <c r="C2710" s="254"/>
    </row>
    <row r="2711" spans="3:3">
      <c r="C2711" s="254"/>
    </row>
    <row r="2712" spans="3:3">
      <c r="C2712" s="254"/>
    </row>
    <row r="2713" spans="3:3">
      <c r="C2713" s="254"/>
    </row>
    <row r="2714" spans="3:3">
      <c r="C2714" s="254"/>
    </row>
    <row r="2715" spans="3:3">
      <c r="C2715" s="254"/>
    </row>
    <row r="2716" spans="3:3">
      <c r="C2716" s="254"/>
    </row>
    <row r="2717" spans="3:3">
      <c r="C2717" s="254"/>
    </row>
    <row r="2718" spans="3:3">
      <c r="C2718" s="254"/>
    </row>
    <row r="2719" spans="3:3">
      <c r="C2719" s="254"/>
    </row>
    <row r="2720" spans="3:3">
      <c r="C2720" s="254"/>
    </row>
    <row r="2721" spans="3:3">
      <c r="C2721" s="254"/>
    </row>
    <row r="2722" spans="3:3">
      <c r="C2722" s="254"/>
    </row>
    <row r="2723" spans="3:3">
      <c r="C2723" s="254"/>
    </row>
    <row r="2724" spans="3:3">
      <c r="C2724" s="254"/>
    </row>
    <row r="2725" spans="3:3">
      <c r="C2725" s="254"/>
    </row>
    <row r="2726" spans="3:3">
      <c r="C2726" s="254"/>
    </row>
    <row r="2727" spans="3:3">
      <c r="C2727" s="254"/>
    </row>
    <row r="2728" spans="3:3">
      <c r="C2728" s="254"/>
    </row>
    <row r="2729" spans="3:3">
      <c r="C2729" s="254"/>
    </row>
    <row r="2730" spans="3:3">
      <c r="C2730" s="254"/>
    </row>
    <row r="2731" spans="3:3">
      <c r="C2731" s="254"/>
    </row>
    <row r="2732" spans="3:3">
      <c r="C2732" s="254"/>
    </row>
    <row r="2733" spans="3:3">
      <c r="C2733" s="254"/>
    </row>
    <row r="2734" spans="3:3">
      <c r="C2734" s="254"/>
    </row>
    <row r="2735" spans="3:3">
      <c r="C2735" s="254"/>
    </row>
    <row r="2736" spans="3:3">
      <c r="C2736" s="254"/>
    </row>
    <row r="2737" spans="3:3">
      <c r="C2737" s="254"/>
    </row>
    <row r="2738" spans="3:3">
      <c r="C2738" s="254"/>
    </row>
    <row r="2739" spans="3:3">
      <c r="C2739" s="254"/>
    </row>
    <row r="2740" spans="3:3">
      <c r="C2740" s="254"/>
    </row>
    <row r="2741" spans="3:3">
      <c r="C2741" s="254"/>
    </row>
    <row r="2742" spans="3:3">
      <c r="C2742" s="254"/>
    </row>
    <row r="2743" spans="3:3">
      <c r="C2743" s="254"/>
    </row>
    <row r="2744" spans="3:3">
      <c r="C2744" s="254"/>
    </row>
    <row r="2745" spans="3:3">
      <c r="C2745" s="254"/>
    </row>
    <row r="2746" spans="3:3">
      <c r="C2746" s="254"/>
    </row>
    <row r="2747" spans="3:3">
      <c r="C2747" s="254"/>
    </row>
    <row r="2748" spans="3:3">
      <c r="C2748" s="254"/>
    </row>
    <row r="2749" spans="3:3">
      <c r="C2749" s="254"/>
    </row>
    <row r="2750" spans="3:3">
      <c r="C2750" s="254"/>
    </row>
    <row r="2751" spans="3:3">
      <c r="C2751" s="254"/>
    </row>
    <row r="2752" spans="3:3">
      <c r="C2752" s="254"/>
    </row>
    <row r="2753" spans="3:3">
      <c r="C2753" s="254"/>
    </row>
    <row r="2754" spans="3:3">
      <c r="C2754" s="254"/>
    </row>
    <row r="2755" spans="3:3">
      <c r="C2755" s="254"/>
    </row>
    <row r="2756" spans="3:3">
      <c r="C2756" s="254"/>
    </row>
    <row r="2757" spans="3:3">
      <c r="C2757" s="254"/>
    </row>
    <row r="2758" spans="3:3">
      <c r="C2758" s="254"/>
    </row>
    <row r="2759" spans="3:3">
      <c r="C2759" s="254"/>
    </row>
    <row r="2760" spans="3:3">
      <c r="C2760" s="254"/>
    </row>
    <row r="2761" spans="3:3">
      <c r="C2761" s="254"/>
    </row>
    <row r="2762" spans="3:3">
      <c r="C2762" s="254"/>
    </row>
    <row r="2763" spans="3:3">
      <c r="C2763" s="254"/>
    </row>
    <row r="2764" spans="3:3">
      <c r="C2764" s="254"/>
    </row>
    <row r="2765" spans="3:3">
      <c r="C2765" s="254"/>
    </row>
    <row r="2766" spans="3:3">
      <c r="C2766" s="254"/>
    </row>
    <row r="2767" spans="3:3">
      <c r="C2767" s="254"/>
    </row>
    <row r="2768" spans="3:3">
      <c r="C2768" s="254"/>
    </row>
    <row r="2769" spans="3:3">
      <c r="C2769" s="254"/>
    </row>
    <row r="2770" spans="3:3">
      <c r="C2770" s="254"/>
    </row>
    <row r="2771" spans="3:3">
      <c r="C2771" s="254"/>
    </row>
    <row r="2772" spans="3:3">
      <c r="C2772" s="254"/>
    </row>
    <row r="2773" spans="3:3">
      <c r="C2773" s="254"/>
    </row>
    <row r="2774" spans="3:3">
      <c r="C2774" s="254"/>
    </row>
    <row r="2775" spans="3:3">
      <c r="C2775" s="254"/>
    </row>
    <row r="2776" spans="3:3">
      <c r="C2776" s="254"/>
    </row>
    <row r="2777" spans="3:3">
      <c r="C2777" s="254"/>
    </row>
    <row r="2778" spans="3:3">
      <c r="C2778" s="254"/>
    </row>
    <row r="2779" spans="3:3">
      <c r="C2779" s="254"/>
    </row>
    <row r="2780" spans="3:3">
      <c r="C2780" s="254"/>
    </row>
    <row r="2781" spans="3:3">
      <c r="C2781" s="254"/>
    </row>
    <row r="2782" spans="3:3">
      <c r="C2782" s="254"/>
    </row>
    <row r="2783" spans="3:3">
      <c r="C2783" s="254"/>
    </row>
    <row r="2784" spans="3:3">
      <c r="C2784" s="254"/>
    </row>
    <row r="2785" spans="3:3">
      <c r="C2785" s="254"/>
    </row>
    <row r="2786" spans="3:3">
      <c r="C2786" s="254"/>
    </row>
    <row r="2787" spans="3:3">
      <c r="C2787" s="254"/>
    </row>
    <row r="2788" spans="3:3">
      <c r="C2788" s="254"/>
    </row>
    <row r="2789" spans="3:3">
      <c r="C2789" s="254"/>
    </row>
    <row r="2790" spans="3:3">
      <c r="C2790" s="254"/>
    </row>
    <row r="2791" spans="3:3">
      <c r="C2791" s="254"/>
    </row>
    <row r="2792" spans="3:3">
      <c r="C2792" s="254"/>
    </row>
    <row r="2793" spans="3:3">
      <c r="C2793" s="254"/>
    </row>
    <row r="2794" spans="3:3">
      <c r="C2794" s="254"/>
    </row>
    <row r="2795" spans="3:3">
      <c r="C2795" s="254"/>
    </row>
    <row r="2796" spans="3:3">
      <c r="C2796" s="254"/>
    </row>
    <row r="2797" spans="3:3">
      <c r="C2797" s="254"/>
    </row>
    <row r="2798" spans="3:3">
      <c r="C2798" s="254"/>
    </row>
    <row r="2799" spans="3:3">
      <c r="C2799" s="254"/>
    </row>
    <row r="2800" spans="3:3">
      <c r="C2800" s="254"/>
    </row>
    <row r="2801" spans="3:3">
      <c r="C2801" s="254"/>
    </row>
    <row r="2802" spans="3:3">
      <c r="C2802" s="254"/>
    </row>
    <row r="2803" spans="3:3">
      <c r="C2803" s="254"/>
    </row>
    <row r="2804" spans="3:3">
      <c r="C2804" s="254"/>
    </row>
    <row r="2805" spans="3:3">
      <c r="C2805" s="254"/>
    </row>
    <row r="2806" spans="3:3">
      <c r="C2806" s="254"/>
    </row>
    <row r="2807" spans="3:3">
      <c r="C2807" s="254"/>
    </row>
    <row r="2808" spans="3:3">
      <c r="C2808" s="254"/>
    </row>
    <row r="2809" spans="3:3">
      <c r="C2809" s="254"/>
    </row>
    <row r="2810" spans="3:3">
      <c r="C2810" s="254"/>
    </row>
    <row r="2811" spans="3:3">
      <c r="C2811" s="254"/>
    </row>
    <row r="2812" spans="3:3">
      <c r="C2812" s="254"/>
    </row>
    <row r="2813" spans="3:3">
      <c r="C2813" s="254"/>
    </row>
    <row r="2814" spans="3:3">
      <c r="C2814" s="254"/>
    </row>
    <row r="2815" spans="3:3">
      <c r="C2815" s="254"/>
    </row>
    <row r="2816" spans="3:3">
      <c r="C2816" s="254"/>
    </row>
    <row r="2817" spans="3:3">
      <c r="C2817" s="254"/>
    </row>
    <row r="2818" spans="3:3">
      <c r="C2818" s="254"/>
    </row>
    <row r="2819" spans="3:3">
      <c r="C2819" s="254"/>
    </row>
    <row r="2820" spans="3:3">
      <c r="C2820" s="254"/>
    </row>
    <row r="2821" spans="3:3">
      <c r="C2821" s="254"/>
    </row>
    <row r="2822" spans="3:3">
      <c r="C2822" s="254"/>
    </row>
    <row r="2823" spans="3:3">
      <c r="C2823" s="254"/>
    </row>
    <row r="2824" spans="3:3">
      <c r="C2824" s="254"/>
    </row>
    <row r="2825" spans="3:3">
      <c r="C2825" s="254"/>
    </row>
    <row r="2826" spans="3:3">
      <c r="C2826" s="254"/>
    </row>
    <row r="2827" spans="3:3">
      <c r="C2827" s="254"/>
    </row>
    <row r="2828" spans="3:3">
      <c r="C2828" s="254"/>
    </row>
    <row r="2829" spans="3:3">
      <c r="C2829" s="254"/>
    </row>
    <row r="2830" spans="3:3">
      <c r="C2830" s="254"/>
    </row>
    <row r="2831" spans="3:3">
      <c r="C2831" s="254"/>
    </row>
    <row r="2832" spans="3:3">
      <c r="C2832" s="254"/>
    </row>
    <row r="2833" spans="3:3">
      <c r="C2833" s="254"/>
    </row>
    <row r="2834" spans="3:3">
      <c r="C2834" s="254"/>
    </row>
    <row r="2835" spans="3:3">
      <c r="C2835" s="254"/>
    </row>
    <row r="2836" spans="3:3">
      <c r="C2836" s="254"/>
    </row>
    <row r="2837" spans="3:3">
      <c r="C2837" s="254"/>
    </row>
    <row r="2838" spans="3:3">
      <c r="C2838" s="254"/>
    </row>
    <row r="2839" spans="3:3">
      <c r="C2839" s="254"/>
    </row>
    <row r="2840" spans="3:3">
      <c r="C2840" s="254"/>
    </row>
    <row r="2841" spans="3:3">
      <c r="C2841" s="254"/>
    </row>
    <row r="2842" spans="3:3">
      <c r="C2842" s="254"/>
    </row>
    <row r="2843" spans="3:3">
      <c r="C2843" s="254"/>
    </row>
    <row r="2844" spans="3:3">
      <c r="C2844" s="254"/>
    </row>
    <row r="2845" spans="3:3">
      <c r="C2845" s="254"/>
    </row>
    <row r="2846" spans="3:3">
      <c r="C2846" s="254"/>
    </row>
    <row r="2847" spans="3:3">
      <c r="C2847" s="254"/>
    </row>
    <row r="2848" spans="3:3">
      <c r="C2848" s="254"/>
    </row>
    <row r="2849" spans="3:3">
      <c r="C2849" s="254"/>
    </row>
    <row r="2850" spans="3:3">
      <c r="C2850" s="254"/>
    </row>
    <row r="2851" spans="3:3">
      <c r="C2851" s="254"/>
    </row>
    <row r="2852" spans="3:3">
      <c r="C2852" s="254"/>
    </row>
    <row r="2853" spans="3:3">
      <c r="C2853" s="254"/>
    </row>
    <row r="2854" spans="3:3">
      <c r="C2854" s="254"/>
    </row>
    <row r="2855" spans="3:3">
      <c r="C2855" s="254"/>
    </row>
    <row r="2856" spans="3:3">
      <c r="C2856" s="254"/>
    </row>
    <row r="2857" spans="3:3">
      <c r="C2857" s="254"/>
    </row>
    <row r="2858" spans="3:3">
      <c r="C2858" s="254"/>
    </row>
    <row r="2859" spans="3:3">
      <c r="C2859" s="254"/>
    </row>
    <row r="2860" spans="3:3">
      <c r="C2860" s="254"/>
    </row>
    <row r="2861" spans="3:3">
      <c r="C2861" s="254"/>
    </row>
    <row r="2862" spans="3:3">
      <c r="C2862" s="254"/>
    </row>
    <row r="2863" spans="3:3">
      <c r="C2863" s="254"/>
    </row>
    <row r="2864" spans="3:3">
      <c r="C2864" s="254"/>
    </row>
    <row r="2865" spans="3:3">
      <c r="C2865" s="254"/>
    </row>
    <row r="2866" spans="3:3">
      <c r="C2866" s="254"/>
    </row>
    <row r="2867" spans="3:3">
      <c r="C2867" s="254"/>
    </row>
    <row r="2868" spans="3:3">
      <c r="C2868" s="254"/>
    </row>
    <row r="2869" spans="3:3">
      <c r="C2869" s="254"/>
    </row>
    <row r="2870" spans="3:3">
      <c r="C2870" s="254"/>
    </row>
    <row r="2871" spans="3:3">
      <c r="C2871" s="254"/>
    </row>
    <row r="2872" spans="3:3">
      <c r="C2872" s="254"/>
    </row>
    <row r="2873" spans="3:3">
      <c r="C2873" s="254"/>
    </row>
    <row r="2874" spans="3:3">
      <c r="C2874" s="254"/>
    </row>
    <row r="2875" spans="3:3">
      <c r="C2875" s="254"/>
    </row>
    <row r="2876" spans="3:3">
      <c r="C2876" s="254"/>
    </row>
    <row r="2877" spans="3:3">
      <c r="C2877" s="254"/>
    </row>
    <row r="2878" spans="3:3">
      <c r="C2878" s="254"/>
    </row>
    <row r="2879" spans="3:3">
      <c r="C2879" s="254"/>
    </row>
    <row r="2880" spans="3:3">
      <c r="C2880" s="254"/>
    </row>
    <row r="2881" spans="3:3">
      <c r="C2881" s="254"/>
    </row>
    <row r="2882" spans="3:3">
      <c r="C2882" s="254"/>
    </row>
    <row r="2883" spans="3:3">
      <c r="C2883" s="254"/>
    </row>
    <row r="2884" spans="3:3">
      <c r="C2884" s="254"/>
    </row>
    <row r="2885" spans="3:3">
      <c r="C2885" s="254"/>
    </row>
    <row r="2886" spans="3:3">
      <c r="C2886" s="254"/>
    </row>
    <row r="2887" spans="3:3">
      <c r="C2887" s="254"/>
    </row>
    <row r="2888" spans="3:3">
      <c r="C2888" s="254"/>
    </row>
    <row r="2889" spans="3:3">
      <c r="C2889" s="254"/>
    </row>
    <row r="2890" spans="3:3">
      <c r="C2890" s="254"/>
    </row>
    <row r="2891" spans="3:3">
      <c r="C2891" s="254"/>
    </row>
    <row r="2892" spans="3:3">
      <c r="C2892" s="254"/>
    </row>
    <row r="2893" spans="3:3">
      <c r="C2893" s="254"/>
    </row>
    <row r="2894" spans="3:3">
      <c r="C2894" s="254"/>
    </row>
    <row r="2895" spans="3:3">
      <c r="C2895" s="254"/>
    </row>
    <row r="2896" spans="3:3">
      <c r="C2896" s="254"/>
    </row>
    <row r="2897" spans="3:3">
      <c r="C2897" s="254"/>
    </row>
    <row r="2898" spans="3:3">
      <c r="C2898" s="254"/>
    </row>
    <row r="2899" spans="3:3">
      <c r="C2899" s="254"/>
    </row>
    <row r="2900" spans="3:3">
      <c r="C2900" s="254"/>
    </row>
    <row r="2901" spans="3:3">
      <c r="C2901" s="254"/>
    </row>
    <row r="2902" spans="3:3">
      <c r="C2902" s="254"/>
    </row>
    <row r="2903" spans="3:3">
      <c r="C2903" s="254"/>
    </row>
    <row r="2904" spans="3:3">
      <c r="C2904" s="254"/>
    </row>
    <row r="2905" spans="3:3">
      <c r="C2905" s="254"/>
    </row>
    <row r="2906" spans="3:3">
      <c r="C2906" s="254"/>
    </row>
    <row r="2907" spans="3:3">
      <c r="C2907" s="254"/>
    </row>
    <row r="2908" spans="3:3">
      <c r="C2908" s="254"/>
    </row>
    <row r="2909" spans="3:3">
      <c r="C2909" s="254"/>
    </row>
    <row r="2910" spans="3:3">
      <c r="C2910" s="254"/>
    </row>
    <row r="2911" spans="3:3">
      <c r="C2911" s="254"/>
    </row>
    <row r="2912" spans="3:3">
      <c r="C2912" s="254"/>
    </row>
    <row r="2913" spans="3:3">
      <c r="C2913" s="254"/>
    </row>
    <row r="2914" spans="3:3">
      <c r="C2914" s="254"/>
    </row>
    <row r="2915" spans="3:3">
      <c r="C2915" s="254"/>
    </row>
    <row r="2916" spans="3:3">
      <c r="C2916" s="254"/>
    </row>
    <row r="2917" spans="3:3">
      <c r="C2917" s="254"/>
    </row>
    <row r="2918" spans="3:3">
      <c r="C2918" s="254"/>
    </row>
    <row r="2919" spans="3:3">
      <c r="C2919" s="254"/>
    </row>
    <row r="2920" spans="3:3">
      <c r="C2920" s="254"/>
    </row>
    <row r="2921" spans="3:3">
      <c r="C2921" s="254"/>
    </row>
    <row r="2922" spans="3:3">
      <c r="C2922" s="254"/>
    </row>
    <row r="2923" spans="3:3">
      <c r="C2923" s="254"/>
    </row>
    <row r="2924" spans="3:3">
      <c r="C2924" s="254"/>
    </row>
    <row r="2925" spans="3:3">
      <c r="C2925" s="254"/>
    </row>
    <row r="2926" spans="3:3">
      <c r="C2926" s="254"/>
    </row>
    <row r="2927" spans="3:3">
      <c r="C2927" s="254"/>
    </row>
    <row r="2928" spans="3:3">
      <c r="C2928" s="254"/>
    </row>
    <row r="2929" spans="3:3">
      <c r="C2929" s="254"/>
    </row>
    <row r="2930" spans="3:3">
      <c r="C2930" s="254"/>
    </row>
    <row r="2931" spans="3:3">
      <c r="C2931" s="254"/>
    </row>
    <row r="2932" spans="3:3">
      <c r="C2932" s="254"/>
    </row>
    <row r="2933" spans="3:3">
      <c r="C2933" s="254"/>
    </row>
    <row r="2934" spans="3:3">
      <c r="C2934" s="254"/>
    </row>
    <row r="2935" spans="3:3">
      <c r="C2935" s="254"/>
    </row>
    <row r="2936" spans="3:3">
      <c r="C2936" s="254"/>
    </row>
    <row r="2937" spans="3:3">
      <c r="C2937" s="254"/>
    </row>
    <row r="2938" spans="3:3">
      <c r="C2938" s="254"/>
    </row>
    <row r="2939" spans="3:3">
      <c r="C2939" s="254"/>
    </row>
    <row r="2940" spans="3:3">
      <c r="C2940" s="254"/>
    </row>
    <row r="2941" spans="3:3">
      <c r="C2941" s="254"/>
    </row>
    <row r="2942" spans="3:3">
      <c r="C2942" s="254"/>
    </row>
    <row r="2943" spans="3:3">
      <c r="C2943" s="254"/>
    </row>
    <row r="2944" spans="3:3">
      <c r="C2944" s="254"/>
    </row>
    <row r="2945" spans="3:3">
      <c r="C2945" s="254"/>
    </row>
    <row r="2946" spans="3:3">
      <c r="C2946" s="254"/>
    </row>
    <row r="2947" spans="3:3">
      <c r="C2947" s="254"/>
    </row>
    <row r="2948" spans="3:3">
      <c r="C2948" s="254"/>
    </row>
    <row r="2949" spans="3:3">
      <c r="C2949" s="254"/>
    </row>
    <row r="2950" spans="3:3">
      <c r="C2950" s="254"/>
    </row>
    <row r="2951" spans="3:3">
      <c r="C2951" s="254"/>
    </row>
    <row r="2952" spans="3:3">
      <c r="C2952" s="254"/>
    </row>
    <row r="2953" spans="3:3">
      <c r="C2953" s="254"/>
    </row>
    <row r="2954" spans="3:3">
      <c r="C2954" s="254"/>
    </row>
    <row r="2955" spans="3:3">
      <c r="C2955" s="254"/>
    </row>
    <row r="2956" spans="3:3">
      <c r="C2956" s="254"/>
    </row>
    <row r="2957" spans="3:3">
      <c r="C2957" s="254"/>
    </row>
    <row r="2958" spans="3:3">
      <c r="C2958" s="254"/>
    </row>
    <row r="2959" spans="3:3">
      <c r="C2959" s="254"/>
    </row>
    <row r="2960" spans="3:3">
      <c r="C2960" s="254"/>
    </row>
    <row r="2961" spans="3:3">
      <c r="C2961" s="254"/>
    </row>
    <row r="2962" spans="3:3">
      <c r="C2962" s="254"/>
    </row>
    <row r="2963" spans="3:3">
      <c r="C2963" s="254"/>
    </row>
    <row r="2964" spans="3:3">
      <c r="C2964" s="254"/>
    </row>
    <row r="2965" spans="3:3">
      <c r="C2965" s="254"/>
    </row>
    <row r="2966" spans="3:3">
      <c r="C2966" s="254"/>
    </row>
    <row r="2967" spans="3:3">
      <c r="C2967" s="254"/>
    </row>
    <row r="2968" spans="3:3">
      <c r="C2968" s="254"/>
    </row>
    <row r="2969" spans="3:3">
      <c r="C2969" s="254"/>
    </row>
    <row r="2970" spans="3:3">
      <c r="C2970" s="254"/>
    </row>
    <row r="2971" spans="3:3">
      <c r="C2971" s="254"/>
    </row>
    <row r="2972" spans="3:3">
      <c r="C2972" s="254"/>
    </row>
    <row r="2973" spans="3:3">
      <c r="C2973" s="254"/>
    </row>
    <row r="2974" spans="3:3">
      <c r="C2974" s="254"/>
    </row>
    <row r="2975" spans="3:3">
      <c r="C2975" s="254"/>
    </row>
    <row r="2976" spans="3:3">
      <c r="C2976" s="254"/>
    </row>
    <row r="2977" spans="3:3">
      <c r="C2977" s="254"/>
    </row>
    <row r="2978" spans="3:3">
      <c r="C2978" s="254"/>
    </row>
    <row r="2979" spans="3:3">
      <c r="C2979" s="254"/>
    </row>
    <row r="2980" spans="3:3">
      <c r="C2980" s="254"/>
    </row>
    <row r="2981" spans="3:3">
      <c r="C2981" s="254"/>
    </row>
    <row r="2982" spans="3:3">
      <c r="C2982" s="254"/>
    </row>
    <row r="2983" spans="3:3">
      <c r="C2983" s="254"/>
    </row>
    <row r="2984" spans="3:3">
      <c r="C2984" s="254"/>
    </row>
    <row r="2985" spans="3:3">
      <c r="C2985" s="254"/>
    </row>
    <row r="2986" spans="3:3">
      <c r="C2986" s="254"/>
    </row>
    <row r="2987" spans="3:3">
      <c r="C2987" s="254"/>
    </row>
    <row r="2988" spans="3:3">
      <c r="C2988" s="254"/>
    </row>
    <row r="2989" spans="3:3">
      <c r="C2989" s="254"/>
    </row>
    <row r="2990" spans="3:3">
      <c r="C2990" s="254"/>
    </row>
    <row r="2991" spans="3:3">
      <c r="C2991" s="254"/>
    </row>
    <row r="2992" spans="3:3">
      <c r="C2992" s="254"/>
    </row>
    <row r="2993" spans="3:3">
      <c r="C2993" s="254"/>
    </row>
    <row r="2994" spans="3:3">
      <c r="C2994" s="254"/>
    </row>
    <row r="2995" spans="3:3">
      <c r="C2995" s="254"/>
    </row>
    <row r="2996" spans="3:3">
      <c r="C2996" s="254"/>
    </row>
    <row r="2997" spans="3:3">
      <c r="C2997" s="254"/>
    </row>
    <row r="2998" spans="3:3">
      <c r="C2998" s="254"/>
    </row>
    <row r="2999" spans="3:3">
      <c r="C2999" s="254"/>
    </row>
    <row r="3000" spans="3:3">
      <c r="C3000" s="254"/>
    </row>
    <row r="3001" spans="3:3">
      <c r="C3001" s="254"/>
    </row>
    <row r="3002" spans="3:3">
      <c r="C3002" s="254"/>
    </row>
    <row r="3003" spans="3:3">
      <c r="C3003" s="254"/>
    </row>
    <row r="3004" spans="3:3">
      <c r="C3004" s="254"/>
    </row>
    <row r="3005" spans="3:3">
      <c r="C3005" s="254"/>
    </row>
    <row r="3006" spans="3:3">
      <c r="C3006" s="254"/>
    </row>
    <row r="3007" spans="3:3">
      <c r="C3007" s="254"/>
    </row>
    <row r="3008" spans="3:3">
      <c r="C3008" s="254"/>
    </row>
    <row r="3009" spans="3:3">
      <c r="C3009" s="254"/>
    </row>
    <row r="3010" spans="3:3">
      <c r="C3010" s="254"/>
    </row>
    <row r="3011" spans="3:3">
      <c r="C3011" s="254"/>
    </row>
    <row r="3012" spans="3:3">
      <c r="C3012" s="254"/>
    </row>
    <row r="3013" spans="3:3">
      <c r="C3013" s="254"/>
    </row>
    <row r="3014" spans="3:3">
      <c r="C3014" s="254"/>
    </row>
    <row r="3015" spans="3:3">
      <c r="C3015" s="254"/>
    </row>
    <row r="3016" spans="3:3">
      <c r="C3016" s="254"/>
    </row>
    <row r="3017" spans="3:3">
      <c r="C3017" s="254"/>
    </row>
    <row r="3018" spans="3:3">
      <c r="C3018" s="254"/>
    </row>
    <row r="3019" spans="3:3">
      <c r="C3019" s="254"/>
    </row>
    <row r="3020" spans="3:3">
      <c r="C3020" s="254"/>
    </row>
    <row r="3021" spans="3:3">
      <c r="C3021" s="254"/>
    </row>
    <row r="3022" spans="3:3">
      <c r="C3022" s="254"/>
    </row>
    <row r="3023" spans="3:3">
      <c r="C3023" s="254"/>
    </row>
    <row r="3024" spans="3:3">
      <c r="C3024" s="254"/>
    </row>
    <row r="3025" spans="3:3">
      <c r="C3025" s="254"/>
    </row>
    <row r="3026" spans="3:3">
      <c r="C3026" s="254"/>
    </row>
    <row r="3027" spans="3:3">
      <c r="C3027" s="254"/>
    </row>
    <row r="3028" spans="3:3">
      <c r="C3028" s="254"/>
    </row>
    <row r="3029" spans="3:3">
      <c r="C3029" s="254"/>
    </row>
    <row r="3030" spans="3:3">
      <c r="C3030" s="254"/>
    </row>
    <row r="3031" spans="3:3">
      <c r="C3031" s="254"/>
    </row>
    <row r="3032" spans="3:3">
      <c r="C3032" s="254"/>
    </row>
    <row r="3033" spans="3:3">
      <c r="C3033" s="254"/>
    </row>
    <row r="3034" spans="3:3">
      <c r="C3034" s="254"/>
    </row>
    <row r="3035" spans="3:3">
      <c r="C3035" s="254"/>
    </row>
    <row r="3036" spans="3:3">
      <c r="C3036" s="254"/>
    </row>
    <row r="3037" spans="3:3">
      <c r="C3037" s="254"/>
    </row>
    <row r="3038" spans="3:3">
      <c r="C3038" s="254"/>
    </row>
    <row r="3039" spans="3:3">
      <c r="C3039" s="254"/>
    </row>
    <row r="3040" spans="3:3">
      <c r="C3040" s="254"/>
    </row>
    <row r="3041" spans="3:3">
      <c r="C3041" s="254"/>
    </row>
    <row r="3042" spans="3:3">
      <c r="C3042" s="254"/>
    </row>
    <row r="3043" spans="3:3">
      <c r="C3043" s="254"/>
    </row>
    <row r="3044" spans="3:3">
      <c r="C3044" s="254"/>
    </row>
    <row r="3045" spans="3:3">
      <c r="C3045" s="254"/>
    </row>
    <row r="3046" spans="3:3">
      <c r="C3046" s="254"/>
    </row>
    <row r="3047" spans="3:3">
      <c r="C3047" s="254"/>
    </row>
    <row r="3048" spans="3:3">
      <c r="C3048" s="254"/>
    </row>
    <row r="3049" spans="3:3">
      <c r="C3049" s="254"/>
    </row>
    <row r="3050" spans="3:3">
      <c r="C3050" s="254"/>
    </row>
    <row r="3051" spans="3:3">
      <c r="C3051" s="254"/>
    </row>
    <row r="3052" spans="3:3">
      <c r="C3052" s="254"/>
    </row>
    <row r="3053" spans="3:3">
      <c r="C3053" s="254"/>
    </row>
    <row r="3054" spans="3:3">
      <c r="C3054" s="254"/>
    </row>
    <row r="3055" spans="3:3">
      <c r="C3055" s="254"/>
    </row>
    <row r="3056" spans="3:3">
      <c r="C3056" s="254"/>
    </row>
    <row r="3057" spans="3:3">
      <c r="C3057" s="254"/>
    </row>
    <row r="3058" spans="3:3">
      <c r="C3058" s="254"/>
    </row>
    <row r="3059" spans="3:3">
      <c r="C3059" s="254"/>
    </row>
    <row r="3060" spans="3:3">
      <c r="C3060" s="254"/>
    </row>
    <row r="3061" spans="3:3">
      <c r="C3061" s="254"/>
    </row>
    <row r="3062" spans="3:3">
      <c r="C3062" s="254"/>
    </row>
    <row r="3063" spans="3:3">
      <c r="C3063" s="254"/>
    </row>
    <row r="3064" spans="3:3">
      <c r="C3064" s="254"/>
    </row>
    <row r="3065" spans="3:3">
      <c r="C3065" s="254"/>
    </row>
    <row r="3066" spans="3:3">
      <c r="C3066" s="254"/>
    </row>
    <row r="3067" spans="3:3">
      <c r="C3067" s="254"/>
    </row>
    <row r="3068" spans="3:3">
      <c r="C3068" s="254"/>
    </row>
    <row r="3069" spans="3:3">
      <c r="C3069" s="254"/>
    </row>
    <row r="3070" spans="3:3">
      <c r="C3070" s="254"/>
    </row>
    <row r="3071" spans="3:3">
      <c r="C3071" s="254"/>
    </row>
    <row r="3072" spans="3:3">
      <c r="C3072" s="254"/>
    </row>
    <row r="3073" spans="3:3">
      <c r="C3073" s="254"/>
    </row>
    <row r="3074" spans="3:3">
      <c r="C3074" s="254"/>
    </row>
    <row r="3075" spans="3:3">
      <c r="C3075" s="254"/>
    </row>
    <row r="3076" spans="3:3">
      <c r="C3076" s="254"/>
    </row>
    <row r="3077" spans="3:3">
      <c r="C3077" s="254"/>
    </row>
    <row r="3078" spans="3:3">
      <c r="C3078" s="254"/>
    </row>
    <row r="3079" spans="3:3">
      <c r="C3079" s="254"/>
    </row>
    <row r="3080" spans="3:3">
      <c r="C3080" s="254"/>
    </row>
    <row r="3081" spans="3:3">
      <c r="C3081" s="254"/>
    </row>
    <row r="3082" spans="3:3">
      <c r="C3082" s="254"/>
    </row>
    <row r="3083" spans="3:3">
      <c r="C3083" s="254"/>
    </row>
    <row r="3084" spans="3:3">
      <c r="C3084" s="254"/>
    </row>
    <row r="3085" spans="3:3">
      <c r="C3085" s="254"/>
    </row>
    <row r="3086" spans="3:3">
      <c r="C3086" s="254"/>
    </row>
    <row r="3087" spans="3:3">
      <c r="C3087" s="254"/>
    </row>
    <row r="3088" spans="3:3">
      <c r="C3088" s="254"/>
    </row>
    <row r="3089" spans="3:3">
      <c r="C3089" s="254"/>
    </row>
    <row r="3090" spans="3:3">
      <c r="C3090" s="254"/>
    </row>
    <row r="3091" spans="3:3">
      <c r="C3091" s="254"/>
    </row>
    <row r="3092" spans="3:3">
      <c r="C3092" s="254"/>
    </row>
    <row r="3093" spans="3:3">
      <c r="C3093" s="254"/>
    </row>
    <row r="3094" spans="3:3">
      <c r="C3094" s="254"/>
    </row>
    <row r="3095" spans="3:3">
      <c r="C3095" s="254"/>
    </row>
    <row r="3096" spans="3:3">
      <c r="C3096" s="254"/>
    </row>
    <row r="3097" spans="3:3">
      <c r="C3097" s="254"/>
    </row>
    <row r="3098" spans="3:3">
      <c r="C3098" s="254"/>
    </row>
    <row r="3099" spans="3:3">
      <c r="C3099" s="254"/>
    </row>
    <row r="3100" spans="3:3">
      <c r="C3100" s="254"/>
    </row>
    <row r="3101" spans="3:3">
      <c r="C3101" s="254"/>
    </row>
    <row r="3102" spans="3:3">
      <c r="C3102" s="254"/>
    </row>
    <row r="3103" spans="3:3">
      <c r="C3103" s="254"/>
    </row>
    <row r="3104" spans="3:3">
      <c r="C3104" s="254"/>
    </row>
    <row r="3105" spans="3:3">
      <c r="C3105" s="254"/>
    </row>
    <row r="3106" spans="3:3">
      <c r="C3106" s="254"/>
    </row>
    <row r="3107" spans="3:3">
      <c r="C3107" s="254"/>
    </row>
    <row r="3108" spans="3:3">
      <c r="C3108" s="254"/>
    </row>
    <row r="3109" spans="3:3">
      <c r="C3109" s="254"/>
    </row>
    <row r="3110" spans="3:3">
      <c r="C3110" s="254"/>
    </row>
    <row r="3111" spans="3:3">
      <c r="C3111" s="254"/>
    </row>
    <row r="3112" spans="3:3">
      <c r="C3112" s="254"/>
    </row>
    <row r="3113" spans="3:3">
      <c r="C3113" s="254"/>
    </row>
    <row r="3114" spans="3:3">
      <c r="C3114" s="254"/>
    </row>
    <row r="3115" spans="3:3">
      <c r="C3115" s="254"/>
    </row>
    <row r="3116" spans="3:3">
      <c r="C3116" s="254"/>
    </row>
    <row r="3117" spans="3:3">
      <c r="C3117" s="254"/>
    </row>
    <row r="3118" spans="3:3">
      <c r="C3118" s="254"/>
    </row>
    <row r="3119" spans="3:3">
      <c r="C3119" s="254"/>
    </row>
    <row r="3120" spans="3:3">
      <c r="C3120" s="254"/>
    </row>
    <row r="3121" spans="3:3">
      <c r="C3121" s="254"/>
    </row>
    <row r="3122" spans="3:3">
      <c r="C3122" s="254"/>
    </row>
    <row r="3123" spans="3:3">
      <c r="C3123" s="254"/>
    </row>
    <row r="3124" spans="3:3">
      <c r="C3124" s="254"/>
    </row>
    <row r="3125" spans="3:3">
      <c r="C3125" s="254"/>
    </row>
    <row r="3126" spans="3:3">
      <c r="C3126" s="254"/>
    </row>
    <row r="3127" spans="3:3">
      <c r="C3127" s="254"/>
    </row>
    <row r="3128" spans="3:3">
      <c r="C3128" s="254"/>
    </row>
    <row r="3129" spans="3:3">
      <c r="C3129" s="254"/>
    </row>
    <row r="3130" spans="3:3">
      <c r="C3130" s="254"/>
    </row>
    <row r="3131" spans="3:3">
      <c r="C3131" s="254"/>
    </row>
    <row r="3132" spans="3:3">
      <c r="C3132" s="254"/>
    </row>
    <row r="3133" spans="3:3">
      <c r="C3133" s="254"/>
    </row>
    <row r="3134" spans="3:3">
      <c r="C3134" s="254"/>
    </row>
    <row r="3135" spans="3:3">
      <c r="C3135" s="254"/>
    </row>
    <row r="3136" spans="3:3">
      <c r="C3136" s="254"/>
    </row>
    <row r="3137" spans="3:3">
      <c r="C3137" s="254"/>
    </row>
    <row r="3138" spans="3:3">
      <c r="C3138" s="254"/>
    </row>
    <row r="3139" spans="3:3">
      <c r="C3139" s="254"/>
    </row>
    <row r="3140" spans="3:3">
      <c r="C3140" s="254"/>
    </row>
    <row r="3141" spans="3:3">
      <c r="C3141" s="254"/>
    </row>
    <row r="3142" spans="3:3">
      <c r="C3142" s="254"/>
    </row>
    <row r="3143" spans="3:3">
      <c r="C3143" s="254"/>
    </row>
    <row r="3144" spans="3:3">
      <c r="C3144" s="254"/>
    </row>
    <row r="3145" spans="3:3">
      <c r="C3145" s="254"/>
    </row>
    <row r="3146" spans="3:3">
      <c r="C3146" s="254"/>
    </row>
    <row r="3147" spans="3:3">
      <c r="C3147" s="254"/>
    </row>
    <row r="3148" spans="3:3">
      <c r="C3148" s="254"/>
    </row>
    <row r="3149" spans="3:3">
      <c r="C3149" s="254"/>
    </row>
    <row r="3150" spans="3:3">
      <c r="C3150" s="254"/>
    </row>
    <row r="3151" spans="3:3">
      <c r="C3151" s="254"/>
    </row>
    <row r="3152" spans="3:3">
      <c r="C3152" s="254"/>
    </row>
    <row r="3153" spans="3:3">
      <c r="C3153" s="254"/>
    </row>
    <row r="3154" spans="3:3">
      <c r="C3154" s="254"/>
    </row>
    <row r="3155" spans="3:3">
      <c r="C3155" s="254"/>
    </row>
    <row r="3156" spans="3:3">
      <c r="C3156" s="254"/>
    </row>
    <row r="3157" spans="3:3">
      <c r="C3157" s="254"/>
    </row>
    <row r="3158" spans="3:3">
      <c r="C3158" s="254"/>
    </row>
    <row r="3159" spans="3:3">
      <c r="C3159" s="254"/>
    </row>
    <row r="3160" spans="3:3">
      <c r="C3160" s="254"/>
    </row>
    <row r="3161" spans="3:3">
      <c r="C3161" s="254"/>
    </row>
    <row r="3162" spans="3:3">
      <c r="C3162" s="254"/>
    </row>
    <row r="3163" spans="3:3">
      <c r="C3163" s="254"/>
    </row>
    <row r="3164" spans="3:3">
      <c r="C3164" s="254"/>
    </row>
    <row r="3165" spans="3:3">
      <c r="C3165" s="254"/>
    </row>
    <row r="3166" spans="3:3">
      <c r="C3166" s="254"/>
    </row>
    <row r="3167" spans="3:3">
      <c r="C3167" s="254"/>
    </row>
    <row r="3168" spans="3:3">
      <c r="C3168" s="254"/>
    </row>
    <row r="3169" spans="3:3">
      <c r="C3169" s="254"/>
    </row>
    <row r="3170" spans="3:3">
      <c r="C3170" s="254"/>
    </row>
    <row r="3171" spans="3:3">
      <c r="C3171" s="254"/>
    </row>
    <row r="3172" spans="3:3">
      <c r="C3172" s="254"/>
    </row>
    <row r="3173" spans="3:3">
      <c r="C3173" s="254"/>
    </row>
    <row r="3174" spans="3:3">
      <c r="C3174" s="254"/>
    </row>
    <row r="3175" spans="3:3">
      <c r="C3175" s="254"/>
    </row>
    <row r="3176" spans="3:3">
      <c r="C3176" s="254"/>
    </row>
    <row r="3177" spans="3:3">
      <c r="C3177" s="254"/>
    </row>
    <row r="3178" spans="3:3">
      <c r="C3178" s="254"/>
    </row>
    <row r="3179" spans="3:3">
      <c r="C3179" s="254"/>
    </row>
    <row r="3180" spans="3:3">
      <c r="C3180" s="254"/>
    </row>
    <row r="3181" spans="3:3">
      <c r="C3181" s="254"/>
    </row>
    <row r="3182" spans="3:3">
      <c r="C3182" s="254"/>
    </row>
    <row r="3183" spans="3:3">
      <c r="C3183" s="254"/>
    </row>
    <row r="3184" spans="3:3">
      <c r="C3184" s="254"/>
    </row>
    <row r="3185" spans="3:3">
      <c r="C3185" s="254"/>
    </row>
    <row r="3186" spans="3:3">
      <c r="C3186" s="254"/>
    </row>
    <row r="3187" spans="3:3">
      <c r="C3187" s="254"/>
    </row>
    <row r="3188" spans="3:3">
      <c r="C3188" s="254"/>
    </row>
    <row r="3189" spans="3:3">
      <c r="C3189" s="254"/>
    </row>
    <row r="3190" spans="3:3">
      <c r="C3190" s="254"/>
    </row>
    <row r="3191" spans="3:3">
      <c r="C3191" s="254"/>
    </row>
    <row r="3192" spans="3:3">
      <c r="C3192" s="254"/>
    </row>
    <row r="3193" spans="3:3">
      <c r="C3193" s="254"/>
    </row>
    <row r="3194" spans="3:3">
      <c r="C3194" s="254"/>
    </row>
    <row r="3195" spans="3:3">
      <c r="C3195" s="254"/>
    </row>
    <row r="3196" spans="3:3">
      <c r="C3196" s="254"/>
    </row>
    <row r="3197" spans="3:3">
      <c r="C3197" s="254"/>
    </row>
    <row r="3198" spans="3:3">
      <c r="C3198" s="254"/>
    </row>
    <row r="3199" spans="3:3">
      <c r="C3199" s="254"/>
    </row>
    <row r="3200" spans="3:3">
      <c r="C3200" s="254"/>
    </row>
    <row r="3201" spans="3:3">
      <c r="C3201" s="254"/>
    </row>
    <row r="3202" spans="3:3">
      <c r="C3202" s="254"/>
    </row>
    <row r="3203" spans="3:3">
      <c r="C3203" s="254"/>
    </row>
    <row r="3204" spans="3:3">
      <c r="C3204" s="254"/>
    </row>
    <row r="3205" spans="3:3">
      <c r="C3205" s="254"/>
    </row>
    <row r="3206" spans="3:3">
      <c r="C3206" s="254"/>
    </row>
    <row r="3207" spans="3:3">
      <c r="C3207" s="254"/>
    </row>
    <row r="3208" spans="3:3">
      <c r="C3208" s="254"/>
    </row>
    <row r="3209" spans="3:3">
      <c r="C3209" s="254"/>
    </row>
    <row r="3210" spans="3:3">
      <c r="C3210" s="254"/>
    </row>
    <row r="3211" spans="3:3">
      <c r="C3211" s="254"/>
    </row>
    <row r="3212" spans="3:3">
      <c r="C3212" s="254"/>
    </row>
    <row r="3213" spans="3:3">
      <c r="C3213" s="254"/>
    </row>
    <row r="3214" spans="3:3">
      <c r="C3214" s="254"/>
    </row>
    <row r="3215" spans="3:3">
      <c r="C3215" s="254"/>
    </row>
    <row r="3216" spans="3:3">
      <c r="C3216" s="254"/>
    </row>
    <row r="3217" spans="3:3">
      <c r="C3217" s="254"/>
    </row>
    <row r="3218" spans="3:3">
      <c r="C3218" s="254"/>
    </row>
    <row r="3219" spans="3:3">
      <c r="C3219" s="254"/>
    </row>
    <row r="3220" spans="3:3">
      <c r="C3220" s="254"/>
    </row>
    <row r="3221" spans="3:3">
      <c r="C3221" s="254"/>
    </row>
    <row r="3222" spans="3:3">
      <c r="C3222" s="254"/>
    </row>
    <row r="3223" spans="3:3">
      <c r="C3223" s="254"/>
    </row>
    <row r="3224" spans="3:3">
      <c r="C3224" s="254"/>
    </row>
    <row r="3225" spans="3:3">
      <c r="C3225" s="254"/>
    </row>
    <row r="3226" spans="3:3">
      <c r="C3226" s="254"/>
    </row>
    <row r="3227" spans="3:3">
      <c r="C3227" s="254"/>
    </row>
    <row r="3228" spans="3:3">
      <c r="C3228" s="254"/>
    </row>
    <row r="3229" spans="3:3">
      <c r="C3229" s="254"/>
    </row>
    <row r="3230" spans="3:3">
      <c r="C3230" s="254"/>
    </row>
    <row r="3231" spans="3:3">
      <c r="C3231" s="254"/>
    </row>
    <row r="3232" spans="3:3">
      <c r="C3232" s="254"/>
    </row>
    <row r="3233" spans="3:3">
      <c r="C3233" s="254"/>
    </row>
    <row r="3234" spans="3:3">
      <c r="C3234" s="254"/>
    </row>
    <row r="3235" spans="3:3">
      <c r="C3235" s="254"/>
    </row>
    <row r="3236" spans="3:3">
      <c r="C3236" s="254"/>
    </row>
    <row r="3237" spans="3:3">
      <c r="C3237" s="254"/>
    </row>
    <row r="3238" spans="3:3">
      <c r="C3238" s="254"/>
    </row>
    <row r="3239" spans="3:3">
      <c r="C3239" s="254"/>
    </row>
    <row r="3240" spans="3:3">
      <c r="C3240" s="254"/>
    </row>
    <row r="3241" spans="3:3">
      <c r="C3241" s="254"/>
    </row>
    <row r="3242" spans="3:3">
      <c r="C3242" s="254"/>
    </row>
    <row r="3243" spans="3:3">
      <c r="C3243" s="254"/>
    </row>
    <row r="3244" spans="3:3">
      <c r="C3244" s="254"/>
    </row>
    <row r="3245" spans="3:3">
      <c r="C3245" s="254"/>
    </row>
    <row r="3246" spans="3:3">
      <c r="C3246" s="254"/>
    </row>
    <row r="3247" spans="3:3">
      <c r="C3247" s="254"/>
    </row>
    <row r="3248" spans="3:3">
      <c r="C3248" s="254"/>
    </row>
    <row r="3249" spans="3:3">
      <c r="C3249" s="254"/>
    </row>
    <row r="3250" spans="3:3">
      <c r="C3250" s="254"/>
    </row>
    <row r="3251" spans="3:3">
      <c r="C3251" s="254"/>
    </row>
    <row r="3252" spans="3:3">
      <c r="C3252" s="254"/>
    </row>
    <row r="3253" spans="3:3">
      <c r="C3253" s="254"/>
    </row>
    <row r="3254" spans="3:3">
      <c r="C3254" s="254"/>
    </row>
    <row r="3255" spans="3:3">
      <c r="C3255" s="254"/>
    </row>
    <row r="3256" spans="3:3">
      <c r="C3256" s="254"/>
    </row>
    <row r="3257" spans="3:3">
      <c r="C3257" s="254"/>
    </row>
    <row r="3258" spans="3:3">
      <c r="C3258" s="254"/>
    </row>
    <row r="3259" spans="3:3">
      <c r="C3259" s="254"/>
    </row>
    <row r="3260" spans="3:3">
      <c r="C3260" s="254"/>
    </row>
    <row r="3261" spans="3:3">
      <c r="C3261" s="254"/>
    </row>
    <row r="3262" spans="3:3">
      <c r="C3262" s="254"/>
    </row>
    <row r="3263" spans="3:3">
      <c r="C3263" s="254"/>
    </row>
    <row r="3264" spans="3:3">
      <c r="C3264" s="254"/>
    </row>
    <row r="3265" spans="3:3">
      <c r="C3265" s="254"/>
    </row>
    <row r="3266" spans="3:3">
      <c r="C3266" s="254"/>
    </row>
    <row r="3267" spans="3:3">
      <c r="C3267" s="254"/>
    </row>
    <row r="3268" spans="3:3">
      <c r="C3268" s="254"/>
    </row>
    <row r="3269" spans="3:3">
      <c r="C3269" s="254"/>
    </row>
    <row r="3270" spans="3:3">
      <c r="C3270" s="254"/>
    </row>
    <row r="3271" spans="3:3">
      <c r="C3271" s="254"/>
    </row>
    <row r="3272" spans="3:3">
      <c r="C3272" s="254"/>
    </row>
    <row r="3273" spans="3:3">
      <c r="C3273" s="254"/>
    </row>
    <row r="3274" spans="3:3">
      <c r="C3274" s="254"/>
    </row>
    <row r="3275" spans="3:3">
      <c r="C3275" s="254"/>
    </row>
    <row r="3276" spans="3:3">
      <c r="C3276" s="254"/>
    </row>
    <row r="3277" spans="3:3">
      <c r="C3277" s="254"/>
    </row>
    <row r="3278" spans="3:3">
      <c r="C3278" s="254"/>
    </row>
    <row r="3279" spans="3:3">
      <c r="C3279" s="254"/>
    </row>
    <row r="3280" spans="3:3">
      <c r="C3280" s="254"/>
    </row>
    <row r="3281" spans="3:3">
      <c r="C3281" s="254"/>
    </row>
    <row r="3282" spans="3:3">
      <c r="C3282" s="254"/>
    </row>
    <row r="3283" spans="3:3">
      <c r="C3283" s="254"/>
    </row>
    <row r="3284" spans="3:3">
      <c r="C3284" s="254"/>
    </row>
    <row r="3285" spans="3:3">
      <c r="C3285" s="254"/>
    </row>
    <row r="3286" spans="3:3">
      <c r="C3286" s="254"/>
    </row>
    <row r="3287" spans="3:3">
      <c r="C3287" s="254"/>
    </row>
    <row r="3288" spans="3:3">
      <c r="C3288" s="254"/>
    </row>
    <row r="3289" spans="3:3">
      <c r="C3289" s="254"/>
    </row>
    <row r="3290" spans="3:3">
      <c r="C3290" s="254"/>
    </row>
    <row r="3291" spans="3:3">
      <c r="C3291" s="254"/>
    </row>
    <row r="3292" spans="3:3">
      <c r="C3292" s="254"/>
    </row>
    <row r="3293" spans="3:3">
      <c r="C3293" s="254"/>
    </row>
    <row r="3294" spans="3:3">
      <c r="C3294" s="254"/>
    </row>
    <row r="3295" spans="3:3">
      <c r="C3295" s="254"/>
    </row>
    <row r="3296" spans="3:3">
      <c r="C3296" s="254"/>
    </row>
    <row r="3297" spans="3:3">
      <c r="C3297" s="254"/>
    </row>
    <row r="3298" spans="3:3">
      <c r="C3298" s="254"/>
    </row>
    <row r="3299" spans="3:3">
      <c r="C3299" s="254"/>
    </row>
    <row r="3300" spans="3:3">
      <c r="C3300" s="254"/>
    </row>
    <row r="3301" spans="3:3">
      <c r="C3301" s="254"/>
    </row>
    <row r="3302" spans="3:3">
      <c r="C3302" s="254"/>
    </row>
    <row r="3303" spans="3:3">
      <c r="C3303" s="254"/>
    </row>
    <row r="3304" spans="3:3">
      <c r="C3304" s="254"/>
    </row>
    <row r="3305" spans="3:3">
      <c r="C3305" s="254"/>
    </row>
    <row r="3306" spans="3:3">
      <c r="C3306" s="254"/>
    </row>
    <row r="3307" spans="3:3">
      <c r="C3307" s="254"/>
    </row>
    <row r="3308" spans="3:3">
      <c r="C3308" s="254"/>
    </row>
    <row r="3309" spans="3:3">
      <c r="C3309" s="254"/>
    </row>
    <row r="3310" spans="3:3">
      <c r="C3310" s="254"/>
    </row>
    <row r="3311" spans="3:3">
      <c r="C3311" s="254"/>
    </row>
    <row r="3312" spans="3:3">
      <c r="C3312" s="254"/>
    </row>
    <row r="3313" spans="3:3">
      <c r="C3313" s="254"/>
    </row>
    <row r="3314" spans="3:3">
      <c r="C3314" s="254"/>
    </row>
    <row r="3315" spans="3:3">
      <c r="C3315" s="254"/>
    </row>
    <row r="3316" spans="3:3">
      <c r="C3316" s="254"/>
    </row>
    <row r="3317" spans="3:3">
      <c r="C3317" s="254"/>
    </row>
    <row r="3318" spans="3:3">
      <c r="C3318" s="254"/>
    </row>
    <row r="3319" spans="3:3">
      <c r="C3319" s="254"/>
    </row>
    <row r="3320" spans="3:3">
      <c r="C3320" s="254"/>
    </row>
    <row r="3321" spans="3:3">
      <c r="C3321" s="254"/>
    </row>
    <row r="3322" spans="3:3">
      <c r="C3322" s="254"/>
    </row>
    <row r="3323" spans="3:3">
      <c r="C3323" s="254"/>
    </row>
    <row r="3324" spans="3:3">
      <c r="C3324" s="254"/>
    </row>
    <row r="3325" spans="3:3">
      <c r="C3325" s="254"/>
    </row>
    <row r="3326" spans="3:3">
      <c r="C3326" s="254"/>
    </row>
    <row r="3327" spans="3:3">
      <c r="C3327" s="254"/>
    </row>
    <row r="3328" spans="3:3">
      <c r="C3328" s="254"/>
    </row>
    <row r="3329" spans="3:3">
      <c r="C3329" s="254"/>
    </row>
    <row r="3330" spans="3:3">
      <c r="C3330" s="254"/>
    </row>
    <row r="3331" spans="3:3">
      <c r="C3331" s="254"/>
    </row>
    <row r="3332" spans="3:3">
      <c r="C3332" s="254"/>
    </row>
    <row r="3333" spans="3:3">
      <c r="C3333" s="254"/>
    </row>
    <row r="3334" spans="3:3">
      <c r="C3334" s="254"/>
    </row>
    <row r="3335" spans="3:3">
      <c r="C3335" s="254"/>
    </row>
    <row r="3336" spans="3:3">
      <c r="C3336" s="254"/>
    </row>
    <row r="3337" spans="3:3">
      <c r="C3337" s="254"/>
    </row>
    <row r="3338" spans="3:3">
      <c r="C3338" s="254"/>
    </row>
    <row r="3339" spans="3:3">
      <c r="C3339" s="254"/>
    </row>
    <row r="3340" spans="3:3">
      <c r="C3340" s="254"/>
    </row>
    <row r="3341" spans="3:3">
      <c r="C3341" s="254"/>
    </row>
    <row r="3342" spans="3:3">
      <c r="C3342" s="254"/>
    </row>
    <row r="3343" spans="3:3">
      <c r="C3343" s="254"/>
    </row>
    <row r="3344" spans="3:3">
      <c r="C3344" s="254"/>
    </row>
    <row r="3345" spans="3:3">
      <c r="C3345" s="254"/>
    </row>
    <row r="3346" spans="3:3">
      <c r="C3346" s="254"/>
    </row>
    <row r="3347" spans="3:3">
      <c r="C3347" s="254"/>
    </row>
    <row r="3348" spans="3:3">
      <c r="C3348" s="254"/>
    </row>
    <row r="3349" spans="3:3">
      <c r="C3349" s="254"/>
    </row>
    <row r="3350" spans="3:3">
      <c r="C3350" s="254"/>
    </row>
    <row r="3351" spans="3:3">
      <c r="C3351" s="254"/>
    </row>
    <row r="3352" spans="3:3">
      <c r="C3352" s="254"/>
    </row>
    <row r="3353" spans="3:3">
      <c r="C3353" s="254"/>
    </row>
    <row r="3354" spans="3:3">
      <c r="C3354" s="254"/>
    </row>
    <row r="3355" spans="3:3">
      <c r="C3355" s="254"/>
    </row>
    <row r="3356" spans="3:3">
      <c r="C3356" s="254"/>
    </row>
    <row r="3357" spans="3:3">
      <c r="C3357" s="254"/>
    </row>
    <row r="3358" spans="3:3">
      <c r="C3358" s="254"/>
    </row>
    <row r="3359" spans="3:3">
      <c r="C3359" s="254"/>
    </row>
    <row r="3360" spans="3:3">
      <c r="C3360" s="254"/>
    </row>
    <row r="3361" spans="3:3">
      <c r="C3361" s="254"/>
    </row>
    <row r="3362" spans="3:3">
      <c r="C3362" s="254"/>
    </row>
    <row r="3363" spans="3:3">
      <c r="C3363" s="254"/>
    </row>
    <row r="3364" spans="3:3">
      <c r="C3364" s="254"/>
    </row>
    <row r="3365" spans="3:3">
      <c r="C3365" s="254"/>
    </row>
    <row r="3366" spans="3:3">
      <c r="C3366" s="254"/>
    </row>
    <row r="3367" spans="3:3">
      <c r="C3367" s="254"/>
    </row>
    <row r="3368" spans="3:3">
      <c r="C3368" s="254"/>
    </row>
    <row r="3369" spans="3:3">
      <c r="C3369" s="254"/>
    </row>
    <row r="3370" spans="3:3">
      <c r="C3370" s="254"/>
    </row>
    <row r="3371" spans="3:3">
      <c r="C3371" s="254"/>
    </row>
    <row r="3372" spans="3:3">
      <c r="C3372" s="254"/>
    </row>
    <row r="3373" spans="3:3">
      <c r="C3373" s="254"/>
    </row>
    <row r="3374" spans="3:3">
      <c r="C3374" s="254"/>
    </row>
    <row r="3375" spans="3:3">
      <c r="C3375" s="254"/>
    </row>
    <row r="3376" spans="3:3">
      <c r="C3376" s="254"/>
    </row>
    <row r="3377" spans="3:3">
      <c r="C3377" s="254"/>
    </row>
    <row r="3378" spans="3:3">
      <c r="C3378" s="254"/>
    </row>
    <row r="3379" spans="3:3">
      <c r="C3379" s="254"/>
    </row>
    <row r="3380" spans="3:3">
      <c r="C3380" s="254"/>
    </row>
    <row r="3381" spans="3:3">
      <c r="C3381" s="254"/>
    </row>
    <row r="3382" spans="3:3">
      <c r="C3382" s="254"/>
    </row>
    <row r="3383" spans="3:3">
      <c r="C3383" s="254"/>
    </row>
    <row r="3384" spans="3:3">
      <c r="C3384" s="254"/>
    </row>
    <row r="3385" spans="3:3">
      <c r="C3385" s="254"/>
    </row>
    <row r="3386" spans="3:3">
      <c r="C3386" s="254"/>
    </row>
    <row r="3387" spans="3:3">
      <c r="C3387" s="254"/>
    </row>
    <row r="3388" spans="3:3">
      <c r="C3388" s="254"/>
    </row>
    <row r="3389" spans="3:3">
      <c r="C3389" s="254"/>
    </row>
    <row r="3390" spans="3:3">
      <c r="C3390" s="254"/>
    </row>
    <row r="3391" spans="3:3">
      <c r="C3391" s="254"/>
    </row>
    <row r="3392" spans="3:3">
      <c r="C3392" s="254"/>
    </row>
    <row r="3393" spans="3:3">
      <c r="C3393" s="254"/>
    </row>
    <row r="3394" spans="3:3">
      <c r="C3394" s="254"/>
    </row>
    <row r="3395" spans="3:3">
      <c r="C3395" s="254"/>
    </row>
    <row r="3396" spans="3:3">
      <c r="C3396" s="254"/>
    </row>
    <row r="3397" spans="3:3">
      <c r="C3397" s="254"/>
    </row>
    <row r="3398" spans="3:3">
      <c r="C3398" s="254"/>
    </row>
    <row r="3399" spans="3:3">
      <c r="C3399" s="254"/>
    </row>
    <row r="3400" spans="3:3">
      <c r="C3400" s="254"/>
    </row>
    <row r="3401" spans="3:3">
      <c r="C3401" s="254"/>
    </row>
    <row r="3402" spans="3:3">
      <c r="C3402" s="254"/>
    </row>
    <row r="3403" spans="3:3">
      <c r="C3403" s="254"/>
    </row>
    <row r="3404" spans="3:3">
      <c r="C3404" s="254"/>
    </row>
    <row r="3405" spans="3:3">
      <c r="C3405" s="254"/>
    </row>
    <row r="3406" spans="3:3">
      <c r="C3406" s="254"/>
    </row>
    <row r="3407" spans="3:3">
      <c r="C3407" s="254"/>
    </row>
    <row r="3408" spans="3:3">
      <c r="C3408" s="254"/>
    </row>
    <row r="3409" spans="3:3">
      <c r="C3409" s="254"/>
    </row>
    <row r="3410" spans="3:3">
      <c r="C3410" s="254"/>
    </row>
    <row r="3411" spans="3:3">
      <c r="C3411" s="254"/>
    </row>
    <row r="3412" spans="3:3">
      <c r="C3412" s="254"/>
    </row>
    <row r="3413" spans="3:3">
      <c r="C3413" s="254"/>
    </row>
    <row r="3414" spans="3:3">
      <c r="C3414" s="254"/>
    </row>
    <row r="3415" spans="3:3">
      <c r="C3415" s="254"/>
    </row>
    <row r="3416" spans="3:3">
      <c r="C3416" s="254"/>
    </row>
    <row r="3417" spans="3:3">
      <c r="C3417" s="254"/>
    </row>
    <row r="3418" spans="3:3">
      <c r="C3418" s="254"/>
    </row>
    <row r="3419" spans="3:3">
      <c r="C3419" s="254"/>
    </row>
    <row r="3420" spans="3:3">
      <c r="C3420" s="254"/>
    </row>
    <row r="3421" spans="3:3">
      <c r="C3421" s="254"/>
    </row>
    <row r="3422" spans="3:3">
      <c r="C3422" s="254"/>
    </row>
    <row r="3423" spans="3:3">
      <c r="C3423" s="254"/>
    </row>
    <row r="3424" spans="3:3">
      <c r="C3424" s="254"/>
    </row>
    <row r="3425" spans="3:3">
      <c r="C3425" s="254"/>
    </row>
    <row r="3426" spans="3:3">
      <c r="C3426" s="254"/>
    </row>
    <row r="3427" spans="3:3">
      <c r="C3427" s="254"/>
    </row>
    <row r="3428" spans="3:3">
      <c r="C3428" s="254"/>
    </row>
    <row r="3429" spans="3:3">
      <c r="C3429" s="254"/>
    </row>
    <row r="3430" spans="3:3">
      <c r="C3430" s="254"/>
    </row>
    <row r="3431" spans="3:3">
      <c r="C3431" s="254"/>
    </row>
    <row r="3432" spans="3:3">
      <c r="C3432" s="254"/>
    </row>
    <row r="3433" spans="3:3">
      <c r="C3433" s="254"/>
    </row>
    <row r="3434" spans="3:3">
      <c r="C3434" s="254"/>
    </row>
    <row r="3435" spans="3:3">
      <c r="C3435" s="254"/>
    </row>
    <row r="3436" spans="3:3">
      <c r="C3436" s="254"/>
    </row>
    <row r="3437" spans="3:3">
      <c r="C3437" s="254"/>
    </row>
    <row r="3438" spans="3:3">
      <c r="C3438" s="254"/>
    </row>
    <row r="3439" spans="3:3">
      <c r="C3439" s="254"/>
    </row>
    <row r="3440" spans="3:3">
      <c r="C3440" s="254"/>
    </row>
    <row r="3441" spans="3:3">
      <c r="C3441" s="254"/>
    </row>
    <row r="3442" spans="3:3">
      <c r="C3442" s="254"/>
    </row>
    <row r="3443" spans="3:3">
      <c r="C3443" s="254"/>
    </row>
    <row r="3444" spans="3:3">
      <c r="C3444" s="254"/>
    </row>
    <row r="3445" spans="3:3">
      <c r="C3445" s="254"/>
    </row>
    <row r="3446" spans="3:3">
      <c r="C3446" s="254"/>
    </row>
    <row r="3447" spans="3:3">
      <c r="C3447" s="254"/>
    </row>
    <row r="3448" spans="3:3">
      <c r="C3448" s="254"/>
    </row>
    <row r="3449" spans="3:3">
      <c r="C3449" s="254"/>
    </row>
    <row r="3450" spans="3:3">
      <c r="C3450" s="254"/>
    </row>
    <row r="3451" spans="3:3">
      <c r="C3451" s="254"/>
    </row>
    <row r="3452" spans="3:3">
      <c r="C3452" s="254"/>
    </row>
    <row r="3453" spans="3:3">
      <c r="C3453" s="254"/>
    </row>
    <row r="3454" spans="3:3">
      <c r="C3454" s="254"/>
    </row>
    <row r="3455" spans="3:3">
      <c r="C3455" s="254"/>
    </row>
    <row r="3456" spans="3:3">
      <c r="C3456" s="254"/>
    </row>
    <row r="3457" spans="3:3">
      <c r="C3457" s="254"/>
    </row>
    <row r="3458" spans="3:3">
      <c r="C3458" s="254"/>
    </row>
    <row r="3459" spans="3:3">
      <c r="C3459" s="254"/>
    </row>
    <row r="3460" spans="3:3">
      <c r="C3460" s="254"/>
    </row>
    <row r="3461" spans="3:3">
      <c r="C3461" s="254"/>
    </row>
    <row r="3462" spans="3:3">
      <c r="C3462" s="254"/>
    </row>
    <row r="3463" spans="3:3">
      <c r="C3463" s="254"/>
    </row>
    <row r="3464" spans="3:3">
      <c r="C3464" s="254"/>
    </row>
    <row r="3465" spans="3:3">
      <c r="C3465" s="254"/>
    </row>
    <row r="3466" spans="3:3">
      <c r="C3466" s="254"/>
    </row>
    <row r="3467" spans="3:3">
      <c r="C3467" s="254"/>
    </row>
    <row r="3468" spans="3:3">
      <c r="C3468" s="254"/>
    </row>
    <row r="3469" spans="3:3">
      <c r="C3469" s="254"/>
    </row>
    <row r="3470" spans="3:3">
      <c r="C3470" s="254"/>
    </row>
    <row r="3471" spans="3:3">
      <c r="C3471" s="254"/>
    </row>
    <row r="3472" spans="3:3">
      <c r="C3472" s="254"/>
    </row>
    <row r="3473" spans="3:3">
      <c r="C3473" s="254"/>
    </row>
    <row r="3474" spans="3:3">
      <c r="C3474" s="254"/>
    </row>
    <row r="3475" spans="3:3">
      <c r="C3475" s="254"/>
    </row>
    <row r="3476" spans="3:3">
      <c r="C3476" s="254"/>
    </row>
    <row r="3477" spans="3:3">
      <c r="C3477" s="254"/>
    </row>
    <row r="3478" spans="3:3">
      <c r="C3478" s="254"/>
    </row>
    <row r="3479" spans="3:3">
      <c r="C3479" s="254"/>
    </row>
    <row r="3480" spans="3:3">
      <c r="C3480" s="254"/>
    </row>
    <row r="3481" spans="3:3">
      <c r="C3481" s="254"/>
    </row>
    <row r="3482" spans="3:3">
      <c r="C3482" s="254"/>
    </row>
    <row r="3483" spans="3:3">
      <c r="C3483" s="254"/>
    </row>
    <row r="3484" spans="3:3">
      <c r="C3484" s="254"/>
    </row>
    <row r="3485" spans="3:3">
      <c r="C3485" s="254"/>
    </row>
    <row r="3486" spans="3:3">
      <c r="C3486" s="254"/>
    </row>
    <row r="3487" spans="3:3">
      <c r="C3487" s="254"/>
    </row>
    <row r="3488" spans="3:3">
      <c r="C3488" s="254"/>
    </row>
    <row r="3489" spans="3:3">
      <c r="C3489" s="254"/>
    </row>
    <row r="3490" spans="3:3">
      <c r="C3490" s="254"/>
    </row>
    <row r="3491" spans="3:3">
      <c r="C3491" s="254"/>
    </row>
    <row r="3492" spans="3:3">
      <c r="C3492" s="254"/>
    </row>
    <row r="3493" spans="3:3">
      <c r="C3493" s="254"/>
    </row>
    <row r="3494" spans="3:3">
      <c r="C3494" s="254"/>
    </row>
    <row r="3495" spans="3:3">
      <c r="C3495" s="254"/>
    </row>
    <row r="3496" spans="3:3">
      <c r="C3496" s="254"/>
    </row>
    <row r="3497" spans="3:3">
      <c r="C3497" s="254"/>
    </row>
    <row r="3498" spans="3:3">
      <c r="C3498" s="254"/>
    </row>
    <row r="3499" spans="3:3">
      <c r="C3499" s="254"/>
    </row>
    <row r="3500" spans="3:3">
      <c r="C3500" s="254"/>
    </row>
    <row r="3501" spans="3:3">
      <c r="C3501" s="254"/>
    </row>
    <row r="3502" spans="3:3">
      <c r="C3502" s="254"/>
    </row>
    <row r="3503" spans="3:3">
      <c r="C3503" s="254"/>
    </row>
    <row r="3504" spans="3:3">
      <c r="C3504" s="254"/>
    </row>
    <row r="3505" spans="3:3">
      <c r="C3505" s="254"/>
    </row>
    <row r="3506" spans="3:3">
      <c r="C3506" s="254"/>
    </row>
    <row r="3507" spans="3:3">
      <c r="C3507" s="254"/>
    </row>
    <row r="3508" spans="3:3">
      <c r="C3508" s="254"/>
    </row>
    <row r="3509" spans="3:3">
      <c r="C3509" s="254"/>
    </row>
    <row r="3510" spans="3:3">
      <c r="C3510" s="254"/>
    </row>
    <row r="3511" spans="3:3">
      <c r="C3511" s="254"/>
    </row>
    <row r="3512" spans="3:3">
      <c r="C3512" s="254"/>
    </row>
    <row r="3513" spans="3:3">
      <c r="C3513" s="254"/>
    </row>
    <row r="3514" spans="3:3">
      <c r="C3514" s="254"/>
    </row>
    <row r="3515" spans="3:3">
      <c r="C3515" s="254"/>
    </row>
    <row r="3516" spans="3:3">
      <c r="C3516" s="254"/>
    </row>
    <row r="3517" spans="3:3">
      <c r="C3517" s="254"/>
    </row>
    <row r="3518" spans="3:3">
      <c r="C3518" s="254"/>
    </row>
    <row r="3519" spans="3:3">
      <c r="C3519" s="254"/>
    </row>
    <row r="3520" spans="3:3">
      <c r="C3520" s="254"/>
    </row>
    <row r="3521" spans="3:3">
      <c r="C3521" s="254"/>
    </row>
    <row r="3522" spans="3:3">
      <c r="C3522" s="254"/>
    </row>
    <row r="3523" spans="3:3">
      <c r="C3523" s="254"/>
    </row>
    <row r="3524" spans="3:3">
      <c r="C3524" s="254"/>
    </row>
    <row r="3525" spans="3:3">
      <c r="C3525" s="254"/>
    </row>
    <row r="3526" spans="3:3">
      <c r="C3526" s="254"/>
    </row>
    <row r="3527" spans="3:3">
      <c r="C3527" s="254"/>
    </row>
    <row r="3528" spans="3:3">
      <c r="C3528" s="254"/>
    </row>
    <row r="3529" spans="3:3">
      <c r="C3529" s="254"/>
    </row>
    <row r="3530" spans="3:3">
      <c r="C3530" s="254"/>
    </row>
    <row r="3531" spans="3:3">
      <c r="C3531" s="254"/>
    </row>
    <row r="3532" spans="3:3">
      <c r="C3532" s="254"/>
    </row>
    <row r="3533" spans="3:3">
      <c r="C3533" s="254"/>
    </row>
    <row r="3534" spans="3:3">
      <c r="C3534" s="254"/>
    </row>
    <row r="3535" spans="3:3">
      <c r="C3535" s="254"/>
    </row>
    <row r="3536" spans="3:3">
      <c r="C3536" s="254"/>
    </row>
    <row r="3537" spans="3:3">
      <c r="C3537" s="254"/>
    </row>
    <row r="3538" spans="3:3">
      <c r="C3538" s="254"/>
    </row>
    <row r="3539" spans="3:3">
      <c r="C3539" s="254"/>
    </row>
    <row r="3540" spans="3:3">
      <c r="C3540" s="254"/>
    </row>
    <row r="3541" spans="3:3">
      <c r="C3541" s="254"/>
    </row>
    <row r="3542" spans="3:3">
      <c r="C3542" s="254"/>
    </row>
    <row r="3543" spans="3:3">
      <c r="C3543" s="254"/>
    </row>
    <row r="3544" spans="3:3">
      <c r="C3544" s="254"/>
    </row>
    <row r="3545" spans="3:3">
      <c r="C3545" s="254"/>
    </row>
    <row r="3546" spans="3:3">
      <c r="C3546" s="254"/>
    </row>
    <row r="3547" spans="3:3">
      <c r="C3547" s="254"/>
    </row>
    <row r="3548" spans="3:3">
      <c r="C3548" s="254"/>
    </row>
    <row r="3549" spans="3:3">
      <c r="C3549" s="254"/>
    </row>
    <row r="3550" spans="3:3">
      <c r="C3550" s="254"/>
    </row>
    <row r="3551" spans="3:3">
      <c r="C3551" s="254"/>
    </row>
    <row r="3552" spans="3:3">
      <c r="C3552" s="254"/>
    </row>
    <row r="3553" spans="3:3">
      <c r="C3553" s="254"/>
    </row>
    <row r="3554" spans="3:3">
      <c r="C3554" s="254"/>
    </row>
    <row r="3555" spans="3:3">
      <c r="C3555" s="254"/>
    </row>
    <row r="3556" spans="3:3">
      <c r="C3556" s="254"/>
    </row>
    <row r="3557" spans="3:3">
      <c r="C3557" s="254"/>
    </row>
    <row r="3558" spans="3:3">
      <c r="C3558" s="254"/>
    </row>
    <row r="3559" spans="3:3">
      <c r="C3559" s="254"/>
    </row>
    <row r="3560" spans="3:3">
      <c r="C3560" s="254"/>
    </row>
    <row r="3561" spans="3:3">
      <c r="C3561" s="254"/>
    </row>
    <row r="3562" spans="3:3">
      <c r="C3562" s="254"/>
    </row>
    <row r="3563" spans="3:3">
      <c r="C3563" s="254"/>
    </row>
    <row r="3564" spans="3:3">
      <c r="C3564" s="254"/>
    </row>
    <row r="3565" spans="3:3">
      <c r="C3565" s="254"/>
    </row>
    <row r="3566" spans="3:3">
      <c r="C3566" s="254"/>
    </row>
    <row r="3567" spans="3:3">
      <c r="C3567" s="254"/>
    </row>
    <row r="3568" spans="3:3">
      <c r="C3568" s="254"/>
    </row>
    <row r="3569" spans="3:3">
      <c r="C3569" s="254"/>
    </row>
    <row r="3570" spans="3:3">
      <c r="C3570" s="254"/>
    </row>
    <row r="3571" spans="3:3">
      <c r="C3571" s="254"/>
    </row>
    <row r="3572" spans="3:3">
      <c r="C3572" s="254"/>
    </row>
    <row r="3573" spans="3:3">
      <c r="C3573" s="254"/>
    </row>
    <row r="3574" spans="3:3">
      <c r="C3574" s="254"/>
    </row>
    <row r="3575" spans="3:3">
      <c r="C3575" s="254"/>
    </row>
    <row r="3576" spans="3:3">
      <c r="C3576" s="254"/>
    </row>
    <row r="3577" spans="3:3">
      <c r="C3577" s="254"/>
    </row>
    <row r="3578" spans="3:3">
      <c r="C3578" s="254"/>
    </row>
    <row r="3579" spans="3:3">
      <c r="C3579" s="254"/>
    </row>
    <row r="3580" spans="3:3">
      <c r="C3580" s="254"/>
    </row>
    <row r="3581" spans="3:3">
      <c r="C3581" s="254"/>
    </row>
    <row r="3582" spans="3:3">
      <c r="C3582" s="254"/>
    </row>
    <row r="3583" spans="3:3">
      <c r="C3583" s="254"/>
    </row>
    <row r="3584" spans="3:3">
      <c r="C3584" s="254"/>
    </row>
    <row r="3585" spans="3:3">
      <c r="C3585" s="254"/>
    </row>
    <row r="3586" spans="3:3">
      <c r="C3586" s="254"/>
    </row>
    <row r="3587" spans="3:3">
      <c r="C3587" s="254"/>
    </row>
    <row r="3588" spans="3:3">
      <c r="C3588" s="254"/>
    </row>
    <row r="3589" spans="3:3">
      <c r="C3589" s="254"/>
    </row>
    <row r="3590" spans="3:3">
      <c r="C3590" s="254"/>
    </row>
    <row r="3591" spans="3:3">
      <c r="C3591" s="254"/>
    </row>
    <row r="3592" spans="3:3">
      <c r="C3592" s="254"/>
    </row>
    <row r="3593" spans="3:3">
      <c r="C3593" s="254"/>
    </row>
    <row r="3594" spans="3:3">
      <c r="C3594" s="254"/>
    </row>
    <row r="3595" spans="3:3">
      <c r="C3595" s="254"/>
    </row>
    <row r="3596" spans="3:3">
      <c r="C3596" s="254"/>
    </row>
    <row r="3597" spans="3:3">
      <c r="C3597" s="254"/>
    </row>
    <row r="3598" spans="3:3">
      <c r="C3598" s="254"/>
    </row>
    <row r="3599" spans="3:3">
      <c r="C3599" s="254"/>
    </row>
    <row r="3600" spans="3:3">
      <c r="C3600" s="254"/>
    </row>
    <row r="3601" spans="3:3">
      <c r="C3601" s="254"/>
    </row>
    <row r="3602" spans="3:3">
      <c r="C3602" s="254"/>
    </row>
    <row r="3603" spans="3:3">
      <c r="C3603" s="254"/>
    </row>
    <row r="3604" spans="3:3">
      <c r="C3604" s="254"/>
    </row>
    <row r="3605" spans="3:3">
      <c r="C3605" s="254"/>
    </row>
    <row r="3606" spans="3:3">
      <c r="C3606" s="254"/>
    </row>
    <row r="3607" spans="3:3">
      <c r="C3607" s="254"/>
    </row>
    <row r="3608" spans="3:3">
      <c r="C3608" s="254"/>
    </row>
    <row r="3609" spans="3:3">
      <c r="C3609" s="254"/>
    </row>
    <row r="3610" spans="3:3">
      <c r="C3610" s="254"/>
    </row>
    <row r="3611" spans="3:3">
      <c r="C3611" s="254"/>
    </row>
    <row r="3612" spans="3:3">
      <c r="C3612" s="254"/>
    </row>
    <row r="3613" spans="3:3">
      <c r="C3613" s="254"/>
    </row>
    <row r="3614" spans="3:3">
      <c r="C3614" s="254"/>
    </row>
    <row r="3615" spans="3:3">
      <c r="C3615" s="254"/>
    </row>
    <row r="3616" spans="3:3">
      <c r="C3616" s="254"/>
    </row>
    <row r="3617" spans="3:3">
      <c r="C3617" s="254"/>
    </row>
    <row r="3618" spans="3:3">
      <c r="C3618" s="254"/>
    </row>
    <row r="3619" spans="3:3">
      <c r="C3619" s="254"/>
    </row>
    <row r="3620" spans="3:3">
      <c r="C3620" s="254"/>
    </row>
    <row r="3621" spans="3:3">
      <c r="C3621" s="254"/>
    </row>
    <row r="3622" spans="3:3">
      <c r="C3622" s="254"/>
    </row>
    <row r="3623" spans="3:3">
      <c r="C3623" s="254"/>
    </row>
    <row r="3624" spans="3:3">
      <c r="C3624" s="254"/>
    </row>
    <row r="3625" spans="3:3">
      <c r="C3625" s="254"/>
    </row>
    <row r="3626" spans="3:3">
      <c r="C3626" s="254"/>
    </row>
    <row r="3627" spans="3:3">
      <c r="C3627" s="254"/>
    </row>
    <row r="3628" spans="3:3">
      <c r="C3628" s="254"/>
    </row>
    <row r="3629" spans="3:3">
      <c r="C3629" s="254"/>
    </row>
    <row r="3630" spans="3:3">
      <c r="C3630" s="254"/>
    </row>
    <row r="3631" spans="3:3">
      <c r="C3631" s="254"/>
    </row>
    <row r="3632" spans="3:3">
      <c r="C3632" s="254"/>
    </row>
    <row r="3633" spans="3:3">
      <c r="C3633" s="254"/>
    </row>
    <row r="3634" spans="3:3">
      <c r="C3634" s="254"/>
    </row>
    <row r="3635" spans="3:3">
      <c r="C3635" s="254"/>
    </row>
    <row r="3636" spans="3:3">
      <c r="C3636" s="254"/>
    </row>
    <row r="3637" spans="3:3">
      <c r="C3637" s="254"/>
    </row>
    <row r="3638" spans="3:3">
      <c r="C3638" s="254"/>
    </row>
    <row r="3639" spans="3:3">
      <c r="C3639" s="254"/>
    </row>
    <row r="3640" spans="3:3">
      <c r="C3640" s="254"/>
    </row>
    <row r="3641" spans="3:3">
      <c r="C3641" s="254"/>
    </row>
    <row r="3642" spans="3:3">
      <c r="C3642" s="254"/>
    </row>
    <row r="3643" spans="3:3">
      <c r="C3643" s="254"/>
    </row>
    <row r="3644" spans="3:3">
      <c r="C3644" s="254"/>
    </row>
    <row r="3645" spans="3:3">
      <c r="C3645" s="254"/>
    </row>
    <row r="3646" spans="3:3">
      <c r="C3646" s="254"/>
    </row>
    <row r="3647" spans="3:3">
      <c r="C3647" s="254"/>
    </row>
    <row r="3648" spans="3:3">
      <c r="C3648" s="254"/>
    </row>
  </sheetData>
  <sortState xmlns:xlrd2="http://schemas.microsoft.com/office/spreadsheetml/2017/richdata2" ref="G90:H500">
    <sortCondition descending="1" ref="G89"/>
  </sortState>
  <phoneticPr fontId="2" type="noConversion"/>
  <printOptions horizontalCentered="1"/>
  <pageMargins left="0.75" right="0.75" top="0.5" bottom="0.5" header="0.5" footer="0.5"/>
  <pageSetup scale="110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B6A49-F19A-4D18-830B-78F1636A58EA}">
  <sheetPr codeName="Sheet14"/>
  <dimension ref="A1:K54"/>
  <sheetViews>
    <sheetView workbookViewId="0">
      <selection activeCell="N17" sqref="N17"/>
    </sheetView>
  </sheetViews>
  <sheetFormatPr defaultColWidth="9.08984375" defaultRowHeight="14"/>
  <cols>
    <col min="1" max="1" width="8.81640625" style="286" bestFit="1" customWidth="1"/>
    <col min="2" max="2" width="9.453125" style="287" bestFit="1" customWidth="1"/>
    <col min="3" max="3" width="5.54296875" style="287" bestFit="1" customWidth="1"/>
    <col min="4" max="4" width="5.54296875" style="286" customWidth="1"/>
    <col min="5" max="5" width="8.81640625" style="286" bestFit="1" customWidth="1"/>
    <col min="6" max="6" width="9.453125" style="287" customWidth="1"/>
    <col min="7" max="7" width="5.54296875" style="287" customWidth="1"/>
    <col min="8" max="8" width="5.54296875" style="286" customWidth="1"/>
    <col min="9" max="9" width="8.54296875" style="286" bestFit="1" customWidth="1"/>
    <col min="10" max="10" width="9.453125" style="287" bestFit="1" customWidth="1"/>
    <col min="11" max="11" width="5.54296875" style="287" bestFit="1" customWidth="1"/>
    <col min="12" max="16384" width="9.08984375" style="286"/>
  </cols>
  <sheetData>
    <row r="1" spans="1:11" ht="18">
      <c r="A1" s="653" t="s">
        <v>22203</v>
      </c>
      <c r="B1" s="653"/>
      <c r="C1" s="653"/>
      <c r="D1" s="653"/>
      <c r="E1" s="653"/>
      <c r="F1" s="653"/>
      <c r="G1" s="653"/>
      <c r="H1" s="653"/>
      <c r="I1" s="653"/>
      <c r="J1" s="653"/>
      <c r="K1" s="653"/>
    </row>
    <row r="3" spans="1:11">
      <c r="A3" s="652" t="s">
        <v>19293</v>
      </c>
      <c r="B3" s="652"/>
      <c r="C3" s="652"/>
      <c r="E3" s="652" t="s">
        <v>227</v>
      </c>
      <c r="F3" s="652"/>
      <c r="G3" s="652"/>
      <c r="H3" s="287"/>
      <c r="I3" s="652" t="s">
        <v>698</v>
      </c>
      <c r="J3" s="652"/>
      <c r="K3" s="652"/>
    </row>
    <row r="4" spans="1:11">
      <c r="A4" s="288"/>
      <c r="B4" s="289" t="s">
        <v>526</v>
      </c>
      <c r="C4" s="289" t="s">
        <v>20337</v>
      </c>
      <c r="E4" s="288"/>
      <c r="F4" s="289" t="s">
        <v>526</v>
      </c>
      <c r="G4" s="289" t="s">
        <v>20337</v>
      </c>
      <c r="I4" s="288"/>
      <c r="J4" s="289" t="s">
        <v>526</v>
      </c>
      <c r="K4" s="289" t="s">
        <v>20337</v>
      </c>
    </row>
    <row r="5" spans="1:11">
      <c r="A5" s="288" t="s">
        <v>197</v>
      </c>
      <c r="B5" s="289">
        <v>158</v>
      </c>
      <c r="C5" s="289">
        <v>205</v>
      </c>
      <c r="E5" s="288" t="s">
        <v>209</v>
      </c>
      <c r="F5" s="289">
        <v>47</v>
      </c>
      <c r="G5" s="289">
        <v>62</v>
      </c>
      <c r="I5" s="288" t="s">
        <v>253</v>
      </c>
      <c r="J5" s="289">
        <v>62</v>
      </c>
      <c r="K5" s="289">
        <v>80</v>
      </c>
    </row>
    <row r="6" spans="1:11">
      <c r="A6" s="288" t="s">
        <v>459</v>
      </c>
      <c r="B6" s="289">
        <v>205</v>
      </c>
      <c r="C6" s="289">
        <v>268</v>
      </c>
      <c r="E6" s="288" t="s">
        <v>210</v>
      </c>
      <c r="F6" s="289">
        <v>50</v>
      </c>
      <c r="G6" s="289">
        <v>65</v>
      </c>
      <c r="I6" s="288" t="s">
        <v>496</v>
      </c>
      <c r="J6" s="289">
        <v>75</v>
      </c>
      <c r="K6" s="289">
        <v>98</v>
      </c>
    </row>
    <row r="7" spans="1:11">
      <c r="A7" s="288" t="s">
        <v>460</v>
      </c>
      <c r="B7" s="289">
        <v>270</v>
      </c>
      <c r="C7" s="289">
        <v>352</v>
      </c>
      <c r="E7" s="288" t="s">
        <v>323</v>
      </c>
      <c r="F7" s="289">
        <v>69</v>
      </c>
      <c r="G7" s="289">
        <v>90</v>
      </c>
      <c r="I7" s="288" t="s">
        <v>252</v>
      </c>
      <c r="J7" s="289">
        <v>88</v>
      </c>
      <c r="K7" s="289">
        <v>114</v>
      </c>
    </row>
    <row r="8" spans="1:11">
      <c r="A8" s="288" t="s">
        <v>215</v>
      </c>
      <c r="B8" s="289">
        <v>334</v>
      </c>
      <c r="C8" s="289">
        <v>435</v>
      </c>
      <c r="E8" s="288" t="s">
        <v>204</v>
      </c>
      <c r="F8" s="289">
        <v>69</v>
      </c>
      <c r="G8" s="289">
        <v>90</v>
      </c>
      <c r="I8" s="288" t="s">
        <v>433</v>
      </c>
      <c r="J8" s="289">
        <v>120</v>
      </c>
      <c r="K8" s="289">
        <v>157</v>
      </c>
    </row>
    <row r="9" spans="1:11">
      <c r="A9" s="288" t="s">
        <v>340</v>
      </c>
      <c r="B9" s="289">
        <v>409</v>
      </c>
      <c r="C9" s="289">
        <v>533</v>
      </c>
      <c r="E9" s="288" t="s">
        <v>350</v>
      </c>
      <c r="F9" s="289">
        <v>80</v>
      </c>
      <c r="G9" s="289">
        <v>105</v>
      </c>
      <c r="I9" s="288" t="s">
        <v>4</v>
      </c>
      <c r="J9" s="289">
        <v>144</v>
      </c>
      <c r="K9" s="289">
        <v>188</v>
      </c>
    </row>
    <row r="10" spans="1:11">
      <c r="A10" s="288" t="s">
        <v>150</v>
      </c>
      <c r="B10" s="289">
        <v>462</v>
      </c>
      <c r="C10" s="289">
        <v>600</v>
      </c>
      <c r="E10" s="288" t="s">
        <v>450</v>
      </c>
      <c r="F10" s="289">
        <v>92</v>
      </c>
      <c r="G10" s="289">
        <v>119</v>
      </c>
      <c r="I10" s="288" t="s">
        <v>836</v>
      </c>
      <c r="J10" s="289">
        <v>233</v>
      </c>
      <c r="K10" s="289">
        <v>303</v>
      </c>
    </row>
    <row r="11" spans="1:11">
      <c r="A11" s="288" t="s">
        <v>151</v>
      </c>
      <c r="B11" s="289">
        <v>664</v>
      </c>
      <c r="C11" s="289">
        <v>864</v>
      </c>
      <c r="E11" s="288" t="s">
        <v>451</v>
      </c>
      <c r="F11" s="289">
        <v>129</v>
      </c>
      <c r="G11" s="289">
        <v>168</v>
      </c>
      <c r="I11" s="288" t="s">
        <v>105</v>
      </c>
      <c r="J11" s="289">
        <v>358</v>
      </c>
      <c r="K11" s="289">
        <v>465</v>
      </c>
    </row>
    <row r="12" spans="1:11">
      <c r="A12" s="288" t="s">
        <v>152</v>
      </c>
      <c r="B12" s="289">
        <v>729</v>
      </c>
      <c r="C12" s="289">
        <v>948</v>
      </c>
      <c r="E12" s="288" t="s">
        <v>192</v>
      </c>
      <c r="F12" s="289">
        <v>148</v>
      </c>
      <c r="G12" s="289">
        <v>193</v>
      </c>
      <c r="I12" s="288" t="s">
        <v>250</v>
      </c>
      <c r="J12" s="289">
        <v>484</v>
      </c>
      <c r="K12" s="289">
        <v>630</v>
      </c>
    </row>
    <row r="13" spans="1:11">
      <c r="A13" s="288" t="s">
        <v>534</v>
      </c>
      <c r="B13" s="289">
        <v>857</v>
      </c>
      <c r="C13" s="289">
        <v>1114</v>
      </c>
      <c r="E13" s="288" t="s">
        <v>625</v>
      </c>
      <c r="F13" s="289">
        <v>185</v>
      </c>
      <c r="G13" s="289">
        <v>242</v>
      </c>
      <c r="I13" s="288" t="s">
        <v>475</v>
      </c>
      <c r="J13" s="289">
        <v>554</v>
      </c>
      <c r="K13" s="289">
        <v>720</v>
      </c>
    </row>
    <row r="14" spans="1:11">
      <c r="A14" s="288" t="s">
        <v>581</v>
      </c>
      <c r="B14" s="289">
        <v>1249</v>
      </c>
      <c r="C14" s="289">
        <v>1624</v>
      </c>
      <c r="E14" s="288" t="s">
        <v>386</v>
      </c>
      <c r="F14" s="289">
        <v>220</v>
      </c>
      <c r="G14" s="289">
        <v>287</v>
      </c>
      <c r="I14" s="288" t="s">
        <v>143</v>
      </c>
      <c r="J14" s="289">
        <v>892</v>
      </c>
      <c r="K14" s="289">
        <v>1159</v>
      </c>
    </row>
    <row r="15" spans="1:11">
      <c r="A15" s="288" t="s">
        <v>673</v>
      </c>
      <c r="B15" s="289">
        <v>1664</v>
      </c>
      <c r="C15" s="289">
        <v>2164</v>
      </c>
      <c r="E15" s="288" t="s">
        <v>753</v>
      </c>
      <c r="F15" s="289">
        <v>275</v>
      </c>
      <c r="G15" s="289">
        <v>358</v>
      </c>
      <c r="I15" s="288" t="s">
        <v>268</v>
      </c>
      <c r="J15" s="289">
        <v>1162</v>
      </c>
      <c r="K15" s="289">
        <v>1510</v>
      </c>
    </row>
    <row r="16" spans="1:11">
      <c r="A16" s="288" t="s">
        <v>674</v>
      </c>
      <c r="B16" s="289">
        <v>1985</v>
      </c>
      <c r="C16" s="289">
        <v>2582</v>
      </c>
      <c r="E16" s="288" t="s">
        <v>847</v>
      </c>
      <c r="F16" s="289">
        <v>413</v>
      </c>
      <c r="G16" s="289">
        <v>537</v>
      </c>
      <c r="I16" s="288" t="s">
        <v>274</v>
      </c>
      <c r="J16" s="289">
        <v>1425</v>
      </c>
      <c r="K16" s="289">
        <v>1853</v>
      </c>
    </row>
    <row r="17" spans="1:11">
      <c r="A17" s="288" t="s">
        <v>590</v>
      </c>
      <c r="B17" s="289">
        <v>2859</v>
      </c>
      <c r="C17" s="289">
        <v>3718</v>
      </c>
      <c r="E17" s="288" t="s">
        <v>318</v>
      </c>
      <c r="F17" s="289">
        <v>825</v>
      </c>
      <c r="G17" s="289">
        <v>1073</v>
      </c>
      <c r="I17" s="288" t="s">
        <v>275</v>
      </c>
      <c r="J17" s="289">
        <v>1750</v>
      </c>
      <c r="K17" s="289">
        <v>2275</v>
      </c>
    </row>
    <row r="18" spans="1:11">
      <c r="A18" s="288" t="s">
        <v>643</v>
      </c>
      <c r="B18" s="289">
        <v>3782</v>
      </c>
      <c r="C18" s="289">
        <v>4917</v>
      </c>
      <c r="E18" s="288" t="s">
        <v>319</v>
      </c>
      <c r="F18" s="289">
        <v>1238</v>
      </c>
      <c r="G18" s="289">
        <v>1609</v>
      </c>
      <c r="I18" s="288" t="s">
        <v>276</v>
      </c>
      <c r="J18" s="289">
        <v>2000</v>
      </c>
      <c r="K18" s="289">
        <v>2600</v>
      </c>
    </row>
    <row r="19" spans="1:11">
      <c r="A19" s="288" t="s">
        <v>270</v>
      </c>
      <c r="B19" s="289">
        <v>4705</v>
      </c>
      <c r="C19" s="289">
        <v>6118</v>
      </c>
      <c r="E19" s="288" t="s">
        <v>320</v>
      </c>
      <c r="F19" s="289">
        <v>1788</v>
      </c>
      <c r="G19" s="289">
        <v>2324</v>
      </c>
      <c r="I19" s="288" t="s">
        <v>267</v>
      </c>
      <c r="J19" s="289">
        <v>2750</v>
      </c>
      <c r="K19" s="289">
        <v>3575</v>
      </c>
    </row>
    <row r="21" spans="1:11">
      <c r="A21" s="288"/>
      <c r="B21" s="289" t="s">
        <v>526</v>
      </c>
      <c r="C21" s="289" t="s">
        <v>20337</v>
      </c>
      <c r="E21" s="288"/>
      <c r="F21" s="289" t="s">
        <v>526</v>
      </c>
      <c r="G21" s="289" t="s">
        <v>20337</v>
      </c>
      <c r="I21" s="288"/>
      <c r="J21" s="289" t="s">
        <v>526</v>
      </c>
      <c r="K21" s="289" t="s">
        <v>20337</v>
      </c>
    </row>
    <row r="22" spans="1:11">
      <c r="A22" s="290" t="s">
        <v>335</v>
      </c>
      <c r="B22" s="290">
        <v>137</v>
      </c>
      <c r="C22" s="289">
        <v>200</v>
      </c>
      <c r="E22" s="288" t="s">
        <v>338</v>
      </c>
      <c r="F22" s="289">
        <v>42</v>
      </c>
      <c r="G22" s="289">
        <v>59</v>
      </c>
      <c r="I22" s="288" t="s">
        <v>364</v>
      </c>
      <c r="J22" s="289">
        <v>55</v>
      </c>
      <c r="K22" s="289">
        <v>78</v>
      </c>
    </row>
    <row r="23" spans="1:11">
      <c r="A23" s="290" t="s">
        <v>477</v>
      </c>
      <c r="B23" s="290">
        <v>179</v>
      </c>
      <c r="C23" s="289">
        <v>260</v>
      </c>
      <c r="E23" s="288" t="s">
        <v>118</v>
      </c>
      <c r="F23" s="289">
        <v>45</v>
      </c>
      <c r="G23" s="289">
        <v>63</v>
      </c>
      <c r="I23" s="288" t="s">
        <v>401</v>
      </c>
      <c r="J23" s="289">
        <v>68</v>
      </c>
      <c r="K23" s="289">
        <v>95</v>
      </c>
    </row>
    <row r="24" spans="1:11">
      <c r="A24" s="290" t="s">
        <v>351</v>
      </c>
      <c r="B24" s="290">
        <v>236</v>
      </c>
      <c r="C24" s="289">
        <v>344</v>
      </c>
      <c r="E24" s="288" t="s">
        <v>119</v>
      </c>
      <c r="F24" s="289">
        <v>63</v>
      </c>
      <c r="G24" s="289">
        <v>88</v>
      </c>
      <c r="I24" s="288" t="s">
        <v>746</v>
      </c>
      <c r="J24" s="289">
        <v>79</v>
      </c>
      <c r="K24" s="289">
        <v>110</v>
      </c>
    </row>
    <row r="25" spans="1:11">
      <c r="A25" s="290" t="s">
        <v>342</v>
      </c>
      <c r="B25" s="290">
        <v>291</v>
      </c>
      <c r="C25" s="289">
        <v>424</v>
      </c>
      <c r="E25" s="288" t="s">
        <v>498</v>
      </c>
      <c r="F25" s="289">
        <v>63</v>
      </c>
      <c r="G25" s="289">
        <v>88</v>
      </c>
      <c r="I25" s="288" t="s">
        <v>232</v>
      </c>
      <c r="J25" s="289">
        <v>109</v>
      </c>
      <c r="K25" s="289">
        <v>154</v>
      </c>
    </row>
    <row r="26" spans="1:11">
      <c r="A26" s="290" t="s">
        <v>609</v>
      </c>
      <c r="B26" s="290">
        <v>357</v>
      </c>
      <c r="C26" s="289">
        <v>520</v>
      </c>
      <c r="E26" s="288" t="s">
        <v>682</v>
      </c>
      <c r="F26" s="289">
        <v>73</v>
      </c>
      <c r="G26" s="289">
        <v>102</v>
      </c>
      <c r="I26" s="288" t="s">
        <v>285</v>
      </c>
      <c r="J26" s="289">
        <v>130</v>
      </c>
      <c r="K26" s="289">
        <v>183</v>
      </c>
    </row>
    <row r="27" spans="1:11">
      <c r="A27" s="290" t="s">
        <v>324</v>
      </c>
      <c r="B27" s="290">
        <v>402</v>
      </c>
      <c r="C27" s="289">
        <v>587</v>
      </c>
      <c r="E27" s="288" t="s">
        <v>683</v>
      </c>
      <c r="F27" s="289">
        <v>83</v>
      </c>
      <c r="G27" s="289">
        <v>117</v>
      </c>
      <c r="I27" s="288" t="s">
        <v>839</v>
      </c>
      <c r="J27" s="289">
        <v>212</v>
      </c>
      <c r="K27" s="289">
        <v>297</v>
      </c>
    </row>
    <row r="28" spans="1:11">
      <c r="A28" s="290" t="s">
        <v>367</v>
      </c>
      <c r="B28" s="290">
        <v>579</v>
      </c>
      <c r="C28" s="289">
        <v>845</v>
      </c>
      <c r="E28" s="288" t="s">
        <v>706</v>
      </c>
      <c r="F28" s="289">
        <v>117</v>
      </c>
      <c r="G28" s="289">
        <v>162</v>
      </c>
      <c r="I28" s="288" t="s">
        <v>368</v>
      </c>
      <c r="J28" s="289">
        <v>325</v>
      </c>
      <c r="K28" s="289">
        <v>454</v>
      </c>
    </row>
    <row r="29" spans="1:11">
      <c r="A29" s="290" t="s">
        <v>577</v>
      </c>
      <c r="B29" s="290">
        <v>636</v>
      </c>
      <c r="C29" s="289">
        <v>928</v>
      </c>
      <c r="E29" s="288" t="s">
        <v>548</v>
      </c>
      <c r="F29" s="289">
        <v>134</v>
      </c>
      <c r="G29" s="289">
        <v>188</v>
      </c>
      <c r="I29" s="288" t="s">
        <v>714</v>
      </c>
      <c r="J29" s="289">
        <v>439</v>
      </c>
      <c r="K29" s="289">
        <v>615</v>
      </c>
    </row>
    <row r="30" spans="1:11">
      <c r="A30" s="290" t="s">
        <v>523</v>
      </c>
      <c r="B30" s="290">
        <v>747</v>
      </c>
      <c r="C30" s="289">
        <v>1089</v>
      </c>
      <c r="E30" s="288" t="s">
        <v>859</v>
      </c>
      <c r="F30" s="289">
        <v>168</v>
      </c>
      <c r="G30" s="289">
        <v>234</v>
      </c>
      <c r="I30" s="288" t="s">
        <v>840</v>
      </c>
      <c r="J30" s="289">
        <v>503</v>
      </c>
      <c r="K30" s="289">
        <v>704</v>
      </c>
    </row>
    <row r="31" spans="1:11">
      <c r="I31" s="288" t="s">
        <v>720</v>
      </c>
      <c r="J31" s="289">
        <v>810</v>
      </c>
      <c r="K31" s="289">
        <v>1135</v>
      </c>
    </row>
    <row r="32" spans="1:11">
      <c r="I32" s="288" t="s">
        <v>125</v>
      </c>
      <c r="J32" s="289">
        <v>1055</v>
      </c>
      <c r="K32" s="289">
        <v>1478</v>
      </c>
    </row>
    <row r="33" spans="9:11">
      <c r="I33" s="288" t="s">
        <v>177</v>
      </c>
      <c r="J33" s="289">
        <v>1295</v>
      </c>
      <c r="K33" s="289">
        <v>1812</v>
      </c>
    </row>
    <row r="47" spans="9:11">
      <c r="I47" s="350"/>
    </row>
    <row r="48" spans="9:11">
      <c r="I48" s="351"/>
    </row>
    <row r="49" spans="9:9">
      <c r="I49" s="351"/>
    </row>
    <row r="50" spans="9:9">
      <c r="I50" s="351"/>
    </row>
    <row r="51" spans="9:9">
      <c r="I51" s="350"/>
    </row>
    <row r="52" spans="9:9">
      <c r="I52" s="350"/>
    </row>
    <row r="53" spans="9:9">
      <c r="I53" s="350"/>
    </row>
    <row r="54" spans="9:9">
      <c r="I54" s="352"/>
    </row>
  </sheetData>
  <mergeCells count="4">
    <mergeCell ref="A3:C3"/>
    <mergeCell ref="E3:G3"/>
    <mergeCell ref="I3:K3"/>
    <mergeCell ref="A1:K1"/>
  </mergeCells>
  <printOptions horizontalCentered="1"/>
  <pageMargins left="0" right="0" top="0.75" bottom="0.5" header="0.3" footer="0.3"/>
  <pageSetup scale="11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A5B6269-5D2C-4015-A3F6-200BA04508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19</vt:i4>
      </vt:variant>
    </vt:vector>
  </HeadingPairs>
  <TitlesOfParts>
    <vt:vector size="43" baseType="lpstr">
      <vt:lpstr>Data</vt:lpstr>
      <vt:lpstr>Quote Form</vt:lpstr>
      <vt:lpstr>Customer</vt:lpstr>
      <vt:lpstr>master_contact_list</vt:lpstr>
      <vt:lpstr>H</vt:lpstr>
      <vt:lpstr>H2</vt:lpstr>
      <vt:lpstr>H3</vt:lpstr>
      <vt:lpstr>H4</vt:lpstr>
      <vt:lpstr>IMH</vt:lpstr>
      <vt:lpstr>MH</vt:lpstr>
      <vt:lpstr>IH</vt:lpstr>
      <vt:lpstr>IH2</vt:lpstr>
      <vt:lpstr>IH3</vt:lpstr>
      <vt:lpstr>IH4</vt:lpstr>
      <vt:lpstr>Acc</vt:lpstr>
      <vt:lpstr>A</vt:lpstr>
      <vt:lpstr>A2</vt:lpstr>
      <vt:lpstr>A3</vt:lpstr>
      <vt:lpstr>A4</vt:lpstr>
      <vt:lpstr>PH</vt:lpstr>
      <vt:lpstr>VA</vt:lpstr>
      <vt:lpstr>Inventory</vt:lpstr>
      <vt:lpstr>ShipVia</vt:lpstr>
      <vt:lpstr>Seal Kit</vt:lpstr>
      <vt:lpstr>A!Print_Area</vt:lpstr>
      <vt:lpstr>'A2'!Print_Area</vt:lpstr>
      <vt:lpstr>'A3'!Print_Area</vt:lpstr>
      <vt:lpstr>'A4'!Print_Area</vt:lpstr>
      <vt:lpstr>Acc!Print_Area</vt:lpstr>
      <vt:lpstr>Data!Print_Area</vt:lpstr>
      <vt:lpstr>H!Print_Area</vt:lpstr>
      <vt:lpstr>'H2'!Print_Area</vt:lpstr>
      <vt:lpstr>'H3'!Print_Area</vt:lpstr>
      <vt:lpstr>'H4'!Print_Area</vt:lpstr>
      <vt:lpstr>IH!Print_Area</vt:lpstr>
      <vt:lpstr>'IH2'!Print_Area</vt:lpstr>
      <vt:lpstr>'IH3'!Print_Area</vt:lpstr>
      <vt:lpstr>'IH4'!Print_Area</vt:lpstr>
      <vt:lpstr>IMH!Print_Area</vt:lpstr>
      <vt:lpstr>MH!Print_Area</vt:lpstr>
      <vt:lpstr>PH!Print_Area</vt:lpstr>
      <vt:lpstr>'Quote Form'!Print_Area</vt:lpstr>
      <vt:lpstr>VA!Print_Area</vt:lpstr>
    </vt:vector>
  </TitlesOfParts>
  <Company>JIT Cylinders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2014 Pricing Calc</dc:title>
  <dc:creator>Matt McComb</dc:creator>
  <cp:lastModifiedBy>Kane Whiteside</cp:lastModifiedBy>
  <cp:lastPrinted>2026-06-26T01:37:08Z</cp:lastPrinted>
  <dcterms:created xsi:type="dcterms:W3CDTF">2001-08-14T01:55:57Z</dcterms:created>
  <dcterms:modified xsi:type="dcterms:W3CDTF">2026-09-30T01:59:34Z</dcterms:modified>
</cp:coreProperties>
</file>